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27.xml" ContentType="application/vnd.openxmlformats-officedocument.spreadsheetml.externalLink+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25.xml" ContentType="application/vnd.openxmlformats-officedocument.spreadsheetml.externalLink+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4.xml" ContentType="application/vnd.openxmlformats-officedocument.spreadsheetml.externalLink+xml"/>
  <Override PartName="/xl/externalLinks/externalLink26.xml" ContentType="application/vnd.openxmlformats-officedocument.spreadsheetml.externalLink+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20490" windowHeight="7755" firstSheet="5" activeTab="13"/>
  </bookViews>
  <sheets>
    <sheet name="Fire Station" sheetId="26" state="hidden" r:id="rId1"/>
    <sheet name="Coding sheet" sheetId="41" r:id="rId2"/>
    <sheet name="Borewell main" sheetId="40" r:id="rId3"/>
    <sheet name="Detailed" sheetId="35" r:id="rId4"/>
    <sheet name="G. Abstractfinal (2)" sheetId="36" state="hidden" r:id="rId5"/>
    <sheet name="Abst Main " sheetId="37" r:id="rId6"/>
    <sheet name="lead  charge" sheetId="38" r:id="rId7"/>
    <sheet name="Data" sheetId="39" r:id="rId8"/>
    <sheet name="Paver" sheetId="34" r:id="rId9"/>
    <sheet name="Ex.Water" sheetId="33" r:id="rId10"/>
    <sheet name="SP" sheetId="32" r:id="rId11"/>
    <sheet name="Development" sheetId="31" state="hidden" r:id="rId12"/>
    <sheet name="G. Abstractfinal" sheetId="30" r:id="rId13"/>
    <sheet name="Design of septic tank" sheetId="42" r:id="rId14"/>
    <sheet name="Septic Tank" sheetId="1" r:id="rId15"/>
    <sheet name="PP Detail " sheetId="4" state="hidden" r:id="rId16"/>
    <sheet name="Road" sheetId="5" state="hidden" r:id="rId17"/>
    <sheet name="Sentry  room" sheetId="7" state="hidden" r:id="rId18"/>
    <sheet name="OHT" sheetId="8" state="hidden" r:id="rId19"/>
    <sheet name="Borewell" sheetId="15" state="hidden" r:id="rId20"/>
    <sheet name="Ext. WS" sheetId="20" r:id="rId21"/>
    <sheet name="Pump Room" sheetId="16" state="hidden" r:id="rId22"/>
    <sheet name="Hose Drying" sheetId="17" state="hidden" r:id="rId23"/>
    <sheet name="R.wall" sheetId="18" state="hidden" r:id="rId24"/>
    <sheet name="L &amp; N" sheetId="19" state="hidden" r:id="rId25"/>
    <sheet name="Ext. Elec." sheetId="21" state="hidden" r:id="rId26"/>
    <sheet name="Sentry room" sheetId="22" state="hidden" r:id="rId27"/>
    <sheet name="Sump" sheetId="23" state="hidden" r:id="rId28"/>
    <sheet name="Culvert" sheetId="24" state="hidden" r:id="rId29"/>
    <sheet name="PAVER ROAD" sheetId="27" r:id="rId30"/>
    <sheet name="COMPOUND" sheetId="28" state="hidden" r:id="rId31"/>
    <sheet name="Addl. works (P)" sheetId="29" state="hidden"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_______RCC115">[1]Spec!$B$12</definedName>
    <definedName name="______kk232" localSheetId="5">#REF!</definedName>
    <definedName name="______kk232" localSheetId="31">#REF!</definedName>
    <definedName name="______kk232" localSheetId="2">#REF!</definedName>
    <definedName name="______kk232" localSheetId="1">#REF!</definedName>
    <definedName name="______kk232" localSheetId="13">#REF!</definedName>
    <definedName name="______kk232" localSheetId="9">#REF!</definedName>
    <definedName name="______kk232" localSheetId="20">#REF!</definedName>
    <definedName name="______kk232" localSheetId="12">#REF!</definedName>
    <definedName name="______kk232" localSheetId="8">#REF!</definedName>
    <definedName name="______kk232" localSheetId="10">#REF!</definedName>
    <definedName name="______kk232">#REF!</definedName>
    <definedName name="______RCC115">[2]Spec!$B$12</definedName>
    <definedName name="_____RCC115">[3]Spec!$B$12</definedName>
    <definedName name="____abs3" localSheetId="31">#REF!</definedName>
    <definedName name="____abs3" localSheetId="9">#REF!</definedName>
    <definedName name="____abs3" localSheetId="8">#REF!</definedName>
    <definedName name="____abs3" localSheetId="10">#REF!</definedName>
    <definedName name="____abs3">#REF!</definedName>
    <definedName name="____abs32" localSheetId="31">#REF!</definedName>
    <definedName name="____abs32" localSheetId="9">#REF!</definedName>
    <definedName name="____abs32" localSheetId="8">#REF!</definedName>
    <definedName name="____abs32" localSheetId="10">#REF!</definedName>
    <definedName name="____abs32">#REF!</definedName>
    <definedName name="____kk232" localSheetId="5">#REF!</definedName>
    <definedName name="____kk232" localSheetId="31">#REF!</definedName>
    <definedName name="____kk232" localSheetId="2">#REF!</definedName>
    <definedName name="____kk232" localSheetId="1">#REF!</definedName>
    <definedName name="____kk232" localSheetId="13">#REF!</definedName>
    <definedName name="____kk232" localSheetId="9">#REF!</definedName>
    <definedName name="____kk232" localSheetId="20">#REF!</definedName>
    <definedName name="____kk232" localSheetId="12">#REF!</definedName>
    <definedName name="____kk232" localSheetId="8">#REF!</definedName>
    <definedName name="____kk232" localSheetId="10">#REF!</definedName>
    <definedName name="____kk232">#REF!</definedName>
    <definedName name="____RCC115">[3]Spec!$B$12</definedName>
    <definedName name="____wr3" localSheetId="31">#REF!</definedName>
    <definedName name="____wr3" localSheetId="9">#REF!</definedName>
    <definedName name="____wr3" localSheetId="8">#REF!</definedName>
    <definedName name="____wr3" localSheetId="10">#REF!</definedName>
    <definedName name="____wr3">#REF!</definedName>
    <definedName name="____xx559" localSheetId="5">#REF!</definedName>
    <definedName name="____xx559" localSheetId="31">#REF!</definedName>
    <definedName name="____xx559" localSheetId="2">#REF!</definedName>
    <definedName name="____xx559" localSheetId="1">#REF!</definedName>
    <definedName name="____xx559" localSheetId="13">#REF!</definedName>
    <definedName name="____xx559" localSheetId="9">#REF!</definedName>
    <definedName name="____xx559" localSheetId="20">#REF!</definedName>
    <definedName name="____xx559" localSheetId="12">#REF!</definedName>
    <definedName name="____xx559" localSheetId="8">#REF!</definedName>
    <definedName name="____xx559" localSheetId="10">#REF!</definedName>
    <definedName name="____xx559">#REF!</definedName>
    <definedName name="___abs3" localSheetId="31">#REF!</definedName>
    <definedName name="___abs3" localSheetId="9">#REF!</definedName>
    <definedName name="___abs3" localSheetId="8">#REF!</definedName>
    <definedName name="___abs3" localSheetId="10">#REF!</definedName>
    <definedName name="___abs3">#REF!</definedName>
    <definedName name="___abs32" localSheetId="31">#REF!</definedName>
    <definedName name="___abs32" localSheetId="9">#REF!</definedName>
    <definedName name="___abs32" localSheetId="8">#REF!</definedName>
    <definedName name="___abs32" localSheetId="10">#REF!</definedName>
    <definedName name="___abs32">#REF!</definedName>
    <definedName name="___add1157" localSheetId="5">#REF!</definedName>
    <definedName name="___add1157" localSheetId="31">#REF!</definedName>
    <definedName name="___add1157" localSheetId="2">#REF!</definedName>
    <definedName name="___add1157" localSheetId="1">#REF!</definedName>
    <definedName name="___add1157" localSheetId="13">#REF!</definedName>
    <definedName name="___add1157" localSheetId="9">#REF!</definedName>
    <definedName name="___add1157" localSheetId="20">#REF!</definedName>
    <definedName name="___add1157" localSheetId="12">#REF!</definedName>
    <definedName name="___add1157" localSheetId="8">#REF!</definedName>
    <definedName name="___add1157" localSheetId="10">#REF!</definedName>
    <definedName name="___add1157">#REF!</definedName>
    <definedName name="___RCC115">[1]Spec!$B$12</definedName>
    <definedName name="___wr3" localSheetId="31">#REF!</definedName>
    <definedName name="___wr3" localSheetId="9">#REF!</definedName>
    <definedName name="___wr3" localSheetId="8">#REF!</definedName>
    <definedName name="___wr3" localSheetId="10">#REF!</definedName>
    <definedName name="___wr3">#REF!</definedName>
    <definedName name="__abs3" localSheetId="31">#REF!</definedName>
    <definedName name="__abs3" localSheetId="9">#REF!</definedName>
    <definedName name="__abs3" localSheetId="8">#REF!</definedName>
    <definedName name="__abs3" localSheetId="29">#REF!</definedName>
    <definedName name="__abs3" localSheetId="10">#REF!</definedName>
    <definedName name="__abs3">#REF!</definedName>
    <definedName name="__abs32" localSheetId="31">#REF!</definedName>
    <definedName name="__abs32" localSheetId="9">#REF!</definedName>
    <definedName name="__abs32" localSheetId="8">#REF!</definedName>
    <definedName name="__abs32" localSheetId="29">#REF!</definedName>
    <definedName name="__abs32" localSheetId="10">#REF!</definedName>
    <definedName name="__abs32">#REF!</definedName>
    <definedName name="__add1157" localSheetId="5">#REF!</definedName>
    <definedName name="__add1157" localSheetId="31">#REF!</definedName>
    <definedName name="__add1157" localSheetId="2">#REF!</definedName>
    <definedName name="__add1157" localSheetId="1">#REF!</definedName>
    <definedName name="__add1157" localSheetId="13">#REF!</definedName>
    <definedName name="__add1157" localSheetId="9">#REF!</definedName>
    <definedName name="__add1157" localSheetId="20">#REF!</definedName>
    <definedName name="__add1157" localSheetId="12">#REF!</definedName>
    <definedName name="__add1157" localSheetId="8">#REF!</definedName>
    <definedName name="__add1157" localSheetId="10">#REF!</definedName>
    <definedName name="__add1157">#REF!</definedName>
    <definedName name="__kk232" localSheetId="5">#REF!</definedName>
    <definedName name="__kk232" localSheetId="31">#REF!</definedName>
    <definedName name="__kk232" localSheetId="2">#REF!</definedName>
    <definedName name="__kk232" localSheetId="1">#REF!</definedName>
    <definedName name="__kk232" localSheetId="13">#REF!</definedName>
    <definedName name="__kk232" localSheetId="9">#REF!</definedName>
    <definedName name="__kk232" localSheetId="20">#REF!</definedName>
    <definedName name="__kk232" localSheetId="12">#REF!</definedName>
    <definedName name="__kk232" localSheetId="8">#REF!</definedName>
    <definedName name="__kk232" localSheetId="10">#REF!</definedName>
    <definedName name="__kk232">#REF!</definedName>
    <definedName name="__RCC115">[1]Spec!$B$12</definedName>
    <definedName name="__wr3" localSheetId="31">#REF!</definedName>
    <definedName name="__wr3" localSheetId="9">#REF!</definedName>
    <definedName name="__wr3" localSheetId="8">#REF!</definedName>
    <definedName name="__wr3" localSheetId="10">#REF!</definedName>
    <definedName name="__wr3">#REF!</definedName>
    <definedName name="__xx559" localSheetId="5">#REF!</definedName>
    <definedName name="__xx559" localSheetId="31">#REF!</definedName>
    <definedName name="__xx559" localSheetId="2">#REF!</definedName>
    <definedName name="__xx559" localSheetId="1">#REF!</definedName>
    <definedName name="__xx559" localSheetId="13">#REF!</definedName>
    <definedName name="__xx559" localSheetId="9">#REF!</definedName>
    <definedName name="__xx559" localSheetId="20">#REF!</definedName>
    <definedName name="__xx559" localSheetId="12">#REF!</definedName>
    <definedName name="__xx559" localSheetId="8">#REF!</definedName>
    <definedName name="__xx559" localSheetId="10">#REF!</definedName>
    <definedName name="__xx559">#REF!</definedName>
    <definedName name="_abs3" localSheetId="31">#REF!</definedName>
    <definedName name="_abs3" localSheetId="9">#REF!</definedName>
    <definedName name="_abs3" localSheetId="8">#REF!</definedName>
    <definedName name="_abs3" localSheetId="29">#REF!</definedName>
    <definedName name="_abs3" localSheetId="10">#REF!</definedName>
    <definedName name="_abs3">#REF!</definedName>
    <definedName name="_abs32" localSheetId="31">#REF!</definedName>
    <definedName name="_abs32" localSheetId="9">#REF!</definedName>
    <definedName name="_abs32" localSheetId="8">#REF!</definedName>
    <definedName name="_abs32" localSheetId="10">#REF!</definedName>
    <definedName name="_abs32">#REF!</definedName>
    <definedName name="_add1157" localSheetId="5">#REF!</definedName>
    <definedName name="_add1157" localSheetId="31">#REF!</definedName>
    <definedName name="_add1157" localSheetId="2">#REF!</definedName>
    <definedName name="_add1157" localSheetId="1">#REF!</definedName>
    <definedName name="_add1157" localSheetId="13">#REF!</definedName>
    <definedName name="_add1157" localSheetId="9">#REF!</definedName>
    <definedName name="_add1157" localSheetId="20">#REF!</definedName>
    <definedName name="_add1157" localSheetId="12">#REF!</definedName>
    <definedName name="_add1157" localSheetId="8">#REF!</definedName>
    <definedName name="_add1157" localSheetId="10">#REF!</definedName>
    <definedName name="_add1157">#REF!</definedName>
    <definedName name="_xlnm._FilterDatabase" localSheetId="5" hidden="1">'Abst Main '!$A$5:$Z$998</definedName>
    <definedName name="_xlnm._FilterDatabase" localSheetId="1" hidden="1">'Coding sheet'!$A$4:$X$997</definedName>
    <definedName name="_xlnm._FilterDatabase" localSheetId="11" hidden="1">Development!$A$4:$Z$1138</definedName>
    <definedName name="_xlnm._FilterDatabase" localSheetId="9" hidden="1">Ex.Water!$A$5:$X$19</definedName>
    <definedName name="_xlnm._FilterDatabase" localSheetId="8" hidden="1">Paver!$A$5:$N$1042</definedName>
    <definedName name="_xlnm._FilterDatabase" localSheetId="10" hidden="1">SP!$A$5:$AB$1135</definedName>
    <definedName name="_kK1312" localSheetId="5">#REF!</definedName>
    <definedName name="_kK1312" localSheetId="31">#REF!</definedName>
    <definedName name="_kK1312" localSheetId="2">#REF!</definedName>
    <definedName name="_kK1312" localSheetId="1">#REF!</definedName>
    <definedName name="_kK1312" localSheetId="13">#REF!</definedName>
    <definedName name="_kK1312" localSheetId="9">#REF!</definedName>
    <definedName name="_kK1312" localSheetId="20">#REF!</definedName>
    <definedName name="_kK1312" localSheetId="12">#REF!</definedName>
    <definedName name="_kK1312" localSheetId="8">#REF!</definedName>
    <definedName name="_kK1312" localSheetId="10">#REF!</definedName>
    <definedName name="_kK1312">#REF!</definedName>
    <definedName name="_m" localSheetId="5">#REF!</definedName>
    <definedName name="_m" localSheetId="31">#REF!</definedName>
    <definedName name="_m" localSheetId="2">#REF!</definedName>
    <definedName name="_m" localSheetId="1">#REF!</definedName>
    <definedName name="_m" localSheetId="13">#REF!</definedName>
    <definedName name="_m" localSheetId="9">#REF!</definedName>
    <definedName name="_m" localSheetId="20">#REF!</definedName>
    <definedName name="_m" localSheetId="12">#REF!</definedName>
    <definedName name="_m" localSheetId="8">#REF!</definedName>
    <definedName name="_m" localSheetId="10">#REF!</definedName>
    <definedName name="_m">#REF!</definedName>
    <definedName name="_pp1" localSheetId="31">#REF!</definedName>
    <definedName name="_pp1" localSheetId="9">#REF!</definedName>
    <definedName name="_pp1" localSheetId="20">#REF!</definedName>
    <definedName name="_pp1" localSheetId="8">#REF!</definedName>
    <definedName name="_pp1" localSheetId="10">#REF!</definedName>
    <definedName name="_pp1">#REF!</definedName>
    <definedName name="_RCC115">[1]Spec!$B$12</definedName>
    <definedName name="_wr3" localSheetId="31">#REF!</definedName>
    <definedName name="_wr3" localSheetId="9">#REF!</definedName>
    <definedName name="_wr3" localSheetId="8">#REF!</definedName>
    <definedName name="_wr3" localSheetId="10">#REF!</definedName>
    <definedName name="_wr3">#REF!</definedName>
    <definedName name="_xx559" localSheetId="5">#REF!</definedName>
    <definedName name="_xx559" localSheetId="31">#REF!</definedName>
    <definedName name="_xx559" localSheetId="2">#REF!</definedName>
    <definedName name="_xx559" localSheetId="1">#REF!</definedName>
    <definedName name="_xx559" localSheetId="13">#REF!</definedName>
    <definedName name="_xx559" localSheetId="9">#REF!</definedName>
    <definedName name="_xx559" localSheetId="20">#REF!</definedName>
    <definedName name="_xx559" localSheetId="12">#REF!</definedName>
    <definedName name="_xx559" localSheetId="8">#REF!</definedName>
    <definedName name="_xx559" localSheetId="10">#REF!</definedName>
    <definedName name="_xx559">#REF!</definedName>
    <definedName name="A" localSheetId="5">#REF!</definedName>
    <definedName name="A" localSheetId="31">#REF!</definedName>
    <definedName name="A" localSheetId="2">#REF!</definedName>
    <definedName name="A" localSheetId="1">#REF!</definedName>
    <definedName name="a" localSheetId="30">#REF!</definedName>
    <definedName name="A" localSheetId="13">#REF!</definedName>
    <definedName name="A" localSheetId="9">#REF!</definedName>
    <definedName name="A" localSheetId="20">#REF!</definedName>
    <definedName name="A" localSheetId="12">#REF!</definedName>
    <definedName name="A" localSheetId="8">#REF!</definedName>
    <definedName name="A" localSheetId="10">#REF!</definedName>
    <definedName name="A">#REF!</definedName>
    <definedName name="A.C.Pipe" localSheetId="31">#REF!</definedName>
    <definedName name="A.C.Pipe" localSheetId="2">#REF!</definedName>
    <definedName name="A.C.Pipe" localSheetId="1">#REF!</definedName>
    <definedName name="A.C.Pipe" localSheetId="13">#REF!</definedName>
    <definedName name="A.C.Pipe" localSheetId="9">#REF!</definedName>
    <definedName name="A.C.Pipe" localSheetId="20">#REF!</definedName>
    <definedName name="A.C.Pipe" localSheetId="12">#REF!</definedName>
    <definedName name="A.C.Pipe" localSheetId="8">#REF!</definedName>
    <definedName name="A.C.Pipe" localSheetId="10">#REF!</definedName>
    <definedName name="A.C.Pipe">#REF!</definedName>
    <definedName name="aa" localSheetId="5">#REF!</definedName>
    <definedName name="aa" localSheetId="31">#REF!</definedName>
    <definedName name="aa" localSheetId="2">#REF!</definedName>
    <definedName name="aa" localSheetId="1">#REF!</definedName>
    <definedName name="aa" localSheetId="13">#REF!</definedName>
    <definedName name="aa" localSheetId="9">#REF!</definedName>
    <definedName name="aa" localSheetId="20">#REF!</definedName>
    <definedName name="aa" localSheetId="12">#REF!</definedName>
    <definedName name="aa" localSheetId="8">#REF!</definedName>
    <definedName name="aa" localSheetId="10">#REF!</definedName>
    <definedName name="aa">#REF!</definedName>
    <definedName name="aaaaa" localSheetId="31">#REF!</definedName>
    <definedName name="aaaaa" localSheetId="9">#REF!</definedName>
    <definedName name="aaaaa" localSheetId="8">#REF!</definedName>
    <definedName name="aaaaa" localSheetId="10">#REF!</definedName>
    <definedName name="aaaaa">#REF!</definedName>
    <definedName name="aaaaaa" localSheetId="31">#REF!</definedName>
    <definedName name="aaaaaa" localSheetId="9">#REF!</definedName>
    <definedName name="aaaaaa" localSheetId="20">#REF!</definedName>
    <definedName name="aaaaaa" localSheetId="8">#REF!</definedName>
    <definedName name="aaaaaa" localSheetId="10">#REF!</definedName>
    <definedName name="aaaaaa">#REF!</definedName>
    <definedName name="AB100an905" localSheetId="5">#REF!</definedName>
    <definedName name="AB100an905" localSheetId="31">#REF!</definedName>
    <definedName name="AB100an905" localSheetId="2">#REF!</definedName>
    <definedName name="AB100an905" localSheetId="1">#REF!</definedName>
    <definedName name="AB100an905" localSheetId="13">#REF!</definedName>
    <definedName name="AB100an905" localSheetId="9">#REF!</definedName>
    <definedName name="AB100an905" localSheetId="20">#REF!</definedName>
    <definedName name="AB100an905" localSheetId="12">#REF!</definedName>
    <definedName name="AB100an905" localSheetId="8">#REF!</definedName>
    <definedName name="AB100an905" localSheetId="10">#REF!</definedName>
    <definedName name="AB100an905">#REF!</definedName>
    <definedName name="Abs" localSheetId="5">#REF!</definedName>
    <definedName name="Abs" localSheetId="31">#REF!</definedName>
    <definedName name="Abs" localSheetId="2">#REF!</definedName>
    <definedName name="Abs" localSheetId="1">#REF!</definedName>
    <definedName name="Abs" localSheetId="13">#REF!</definedName>
    <definedName name="Abs" localSheetId="9">#REF!</definedName>
    <definedName name="Abs" localSheetId="20">#REF!</definedName>
    <definedName name="Abs" localSheetId="12">#REF!</definedName>
    <definedName name="Abs" localSheetId="8">#REF!</definedName>
    <definedName name="Abs" localSheetId="10">#REF!</definedName>
    <definedName name="Abs">#REF!</definedName>
    <definedName name="abstract" localSheetId="31">#REF!</definedName>
    <definedName name="abstract" localSheetId="9">#REF!</definedName>
    <definedName name="abstract" localSheetId="20">#REF!</definedName>
    <definedName name="abstract" localSheetId="8">#REF!</definedName>
    <definedName name="abstract" localSheetId="10">#REF!</definedName>
    <definedName name="abstract">#REF!</definedName>
    <definedName name="ADD.STRUTT" localSheetId="31">#REF!</definedName>
    <definedName name="ADD.STRUTT" localSheetId="2">#REF!</definedName>
    <definedName name="ADD.STRUTT" localSheetId="1">#REF!</definedName>
    <definedName name="ADD.STRUTT" localSheetId="13">#REF!</definedName>
    <definedName name="ADD.STRUTT" localSheetId="9">#REF!</definedName>
    <definedName name="ADD.STRUTT" localSheetId="20">#REF!</definedName>
    <definedName name="ADD.STRUTT" localSheetId="12">#REF!</definedName>
    <definedName name="ADD.STRUTT" localSheetId="8">#REF!</definedName>
    <definedName name="ADD.STRUTT" localSheetId="10">#REF!</definedName>
    <definedName name="ADD.STRUTT">#REF!</definedName>
    <definedName name="afsf" localSheetId="5">[4]Data!#REF!</definedName>
    <definedName name="afsf" localSheetId="31">[4]Data!#REF!</definedName>
    <definedName name="afsf" localSheetId="9">[4]Data!#REF!</definedName>
    <definedName name="afsf" localSheetId="20">[4]Data!#REF!</definedName>
    <definedName name="afsf" localSheetId="12">[4]Data!#REF!</definedName>
    <definedName name="afsf" localSheetId="8">[4]Data!#REF!</definedName>
    <definedName name="afsf" localSheetId="10">[4]Data!#REF!</definedName>
    <definedName name="afsf">[4]Data!#REF!</definedName>
    <definedName name="ag" localSheetId="5">#REF!</definedName>
    <definedName name="ag" localSheetId="31">#REF!</definedName>
    <definedName name="ag" localSheetId="2">#REF!</definedName>
    <definedName name="ag" localSheetId="1">#REF!</definedName>
    <definedName name="ag" localSheetId="13">#REF!</definedName>
    <definedName name="ag" localSheetId="9">#REF!</definedName>
    <definedName name="ag" localSheetId="20">#REF!</definedName>
    <definedName name="ag" localSheetId="12">#REF!</definedName>
    <definedName name="ag" localSheetId="8">#REF!</definedName>
    <definedName name="ag" localSheetId="10">#REF!</definedName>
    <definedName name="ag">#REF!</definedName>
    <definedName name="ahfk" localSheetId="31">#REF!</definedName>
    <definedName name="ahfk" localSheetId="19">#REF!</definedName>
    <definedName name="ahfk" localSheetId="2">#REF!</definedName>
    <definedName name="ahfk" localSheetId="1">#REF!</definedName>
    <definedName name="ahfk" localSheetId="13">#REF!</definedName>
    <definedName name="ahfk" localSheetId="11">#REF!</definedName>
    <definedName name="ahfk" localSheetId="9">#REF!</definedName>
    <definedName name="ahfk" localSheetId="0">#REF!</definedName>
    <definedName name="ahfk" localSheetId="12">#REF!</definedName>
    <definedName name="ahfk" localSheetId="18">#REF!</definedName>
    <definedName name="ahfk" localSheetId="8">#REF!</definedName>
    <definedName name="ahfk" localSheetId="29">#REF!</definedName>
    <definedName name="ahfk" localSheetId="21">#REF!</definedName>
    <definedName name="ahfk" localSheetId="26">#REF!</definedName>
    <definedName name="ahfk" localSheetId="10">#REF!</definedName>
    <definedName name="ahfk" localSheetId="27">#REF!</definedName>
    <definedName name="ahfk">#REF!</definedName>
    <definedName name="alj" localSheetId="31">#REF!</definedName>
    <definedName name="alj" localSheetId="9">#REF!</definedName>
    <definedName name="alj" localSheetId="8">#REF!</definedName>
    <definedName name="alj" localSheetId="10">#REF!</definedName>
    <definedName name="alj">#REF!</definedName>
    <definedName name="anbu\" localSheetId="5">#REF!</definedName>
    <definedName name="anbu\" localSheetId="31">#REF!</definedName>
    <definedName name="anbu\" localSheetId="19">#REF!</definedName>
    <definedName name="anbu\" localSheetId="2">#REF!</definedName>
    <definedName name="anbu\" localSheetId="1">#REF!</definedName>
    <definedName name="anbu\" localSheetId="13">#REF!</definedName>
    <definedName name="anbu\" localSheetId="9">#REF!</definedName>
    <definedName name="anbu\" localSheetId="12">#REF!</definedName>
    <definedName name="anbu\" localSheetId="8">#REF!</definedName>
    <definedName name="anbu\" localSheetId="29">#REF!</definedName>
    <definedName name="anbu\" localSheetId="21">#REF!</definedName>
    <definedName name="anbu\" localSheetId="10">#REF!</definedName>
    <definedName name="anbu\">#REF!</definedName>
    <definedName name="asd" localSheetId="31">#REF!</definedName>
    <definedName name="asd" localSheetId="30">#REF!</definedName>
    <definedName name="asd" localSheetId="9">#REF!</definedName>
    <definedName name="asd" localSheetId="20">#REF!</definedName>
    <definedName name="asd" localSheetId="8">#REF!</definedName>
    <definedName name="asd" localSheetId="10">#REF!</definedName>
    <definedName name="asd">#REF!</definedName>
    <definedName name="asdxc" localSheetId="31">#REF!</definedName>
    <definedName name="asdxc" localSheetId="9">#REF!</definedName>
    <definedName name="asdxc" localSheetId="8">#REF!</definedName>
    <definedName name="asdxc" localSheetId="10">#REF!</definedName>
    <definedName name="asdxc">#REF!</definedName>
    <definedName name="asdxfcghj" localSheetId="31">#REF!</definedName>
    <definedName name="asdxfcghj" localSheetId="9">#REF!</definedName>
    <definedName name="asdxfcghj" localSheetId="8">#REF!</definedName>
    <definedName name="asdxfcghj" localSheetId="10">#REF!</definedName>
    <definedName name="asdxfcghj">#REF!</definedName>
    <definedName name="asq" localSheetId="5">#REF!</definedName>
    <definedName name="asq" localSheetId="31">#REF!</definedName>
    <definedName name="asq" localSheetId="2">#REF!</definedName>
    <definedName name="asq" localSheetId="1">#REF!</definedName>
    <definedName name="asq" localSheetId="13">#REF!</definedName>
    <definedName name="asq" localSheetId="9">#REF!</definedName>
    <definedName name="asq" localSheetId="20">#REF!</definedName>
    <definedName name="asq" localSheetId="12">#REF!</definedName>
    <definedName name="asq" localSheetId="8">#REF!</definedName>
    <definedName name="asq" localSheetId="10">#REF!</definedName>
    <definedName name="asq">#REF!</definedName>
    <definedName name="assd" localSheetId="31">#REF!</definedName>
    <definedName name="assd" localSheetId="9">#REF!</definedName>
    <definedName name="assd" localSheetId="8">#REF!</definedName>
    <definedName name="assd" localSheetId="10">#REF!</definedName>
    <definedName name="assd">#REF!</definedName>
    <definedName name="ASSDD" localSheetId="31">#REF!</definedName>
    <definedName name="ASSDD" localSheetId="9">#REF!</definedName>
    <definedName name="ASSDD" localSheetId="20">#REF!</definedName>
    <definedName name="ASSDD" localSheetId="8">#REF!</definedName>
    <definedName name="ASSDD" localSheetId="10">#REF!</definedName>
    <definedName name="ASSDD">#REF!</definedName>
    <definedName name="b" localSheetId="5">#REF!</definedName>
    <definedName name="b" localSheetId="31">#REF!</definedName>
    <definedName name="b" localSheetId="2">#REF!</definedName>
    <definedName name="b" localSheetId="1">#REF!</definedName>
    <definedName name="b" localSheetId="13">#REF!</definedName>
    <definedName name="b" localSheetId="9">#REF!</definedName>
    <definedName name="b" localSheetId="20">#REF!</definedName>
    <definedName name="b" localSheetId="12">#REF!</definedName>
    <definedName name="b" localSheetId="8">#REF!</definedName>
    <definedName name="b" localSheetId="10">#REF!</definedName>
    <definedName name="b">#REF!</definedName>
    <definedName name="B.C1.3.6_40mm" localSheetId="5">#REF!</definedName>
    <definedName name="B.C1.3.6_40mm" localSheetId="31">#REF!</definedName>
    <definedName name="B.C1.3.6_40mm" localSheetId="2">#REF!</definedName>
    <definedName name="B.C1.3.6_40mm" localSheetId="1">#REF!</definedName>
    <definedName name="B.C1.3.6_40mm" localSheetId="13">#REF!</definedName>
    <definedName name="B.C1.3.6_40mm" localSheetId="9">#REF!</definedName>
    <definedName name="B.C1.3.6_40mm" localSheetId="20">#REF!</definedName>
    <definedName name="B.C1.3.6_40mm" localSheetId="12">#REF!</definedName>
    <definedName name="B.C1.3.6_40mm" localSheetId="8">#REF!</definedName>
    <definedName name="B.C1.3.6_40mm" localSheetId="10">#REF!</definedName>
    <definedName name="B.C1.3.6_40mm">#REF!</definedName>
    <definedName name="B.W.1.3_2.0" localSheetId="5">#REF!</definedName>
    <definedName name="B.W.1.3_2.0" localSheetId="31">#REF!</definedName>
    <definedName name="B.W.1.3_2.0" localSheetId="2">#REF!</definedName>
    <definedName name="B.W.1.3_2.0" localSheetId="1">#REF!</definedName>
    <definedName name="B.W.1.3_2.0" localSheetId="13">#REF!</definedName>
    <definedName name="B.W.1.3_2.0" localSheetId="9">#REF!</definedName>
    <definedName name="B.W.1.3_2.0" localSheetId="20">#REF!</definedName>
    <definedName name="B.W.1.3_2.0" localSheetId="12">#REF!</definedName>
    <definedName name="B.W.1.3_2.0" localSheetId="8">#REF!</definedName>
    <definedName name="B.W.1.3_2.0" localSheetId="10">#REF!</definedName>
    <definedName name="B.W.1.3_2.0">#REF!</definedName>
    <definedName name="B.W.1.3_2.25" localSheetId="5">#REF!</definedName>
    <definedName name="B.W.1.3_2.25" localSheetId="31">#REF!</definedName>
    <definedName name="B.W.1.3_2.25" localSheetId="2">#REF!</definedName>
    <definedName name="B.W.1.3_2.25" localSheetId="1">#REF!</definedName>
    <definedName name="B.W.1.3_2.25" localSheetId="13">#REF!</definedName>
    <definedName name="B.W.1.3_2.25" localSheetId="9">#REF!</definedName>
    <definedName name="B.W.1.3_2.25" localSheetId="20">#REF!</definedName>
    <definedName name="B.W.1.3_2.25" localSheetId="12">#REF!</definedName>
    <definedName name="B.W.1.3_2.25" localSheetId="8">#REF!</definedName>
    <definedName name="B.W.1.3_2.25" localSheetId="10">#REF!</definedName>
    <definedName name="B.W.1.3_2.25">#REF!</definedName>
    <definedName name="B.W.1.3_2.5" localSheetId="31">#REF!</definedName>
    <definedName name="B.W.1.3_2.5" localSheetId="2">#REF!</definedName>
    <definedName name="B.W.1.3_2.5" localSheetId="1">#REF!</definedName>
    <definedName name="B.W.1.3_2.5" localSheetId="13">#REF!</definedName>
    <definedName name="B.W.1.3_2.5" localSheetId="9">#REF!</definedName>
    <definedName name="B.W.1.3_2.5" localSheetId="20">#REF!</definedName>
    <definedName name="B.W.1.3_2.5" localSheetId="12">#REF!</definedName>
    <definedName name="B.W.1.3_2.5" localSheetId="8">#REF!</definedName>
    <definedName name="B.W.1.3_2.5" localSheetId="10">#REF!</definedName>
    <definedName name="B.W.1.3_2.5">#REF!</definedName>
    <definedName name="B.W.1.3_2.75" localSheetId="31">#REF!</definedName>
    <definedName name="B.W.1.3_2.75" localSheetId="2">#REF!</definedName>
    <definedName name="B.W.1.3_2.75" localSheetId="1">#REF!</definedName>
    <definedName name="B.W.1.3_2.75" localSheetId="13">#REF!</definedName>
    <definedName name="B.W.1.3_2.75" localSheetId="9">#REF!</definedName>
    <definedName name="B.W.1.3_2.75" localSheetId="20">#REF!</definedName>
    <definedName name="B.W.1.3_2.75" localSheetId="12">#REF!</definedName>
    <definedName name="B.W.1.3_2.75" localSheetId="8">#REF!</definedName>
    <definedName name="B.W.1.3_2.75" localSheetId="10">#REF!</definedName>
    <definedName name="B.W.1.3_2.75">#REF!</definedName>
    <definedName name="B.W.1.3_3" localSheetId="31">#REF!</definedName>
    <definedName name="B.W.1.3_3" localSheetId="2">#REF!</definedName>
    <definedName name="B.W.1.3_3" localSheetId="1">#REF!</definedName>
    <definedName name="B.W.1.3_3" localSheetId="13">#REF!</definedName>
    <definedName name="B.W.1.3_3" localSheetId="9">#REF!</definedName>
    <definedName name="B.W.1.3_3" localSheetId="20">#REF!</definedName>
    <definedName name="B.W.1.3_3" localSheetId="12">#REF!</definedName>
    <definedName name="B.W.1.3_3" localSheetId="8">#REF!</definedName>
    <definedName name="B.W.1.3_3" localSheetId="10">#REF!</definedName>
    <definedName name="B.W.1.3_3">#REF!</definedName>
    <definedName name="B.W.1.5_2.0" localSheetId="5">#REF!</definedName>
    <definedName name="B.W.1.5_2.0" localSheetId="31">#REF!</definedName>
    <definedName name="B.W.1.5_2.0" localSheetId="2">#REF!</definedName>
    <definedName name="B.W.1.5_2.0" localSheetId="1">#REF!</definedName>
    <definedName name="B.W.1.5_2.0" localSheetId="13">#REF!</definedName>
    <definedName name="B.W.1.5_2.0" localSheetId="9">#REF!</definedName>
    <definedName name="B.W.1.5_2.0" localSheetId="20">#REF!</definedName>
    <definedName name="B.W.1.5_2.0" localSheetId="12">#REF!</definedName>
    <definedName name="B.W.1.5_2.0" localSheetId="8">#REF!</definedName>
    <definedName name="B.W.1.5_2.0" localSheetId="10">#REF!</definedName>
    <definedName name="B.W.1.5_2.0">#REF!</definedName>
    <definedName name="B.W.1.5_2.25" localSheetId="5">#REF!</definedName>
    <definedName name="B.W.1.5_2.25" localSheetId="31">#REF!</definedName>
    <definedName name="B.W.1.5_2.25" localSheetId="2">#REF!</definedName>
    <definedName name="B.W.1.5_2.25" localSheetId="1">#REF!</definedName>
    <definedName name="B.W.1.5_2.25" localSheetId="13">#REF!</definedName>
    <definedName name="B.W.1.5_2.25" localSheetId="9">#REF!</definedName>
    <definedName name="B.W.1.5_2.25" localSheetId="20">#REF!</definedName>
    <definedName name="B.W.1.5_2.25" localSheetId="12">#REF!</definedName>
    <definedName name="B.W.1.5_2.25" localSheetId="8">#REF!</definedName>
    <definedName name="B.W.1.5_2.25" localSheetId="10">#REF!</definedName>
    <definedName name="B.W.1.5_2.25">#REF!</definedName>
    <definedName name="B.W.1.5_2.5" localSheetId="31">#REF!</definedName>
    <definedName name="B.W.1.5_2.5" localSheetId="2">#REF!</definedName>
    <definedName name="B.W.1.5_2.5" localSheetId="1">#REF!</definedName>
    <definedName name="B.W.1.5_2.5" localSheetId="13">#REF!</definedName>
    <definedName name="B.W.1.5_2.5" localSheetId="9">#REF!</definedName>
    <definedName name="B.W.1.5_2.5" localSheetId="20">#REF!</definedName>
    <definedName name="B.W.1.5_2.5" localSheetId="12">#REF!</definedName>
    <definedName name="B.W.1.5_2.5" localSheetId="8">#REF!</definedName>
    <definedName name="B.W.1.5_2.5" localSheetId="10">#REF!</definedName>
    <definedName name="B.W.1.5_2.5">#REF!</definedName>
    <definedName name="B.W.1.5_2.75" localSheetId="31">#REF!</definedName>
    <definedName name="B.W.1.5_2.75" localSheetId="2">#REF!</definedName>
    <definedName name="B.W.1.5_2.75" localSheetId="1">#REF!</definedName>
    <definedName name="B.W.1.5_2.75" localSheetId="13">#REF!</definedName>
    <definedName name="B.W.1.5_2.75" localSheetId="9">#REF!</definedName>
    <definedName name="B.W.1.5_2.75" localSheetId="20">#REF!</definedName>
    <definedName name="B.W.1.5_2.75" localSheetId="12">#REF!</definedName>
    <definedName name="B.W.1.5_2.75" localSheetId="8">#REF!</definedName>
    <definedName name="B.W.1.5_2.75" localSheetId="10">#REF!</definedName>
    <definedName name="B.W.1.5_2.75">#REF!</definedName>
    <definedName name="B.W.1.5_3" localSheetId="31">#REF!</definedName>
    <definedName name="B.W.1.5_3" localSheetId="2">#REF!</definedName>
    <definedName name="B.W.1.5_3" localSheetId="1">#REF!</definedName>
    <definedName name="B.W.1.5_3" localSheetId="13">#REF!</definedName>
    <definedName name="B.W.1.5_3" localSheetId="9">#REF!</definedName>
    <definedName name="B.W.1.5_3" localSheetId="20">#REF!</definedName>
    <definedName name="B.W.1.5_3" localSheetId="12">#REF!</definedName>
    <definedName name="B.W.1.5_3" localSheetId="8">#REF!</definedName>
    <definedName name="B.W.1.5_3" localSheetId="10">#REF!</definedName>
    <definedName name="B.W.1.5_3">#REF!</definedName>
    <definedName name="B.W.1.6_2.0" localSheetId="5">#REF!</definedName>
    <definedName name="B.W.1.6_2.0" localSheetId="31">#REF!</definedName>
    <definedName name="B.W.1.6_2.0" localSheetId="2">#REF!</definedName>
    <definedName name="B.W.1.6_2.0" localSheetId="1">#REF!</definedName>
    <definedName name="B.W.1.6_2.0" localSheetId="13">#REF!</definedName>
    <definedName name="B.W.1.6_2.0" localSheetId="9">#REF!</definedName>
    <definedName name="B.W.1.6_2.0" localSheetId="20">#REF!</definedName>
    <definedName name="B.W.1.6_2.0" localSheetId="12">#REF!</definedName>
    <definedName name="B.W.1.6_2.0" localSheetId="8">#REF!</definedName>
    <definedName name="B.W.1.6_2.0" localSheetId="10">#REF!</definedName>
    <definedName name="B.W.1.6_2.0">#REF!</definedName>
    <definedName name="B.W.1.6_2.25" localSheetId="5">#REF!</definedName>
    <definedName name="B.W.1.6_2.25" localSheetId="31">#REF!</definedName>
    <definedName name="B.W.1.6_2.25" localSheetId="2">#REF!</definedName>
    <definedName name="B.W.1.6_2.25" localSheetId="1">#REF!</definedName>
    <definedName name="B.W.1.6_2.25" localSheetId="13">#REF!</definedName>
    <definedName name="B.W.1.6_2.25" localSheetId="9">#REF!</definedName>
    <definedName name="B.W.1.6_2.25" localSheetId="20">#REF!</definedName>
    <definedName name="B.W.1.6_2.25" localSheetId="12">#REF!</definedName>
    <definedName name="B.W.1.6_2.25" localSheetId="8">#REF!</definedName>
    <definedName name="B.W.1.6_2.25" localSheetId="10">#REF!</definedName>
    <definedName name="B.W.1.6_2.25">#REF!</definedName>
    <definedName name="B.W.1.6_2.5" localSheetId="31">#REF!</definedName>
    <definedName name="B.W.1.6_2.5" localSheetId="2">#REF!</definedName>
    <definedName name="B.W.1.6_2.5" localSheetId="1">#REF!</definedName>
    <definedName name="B.W.1.6_2.5" localSheetId="13">#REF!</definedName>
    <definedName name="B.W.1.6_2.5" localSheetId="9">#REF!</definedName>
    <definedName name="B.W.1.6_2.5" localSheetId="20">#REF!</definedName>
    <definedName name="B.W.1.6_2.5" localSheetId="12">#REF!</definedName>
    <definedName name="B.W.1.6_2.5" localSheetId="8">#REF!</definedName>
    <definedName name="B.W.1.6_2.5" localSheetId="10">#REF!</definedName>
    <definedName name="B.W.1.6_2.5">#REF!</definedName>
    <definedName name="B.W.1.6_2.75" localSheetId="31">#REF!</definedName>
    <definedName name="B.W.1.6_2.75" localSheetId="2">#REF!</definedName>
    <definedName name="B.W.1.6_2.75" localSheetId="1">#REF!</definedName>
    <definedName name="B.W.1.6_2.75" localSheetId="13">#REF!</definedName>
    <definedName name="B.W.1.6_2.75" localSheetId="9">#REF!</definedName>
    <definedName name="B.W.1.6_2.75" localSheetId="20">#REF!</definedName>
    <definedName name="B.W.1.6_2.75" localSheetId="12">#REF!</definedName>
    <definedName name="B.W.1.6_2.75" localSheetId="8">#REF!</definedName>
    <definedName name="B.W.1.6_2.75" localSheetId="10">#REF!</definedName>
    <definedName name="B.W.1.6_2.75">#REF!</definedName>
    <definedName name="B.W.1.6_3" localSheetId="31">#REF!</definedName>
    <definedName name="B.W.1.6_3" localSheetId="2">#REF!</definedName>
    <definedName name="B.W.1.6_3" localSheetId="1">#REF!</definedName>
    <definedName name="B.W.1.6_3" localSheetId="13">#REF!</definedName>
    <definedName name="B.W.1.6_3" localSheetId="9">#REF!</definedName>
    <definedName name="B.W.1.6_3" localSheetId="20">#REF!</definedName>
    <definedName name="B.W.1.6_3" localSheetId="12">#REF!</definedName>
    <definedName name="B.W.1.6_3" localSheetId="8">#REF!</definedName>
    <definedName name="B.W.1.6_3" localSheetId="10">#REF!</definedName>
    <definedName name="B.W.1.6_3">#REF!</definedName>
    <definedName name="Basementfill">[1]Spec!$B$14</definedName>
    <definedName name="be" localSheetId="31">#REF!</definedName>
    <definedName name="be" localSheetId="9">#REF!</definedName>
    <definedName name="be" localSheetId="20">#REF!</definedName>
    <definedName name="be" localSheetId="8">#REF!</definedName>
    <definedName name="be" localSheetId="10">#REF!</definedName>
    <definedName name="be">#REF!</definedName>
    <definedName name="bghvnbbb" localSheetId="31">#REF!</definedName>
    <definedName name="bghvnbbb" localSheetId="9">#REF!</definedName>
    <definedName name="bghvnbbb" localSheetId="20">#REF!</definedName>
    <definedName name="bghvnbbb" localSheetId="8">#REF!</definedName>
    <definedName name="bghvnbbb" localSheetId="10">#REF!</definedName>
    <definedName name="bghvnbbb">#REF!</definedName>
    <definedName name="BM" localSheetId="5">#REF!</definedName>
    <definedName name="BM" localSheetId="31">#REF!</definedName>
    <definedName name="BM" localSheetId="2">#REF!</definedName>
    <definedName name="BM" localSheetId="1">#REF!</definedName>
    <definedName name="BM" localSheetId="13">#REF!</definedName>
    <definedName name="BM" localSheetId="9">#REF!</definedName>
    <definedName name="BM" localSheetId="20">#REF!</definedName>
    <definedName name="BM" localSheetId="12">#REF!</definedName>
    <definedName name="BM" localSheetId="8">#REF!</definedName>
    <definedName name="BM" localSheetId="10">#REF!</definedName>
    <definedName name="BM">#REF!</definedName>
    <definedName name="bor" localSheetId="5">#REF!</definedName>
    <definedName name="bor" localSheetId="31">#REF!</definedName>
    <definedName name="bor" localSheetId="2">#REF!</definedName>
    <definedName name="bor" localSheetId="1">#REF!</definedName>
    <definedName name="bor" localSheetId="13">#REF!</definedName>
    <definedName name="bor" localSheetId="9">#REF!</definedName>
    <definedName name="bor" localSheetId="20">#REF!</definedName>
    <definedName name="bor" localSheetId="12">#REF!</definedName>
    <definedName name="bor" localSheetId="8">#REF!</definedName>
    <definedName name="bor" localSheetId="10">#REF!</definedName>
    <definedName name="bor">#REF!</definedName>
    <definedName name="Br.Par_2.0" localSheetId="31">#REF!</definedName>
    <definedName name="Br.Par_2.0" localSheetId="2">#REF!</definedName>
    <definedName name="Br.Par_2.0" localSheetId="1">#REF!</definedName>
    <definedName name="Br.Par_2.0" localSheetId="13">#REF!</definedName>
    <definedName name="Br.Par_2.0" localSheetId="9">#REF!</definedName>
    <definedName name="Br.Par_2.0" localSheetId="20">#REF!</definedName>
    <definedName name="Br.Par_2.0" localSheetId="12">#REF!</definedName>
    <definedName name="Br.Par_2.0" localSheetId="8">#REF!</definedName>
    <definedName name="Br.Par_2.0" localSheetId="10">#REF!</definedName>
    <definedName name="Br.Par_2.0">#REF!</definedName>
    <definedName name="Br.Par_2.25" localSheetId="31">#REF!</definedName>
    <definedName name="Br.Par_2.25" localSheetId="2">#REF!</definedName>
    <definedName name="Br.Par_2.25" localSheetId="1">#REF!</definedName>
    <definedName name="Br.Par_2.25" localSheetId="13">#REF!</definedName>
    <definedName name="Br.Par_2.25" localSheetId="9">#REF!</definedName>
    <definedName name="Br.Par_2.25" localSheetId="20">#REF!</definedName>
    <definedName name="Br.Par_2.25" localSheetId="12">#REF!</definedName>
    <definedName name="Br.Par_2.25" localSheetId="8">#REF!</definedName>
    <definedName name="Br.Par_2.25" localSheetId="10">#REF!</definedName>
    <definedName name="Br.Par_2.25">#REF!</definedName>
    <definedName name="Br.Par_2.50" localSheetId="31">#REF!</definedName>
    <definedName name="Br.Par_2.50" localSheetId="2">#REF!</definedName>
    <definedName name="Br.Par_2.50" localSheetId="1">#REF!</definedName>
    <definedName name="Br.Par_2.50" localSheetId="13">#REF!</definedName>
    <definedName name="Br.Par_2.50" localSheetId="9">#REF!</definedName>
    <definedName name="Br.Par_2.50" localSheetId="20">#REF!</definedName>
    <definedName name="Br.Par_2.50" localSheetId="12">#REF!</definedName>
    <definedName name="Br.Par_2.50" localSheetId="8">#REF!</definedName>
    <definedName name="Br.Par_2.50" localSheetId="10">#REF!</definedName>
    <definedName name="Br.Par_2.50">#REF!</definedName>
    <definedName name="Br.Par_2.75" localSheetId="31">#REF!</definedName>
    <definedName name="Br.Par_2.75" localSheetId="2">#REF!</definedName>
    <definedName name="Br.Par_2.75" localSheetId="1">#REF!</definedName>
    <definedName name="Br.Par_2.75" localSheetId="13">#REF!</definedName>
    <definedName name="Br.Par_2.75" localSheetId="9">#REF!</definedName>
    <definedName name="Br.Par_2.75" localSheetId="20">#REF!</definedName>
    <definedName name="Br.Par_2.75" localSheetId="12">#REF!</definedName>
    <definedName name="Br.Par_2.75" localSheetId="8">#REF!</definedName>
    <definedName name="Br.Par_2.75" localSheetId="10">#REF!</definedName>
    <definedName name="Br.Par_2.75">#REF!</definedName>
    <definedName name="Br.Par_3.0" localSheetId="31">#REF!</definedName>
    <definedName name="Br.Par_3.0" localSheetId="2">#REF!</definedName>
    <definedName name="Br.Par_3.0" localSheetId="1">#REF!</definedName>
    <definedName name="Br.Par_3.0" localSheetId="13">#REF!</definedName>
    <definedName name="Br.Par_3.0" localSheetId="9">#REF!</definedName>
    <definedName name="Br.Par_3.0" localSheetId="20">#REF!</definedName>
    <definedName name="Br.Par_3.0" localSheetId="12">#REF!</definedName>
    <definedName name="Br.Par_3.0" localSheetId="8">#REF!</definedName>
    <definedName name="Br.Par_3.0" localSheetId="10">#REF!</definedName>
    <definedName name="Br.Par_3.0">#REF!</definedName>
    <definedName name="Brick_work" localSheetId="5">#REF!</definedName>
    <definedName name="Brick_work" localSheetId="31">#REF!</definedName>
    <definedName name="Brick_work" localSheetId="2">#REF!</definedName>
    <definedName name="Brick_work" localSheetId="1">#REF!</definedName>
    <definedName name="Brick_work" localSheetId="13">#REF!</definedName>
    <definedName name="Brick_work" localSheetId="9">#REF!</definedName>
    <definedName name="Brick_work" localSheetId="20">#REF!</definedName>
    <definedName name="Brick_work" localSheetId="12">#REF!</definedName>
    <definedName name="Brick_work" localSheetId="8">#REF!</definedName>
    <definedName name="Brick_work" localSheetId="10">#REF!</definedName>
    <definedName name="Brick_work">#REF!</definedName>
    <definedName name="Brick_work_11" localSheetId="5">#REF!</definedName>
    <definedName name="Brick_work_11" localSheetId="31">#REF!</definedName>
    <definedName name="Brick_work_11" localSheetId="2">#REF!</definedName>
    <definedName name="Brick_work_11" localSheetId="1">#REF!</definedName>
    <definedName name="Brick_work_11" localSheetId="13">#REF!</definedName>
    <definedName name="Brick_work_11" localSheetId="9">#REF!</definedName>
    <definedName name="Brick_work_11" localSheetId="20">#REF!</definedName>
    <definedName name="Brick_work_11" localSheetId="12">#REF!</definedName>
    <definedName name="Brick_work_11" localSheetId="8">#REF!</definedName>
    <definedName name="Brick_work_11" localSheetId="10">#REF!</definedName>
    <definedName name="Brick_work_11">#REF!</definedName>
    <definedName name="Brick_work_3" localSheetId="5">#REF!</definedName>
    <definedName name="Brick_work_3" localSheetId="31">#REF!</definedName>
    <definedName name="Brick_work_3" localSheetId="2">#REF!</definedName>
    <definedName name="Brick_work_3" localSheetId="1">#REF!</definedName>
    <definedName name="Brick_work_3" localSheetId="13">#REF!</definedName>
    <definedName name="Brick_work_3" localSheetId="9">#REF!</definedName>
    <definedName name="Brick_work_3" localSheetId="20">#REF!</definedName>
    <definedName name="Brick_work_3" localSheetId="12">#REF!</definedName>
    <definedName name="Brick_work_3" localSheetId="8">#REF!</definedName>
    <definedName name="Brick_work_3" localSheetId="10">#REF!</definedName>
    <definedName name="Brick_work_3">#REF!</definedName>
    <definedName name="Brick_work_6" localSheetId="5">#REF!</definedName>
    <definedName name="Brick_work_6" localSheetId="31">#REF!</definedName>
    <definedName name="Brick_work_6" localSheetId="2">#REF!</definedName>
    <definedName name="Brick_work_6" localSheetId="1">#REF!</definedName>
    <definedName name="Brick_work_6" localSheetId="13">#REF!</definedName>
    <definedName name="Brick_work_6" localSheetId="9">#REF!</definedName>
    <definedName name="Brick_work_6" localSheetId="20">#REF!</definedName>
    <definedName name="Brick_work_6" localSheetId="12">#REF!</definedName>
    <definedName name="Brick_work_6" localSheetId="8">#REF!</definedName>
    <definedName name="Brick_work_6" localSheetId="10">#REF!</definedName>
    <definedName name="Brick_work_6">#REF!</definedName>
    <definedName name="Bricks" localSheetId="5">[4]Data!#REF!</definedName>
    <definedName name="Bricks" localSheetId="31">[4]Data!#REF!</definedName>
    <definedName name="Bricks" localSheetId="9">[4]Data!#REF!</definedName>
    <definedName name="Bricks" localSheetId="20">[4]Data!#REF!</definedName>
    <definedName name="Bricks" localSheetId="12">[4]Data!#REF!</definedName>
    <definedName name="Bricks" localSheetId="8">[4]Data!#REF!</definedName>
    <definedName name="Bricks" localSheetId="10">[4]Data!#REF!</definedName>
    <definedName name="Bricks">[4]Data!#REF!</definedName>
    <definedName name="Bricks_11" localSheetId="5">#REF!</definedName>
    <definedName name="Bricks_11" localSheetId="31">#REF!</definedName>
    <definedName name="Bricks_11" localSheetId="2">#REF!</definedName>
    <definedName name="Bricks_11" localSheetId="1">#REF!</definedName>
    <definedName name="Bricks_11" localSheetId="13">#REF!</definedName>
    <definedName name="Bricks_11" localSheetId="9">#REF!</definedName>
    <definedName name="Bricks_11" localSheetId="20">#REF!</definedName>
    <definedName name="Bricks_11" localSheetId="12">#REF!</definedName>
    <definedName name="Bricks_11" localSheetId="8">#REF!</definedName>
    <definedName name="Bricks_11" localSheetId="10">#REF!</definedName>
    <definedName name="Bricks_11">#REF!</definedName>
    <definedName name="Bricks_3" localSheetId="5">#REF!</definedName>
    <definedName name="Bricks_3" localSheetId="31">#REF!</definedName>
    <definedName name="Bricks_3" localSheetId="2">#REF!</definedName>
    <definedName name="Bricks_3" localSheetId="1">#REF!</definedName>
    <definedName name="Bricks_3" localSheetId="13">#REF!</definedName>
    <definedName name="Bricks_3" localSheetId="9">#REF!</definedName>
    <definedName name="Bricks_3" localSheetId="20">#REF!</definedName>
    <definedName name="Bricks_3" localSheetId="12">#REF!</definedName>
    <definedName name="Bricks_3" localSheetId="8">#REF!</definedName>
    <definedName name="Bricks_3" localSheetId="10">#REF!</definedName>
    <definedName name="Bricks_3">#REF!</definedName>
    <definedName name="Bricks_6" localSheetId="5">#REF!</definedName>
    <definedName name="Bricks_6" localSheetId="31">#REF!</definedName>
    <definedName name="Bricks_6" localSheetId="2">#REF!</definedName>
    <definedName name="Bricks_6" localSheetId="1">#REF!</definedName>
    <definedName name="Bricks_6" localSheetId="13">#REF!</definedName>
    <definedName name="Bricks_6" localSheetId="9">#REF!</definedName>
    <definedName name="Bricks_6" localSheetId="20">#REF!</definedName>
    <definedName name="Bricks_6" localSheetId="12">#REF!</definedName>
    <definedName name="Bricks_6" localSheetId="8">#REF!</definedName>
    <definedName name="Bricks_6" localSheetId="10">#REF!</definedName>
    <definedName name="Bricks_6">#REF!</definedName>
    <definedName name="Bricks_7" localSheetId="5">[4]Data!#REF!</definedName>
    <definedName name="Bricks_7" localSheetId="31">[4]Data!#REF!</definedName>
    <definedName name="Bricks_7" localSheetId="9">[4]Data!#REF!</definedName>
    <definedName name="Bricks_7" localSheetId="20">[4]Data!#REF!</definedName>
    <definedName name="Bricks_7" localSheetId="12">[4]Data!#REF!</definedName>
    <definedName name="Bricks_7" localSheetId="8">[4]Data!#REF!</definedName>
    <definedName name="Bricks_7" localSheetId="10">[4]Data!#REF!</definedName>
    <definedName name="Bricks_7">[4]Data!#REF!</definedName>
    <definedName name="Bricks_8" localSheetId="5">[4]Data!#REF!</definedName>
    <definedName name="Bricks_8" localSheetId="31">[4]Data!#REF!</definedName>
    <definedName name="Bricks_8" localSheetId="9">[4]Data!#REF!</definedName>
    <definedName name="Bricks_8" localSheetId="20">[4]Data!#REF!</definedName>
    <definedName name="Bricks_8" localSheetId="8">[4]Data!#REF!</definedName>
    <definedName name="Bricks_8" localSheetId="10">[4]Data!#REF!</definedName>
    <definedName name="Bricks_8">[4]Data!#REF!</definedName>
    <definedName name="bui" localSheetId="5">#REF!</definedName>
    <definedName name="bui" localSheetId="31">#REF!</definedName>
    <definedName name="bui" localSheetId="2">#REF!</definedName>
    <definedName name="bui" localSheetId="1">#REF!</definedName>
    <definedName name="bui" localSheetId="13">#REF!</definedName>
    <definedName name="bui" localSheetId="9">#REF!</definedName>
    <definedName name="bui" localSheetId="20">#REF!</definedName>
    <definedName name="bui" localSheetId="12">#REF!</definedName>
    <definedName name="bui" localSheetId="8">#REF!</definedName>
    <definedName name="bui" localSheetId="10">#REF!</definedName>
    <definedName name="bui">#REF!</definedName>
    <definedName name="Buildingevelopment." localSheetId="5">#REF!</definedName>
    <definedName name="Buildingevelopment." localSheetId="31">#REF!</definedName>
    <definedName name="Buildingevelopment." localSheetId="2">#REF!</definedName>
    <definedName name="Buildingevelopment." localSheetId="1">#REF!</definedName>
    <definedName name="Buildingevelopment." localSheetId="13">#REF!</definedName>
    <definedName name="Buildingevelopment." localSheetId="9">#REF!</definedName>
    <definedName name="Buildingevelopment." localSheetId="20">#REF!</definedName>
    <definedName name="Buildingevelopment." localSheetId="12">#REF!</definedName>
    <definedName name="Buildingevelopment." localSheetId="8">#REF!</definedName>
    <definedName name="Buildingevelopment." localSheetId="10">#REF!</definedName>
    <definedName name="Buildingevelopment.">#REF!</definedName>
    <definedName name="BW">[1]Spec!$B$9</definedName>
    <definedName name="c.data" localSheetId="5">#REF!</definedName>
    <definedName name="c.data" localSheetId="31">#REF!</definedName>
    <definedName name="c.data" localSheetId="19">#REF!</definedName>
    <definedName name="c.data" localSheetId="2">#REF!</definedName>
    <definedName name="c.data" localSheetId="1">#REF!</definedName>
    <definedName name="c.data" localSheetId="13">#REF!</definedName>
    <definedName name="c.data" localSheetId="9">#REF!</definedName>
    <definedName name="c.data" localSheetId="12">#REF!</definedName>
    <definedName name="c.data" localSheetId="8">#REF!</definedName>
    <definedName name="c.data" localSheetId="29">#REF!</definedName>
    <definedName name="c.data" localSheetId="21">#REF!</definedName>
    <definedName name="c.data" localSheetId="10">#REF!</definedName>
    <definedName name="c.data">#REF!</definedName>
    <definedName name="C.M.1.1" localSheetId="31">#REF!</definedName>
    <definedName name="C.M.1.1" localSheetId="2">#REF!</definedName>
    <definedName name="C.M.1.1" localSheetId="1">#REF!</definedName>
    <definedName name="C.M.1.1" localSheetId="13">#REF!</definedName>
    <definedName name="C.M.1.1" localSheetId="9">#REF!</definedName>
    <definedName name="C.M.1.1" localSheetId="20">#REF!</definedName>
    <definedName name="C.M.1.1" localSheetId="12">#REF!</definedName>
    <definedName name="C.M.1.1" localSheetId="8">#REF!</definedName>
    <definedName name="C.M.1.1" localSheetId="10">#REF!</definedName>
    <definedName name="C.M.1.1">#REF!</definedName>
    <definedName name="C.M.1.1.5" localSheetId="31">#REF!</definedName>
    <definedName name="C.M.1.1.5" localSheetId="2">#REF!</definedName>
    <definedName name="C.M.1.1.5" localSheetId="1">#REF!</definedName>
    <definedName name="C.M.1.1.5" localSheetId="13">#REF!</definedName>
    <definedName name="C.M.1.1.5" localSheetId="9">#REF!</definedName>
    <definedName name="C.M.1.1.5" localSheetId="20">#REF!</definedName>
    <definedName name="C.M.1.1.5" localSheetId="12">#REF!</definedName>
    <definedName name="C.M.1.1.5" localSheetId="8">#REF!</definedName>
    <definedName name="C.M.1.1.5" localSheetId="10">#REF!</definedName>
    <definedName name="C.M.1.1.5">#REF!</definedName>
    <definedName name="c641." localSheetId="31">#REF!</definedName>
    <definedName name="c641." localSheetId="9">#REF!</definedName>
    <definedName name="c641." localSheetId="20">#REF!</definedName>
    <definedName name="c641." localSheetId="8">#REF!</definedName>
    <definedName name="c641." localSheetId="10">#REF!</definedName>
    <definedName name="c641.">#REF!</definedName>
    <definedName name="cc" localSheetId="31">#REF!</definedName>
    <definedName name="cc" localSheetId="9">#REF!</definedName>
    <definedName name="cc" localSheetId="20">#REF!</definedName>
    <definedName name="cc" localSheetId="8">#REF!</definedName>
    <definedName name="cc" localSheetId="10">#REF!</definedName>
    <definedName name="cc">#REF!</definedName>
    <definedName name="ccc" localSheetId="31">#REF!</definedName>
    <definedName name="ccc" localSheetId="9">#REF!</definedName>
    <definedName name="ccc" localSheetId="20">#REF!</definedName>
    <definedName name="ccc" localSheetId="8">#REF!</definedName>
    <definedName name="ccc" localSheetId="10">#REF!</definedName>
    <definedName name="ccc">#REF!</definedName>
    <definedName name="cdscds" localSheetId="31">#REF!</definedName>
    <definedName name="cdscds" localSheetId="9">#REF!</definedName>
    <definedName name="cdscds" localSheetId="20">#REF!</definedName>
    <definedName name="cdscds" localSheetId="8">#REF!</definedName>
    <definedName name="cdscds" localSheetId="10">#REF!</definedName>
    <definedName name="cdscds">#REF!</definedName>
    <definedName name="Ceilingplast">[1]Spec!$B$21</definedName>
    <definedName name="Cement_mortar" localSheetId="5">#REF!</definedName>
    <definedName name="Cement_mortar" localSheetId="31">#REF!</definedName>
    <definedName name="Cement_mortar" localSheetId="2">#REF!</definedName>
    <definedName name="Cement_mortar" localSheetId="1">#REF!</definedName>
    <definedName name="Cement_mortar" localSheetId="13">#REF!</definedName>
    <definedName name="Cement_mortar" localSheetId="9">#REF!</definedName>
    <definedName name="Cement_mortar" localSheetId="20">#REF!</definedName>
    <definedName name="Cement_mortar" localSheetId="12">#REF!</definedName>
    <definedName name="Cement_mortar" localSheetId="8">#REF!</definedName>
    <definedName name="Cement_mortar" localSheetId="10">#REF!</definedName>
    <definedName name="Cement_mortar">#REF!</definedName>
    <definedName name="Cement_mortar_11" localSheetId="5">#REF!</definedName>
    <definedName name="Cement_mortar_11" localSheetId="31">#REF!</definedName>
    <definedName name="Cement_mortar_11" localSheetId="2">#REF!</definedName>
    <definedName name="Cement_mortar_11" localSheetId="1">#REF!</definedName>
    <definedName name="Cement_mortar_11" localSheetId="13">#REF!</definedName>
    <definedName name="Cement_mortar_11" localSheetId="9">#REF!</definedName>
    <definedName name="Cement_mortar_11" localSheetId="20">#REF!</definedName>
    <definedName name="Cement_mortar_11" localSheetId="12">#REF!</definedName>
    <definedName name="Cement_mortar_11" localSheetId="8">#REF!</definedName>
    <definedName name="Cement_mortar_11" localSheetId="10">#REF!</definedName>
    <definedName name="Cement_mortar_11">#REF!</definedName>
    <definedName name="Cement_mortar_3" localSheetId="5">#REF!</definedName>
    <definedName name="Cement_mortar_3" localSheetId="31">#REF!</definedName>
    <definedName name="Cement_mortar_3" localSheetId="2">#REF!</definedName>
    <definedName name="Cement_mortar_3" localSheetId="1">#REF!</definedName>
    <definedName name="Cement_mortar_3" localSheetId="13">#REF!</definedName>
    <definedName name="Cement_mortar_3" localSheetId="9">#REF!</definedName>
    <definedName name="Cement_mortar_3" localSheetId="20">#REF!</definedName>
    <definedName name="Cement_mortar_3" localSheetId="12">#REF!</definedName>
    <definedName name="Cement_mortar_3" localSheetId="8">#REF!</definedName>
    <definedName name="Cement_mortar_3" localSheetId="10">#REF!</definedName>
    <definedName name="Cement_mortar_3">#REF!</definedName>
    <definedName name="Cement_mortar_6" localSheetId="5">#REF!</definedName>
    <definedName name="Cement_mortar_6" localSheetId="31">#REF!</definedName>
    <definedName name="Cement_mortar_6" localSheetId="2">#REF!</definedName>
    <definedName name="Cement_mortar_6" localSheetId="1">#REF!</definedName>
    <definedName name="Cement_mortar_6" localSheetId="13">#REF!</definedName>
    <definedName name="Cement_mortar_6" localSheetId="9">#REF!</definedName>
    <definedName name="Cement_mortar_6" localSheetId="20">#REF!</definedName>
    <definedName name="Cement_mortar_6" localSheetId="12">#REF!</definedName>
    <definedName name="Cement_mortar_6" localSheetId="8">#REF!</definedName>
    <definedName name="Cement_mortar_6" localSheetId="10">#REF!</definedName>
    <definedName name="Cement_mortar_6">#REF!</definedName>
    <definedName name="Cement_Paint" localSheetId="31">#REF!</definedName>
    <definedName name="Cement_Paint" localSheetId="2">#REF!</definedName>
    <definedName name="Cement_Paint" localSheetId="1">#REF!</definedName>
    <definedName name="Cement_Paint" localSheetId="13">#REF!</definedName>
    <definedName name="Cement_Paint" localSheetId="9">#REF!</definedName>
    <definedName name="Cement_Paint" localSheetId="20">#REF!</definedName>
    <definedName name="Cement_Paint" localSheetId="12">#REF!</definedName>
    <definedName name="Cement_Paint" localSheetId="8">#REF!</definedName>
    <definedName name="Cement_Paint" localSheetId="10">#REF!</definedName>
    <definedName name="Cement_Paint">#REF!</definedName>
    <definedName name="CENTERING" localSheetId="31">#REF!</definedName>
    <definedName name="CENTERING" localSheetId="2">#REF!</definedName>
    <definedName name="CENTERING" localSheetId="1">#REF!</definedName>
    <definedName name="CENTERING" localSheetId="13">#REF!</definedName>
    <definedName name="CENTERING" localSheetId="9">#REF!</definedName>
    <definedName name="CENTERING" localSheetId="20">#REF!</definedName>
    <definedName name="CENTERING" localSheetId="12">#REF!</definedName>
    <definedName name="CENTERING" localSheetId="8">#REF!</definedName>
    <definedName name="CENTERING" localSheetId="10">#REF!</definedName>
    <definedName name="CENTERING">#REF!</definedName>
    <definedName name="ceramic">[1]Spec!$B$17</definedName>
    <definedName name="Civil_Data" localSheetId="5">#REF!</definedName>
    <definedName name="Civil_Data" localSheetId="31">#REF!</definedName>
    <definedName name="Civil_Data" localSheetId="2">#REF!</definedName>
    <definedName name="Civil_Data" localSheetId="1">#REF!</definedName>
    <definedName name="Civil_Data" localSheetId="13">#REF!</definedName>
    <definedName name="Civil_Data" localSheetId="9">#REF!</definedName>
    <definedName name="Civil_Data" localSheetId="20">#REF!</definedName>
    <definedName name="Civil_Data" localSheetId="12">#REF!</definedName>
    <definedName name="Civil_Data" localSheetId="8">#REF!</definedName>
    <definedName name="Civil_Data" localSheetId="10">#REF!</definedName>
    <definedName name="Civil_Data">#REF!</definedName>
    <definedName name="Conc14">[1]Spec!$B$6</definedName>
    <definedName name="Concrete" localSheetId="5">#REF!</definedName>
    <definedName name="Concrete" localSheetId="31">#REF!</definedName>
    <definedName name="Concrete" localSheetId="2">#REF!</definedName>
    <definedName name="Concrete" localSheetId="1">#REF!</definedName>
    <definedName name="Concrete" localSheetId="13">#REF!</definedName>
    <definedName name="Concrete" localSheetId="9">#REF!</definedName>
    <definedName name="Concrete" localSheetId="20">#REF!</definedName>
    <definedName name="Concrete" localSheetId="12">#REF!</definedName>
    <definedName name="Concrete" localSheetId="8">#REF!</definedName>
    <definedName name="Concrete" localSheetId="10">#REF!</definedName>
    <definedName name="Concrete">#REF!</definedName>
    <definedName name="Concrete_11" localSheetId="5">#REF!</definedName>
    <definedName name="Concrete_11" localSheetId="31">#REF!</definedName>
    <definedName name="Concrete_11" localSheetId="2">#REF!</definedName>
    <definedName name="Concrete_11" localSheetId="1">#REF!</definedName>
    <definedName name="Concrete_11" localSheetId="13">#REF!</definedName>
    <definedName name="Concrete_11" localSheetId="9">#REF!</definedName>
    <definedName name="Concrete_11" localSheetId="20">#REF!</definedName>
    <definedName name="Concrete_11" localSheetId="12">#REF!</definedName>
    <definedName name="Concrete_11" localSheetId="8">#REF!</definedName>
    <definedName name="Concrete_11" localSheetId="10">#REF!</definedName>
    <definedName name="Concrete_11">#REF!</definedName>
    <definedName name="Concrete_3" localSheetId="5">#REF!</definedName>
    <definedName name="Concrete_3" localSheetId="31">#REF!</definedName>
    <definedName name="Concrete_3" localSheetId="2">#REF!</definedName>
    <definedName name="Concrete_3" localSheetId="1">#REF!</definedName>
    <definedName name="Concrete_3" localSheetId="13">#REF!</definedName>
    <definedName name="Concrete_3" localSheetId="9">#REF!</definedName>
    <definedName name="Concrete_3" localSheetId="20">#REF!</definedName>
    <definedName name="Concrete_3" localSheetId="12">#REF!</definedName>
    <definedName name="Concrete_3" localSheetId="8">#REF!</definedName>
    <definedName name="Concrete_3" localSheetId="10">#REF!</definedName>
    <definedName name="Concrete_3">#REF!</definedName>
    <definedName name="Concrete_6" localSheetId="5">#REF!</definedName>
    <definedName name="Concrete_6" localSheetId="31">#REF!</definedName>
    <definedName name="Concrete_6" localSheetId="2">#REF!</definedName>
    <definedName name="Concrete_6" localSheetId="1">#REF!</definedName>
    <definedName name="Concrete_6" localSheetId="13">#REF!</definedName>
    <definedName name="Concrete_6" localSheetId="9">#REF!</definedName>
    <definedName name="Concrete_6" localSheetId="20">#REF!</definedName>
    <definedName name="Concrete_6" localSheetId="12">#REF!</definedName>
    <definedName name="Concrete_6" localSheetId="8">#REF!</definedName>
    <definedName name="Concrete_6" localSheetId="10">#REF!</definedName>
    <definedName name="Concrete_6">#REF!</definedName>
    <definedName name="Conveyance_chart" localSheetId="5">#REF!</definedName>
    <definedName name="Conveyance_chart" localSheetId="31">#REF!</definedName>
    <definedName name="Conveyance_chart" localSheetId="2">#REF!</definedName>
    <definedName name="Conveyance_chart" localSheetId="1">#REF!</definedName>
    <definedName name="Conveyance_chart" localSheetId="13">#REF!</definedName>
    <definedName name="Conveyance_chart" localSheetId="9">#REF!</definedName>
    <definedName name="Conveyance_chart" localSheetId="20">#REF!</definedName>
    <definedName name="Conveyance_chart" localSheetId="12">#REF!</definedName>
    <definedName name="Conveyance_chart" localSheetId="8">#REF!</definedName>
    <definedName name="Conveyance_chart" localSheetId="10">#REF!</definedName>
    <definedName name="Conveyance_chart">#REF!</definedName>
    <definedName name="Conveyance_chart_11" localSheetId="5">#REF!</definedName>
    <definedName name="Conveyance_chart_11" localSheetId="31">#REF!</definedName>
    <definedName name="Conveyance_chart_11" localSheetId="2">#REF!</definedName>
    <definedName name="Conveyance_chart_11" localSheetId="1">#REF!</definedName>
    <definedName name="Conveyance_chart_11" localSheetId="13">#REF!</definedName>
    <definedName name="Conveyance_chart_11" localSheetId="9">#REF!</definedName>
    <definedName name="Conveyance_chart_11" localSheetId="20">#REF!</definedName>
    <definedName name="Conveyance_chart_11" localSheetId="12">#REF!</definedName>
    <definedName name="Conveyance_chart_11" localSheetId="8">#REF!</definedName>
    <definedName name="Conveyance_chart_11" localSheetId="10">#REF!</definedName>
    <definedName name="Conveyance_chart_11">#REF!</definedName>
    <definedName name="Conveyance_chart_3" localSheetId="5">#REF!</definedName>
    <definedName name="Conveyance_chart_3" localSheetId="31">#REF!</definedName>
    <definedName name="Conveyance_chart_3" localSheetId="2">#REF!</definedName>
    <definedName name="Conveyance_chart_3" localSheetId="1">#REF!</definedName>
    <definedName name="Conveyance_chart_3" localSheetId="13">#REF!</definedName>
    <definedName name="Conveyance_chart_3" localSheetId="9">#REF!</definedName>
    <definedName name="Conveyance_chart_3" localSheetId="20">#REF!</definedName>
    <definedName name="Conveyance_chart_3" localSheetId="12">#REF!</definedName>
    <definedName name="Conveyance_chart_3" localSheetId="8">#REF!</definedName>
    <definedName name="Conveyance_chart_3" localSheetId="10">#REF!</definedName>
    <definedName name="Conveyance_chart_3">#REF!</definedName>
    <definedName name="Conveyance_chart_6" localSheetId="5">#REF!</definedName>
    <definedName name="Conveyance_chart_6" localSheetId="31">#REF!</definedName>
    <definedName name="Conveyance_chart_6" localSheetId="2">#REF!</definedName>
    <definedName name="Conveyance_chart_6" localSheetId="1">#REF!</definedName>
    <definedName name="Conveyance_chart_6" localSheetId="13">#REF!</definedName>
    <definedName name="Conveyance_chart_6" localSheetId="9">#REF!</definedName>
    <definedName name="Conveyance_chart_6" localSheetId="20">#REF!</definedName>
    <definedName name="Conveyance_chart_6" localSheetId="12">#REF!</definedName>
    <definedName name="Conveyance_chart_6" localSheetId="8">#REF!</definedName>
    <definedName name="Conveyance_chart_6" localSheetId="10">#REF!</definedName>
    <definedName name="Conveyance_chart_6">#REF!</definedName>
    <definedName name="CUDDAPAH_40" localSheetId="31">#REF!</definedName>
    <definedName name="CUDDAPAH_40" localSheetId="2">#REF!</definedName>
    <definedName name="CUDDAPAH_40" localSheetId="1">#REF!</definedName>
    <definedName name="CUDDAPAH_40" localSheetId="13">#REF!</definedName>
    <definedName name="CUDDAPAH_40" localSheetId="9">#REF!</definedName>
    <definedName name="CUDDAPAH_40" localSheetId="20">#REF!</definedName>
    <definedName name="CUDDAPAH_40" localSheetId="12">#REF!</definedName>
    <definedName name="CUDDAPAH_40" localSheetId="8">#REF!</definedName>
    <definedName name="CUDDAPAH_40" localSheetId="10">#REF!</definedName>
    <definedName name="CUDDAPAH_40">#REF!</definedName>
    <definedName name="CW">[1]Spec!$B$23</definedName>
    <definedName name="DADOO_CL.GLZ" localSheetId="31">#REF!</definedName>
    <definedName name="DADOO_CL.GLZ" localSheetId="2">#REF!</definedName>
    <definedName name="DADOO_CL.GLZ" localSheetId="1">#REF!</definedName>
    <definedName name="DADOO_CL.GLZ" localSheetId="13">#REF!</definedName>
    <definedName name="DADOO_CL.GLZ" localSheetId="9">#REF!</definedName>
    <definedName name="DADOO_CL.GLZ" localSheetId="20">#REF!</definedName>
    <definedName name="DADOO_CL.GLZ" localSheetId="12">#REF!</definedName>
    <definedName name="DADOO_CL.GLZ" localSheetId="8">#REF!</definedName>
    <definedName name="DADOO_CL.GLZ" localSheetId="10">#REF!</definedName>
    <definedName name="DADOO_CL.GLZ">#REF!</definedName>
    <definedName name="DADOO_MOSIC" localSheetId="5">#REF!</definedName>
    <definedName name="DADOO_MOSIC" localSheetId="31">#REF!</definedName>
    <definedName name="DADOO_MOSIC" localSheetId="2">#REF!</definedName>
    <definedName name="DADOO_MOSIC" localSheetId="1">#REF!</definedName>
    <definedName name="DADOO_MOSIC" localSheetId="13">#REF!</definedName>
    <definedName name="DADOO_MOSIC" localSheetId="9">#REF!</definedName>
    <definedName name="DADOO_MOSIC" localSheetId="20">#REF!</definedName>
    <definedName name="DADOO_MOSIC" localSheetId="12">#REF!</definedName>
    <definedName name="DADOO_MOSIC" localSheetId="8">#REF!</definedName>
    <definedName name="DADOO_MOSIC" localSheetId="10">#REF!</definedName>
    <definedName name="DADOO_MOSIC">#REF!</definedName>
    <definedName name="DADOO_WT.GLZ" localSheetId="31">#REF!</definedName>
    <definedName name="DADOO_WT.GLZ" localSheetId="2">#REF!</definedName>
    <definedName name="DADOO_WT.GLZ" localSheetId="1">#REF!</definedName>
    <definedName name="DADOO_WT.GLZ" localSheetId="13">#REF!</definedName>
    <definedName name="DADOO_WT.GLZ" localSheetId="9">#REF!</definedName>
    <definedName name="DADOO_WT.GLZ" localSheetId="20">#REF!</definedName>
    <definedName name="DADOO_WT.GLZ" localSheetId="12">#REF!</definedName>
    <definedName name="DADOO_WT.GLZ" localSheetId="8">#REF!</definedName>
    <definedName name="DADOO_WT.GLZ" localSheetId="10">#REF!</definedName>
    <definedName name="DADOO_WT.GLZ">#REF!</definedName>
    <definedName name="dasdffhghkjvz" localSheetId="31">#REF!</definedName>
    <definedName name="dasdffhghkjvz" localSheetId="9">#REF!</definedName>
    <definedName name="dasdffhghkjvz" localSheetId="8">#REF!</definedName>
    <definedName name="dasdffhghkjvz" localSheetId="10">#REF!</definedName>
    <definedName name="dasdffhghkjvz">#REF!</definedName>
    <definedName name="Data_civil" localSheetId="5">#REF!</definedName>
    <definedName name="Data_civil" localSheetId="31">#REF!</definedName>
    <definedName name="Data_civil" localSheetId="2">#REF!</definedName>
    <definedName name="Data_civil" localSheetId="1">#REF!</definedName>
    <definedName name="Data_civil" localSheetId="13">#REF!</definedName>
    <definedName name="Data_civil" localSheetId="9">#REF!</definedName>
    <definedName name="Data_civil" localSheetId="20">#REF!</definedName>
    <definedName name="Data_civil" localSheetId="12">#REF!</definedName>
    <definedName name="Data_civil" localSheetId="8">#REF!</definedName>
    <definedName name="Data_civil" localSheetId="10">#REF!</definedName>
    <definedName name="Data_civil">#REF!</definedName>
    <definedName name="Data_civil_11" localSheetId="5">#REF!</definedName>
    <definedName name="Data_civil_11" localSheetId="31">#REF!</definedName>
    <definedName name="Data_civil_11" localSheetId="2">#REF!</definedName>
    <definedName name="Data_civil_11" localSheetId="1">#REF!</definedName>
    <definedName name="Data_civil_11" localSheetId="13">#REF!</definedName>
    <definedName name="Data_civil_11" localSheetId="9">#REF!</definedName>
    <definedName name="Data_civil_11" localSheetId="20">#REF!</definedName>
    <definedName name="Data_civil_11" localSheetId="12">#REF!</definedName>
    <definedName name="Data_civil_11" localSheetId="8">#REF!</definedName>
    <definedName name="Data_civil_11" localSheetId="10">#REF!</definedName>
    <definedName name="Data_civil_11">#REF!</definedName>
    <definedName name="Data_civil_3" localSheetId="5">#REF!</definedName>
    <definedName name="Data_civil_3" localSheetId="31">#REF!</definedName>
    <definedName name="Data_civil_3" localSheetId="2">#REF!</definedName>
    <definedName name="Data_civil_3" localSheetId="1">#REF!</definedName>
    <definedName name="Data_civil_3" localSheetId="13">#REF!</definedName>
    <definedName name="Data_civil_3" localSheetId="9">#REF!</definedName>
    <definedName name="Data_civil_3" localSheetId="20">#REF!</definedName>
    <definedName name="Data_civil_3" localSheetId="12">#REF!</definedName>
    <definedName name="Data_civil_3" localSheetId="8">#REF!</definedName>
    <definedName name="Data_civil_3" localSheetId="10">#REF!</definedName>
    <definedName name="Data_civil_3">#REF!</definedName>
    <definedName name="Data_civil_6" localSheetId="5">#REF!</definedName>
    <definedName name="Data_civil_6" localSheetId="31">#REF!</definedName>
    <definedName name="Data_civil_6" localSheetId="2">#REF!</definedName>
    <definedName name="Data_civil_6" localSheetId="1">#REF!</definedName>
    <definedName name="Data_civil_6" localSheetId="13">#REF!</definedName>
    <definedName name="Data_civil_6" localSheetId="9">#REF!</definedName>
    <definedName name="Data_civil_6" localSheetId="20">#REF!</definedName>
    <definedName name="Data_civil_6" localSheetId="12">#REF!</definedName>
    <definedName name="Data_civil_6" localSheetId="8">#REF!</definedName>
    <definedName name="Data_civil_6" localSheetId="10">#REF!</definedName>
    <definedName name="Data_civil_6">#REF!</definedName>
    <definedName name="Data_electrical" localSheetId="5">#REF!</definedName>
    <definedName name="Data_electrical" localSheetId="31">#REF!</definedName>
    <definedName name="Data_electrical" localSheetId="2">#REF!</definedName>
    <definedName name="Data_electrical" localSheetId="1">#REF!</definedName>
    <definedName name="Data_electrical" localSheetId="13">#REF!</definedName>
    <definedName name="Data_electrical" localSheetId="9">#REF!</definedName>
    <definedName name="Data_electrical" localSheetId="20">#REF!</definedName>
    <definedName name="Data_electrical" localSheetId="12">#REF!</definedName>
    <definedName name="Data_electrical" localSheetId="8">#REF!</definedName>
    <definedName name="Data_electrical" localSheetId="10">#REF!</definedName>
    <definedName name="Data_electrical">#REF!</definedName>
    <definedName name="Data_electrical_11" localSheetId="5">#REF!</definedName>
    <definedName name="Data_electrical_11" localSheetId="31">#REF!</definedName>
    <definedName name="Data_electrical_11" localSheetId="2">#REF!</definedName>
    <definedName name="Data_electrical_11" localSheetId="1">#REF!</definedName>
    <definedName name="Data_electrical_11" localSheetId="13">#REF!</definedName>
    <definedName name="Data_electrical_11" localSheetId="9">#REF!</definedName>
    <definedName name="Data_electrical_11" localSheetId="20">#REF!</definedName>
    <definedName name="Data_electrical_11" localSheetId="12">#REF!</definedName>
    <definedName name="Data_electrical_11" localSheetId="8">#REF!</definedName>
    <definedName name="Data_electrical_11" localSheetId="10">#REF!</definedName>
    <definedName name="Data_electrical_11">#REF!</definedName>
    <definedName name="Data_electrical_3" localSheetId="5">#REF!</definedName>
    <definedName name="Data_electrical_3" localSheetId="31">#REF!</definedName>
    <definedName name="Data_electrical_3" localSheetId="2">#REF!</definedName>
    <definedName name="Data_electrical_3" localSheetId="1">#REF!</definedName>
    <definedName name="Data_electrical_3" localSheetId="13">#REF!</definedName>
    <definedName name="Data_electrical_3" localSheetId="9">#REF!</definedName>
    <definedName name="Data_electrical_3" localSheetId="20">#REF!</definedName>
    <definedName name="Data_electrical_3" localSheetId="12">#REF!</definedName>
    <definedName name="Data_electrical_3" localSheetId="8">#REF!</definedName>
    <definedName name="Data_electrical_3" localSheetId="10">#REF!</definedName>
    <definedName name="Data_electrical_3">#REF!</definedName>
    <definedName name="Data_electrical_6" localSheetId="5">#REF!</definedName>
    <definedName name="Data_electrical_6" localSheetId="31">#REF!</definedName>
    <definedName name="Data_electrical_6" localSheetId="2">#REF!</definedName>
    <definedName name="Data_electrical_6" localSheetId="1">#REF!</definedName>
    <definedName name="Data_electrical_6" localSheetId="13">#REF!</definedName>
    <definedName name="Data_electrical_6" localSheetId="9">#REF!</definedName>
    <definedName name="Data_electrical_6" localSheetId="20">#REF!</definedName>
    <definedName name="Data_electrical_6" localSheetId="12">#REF!</definedName>
    <definedName name="Data_electrical_6" localSheetId="8">#REF!</definedName>
    <definedName name="Data_electrical_6" localSheetId="10">#REF!</definedName>
    <definedName name="Data_electrical_6">#REF!</definedName>
    <definedName name="Data_for_Civil_work" localSheetId="5">#REF!</definedName>
    <definedName name="Data_for_Civil_work" localSheetId="31">#REF!</definedName>
    <definedName name="Data_for_Civil_work" localSheetId="2">#REF!</definedName>
    <definedName name="Data_for_Civil_work" localSheetId="1">#REF!</definedName>
    <definedName name="Data_for_Civil_work" localSheetId="13">#REF!</definedName>
    <definedName name="Data_for_Civil_work" localSheetId="9">#REF!</definedName>
    <definedName name="Data_for_Civil_work" localSheetId="20">#REF!</definedName>
    <definedName name="Data_for_Civil_work" localSheetId="12">#REF!</definedName>
    <definedName name="Data_for_Civil_work" localSheetId="8">#REF!</definedName>
    <definedName name="Data_for_Civil_work" localSheetId="10">#REF!</definedName>
    <definedName name="Data_for_Civil_work">#REF!</definedName>
    <definedName name="Data_for_Road_Work" localSheetId="5">#REF!</definedName>
    <definedName name="Data_for_Road_Work" localSheetId="31">#REF!</definedName>
    <definedName name="Data_for_Road_Work" localSheetId="2">#REF!</definedName>
    <definedName name="Data_for_Road_Work" localSheetId="1">#REF!</definedName>
    <definedName name="Data_for_Road_Work" localSheetId="13">#REF!</definedName>
    <definedName name="Data_for_Road_Work" localSheetId="9">#REF!</definedName>
    <definedName name="Data_for_Road_Work" localSheetId="20">#REF!</definedName>
    <definedName name="Data_for_Road_Work" localSheetId="12">#REF!</definedName>
    <definedName name="Data_for_Road_Work" localSheetId="8">#REF!</definedName>
    <definedName name="Data_for_Road_Work" localSheetId="10">#REF!</definedName>
    <definedName name="Data_for_Road_Work">#REF!</definedName>
    <definedName name="Data_road" localSheetId="5">#REF!</definedName>
    <definedName name="Data_road" localSheetId="31">#REF!</definedName>
    <definedName name="Data_road" localSheetId="2">#REF!</definedName>
    <definedName name="Data_road" localSheetId="1">#REF!</definedName>
    <definedName name="Data_road" localSheetId="13">#REF!</definedName>
    <definedName name="Data_road" localSheetId="9">#REF!</definedName>
    <definedName name="Data_road" localSheetId="20">#REF!</definedName>
    <definedName name="Data_road" localSheetId="12">#REF!</definedName>
    <definedName name="Data_road" localSheetId="8">#REF!</definedName>
    <definedName name="Data_road" localSheetId="10">#REF!</definedName>
    <definedName name="Data_road">#REF!</definedName>
    <definedName name="Data_road_11" localSheetId="5">#REF!</definedName>
    <definedName name="Data_road_11" localSheetId="31">#REF!</definedName>
    <definedName name="Data_road_11" localSheetId="2">#REF!</definedName>
    <definedName name="Data_road_11" localSheetId="1">#REF!</definedName>
    <definedName name="Data_road_11" localSheetId="13">#REF!</definedName>
    <definedName name="Data_road_11" localSheetId="9">#REF!</definedName>
    <definedName name="Data_road_11" localSheetId="20">#REF!</definedName>
    <definedName name="Data_road_11" localSheetId="12">#REF!</definedName>
    <definedName name="Data_road_11" localSheetId="8">#REF!</definedName>
    <definedName name="Data_road_11" localSheetId="10">#REF!</definedName>
    <definedName name="Data_road_11">#REF!</definedName>
    <definedName name="Data_road_3" localSheetId="5">#REF!</definedName>
    <definedName name="Data_road_3" localSheetId="31">#REF!</definedName>
    <definedName name="Data_road_3" localSheetId="2">#REF!</definedName>
    <definedName name="Data_road_3" localSheetId="1">#REF!</definedName>
    <definedName name="Data_road_3" localSheetId="13">#REF!</definedName>
    <definedName name="Data_road_3" localSheetId="9">#REF!</definedName>
    <definedName name="Data_road_3" localSheetId="20">#REF!</definedName>
    <definedName name="Data_road_3" localSheetId="12">#REF!</definedName>
    <definedName name="Data_road_3" localSheetId="8">#REF!</definedName>
    <definedName name="Data_road_3" localSheetId="10">#REF!</definedName>
    <definedName name="Data_road_3">#REF!</definedName>
    <definedName name="Data_road_6" localSheetId="5">#REF!</definedName>
    <definedName name="Data_road_6" localSheetId="31">#REF!</definedName>
    <definedName name="Data_road_6" localSheetId="2">#REF!</definedName>
    <definedName name="Data_road_6" localSheetId="1">#REF!</definedName>
    <definedName name="Data_road_6" localSheetId="13">#REF!</definedName>
    <definedName name="Data_road_6" localSheetId="9">#REF!</definedName>
    <definedName name="Data_road_6" localSheetId="20">#REF!</definedName>
    <definedName name="Data_road_6" localSheetId="12">#REF!</definedName>
    <definedName name="Data_road_6" localSheetId="8">#REF!</definedName>
    <definedName name="Data_road_6" localSheetId="10">#REF!</definedName>
    <definedName name="Data_road_6">#REF!</definedName>
    <definedName name="Data_sanitary" localSheetId="5">#REF!</definedName>
    <definedName name="Data_sanitary" localSheetId="31">#REF!</definedName>
    <definedName name="Data_sanitary" localSheetId="2">#REF!</definedName>
    <definedName name="Data_sanitary" localSheetId="1">#REF!</definedName>
    <definedName name="Data_sanitary" localSheetId="13">#REF!</definedName>
    <definedName name="Data_sanitary" localSheetId="9">#REF!</definedName>
    <definedName name="Data_sanitary" localSheetId="20">#REF!</definedName>
    <definedName name="Data_sanitary" localSheetId="12">#REF!</definedName>
    <definedName name="Data_sanitary" localSheetId="8">#REF!</definedName>
    <definedName name="Data_sanitary" localSheetId="10">#REF!</definedName>
    <definedName name="Data_sanitary">#REF!</definedName>
    <definedName name="Data_sanitary_11" localSheetId="5">#REF!</definedName>
    <definedName name="Data_sanitary_11" localSheetId="31">#REF!</definedName>
    <definedName name="Data_sanitary_11" localSheetId="2">#REF!</definedName>
    <definedName name="Data_sanitary_11" localSheetId="1">#REF!</definedName>
    <definedName name="Data_sanitary_11" localSheetId="13">#REF!</definedName>
    <definedName name="Data_sanitary_11" localSheetId="9">#REF!</definedName>
    <definedName name="Data_sanitary_11" localSheetId="20">#REF!</definedName>
    <definedName name="Data_sanitary_11" localSheetId="12">#REF!</definedName>
    <definedName name="Data_sanitary_11" localSheetId="8">#REF!</definedName>
    <definedName name="Data_sanitary_11" localSheetId="10">#REF!</definedName>
    <definedName name="Data_sanitary_11">#REF!</definedName>
    <definedName name="Data_sanitary_3" localSheetId="5">#REF!</definedName>
    <definedName name="Data_sanitary_3" localSheetId="31">#REF!</definedName>
    <definedName name="Data_sanitary_3" localSheetId="2">#REF!</definedName>
    <definedName name="Data_sanitary_3" localSheetId="1">#REF!</definedName>
    <definedName name="Data_sanitary_3" localSheetId="13">#REF!</definedName>
    <definedName name="Data_sanitary_3" localSheetId="9">#REF!</definedName>
    <definedName name="Data_sanitary_3" localSheetId="20">#REF!</definedName>
    <definedName name="Data_sanitary_3" localSheetId="12">#REF!</definedName>
    <definedName name="Data_sanitary_3" localSheetId="8">#REF!</definedName>
    <definedName name="Data_sanitary_3" localSheetId="10">#REF!</definedName>
    <definedName name="Data_sanitary_3">#REF!</definedName>
    <definedName name="Data_sanitary_6" localSheetId="5">#REF!</definedName>
    <definedName name="Data_sanitary_6" localSheetId="31">#REF!</definedName>
    <definedName name="Data_sanitary_6" localSheetId="2">#REF!</definedName>
    <definedName name="Data_sanitary_6" localSheetId="1">#REF!</definedName>
    <definedName name="Data_sanitary_6" localSheetId="13">#REF!</definedName>
    <definedName name="Data_sanitary_6" localSheetId="9">#REF!</definedName>
    <definedName name="Data_sanitary_6" localSheetId="20">#REF!</definedName>
    <definedName name="Data_sanitary_6" localSheetId="12">#REF!</definedName>
    <definedName name="Data_sanitary_6" localSheetId="8">#REF!</definedName>
    <definedName name="Data_sanitary_6" localSheetId="10">#REF!</definedName>
    <definedName name="Data_sanitary_6">#REF!</definedName>
    <definedName name="DATA3" localSheetId="5">#REF!</definedName>
    <definedName name="DATA3" localSheetId="31">#REF!</definedName>
    <definedName name="DATA3" localSheetId="2">#REF!</definedName>
    <definedName name="DATA3" localSheetId="1">#REF!</definedName>
    <definedName name="DATA3" localSheetId="13">#REF!</definedName>
    <definedName name="DATA3" localSheetId="9">#REF!</definedName>
    <definedName name="DATA3" localSheetId="20">#REF!</definedName>
    <definedName name="DATA3" localSheetId="12">#REF!</definedName>
    <definedName name="DATA3" localSheetId="8">#REF!</definedName>
    <definedName name="DATA3" localSheetId="10">#REF!</definedName>
    <definedName name="DATA3">#REF!</definedName>
    <definedName name="datas" localSheetId="31">#REF!</definedName>
    <definedName name="datas" localSheetId="9">#REF!</definedName>
    <definedName name="datas" localSheetId="20">#REF!</definedName>
    <definedName name="datas" localSheetId="8">#REF!</definedName>
    <definedName name="datas" localSheetId="10">#REF!</definedName>
    <definedName name="datas">#REF!</definedName>
    <definedName name="ddds" localSheetId="31">#REF!</definedName>
    <definedName name="ddds" localSheetId="9">#REF!</definedName>
    <definedName name="ddds" localSheetId="20">#REF!</definedName>
    <definedName name="ddds" localSheetId="8">#REF!</definedName>
    <definedName name="ddds" localSheetId="10">#REF!</definedName>
    <definedName name="ddds">#REF!</definedName>
    <definedName name="DEEE" localSheetId="31">#REF!</definedName>
    <definedName name="DEEE" localSheetId="9">#REF!</definedName>
    <definedName name="DEEE" localSheetId="20">#REF!</definedName>
    <definedName name="DEEE" localSheetId="8">#REF!</definedName>
    <definedName name="DEEE" localSheetId="10">#REF!</definedName>
    <definedName name="DEEE">#REF!</definedName>
    <definedName name="der" localSheetId="5">#REF!</definedName>
    <definedName name="der" localSheetId="31">#REF!</definedName>
    <definedName name="der" localSheetId="2">#REF!</definedName>
    <definedName name="der" localSheetId="1">#REF!</definedName>
    <definedName name="der" localSheetId="13">#REF!</definedName>
    <definedName name="der" localSheetId="9">#REF!</definedName>
    <definedName name="der" localSheetId="20">#REF!</definedName>
    <definedName name="der" localSheetId="12">#REF!</definedName>
    <definedName name="der" localSheetId="8">#REF!</definedName>
    <definedName name="der" localSheetId="10">#REF!</definedName>
    <definedName name="der">#REF!</definedName>
    <definedName name="detail1" localSheetId="31">#REF!</definedName>
    <definedName name="detail1" localSheetId="9">#REF!</definedName>
    <definedName name="detail1" localSheetId="20">#REF!</definedName>
    <definedName name="detail1" localSheetId="8">#REF!</definedName>
    <definedName name="detail1" localSheetId="10">#REF!</definedName>
    <definedName name="detail1">#REF!</definedName>
    <definedName name="details" localSheetId="31">#REF!</definedName>
    <definedName name="details" localSheetId="9">#REF!</definedName>
    <definedName name="details" localSheetId="20">#REF!</definedName>
    <definedName name="details" localSheetId="8">#REF!</definedName>
    <definedName name="details" localSheetId="10">#REF!</definedName>
    <definedName name="details">#REF!</definedName>
    <definedName name="Dev_Name" localSheetId="5">#REF!</definedName>
    <definedName name="Dev_Name" localSheetId="31">#REF!</definedName>
    <definedName name="Dev_Name" localSheetId="2">#REF!</definedName>
    <definedName name="Dev_Name" localSheetId="1">#REF!</definedName>
    <definedName name="Dev_Name" localSheetId="13">#REF!</definedName>
    <definedName name="Dev_Name" localSheetId="9">#REF!</definedName>
    <definedName name="Dev_Name" localSheetId="20">#REF!</definedName>
    <definedName name="Dev_Name" localSheetId="12">#REF!</definedName>
    <definedName name="Dev_Name" localSheetId="8">#REF!</definedName>
    <definedName name="Dev_Name" localSheetId="10">#REF!</definedName>
    <definedName name="Dev_Name">#REF!</definedName>
    <definedName name="Dev_Road_Name" localSheetId="5">#REF!,#REF!</definedName>
    <definedName name="Dev_Road_Name" localSheetId="31">#REF!,#REF!</definedName>
    <definedName name="Dev_Road_Name" localSheetId="2">#REF!,#REF!</definedName>
    <definedName name="Dev_Road_Name" localSheetId="1">#REF!,#REF!</definedName>
    <definedName name="Dev_Road_Name" localSheetId="13">#REF!,#REF!</definedName>
    <definedName name="Dev_Road_Name" localSheetId="9">#REF!,#REF!</definedName>
    <definedName name="Dev_Road_Name" localSheetId="20">#REF!,#REF!</definedName>
    <definedName name="Dev_Road_Name" localSheetId="12">#REF!,#REF!</definedName>
    <definedName name="Dev_Road_Name" localSheetId="8">#REF!,#REF!</definedName>
    <definedName name="Dev_Road_Name" localSheetId="10">#REF!,#REF!</definedName>
    <definedName name="Dev_Road_Name">#REF!,#REF!</definedName>
    <definedName name="df" localSheetId="5">#REF!</definedName>
    <definedName name="df" localSheetId="31">#REF!</definedName>
    <definedName name="df" localSheetId="2">#REF!</definedName>
    <definedName name="df" localSheetId="1">#REF!</definedName>
    <definedName name="df" localSheetId="13">#REF!</definedName>
    <definedName name="df" localSheetId="9">#REF!</definedName>
    <definedName name="df" localSheetId="20">#REF!</definedName>
    <definedName name="df" localSheetId="12">#REF!</definedName>
    <definedName name="df" localSheetId="8">#REF!</definedName>
    <definedName name="df" localSheetId="10">#REF!</definedName>
    <definedName name="df">#REF!</definedName>
    <definedName name="dfe" localSheetId="5">#REF!</definedName>
    <definedName name="dfe" localSheetId="31">#REF!</definedName>
    <definedName name="dfe" localSheetId="2">#REF!</definedName>
    <definedName name="dfe" localSheetId="1">#REF!</definedName>
    <definedName name="dfe" localSheetId="13">#REF!</definedName>
    <definedName name="dfe" localSheetId="9">#REF!</definedName>
    <definedName name="dfe" localSheetId="20">#REF!</definedName>
    <definedName name="dfe" localSheetId="12">#REF!</definedName>
    <definedName name="dfe" localSheetId="8">#REF!</definedName>
    <definedName name="dfe" localSheetId="10">#REF!</definedName>
    <definedName name="dfe">#REF!</definedName>
    <definedName name="Distember" localSheetId="31">#REF!</definedName>
    <definedName name="Distember" localSheetId="2">#REF!</definedName>
    <definedName name="Distember" localSheetId="1">#REF!</definedName>
    <definedName name="Distember" localSheetId="13">#REF!</definedName>
    <definedName name="Distember" localSheetId="9">#REF!</definedName>
    <definedName name="Distember" localSheetId="20">#REF!</definedName>
    <definedName name="Distember" localSheetId="12">#REF!</definedName>
    <definedName name="Distember" localSheetId="8">#REF!</definedName>
    <definedName name="Distember" localSheetId="10">#REF!</definedName>
    <definedName name="Distember">#REF!</definedName>
    <definedName name="Door" localSheetId="5">[4]Data!#REF!</definedName>
    <definedName name="Door" localSheetId="31">[4]Data!#REF!</definedName>
    <definedName name="Door" localSheetId="2">[4]Data!#REF!</definedName>
    <definedName name="Door" localSheetId="1">[4]Data!#REF!</definedName>
    <definedName name="Door" localSheetId="13">[4]Data!#REF!</definedName>
    <definedName name="Door" localSheetId="9">[4]Data!#REF!</definedName>
    <definedName name="Door" localSheetId="20">[4]Data!#REF!</definedName>
    <definedName name="Door" localSheetId="12">[4]Data!#REF!</definedName>
    <definedName name="Door" localSheetId="8">[4]Data!#REF!</definedName>
    <definedName name="Door" localSheetId="10">[4]Data!#REF!</definedName>
    <definedName name="Door">[4]Data!#REF!</definedName>
    <definedName name="Door_11" localSheetId="5">#REF!</definedName>
    <definedName name="Door_11" localSheetId="31">#REF!</definedName>
    <definedName name="Door_11" localSheetId="2">#REF!</definedName>
    <definedName name="Door_11" localSheetId="1">#REF!</definedName>
    <definedName name="Door_11" localSheetId="13">#REF!</definedName>
    <definedName name="Door_11" localSheetId="9">#REF!</definedName>
    <definedName name="Door_11" localSheetId="20">#REF!</definedName>
    <definedName name="Door_11" localSheetId="12">#REF!</definedName>
    <definedName name="Door_11" localSheetId="8">#REF!</definedName>
    <definedName name="Door_11" localSheetId="10">#REF!</definedName>
    <definedName name="Door_11">#REF!</definedName>
    <definedName name="Door_3" localSheetId="5">#REF!</definedName>
    <definedName name="Door_3" localSheetId="31">#REF!</definedName>
    <definedName name="Door_3" localSheetId="2">#REF!</definedName>
    <definedName name="Door_3" localSheetId="1">#REF!</definedName>
    <definedName name="Door_3" localSheetId="13">#REF!</definedName>
    <definedName name="Door_3" localSheetId="9">#REF!</definedName>
    <definedName name="Door_3" localSheetId="20">#REF!</definedName>
    <definedName name="Door_3" localSheetId="12">#REF!</definedName>
    <definedName name="Door_3" localSheetId="8">#REF!</definedName>
    <definedName name="Door_3" localSheetId="10">#REF!</definedName>
    <definedName name="Door_3">#REF!</definedName>
    <definedName name="Door_6" localSheetId="5">#REF!</definedName>
    <definedName name="Door_6" localSheetId="31">#REF!</definedName>
    <definedName name="Door_6" localSheetId="2">#REF!</definedName>
    <definedName name="Door_6" localSheetId="1">#REF!</definedName>
    <definedName name="Door_6" localSheetId="13">#REF!</definedName>
    <definedName name="Door_6" localSheetId="9">#REF!</definedName>
    <definedName name="Door_6" localSheetId="20">#REF!</definedName>
    <definedName name="Door_6" localSheetId="12">#REF!</definedName>
    <definedName name="Door_6" localSheetId="8">#REF!</definedName>
    <definedName name="Door_6" localSheetId="10">#REF!</definedName>
    <definedName name="Door_6">#REF!</definedName>
    <definedName name="Door_7" localSheetId="5">[4]Data!#REF!</definedName>
    <definedName name="Door_7" localSheetId="31">[4]Data!#REF!</definedName>
    <definedName name="Door_7" localSheetId="2">[4]Data!#REF!</definedName>
    <definedName name="Door_7" localSheetId="1">[4]Data!#REF!</definedName>
    <definedName name="Door_7" localSheetId="13">[4]Data!#REF!</definedName>
    <definedName name="Door_7" localSheetId="9">[4]Data!#REF!</definedName>
    <definedName name="Door_7" localSheetId="20">[4]Data!#REF!</definedName>
    <definedName name="Door_7" localSheetId="12">[4]Data!#REF!</definedName>
    <definedName name="Door_7" localSheetId="8">[4]Data!#REF!</definedName>
    <definedName name="Door_7" localSheetId="10">[4]Data!#REF!</definedName>
    <definedName name="Door_7">[4]Data!#REF!</definedName>
    <definedName name="Door_8" localSheetId="5">[4]Data!#REF!</definedName>
    <definedName name="Door_8" localSheetId="31">[4]Data!#REF!</definedName>
    <definedName name="Door_8" localSheetId="2">[4]Data!#REF!</definedName>
    <definedName name="Door_8" localSheetId="1">[4]Data!#REF!</definedName>
    <definedName name="Door_8" localSheetId="13">[4]Data!#REF!</definedName>
    <definedName name="Door_8" localSheetId="9">[4]Data!#REF!</definedName>
    <definedName name="Door_8" localSheetId="20">[4]Data!#REF!</definedName>
    <definedName name="Door_8" localSheetId="12">[4]Data!#REF!</definedName>
    <definedName name="Door_8" localSheetId="8">[4]Data!#REF!</definedName>
    <definedName name="Door_8" localSheetId="10">[4]Data!#REF!</definedName>
    <definedName name="Door_8">[4]Data!#REF!</definedName>
    <definedName name="Door_Window" localSheetId="5">#REF!</definedName>
    <definedName name="Door_Window" localSheetId="31">#REF!</definedName>
    <definedName name="Door_Window" localSheetId="2">#REF!</definedName>
    <definedName name="Door_Window" localSheetId="1">#REF!</definedName>
    <definedName name="Door_Window" localSheetId="13">#REF!</definedName>
    <definedName name="Door_Window" localSheetId="9">#REF!</definedName>
    <definedName name="Door_Window" localSheetId="20">#REF!</definedName>
    <definedName name="Door_Window" localSheetId="12">#REF!</definedName>
    <definedName name="Door_Window" localSheetId="8">#REF!</definedName>
    <definedName name="Door_Window" localSheetId="10">#REF!</definedName>
    <definedName name="Door_Window">#REF!</definedName>
    <definedName name="Door_Window_11" localSheetId="5">#REF!</definedName>
    <definedName name="Door_Window_11" localSheetId="31">#REF!</definedName>
    <definedName name="Door_Window_11" localSheetId="2">#REF!</definedName>
    <definedName name="Door_Window_11" localSheetId="1">#REF!</definedName>
    <definedName name="Door_Window_11" localSheetId="13">#REF!</definedName>
    <definedName name="Door_Window_11" localSheetId="9">#REF!</definedName>
    <definedName name="Door_Window_11" localSheetId="20">#REF!</definedName>
    <definedName name="Door_Window_11" localSheetId="12">#REF!</definedName>
    <definedName name="Door_Window_11" localSheetId="8">#REF!</definedName>
    <definedName name="Door_Window_11" localSheetId="10">#REF!</definedName>
    <definedName name="Door_Window_11">#REF!</definedName>
    <definedName name="Door_Window_3" localSheetId="5">#REF!</definedName>
    <definedName name="Door_Window_3" localSheetId="31">#REF!</definedName>
    <definedName name="Door_Window_3" localSheetId="2">#REF!</definedName>
    <definedName name="Door_Window_3" localSheetId="1">#REF!</definedName>
    <definedName name="Door_Window_3" localSheetId="13">#REF!</definedName>
    <definedName name="Door_Window_3" localSheetId="9">#REF!</definedName>
    <definedName name="Door_Window_3" localSheetId="20">#REF!</definedName>
    <definedName name="Door_Window_3" localSheetId="12">#REF!</definedName>
    <definedName name="Door_Window_3" localSheetId="8">#REF!</definedName>
    <definedName name="Door_Window_3" localSheetId="10">#REF!</definedName>
    <definedName name="Door_Window_3">#REF!</definedName>
    <definedName name="Door_Window_6" localSheetId="5">#REF!</definedName>
    <definedName name="Door_Window_6" localSheetId="31">#REF!</definedName>
    <definedName name="Door_Window_6" localSheetId="2">#REF!</definedName>
    <definedName name="Door_Window_6" localSheetId="1">#REF!</definedName>
    <definedName name="Door_Window_6" localSheetId="13">#REF!</definedName>
    <definedName name="Door_Window_6" localSheetId="9">#REF!</definedName>
    <definedName name="Door_Window_6" localSheetId="20">#REF!</definedName>
    <definedName name="Door_Window_6" localSheetId="12">#REF!</definedName>
    <definedName name="Door_Window_6" localSheetId="8">#REF!</definedName>
    <definedName name="Door_Window_6" localSheetId="10">#REF!</definedName>
    <definedName name="Door_Window_6">#REF!</definedName>
    <definedName name="dsfd" localSheetId="31">#REF!</definedName>
    <definedName name="dsfd" localSheetId="9">#REF!</definedName>
    <definedName name="dsfd" localSheetId="20">#REF!</definedName>
    <definedName name="dsfd" localSheetId="8">#REF!</definedName>
    <definedName name="dsfd" localSheetId="29">#REF!</definedName>
    <definedName name="dsfd" localSheetId="10">#REF!</definedName>
    <definedName name="dsfd">#REF!</definedName>
    <definedName name="dsm" localSheetId="31">#REF!</definedName>
    <definedName name="dsm" localSheetId="9">#REF!</definedName>
    <definedName name="dsm" localSheetId="20">#REF!</definedName>
    <definedName name="dsm" localSheetId="8">#REF!</definedName>
    <definedName name="dsm" localSheetId="10">#REF!</definedName>
    <definedName name="dsm">#REF!</definedName>
    <definedName name="dsw" localSheetId="8">#REF!</definedName>
    <definedName name="dsw">#REF!</definedName>
    <definedName name="E" localSheetId="5">#REF!</definedName>
    <definedName name="E" localSheetId="31">#REF!</definedName>
    <definedName name="E" localSheetId="2">#REF!</definedName>
    <definedName name="E" localSheetId="1">#REF!</definedName>
    <definedName name="e" localSheetId="30">#REF!</definedName>
    <definedName name="E" localSheetId="13">#REF!</definedName>
    <definedName name="E" localSheetId="9">#REF!</definedName>
    <definedName name="E" localSheetId="20">#REF!</definedName>
    <definedName name="E" localSheetId="12">#REF!</definedName>
    <definedName name="E" localSheetId="8">#REF!</definedName>
    <definedName name="E" localSheetId="10">#REF!</definedName>
    <definedName name="E">#REF!</definedName>
    <definedName name="EARTH_FILL" localSheetId="31">#REF!</definedName>
    <definedName name="EARTH_FILL" localSheetId="2">#REF!</definedName>
    <definedName name="EARTH_FILL" localSheetId="1">#REF!</definedName>
    <definedName name="EARTH_FILL" localSheetId="13">#REF!</definedName>
    <definedName name="EARTH_FILL" localSheetId="9">#REF!</definedName>
    <definedName name="EARTH_FILL" localSheetId="20">#REF!</definedName>
    <definedName name="EARTH_FILL" localSheetId="12">#REF!</definedName>
    <definedName name="EARTH_FILL" localSheetId="8">#REF!</definedName>
    <definedName name="EARTH_FILL" localSheetId="10">#REF!</definedName>
    <definedName name="EARTH_FILL">#REF!</definedName>
    <definedName name="Earth_work_sand" localSheetId="5">#REF!</definedName>
    <definedName name="Earth_work_sand" localSheetId="31">#REF!</definedName>
    <definedName name="Earth_work_sand" localSheetId="2">#REF!</definedName>
    <definedName name="Earth_work_sand" localSheetId="1">#REF!</definedName>
    <definedName name="Earth_work_sand" localSheetId="13">#REF!</definedName>
    <definedName name="Earth_work_sand" localSheetId="9">#REF!</definedName>
    <definedName name="Earth_work_sand" localSheetId="20">#REF!</definedName>
    <definedName name="Earth_work_sand" localSheetId="12">#REF!</definedName>
    <definedName name="Earth_work_sand" localSheetId="8">#REF!</definedName>
    <definedName name="Earth_work_sand" localSheetId="10">#REF!</definedName>
    <definedName name="Earth_work_sand">#REF!</definedName>
    <definedName name="Earth_work_sand_11" localSheetId="5">#REF!</definedName>
    <definedName name="Earth_work_sand_11" localSheetId="31">#REF!</definedName>
    <definedName name="Earth_work_sand_11" localSheetId="2">#REF!</definedName>
    <definedName name="Earth_work_sand_11" localSheetId="1">#REF!</definedName>
    <definedName name="Earth_work_sand_11" localSheetId="13">#REF!</definedName>
    <definedName name="Earth_work_sand_11" localSheetId="9">#REF!</definedName>
    <definedName name="Earth_work_sand_11" localSheetId="20">#REF!</definedName>
    <definedName name="Earth_work_sand_11" localSheetId="12">#REF!</definedName>
    <definedName name="Earth_work_sand_11" localSheetId="8">#REF!</definedName>
    <definedName name="Earth_work_sand_11" localSheetId="10">#REF!</definedName>
    <definedName name="Earth_work_sand_11">#REF!</definedName>
    <definedName name="Earth_work_sand_3" localSheetId="5">#REF!</definedName>
    <definedName name="Earth_work_sand_3" localSheetId="31">#REF!</definedName>
    <definedName name="Earth_work_sand_3" localSheetId="2">#REF!</definedName>
    <definedName name="Earth_work_sand_3" localSheetId="1">#REF!</definedName>
    <definedName name="Earth_work_sand_3" localSheetId="13">#REF!</definedName>
    <definedName name="Earth_work_sand_3" localSheetId="9">#REF!</definedName>
    <definedName name="Earth_work_sand_3" localSheetId="20">#REF!</definedName>
    <definedName name="Earth_work_sand_3" localSheetId="12">#REF!</definedName>
    <definedName name="Earth_work_sand_3" localSheetId="8">#REF!</definedName>
    <definedName name="Earth_work_sand_3" localSheetId="10">#REF!</definedName>
    <definedName name="Earth_work_sand_3">#REF!</definedName>
    <definedName name="Earth_work_sand_6" localSheetId="5">#REF!</definedName>
    <definedName name="Earth_work_sand_6" localSheetId="31">#REF!</definedName>
    <definedName name="Earth_work_sand_6" localSheetId="2">#REF!</definedName>
    <definedName name="Earth_work_sand_6" localSheetId="1">#REF!</definedName>
    <definedName name="Earth_work_sand_6" localSheetId="13">#REF!</definedName>
    <definedName name="Earth_work_sand_6" localSheetId="9">#REF!</definedName>
    <definedName name="Earth_work_sand_6" localSheetId="20">#REF!</definedName>
    <definedName name="Earth_work_sand_6" localSheetId="12">#REF!</definedName>
    <definedName name="Earth_work_sand_6" localSheetId="8">#REF!</definedName>
    <definedName name="Earth_work_sand_6" localSheetId="10">#REF!</definedName>
    <definedName name="Earth_work_sand_6">#REF!</definedName>
    <definedName name="edddddd" localSheetId="2">#REF!</definedName>
    <definedName name="edddddd" localSheetId="1">#REF!</definedName>
    <definedName name="edddddd">#REF!</definedName>
    <definedName name="edf" localSheetId="31">#REF!</definedName>
    <definedName name="edf" localSheetId="9">#REF!</definedName>
    <definedName name="edf" localSheetId="20">#REF!</definedName>
    <definedName name="edf" localSheetId="8">#REF!</definedName>
    <definedName name="edf" localSheetId="10">#REF!</definedName>
    <definedName name="edf">#REF!</definedName>
    <definedName name="electri" localSheetId="31">#REF!</definedName>
    <definedName name="electri" localSheetId="19">#REF!</definedName>
    <definedName name="electri" localSheetId="2">#REF!</definedName>
    <definedName name="electri" localSheetId="1">#REF!</definedName>
    <definedName name="electri" localSheetId="13">#REF!</definedName>
    <definedName name="electri" localSheetId="11">#REF!</definedName>
    <definedName name="electri" localSheetId="9">#REF!</definedName>
    <definedName name="electri" localSheetId="0">#REF!</definedName>
    <definedName name="electri" localSheetId="12">#REF!</definedName>
    <definedName name="electri" localSheetId="18">#REF!</definedName>
    <definedName name="electri" localSheetId="8">#REF!</definedName>
    <definedName name="electri" localSheetId="29">#REF!</definedName>
    <definedName name="electri" localSheetId="21">#REF!</definedName>
    <definedName name="electri" localSheetId="26">#REF!</definedName>
    <definedName name="electri" localSheetId="10">#REF!</definedName>
    <definedName name="electri" localSheetId="27">#REF!</definedName>
    <definedName name="electri">#REF!</definedName>
    <definedName name="er" localSheetId="5">#REF!</definedName>
    <definedName name="er" localSheetId="31">#REF!</definedName>
    <definedName name="er" localSheetId="2">#REF!</definedName>
    <definedName name="er" localSheetId="1">#REF!</definedName>
    <definedName name="er" localSheetId="13">#REF!</definedName>
    <definedName name="er" localSheetId="9">#REF!</definedName>
    <definedName name="er" localSheetId="20">#REF!</definedName>
    <definedName name="er" localSheetId="12">#REF!</definedName>
    <definedName name="er" localSheetId="8">#REF!</definedName>
    <definedName name="er" localSheetId="10">#REF!</definedName>
    <definedName name="er">#REF!</definedName>
    <definedName name="erfesfdsrfd" localSheetId="8">#REF!</definedName>
    <definedName name="erfesfdsrfd">#REF!</definedName>
    <definedName name="ert" localSheetId="5">#REF!</definedName>
    <definedName name="ert" localSheetId="31">#REF!</definedName>
    <definedName name="ert" localSheetId="2">#REF!</definedName>
    <definedName name="ert" localSheetId="1">#REF!</definedName>
    <definedName name="ert" localSheetId="13">#REF!</definedName>
    <definedName name="ert" localSheetId="9">#REF!</definedName>
    <definedName name="ert" localSheetId="20">#REF!</definedName>
    <definedName name="ert" localSheetId="12">#REF!</definedName>
    <definedName name="ert" localSheetId="8">#REF!</definedName>
    <definedName name="ert" localSheetId="10">#REF!</definedName>
    <definedName name="ert">#REF!</definedName>
    <definedName name="es" localSheetId="31">#REF!</definedName>
    <definedName name="es" localSheetId="9">#REF!</definedName>
    <definedName name="es" localSheetId="8">#REF!</definedName>
    <definedName name="es" localSheetId="10">#REF!</definedName>
    <definedName name="es">#REF!</definedName>
    <definedName name="EW">[1]Spec!$B$5</definedName>
    <definedName name="EWQ" localSheetId="31">#REF!</definedName>
    <definedName name="EWQ" localSheetId="9">#REF!</definedName>
    <definedName name="EWQ" localSheetId="8">#REF!</definedName>
    <definedName name="EWQ" localSheetId="10">#REF!</definedName>
    <definedName name="EWQ">#REF!</definedName>
    <definedName name="ewr" localSheetId="5">[4]Data!#REF!</definedName>
    <definedName name="ewr" localSheetId="31">[4]Data!#REF!</definedName>
    <definedName name="ewr" localSheetId="9">[4]Data!#REF!</definedName>
    <definedName name="ewr" localSheetId="20">[4]Data!#REF!</definedName>
    <definedName name="ewr" localSheetId="12">[4]Data!#REF!</definedName>
    <definedName name="ewr" localSheetId="8">[4]Data!#REF!</definedName>
    <definedName name="ewr" localSheetId="10">[4]Data!#REF!</definedName>
    <definedName name="ewr">[4]Data!#REF!</definedName>
    <definedName name="Excel_BuiltIn__FilterDatabase_6" localSheetId="5">[5]Abstract!#REF!</definedName>
    <definedName name="Excel_BuiltIn__FilterDatabase_6" localSheetId="31">[5]Abstract!#REF!</definedName>
    <definedName name="Excel_BuiltIn__FilterDatabase_6" localSheetId="9">[5]Abstract!#REF!</definedName>
    <definedName name="Excel_BuiltIn__FilterDatabase_6" localSheetId="20">[5]Abstract!#REF!</definedName>
    <definedName name="Excel_BuiltIn__FilterDatabase_6" localSheetId="8">[5]Abstract!#REF!</definedName>
    <definedName name="Excel_BuiltIn__FilterDatabase_6" localSheetId="10">[5]Abstract!#REF!</definedName>
    <definedName name="Excel_BuiltIn__FilterDatabase_6">[5]Abstract!#REF!</definedName>
    <definedName name="Excel_BuiltIn_Print_Area" localSheetId="5">#REF!</definedName>
    <definedName name="Excel_BuiltIn_Print_Area" localSheetId="31">#REF!</definedName>
    <definedName name="Excel_BuiltIn_Print_Area" localSheetId="2">#REF!</definedName>
    <definedName name="Excel_BuiltIn_Print_Area" localSheetId="1">#REF!</definedName>
    <definedName name="Excel_BuiltIn_Print_Area" localSheetId="13">#REF!</definedName>
    <definedName name="Excel_BuiltIn_Print_Area" localSheetId="9">#REF!</definedName>
    <definedName name="Excel_BuiltIn_Print_Area" localSheetId="20">#REF!</definedName>
    <definedName name="Excel_BuiltIn_Print_Area" localSheetId="12">#REF!</definedName>
    <definedName name="Excel_BuiltIn_Print_Area" localSheetId="8">#REF!</definedName>
    <definedName name="Excel_BuiltIn_Print_Area" localSheetId="10">#REF!</definedName>
    <definedName name="Excel_BuiltIn_Print_Area">#REF!</definedName>
    <definedName name="Excel_BuiltIn_Print_Titles" localSheetId="5">#REF!</definedName>
    <definedName name="Excel_BuiltIn_Print_Titles" localSheetId="31">#REF!</definedName>
    <definedName name="Excel_BuiltIn_Print_Titles" localSheetId="2">#REF!</definedName>
    <definedName name="Excel_BuiltIn_Print_Titles" localSheetId="1">#REF!</definedName>
    <definedName name="Excel_BuiltIn_Print_Titles" localSheetId="13">#REF!</definedName>
    <definedName name="Excel_BuiltIn_Print_Titles" localSheetId="9">#REF!</definedName>
    <definedName name="Excel_BuiltIn_Print_Titles" localSheetId="20">#REF!</definedName>
    <definedName name="Excel_BuiltIn_Print_Titles" localSheetId="12">#REF!</definedName>
    <definedName name="Excel_BuiltIn_Print_Titles" localSheetId="8">#REF!</definedName>
    <definedName name="Excel_BuiltIn_Print_Titles" localSheetId="10">#REF!</definedName>
    <definedName name="Excel_BuiltIn_Print_Titles">#REF!</definedName>
    <definedName name="Excel_BuiltIn_Print_Titles_3" localSheetId="5">#REF!</definedName>
    <definedName name="Excel_BuiltIn_Print_Titles_3" localSheetId="31">#REF!</definedName>
    <definedName name="Excel_BuiltIn_Print_Titles_3" localSheetId="2">#REF!</definedName>
    <definedName name="Excel_BuiltIn_Print_Titles_3" localSheetId="1">#REF!</definedName>
    <definedName name="Excel_BuiltIn_Print_Titles_3" localSheetId="13">#REF!</definedName>
    <definedName name="Excel_BuiltIn_Print_Titles_3" localSheetId="9">#REF!</definedName>
    <definedName name="Excel_BuiltIn_Print_Titles_3" localSheetId="20">#REF!</definedName>
    <definedName name="Excel_BuiltIn_Print_Titles_3" localSheetId="12">#REF!</definedName>
    <definedName name="Excel_BuiltIn_Print_Titles_3" localSheetId="8">#REF!</definedName>
    <definedName name="Excel_BuiltIn_Print_Titles_3" localSheetId="10">#REF!</definedName>
    <definedName name="Excel_BuiltIn_Print_Titles_3">#REF!</definedName>
    <definedName name="Excel_BuiltIn_Print_Titles_4" localSheetId="5">#REF!</definedName>
    <definedName name="Excel_BuiltIn_Print_Titles_4" localSheetId="31">#REF!</definedName>
    <definedName name="Excel_BuiltIn_Print_Titles_4" localSheetId="2">#REF!</definedName>
    <definedName name="Excel_BuiltIn_Print_Titles_4" localSheetId="1">#REF!</definedName>
    <definedName name="Excel_BuiltIn_Print_Titles_4" localSheetId="13">#REF!</definedName>
    <definedName name="Excel_BuiltIn_Print_Titles_4" localSheetId="9">#REF!</definedName>
    <definedName name="Excel_BuiltIn_Print_Titles_4" localSheetId="20">#REF!</definedName>
    <definedName name="Excel_BuiltIn_Print_Titles_4" localSheetId="12">#REF!</definedName>
    <definedName name="Excel_BuiltIn_Print_Titles_4" localSheetId="8">#REF!</definedName>
    <definedName name="Excel_BuiltIn_Print_Titles_4" localSheetId="10">#REF!</definedName>
    <definedName name="Excel_BuiltIn_Print_Titles_4">#REF!</definedName>
    <definedName name="f" localSheetId="31">#REF!</definedName>
    <definedName name="f" localSheetId="9">#REF!</definedName>
    <definedName name="f" localSheetId="20">#REF!</definedName>
    <definedName name="f" localSheetId="8">#REF!</definedName>
    <definedName name="f" localSheetId="10">#REF!</definedName>
    <definedName name="f">#REF!</definedName>
    <definedName name="F.E.W_ALL" localSheetId="31">#REF!</definedName>
    <definedName name="F.E.W_ALL" localSheetId="2">#REF!</definedName>
    <definedName name="F.E.W_ALL" localSheetId="1">#REF!</definedName>
    <definedName name="F.E.W_ALL" localSheetId="13">#REF!</definedName>
    <definedName name="F.E.W_ALL" localSheetId="9">#REF!</definedName>
    <definedName name="F.E.W_ALL" localSheetId="20">#REF!</definedName>
    <definedName name="F.E.W_ALL" localSheetId="12">#REF!</definedName>
    <definedName name="F.E.W_ALL" localSheetId="8">#REF!</definedName>
    <definedName name="F.E.W_ALL" localSheetId="10">#REF!</definedName>
    <definedName name="F.E.W_ALL">#REF!</definedName>
    <definedName name="F.E.W_H.S.CLAY" localSheetId="5">#REF!</definedName>
    <definedName name="F.E.W_H.S.CLAY" localSheetId="31">#REF!</definedName>
    <definedName name="F.E.W_H.S.CLAY" localSheetId="2">#REF!</definedName>
    <definedName name="F.E.W_H.S.CLAY" localSheetId="1">#REF!</definedName>
    <definedName name="F.E.W_H.S.CLAY" localSheetId="13">#REF!</definedName>
    <definedName name="F.E.W_H.S.CLAY" localSheetId="9">#REF!</definedName>
    <definedName name="F.E.W_H.S.CLAY" localSheetId="20">#REF!</definedName>
    <definedName name="F.E.W_H.S.CLAY" localSheetId="12">#REF!</definedName>
    <definedName name="F.E.W_H.S.CLAY" localSheetId="8">#REF!</definedName>
    <definedName name="F.E.W_H.S.CLAY" localSheetId="10">#REF!</definedName>
    <definedName name="F.E.W_H.S.CLAY">#REF!</definedName>
    <definedName name="F.E.W_S.D.R" localSheetId="5">#REF!</definedName>
    <definedName name="F.E.W_S.D.R" localSheetId="31">#REF!</definedName>
    <definedName name="F.E.W_S.D.R" localSheetId="2">#REF!</definedName>
    <definedName name="F.E.W_S.D.R" localSheetId="1">#REF!</definedName>
    <definedName name="F.E.W_S.D.R" localSheetId="13">#REF!</definedName>
    <definedName name="F.E.W_S.D.R" localSheetId="9">#REF!</definedName>
    <definedName name="F.E.W_S.D.R" localSheetId="20">#REF!</definedName>
    <definedName name="F.E.W_S.D.R" localSheetId="12">#REF!</definedName>
    <definedName name="F.E.W_S.D.R" localSheetId="8">#REF!</definedName>
    <definedName name="F.E.W_S.D.R" localSheetId="10">#REF!</definedName>
    <definedName name="F.E.W_S.D.R">#REF!</definedName>
    <definedName name="F.E.W_SAND" localSheetId="5">#REF!</definedName>
    <definedName name="F.E.W_SAND" localSheetId="31">#REF!</definedName>
    <definedName name="F.E.W_SAND" localSheetId="2">#REF!</definedName>
    <definedName name="F.E.W_SAND" localSheetId="1">#REF!</definedName>
    <definedName name="F.E.W_SAND" localSheetId="13">#REF!</definedName>
    <definedName name="F.E.W_SAND" localSheetId="9">#REF!</definedName>
    <definedName name="F.E.W_SAND" localSheetId="20">#REF!</definedName>
    <definedName name="F.E.W_SAND" localSheetId="12">#REF!</definedName>
    <definedName name="F.E.W_SAND" localSheetId="8">#REF!</definedName>
    <definedName name="F.E.W_SAND" localSheetId="10">#REF!</definedName>
    <definedName name="F.E.W_SAND">#REF!</definedName>
    <definedName name="fede">#REF!</definedName>
    <definedName name="fesfesfefef">#REF!</definedName>
    <definedName name="ff" localSheetId="5">#REF!</definedName>
    <definedName name="ff" localSheetId="31">#REF!</definedName>
    <definedName name="ff" localSheetId="2">#REF!</definedName>
    <definedName name="ff" localSheetId="1">#REF!</definedName>
    <definedName name="ff" localSheetId="13">#REF!</definedName>
    <definedName name="ff" localSheetId="9">#REF!</definedName>
    <definedName name="ff" localSheetId="20">#REF!</definedName>
    <definedName name="ff" localSheetId="12">#REF!</definedName>
    <definedName name="ff" localSheetId="8">#REF!</definedName>
    <definedName name="ff" localSheetId="10">#REF!</definedName>
    <definedName name="ff">#REF!</definedName>
    <definedName name="ffsdhipout7yhuyfyfvtrtdc" localSheetId="31">#REF!</definedName>
    <definedName name="ffsdhipout7yhuyfyfvtrtdc" localSheetId="9">#REF!</definedName>
    <definedName name="ffsdhipout7yhuyfyfvtrtdc" localSheetId="20">#REF!</definedName>
    <definedName name="ffsdhipout7yhuyfyfvtrtdc" localSheetId="8">#REF!</definedName>
    <definedName name="ffsdhipout7yhuyfyfvtrtdc" localSheetId="10">#REF!</definedName>
    <definedName name="ffsdhipout7yhuyfyfvtrtdc">#REF!</definedName>
    <definedName name="fg" localSheetId="31">#REF!</definedName>
    <definedName name="fg" localSheetId="9">#REF!</definedName>
    <definedName name="fg" localSheetId="8">#REF!</definedName>
    <definedName name="fg" localSheetId="10">#REF!</definedName>
    <definedName name="fg">#REF!</definedName>
    <definedName name="fgrd" localSheetId="31">#REF!</definedName>
    <definedName name="fgrd" localSheetId="9">#REF!</definedName>
    <definedName name="fgrd" localSheetId="8">#REF!</definedName>
    <definedName name="fgrd" localSheetId="10">#REF!</definedName>
    <definedName name="fgrd">#REF!</definedName>
    <definedName name="fgsgsg" localSheetId="31">#REF!</definedName>
    <definedName name="fgsgsg" localSheetId="9">#REF!</definedName>
    <definedName name="fgsgsg" localSheetId="20">#REF!</definedName>
    <definedName name="fgsgsg" localSheetId="22">#REF!</definedName>
    <definedName name="fgsgsg" localSheetId="8">#REF!</definedName>
    <definedName name="fgsgsg" localSheetId="10">#REF!</definedName>
    <definedName name="fgsgsg">#REF!</definedName>
    <definedName name="fhd" localSheetId="31">#REF!</definedName>
    <definedName name="fhd" localSheetId="19">#REF!</definedName>
    <definedName name="fhd" localSheetId="2">#REF!</definedName>
    <definedName name="fhd" localSheetId="1">#REF!</definedName>
    <definedName name="fhd" localSheetId="13">#REF!</definedName>
    <definedName name="fhd" localSheetId="11">#REF!</definedName>
    <definedName name="fhd" localSheetId="9">#REF!</definedName>
    <definedName name="fhd" localSheetId="0">#REF!</definedName>
    <definedName name="fhd" localSheetId="12">#REF!</definedName>
    <definedName name="fhd" localSheetId="18">#REF!</definedName>
    <definedName name="fhd" localSheetId="8">#REF!</definedName>
    <definedName name="fhd" localSheetId="29">#REF!</definedName>
    <definedName name="fhd" localSheetId="21">#REF!</definedName>
    <definedName name="fhd" localSheetId="26">#REF!</definedName>
    <definedName name="fhd" localSheetId="10">#REF!</definedName>
    <definedName name="fhd" localSheetId="27">#REF!</definedName>
    <definedName name="fhd">#REF!</definedName>
    <definedName name="Filling" localSheetId="5">#REF!</definedName>
    <definedName name="Filling" localSheetId="31">#REF!</definedName>
    <definedName name="Filling" localSheetId="2">#REF!</definedName>
    <definedName name="Filling" localSheetId="1">#REF!</definedName>
    <definedName name="Filling" localSheetId="13">#REF!</definedName>
    <definedName name="Filling" localSheetId="9">#REF!</definedName>
    <definedName name="Filling" localSheetId="20">#REF!</definedName>
    <definedName name="Filling" localSheetId="12">#REF!</definedName>
    <definedName name="Filling" localSheetId="8">#REF!</definedName>
    <definedName name="Filling" localSheetId="10">#REF!</definedName>
    <definedName name="Filling">#REF!</definedName>
    <definedName name="fjk" localSheetId="31">#REF!</definedName>
    <definedName name="fjk" localSheetId="9">#REF!</definedName>
    <definedName name="fjk" localSheetId="0">#REF!</definedName>
    <definedName name="fjk" localSheetId="8">#REF!</definedName>
    <definedName name="fjk" localSheetId="10">#REF!</definedName>
    <definedName name="fjk">#REF!</definedName>
    <definedName name="fr" localSheetId="5">#REF!</definedName>
    <definedName name="fr" localSheetId="31">#REF!</definedName>
    <definedName name="fr" localSheetId="2">#REF!</definedName>
    <definedName name="fr" localSheetId="1">#REF!</definedName>
    <definedName name="fr" localSheetId="13">#REF!</definedName>
    <definedName name="fr" localSheetId="9">#REF!</definedName>
    <definedName name="fr" localSheetId="20">#REF!</definedName>
    <definedName name="fr" localSheetId="12">#REF!</definedName>
    <definedName name="fr" localSheetId="8">#REF!</definedName>
    <definedName name="fr" localSheetId="10">#REF!</definedName>
    <definedName name="fr">#REF!</definedName>
    <definedName name="frd" localSheetId="31">#REF!</definedName>
    <definedName name="frd" localSheetId="9">#REF!</definedName>
    <definedName name="frd" localSheetId="8">#REF!</definedName>
    <definedName name="frd" localSheetId="10">#REF!</definedName>
    <definedName name="frd">#REF!</definedName>
    <definedName name="frt" localSheetId="5">#REF!</definedName>
    <definedName name="frt" localSheetId="31">#REF!</definedName>
    <definedName name="frt" localSheetId="2">#REF!</definedName>
    <definedName name="frt" localSheetId="1">#REF!</definedName>
    <definedName name="frt" localSheetId="13">#REF!</definedName>
    <definedName name="frt" localSheetId="9">#REF!</definedName>
    <definedName name="frt" localSheetId="20">#REF!</definedName>
    <definedName name="frt" localSheetId="12">#REF!</definedName>
    <definedName name="frt" localSheetId="8">#REF!</definedName>
    <definedName name="frt" localSheetId="10">#REF!</definedName>
    <definedName name="frt">#REF!</definedName>
    <definedName name="FSEGADRG" localSheetId="5">#REF!</definedName>
    <definedName name="FSEGADRG" localSheetId="31">#REF!</definedName>
    <definedName name="FSEGADRG" localSheetId="2">#REF!</definedName>
    <definedName name="FSEGADRG" localSheetId="1">#REF!</definedName>
    <definedName name="FSEGADRG" localSheetId="9">#REF!</definedName>
    <definedName name="FSEGADRG" localSheetId="20">#REF!</definedName>
    <definedName name="FSEGADRG" localSheetId="0">#REF!</definedName>
    <definedName name="FSEGADRG" localSheetId="12">#REF!</definedName>
    <definedName name="FSEGADRG" localSheetId="8">#REF!</definedName>
    <definedName name="FSEGADRG" localSheetId="29">#REF!</definedName>
    <definedName name="FSEGADRG" localSheetId="26">#REF!</definedName>
    <definedName name="FSEGADRG" localSheetId="10">#REF!</definedName>
    <definedName name="FSEGADRG" localSheetId="27">#REF!</definedName>
    <definedName name="FSEGADRG">#REF!</definedName>
    <definedName name="g" localSheetId="31">#REF!</definedName>
    <definedName name="g" localSheetId="9">#REF!</definedName>
    <definedName name="g" localSheetId="8">#REF!</definedName>
    <definedName name="g" localSheetId="10">#REF!</definedName>
    <definedName name="g">#REF!</definedName>
    <definedName name="gfg" localSheetId="31">#REF!</definedName>
    <definedName name="gfg" localSheetId="9">#REF!</definedName>
    <definedName name="gfg" localSheetId="20">#REF!</definedName>
    <definedName name="gfg" localSheetId="8">#REF!</definedName>
    <definedName name="gfg" localSheetId="10">#REF!</definedName>
    <definedName name="gfg">#REF!</definedName>
    <definedName name="gfrt" localSheetId="5">#REF!</definedName>
    <definedName name="gfrt" localSheetId="31">#REF!</definedName>
    <definedName name="gfrt" localSheetId="2">#REF!</definedName>
    <definedName name="gfrt" localSheetId="1">#REF!</definedName>
    <definedName name="gfrt" localSheetId="13">#REF!</definedName>
    <definedName name="gfrt" localSheetId="9">#REF!</definedName>
    <definedName name="gfrt" localSheetId="20">#REF!</definedName>
    <definedName name="gfrt" localSheetId="12">#REF!</definedName>
    <definedName name="gfrt" localSheetId="8">#REF!</definedName>
    <definedName name="gfrt" localSheetId="10">#REF!</definedName>
    <definedName name="gfrt">#REF!</definedName>
    <definedName name="gg.abs" localSheetId="31">#REF!</definedName>
    <definedName name="gg.abs" localSheetId="9">#REF!</definedName>
    <definedName name="gg.abs" localSheetId="20">#REF!</definedName>
    <definedName name="gg.abs" localSheetId="8">#REF!</definedName>
    <definedName name="gg.abs" localSheetId="10">#REF!</definedName>
    <definedName name="gg.abs">#REF!</definedName>
    <definedName name="GHJYUTYUGNVBN" localSheetId="5">#REF!</definedName>
    <definedName name="GHJYUTYUGNVBN" localSheetId="31">#REF!</definedName>
    <definedName name="GHJYUTYUGNVBN" localSheetId="2">#REF!</definedName>
    <definedName name="GHJYUTYUGNVBN" localSheetId="1">#REF!</definedName>
    <definedName name="GHJYUTYUGNVBN" localSheetId="13">#REF!</definedName>
    <definedName name="GHJYUTYUGNVBN" localSheetId="9">#REF!</definedName>
    <definedName name="GHJYUTYUGNVBN" localSheetId="20">#REF!</definedName>
    <definedName name="GHJYUTYUGNVBN" localSheetId="12">#REF!</definedName>
    <definedName name="GHJYUTYUGNVBN" localSheetId="8">#REF!</definedName>
    <definedName name="GHJYUTYUGNVBN" localSheetId="10">#REF!</definedName>
    <definedName name="GHJYUTYUGNVBN">#REF!</definedName>
    <definedName name="GKLPIUYY" localSheetId="31">#REF!</definedName>
    <definedName name="GKLPIUYY" localSheetId="9">#REF!</definedName>
    <definedName name="GKLPIUYY" localSheetId="8">#REF!</definedName>
    <definedName name="GKLPIUYY" localSheetId="10">#REF!</definedName>
    <definedName name="GKLPIUYY">#REF!</definedName>
    <definedName name="GRANO" localSheetId="31">#REF!</definedName>
    <definedName name="GRANO" localSheetId="2">#REF!</definedName>
    <definedName name="GRANO" localSheetId="1">#REF!</definedName>
    <definedName name="GRANO" localSheetId="13">#REF!</definedName>
    <definedName name="GRANO" localSheetId="9">#REF!</definedName>
    <definedName name="GRANO" localSheetId="20">#REF!</definedName>
    <definedName name="GRANO" localSheetId="12">#REF!</definedName>
    <definedName name="GRANO" localSheetId="8">#REF!</definedName>
    <definedName name="GRANO" localSheetId="10">#REF!</definedName>
    <definedName name="GRANO">#REF!</definedName>
    <definedName name="gsgsg" localSheetId="31">#REF!</definedName>
    <definedName name="gsgsg" localSheetId="9">#REF!</definedName>
    <definedName name="gsgsg" localSheetId="20">#REF!</definedName>
    <definedName name="gsgsg" localSheetId="22">#REF!</definedName>
    <definedName name="gsgsg" localSheetId="8">#REF!</definedName>
    <definedName name="gsgsg" localSheetId="10">#REF!</definedName>
    <definedName name="gsgsg">#REF!</definedName>
    <definedName name="gt" localSheetId="5">#REF!</definedName>
    <definedName name="gt" localSheetId="31">#REF!</definedName>
    <definedName name="gt" localSheetId="2">#REF!</definedName>
    <definedName name="gt" localSheetId="1">#REF!</definedName>
    <definedName name="gt" localSheetId="13">#REF!</definedName>
    <definedName name="gt" localSheetId="9">#REF!</definedName>
    <definedName name="gt" localSheetId="20">#REF!</definedName>
    <definedName name="gt" localSheetId="12">#REF!</definedName>
    <definedName name="gt" localSheetId="8">#REF!</definedName>
    <definedName name="gt" localSheetId="10">#REF!</definedName>
    <definedName name="gt">#REF!</definedName>
    <definedName name="gtr" localSheetId="5">#REF!</definedName>
    <definedName name="gtr" localSheetId="31">#REF!</definedName>
    <definedName name="gtr" localSheetId="2">#REF!</definedName>
    <definedName name="gtr" localSheetId="1">#REF!</definedName>
    <definedName name="gtr" localSheetId="13">#REF!</definedName>
    <definedName name="gtr" localSheetId="9">#REF!</definedName>
    <definedName name="gtr" localSheetId="20">#REF!</definedName>
    <definedName name="gtr" localSheetId="12">#REF!</definedName>
    <definedName name="gtr" localSheetId="8">#REF!</definedName>
    <definedName name="gtr" localSheetId="10">#REF!</definedName>
    <definedName name="gtr">#REF!</definedName>
    <definedName name="h" localSheetId="31">#REF!</definedName>
    <definedName name="h" localSheetId="9">#REF!</definedName>
    <definedName name="h" localSheetId="8">#REF!</definedName>
    <definedName name="h" localSheetId="10">#REF!</definedName>
    <definedName name="h">#REF!</definedName>
    <definedName name="HGL" localSheetId="31">#REF!</definedName>
    <definedName name="HGL" localSheetId="9">#REF!</definedName>
    <definedName name="HGL" localSheetId="8">#REF!</definedName>
    <definedName name="HGL" localSheetId="10">#REF!</definedName>
    <definedName name="HGL">#REF!</definedName>
    <definedName name="hh" localSheetId="31">#REF!</definedName>
    <definedName name="hh" localSheetId="9">#REF!</definedName>
    <definedName name="hh" localSheetId="20">#REF!</definedName>
    <definedName name="hh" localSheetId="8">#REF!</definedName>
    <definedName name="hh" localSheetId="10">#REF!</definedName>
    <definedName name="hh">#REF!</definedName>
    <definedName name="hia" localSheetId="5">#REF!</definedName>
    <definedName name="hia" localSheetId="31">#REF!</definedName>
    <definedName name="hia" localSheetId="19">#REF!</definedName>
    <definedName name="hia" localSheetId="2">#REF!</definedName>
    <definedName name="hia" localSheetId="1">#REF!</definedName>
    <definedName name="hia" localSheetId="13">#REF!</definedName>
    <definedName name="hia" localSheetId="11">#REF!</definedName>
    <definedName name="hia" localSheetId="9">#REF!</definedName>
    <definedName name="hia" localSheetId="20">#REF!</definedName>
    <definedName name="hia" localSheetId="0">#REF!</definedName>
    <definedName name="hia" localSheetId="12">#REF!</definedName>
    <definedName name="hia" localSheetId="4">#REF!</definedName>
    <definedName name="hia" localSheetId="24">#REF!</definedName>
    <definedName name="hia" localSheetId="18">#REF!</definedName>
    <definedName name="hia" localSheetId="8">#REF!</definedName>
    <definedName name="hia" localSheetId="29">#REF!</definedName>
    <definedName name="hia" localSheetId="21">#REF!</definedName>
    <definedName name="hia" localSheetId="26">#REF!</definedName>
    <definedName name="hia" localSheetId="10">#REF!</definedName>
    <definedName name="hia" localSheetId="27">#REF!</definedName>
    <definedName name="hia">#REF!</definedName>
    <definedName name="hiuytf" localSheetId="31">#REF!</definedName>
    <definedName name="hiuytf" localSheetId="9">#REF!</definedName>
    <definedName name="hiuytf" localSheetId="20">#REF!</definedName>
    <definedName name="hiuytf" localSheetId="8">#REF!</definedName>
    <definedName name="hiuytf" localSheetId="10">#REF!</definedName>
    <definedName name="hiuytf">#REF!</definedName>
    <definedName name="hj" localSheetId="5">[4]Data!#REF!</definedName>
    <definedName name="hj" localSheetId="31">[4]Data!#REF!</definedName>
    <definedName name="hj" localSheetId="9">[4]Data!#REF!</definedName>
    <definedName name="hj" localSheetId="20">[4]Data!#REF!</definedName>
    <definedName name="hj" localSheetId="12">[4]Data!#REF!</definedName>
    <definedName name="hj" localSheetId="8">[4]Data!#REF!</definedName>
    <definedName name="hj" localSheetId="10">[4]Data!#REF!</definedName>
    <definedName name="hj">[4]Data!#REF!</definedName>
    <definedName name="HUOPLUEQ" localSheetId="31">#REF!</definedName>
    <definedName name="HUOPLUEQ" localSheetId="9">#REF!</definedName>
    <definedName name="HUOPLUEQ" localSheetId="8">#REF!</definedName>
    <definedName name="HUOPLUEQ" localSheetId="10">#REF!</definedName>
    <definedName name="HUOPLUEQ">#REF!</definedName>
    <definedName name="hyu" localSheetId="5">#REF!</definedName>
    <definedName name="hyu" localSheetId="31">#REF!</definedName>
    <definedName name="hyu" localSheetId="2">#REF!</definedName>
    <definedName name="hyu" localSheetId="1">#REF!</definedName>
    <definedName name="hyu" localSheetId="13">#REF!</definedName>
    <definedName name="hyu" localSheetId="9">#REF!</definedName>
    <definedName name="hyu" localSheetId="20">#REF!</definedName>
    <definedName name="hyu" localSheetId="12">#REF!</definedName>
    <definedName name="hyu" localSheetId="8">#REF!</definedName>
    <definedName name="hyu" localSheetId="10">#REF!</definedName>
    <definedName name="hyu">#REF!</definedName>
    <definedName name="ins" localSheetId="31">#REF!</definedName>
    <definedName name="ins" localSheetId="19">#REF!</definedName>
    <definedName name="ins" localSheetId="2">#REF!</definedName>
    <definedName name="ins" localSheetId="1">#REF!</definedName>
    <definedName name="ins" localSheetId="13">#REF!</definedName>
    <definedName name="ins" localSheetId="11">#REF!</definedName>
    <definedName name="ins" localSheetId="9">#REF!</definedName>
    <definedName name="ins" localSheetId="0">#REF!</definedName>
    <definedName name="ins" localSheetId="12">#REF!</definedName>
    <definedName name="ins" localSheetId="18">#REF!</definedName>
    <definedName name="ins" localSheetId="8">#REF!</definedName>
    <definedName name="ins" localSheetId="29">#REF!</definedName>
    <definedName name="ins" localSheetId="21">#REF!</definedName>
    <definedName name="ins" localSheetId="26">#REF!</definedName>
    <definedName name="ins" localSheetId="10">#REF!</definedName>
    <definedName name="ins" localSheetId="27">#REF!</definedName>
    <definedName name="ins">#REF!</definedName>
    <definedName name="ins_block" localSheetId="31">#REF!</definedName>
    <definedName name="ins_block" localSheetId="9">#REF!</definedName>
    <definedName name="ins_block" localSheetId="20">#REF!</definedName>
    <definedName name="ins_block" localSheetId="8">#REF!</definedName>
    <definedName name="ins_block" localSheetId="10">#REF!</definedName>
    <definedName name="ins_block">#REF!</definedName>
    <definedName name="ins_fjjhtt" localSheetId="31">#REF!</definedName>
    <definedName name="ins_fjjhtt" localSheetId="9">#REF!</definedName>
    <definedName name="ins_fjjhtt" localSheetId="20">#REF!</definedName>
    <definedName name="ins_fjjhtt" localSheetId="8">#REF!</definedName>
    <definedName name="ins_fjjhtt" localSheetId="10">#REF!</definedName>
    <definedName name="ins_fjjhtt">#REF!</definedName>
    <definedName name="inss" localSheetId="31">#REF!</definedName>
    <definedName name="inss" localSheetId="9">#REF!</definedName>
    <definedName name="inss" localSheetId="20">#REF!</definedName>
    <definedName name="inss" localSheetId="8">#REF!</definedName>
    <definedName name="inss" localSheetId="10">#REF!</definedName>
    <definedName name="inss">#REF!</definedName>
    <definedName name="Iron_Paint" localSheetId="31">#REF!</definedName>
    <definedName name="Iron_Paint" localSheetId="2">#REF!</definedName>
    <definedName name="Iron_Paint" localSheetId="1">#REF!</definedName>
    <definedName name="Iron_Paint" localSheetId="13">#REF!</definedName>
    <definedName name="Iron_Paint" localSheetId="9">#REF!</definedName>
    <definedName name="Iron_Paint" localSheetId="20">#REF!</definedName>
    <definedName name="Iron_Paint" localSheetId="12">#REF!</definedName>
    <definedName name="Iron_Paint" localSheetId="8">#REF!</definedName>
    <definedName name="Iron_Paint" localSheetId="10">#REF!</definedName>
    <definedName name="Iron_Paint">#REF!</definedName>
    <definedName name="jh" localSheetId="5">#REF!</definedName>
    <definedName name="jh" localSheetId="31">#REF!</definedName>
    <definedName name="jh" localSheetId="2">#REF!</definedName>
    <definedName name="jh" localSheetId="1">#REF!</definedName>
    <definedName name="jh" localSheetId="13">#REF!</definedName>
    <definedName name="jh" localSheetId="9">#REF!</definedName>
    <definedName name="jh" localSheetId="20">#REF!</definedName>
    <definedName name="jh" localSheetId="12">#REF!</definedName>
    <definedName name="jh" localSheetId="8">#REF!</definedName>
    <definedName name="jh" localSheetId="10">#REF!</definedName>
    <definedName name="jh">#REF!</definedName>
    <definedName name="jj" localSheetId="5">#REF!</definedName>
    <definedName name="jj" localSheetId="31">#REF!</definedName>
    <definedName name="jj" localSheetId="2">#REF!</definedName>
    <definedName name="jj" localSheetId="1">#REF!</definedName>
    <definedName name="jj" localSheetId="13">#REF!</definedName>
    <definedName name="jj" localSheetId="9">#REF!</definedName>
    <definedName name="jj" localSheetId="20">#REF!</definedName>
    <definedName name="jj" localSheetId="12">#REF!</definedName>
    <definedName name="jj" localSheetId="8">#REF!</definedName>
    <definedName name="jj" localSheetId="10">#REF!</definedName>
    <definedName name="jj">#REF!</definedName>
    <definedName name="jjj" localSheetId="31">#REF!</definedName>
    <definedName name="jjj" localSheetId="9">#REF!</definedName>
    <definedName name="jjj" localSheetId="8">#REF!</definedName>
    <definedName name="jjj" localSheetId="10">#REF!</definedName>
    <definedName name="jjj">#REF!</definedName>
    <definedName name="jk" localSheetId="5">#REF!</definedName>
    <definedName name="jk" localSheetId="31">#REF!</definedName>
    <definedName name="jk" localSheetId="2">#REF!</definedName>
    <definedName name="jk" localSheetId="1">#REF!</definedName>
    <definedName name="jk" localSheetId="13">#REF!</definedName>
    <definedName name="jk" localSheetId="9">#REF!</definedName>
    <definedName name="jk" localSheetId="20">#REF!</definedName>
    <definedName name="jk" localSheetId="12">#REF!</definedName>
    <definedName name="jk" localSheetId="8">#REF!</definedName>
    <definedName name="jk" localSheetId="10">#REF!</definedName>
    <definedName name="jk">#REF!</definedName>
    <definedName name="Junior_Engineer" localSheetId="5">#REF!</definedName>
    <definedName name="Junior_Engineer" localSheetId="31">#REF!</definedName>
    <definedName name="Junior_Engineer" localSheetId="2">#REF!</definedName>
    <definedName name="Junior_Engineer" localSheetId="1">#REF!</definedName>
    <definedName name="Junior_Engineer" localSheetId="13">#REF!</definedName>
    <definedName name="Junior_Engineer" localSheetId="9">#REF!</definedName>
    <definedName name="Junior_Engineer" localSheetId="20">#REF!</definedName>
    <definedName name="Junior_Engineer" localSheetId="12">#REF!</definedName>
    <definedName name="Junior_Engineer" localSheetId="8">#REF!</definedName>
    <definedName name="Junior_Engineer" localSheetId="10">#REF!</definedName>
    <definedName name="Junior_Engineer">#REF!</definedName>
    <definedName name="k" localSheetId="31">#REF!</definedName>
    <definedName name="k" localSheetId="9">#REF!</definedName>
    <definedName name="k" localSheetId="20">#REF!</definedName>
    <definedName name="k" localSheetId="8">#REF!</definedName>
    <definedName name="k" localSheetId="10">#REF!</definedName>
    <definedName name="k">#REF!</definedName>
    <definedName name="k11.1" localSheetId="5">#REF!</definedName>
    <definedName name="k11.1" localSheetId="31">#REF!</definedName>
    <definedName name="k11.1" localSheetId="2">#REF!</definedName>
    <definedName name="k11.1" localSheetId="1">#REF!</definedName>
    <definedName name="k11.1" localSheetId="13">#REF!</definedName>
    <definedName name="k11.1" localSheetId="9">#REF!</definedName>
    <definedName name="k11.1" localSheetId="20">#REF!</definedName>
    <definedName name="k11.1" localSheetId="12">#REF!</definedName>
    <definedName name="k11.1" localSheetId="8">#REF!</definedName>
    <definedName name="k11.1" localSheetId="10">#REF!</definedName>
    <definedName name="k11.1">#REF!</definedName>
    <definedName name="k1400\" localSheetId="31">#REF!</definedName>
    <definedName name="k1400\" localSheetId="9">#REF!</definedName>
    <definedName name="k1400\" localSheetId="20">#REF!</definedName>
    <definedName name="k1400\" localSheetId="8">#REF!</definedName>
    <definedName name="k1400\" localSheetId="10">#REF!</definedName>
    <definedName name="k1400\">#REF!</definedName>
    <definedName name="k404." localSheetId="31">#REF!</definedName>
    <definedName name="k404." localSheetId="19">#REF!</definedName>
    <definedName name="k404." localSheetId="2">#REF!</definedName>
    <definedName name="k404." localSheetId="1">#REF!</definedName>
    <definedName name="k404." localSheetId="13">#REF!</definedName>
    <definedName name="k404." localSheetId="11">#REF!</definedName>
    <definedName name="k404." localSheetId="9">#REF!</definedName>
    <definedName name="k404." localSheetId="20">#REF!</definedName>
    <definedName name="k404." localSheetId="0">#REF!</definedName>
    <definedName name="k404." localSheetId="12">#REF!</definedName>
    <definedName name="k404." localSheetId="24">#REF!</definedName>
    <definedName name="k404." localSheetId="18">#REF!</definedName>
    <definedName name="k404." localSheetId="8">#REF!</definedName>
    <definedName name="k404." localSheetId="29">#REF!</definedName>
    <definedName name="k404." localSheetId="21">#REF!</definedName>
    <definedName name="k404." localSheetId="26">#REF!</definedName>
    <definedName name="k404." localSheetId="10">#REF!</definedName>
    <definedName name="k404." localSheetId="27">#REF!</definedName>
    <definedName name="k404.">#REF!</definedName>
    <definedName name="kalil" localSheetId="5">#REF!</definedName>
    <definedName name="kalil" localSheetId="31">#REF!</definedName>
    <definedName name="kalil" localSheetId="2">#REF!</definedName>
    <definedName name="kalil" localSheetId="1">#REF!</definedName>
    <definedName name="kalil" localSheetId="13">#REF!</definedName>
    <definedName name="kalil" localSheetId="9">#REF!</definedName>
    <definedName name="kalil" localSheetId="20">#REF!</definedName>
    <definedName name="kalil" localSheetId="12">#REF!</definedName>
    <definedName name="kalil" localSheetId="8">#REF!</definedName>
    <definedName name="kalil" localSheetId="10">#REF!</definedName>
    <definedName name="kalil">#REF!</definedName>
    <definedName name="kk" localSheetId="31">#REF!</definedName>
    <definedName name="kk" localSheetId="9">#REF!</definedName>
    <definedName name="kk" localSheetId="20">#REF!</definedName>
    <definedName name="kk" localSheetId="8">#REF!</definedName>
    <definedName name="kk" localSheetId="10">#REF!</definedName>
    <definedName name="kk">#REF!</definedName>
    <definedName name="klo" localSheetId="5">#REF!</definedName>
    <definedName name="klo" localSheetId="31">#REF!</definedName>
    <definedName name="klo" localSheetId="2">#REF!</definedName>
    <definedName name="klo" localSheetId="1">#REF!</definedName>
    <definedName name="klo" localSheetId="13">#REF!</definedName>
    <definedName name="klo" localSheetId="9">#REF!</definedName>
    <definedName name="klo" localSheetId="20">#REF!</definedName>
    <definedName name="klo" localSheetId="12">#REF!</definedName>
    <definedName name="klo" localSheetId="8">#REF!</definedName>
    <definedName name="klo" localSheetId="10">#REF!</definedName>
    <definedName name="klo">#REF!</definedName>
    <definedName name="KOTA_STONE" localSheetId="31">#REF!</definedName>
    <definedName name="KOTA_STONE" localSheetId="2">#REF!</definedName>
    <definedName name="KOTA_STONE" localSheetId="1">#REF!</definedName>
    <definedName name="KOTA_STONE" localSheetId="13">#REF!</definedName>
    <definedName name="KOTA_STONE" localSheetId="9">#REF!</definedName>
    <definedName name="KOTA_STONE" localSheetId="20">#REF!</definedName>
    <definedName name="KOTA_STONE" localSheetId="12">#REF!</definedName>
    <definedName name="KOTA_STONE" localSheetId="8">#REF!</definedName>
    <definedName name="KOTA_STONE" localSheetId="10">#REF!</definedName>
    <definedName name="KOTA_STONE">#REF!</definedName>
    <definedName name="Labour_Board" localSheetId="5">#REF!</definedName>
    <definedName name="Labour_Board" localSheetId="31">#REF!</definedName>
    <definedName name="Labour_Board" localSheetId="2">#REF!</definedName>
    <definedName name="Labour_Board" localSheetId="1">#REF!</definedName>
    <definedName name="Labour_Board" localSheetId="13">#REF!</definedName>
    <definedName name="Labour_Board" localSheetId="9">#REF!</definedName>
    <definedName name="Labour_Board" localSheetId="20">#REF!</definedName>
    <definedName name="Labour_Board" localSheetId="12">#REF!</definedName>
    <definedName name="Labour_Board" localSheetId="8">#REF!</definedName>
    <definedName name="Labour_Board" localSheetId="10">#REF!</definedName>
    <definedName name="Labour_Board">#REF!</definedName>
    <definedName name="Labour_Board_11" localSheetId="5">#REF!</definedName>
    <definedName name="Labour_Board_11" localSheetId="31">#REF!</definedName>
    <definedName name="Labour_Board_11" localSheetId="2">#REF!</definedName>
    <definedName name="Labour_Board_11" localSheetId="1">#REF!</definedName>
    <definedName name="Labour_Board_11" localSheetId="13">#REF!</definedName>
    <definedName name="Labour_Board_11" localSheetId="9">#REF!</definedName>
    <definedName name="Labour_Board_11" localSheetId="20">#REF!</definedName>
    <definedName name="Labour_Board_11" localSheetId="12">#REF!</definedName>
    <definedName name="Labour_Board_11" localSheetId="8">#REF!</definedName>
    <definedName name="Labour_Board_11" localSheetId="10">#REF!</definedName>
    <definedName name="Labour_Board_11">#REF!</definedName>
    <definedName name="Labour_Board_3" localSheetId="5">#REF!</definedName>
    <definedName name="Labour_Board_3" localSheetId="31">#REF!</definedName>
    <definedName name="Labour_Board_3" localSheetId="2">#REF!</definedName>
    <definedName name="Labour_Board_3" localSheetId="1">#REF!</definedName>
    <definedName name="Labour_Board_3" localSheetId="13">#REF!</definedName>
    <definedName name="Labour_Board_3" localSheetId="9">#REF!</definedName>
    <definedName name="Labour_Board_3" localSheetId="20">#REF!</definedName>
    <definedName name="Labour_Board_3" localSheetId="12">#REF!</definedName>
    <definedName name="Labour_Board_3" localSheetId="8">#REF!</definedName>
    <definedName name="Labour_Board_3" localSheetId="10">#REF!</definedName>
    <definedName name="Labour_Board_3">#REF!</definedName>
    <definedName name="Labour_Board_6" localSheetId="5">#REF!</definedName>
    <definedName name="Labour_Board_6" localSheetId="31">#REF!</definedName>
    <definedName name="Labour_Board_6" localSheetId="2">#REF!</definedName>
    <definedName name="Labour_Board_6" localSheetId="1">#REF!</definedName>
    <definedName name="Labour_Board_6" localSheetId="13">#REF!</definedName>
    <definedName name="Labour_Board_6" localSheetId="9">#REF!</definedName>
    <definedName name="Labour_Board_6" localSheetId="20">#REF!</definedName>
    <definedName name="Labour_Board_6" localSheetId="12">#REF!</definedName>
    <definedName name="Labour_Board_6" localSheetId="8">#REF!</definedName>
    <definedName name="Labour_Board_6" localSheetId="10">#REF!</definedName>
    <definedName name="Labour_Board_6">#REF!</definedName>
    <definedName name="Labour_Data" localSheetId="5">#REF!</definedName>
    <definedName name="Labour_Data" localSheetId="31">#REF!</definedName>
    <definedName name="Labour_Data" localSheetId="2">#REF!</definedName>
    <definedName name="Labour_Data" localSheetId="1">#REF!</definedName>
    <definedName name="Labour_Data" localSheetId="13">#REF!</definedName>
    <definedName name="Labour_Data" localSheetId="9">#REF!</definedName>
    <definedName name="Labour_Data" localSheetId="20">#REF!</definedName>
    <definedName name="Labour_Data" localSheetId="12">#REF!</definedName>
    <definedName name="Labour_Data" localSheetId="8">#REF!</definedName>
    <definedName name="Labour_Data" localSheetId="10">#REF!</definedName>
    <definedName name="Labour_Data">#REF!</definedName>
    <definedName name="Labour_PWD" localSheetId="5">#REF!</definedName>
    <definedName name="Labour_PWD" localSheetId="31">#REF!</definedName>
    <definedName name="Labour_PWD" localSheetId="2">#REF!</definedName>
    <definedName name="Labour_PWD" localSheetId="1">#REF!</definedName>
    <definedName name="Labour_PWD" localSheetId="13">#REF!</definedName>
    <definedName name="Labour_PWD" localSheetId="9">#REF!</definedName>
    <definedName name="Labour_PWD" localSheetId="20">#REF!</definedName>
    <definedName name="Labour_PWD" localSheetId="12">#REF!</definedName>
    <definedName name="Labour_PWD" localSheetId="8">#REF!</definedName>
    <definedName name="Labour_PWD" localSheetId="10">#REF!</definedName>
    <definedName name="Labour_PWD">#REF!</definedName>
    <definedName name="Labour_PWD_11" localSheetId="5">#REF!</definedName>
    <definedName name="Labour_PWD_11" localSheetId="31">#REF!</definedName>
    <definedName name="Labour_PWD_11" localSheetId="2">#REF!</definedName>
    <definedName name="Labour_PWD_11" localSheetId="1">#REF!</definedName>
    <definedName name="Labour_PWD_11" localSheetId="13">#REF!</definedName>
    <definedName name="Labour_PWD_11" localSheetId="9">#REF!</definedName>
    <definedName name="Labour_PWD_11" localSheetId="20">#REF!</definedName>
    <definedName name="Labour_PWD_11" localSheetId="12">#REF!</definedName>
    <definedName name="Labour_PWD_11" localSheetId="8">#REF!</definedName>
    <definedName name="Labour_PWD_11" localSheetId="10">#REF!</definedName>
    <definedName name="Labour_PWD_11">#REF!</definedName>
    <definedName name="Labour_PWD_3" localSheetId="5">#REF!</definedName>
    <definedName name="Labour_PWD_3" localSheetId="31">#REF!</definedName>
    <definedName name="Labour_PWD_3" localSheetId="2">#REF!</definedName>
    <definedName name="Labour_PWD_3" localSheetId="1">#REF!</definedName>
    <definedName name="Labour_PWD_3" localSheetId="13">#REF!</definedName>
    <definedName name="Labour_PWD_3" localSheetId="9">#REF!</definedName>
    <definedName name="Labour_PWD_3" localSheetId="20">#REF!</definedName>
    <definedName name="Labour_PWD_3" localSheetId="12">#REF!</definedName>
    <definedName name="Labour_PWD_3" localSheetId="8">#REF!</definedName>
    <definedName name="Labour_PWD_3" localSheetId="10">#REF!</definedName>
    <definedName name="Labour_PWD_3">#REF!</definedName>
    <definedName name="Labour_PWD_6" localSheetId="5">#REF!</definedName>
    <definedName name="Labour_PWD_6" localSheetId="31">#REF!</definedName>
    <definedName name="Labour_PWD_6" localSheetId="2">#REF!</definedName>
    <definedName name="Labour_PWD_6" localSheetId="1">#REF!</definedName>
    <definedName name="Labour_PWD_6" localSheetId="13">#REF!</definedName>
    <definedName name="Labour_PWD_6" localSheetId="9">#REF!</definedName>
    <definedName name="Labour_PWD_6" localSheetId="20">#REF!</definedName>
    <definedName name="Labour_PWD_6" localSheetId="12">#REF!</definedName>
    <definedName name="Labour_PWD_6" localSheetId="8">#REF!</definedName>
    <definedName name="Labour_PWD_6" localSheetId="10">#REF!</definedName>
    <definedName name="Labour_PWD_6">#REF!</definedName>
    <definedName name="Labour_Rate" localSheetId="5">#REF!</definedName>
    <definedName name="Labour_Rate" localSheetId="31">#REF!</definedName>
    <definedName name="Labour_Rate" localSheetId="2">#REF!</definedName>
    <definedName name="Labour_Rate" localSheetId="1">#REF!</definedName>
    <definedName name="Labour_Rate" localSheetId="13">#REF!</definedName>
    <definedName name="Labour_Rate" localSheetId="9">#REF!</definedName>
    <definedName name="Labour_Rate" localSheetId="20">#REF!</definedName>
    <definedName name="Labour_Rate" localSheetId="12">#REF!</definedName>
    <definedName name="Labour_Rate" localSheetId="8">#REF!</definedName>
    <definedName name="Labour_Rate" localSheetId="10">#REF!</definedName>
    <definedName name="Labour_Rate">#REF!</definedName>
    <definedName name="Labour_rate_civil" localSheetId="5">#REF!</definedName>
    <definedName name="Labour_rate_civil" localSheetId="31">#REF!</definedName>
    <definedName name="Labour_rate_civil" localSheetId="2">#REF!</definedName>
    <definedName name="Labour_rate_civil" localSheetId="1">#REF!</definedName>
    <definedName name="Labour_rate_civil" localSheetId="13">#REF!</definedName>
    <definedName name="Labour_rate_civil" localSheetId="9">#REF!</definedName>
    <definedName name="Labour_rate_civil" localSheetId="20">#REF!</definedName>
    <definedName name="Labour_rate_civil" localSheetId="12">#REF!</definedName>
    <definedName name="Labour_rate_civil" localSheetId="8">#REF!</definedName>
    <definedName name="Labour_rate_civil" localSheetId="10">#REF!</definedName>
    <definedName name="Labour_rate_civil">#REF!</definedName>
    <definedName name="Labour_rate_civil_11" localSheetId="5">#REF!</definedName>
    <definedName name="Labour_rate_civil_11" localSheetId="31">#REF!</definedName>
    <definedName name="Labour_rate_civil_11" localSheetId="2">#REF!</definedName>
    <definedName name="Labour_rate_civil_11" localSheetId="1">#REF!</definedName>
    <definedName name="Labour_rate_civil_11" localSheetId="13">#REF!</definedName>
    <definedName name="Labour_rate_civil_11" localSheetId="9">#REF!</definedName>
    <definedName name="Labour_rate_civil_11" localSheetId="20">#REF!</definedName>
    <definedName name="Labour_rate_civil_11" localSheetId="12">#REF!</definedName>
    <definedName name="Labour_rate_civil_11" localSheetId="8">#REF!</definedName>
    <definedName name="Labour_rate_civil_11" localSheetId="10">#REF!</definedName>
    <definedName name="Labour_rate_civil_11">#REF!</definedName>
    <definedName name="Labour_rate_civil_3" localSheetId="5">#REF!</definedName>
    <definedName name="Labour_rate_civil_3" localSheetId="31">#REF!</definedName>
    <definedName name="Labour_rate_civil_3" localSheetId="2">#REF!</definedName>
    <definedName name="Labour_rate_civil_3" localSheetId="1">#REF!</definedName>
    <definedName name="Labour_rate_civil_3" localSheetId="13">#REF!</definedName>
    <definedName name="Labour_rate_civil_3" localSheetId="9">#REF!</definedName>
    <definedName name="Labour_rate_civil_3" localSheetId="20">#REF!</definedName>
    <definedName name="Labour_rate_civil_3" localSheetId="12">#REF!</definedName>
    <definedName name="Labour_rate_civil_3" localSheetId="8">#REF!</definedName>
    <definedName name="Labour_rate_civil_3" localSheetId="10">#REF!</definedName>
    <definedName name="Labour_rate_civil_3">#REF!</definedName>
    <definedName name="Labour_rate_civil_6" localSheetId="5">#REF!</definedName>
    <definedName name="Labour_rate_civil_6" localSheetId="31">#REF!</definedName>
    <definedName name="Labour_rate_civil_6" localSheetId="2">#REF!</definedName>
    <definedName name="Labour_rate_civil_6" localSheetId="1">#REF!</definedName>
    <definedName name="Labour_rate_civil_6" localSheetId="13">#REF!</definedName>
    <definedName name="Labour_rate_civil_6" localSheetId="9">#REF!</definedName>
    <definedName name="Labour_rate_civil_6" localSheetId="20">#REF!</definedName>
    <definedName name="Labour_rate_civil_6" localSheetId="12">#REF!</definedName>
    <definedName name="Labour_rate_civil_6" localSheetId="8">#REF!</definedName>
    <definedName name="Labour_rate_civil_6" localSheetId="10">#REF!</definedName>
    <definedName name="Labour_rate_civil_6">#REF!</definedName>
    <definedName name="Labour_rate_electrical" localSheetId="5">#REF!</definedName>
    <definedName name="Labour_rate_electrical" localSheetId="31">#REF!</definedName>
    <definedName name="Labour_rate_electrical" localSheetId="2">#REF!</definedName>
    <definedName name="Labour_rate_electrical" localSheetId="1">#REF!</definedName>
    <definedName name="Labour_rate_electrical" localSheetId="13">#REF!</definedName>
    <definedName name="Labour_rate_electrical" localSheetId="9">#REF!</definedName>
    <definedName name="Labour_rate_electrical" localSheetId="20">#REF!</definedName>
    <definedName name="Labour_rate_electrical" localSheetId="12">#REF!</definedName>
    <definedName name="Labour_rate_electrical" localSheetId="8">#REF!</definedName>
    <definedName name="Labour_rate_electrical" localSheetId="10">#REF!</definedName>
    <definedName name="Labour_rate_electrical">#REF!</definedName>
    <definedName name="Labour_rate_electrical_11" localSheetId="5">#REF!</definedName>
    <definedName name="Labour_rate_electrical_11" localSheetId="31">#REF!</definedName>
    <definedName name="Labour_rate_electrical_11" localSheetId="2">#REF!</definedName>
    <definedName name="Labour_rate_electrical_11" localSheetId="1">#REF!</definedName>
    <definedName name="Labour_rate_electrical_11" localSheetId="13">#REF!</definedName>
    <definedName name="Labour_rate_electrical_11" localSheetId="9">#REF!</definedName>
    <definedName name="Labour_rate_electrical_11" localSheetId="20">#REF!</definedName>
    <definedName name="Labour_rate_electrical_11" localSheetId="12">#REF!</definedName>
    <definedName name="Labour_rate_electrical_11" localSheetId="8">#REF!</definedName>
    <definedName name="Labour_rate_electrical_11" localSheetId="10">#REF!</definedName>
    <definedName name="Labour_rate_electrical_11">#REF!</definedName>
    <definedName name="Labour_rate_electrical_3" localSheetId="5">#REF!</definedName>
    <definedName name="Labour_rate_electrical_3" localSheetId="31">#REF!</definedName>
    <definedName name="Labour_rate_electrical_3" localSheetId="2">#REF!</definedName>
    <definedName name="Labour_rate_electrical_3" localSheetId="1">#REF!</definedName>
    <definedName name="Labour_rate_electrical_3" localSheetId="13">#REF!</definedName>
    <definedName name="Labour_rate_electrical_3" localSheetId="9">#REF!</definedName>
    <definedName name="Labour_rate_electrical_3" localSheetId="20">#REF!</definedName>
    <definedName name="Labour_rate_electrical_3" localSheetId="12">#REF!</definedName>
    <definedName name="Labour_rate_electrical_3" localSheetId="8">#REF!</definedName>
    <definedName name="Labour_rate_electrical_3" localSheetId="10">#REF!</definedName>
    <definedName name="Labour_rate_electrical_3">#REF!</definedName>
    <definedName name="Labour_rate_electrical_6" localSheetId="5">#REF!</definedName>
    <definedName name="Labour_rate_electrical_6" localSheetId="31">#REF!</definedName>
    <definedName name="Labour_rate_electrical_6" localSheetId="2">#REF!</definedName>
    <definedName name="Labour_rate_electrical_6" localSheetId="1">#REF!</definedName>
    <definedName name="Labour_rate_electrical_6" localSheetId="13">#REF!</definedName>
    <definedName name="Labour_rate_electrical_6" localSheetId="9">#REF!</definedName>
    <definedName name="Labour_rate_electrical_6" localSheetId="20">#REF!</definedName>
    <definedName name="Labour_rate_electrical_6" localSheetId="12">#REF!</definedName>
    <definedName name="Labour_rate_electrical_6" localSheetId="8">#REF!</definedName>
    <definedName name="Labour_rate_electrical_6" localSheetId="10">#REF!</definedName>
    <definedName name="Labour_rate_electrical_6">#REF!</definedName>
    <definedName name="Labour_rate_road" localSheetId="5">#REF!</definedName>
    <definedName name="Labour_rate_road" localSheetId="31">#REF!</definedName>
    <definedName name="Labour_rate_road" localSheetId="2">#REF!</definedName>
    <definedName name="Labour_rate_road" localSheetId="1">#REF!</definedName>
    <definedName name="Labour_rate_road" localSheetId="13">#REF!</definedName>
    <definedName name="Labour_rate_road" localSheetId="9">#REF!</definedName>
    <definedName name="Labour_rate_road" localSheetId="20">#REF!</definedName>
    <definedName name="Labour_rate_road" localSheetId="12">#REF!</definedName>
    <definedName name="Labour_rate_road" localSheetId="8">#REF!</definedName>
    <definedName name="Labour_rate_road" localSheetId="10">#REF!</definedName>
    <definedName name="Labour_rate_road">#REF!</definedName>
    <definedName name="Labour_rate_road_11" localSheetId="5">#REF!</definedName>
    <definedName name="Labour_rate_road_11" localSheetId="31">#REF!</definedName>
    <definedName name="Labour_rate_road_11" localSheetId="2">#REF!</definedName>
    <definedName name="Labour_rate_road_11" localSheetId="1">#REF!</definedName>
    <definedName name="Labour_rate_road_11" localSheetId="13">#REF!</definedName>
    <definedName name="Labour_rate_road_11" localSheetId="9">#REF!</definedName>
    <definedName name="Labour_rate_road_11" localSheetId="20">#REF!</definedName>
    <definedName name="Labour_rate_road_11" localSheetId="12">#REF!</definedName>
    <definedName name="Labour_rate_road_11" localSheetId="8">#REF!</definedName>
    <definedName name="Labour_rate_road_11" localSheetId="10">#REF!</definedName>
    <definedName name="Labour_rate_road_11">#REF!</definedName>
    <definedName name="Labour_rate_road_3" localSheetId="5">#REF!</definedName>
    <definedName name="Labour_rate_road_3" localSheetId="31">#REF!</definedName>
    <definedName name="Labour_rate_road_3" localSheetId="2">#REF!</definedName>
    <definedName name="Labour_rate_road_3" localSheetId="1">#REF!</definedName>
    <definedName name="Labour_rate_road_3" localSheetId="13">#REF!</definedName>
    <definedName name="Labour_rate_road_3" localSheetId="9">#REF!</definedName>
    <definedName name="Labour_rate_road_3" localSheetId="20">#REF!</definedName>
    <definedName name="Labour_rate_road_3" localSheetId="12">#REF!</definedName>
    <definedName name="Labour_rate_road_3" localSheetId="8">#REF!</definedName>
    <definedName name="Labour_rate_road_3" localSheetId="10">#REF!</definedName>
    <definedName name="Labour_rate_road_3">#REF!</definedName>
    <definedName name="Labour_rate_road_6" localSheetId="5">#REF!</definedName>
    <definedName name="Labour_rate_road_6" localSheetId="31">#REF!</definedName>
    <definedName name="Labour_rate_road_6" localSheetId="2">#REF!</definedName>
    <definedName name="Labour_rate_road_6" localSheetId="1">#REF!</definedName>
    <definedName name="Labour_rate_road_6" localSheetId="13">#REF!</definedName>
    <definedName name="Labour_rate_road_6" localSheetId="9">#REF!</definedName>
    <definedName name="Labour_rate_road_6" localSheetId="20">#REF!</definedName>
    <definedName name="Labour_rate_road_6" localSheetId="12">#REF!</definedName>
    <definedName name="Labour_rate_road_6" localSheetId="8">#REF!</definedName>
    <definedName name="Labour_rate_road_6" localSheetId="10">#REF!</definedName>
    <definedName name="Labour_rate_road_6">#REF!</definedName>
    <definedName name="Labour_road" localSheetId="5">#REF!</definedName>
    <definedName name="Labour_road" localSheetId="31">#REF!</definedName>
    <definedName name="Labour_road" localSheetId="2">#REF!</definedName>
    <definedName name="Labour_road" localSheetId="1">#REF!</definedName>
    <definedName name="Labour_road" localSheetId="13">#REF!</definedName>
    <definedName name="Labour_road" localSheetId="9">#REF!</definedName>
    <definedName name="Labour_road" localSheetId="20">#REF!</definedName>
    <definedName name="Labour_road" localSheetId="12">#REF!</definedName>
    <definedName name="Labour_road" localSheetId="8">#REF!</definedName>
    <definedName name="Labour_road" localSheetId="10">#REF!</definedName>
    <definedName name="Labour_road">#REF!</definedName>
    <definedName name="Labour_road_11" localSheetId="5">#REF!</definedName>
    <definedName name="Labour_road_11" localSheetId="31">#REF!</definedName>
    <definedName name="Labour_road_11" localSheetId="2">#REF!</definedName>
    <definedName name="Labour_road_11" localSheetId="1">#REF!</definedName>
    <definedName name="Labour_road_11" localSheetId="13">#REF!</definedName>
    <definedName name="Labour_road_11" localSheetId="9">#REF!</definedName>
    <definedName name="Labour_road_11" localSheetId="20">#REF!</definedName>
    <definedName name="Labour_road_11" localSheetId="12">#REF!</definedName>
    <definedName name="Labour_road_11" localSheetId="8">#REF!</definedName>
    <definedName name="Labour_road_11" localSheetId="10">#REF!</definedName>
    <definedName name="Labour_road_11">#REF!</definedName>
    <definedName name="Labour_road_3" localSheetId="5">#REF!</definedName>
    <definedName name="Labour_road_3" localSheetId="31">#REF!</definedName>
    <definedName name="Labour_road_3" localSheetId="2">#REF!</definedName>
    <definedName name="Labour_road_3" localSheetId="1">#REF!</definedName>
    <definedName name="Labour_road_3" localSheetId="13">#REF!</definedName>
    <definedName name="Labour_road_3" localSheetId="9">#REF!</definedName>
    <definedName name="Labour_road_3" localSheetId="20">#REF!</definedName>
    <definedName name="Labour_road_3" localSheetId="12">#REF!</definedName>
    <definedName name="Labour_road_3" localSheetId="8">#REF!</definedName>
    <definedName name="Labour_road_3" localSheetId="10">#REF!</definedName>
    <definedName name="Labour_road_3">#REF!</definedName>
    <definedName name="Labour_road_6" localSheetId="5">#REF!</definedName>
    <definedName name="Labour_road_6" localSheetId="31">#REF!</definedName>
    <definedName name="Labour_road_6" localSheetId="2">#REF!</definedName>
    <definedName name="Labour_road_6" localSheetId="1">#REF!</definedName>
    <definedName name="Labour_road_6" localSheetId="13">#REF!</definedName>
    <definedName name="Labour_road_6" localSheetId="9">#REF!</definedName>
    <definedName name="Labour_road_6" localSheetId="20">#REF!</definedName>
    <definedName name="Labour_road_6" localSheetId="12">#REF!</definedName>
    <definedName name="Labour_road_6" localSheetId="8">#REF!</definedName>
    <definedName name="Labour_road_6" localSheetId="10">#REF!</definedName>
    <definedName name="Labour_road_6">#REF!</definedName>
    <definedName name="Lac_Polish" localSheetId="31">#REF!</definedName>
    <definedName name="Lac_Polish" localSheetId="2">#REF!</definedName>
    <definedName name="Lac_Polish" localSheetId="1">#REF!</definedName>
    <definedName name="Lac_Polish" localSheetId="13">#REF!</definedName>
    <definedName name="Lac_Polish" localSheetId="9">#REF!</definedName>
    <definedName name="Lac_Polish" localSheetId="20">#REF!</definedName>
    <definedName name="Lac_Polish" localSheetId="12">#REF!</definedName>
    <definedName name="Lac_Polish" localSheetId="8">#REF!</definedName>
    <definedName name="Lac_Polish" localSheetId="10">#REF!</definedName>
    <definedName name="Lac_Polish">#REF!</definedName>
    <definedName name="lead" localSheetId="5">#REF!</definedName>
    <definedName name="lead" localSheetId="31">#REF!</definedName>
    <definedName name="lead" localSheetId="2">#REF!</definedName>
    <definedName name="lead" localSheetId="1">#REF!</definedName>
    <definedName name="lead" localSheetId="13">#REF!</definedName>
    <definedName name="lead" localSheetId="9">#REF!</definedName>
    <definedName name="lead" localSheetId="20">#REF!</definedName>
    <definedName name="lead" localSheetId="12">#REF!</definedName>
    <definedName name="lead" localSheetId="8">#REF!</definedName>
    <definedName name="lead" localSheetId="10">#REF!</definedName>
    <definedName name="lead">#REF!</definedName>
    <definedName name="Lead_statement" localSheetId="5">#REF!</definedName>
    <definedName name="Lead_statement" localSheetId="31">#REF!</definedName>
    <definedName name="Lead_statement" localSheetId="2">#REF!</definedName>
    <definedName name="Lead_statement" localSheetId="1">#REF!</definedName>
    <definedName name="Lead_statement" localSheetId="13">#REF!</definedName>
    <definedName name="Lead_statement" localSheetId="9">#REF!</definedName>
    <definedName name="Lead_statement" localSheetId="20">#REF!</definedName>
    <definedName name="Lead_statement" localSheetId="12">#REF!</definedName>
    <definedName name="Lead_statement" localSheetId="8">#REF!</definedName>
    <definedName name="Lead_statement" localSheetId="10">#REF!</definedName>
    <definedName name="Lead_statement">#REF!</definedName>
    <definedName name="Lead_statement_11" localSheetId="5">#REF!</definedName>
    <definedName name="Lead_statement_11" localSheetId="31">#REF!</definedName>
    <definedName name="Lead_statement_11" localSheetId="2">#REF!</definedName>
    <definedName name="Lead_statement_11" localSheetId="1">#REF!</definedName>
    <definedName name="Lead_statement_11" localSheetId="13">#REF!</definedName>
    <definedName name="Lead_statement_11" localSheetId="9">#REF!</definedName>
    <definedName name="Lead_statement_11" localSheetId="20">#REF!</definedName>
    <definedName name="Lead_statement_11" localSheetId="12">#REF!</definedName>
    <definedName name="Lead_statement_11" localSheetId="8">#REF!</definedName>
    <definedName name="Lead_statement_11" localSheetId="10">#REF!</definedName>
    <definedName name="Lead_statement_11">#REF!</definedName>
    <definedName name="Lead_statement_3" localSheetId="5">#REF!</definedName>
    <definedName name="Lead_statement_3" localSheetId="31">#REF!</definedName>
    <definedName name="Lead_statement_3" localSheetId="2">#REF!</definedName>
    <definedName name="Lead_statement_3" localSheetId="1">#REF!</definedName>
    <definedName name="Lead_statement_3" localSheetId="13">#REF!</definedName>
    <definedName name="Lead_statement_3" localSheetId="9">#REF!</definedName>
    <definedName name="Lead_statement_3" localSheetId="20">#REF!</definedName>
    <definedName name="Lead_statement_3" localSheetId="12">#REF!</definedName>
    <definedName name="Lead_statement_3" localSheetId="8">#REF!</definedName>
    <definedName name="Lead_statement_3" localSheetId="10">#REF!</definedName>
    <definedName name="Lead_statement_3">#REF!</definedName>
    <definedName name="Lead_statement_6" localSheetId="5">#REF!</definedName>
    <definedName name="Lead_statement_6" localSheetId="31">#REF!</definedName>
    <definedName name="Lead_statement_6" localSheetId="2">#REF!</definedName>
    <definedName name="Lead_statement_6" localSheetId="1">#REF!</definedName>
    <definedName name="Lead_statement_6" localSheetId="13">#REF!</definedName>
    <definedName name="Lead_statement_6" localSheetId="9">#REF!</definedName>
    <definedName name="Lead_statement_6" localSheetId="20">#REF!</definedName>
    <definedName name="Lead_statement_6" localSheetId="12">#REF!</definedName>
    <definedName name="Lead_statement_6" localSheetId="8">#REF!</definedName>
    <definedName name="Lead_statement_6" localSheetId="10">#REF!</definedName>
    <definedName name="Lead_statement_6">#REF!</definedName>
    <definedName name="llll" localSheetId="31">#REF!</definedName>
    <definedName name="llll" localSheetId="9">#REF!</definedName>
    <definedName name="llll" localSheetId="20">#REF!</definedName>
    <definedName name="llll" localSheetId="8">#REF!</definedName>
    <definedName name="llll" localSheetId="10">#REF!</definedName>
    <definedName name="llll">#REF!</definedName>
    <definedName name="m" localSheetId="31">#REF!</definedName>
    <definedName name="m" localSheetId="30">#REF!</definedName>
    <definedName name="m" localSheetId="9">#REF!</definedName>
    <definedName name="m" localSheetId="20">#REF!</definedName>
    <definedName name="m" localSheetId="8">#REF!</definedName>
    <definedName name="m" localSheetId="10">#REF!</definedName>
    <definedName name="m">#REF!</definedName>
    <definedName name="M.S.Grill" localSheetId="31">#REF!</definedName>
    <definedName name="M.S.Grill" localSheetId="2">#REF!</definedName>
    <definedName name="M.S.Grill" localSheetId="1">#REF!</definedName>
    <definedName name="M.S.Grill" localSheetId="13">#REF!</definedName>
    <definedName name="M.S.Grill" localSheetId="9">#REF!</definedName>
    <definedName name="M.S.Grill" localSheetId="20">#REF!</definedName>
    <definedName name="M.S.Grill" localSheetId="12">#REF!</definedName>
    <definedName name="M.S.Grill" localSheetId="8">#REF!</definedName>
    <definedName name="M.S.Grill" localSheetId="10">#REF!</definedName>
    <definedName name="M.S.Grill">#REF!</definedName>
    <definedName name="mani" localSheetId="31">#REF!</definedName>
    <definedName name="mani" localSheetId="9">#REF!</definedName>
    <definedName name="mani" localSheetId="20">#REF!</definedName>
    <definedName name="mani" localSheetId="8">#REF!</definedName>
    <definedName name="mani" localSheetId="10">#REF!</definedName>
    <definedName name="mani">#REF!</definedName>
    <definedName name="Material_Board" localSheetId="5">#REF!</definedName>
    <definedName name="Material_Board" localSheetId="31">#REF!</definedName>
    <definedName name="Material_Board" localSheetId="2">#REF!</definedName>
    <definedName name="Material_Board" localSheetId="1">#REF!</definedName>
    <definedName name="Material_Board" localSheetId="13">#REF!</definedName>
    <definedName name="Material_Board" localSheetId="9">#REF!</definedName>
    <definedName name="Material_Board" localSheetId="20">#REF!</definedName>
    <definedName name="Material_Board" localSheetId="12">#REF!</definedName>
    <definedName name="Material_Board" localSheetId="8">#REF!</definedName>
    <definedName name="Material_Board" localSheetId="10">#REF!</definedName>
    <definedName name="Material_Board">#REF!</definedName>
    <definedName name="Material_Board_11" localSheetId="5">#REF!</definedName>
    <definedName name="Material_Board_11" localSheetId="31">#REF!</definedName>
    <definedName name="Material_Board_11" localSheetId="2">#REF!</definedName>
    <definedName name="Material_Board_11" localSheetId="1">#REF!</definedName>
    <definedName name="Material_Board_11" localSheetId="13">#REF!</definedName>
    <definedName name="Material_Board_11" localSheetId="9">#REF!</definedName>
    <definedName name="Material_Board_11" localSheetId="20">#REF!</definedName>
    <definedName name="Material_Board_11" localSheetId="12">#REF!</definedName>
    <definedName name="Material_Board_11" localSheetId="8">#REF!</definedName>
    <definedName name="Material_Board_11" localSheetId="10">#REF!</definedName>
    <definedName name="Material_Board_11">#REF!</definedName>
    <definedName name="Material_Board_3" localSheetId="5">#REF!</definedName>
    <definedName name="Material_Board_3" localSheetId="31">#REF!</definedName>
    <definedName name="Material_Board_3" localSheetId="2">#REF!</definedName>
    <definedName name="Material_Board_3" localSheetId="1">#REF!</definedName>
    <definedName name="Material_Board_3" localSheetId="13">#REF!</definedName>
    <definedName name="Material_Board_3" localSheetId="9">#REF!</definedName>
    <definedName name="Material_Board_3" localSheetId="20">#REF!</definedName>
    <definedName name="Material_Board_3" localSheetId="12">#REF!</definedName>
    <definedName name="Material_Board_3" localSheetId="8">#REF!</definedName>
    <definedName name="Material_Board_3" localSheetId="10">#REF!</definedName>
    <definedName name="Material_Board_3">#REF!</definedName>
    <definedName name="Material_Board_6" localSheetId="5">#REF!</definedName>
    <definedName name="Material_Board_6" localSheetId="31">#REF!</definedName>
    <definedName name="Material_Board_6" localSheetId="2">#REF!</definedName>
    <definedName name="Material_Board_6" localSheetId="1">#REF!</definedName>
    <definedName name="Material_Board_6" localSheetId="13">#REF!</definedName>
    <definedName name="Material_Board_6" localSheetId="9">#REF!</definedName>
    <definedName name="Material_Board_6" localSheetId="20">#REF!</definedName>
    <definedName name="Material_Board_6" localSheetId="12">#REF!</definedName>
    <definedName name="Material_Board_6" localSheetId="8">#REF!</definedName>
    <definedName name="Material_Board_6" localSheetId="10">#REF!</definedName>
    <definedName name="Material_Board_6">#REF!</definedName>
    <definedName name="Material_PWD" localSheetId="5">#REF!</definedName>
    <definedName name="Material_PWD" localSheetId="31">#REF!</definedName>
    <definedName name="Material_PWD" localSheetId="2">#REF!</definedName>
    <definedName name="Material_PWD" localSheetId="1">#REF!</definedName>
    <definedName name="Material_PWD" localSheetId="13">#REF!</definedName>
    <definedName name="Material_PWD" localSheetId="9">#REF!</definedName>
    <definedName name="Material_PWD" localSheetId="20">#REF!</definedName>
    <definedName name="Material_PWD" localSheetId="12">#REF!</definedName>
    <definedName name="Material_PWD" localSheetId="8">#REF!</definedName>
    <definedName name="Material_PWD" localSheetId="10">#REF!</definedName>
    <definedName name="Material_PWD">#REF!</definedName>
    <definedName name="Material_PWD_11" localSheetId="5">#REF!</definedName>
    <definedName name="Material_PWD_11" localSheetId="31">#REF!</definedName>
    <definedName name="Material_PWD_11" localSheetId="2">#REF!</definedName>
    <definedName name="Material_PWD_11" localSheetId="1">#REF!</definedName>
    <definedName name="Material_PWD_11" localSheetId="13">#REF!</definedName>
    <definedName name="Material_PWD_11" localSheetId="9">#REF!</definedName>
    <definedName name="Material_PWD_11" localSheetId="20">#REF!</definedName>
    <definedName name="Material_PWD_11" localSheetId="12">#REF!</definedName>
    <definedName name="Material_PWD_11" localSheetId="8">#REF!</definedName>
    <definedName name="Material_PWD_11" localSheetId="10">#REF!</definedName>
    <definedName name="Material_PWD_11">#REF!</definedName>
    <definedName name="Material_PWD_3" localSheetId="5">#REF!</definedName>
    <definedName name="Material_PWD_3" localSheetId="31">#REF!</definedName>
    <definedName name="Material_PWD_3" localSheetId="2">#REF!</definedName>
    <definedName name="Material_PWD_3" localSheetId="1">#REF!</definedName>
    <definedName name="Material_PWD_3" localSheetId="13">#REF!</definedName>
    <definedName name="Material_PWD_3" localSheetId="9">#REF!</definedName>
    <definedName name="Material_PWD_3" localSheetId="20">#REF!</definedName>
    <definedName name="Material_PWD_3" localSheetId="12">#REF!</definedName>
    <definedName name="Material_PWD_3" localSheetId="8">#REF!</definedName>
    <definedName name="Material_PWD_3" localSheetId="10">#REF!</definedName>
    <definedName name="Material_PWD_3">#REF!</definedName>
    <definedName name="Material_PWD_6" localSheetId="5">#REF!</definedName>
    <definedName name="Material_PWD_6" localSheetId="31">#REF!</definedName>
    <definedName name="Material_PWD_6" localSheetId="2">#REF!</definedName>
    <definedName name="Material_PWD_6" localSheetId="1">#REF!</definedName>
    <definedName name="Material_PWD_6" localSheetId="13">#REF!</definedName>
    <definedName name="Material_PWD_6" localSheetId="9">#REF!</definedName>
    <definedName name="Material_PWD_6" localSheetId="20">#REF!</definedName>
    <definedName name="Material_PWD_6" localSheetId="12">#REF!</definedName>
    <definedName name="Material_PWD_6" localSheetId="8">#REF!</definedName>
    <definedName name="Material_PWD_6" localSheetId="10">#REF!</definedName>
    <definedName name="Material_PWD_6">#REF!</definedName>
    <definedName name="Material_Rate" localSheetId="5">#REF!</definedName>
    <definedName name="Material_Rate" localSheetId="31">#REF!</definedName>
    <definedName name="Material_Rate" localSheetId="2">#REF!</definedName>
    <definedName name="Material_Rate" localSheetId="1">#REF!</definedName>
    <definedName name="Material_Rate" localSheetId="13">#REF!</definedName>
    <definedName name="Material_Rate" localSheetId="9">#REF!</definedName>
    <definedName name="Material_Rate" localSheetId="20">#REF!</definedName>
    <definedName name="Material_Rate" localSheetId="12">#REF!</definedName>
    <definedName name="Material_Rate" localSheetId="8">#REF!</definedName>
    <definedName name="Material_Rate" localSheetId="10">#REF!</definedName>
    <definedName name="Material_Rate">#REF!</definedName>
    <definedName name="Material_road" localSheetId="5">#REF!</definedName>
    <definedName name="Material_road" localSheetId="31">#REF!</definedName>
    <definedName name="Material_road" localSheetId="2">#REF!</definedName>
    <definedName name="Material_road" localSheetId="1">#REF!</definedName>
    <definedName name="Material_road" localSheetId="13">#REF!</definedName>
    <definedName name="Material_road" localSheetId="9">#REF!</definedName>
    <definedName name="Material_road" localSheetId="20">#REF!</definedName>
    <definedName name="Material_road" localSheetId="12">#REF!</definedName>
    <definedName name="Material_road" localSheetId="8">#REF!</definedName>
    <definedName name="Material_road" localSheetId="10">#REF!</definedName>
    <definedName name="Material_road">#REF!</definedName>
    <definedName name="Material_road_11" localSheetId="5">#REF!</definedName>
    <definedName name="Material_road_11" localSheetId="31">#REF!</definedName>
    <definedName name="Material_road_11" localSheetId="2">#REF!</definedName>
    <definedName name="Material_road_11" localSheetId="1">#REF!</definedName>
    <definedName name="Material_road_11" localSheetId="13">#REF!</definedName>
    <definedName name="Material_road_11" localSheetId="9">#REF!</definedName>
    <definedName name="Material_road_11" localSheetId="20">#REF!</definedName>
    <definedName name="Material_road_11" localSheetId="12">#REF!</definedName>
    <definedName name="Material_road_11" localSheetId="8">#REF!</definedName>
    <definedName name="Material_road_11" localSheetId="10">#REF!</definedName>
    <definedName name="Material_road_11">#REF!</definedName>
    <definedName name="Material_road_3" localSheetId="5">#REF!</definedName>
    <definedName name="Material_road_3" localSheetId="31">#REF!</definedName>
    <definedName name="Material_road_3" localSheetId="2">#REF!</definedName>
    <definedName name="Material_road_3" localSheetId="1">#REF!</definedName>
    <definedName name="Material_road_3" localSheetId="13">#REF!</definedName>
    <definedName name="Material_road_3" localSheetId="9">#REF!</definedName>
    <definedName name="Material_road_3" localSheetId="20">#REF!</definedName>
    <definedName name="Material_road_3" localSheetId="12">#REF!</definedName>
    <definedName name="Material_road_3" localSheetId="8">#REF!</definedName>
    <definedName name="Material_road_3" localSheetId="10">#REF!</definedName>
    <definedName name="Material_road_3">#REF!</definedName>
    <definedName name="Material_road_6" localSheetId="5">#REF!</definedName>
    <definedName name="Material_road_6" localSheetId="31">#REF!</definedName>
    <definedName name="Material_road_6" localSheetId="2">#REF!</definedName>
    <definedName name="Material_road_6" localSheetId="1">#REF!</definedName>
    <definedName name="Material_road_6" localSheetId="13">#REF!</definedName>
    <definedName name="Material_road_6" localSheetId="9">#REF!</definedName>
    <definedName name="Material_road_6" localSheetId="20">#REF!</definedName>
    <definedName name="Material_road_6" localSheetId="12">#REF!</definedName>
    <definedName name="Material_road_6" localSheetId="8">#REF!</definedName>
    <definedName name="Material_road_6" localSheetId="10">#REF!</definedName>
    <definedName name="Material_road_6">#REF!</definedName>
    <definedName name="mmm" localSheetId="31">#REF!</definedName>
    <definedName name="mmm" localSheetId="9">#REF!</definedName>
    <definedName name="mmm" localSheetId="20">#REF!</definedName>
    <definedName name="mmm" localSheetId="8">#REF!</definedName>
    <definedName name="mmm" localSheetId="10">#REF!</definedName>
    <definedName name="mmm">#REF!</definedName>
    <definedName name="mn" localSheetId="31">#REF!</definedName>
    <definedName name="mn" localSheetId="9">#REF!</definedName>
    <definedName name="mn" localSheetId="20">#REF!</definedName>
    <definedName name="mn" localSheetId="8">#REF!</definedName>
    <definedName name="mn" localSheetId="10">#REF!</definedName>
    <definedName name="mn">#REF!</definedName>
    <definedName name="MOSIC_INSITU" localSheetId="31">#REF!</definedName>
    <definedName name="MOSIC_INSITU" localSheetId="2">#REF!</definedName>
    <definedName name="MOSIC_INSITU" localSheetId="1">#REF!</definedName>
    <definedName name="MOSIC_INSITU" localSheetId="13">#REF!</definedName>
    <definedName name="MOSIC_INSITU" localSheetId="9">#REF!</definedName>
    <definedName name="MOSIC_INSITU" localSheetId="20">#REF!</definedName>
    <definedName name="MOSIC_INSITU" localSheetId="12">#REF!</definedName>
    <definedName name="MOSIC_INSITU" localSheetId="8">#REF!</definedName>
    <definedName name="MOSIC_INSITU" localSheetId="10">#REF!</definedName>
    <definedName name="MOSIC_INSITU">#REF!</definedName>
    <definedName name="MOSIC_TILES" localSheetId="31">#REF!</definedName>
    <definedName name="MOSIC_TILES" localSheetId="2">#REF!</definedName>
    <definedName name="MOSIC_TILES" localSheetId="1">#REF!</definedName>
    <definedName name="MOSIC_TILES" localSheetId="13">#REF!</definedName>
    <definedName name="MOSIC_TILES" localSheetId="9">#REF!</definedName>
    <definedName name="MOSIC_TILES" localSheetId="20">#REF!</definedName>
    <definedName name="MOSIC_TILES" localSheetId="12">#REF!</definedName>
    <definedName name="MOSIC_TILES" localSheetId="8">#REF!</definedName>
    <definedName name="MOSIC_TILES" localSheetId="10">#REF!</definedName>
    <definedName name="MOSIC_TILES">#REF!</definedName>
    <definedName name="N" localSheetId="5">#REF!</definedName>
    <definedName name="N" localSheetId="31">#REF!</definedName>
    <definedName name="N" localSheetId="2">#REF!</definedName>
    <definedName name="N" localSheetId="1">#REF!</definedName>
    <definedName name="N" localSheetId="13">#REF!</definedName>
    <definedName name="N" localSheetId="9">#REF!</definedName>
    <definedName name="N" localSheetId="20">#REF!</definedName>
    <definedName name="N" localSheetId="12">#REF!</definedName>
    <definedName name="N" localSheetId="8">#REF!</definedName>
    <definedName name="N" localSheetId="10">#REF!</definedName>
    <definedName name="N">#REF!</definedName>
    <definedName name="Name_Road" localSheetId="5">#REF!,#REF!,#REF!,#REF!,#REF!</definedName>
    <definedName name="Name_Road" localSheetId="31">#REF!,#REF!,#REF!,#REF!,#REF!</definedName>
    <definedName name="Name_Road" localSheetId="2">#REF!,#REF!,#REF!,#REF!,#REF!</definedName>
    <definedName name="Name_Road" localSheetId="1">#REF!,#REF!,#REF!,#REF!,#REF!</definedName>
    <definedName name="Name_Road" localSheetId="13">#REF!,#REF!,#REF!,#REF!,#REF!</definedName>
    <definedName name="Name_Road" localSheetId="9">#REF!,#REF!,#REF!,#REF!,#REF!</definedName>
    <definedName name="Name_Road" localSheetId="20">#REF!,#REF!,#REF!,#REF!,#REF!</definedName>
    <definedName name="Name_Road" localSheetId="12">#REF!,#REF!,#REF!,#REF!,#REF!</definedName>
    <definedName name="Name_Road" localSheetId="8">#REF!,#REF!,#REF!,#REF!,#REF!</definedName>
    <definedName name="Name_Road" localSheetId="10">#REF!,#REF!,#REF!,#REF!,#REF!</definedName>
    <definedName name="Name_Road">#REF!,#REF!,#REF!,#REF!,#REF!</definedName>
    <definedName name="NW" localSheetId="31">#REF!</definedName>
    <definedName name="NW" localSheetId="9">#REF!</definedName>
    <definedName name="NW" localSheetId="20">#REF!</definedName>
    <definedName name="NW" localSheetId="8">#REF!</definedName>
    <definedName name="NW" localSheetId="10">#REF!</definedName>
    <definedName name="NW">#REF!</definedName>
    <definedName name="op" localSheetId="31">#REF!</definedName>
    <definedName name="op" localSheetId="9">#REF!</definedName>
    <definedName name="op" localSheetId="8">#REF!</definedName>
    <definedName name="op" localSheetId="10">#REF!</definedName>
    <definedName name="op">#REF!</definedName>
    <definedName name="opyffdffdfgsdghdgfh" localSheetId="31">#REF!</definedName>
    <definedName name="opyffdffdfgsdghdgfh" localSheetId="9">#REF!</definedName>
    <definedName name="opyffdffdfgsdghdgfh" localSheetId="8">#REF!</definedName>
    <definedName name="opyffdffdfgsdghdgfh" localSheetId="10">#REF!</definedName>
    <definedName name="opyffdffdfgsdghdgfh">#REF!</definedName>
    <definedName name="P" localSheetId="5">#REF!</definedName>
    <definedName name="P" localSheetId="31">#REF!</definedName>
    <definedName name="P" localSheetId="19">#REF!</definedName>
    <definedName name="P" localSheetId="2">#REF!</definedName>
    <definedName name="P" localSheetId="1">#REF!</definedName>
    <definedName name="P" localSheetId="13">#REF!</definedName>
    <definedName name="P" localSheetId="9">#REF!</definedName>
    <definedName name="P" localSheetId="12">#REF!</definedName>
    <definedName name="P" localSheetId="8">#REF!</definedName>
    <definedName name="P" localSheetId="29">#REF!</definedName>
    <definedName name="P" localSheetId="21">#REF!</definedName>
    <definedName name="P" localSheetId="10">#REF!</definedName>
    <definedName name="P">#REF!</definedName>
    <definedName name="P.C.C.1.2.4.10MM" localSheetId="5">#REF!</definedName>
    <definedName name="P.C.C.1.2.4.10MM" localSheetId="31">#REF!</definedName>
    <definedName name="P.C.C.1.2.4.10MM" localSheetId="2">#REF!</definedName>
    <definedName name="P.C.C.1.2.4.10MM" localSheetId="1">#REF!</definedName>
    <definedName name="P.C.C.1.2.4.10MM" localSheetId="13">#REF!</definedName>
    <definedName name="P.C.C.1.2.4.10MM" localSheetId="9">#REF!</definedName>
    <definedName name="P.C.C.1.2.4.10MM" localSheetId="20">#REF!</definedName>
    <definedName name="P.C.C.1.2.4.10MM" localSheetId="12">#REF!</definedName>
    <definedName name="P.C.C.1.2.4.10MM" localSheetId="8">#REF!</definedName>
    <definedName name="P.C.C.1.2.4.10MM" localSheetId="10">#REF!</definedName>
    <definedName name="P.C.C.1.2.4.10MM">#REF!</definedName>
    <definedName name="P.C.C.1.2.4.H.B" localSheetId="5">#REF!</definedName>
    <definedName name="P.C.C.1.2.4.H.B" localSheetId="31">#REF!</definedName>
    <definedName name="P.C.C.1.2.4.H.B" localSheetId="2">#REF!</definedName>
    <definedName name="P.C.C.1.2.4.H.B" localSheetId="1">#REF!</definedName>
    <definedName name="P.C.C.1.2.4.H.B" localSheetId="13">#REF!</definedName>
    <definedName name="P.C.C.1.2.4.H.B" localSheetId="9">#REF!</definedName>
    <definedName name="P.C.C.1.2.4.H.B" localSheetId="20">#REF!</definedName>
    <definedName name="P.C.C.1.2.4.H.B" localSheetId="12">#REF!</definedName>
    <definedName name="P.C.C.1.2.4.H.B" localSheetId="8">#REF!</definedName>
    <definedName name="P.C.C.1.2.4.H.B" localSheetId="10">#REF!</definedName>
    <definedName name="P.C.C.1.2.4.H.B">#REF!</definedName>
    <definedName name="P.C.C.1.2.4.M.B" localSheetId="31">#REF!+#REF!</definedName>
    <definedName name="P.C.C.1.2.4.M.B" localSheetId="2">#REF!+#REF!</definedName>
    <definedName name="P.C.C.1.2.4.M.B" localSheetId="1">#REF!+#REF!</definedName>
    <definedName name="P.C.C.1.2.4.M.B" localSheetId="13">#REF!+#REF!</definedName>
    <definedName name="P.C.C.1.2.4.M.B" localSheetId="9">#REF!+#REF!</definedName>
    <definedName name="P.C.C.1.2.4.M.B" localSheetId="20">#REF!+#REF!</definedName>
    <definedName name="P.C.C.1.2.4.M.B" localSheetId="12">#REF!+#REF!</definedName>
    <definedName name="P.C.C.1.2.4.M.B" localSheetId="8">#REF!+#REF!</definedName>
    <definedName name="P.C.C.1.2.4.M.B" localSheetId="10">#REF!+#REF!</definedName>
    <definedName name="P.C.C.1.2.4.M.B">#REF!+#REF!</definedName>
    <definedName name="P.C.C.1.3.6.40MM" localSheetId="5">#REF!</definedName>
    <definedName name="P.C.C.1.3.6.40MM" localSheetId="31">#REF!</definedName>
    <definedName name="P.C.C.1.3.6.40MM" localSheetId="2">#REF!</definedName>
    <definedName name="P.C.C.1.3.6.40MM" localSheetId="1">#REF!</definedName>
    <definedName name="P.C.C.1.3.6.40MM" localSheetId="13">#REF!</definedName>
    <definedName name="P.C.C.1.3.6.40MM" localSheetId="9">#REF!</definedName>
    <definedName name="P.C.C.1.3.6.40MM" localSheetId="20">#REF!</definedName>
    <definedName name="P.C.C.1.3.6.40MM" localSheetId="12">#REF!</definedName>
    <definedName name="P.C.C.1.3.6.40MM" localSheetId="8">#REF!</definedName>
    <definedName name="P.C.C.1.3.6.40MM" localSheetId="10">#REF!</definedName>
    <definedName name="P.C.C.1.3.6.40MM">#REF!</definedName>
    <definedName name="P.C.C.1.3.6.H.B" localSheetId="5">#REF!</definedName>
    <definedName name="P.C.C.1.3.6.H.B" localSheetId="31">#REF!</definedName>
    <definedName name="P.C.C.1.3.6.H.B" localSheetId="2">#REF!</definedName>
    <definedName name="P.C.C.1.3.6.H.B" localSheetId="1">#REF!</definedName>
    <definedName name="P.C.C.1.3.6.H.B" localSheetId="13">#REF!</definedName>
    <definedName name="P.C.C.1.3.6.H.B" localSheetId="9">#REF!</definedName>
    <definedName name="P.C.C.1.3.6.H.B" localSheetId="20">#REF!</definedName>
    <definedName name="P.C.C.1.3.6.H.B" localSheetId="12">#REF!</definedName>
    <definedName name="P.C.C.1.3.6.H.B" localSheetId="8">#REF!</definedName>
    <definedName name="P.C.C.1.3.6.H.B" localSheetId="10">#REF!</definedName>
    <definedName name="P.C.C.1.3.6.H.B">#REF!</definedName>
    <definedName name="P.C.C.1.4.8" localSheetId="5">#REF!</definedName>
    <definedName name="P.C.C.1.4.8" localSheetId="31">#REF!</definedName>
    <definedName name="P.C.C.1.4.8" localSheetId="2">#REF!</definedName>
    <definedName name="P.C.C.1.4.8" localSheetId="1">#REF!</definedName>
    <definedName name="P.C.C.1.4.8" localSheetId="13">#REF!</definedName>
    <definedName name="P.C.C.1.4.8" localSheetId="9">#REF!</definedName>
    <definedName name="P.C.C.1.4.8" localSheetId="20">#REF!</definedName>
    <definedName name="P.C.C.1.4.8" localSheetId="12">#REF!</definedName>
    <definedName name="P.C.C.1.4.8" localSheetId="8">#REF!</definedName>
    <definedName name="P.C.C.1.4.8" localSheetId="10">#REF!</definedName>
    <definedName name="P.C.C.1.4.8">#REF!</definedName>
    <definedName name="P.C.C.1.5.10" localSheetId="31">#REF!</definedName>
    <definedName name="P.C.C.1.5.10" localSheetId="2">#REF!</definedName>
    <definedName name="P.C.C.1.5.10" localSheetId="1">#REF!</definedName>
    <definedName name="P.C.C.1.5.10" localSheetId="13">#REF!</definedName>
    <definedName name="P.C.C.1.5.10" localSheetId="9">#REF!</definedName>
    <definedName name="P.C.C.1.5.10" localSheetId="20">#REF!</definedName>
    <definedName name="P.C.C.1.5.10" localSheetId="12">#REF!</definedName>
    <definedName name="P.C.C.1.5.10" localSheetId="8">#REF!</definedName>
    <definedName name="P.C.C.1.5.10" localSheetId="10">#REF!</definedName>
    <definedName name="P.C.C.1.5.10">#REF!</definedName>
    <definedName name="P.C.C.1.8.16HB" localSheetId="5">#REF!</definedName>
    <definedName name="P.C.C.1.8.16HB" localSheetId="31">#REF!</definedName>
    <definedName name="P.C.C.1.8.16HB" localSheetId="2">#REF!</definedName>
    <definedName name="P.C.C.1.8.16HB" localSheetId="1">#REF!</definedName>
    <definedName name="P.C.C.1.8.16HB" localSheetId="13">#REF!</definedName>
    <definedName name="P.C.C.1.8.16HB" localSheetId="9">#REF!</definedName>
    <definedName name="P.C.C.1.8.16HB" localSheetId="20">#REF!</definedName>
    <definedName name="P.C.C.1.8.16HB" localSheetId="12">#REF!</definedName>
    <definedName name="P.C.C.1.8.16HB" localSheetId="8">#REF!</definedName>
    <definedName name="P.C.C.1.8.16HB" localSheetId="10">#REF!</definedName>
    <definedName name="P.C.C.1.8.16HB">#REF!</definedName>
    <definedName name="P.C.C1.3.6.MB" localSheetId="5">#REF!</definedName>
    <definedName name="P.C.C1.3.6.MB" localSheetId="31">#REF!</definedName>
    <definedName name="P.C.C1.3.6.MB" localSheetId="2">#REF!</definedName>
    <definedName name="P.C.C1.3.6.MB" localSheetId="1">#REF!</definedName>
    <definedName name="P.C.C1.3.6.MB" localSheetId="13">#REF!</definedName>
    <definedName name="P.C.C1.3.6.MB" localSheetId="9">#REF!</definedName>
    <definedName name="P.C.C1.3.6.MB" localSheetId="20">#REF!</definedName>
    <definedName name="P.C.C1.3.6.MB" localSheetId="12">#REF!</definedName>
    <definedName name="P.C.C1.3.6.MB" localSheetId="8">#REF!</definedName>
    <definedName name="P.C.C1.3.6.MB" localSheetId="10">#REF!</definedName>
    <definedName name="P.C.C1.3.6.MB">#REF!</definedName>
    <definedName name="P.C.C1.3.6mb" localSheetId="5">#REF!</definedName>
    <definedName name="P.C.C1.3.6mb" localSheetId="31">#REF!</definedName>
    <definedName name="P.C.C1.3.6mb" localSheetId="2">#REF!</definedName>
    <definedName name="P.C.C1.3.6mb" localSheetId="1">#REF!</definedName>
    <definedName name="P.C.C1.3.6mb" localSheetId="13">#REF!</definedName>
    <definedName name="P.C.C1.3.6mb" localSheetId="9">#REF!</definedName>
    <definedName name="P.C.C1.3.6mb" localSheetId="20">#REF!</definedName>
    <definedName name="P.C.C1.3.6mb" localSheetId="12">#REF!</definedName>
    <definedName name="P.C.C1.3.6mb" localSheetId="8">#REF!</definedName>
    <definedName name="P.C.C1.3.6mb" localSheetId="10">#REF!</definedName>
    <definedName name="P.C.C1.3.6mb">#REF!</definedName>
    <definedName name="P.C.C1.8.16_MB" localSheetId="5">#REF!</definedName>
    <definedName name="P.C.C1.8.16_MB" localSheetId="31">#REF!</definedName>
    <definedName name="P.C.C1.8.16_MB" localSheetId="2">#REF!</definedName>
    <definedName name="P.C.C1.8.16_MB" localSheetId="1">#REF!</definedName>
    <definedName name="P.C.C1.8.16_MB" localSheetId="13">#REF!</definedName>
    <definedName name="P.C.C1.8.16_MB" localSheetId="9">#REF!</definedName>
    <definedName name="P.C.C1.8.16_MB" localSheetId="20">#REF!</definedName>
    <definedName name="P.C.C1.8.16_MB" localSheetId="12">#REF!</definedName>
    <definedName name="P.C.C1.8.16_MB" localSheetId="8">#REF!</definedName>
    <definedName name="P.C.C1.8.16_MB" localSheetId="10">#REF!</definedName>
    <definedName name="P.C.C1.8.16_MB">#REF!</definedName>
    <definedName name="pa" localSheetId="5">#REF!</definedName>
    <definedName name="pa" localSheetId="31">#REF!</definedName>
    <definedName name="pa" localSheetId="2">#REF!</definedName>
    <definedName name="pa" localSheetId="1">#REF!</definedName>
    <definedName name="pa" localSheetId="13">#REF!</definedName>
    <definedName name="pa" localSheetId="9">#REF!</definedName>
    <definedName name="pa" localSheetId="20">#REF!</definedName>
    <definedName name="pa" localSheetId="12">#REF!</definedName>
    <definedName name="pa" localSheetId="8">#REF!</definedName>
    <definedName name="pa" localSheetId="10">#REF!</definedName>
    <definedName name="pa">#REF!</definedName>
    <definedName name="Paint">[1]Spec!$B$24</definedName>
    <definedName name="pc" localSheetId="31">#REF!</definedName>
    <definedName name="pc" localSheetId="19">#REF!</definedName>
    <definedName name="pc" localSheetId="2">#REF!</definedName>
    <definedName name="pc" localSheetId="1">#REF!</definedName>
    <definedName name="pc" localSheetId="13">#REF!</definedName>
    <definedName name="pc" localSheetId="11">#REF!</definedName>
    <definedName name="pc" localSheetId="9">#REF!</definedName>
    <definedName name="pc" localSheetId="20">#REF!</definedName>
    <definedName name="pc" localSheetId="0">#REF!</definedName>
    <definedName name="pc" localSheetId="12">#REF!</definedName>
    <definedName name="pc" localSheetId="24">#REF!</definedName>
    <definedName name="pc" localSheetId="18">#REF!</definedName>
    <definedName name="pc" localSheetId="8">#REF!</definedName>
    <definedName name="pc" localSheetId="29">#REF!</definedName>
    <definedName name="pc" localSheetId="21">#REF!</definedName>
    <definedName name="pc" localSheetId="26">#REF!</definedName>
    <definedName name="pc" localSheetId="10">#REF!</definedName>
    <definedName name="pc" localSheetId="27">#REF!</definedName>
    <definedName name="pc">#REF!</definedName>
    <definedName name="pc_hchhh" localSheetId="31">#REF!</definedName>
    <definedName name="pc_hchhh" localSheetId="9">#REF!</definedName>
    <definedName name="pc_hchhh" localSheetId="20">#REF!</definedName>
    <definedName name="pc_hchhh" localSheetId="8">#REF!</definedName>
    <definedName name="pc_hchhh" localSheetId="10">#REF!</definedName>
    <definedName name="pc_hchhh">#REF!</definedName>
    <definedName name="PC_Name" localSheetId="5">#REF!</definedName>
    <definedName name="PC_Name" localSheetId="31">#REF!</definedName>
    <definedName name="PC_Name" localSheetId="2">#REF!</definedName>
    <definedName name="PC_Name" localSheetId="1">#REF!</definedName>
    <definedName name="PC_Name" localSheetId="13">#REF!</definedName>
    <definedName name="PC_Name" localSheetId="9">#REF!</definedName>
    <definedName name="PC_Name" localSheetId="20">#REF!</definedName>
    <definedName name="PC_Name" localSheetId="12">#REF!</definedName>
    <definedName name="PC_Name" localSheetId="8">#REF!</definedName>
    <definedName name="PC_Name" localSheetId="10">#REF!</definedName>
    <definedName name="PC_Name">#REF!</definedName>
    <definedName name="PC_Road_Name" localSheetId="5">#REF!</definedName>
    <definedName name="PC_Road_Name" localSheetId="31">#REF!</definedName>
    <definedName name="PC_Road_Name" localSheetId="2">#REF!</definedName>
    <definedName name="PC_Road_Name" localSheetId="1">#REF!</definedName>
    <definedName name="PC_Road_Name" localSheetId="13">#REF!</definedName>
    <definedName name="PC_Road_Name" localSheetId="9">#REF!</definedName>
    <definedName name="PC_Road_Name" localSheetId="20">#REF!</definedName>
    <definedName name="PC_Road_Name" localSheetId="12">#REF!</definedName>
    <definedName name="PC_Road_Name" localSheetId="8">#REF!</definedName>
    <definedName name="PC_Road_Name" localSheetId="10">#REF!</definedName>
    <definedName name="PC_Road_Name">#REF!</definedName>
    <definedName name="pe" localSheetId="31">#REF!</definedName>
    <definedName name="pe" localSheetId="9">#REF!</definedName>
    <definedName name="pe" localSheetId="20">#REF!</definedName>
    <definedName name="pe" localSheetId="8">#REF!</definedName>
    <definedName name="pe" localSheetId="10">#REF!</definedName>
    <definedName name="pe">#REF!</definedName>
    <definedName name="Plast_1.3_W.P.C" localSheetId="31">#REF!</definedName>
    <definedName name="Plast_1.3_W.P.C" localSheetId="2">#REF!</definedName>
    <definedName name="Plast_1.3_W.P.C" localSheetId="1">#REF!</definedName>
    <definedName name="Plast_1.3_W.P.C" localSheetId="13">#REF!</definedName>
    <definedName name="Plast_1.3_W.P.C" localSheetId="9">#REF!</definedName>
    <definedName name="Plast_1.3_W.P.C" localSheetId="20">#REF!</definedName>
    <definedName name="Plast_1.3_W.P.C" localSheetId="12">#REF!</definedName>
    <definedName name="Plast_1.3_W.P.C" localSheetId="8">#REF!</definedName>
    <definedName name="Plast_1.3_W.P.C" localSheetId="10">#REF!</definedName>
    <definedName name="Plast_1.3_W.P.C">#REF!</definedName>
    <definedName name="Plast_1.5_12mm" localSheetId="31">#REF!</definedName>
    <definedName name="Plast_1.5_12mm" localSheetId="2">#REF!</definedName>
    <definedName name="Plast_1.5_12mm" localSheetId="1">#REF!</definedName>
    <definedName name="Plast_1.5_12mm" localSheetId="13">#REF!</definedName>
    <definedName name="Plast_1.5_12mm" localSheetId="9">#REF!</definedName>
    <definedName name="Plast_1.5_12mm" localSheetId="20">#REF!</definedName>
    <definedName name="Plast_1.5_12mm" localSheetId="12">#REF!</definedName>
    <definedName name="Plast_1.5_12mm" localSheetId="8">#REF!</definedName>
    <definedName name="Plast_1.5_12mm" localSheetId="10">#REF!</definedName>
    <definedName name="Plast_1.5_12mm">#REF!</definedName>
    <definedName name="Plast_1.5_20mm" localSheetId="31">#REF!</definedName>
    <definedName name="Plast_1.5_20mm" localSheetId="2">#REF!</definedName>
    <definedName name="Plast_1.5_20mm" localSheetId="1">#REF!</definedName>
    <definedName name="Plast_1.5_20mm" localSheetId="13">#REF!</definedName>
    <definedName name="Plast_1.5_20mm" localSheetId="9">#REF!</definedName>
    <definedName name="Plast_1.5_20mm" localSheetId="20">#REF!</definedName>
    <definedName name="Plast_1.5_20mm" localSheetId="12">#REF!</definedName>
    <definedName name="Plast_1.5_20mm" localSheetId="8">#REF!</definedName>
    <definedName name="Plast_1.5_20mm" localSheetId="10">#REF!</definedName>
    <definedName name="Plast_1.5_20mm">#REF!</definedName>
    <definedName name="Plast_Dummy" localSheetId="31">#REF!</definedName>
    <definedName name="Plast_Dummy" localSheetId="2">#REF!</definedName>
    <definedName name="Plast_Dummy" localSheetId="1">#REF!</definedName>
    <definedName name="Plast_Dummy" localSheetId="13">#REF!</definedName>
    <definedName name="Plast_Dummy" localSheetId="9">#REF!</definedName>
    <definedName name="Plast_Dummy" localSheetId="20">#REF!</definedName>
    <definedName name="Plast_Dummy" localSheetId="12">#REF!</definedName>
    <definedName name="Plast_Dummy" localSheetId="8">#REF!</definedName>
    <definedName name="Plast_Dummy" localSheetId="10">#REF!</definedName>
    <definedName name="Plast_Dummy">#REF!</definedName>
    <definedName name="Plast_Roof" localSheetId="31">#REF!</definedName>
    <definedName name="Plast_Roof" localSheetId="2">#REF!</definedName>
    <definedName name="Plast_Roof" localSheetId="1">#REF!</definedName>
    <definedName name="Plast_Roof" localSheetId="13">#REF!</definedName>
    <definedName name="Plast_Roof" localSheetId="9">#REF!</definedName>
    <definedName name="Plast_Roof" localSheetId="20">#REF!</definedName>
    <definedName name="Plast_Roof" localSheetId="12">#REF!</definedName>
    <definedName name="Plast_Roof" localSheetId="8">#REF!</definedName>
    <definedName name="Plast_Roof" localSheetId="10">#REF!</definedName>
    <definedName name="Plast_Roof">#REF!</definedName>
    <definedName name="Plast15">[1]Spec!$B$20</definedName>
    <definedName name="Plastering_pointing" localSheetId="5">#REF!</definedName>
    <definedName name="Plastering_pointing" localSheetId="31">#REF!</definedName>
    <definedName name="Plastering_pointing" localSheetId="2">#REF!</definedName>
    <definedName name="Plastering_pointing" localSheetId="1">#REF!</definedName>
    <definedName name="Plastering_pointing" localSheetId="13">#REF!</definedName>
    <definedName name="Plastering_pointing" localSheetId="9">#REF!</definedName>
    <definedName name="Plastering_pointing" localSheetId="20">#REF!</definedName>
    <definedName name="Plastering_pointing" localSheetId="12">#REF!</definedName>
    <definedName name="Plastering_pointing" localSheetId="8">#REF!</definedName>
    <definedName name="Plastering_pointing" localSheetId="10">#REF!</definedName>
    <definedName name="Plastering_pointing">#REF!</definedName>
    <definedName name="Plastering_pointing_11" localSheetId="5">#REF!</definedName>
    <definedName name="Plastering_pointing_11" localSheetId="31">#REF!</definedName>
    <definedName name="Plastering_pointing_11" localSheetId="2">#REF!</definedName>
    <definedName name="Plastering_pointing_11" localSheetId="1">#REF!</definedName>
    <definedName name="Plastering_pointing_11" localSheetId="13">#REF!</definedName>
    <definedName name="Plastering_pointing_11" localSheetId="9">#REF!</definedName>
    <definedName name="Plastering_pointing_11" localSheetId="20">#REF!</definedName>
    <definedName name="Plastering_pointing_11" localSheetId="12">#REF!</definedName>
    <definedName name="Plastering_pointing_11" localSheetId="8">#REF!</definedName>
    <definedName name="Plastering_pointing_11" localSheetId="10">#REF!</definedName>
    <definedName name="Plastering_pointing_11">#REF!</definedName>
    <definedName name="Plastering_pointing_3" localSheetId="5">#REF!</definedName>
    <definedName name="Plastering_pointing_3" localSheetId="31">#REF!</definedName>
    <definedName name="Plastering_pointing_3" localSheetId="2">#REF!</definedName>
    <definedName name="Plastering_pointing_3" localSheetId="1">#REF!</definedName>
    <definedName name="Plastering_pointing_3" localSheetId="13">#REF!</definedName>
    <definedName name="Plastering_pointing_3" localSheetId="9">#REF!</definedName>
    <definedName name="Plastering_pointing_3" localSheetId="20">#REF!</definedName>
    <definedName name="Plastering_pointing_3" localSheetId="12">#REF!</definedName>
    <definedName name="Plastering_pointing_3" localSheetId="8">#REF!</definedName>
    <definedName name="Plastering_pointing_3" localSheetId="10">#REF!</definedName>
    <definedName name="Plastering_pointing_3">#REF!</definedName>
    <definedName name="Plastering_pointing_6" localSheetId="5">#REF!</definedName>
    <definedName name="Plastering_pointing_6" localSheetId="31">#REF!</definedName>
    <definedName name="Plastering_pointing_6" localSheetId="2">#REF!</definedName>
    <definedName name="Plastering_pointing_6" localSheetId="1">#REF!</definedName>
    <definedName name="Plastering_pointing_6" localSheetId="13">#REF!</definedName>
    <definedName name="Plastering_pointing_6" localSheetId="9">#REF!</definedName>
    <definedName name="Plastering_pointing_6" localSheetId="20">#REF!</definedName>
    <definedName name="Plastering_pointing_6" localSheetId="12">#REF!</definedName>
    <definedName name="Plastering_pointing_6" localSheetId="8">#REF!</definedName>
    <definedName name="Plastering_pointing_6" localSheetId="10">#REF!</definedName>
    <definedName name="Plastering_pointing_6">#REF!</definedName>
    <definedName name="Plastic_Emulsion" localSheetId="31">#REF!</definedName>
    <definedName name="Plastic_Emulsion" localSheetId="2">#REF!</definedName>
    <definedName name="Plastic_Emulsion" localSheetId="1">#REF!</definedName>
    <definedName name="Plastic_Emulsion" localSheetId="13">#REF!</definedName>
    <definedName name="Plastic_Emulsion" localSheetId="9">#REF!</definedName>
    <definedName name="Plastic_Emulsion" localSheetId="20">#REF!</definedName>
    <definedName name="Plastic_Emulsion" localSheetId="12">#REF!</definedName>
    <definedName name="Plastic_Emulsion" localSheetId="8">#REF!</definedName>
    <definedName name="Plastic_Emulsion" localSheetId="10">#REF!</definedName>
    <definedName name="Plastic_Emulsion">#REF!</definedName>
    <definedName name="pls" localSheetId="5">#REF!</definedName>
    <definedName name="pls" localSheetId="31">#REF!</definedName>
    <definedName name="pls" localSheetId="2">#REF!</definedName>
    <definedName name="pls" localSheetId="1">#REF!</definedName>
    <definedName name="pls" localSheetId="13">#REF!</definedName>
    <definedName name="pls" localSheetId="9">#REF!</definedName>
    <definedName name="pls" localSheetId="20">#REF!</definedName>
    <definedName name="pls" localSheetId="12">#REF!</definedName>
    <definedName name="pls" localSheetId="8">#REF!</definedName>
    <definedName name="pls" localSheetId="10">#REF!</definedName>
    <definedName name="pls">#REF!</definedName>
    <definedName name="POOMBUHAR" localSheetId="31">#REF!</definedName>
    <definedName name="POOMBUHAR" localSheetId="9">#REF!</definedName>
    <definedName name="POOMBUHAR" localSheetId="8">#REF!</definedName>
    <definedName name="POOMBUHAR" localSheetId="10">#REF!</definedName>
    <definedName name="POOMBUHAR">#REF!</definedName>
    <definedName name="PressedTile" localSheetId="31">#REF!</definedName>
    <definedName name="PressedTile" localSheetId="2">#REF!</definedName>
    <definedName name="PressedTile" localSheetId="1">#REF!</definedName>
    <definedName name="PressedTile" localSheetId="13">#REF!</definedName>
    <definedName name="PressedTile" localSheetId="9">#REF!</definedName>
    <definedName name="PressedTile" localSheetId="20">#REF!</definedName>
    <definedName name="PressedTile" localSheetId="12">#REF!</definedName>
    <definedName name="PressedTile" localSheetId="8">#REF!</definedName>
    <definedName name="PressedTile" localSheetId="10">#REF!</definedName>
    <definedName name="PressedTile">#REF!</definedName>
    <definedName name="pri" localSheetId="5">#REF!</definedName>
    <definedName name="pri" localSheetId="31">#REF!</definedName>
    <definedName name="pri" localSheetId="2">#REF!</definedName>
    <definedName name="pri" localSheetId="1">#REF!</definedName>
    <definedName name="pri" localSheetId="13">#REF!</definedName>
    <definedName name="pri" localSheetId="9">#REF!</definedName>
    <definedName name="pri" localSheetId="20">#REF!</definedName>
    <definedName name="pri" localSheetId="12">#REF!</definedName>
    <definedName name="pri" localSheetId="8">#REF!</definedName>
    <definedName name="pri" localSheetId="10">#REF!</definedName>
    <definedName name="pri">#REF!</definedName>
    <definedName name="PRIN_TITLES_MI" localSheetId="5">#REF!</definedName>
    <definedName name="PRIN_TITLES_MI" localSheetId="31">#REF!</definedName>
    <definedName name="PRIN_TITLES_MI" localSheetId="2">#REF!</definedName>
    <definedName name="PRIN_TITLES_MI" localSheetId="1">#REF!</definedName>
    <definedName name="PRIN_TITLES_MI" localSheetId="13">#REF!</definedName>
    <definedName name="PRIN_TITLES_MI" localSheetId="9">#REF!</definedName>
    <definedName name="PRIN_TITLES_MI" localSheetId="20">#REF!</definedName>
    <definedName name="PRIN_TITLES_MI" localSheetId="12">#REF!</definedName>
    <definedName name="PRIN_TITLES_MI" localSheetId="8">#REF!</definedName>
    <definedName name="PRIN_TITLES_MI" localSheetId="10">#REF!</definedName>
    <definedName name="PRIN_TITLES_MI">#REF!</definedName>
    <definedName name="print" localSheetId="5">#REF!</definedName>
    <definedName name="print" localSheetId="31">#REF!</definedName>
    <definedName name="print" localSheetId="19">#REF!</definedName>
    <definedName name="print" localSheetId="2">#REF!</definedName>
    <definedName name="print" localSheetId="1">#REF!</definedName>
    <definedName name="print" localSheetId="13">#REF!</definedName>
    <definedName name="print" localSheetId="11">#REF!</definedName>
    <definedName name="print" localSheetId="9">#REF!</definedName>
    <definedName name="print" localSheetId="20">#REF!</definedName>
    <definedName name="print" localSheetId="0">#REF!</definedName>
    <definedName name="print" localSheetId="12">#REF!</definedName>
    <definedName name="print" localSheetId="4">#REF!</definedName>
    <definedName name="print" localSheetId="24">#REF!</definedName>
    <definedName name="print" localSheetId="18">#REF!</definedName>
    <definedName name="print" localSheetId="8">#REF!</definedName>
    <definedName name="print" localSheetId="29">#REF!</definedName>
    <definedName name="print" localSheetId="21">#REF!</definedName>
    <definedName name="print" localSheetId="26">#REF!</definedName>
    <definedName name="print" localSheetId="10">#REF!</definedName>
    <definedName name="print" localSheetId="27">#REF!</definedName>
    <definedName name="print">#REF!</definedName>
    <definedName name="PRINT_ARE" localSheetId="5">#REF!</definedName>
    <definedName name="PRINT_ARE" localSheetId="31">#REF!</definedName>
    <definedName name="PRINT_ARE" localSheetId="2">#REF!</definedName>
    <definedName name="PRINT_ARE" localSheetId="1">#REF!</definedName>
    <definedName name="PRINT_ARE" localSheetId="13">#REF!</definedName>
    <definedName name="PRINT_ARE" localSheetId="9">#REF!</definedName>
    <definedName name="PRINT_ARE" localSheetId="20">#REF!</definedName>
    <definedName name="PRINT_ARE" localSheetId="12">#REF!</definedName>
    <definedName name="PRINT_ARE" localSheetId="8">#REF!</definedName>
    <definedName name="PRINT_ARE" localSheetId="10">#REF!</definedName>
    <definedName name="PRINT_ARE">#REF!</definedName>
    <definedName name="_xlnm.Print_Area" localSheetId="5">'Abst Main '!$A$1:$F$871</definedName>
    <definedName name="_xlnm.Print_Area" localSheetId="31">#REF!</definedName>
    <definedName name="_xlnm.Print_Area" localSheetId="2">'Borewell main'!$A$1:$H$65</definedName>
    <definedName name="_xlnm.Print_Area" localSheetId="1">'Coding sheet'!$A$1:$L$870</definedName>
    <definedName name="_xlnm.Print_Area" localSheetId="30">COMPOUND!$A$1:$I$121</definedName>
    <definedName name="_xlnm.Print_Area" localSheetId="7">Data!$T$1:$AE$49</definedName>
    <definedName name="_xlnm.Print_Area" localSheetId="13">'Design of septic tank'!$A$1:$L$28</definedName>
    <definedName name="_xlnm.Print_Area" localSheetId="3">Detailed!$A$1:$I$1726</definedName>
    <definedName name="_xlnm.Print_Area" localSheetId="11">Development!$A$1:$N$1012</definedName>
    <definedName name="_xlnm.Print_Area" localSheetId="9">Ex.Water!$A$1:$L$19</definedName>
    <definedName name="_xlnm.Print_Area" localSheetId="25">'Ext. Elec.'!$A$1:$H$116</definedName>
    <definedName name="_xlnm.Print_Area" localSheetId="20">'Ext. WS'!$A$1:$H$40</definedName>
    <definedName name="_xlnm.Print_Area" localSheetId="0">'Fire Station'!$A$1:$J$1589</definedName>
    <definedName name="_xlnm.Print_Area" localSheetId="12">'G. Abstractfinal'!$A$1:$F$20</definedName>
    <definedName name="_xlnm.Print_Area" localSheetId="4">'G. Abstractfinal (2)'!$A$1:$F$18</definedName>
    <definedName name="_xlnm.Print_Area" localSheetId="22">#REF!</definedName>
    <definedName name="_xlnm.Print_Area" localSheetId="6">'lead  charge'!$A$1:$S$27</definedName>
    <definedName name="_xlnm.Print_Area" localSheetId="18">OHT!$A$1:$J$65</definedName>
    <definedName name="_xlnm.Print_Area" localSheetId="8">Paver!$A$1:$H$1014</definedName>
    <definedName name="_xlnm.Print_Area" localSheetId="29">'PAVER ROAD'!$A$1:$H$48</definedName>
    <definedName name="_xlnm.Print_Area" localSheetId="15">'PP Detail '!$A$1:$J$49</definedName>
    <definedName name="_xlnm.Print_Area" localSheetId="21">'Pump Room'!$A$1:$H$193</definedName>
    <definedName name="_xlnm.Print_Area" localSheetId="23">R.wall!$A$1:$J$40</definedName>
    <definedName name="_xlnm.Print_Area" localSheetId="16">Road!$A$1:$J$46</definedName>
    <definedName name="_xlnm.Print_Area" localSheetId="17">'Sentry  room'!$A$1:$H$251</definedName>
    <definedName name="_xlnm.Print_Area" localSheetId="26">'Sentry room'!$A$1:$H$229</definedName>
    <definedName name="_xlnm.Print_Area" localSheetId="14">'Septic Tank'!$A$1:$H$105</definedName>
    <definedName name="_xlnm.Print_Area" localSheetId="10">SP!$A$1:$X$1009</definedName>
    <definedName name="_xlnm.Print_Area" localSheetId="27">Sump!$A$1:$I$73</definedName>
    <definedName name="_xlnm.Print_Area">#REF!</definedName>
    <definedName name="PRINT_AREA_" localSheetId="5">#REF!</definedName>
    <definedName name="PRINT_AREA_" localSheetId="31">#REF!</definedName>
    <definedName name="PRINT_AREA_" localSheetId="2">#REF!</definedName>
    <definedName name="PRINT_AREA_" localSheetId="1">#REF!</definedName>
    <definedName name="PRINT_AREA_" localSheetId="13">#REF!</definedName>
    <definedName name="PRINT_AREA_" localSheetId="9">#REF!</definedName>
    <definedName name="PRINT_AREA_" localSheetId="20">#REF!</definedName>
    <definedName name="PRINT_AREA_" localSheetId="12">#REF!</definedName>
    <definedName name="PRINT_AREA_" localSheetId="8">#REF!</definedName>
    <definedName name="PRINT_AREA_" localSheetId="10">#REF!</definedName>
    <definedName name="PRINT_AREA_">#REF!</definedName>
    <definedName name="print_area_copied" localSheetId="31">#REF!</definedName>
    <definedName name="print_area_copied" localSheetId="9">#REF!</definedName>
    <definedName name="print_area_copied" localSheetId="20">#REF!</definedName>
    <definedName name="print_area_copied" localSheetId="8">#REF!</definedName>
    <definedName name="print_area_copied" localSheetId="10">#REF!</definedName>
    <definedName name="print_area_copied">#REF!</definedName>
    <definedName name="PRINT_AREA_M" localSheetId="5">#REF!</definedName>
    <definedName name="PRINT_AREA_M" localSheetId="31">#REF!</definedName>
    <definedName name="PRINT_AREA_M" localSheetId="2">#REF!</definedName>
    <definedName name="PRINT_AREA_M" localSheetId="1">#REF!</definedName>
    <definedName name="PRINT_AREA_M" localSheetId="13">#REF!</definedName>
    <definedName name="PRINT_AREA_M" localSheetId="9">#REF!</definedName>
    <definedName name="PRINT_AREA_M" localSheetId="20">#REF!</definedName>
    <definedName name="PRINT_AREA_M" localSheetId="12">#REF!</definedName>
    <definedName name="PRINT_AREA_M" localSheetId="8">#REF!</definedName>
    <definedName name="PRINT_AREA_M" localSheetId="10">#REF!</definedName>
    <definedName name="PRINT_AREA_M">#REF!</definedName>
    <definedName name="PRINT_AREA_MI" localSheetId="31">#REF!</definedName>
    <definedName name="PRINT_AREA_MI" localSheetId="19">#REF!</definedName>
    <definedName name="PRINT_AREA_MI" localSheetId="2">#REF!</definedName>
    <definedName name="PRINT_AREA_MI" localSheetId="1">#REF!</definedName>
    <definedName name="PRINT_AREA_MI" localSheetId="30">#REF!</definedName>
    <definedName name="Print_Area_MI" localSheetId="7">Data!$F$1:$K$214</definedName>
    <definedName name="PRINT_AREA_MI" localSheetId="13">#REF!</definedName>
    <definedName name="PRINT_AREA_MI" localSheetId="3">#REF!</definedName>
    <definedName name="PRINT_AREA_MI" localSheetId="11">#REF!</definedName>
    <definedName name="PRINT_AREA_MI" localSheetId="9">#REF!</definedName>
    <definedName name="PRINT_AREA_MI" localSheetId="25">#REF!</definedName>
    <definedName name="PRINT_AREA_MI" localSheetId="20">#REF!</definedName>
    <definedName name="PRINT_AREA_MI" localSheetId="0">#REF!</definedName>
    <definedName name="PRINT_AREA_MI" localSheetId="12">#REF!</definedName>
    <definedName name="PRINT_AREA_MI" localSheetId="4">#REF!</definedName>
    <definedName name="PRINT_AREA_MI" localSheetId="18">#REF!</definedName>
    <definedName name="PRINT_AREA_MI" localSheetId="8">#REF!</definedName>
    <definedName name="PRINT_AREA_MI" localSheetId="29">#REF!</definedName>
    <definedName name="PRINT_AREA_MI" localSheetId="15">#REF!</definedName>
    <definedName name="PRINT_AREA_MI" localSheetId="21">#REF!</definedName>
    <definedName name="PRINT_AREA_MI" localSheetId="23">#REF!</definedName>
    <definedName name="PRINT_AREA_MI" localSheetId="16">#REF!</definedName>
    <definedName name="PRINT_AREA_MI" localSheetId="17">#REF!</definedName>
    <definedName name="PRINT_AREA_MI" localSheetId="26">#REF!</definedName>
    <definedName name="PRINT_AREA_MI" localSheetId="14">#REF!</definedName>
    <definedName name="PRINT_AREA_MI" localSheetId="10">#REF!</definedName>
    <definedName name="PRINT_AREA_MI" localSheetId="27">#REF!</definedName>
    <definedName name="PRINT_AREA_MI">#REF!</definedName>
    <definedName name="PRINT_AREA_MI_2" localSheetId="5">#REF!</definedName>
    <definedName name="PRINT_AREA_MI_2" localSheetId="31">#REF!</definedName>
    <definedName name="PRINT_AREA_MI_2" localSheetId="2">#REF!</definedName>
    <definedName name="PRINT_AREA_MI_2" localSheetId="1">#REF!</definedName>
    <definedName name="PRINT_AREA_MI_2" localSheetId="13">#REF!</definedName>
    <definedName name="PRINT_AREA_MI_2" localSheetId="9">#REF!</definedName>
    <definedName name="PRINT_AREA_MI_2" localSheetId="20">#REF!</definedName>
    <definedName name="PRINT_AREA_MI_2" localSheetId="12">#REF!</definedName>
    <definedName name="PRINT_AREA_MI_2" localSheetId="8">#REF!</definedName>
    <definedName name="PRINT_AREA_MI_2" localSheetId="10">#REF!</definedName>
    <definedName name="PRINT_AREA_MI_2">#REF!</definedName>
    <definedName name="Print_Area1" localSheetId="31">#REF!</definedName>
    <definedName name="Print_Area1" localSheetId="9">#REF!</definedName>
    <definedName name="Print_Area1" localSheetId="20">#REF!</definedName>
    <definedName name="Print_Area1" localSheetId="8">#REF!</definedName>
    <definedName name="Print_Area1" localSheetId="10">#REF!</definedName>
    <definedName name="Print_Area1">#REF!</definedName>
    <definedName name="Print_T" localSheetId="5">#REF!</definedName>
    <definedName name="Print_T" localSheetId="31">#REF!</definedName>
    <definedName name="Print_T" localSheetId="2">#REF!</definedName>
    <definedName name="Print_T" localSheetId="1">#REF!</definedName>
    <definedName name="Print_T" localSheetId="13">#REF!</definedName>
    <definedName name="Print_T" localSheetId="9">#REF!</definedName>
    <definedName name="Print_T" localSheetId="20">#REF!</definedName>
    <definedName name="Print_T" localSheetId="12">#REF!</definedName>
    <definedName name="Print_T" localSheetId="8">#REF!</definedName>
    <definedName name="Print_T" localSheetId="10">#REF!</definedName>
    <definedName name="Print_T">#REF!</definedName>
    <definedName name="Print_Tit" localSheetId="5">#REF!</definedName>
    <definedName name="Print_Tit" localSheetId="31">#REF!</definedName>
    <definedName name="Print_Tit" localSheetId="2">#REF!</definedName>
    <definedName name="Print_Tit" localSheetId="1">#REF!</definedName>
    <definedName name="Print_Tit" localSheetId="13">#REF!</definedName>
    <definedName name="Print_Tit" localSheetId="9">#REF!</definedName>
    <definedName name="Print_Tit" localSheetId="20">#REF!</definedName>
    <definedName name="Print_Tit" localSheetId="12">#REF!</definedName>
    <definedName name="Print_Tit" localSheetId="8">#REF!</definedName>
    <definedName name="Print_Tit" localSheetId="10">#REF!</definedName>
    <definedName name="Print_Tit">#REF!</definedName>
    <definedName name="Print_Titl" localSheetId="5">#REF!</definedName>
    <definedName name="Print_Titl" localSheetId="31">#REF!</definedName>
    <definedName name="Print_Titl" localSheetId="2">#REF!</definedName>
    <definedName name="Print_Titl" localSheetId="1">#REF!</definedName>
    <definedName name="Print_Titl" localSheetId="13">#REF!</definedName>
    <definedName name="Print_Titl" localSheetId="9">#REF!</definedName>
    <definedName name="Print_Titl" localSheetId="20">#REF!</definedName>
    <definedName name="Print_Titl" localSheetId="12">#REF!</definedName>
    <definedName name="Print_Titl" localSheetId="8">#REF!</definedName>
    <definedName name="Print_Titl" localSheetId="10">#REF!</definedName>
    <definedName name="Print_Titl">#REF!</definedName>
    <definedName name="Print_Title" localSheetId="5">#REF!</definedName>
    <definedName name="Print_Title" localSheetId="31">#REF!</definedName>
    <definedName name="Print_Title" localSheetId="19">#REF!</definedName>
    <definedName name="Print_Title" localSheetId="2">#REF!</definedName>
    <definedName name="Print_Title" localSheetId="1">#REF!</definedName>
    <definedName name="Print_Title" localSheetId="13">#REF!</definedName>
    <definedName name="Print_Title" localSheetId="9">#REF!</definedName>
    <definedName name="Print_Title" localSheetId="12">#REF!</definedName>
    <definedName name="Print_Title" localSheetId="8">#REF!</definedName>
    <definedName name="Print_Title" localSheetId="29">#REF!</definedName>
    <definedName name="Print_Title" localSheetId="21">#REF!</definedName>
    <definedName name="Print_Title" localSheetId="10">#REF!</definedName>
    <definedName name="Print_Title">#REF!</definedName>
    <definedName name="_xlnm.Print_Titles" localSheetId="5">'Abst Main '!$A$3:$IV$4</definedName>
    <definedName name="_xlnm.Print_Titles" localSheetId="31">'Addl. works (P)'!$4:$5</definedName>
    <definedName name="_xlnm.Print_Titles" localSheetId="19">Borewell!$5:$6</definedName>
    <definedName name="_xlnm.Print_Titles" localSheetId="2">#REF!</definedName>
    <definedName name="_xlnm.Print_Titles" localSheetId="1">'Coding sheet'!$A$2:$IV$3</definedName>
    <definedName name="_xlnm.Print_Titles" localSheetId="30">COMPOUND!$10:$10</definedName>
    <definedName name="_xlnm.Print_Titles" localSheetId="28">Culvert!$5:$6</definedName>
    <definedName name="_xlnm.Print_Titles" localSheetId="13">#REF!</definedName>
    <definedName name="_xlnm.Print_Titles" localSheetId="3">Detailed!$A$6:$IV$7</definedName>
    <definedName name="_xlnm.Print_Titles" localSheetId="11">Development!$A$2:$HP$3</definedName>
    <definedName name="_xlnm.Print_Titles" localSheetId="25">'Ext. Elec.'!$5:$6</definedName>
    <definedName name="_xlnm.Print_Titles" localSheetId="20">'Ext. WS'!$5:$5</definedName>
    <definedName name="_xlnm.Print_Titles" localSheetId="0">'Fire Station'!$4:$5</definedName>
    <definedName name="_xlnm.Print_Titles" localSheetId="4">'G. Abstractfinal (2)'!$A$3:$IV$3</definedName>
    <definedName name="_xlnm.Print_Titles" localSheetId="22">#REF!</definedName>
    <definedName name="_xlnm.Print_Titles" localSheetId="24">'L &amp; N'!$4:$5</definedName>
    <definedName name="_xlnm.Print_Titles" localSheetId="18">OHT!$7:$7</definedName>
    <definedName name="_xlnm.Print_Titles" localSheetId="29">'PAVER ROAD'!$4:$5</definedName>
    <definedName name="_xlnm.Print_Titles" localSheetId="21">'Pump Room'!$5:$5</definedName>
    <definedName name="_xlnm.Print_Titles" localSheetId="23">R.wall!$5:$7</definedName>
    <definedName name="_xlnm.Print_Titles" localSheetId="16">#REF!</definedName>
    <definedName name="_xlnm.Print_Titles" localSheetId="17">'Sentry  room'!$A$6:$IV$7</definedName>
    <definedName name="_xlnm.Print_Titles" localSheetId="26">'Sentry room'!$A$7:$IV$8</definedName>
    <definedName name="_xlnm.Print_Titles" localSheetId="14">'Septic Tank'!$7:$7</definedName>
    <definedName name="_xlnm.Print_Titles" localSheetId="27">Sump!$7:$8</definedName>
    <definedName name="_xlnm.Print_Titles">#REF!</definedName>
    <definedName name="PRINT_TITLES_MI" localSheetId="31">#REF!</definedName>
    <definedName name="PRINT_TITLES_MI" localSheetId="19">#REF!</definedName>
    <definedName name="PRINT_TITLES_MI" localSheetId="2">#REF!</definedName>
    <definedName name="PRINT_TITLES_MI" localSheetId="1">#REF!</definedName>
    <definedName name="PRINT_TITLES_MI" localSheetId="30">#REF!</definedName>
    <definedName name="PRINT_TITLES_MI" localSheetId="7">Data!$GJ$7:$IG$7592</definedName>
    <definedName name="PRINT_TITLES_MI" localSheetId="13">#REF!</definedName>
    <definedName name="PRINT_TITLES_MI" localSheetId="3">#REF!</definedName>
    <definedName name="PRINT_TITLES_MI" localSheetId="11">#REF!</definedName>
    <definedName name="PRINT_TITLES_MI" localSheetId="9">#REF!</definedName>
    <definedName name="PRINT_TITLES_MI" localSheetId="25">#REF!</definedName>
    <definedName name="PRINT_TITLES_MI" localSheetId="20">#REF!</definedName>
    <definedName name="PRINT_TITLES_MI" localSheetId="0">#REF!</definedName>
    <definedName name="PRINT_TITLES_MI" localSheetId="12">#REF!</definedName>
    <definedName name="PRINT_TITLES_MI" localSheetId="4">#REF!</definedName>
    <definedName name="PRINT_TITLES_MI" localSheetId="18">#REF!</definedName>
    <definedName name="PRINT_TITLES_MI" localSheetId="8">#REF!</definedName>
    <definedName name="PRINT_TITLES_MI" localSheetId="29">#REF!</definedName>
    <definedName name="PRINT_TITLES_MI" localSheetId="15">#REF!</definedName>
    <definedName name="PRINT_TITLES_MI" localSheetId="21">#REF!</definedName>
    <definedName name="PRINT_TITLES_MI" localSheetId="23">#REF!</definedName>
    <definedName name="PRINT_TITLES_MI" localSheetId="16">#REF!</definedName>
    <definedName name="PRINT_TITLES_MI" localSheetId="17">#REF!</definedName>
    <definedName name="PRINT_TITLES_MI" localSheetId="26">#REF!</definedName>
    <definedName name="PRINT_TITLES_MI" localSheetId="14">#REF!</definedName>
    <definedName name="PRINT_TITLES_MI" localSheetId="10">#REF!</definedName>
    <definedName name="PRINT_TITLES_MI" localSheetId="27">#REF!</definedName>
    <definedName name="PRINT_TITLES_MI">#REF!</definedName>
    <definedName name="PRINT_TITLES_MI_2" localSheetId="5">#REF!</definedName>
    <definedName name="PRINT_TITLES_MI_2" localSheetId="31">#REF!</definedName>
    <definedName name="PRINT_TITLES_MI_2" localSheetId="2">#REF!</definedName>
    <definedName name="PRINT_TITLES_MI_2" localSheetId="1">#REF!</definedName>
    <definedName name="PRINT_TITLES_MI_2" localSheetId="13">#REF!</definedName>
    <definedName name="PRINT_TITLES_MI_2" localSheetId="9">#REF!</definedName>
    <definedName name="PRINT_TITLES_MI_2" localSheetId="20">#REF!</definedName>
    <definedName name="PRINT_TITLES_MI_2" localSheetId="12">#REF!</definedName>
    <definedName name="PRINT_TITLES_MI_2" localSheetId="8">#REF!</definedName>
    <definedName name="PRINT_TITLES_MI_2" localSheetId="10">#REF!</definedName>
    <definedName name="PRINT_TITLES_MI_2">#REF!</definedName>
    <definedName name="PRINT_TITLES_NW" localSheetId="31">#REF!</definedName>
    <definedName name="PRINT_TITLES_NW" localSheetId="9">#REF!</definedName>
    <definedName name="PRINT_TITLES_NW" localSheetId="20">#REF!</definedName>
    <definedName name="PRINT_TITLES_NW" localSheetId="8">#REF!</definedName>
    <definedName name="PRINT_TITLES_NW" localSheetId="10">#REF!</definedName>
    <definedName name="PRINT_TITLES_NW">#REF!</definedName>
    <definedName name="Print_titlesnew" localSheetId="5">#REF!</definedName>
    <definedName name="Print_titlesnew" localSheetId="31">#REF!</definedName>
    <definedName name="Print_titlesnew" localSheetId="2">#REF!</definedName>
    <definedName name="Print_titlesnew" localSheetId="1">#REF!</definedName>
    <definedName name="Print_titlesnew" localSheetId="13">#REF!</definedName>
    <definedName name="Print_titlesnew" localSheetId="9">#REF!</definedName>
    <definedName name="Print_titlesnew" localSheetId="20">#REF!</definedName>
    <definedName name="Print_titlesnew" localSheetId="12">#REF!</definedName>
    <definedName name="Print_titlesnew" localSheetId="8">#REF!</definedName>
    <definedName name="Print_titlesnew" localSheetId="10">#REF!</definedName>
    <definedName name="Print_titlesnew">#REF!</definedName>
    <definedName name="printarea1" localSheetId="5">#REF!</definedName>
    <definedName name="printarea1" localSheetId="31">#REF!</definedName>
    <definedName name="printarea1" localSheetId="2">#REF!</definedName>
    <definedName name="printarea1" localSheetId="1">#REF!</definedName>
    <definedName name="printarea1" localSheetId="13">#REF!</definedName>
    <definedName name="printarea1" localSheetId="9">#REF!</definedName>
    <definedName name="printarea1" localSheetId="20">#REF!</definedName>
    <definedName name="printarea1" localSheetId="12">#REF!</definedName>
    <definedName name="printarea1" localSheetId="8">#REF!</definedName>
    <definedName name="printarea1" localSheetId="10">#REF!</definedName>
    <definedName name="printarea1">#REF!</definedName>
    <definedName name="q" localSheetId="31">#REF!</definedName>
    <definedName name="q" localSheetId="9">#REF!</definedName>
    <definedName name="q" localSheetId="8">#REF!</definedName>
    <definedName name="q" localSheetId="10">#REF!</definedName>
    <definedName name="q">#REF!</definedName>
    <definedName name="qhjkjcvbn" localSheetId="31">#REF!</definedName>
    <definedName name="qhjkjcvbn" localSheetId="9">#REF!</definedName>
    <definedName name="qhjkjcvbn" localSheetId="8">#REF!</definedName>
    <definedName name="qhjkjcvbn" localSheetId="10">#REF!</definedName>
    <definedName name="qhjkjcvbn">#REF!</definedName>
    <definedName name="QQE" localSheetId="31">#REF!</definedName>
    <definedName name="QQE" localSheetId="19">#REF!</definedName>
    <definedName name="QQE" localSheetId="2">#REF!</definedName>
    <definedName name="QQE" localSheetId="1">#REF!</definedName>
    <definedName name="QQE" localSheetId="13">#REF!</definedName>
    <definedName name="QQE" localSheetId="11">#REF!</definedName>
    <definedName name="QQE" localSheetId="9">#REF!</definedName>
    <definedName name="QQE" localSheetId="0">#REF!</definedName>
    <definedName name="QQE" localSheetId="12">#REF!</definedName>
    <definedName name="QQE" localSheetId="18">#REF!</definedName>
    <definedName name="QQE" localSheetId="8">#REF!</definedName>
    <definedName name="QQE" localSheetId="29">#REF!</definedName>
    <definedName name="QQE" localSheetId="21">#REF!</definedName>
    <definedName name="QQE" localSheetId="26">#REF!</definedName>
    <definedName name="QQE" localSheetId="10">#REF!</definedName>
    <definedName name="QQE" localSheetId="27">#REF!</definedName>
    <definedName name="QQE">#REF!</definedName>
    <definedName name="QWE" localSheetId="31">#REF!</definedName>
    <definedName name="QWE" localSheetId="19">#REF!</definedName>
    <definedName name="QWE" localSheetId="2">#REF!</definedName>
    <definedName name="QWE" localSheetId="1">#REF!</definedName>
    <definedName name="QWE" localSheetId="13">#REF!</definedName>
    <definedName name="QWE" localSheetId="11">#REF!</definedName>
    <definedName name="QWE" localSheetId="9">#REF!</definedName>
    <definedName name="QWE" localSheetId="0">#REF!</definedName>
    <definedName name="QWE" localSheetId="12">#REF!</definedName>
    <definedName name="QWE" localSheetId="18">#REF!</definedName>
    <definedName name="QWE" localSheetId="8">#REF!</definedName>
    <definedName name="QWE" localSheetId="29">#REF!</definedName>
    <definedName name="QWE" localSheetId="21">#REF!</definedName>
    <definedName name="QWE" localSheetId="26">#REF!</definedName>
    <definedName name="QWE" localSheetId="10">#REF!</definedName>
    <definedName name="QWE" localSheetId="27">#REF!</definedName>
    <definedName name="QWE">#REF!</definedName>
    <definedName name="R.R_1.3" localSheetId="5">#REF!</definedName>
    <definedName name="R.R_1.3" localSheetId="31">#REF!</definedName>
    <definedName name="R.R_1.3" localSheetId="2">#REF!</definedName>
    <definedName name="R.R_1.3" localSheetId="1">#REF!</definedName>
    <definedName name="R.R_1.3" localSheetId="13">#REF!</definedName>
    <definedName name="R.R_1.3" localSheetId="9">#REF!</definedName>
    <definedName name="R.R_1.3" localSheetId="20">#REF!</definedName>
    <definedName name="R.R_1.3" localSheetId="12">#REF!</definedName>
    <definedName name="R.R_1.3" localSheetId="8">#REF!</definedName>
    <definedName name="R.R_1.3" localSheetId="10">#REF!</definedName>
    <definedName name="R.R_1.3">#REF!</definedName>
    <definedName name="R.R_1.5" localSheetId="5">#REF!</definedName>
    <definedName name="R.R_1.5" localSheetId="31">#REF!</definedName>
    <definedName name="R.R_1.5" localSheetId="2">#REF!</definedName>
    <definedName name="R.R_1.5" localSheetId="1">#REF!</definedName>
    <definedName name="R.R_1.5" localSheetId="13">#REF!</definedName>
    <definedName name="R.R_1.5" localSheetId="9">#REF!</definedName>
    <definedName name="R.R_1.5" localSheetId="20">#REF!</definedName>
    <definedName name="R.R_1.5" localSheetId="12">#REF!</definedName>
    <definedName name="R.R_1.5" localSheetId="8">#REF!</definedName>
    <definedName name="R.R_1.5" localSheetId="10">#REF!</definedName>
    <definedName name="R.R_1.5">#REF!</definedName>
    <definedName name="R.R_1.6" localSheetId="5">#REF!</definedName>
    <definedName name="R.R_1.6" localSheetId="31">#REF!</definedName>
    <definedName name="R.R_1.6" localSheetId="2">#REF!</definedName>
    <definedName name="R.R_1.6" localSheetId="1">#REF!</definedName>
    <definedName name="R.R_1.6" localSheetId="13">#REF!</definedName>
    <definedName name="R.R_1.6" localSheetId="9">#REF!</definedName>
    <definedName name="R.R_1.6" localSheetId="20">#REF!</definedName>
    <definedName name="R.R_1.6" localSheetId="12">#REF!</definedName>
    <definedName name="R.R_1.6" localSheetId="8">#REF!</definedName>
    <definedName name="R.R_1.6" localSheetId="10">#REF!</definedName>
    <definedName name="R.R_1.6">#REF!</definedName>
    <definedName name="raja" localSheetId="31">#REF!</definedName>
    <definedName name="raja" localSheetId="9">#REF!</definedName>
    <definedName name="raja" localSheetId="20">#REF!</definedName>
    <definedName name="raja" localSheetId="8">#REF!</definedName>
    <definedName name="raja" localSheetId="10">#REF!</definedName>
    <definedName name="raja">#REF!</definedName>
    <definedName name="RATE" localSheetId="31">#REF!</definedName>
    <definedName name="RATE" localSheetId="2">#REF!</definedName>
    <definedName name="RATE" localSheetId="1">#REF!</definedName>
    <definedName name="RATE" localSheetId="13">#REF!</definedName>
    <definedName name="RATE" localSheetId="9">#REF!</definedName>
    <definedName name="RATE" localSheetId="20">#REF!</definedName>
    <definedName name="RATE" localSheetId="12">#REF!</definedName>
    <definedName name="RATE" localSheetId="8">#REF!</definedName>
    <definedName name="RATE" localSheetId="10">#REF!</definedName>
    <definedName name="RATE">#REF!</definedName>
    <definedName name="Rate_for_1_Cum" localSheetId="31">#REF!</definedName>
    <definedName name="Rate_for_1_Cum" localSheetId="2">#REF!</definedName>
    <definedName name="Rate_for_1_Cum" localSheetId="1">#REF!</definedName>
    <definedName name="Rate_for_1_Cum" localSheetId="13">#REF!</definedName>
    <definedName name="Rate_for_1_Cum" localSheetId="9">#REF!</definedName>
    <definedName name="Rate_for_1_Cum" localSheetId="20">#REF!</definedName>
    <definedName name="Rate_for_1_Cum" localSheetId="12">#REF!</definedName>
    <definedName name="Rate_for_1_Cum" localSheetId="8">#REF!</definedName>
    <definedName name="Rate_for_1_Cum" localSheetId="10">#REF!</definedName>
    <definedName name="Rate_for_1_Cum">#REF!</definedName>
    <definedName name="Rates_Charges" localSheetId="5">#REF!</definedName>
    <definedName name="Rates_Charges" localSheetId="31">#REF!</definedName>
    <definedName name="Rates_Charges" localSheetId="2">#REF!</definedName>
    <definedName name="Rates_Charges" localSheetId="1">#REF!</definedName>
    <definedName name="Rates_Charges" localSheetId="13">#REF!</definedName>
    <definedName name="Rates_Charges" localSheetId="9">#REF!</definedName>
    <definedName name="Rates_Charges" localSheetId="20">#REF!</definedName>
    <definedName name="Rates_Charges" localSheetId="12">#REF!</definedName>
    <definedName name="Rates_Charges" localSheetId="8">#REF!</definedName>
    <definedName name="Rates_Charges" localSheetId="10">#REF!</definedName>
    <definedName name="Rates_Charges">#REF!</definedName>
    <definedName name="Rates_Labour" localSheetId="5">#REF!</definedName>
    <definedName name="Rates_Labour" localSheetId="31">#REF!</definedName>
    <definedName name="Rates_Labour" localSheetId="2">#REF!</definedName>
    <definedName name="Rates_Labour" localSheetId="1">#REF!</definedName>
    <definedName name="Rates_Labour" localSheetId="13">#REF!</definedName>
    <definedName name="Rates_Labour" localSheetId="9">#REF!</definedName>
    <definedName name="Rates_Labour" localSheetId="20">#REF!</definedName>
    <definedName name="Rates_Labour" localSheetId="12">#REF!</definedName>
    <definedName name="Rates_Labour" localSheetId="8">#REF!</definedName>
    <definedName name="Rates_Labour" localSheetId="10">#REF!</definedName>
    <definedName name="Rates_Labour">#REF!</definedName>
    <definedName name="Rates_Materials" localSheetId="5">#REF!</definedName>
    <definedName name="Rates_Materials" localSheetId="31">#REF!</definedName>
    <definedName name="Rates_Materials" localSheetId="2">#REF!</definedName>
    <definedName name="Rates_Materials" localSheetId="1">#REF!</definedName>
    <definedName name="Rates_Materials" localSheetId="13">#REF!</definedName>
    <definedName name="Rates_Materials" localSheetId="9">#REF!</definedName>
    <definedName name="Rates_Materials" localSheetId="20">#REF!</definedName>
    <definedName name="Rates_Materials" localSheetId="12">#REF!</definedName>
    <definedName name="Rates_Materials" localSheetId="8">#REF!</definedName>
    <definedName name="Rates_Materials" localSheetId="10">#REF!</definedName>
    <definedName name="Rates_Materials">#REF!</definedName>
    <definedName name="RCC" localSheetId="5">#REF!</definedName>
    <definedName name="RCC" localSheetId="31">#REF!</definedName>
    <definedName name="RCC" localSheetId="2">#REF!</definedName>
    <definedName name="RCC" localSheetId="1">#REF!</definedName>
    <definedName name="RCC" localSheetId="13">#REF!</definedName>
    <definedName name="RCC" localSheetId="9">#REF!</definedName>
    <definedName name="RCC" localSheetId="20">#REF!</definedName>
    <definedName name="RCC" localSheetId="12">#REF!</definedName>
    <definedName name="RCC" localSheetId="8">#REF!</definedName>
    <definedName name="RCC" localSheetId="10">#REF!</definedName>
    <definedName name="RCC">#REF!</definedName>
    <definedName name="RCC.1.1.2_MB" localSheetId="5">#REF!</definedName>
    <definedName name="RCC.1.1.2_MB" localSheetId="31">#REF!</definedName>
    <definedName name="RCC.1.1.2_MB" localSheetId="2">#REF!</definedName>
    <definedName name="RCC.1.1.2_MB" localSheetId="1">#REF!</definedName>
    <definedName name="RCC.1.1.2_MB" localSheetId="13">#REF!</definedName>
    <definedName name="RCC.1.1.2_MB" localSheetId="9">#REF!</definedName>
    <definedName name="RCC.1.1.2_MB" localSheetId="20">#REF!</definedName>
    <definedName name="RCC.1.1.2_MB" localSheetId="12">#REF!</definedName>
    <definedName name="RCC.1.1.2_MB" localSheetId="8">#REF!</definedName>
    <definedName name="RCC.1.1.2_MB" localSheetId="10">#REF!</definedName>
    <definedName name="RCC.1.1.2_MB">#REF!</definedName>
    <definedName name="RCC.1.1.5.3_MB" localSheetId="5">#REF!</definedName>
    <definedName name="RCC.1.1.5.3_MB" localSheetId="31">#REF!</definedName>
    <definedName name="RCC.1.1.5.3_MB" localSheetId="2">#REF!</definedName>
    <definedName name="RCC.1.1.5.3_MB" localSheetId="1">#REF!</definedName>
    <definedName name="RCC.1.1.5.3_MB" localSheetId="13">#REF!</definedName>
    <definedName name="RCC.1.1.5.3_MB" localSheetId="9">#REF!</definedName>
    <definedName name="RCC.1.1.5.3_MB" localSheetId="20">#REF!</definedName>
    <definedName name="RCC.1.1.5.3_MB" localSheetId="12">#REF!</definedName>
    <definedName name="RCC.1.1.5.3_MB" localSheetId="8">#REF!</definedName>
    <definedName name="RCC.1.1.5.3_MB" localSheetId="10">#REF!</definedName>
    <definedName name="RCC.1.1.5.3_MB">#REF!</definedName>
    <definedName name="RCC.1.2.4_MB" localSheetId="31">#REF!</definedName>
    <definedName name="RCC.1.2.4_MB" localSheetId="2">#REF!</definedName>
    <definedName name="RCC.1.2.4_MB" localSheetId="1">#REF!</definedName>
    <definedName name="RCC.1.2.4_MB" localSheetId="13">#REF!</definedName>
    <definedName name="RCC.1.2.4_MB" localSheetId="9">#REF!</definedName>
    <definedName name="RCC.1.2.4_MB" localSheetId="20">#REF!</definedName>
    <definedName name="RCC.1.2.4_MB" localSheetId="12">#REF!</definedName>
    <definedName name="RCC.1.2.4_MB" localSheetId="8">#REF!</definedName>
    <definedName name="RCC.1.2.4_MB" localSheetId="10">#REF!</definedName>
    <definedName name="RCC.1.2.4_MB">#REF!</definedName>
    <definedName name="RCC_11" localSheetId="5">#REF!</definedName>
    <definedName name="RCC_11" localSheetId="31">#REF!</definedName>
    <definedName name="RCC_11" localSheetId="2">#REF!</definedName>
    <definedName name="RCC_11" localSheetId="1">#REF!</definedName>
    <definedName name="RCC_11" localSheetId="13">#REF!</definedName>
    <definedName name="RCC_11" localSheetId="9">#REF!</definedName>
    <definedName name="RCC_11" localSheetId="20">#REF!</definedName>
    <definedName name="RCC_11" localSheetId="12">#REF!</definedName>
    <definedName name="RCC_11" localSheetId="8">#REF!</definedName>
    <definedName name="RCC_11" localSheetId="10">#REF!</definedName>
    <definedName name="RCC_11">#REF!</definedName>
    <definedName name="RCC_3" localSheetId="5">#REF!</definedName>
    <definedName name="RCC_3" localSheetId="31">#REF!</definedName>
    <definedName name="RCC_3" localSheetId="2">#REF!</definedName>
    <definedName name="RCC_3" localSheetId="1">#REF!</definedName>
    <definedName name="RCC_3" localSheetId="13">#REF!</definedName>
    <definedName name="RCC_3" localSheetId="9">#REF!</definedName>
    <definedName name="RCC_3" localSheetId="20">#REF!</definedName>
    <definedName name="RCC_3" localSheetId="12">#REF!</definedName>
    <definedName name="RCC_3" localSheetId="8">#REF!</definedName>
    <definedName name="RCC_3" localSheetId="10">#REF!</definedName>
    <definedName name="RCC_3">#REF!</definedName>
    <definedName name="RCC_6" localSheetId="5">#REF!</definedName>
    <definedName name="RCC_6" localSheetId="31">#REF!</definedName>
    <definedName name="RCC_6" localSheetId="2">#REF!</definedName>
    <definedName name="RCC_6" localSheetId="1">#REF!</definedName>
    <definedName name="RCC_6" localSheetId="13">#REF!</definedName>
    <definedName name="RCC_6" localSheetId="9">#REF!</definedName>
    <definedName name="RCC_6" localSheetId="20">#REF!</definedName>
    <definedName name="RCC_6" localSheetId="12">#REF!</definedName>
    <definedName name="RCC_6" localSheetId="8">#REF!</definedName>
    <definedName name="RCC_6" localSheetId="10">#REF!</definedName>
    <definedName name="RCC_6">#REF!</definedName>
    <definedName name="re" localSheetId="5">#REF!</definedName>
    <definedName name="re" localSheetId="31">#REF!</definedName>
    <definedName name="re" localSheetId="2">#REF!</definedName>
    <definedName name="re" localSheetId="1">#REF!</definedName>
    <definedName name="re" localSheetId="13">#REF!</definedName>
    <definedName name="re" localSheetId="9">#REF!</definedName>
    <definedName name="re" localSheetId="20">#REF!</definedName>
    <definedName name="re" localSheetId="12">#REF!</definedName>
    <definedName name="re" localSheetId="8">#REF!</definedName>
    <definedName name="re" localSheetId="10">#REF!</definedName>
    <definedName name="re">#REF!</definedName>
    <definedName name="red" localSheetId="5">#REF!</definedName>
    <definedName name="red" localSheetId="31">#REF!</definedName>
    <definedName name="red" localSheetId="2">#REF!</definedName>
    <definedName name="red" localSheetId="1">#REF!</definedName>
    <definedName name="red" localSheetId="13">#REF!</definedName>
    <definedName name="red" localSheetId="9">#REF!</definedName>
    <definedName name="red" localSheetId="20">#REF!</definedName>
    <definedName name="red" localSheetId="12">#REF!</definedName>
    <definedName name="red" localSheetId="8">#REF!</definedName>
    <definedName name="red" localSheetId="10">#REF!</definedName>
    <definedName name="red">#REF!</definedName>
    <definedName name="REDOXIDE" localSheetId="31">#REF!</definedName>
    <definedName name="REDOXIDE" localSheetId="2">#REF!</definedName>
    <definedName name="REDOXIDE" localSheetId="1">#REF!</definedName>
    <definedName name="REDOXIDE" localSheetId="13">#REF!</definedName>
    <definedName name="REDOXIDE" localSheetId="9">#REF!</definedName>
    <definedName name="REDOXIDE" localSheetId="20">#REF!</definedName>
    <definedName name="REDOXIDE" localSheetId="12">#REF!</definedName>
    <definedName name="REDOXIDE" localSheetId="8">#REF!</definedName>
    <definedName name="REDOXIDE" localSheetId="10">#REF!</definedName>
    <definedName name="REDOXIDE">#REF!</definedName>
    <definedName name="REINFORCE" localSheetId="31">#REF!</definedName>
    <definedName name="REINFORCE" localSheetId="2">#REF!</definedName>
    <definedName name="REINFORCE" localSheetId="1">#REF!</definedName>
    <definedName name="REINFORCE" localSheetId="13">#REF!</definedName>
    <definedName name="REINFORCE" localSheetId="9">#REF!</definedName>
    <definedName name="REINFORCE" localSheetId="20">#REF!</definedName>
    <definedName name="REINFORCE" localSheetId="12">#REF!</definedName>
    <definedName name="REINFORCE" localSheetId="8">#REF!</definedName>
    <definedName name="REINFORCE" localSheetId="10">#REF!</definedName>
    <definedName name="REINFORCE">#REF!</definedName>
    <definedName name="rerewr" localSheetId="5">#REF!</definedName>
    <definedName name="rerewr" localSheetId="31">#REF!</definedName>
    <definedName name="rerewr" localSheetId="2">#REF!</definedName>
    <definedName name="rerewr" localSheetId="1">#REF!</definedName>
    <definedName name="rerewr" localSheetId="9">#REF!</definedName>
    <definedName name="rerewr" localSheetId="20">#REF!</definedName>
    <definedName name="rerewr" localSheetId="12">#REF!</definedName>
    <definedName name="rerewr" localSheetId="8">#REF!</definedName>
    <definedName name="rerewr" localSheetId="10">#REF!</definedName>
    <definedName name="rerewr">#REF!</definedName>
    <definedName name="Road_Data" localSheetId="5">[4]Data!#REF!</definedName>
    <definedName name="Road_Data" localSheetId="31">[4]Data!#REF!</definedName>
    <definedName name="Road_Data" localSheetId="9">[4]Data!#REF!</definedName>
    <definedName name="Road_Data" localSheetId="20">[4]Data!#REF!</definedName>
    <definedName name="Road_Data" localSheetId="12">[4]Data!#REF!</definedName>
    <definedName name="Road_Data" localSheetId="8">[4]Data!#REF!</definedName>
    <definedName name="Road_Data" localSheetId="10">[4]Data!#REF!</definedName>
    <definedName name="Road_Data">[4]Data!#REF!</definedName>
    <definedName name="Road_data_1" localSheetId="5">#REF!</definedName>
    <definedName name="Road_data_1" localSheetId="31">#REF!</definedName>
    <definedName name="Road_data_1" localSheetId="2">#REF!</definedName>
    <definedName name="Road_data_1" localSheetId="1">#REF!</definedName>
    <definedName name="Road_data_1" localSheetId="13">#REF!</definedName>
    <definedName name="Road_data_1" localSheetId="9">#REF!</definedName>
    <definedName name="Road_data_1" localSheetId="20">#REF!</definedName>
    <definedName name="Road_data_1" localSheetId="12">#REF!</definedName>
    <definedName name="Road_data_1" localSheetId="8">#REF!</definedName>
    <definedName name="Road_data_1" localSheetId="10">#REF!</definedName>
    <definedName name="Road_data_1">#REF!</definedName>
    <definedName name="Road_Data_11" localSheetId="5">#REF!</definedName>
    <definedName name="Road_Data_11" localSheetId="31">#REF!</definedName>
    <definedName name="Road_Data_11" localSheetId="2">#REF!</definedName>
    <definedName name="Road_Data_11" localSheetId="1">#REF!</definedName>
    <definedName name="Road_Data_11" localSheetId="13">#REF!</definedName>
    <definedName name="Road_Data_11" localSheetId="9">#REF!</definedName>
    <definedName name="Road_Data_11" localSheetId="20">#REF!</definedName>
    <definedName name="Road_Data_11" localSheetId="12">#REF!</definedName>
    <definedName name="Road_Data_11" localSheetId="8">#REF!</definedName>
    <definedName name="Road_Data_11" localSheetId="10">#REF!</definedName>
    <definedName name="Road_Data_11">#REF!</definedName>
    <definedName name="Road_data_2" localSheetId="5">#REF!</definedName>
    <definedName name="Road_data_2" localSheetId="31">#REF!</definedName>
    <definedName name="Road_data_2" localSheetId="2">#REF!</definedName>
    <definedName name="Road_data_2" localSheetId="1">#REF!</definedName>
    <definedName name="Road_data_2" localSheetId="13">#REF!</definedName>
    <definedName name="Road_data_2" localSheetId="9">#REF!</definedName>
    <definedName name="Road_data_2" localSheetId="20">#REF!</definedName>
    <definedName name="Road_data_2" localSheetId="12">#REF!</definedName>
    <definedName name="Road_data_2" localSheetId="8">#REF!</definedName>
    <definedName name="Road_data_2" localSheetId="10">#REF!</definedName>
    <definedName name="Road_data_2">#REF!</definedName>
    <definedName name="Road_Data_3" localSheetId="5">#REF!</definedName>
    <definedName name="Road_Data_3" localSheetId="31">#REF!</definedName>
    <definedName name="Road_Data_3" localSheetId="2">#REF!</definedName>
    <definedName name="Road_Data_3" localSheetId="1">#REF!</definedName>
    <definedName name="Road_Data_3" localSheetId="13">#REF!</definedName>
    <definedName name="Road_Data_3" localSheetId="9">#REF!</definedName>
    <definedName name="Road_Data_3" localSheetId="20">#REF!</definedName>
    <definedName name="Road_Data_3" localSheetId="12">#REF!</definedName>
    <definedName name="Road_Data_3" localSheetId="8">#REF!</definedName>
    <definedName name="Road_Data_3" localSheetId="10">#REF!</definedName>
    <definedName name="Road_Data_3">#REF!</definedName>
    <definedName name="Road_data_5" localSheetId="5">#REF!</definedName>
    <definedName name="Road_data_5" localSheetId="31">#REF!</definedName>
    <definedName name="Road_data_5" localSheetId="2">#REF!</definedName>
    <definedName name="Road_data_5" localSheetId="1">#REF!</definedName>
    <definedName name="Road_data_5" localSheetId="13">#REF!</definedName>
    <definedName name="Road_data_5" localSheetId="9">#REF!</definedName>
    <definedName name="Road_data_5" localSheetId="20">#REF!</definedName>
    <definedName name="Road_data_5" localSheetId="12">#REF!</definedName>
    <definedName name="Road_data_5" localSheetId="8">#REF!</definedName>
    <definedName name="Road_data_5" localSheetId="10">#REF!</definedName>
    <definedName name="Road_data_5">#REF!</definedName>
    <definedName name="Road_data_6" localSheetId="5">#REF!</definedName>
    <definedName name="Road_data_6" localSheetId="31">#REF!</definedName>
    <definedName name="Road_data_6" localSheetId="2">#REF!</definedName>
    <definedName name="Road_data_6" localSheetId="1">#REF!</definedName>
    <definedName name="Road_data_6" localSheetId="13">#REF!</definedName>
    <definedName name="Road_data_6" localSheetId="9">#REF!</definedName>
    <definedName name="Road_data_6" localSheetId="20">#REF!</definedName>
    <definedName name="Road_data_6" localSheetId="12">#REF!</definedName>
    <definedName name="Road_data_6" localSheetId="8">#REF!</definedName>
    <definedName name="Road_data_6" localSheetId="10">#REF!</definedName>
    <definedName name="Road_data_6">#REF!</definedName>
    <definedName name="Road_Data_7" localSheetId="5">[4]Data!#REF!</definedName>
    <definedName name="Road_Data_7" localSheetId="31">[4]Data!#REF!</definedName>
    <definedName name="Road_Data_7" localSheetId="9">[4]Data!#REF!</definedName>
    <definedName name="Road_Data_7" localSheetId="20">[4]Data!#REF!</definedName>
    <definedName name="Road_Data_7" localSheetId="12">[4]Data!#REF!</definedName>
    <definedName name="Road_Data_7" localSheetId="8">[4]Data!#REF!</definedName>
    <definedName name="Road_Data_7" localSheetId="10">[4]Data!#REF!</definedName>
    <definedName name="Road_Data_7">[4]Data!#REF!</definedName>
    <definedName name="Road_Data_8" localSheetId="5">[4]Data!#REF!</definedName>
    <definedName name="Road_Data_8" localSheetId="31">[4]Data!#REF!</definedName>
    <definedName name="Road_Data_8" localSheetId="9">[4]Data!#REF!</definedName>
    <definedName name="Road_Data_8" localSheetId="20">[4]Data!#REF!</definedName>
    <definedName name="Road_Data_8" localSheetId="8">[4]Data!#REF!</definedName>
    <definedName name="Road_Data_8" localSheetId="10">[4]Data!#REF!</definedName>
    <definedName name="Road_Data_8">[4]Data!#REF!</definedName>
    <definedName name="Roof_finishing" localSheetId="5">#REF!</definedName>
    <definedName name="Roof_finishing" localSheetId="31">#REF!</definedName>
    <definedName name="Roof_finishing" localSheetId="2">#REF!</definedName>
    <definedName name="Roof_finishing" localSheetId="1">#REF!</definedName>
    <definedName name="Roof_finishing" localSheetId="13">#REF!</definedName>
    <definedName name="Roof_finishing" localSheetId="9">#REF!</definedName>
    <definedName name="Roof_finishing" localSheetId="20">#REF!</definedName>
    <definedName name="Roof_finishing" localSheetId="12">#REF!</definedName>
    <definedName name="Roof_finishing" localSheetId="8">#REF!</definedName>
    <definedName name="Roof_finishing" localSheetId="10">#REF!</definedName>
    <definedName name="Roof_finishing">#REF!</definedName>
    <definedName name="Roof_finishing_11" localSheetId="5">#REF!</definedName>
    <definedName name="Roof_finishing_11" localSheetId="31">#REF!</definedName>
    <definedName name="Roof_finishing_11" localSheetId="2">#REF!</definedName>
    <definedName name="Roof_finishing_11" localSheetId="1">#REF!</definedName>
    <definedName name="Roof_finishing_11" localSheetId="13">#REF!</definedName>
    <definedName name="Roof_finishing_11" localSheetId="9">#REF!</definedName>
    <definedName name="Roof_finishing_11" localSheetId="20">#REF!</definedName>
    <definedName name="Roof_finishing_11" localSheetId="12">#REF!</definedName>
    <definedName name="Roof_finishing_11" localSheetId="8">#REF!</definedName>
    <definedName name="Roof_finishing_11" localSheetId="10">#REF!</definedName>
    <definedName name="Roof_finishing_11">#REF!</definedName>
    <definedName name="Roof_finishing_3" localSheetId="5">#REF!</definedName>
    <definedName name="Roof_finishing_3" localSheetId="31">#REF!</definedName>
    <definedName name="Roof_finishing_3" localSheetId="2">#REF!</definedName>
    <definedName name="Roof_finishing_3" localSheetId="1">#REF!</definedName>
    <definedName name="Roof_finishing_3" localSheetId="13">#REF!</definedName>
    <definedName name="Roof_finishing_3" localSheetId="9">#REF!</definedName>
    <definedName name="Roof_finishing_3" localSheetId="20">#REF!</definedName>
    <definedName name="Roof_finishing_3" localSheetId="12">#REF!</definedName>
    <definedName name="Roof_finishing_3" localSheetId="8">#REF!</definedName>
    <definedName name="Roof_finishing_3" localSheetId="10">#REF!</definedName>
    <definedName name="Roof_finishing_3">#REF!</definedName>
    <definedName name="Roof_finishing_6" localSheetId="5">#REF!</definedName>
    <definedName name="Roof_finishing_6" localSheetId="31">#REF!</definedName>
    <definedName name="Roof_finishing_6" localSheetId="2">#REF!</definedName>
    <definedName name="Roof_finishing_6" localSheetId="1">#REF!</definedName>
    <definedName name="Roof_finishing_6" localSheetId="13">#REF!</definedName>
    <definedName name="Roof_finishing_6" localSheetId="9">#REF!</definedName>
    <definedName name="Roof_finishing_6" localSheetId="20">#REF!</definedName>
    <definedName name="Roof_finishing_6" localSheetId="12">#REF!</definedName>
    <definedName name="Roof_finishing_6" localSheetId="8">#REF!</definedName>
    <definedName name="Roof_finishing_6" localSheetId="10">#REF!</definedName>
    <definedName name="Roof_finishing_6">#REF!</definedName>
    <definedName name="roya" localSheetId="31">#REF!</definedName>
    <definedName name="roya" localSheetId="9">#REF!</definedName>
    <definedName name="roya" localSheetId="20">#REF!</definedName>
    <definedName name="roya" localSheetId="8">#REF!</definedName>
    <definedName name="roya" localSheetId="10">#REF!</definedName>
    <definedName name="roya">#REF!</definedName>
    <definedName name="RR_masonary" localSheetId="5">#REF!</definedName>
    <definedName name="RR_masonary" localSheetId="31">#REF!</definedName>
    <definedName name="RR_masonary" localSheetId="2">#REF!</definedName>
    <definedName name="RR_masonary" localSheetId="1">#REF!</definedName>
    <definedName name="RR_masonary" localSheetId="13">#REF!</definedName>
    <definedName name="RR_masonary" localSheetId="9">#REF!</definedName>
    <definedName name="RR_masonary" localSheetId="20">#REF!</definedName>
    <definedName name="RR_masonary" localSheetId="12">#REF!</definedName>
    <definedName name="RR_masonary" localSheetId="8">#REF!</definedName>
    <definedName name="RR_masonary" localSheetId="10">#REF!</definedName>
    <definedName name="RR_masonary">#REF!</definedName>
    <definedName name="RR_masonary_11" localSheetId="5">#REF!</definedName>
    <definedName name="RR_masonary_11" localSheetId="31">#REF!</definedName>
    <definedName name="RR_masonary_11" localSheetId="2">#REF!</definedName>
    <definedName name="RR_masonary_11" localSheetId="1">#REF!</definedName>
    <definedName name="RR_masonary_11" localSheetId="13">#REF!</definedName>
    <definedName name="RR_masonary_11" localSheetId="9">#REF!</definedName>
    <definedName name="RR_masonary_11" localSheetId="20">#REF!</definedName>
    <definedName name="RR_masonary_11" localSheetId="12">#REF!</definedName>
    <definedName name="RR_masonary_11" localSheetId="8">#REF!</definedName>
    <definedName name="RR_masonary_11" localSheetId="10">#REF!</definedName>
    <definedName name="RR_masonary_11">#REF!</definedName>
    <definedName name="RR_masonary_3" localSheetId="5">#REF!</definedName>
    <definedName name="RR_masonary_3" localSheetId="31">#REF!</definedName>
    <definedName name="RR_masonary_3" localSheetId="2">#REF!</definedName>
    <definedName name="RR_masonary_3" localSheetId="1">#REF!</definedName>
    <definedName name="RR_masonary_3" localSheetId="13">#REF!</definedName>
    <definedName name="RR_masonary_3" localSheetId="9">#REF!</definedName>
    <definedName name="RR_masonary_3" localSheetId="20">#REF!</definedName>
    <definedName name="RR_masonary_3" localSheetId="12">#REF!</definedName>
    <definedName name="RR_masonary_3" localSheetId="8">#REF!</definedName>
    <definedName name="RR_masonary_3" localSheetId="10">#REF!</definedName>
    <definedName name="RR_masonary_3">#REF!</definedName>
    <definedName name="RR_masonary_6" localSheetId="5">#REF!</definedName>
    <definedName name="RR_masonary_6" localSheetId="31">#REF!</definedName>
    <definedName name="RR_masonary_6" localSheetId="2">#REF!</definedName>
    <definedName name="RR_masonary_6" localSheetId="1">#REF!</definedName>
    <definedName name="RR_masonary_6" localSheetId="13">#REF!</definedName>
    <definedName name="RR_masonary_6" localSheetId="9">#REF!</definedName>
    <definedName name="RR_masonary_6" localSheetId="20">#REF!</definedName>
    <definedName name="RR_masonary_6" localSheetId="12">#REF!</definedName>
    <definedName name="RR_masonary_6" localSheetId="8">#REF!</definedName>
    <definedName name="RR_masonary_6" localSheetId="10">#REF!</definedName>
    <definedName name="RR_masonary_6">#REF!</definedName>
    <definedName name="rrr" localSheetId="5">#REF!</definedName>
    <definedName name="rrr" localSheetId="31">#REF!</definedName>
    <definedName name="rrr" localSheetId="2">#REF!</definedName>
    <definedName name="rrr" localSheetId="1">#REF!</definedName>
    <definedName name="rrr" localSheetId="13">#REF!</definedName>
    <definedName name="rrr" localSheetId="9">#REF!</definedName>
    <definedName name="rrr" localSheetId="20">#REF!</definedName>
    <definedName name="rrr" localSheetId="12">#REF!</definedName>
    <definedName name="rrr" localSheetId="8">#REF!</definedName>
    <definedName name="rrr" localSheetId="10">#REF!</definedName>
    <definedName name="rrr">#REF!</definedName>
    <definedName name="S" localSheetId="5">#REF!</definedName>
    <definedName name="s" localSheetId="31">#REF!</definedName>
    <definedName name="S" localSheetId="19">#REF!</definedName>
    <definedName name="S" localSheetId="2">#REF!</definedName>
    <definedName name="S" localSheetId="1">#REF!</definedName>
    <definedName name="S" localSheetId="13">#REF!</definedName>
    <definedName name="s" localSheetId="9">#REF!</definedName>
    <definedName name="S" localSheetId="12">#REF!</definedName>
    <definedName name="s" localSheetId="8">#REF!</definedName>
    <definedName name="S" localSheetId="29">#REF!</definedName>
    <definedName name="S" localSheetId="21">#REF!</definedName>
    <definedName name="s" localSheetId="26">#REF!</definedName>
    <definedName name="s" localSheetId="10">#REF!</definedName>
    <definedName name="s" localSheetId="27">#REF!</definedName>
    <definedName name="s">#REF!</definedName>
    <definedName name="sa" localSheetId="5">#REF!</definedName>
    <definedName name="sa" localSheetId="2">#REF!</definedName>
    <definedName name="sa" localSheetId="1">#REF!</definedName>
    <definedName name="sa" localSheetId="9">#REF!</definedName>
    <definedName name="sa" localSheetId="8">#REF!</definedName>
    <definedName name="sa" localSheetId="10">#REF!</definedName>
    <definedName name="sa">#REF!</definedName>
    <definedName name="SAND_FILL" localSheetId="31">#REF!</definedName>
    <definedName name="SAND_FILL" localSheetId="2">#REF!</definedName>
    <definedName name="SAND_FILL" localSheetId="1">#REF!</definedName>
    <definedName name="SAND_FILL" localSheetId="13">#REF!</definedName>
    <definedName name="SAND_FILL" localSheetId="9">#REF!</definedName>
    <definedName name="SAND_FILL" localSheetId="20">#REF!</definedName>
    <definedName name="SAND_FILL" localSheetId="12">#REF!</definedName>
    <definedName name="SAND_FILL" localSheetId="8">#REF!</definedName>
    <definedName name="SAND_FILL" localSheetId="10">#REF!</definedName>
    <definedName name="SAND_FILL">#REF!</definedName>
    <definedName name="Sandfill">[1]Spec!$B$15</definedName>
    <definedName name="Sanitary_Data" localSheetId="5">[4]Data!#REF!</definedName>
    <definedName name="Sanitary_Data" localSheetId="31">[4]Data!#REF!</definedName>
    <definedName name="Sanitary_Data" localSheetId="9">[4]Data!#REF!</definedName>
    <definedName name="Sanitary_Data" localSheetId="20">[4]Data!#REF!</definedName>
    <definedName name="Sanitary_Data" localSheetId="12">[4]Data!#REF!</definedName>
    <definedName name="Sanitary_Data" localSheetId="8">[4]Data!#REF!</definedName>
    <definedName name="Sanitary_Data" localSheetId="10">[4]Data!#REF!</definedName>
    <definedName name="Sanitary_Data">[4]Data!#REF!</definedName>
    <definedName name="Sanitary_Data_11" localSheetId="5">#REF!</definedName>
    <definedName name="Sanitary_Data_11" localSheetId="31">#REF!</definedName>
    <definedName name="Sanitary_Data_11" localSheetId="2">#REF!</definedName>
    <definedName name="Sanitary_Data_11" localSheetId="1">#REF!</definedName>
    <definedName name="Sanitary_Data_11" localSheetId="13">#REF!</definedName>
    <definedName name="Sanitary_Data_11" localSheetId="9">#REF!</definedName>
    <definedName name="Sanitary_Data_11" localSheetId="20">#REF!</definedName>
    <definedName name="Sanitary_Data_11" localSheetId="12">#REF!</definedName>
    <definedName name="Sanitary_Data_11" localSheetId="8">#REF!</definedName>
    <definedName name="Sanitary_Data_11" localSheetId="10">#REF!</definedName>
    <definedName name="Sanitary_Data_11">#REF!</definedName>
    <definedName name="Sanitary_Data_3" localSheetId="5">#REF!</definedName>
    <definedName name="Sanitary_Data_3" localSheetId="31">#REF!</definedName>
    <definedName name="Sanitary_Data_3" localSheetId="2">#REF!</definedName>
    <definedName name="Sanitary_Data_3" localSheetId="1">#REF!</definedName>
    <definedName name="Sanitary_Data_3" localSheetId="13">#REF!</definedName>
    <definedName name="Sanitary_Data_3" localSheetId="9">#REF!</definedName>
    <definedName name="Sanitary_Data_3" localSheetId="20">#REF!</definedName>
    <definedName name="Sanitary_Data_3" localSheetId="12">#REF!</definedName>
    <definedName name="Sanitary_Data_3" localSheetId="8">#REF!</definedName>
    <definedName name="Sanitary_Data_3" localSheetId="10">#REF!</definedName>
    <definedName name="Sanitary_Data_3">#REF!</definedName>
    <definedName name="Sanitary_Data_6" localSheetId="5">#REF!</definedName>
    <definedName name="Sanitary_Data_6" localSheetId="31">#REF!</definedName>
    <definedName name="Sanitary_Data_6" localSheetId="2">#REF!</definedName>
    <definedName name="Sanitary_Data_6" localSheetId="1">#REF!</definedName>
    <definedName name="Sanitary_Data_6" localSheetId="13">#REF!</definedName>
    <definedName name="Sanitary_Data_6" localSheetId="9">#REF!</definedName>
    <definedName name="Sanitary_Data_6" localSheetId="20">#REF!</definedName>
    <definedName name="Sanitary_Data_6" localSheetId="12">#REF!</definedName>
    <definedName name="Sanitary_Data_6" localSheetId="8">#REF!</definedName>
    <definedName name="Sanitary_Data_6" localSheetId="10">#REF!</definedName>
    <definedName name="Sanitary_Data_6">#REF!</definedName>
    <definedName name="Sanitary_Data_7" localSheetId="5">[4]Data!#REF!</definedName>
    <definedName name="Sanitary_Data_7" localSheetId="31">[4]Data!#REF!</definedName>
    <definedName name="Sanitary_Data_7" localSheetId="9">[4]Data!#REF!</definedName>
    <definedName name="Sanitary_Data_7" localSheetId="20">[4]Data!#REF!</definedName>
    <definedName name="Sanitary_Data_7" localSheetId="12">[4]Data!#REF!</definedName>
    <definedName name="Sanitary_Data_7" localSheetId="8">[4]Data!#REF!</definedName>
    <definedName name="Sanitary_Data_7" localSheetId="10">[4]Data!#REF!</definedName>
    <definedName name="Sanitary_Data_7">[4]Data!#REF!</definedName>
    <definedName name="Sanitary_Data_8" localSheetId="5">[4]Data!#REF!</definedName>
    <definedName name="Sanitary_Data_8" localSheetId="31">[4]Data!#REF!</definedName>
    <definedName name="Sanitary_Data_8" localSheetId="9">[4]Data!#REF!</definedName>
    <definedName name="Sanitary_Data_8" localSheetId="20">[4]Data!#REF!</definedName>
    <definedName name="Sanitary_Data_8" localSheetId="8">[4]Data!#REF!</definedName>
    <definedName name="Sanitary_Data_8" localSheetId="10">[4]Data!#REF!</definedName>
    <definedName name="Sanitary_Data_8">[4]Data!#REF!</definedName>
    <definedName name="Sanitary_Item" localSheetId="5">#REF!</definedName>
    <definedName name="Sanitary_Item" localSheetId="31">#REF!</definedName>
    <definedName name="Sanitary_Item" localSheetId="2">#REF!</definedName>
    <definedName name="Sanitary_Item" localSheetId="1">#REF!</definedName>
    <definedName name="Sanitary_Item" localSheetId="13">#REF!</definedName>
    <definedName name="Sanitary_Item" localSheetId="9">#REF!</definedName>
    <definedName name="Sanitary_Item" localSheetId="20">#REF!</definedName>
    <definedName name="Sanitary_Item" localSheetId="12">#REF!</definedName>
    <definedName name="Sanitary_Item" localSheetId="8">#REF!</definedName>
    <definedName name="Sanitary_Item" localSheetId="10">#REF!</definedName>
    <definedName name="Sanitary_Item">#REF!</definedName>
    <definedName name="sd" localSheetId="5">#REF!</definedName>
    <definedName name="sd" localSheetId="31">#REF!</definedName>
    <definedName name="sd" localSheetId="2">#REF!</definedName>
    <definedName name="sd" localSheetId="1">#REF!</definedName>
    <definedName name="sd" localSheetId="13">#REF!</definedName>
    <definedName name="sd" localSheetId="9">#REF!</definedName>
    <definedName name="sd" localSheetId="20">#REF!</definedName>
    <definedName name="sd" localSheetId="12">#REF!</definedName>
    <definedName name="sd" localSheetId="8">#REF!</definedName>
    <definedName name="sd" localSheetId="10">#REF!</definedName>
    <definedName name="sd">#REF!</definedName>
    <definedName name="sdasfcs" localSheetId="5">#REF!</definedName>
    <definedName name="sdasfcs" localSheetId="31">#REF!</definedName>
    <definedName name="sdasfcs" localSheetId="2">#REF!</definedName>
    <definedName name="sdasfcs" localSheetId="1">#REF!</definedName>
    <definedName name="sdasfcs" localSheetId="9">#REF!</definedName>
    <definedName name="sdasfcs" localSheetId="20">#REF!</definedName>
    <definedName name="sdasfcs" localSheetId="12">#REF!</definedName>
    <definedName name="sdasfcs" localSheetId="8">#REF!</definedName>
    <definedName name="sdasfcs" localSheetId="10">#REF!</definedName>
    <definedName name="sdasfcs">#REF!</definedName>
    <definedName name="sdfghj" localSheetId="31">#REF!</definedName>
    <definedName name="sdfghj" localSheetId="9">#REF!</definedName>
    <definedName name="sdfghj" localSheetId="0">#REF!</definedName>
    <definedName name="sdfghj" localSheetId="8">#REF!</definedName>
    <definedName name="sdfghj" localSheetId="10">#REF!</definedName>
    <definedName name="sdfghj">#REF!</definedName>
    <definedName name="sfgfdrg4" localSheetId="2">#REF!</definedName>
    <definedName name="sfgfdrg4" localSheetId="1">#REF!</definedName>
    <definedName name="sfgfdrg4">#REF!</definedName>
    <definedName name="si_hhgfttg" localSheetId="31">#REF!</definedName>
    <definedName name="si_hhgfttg" localSheetId="9">#REF!</definedName>
    <definedName name="si_hhgfttg" localSheetId="20">#REF!</definedName>
    <definedName name="si_hhgfttg" localSheetId="8">#REF!</definedName>
    <definedName name="si_hhgfttg" localSheetId="10">#REF!</definedName>
    <definedName name="si_hhgfttg">#REF!</definedName>
    <definedName name="si8_ghmjk" localSheetId="31">#REF!</definedName>
    <definedName name="si8_ghmjk" localSheetId="9">#REF!</definedName>
    <definedName name="si8_ghmjk" localSheetId="20">#REF!</definedName>
    <definedName name="si8_ghmjk" localSheetId="8">#REF!</definedName>
    <definedName name="si8_ghmjk" localSheetId="10">#REF!</definedName>
    <definedName name="si8_ghmjk">#REF!</definedName>
    <definedName name="sk" localSheetId="31">#REF!</definedName>
    <definedName name="sk" localSheetId="9">#REF!</definedName>
    <definedName name="sk" localSheetId="20">#REF!</definedName>
    <definedName name="sk" localSheetId="22">#REF!</definedName>
    <definedName name="sk" localSheetId="8">#REF!</definedName>
    <definedName name="sk" localSheetId="10">#REF!</definedName>
    <definedName name="sk">#REF!</definedName>
    <definedName name="sll" localSheetId="31">#REF!</definedName>
    <definedName name="sll" localSheetId="9">#REF!</definedName>
    <definedName name="sll" localSheetId="20">#REF!</definedName>
    <definedName name="sll" localSheetId="8">#REF!</definedName>
    <definedName name="sll" localSheetId="10">#REF!</definedName>
    <definedName name="sll">#REF!</definedName>
    <definedName name="SR" localSheetId="5">#REF!</definedName>
    <definedName name="SR" localSheetId="31">#REF!</definedName>
    <definedName name="SR" localSheetId="2">#REF!</definedName>
    <definedName name="SR" localSheetId="1">#REF!</definedName>
    <definedName name="SR" localSheetId="13">#REF!</definedName>
    <definedName name="SR" localSheetId="9">#REF!</definedName>
    <definedName name="SR" localSheetId="20">#REF!</definedName>
    <definedName name="SR" localSheetId="12">#REF!</definedName>
    <definedName name="SR" localSheetId="8">#REF!</definedName>
    <definedName name="SR" localSheetId="10">#REF!</definedName>
    <definedName name="SR">#REF!</definedName>
    <definedName name="ss" localSheetId="5">#REF!</definedName>
    <definedName name="ss" localSheetId="31">#REF!</definedName>
    <definedName name="ss" localSheetId="2">#REF!</definedName>
    <definedName name="ss" localSheetId="1">#REF!</definedName>
    <definedName name="ss" localSheetId="13">#REF!</definedName>
    <definedName name="ss" localSheetId="9">#REF!</definedName>
    <definedName name="ss" localSheetId="20">#REF!</definedName>
    <definedName name="ss" localSheetId="12">#REF!</definedName>
    <definedName name="ss" localSheetId="8">#REF!</definedName>
    <definedName name="ss" localSheetId="10">#REF!</definedName>
    <definedName name="ss">#REF!</definedName>
    <definedName name="ssdde" localSheetId="5">#REF!</definedName>
    <definedName name="ssdde" localSheetId="31">#REF!</definedName>
    <definedName name="ssdde" localSheetId="2">#REF!</definedName>
    <definedName name="ssdde" localSheetId="1">#REF!</definedName>
    <definedName name="ssdde" localSheetId="13">#REF!</definedName>
    <definedName name="ssdde" localSheetId="9">#REF!</definedName>
    <definedName name="ssdde" localSheetId="20">#REF!</definedName>
    <definedName name="ssdde" localSheetId="12">#REF!</definedName>
    <definedName name="ssdde" localSheetId="8">#REF!</definedName>
    <definedName name="ssdde" localSheetId="10">#REF!</definedName>
    <definedName name="ssdde">#REF!</definedName>
    <definedName name="Steel">[1]Spec!$B$10</definedName>
    <definedName name="Steel_Form_work" localSheetId="5">#REF!</definedName>
    <definedName name="Steel_Form_work" localSheetId="31">#REF!</definedName>
    <definedName name="Steel_Form_work" localSheetId="2">#REF!</definedName>
    <definedName name="Steel_Form_work" localSheetId="1">#REF!</definedName>
    <definedName name="Steel_Form_work" localSheetId="13">#REF!</definedName>
    <definedName name="Steel_Form_work" localSheetId="9">#REF!</definedName>
    <definedName name="Steel_Form_work" localSheetId="20">#REF!</definedName>
    <definedName name="Steel_Form_work" localSheetId="12">#REF!</definedName>
    <definedName name="Steel_Form_work" localSheetId="8">#REF!</definedName>
    <definedName name="Steel_Form_work" localSheetId="10">#REF!</definedName>
    <definedName name="Steel_Form_work">#REF!</definedName>
    <definedName name="Steel_Form_work_11" localSheetId="5">#REF!</definedName>
    <definedName name="Steel_Form_work_11" localSheetId="31">#REF!</definedName>
    <definedName name="Steel_Form_work_11" localSheetId="2">#REF!</definedName>
    <definedName name="Steel_Form_work_11" localSheetId="1">#REF!</definedName>
    <definedName name="Steel_Form_work_11" localSheetId="13">#REF!</definedName>
    <definedName name="Steel_Form_work_11" localSheetId="9">#REF!</definedName>
    <definedName name="Steel_Form_work_11" localSheetId="20">#REF!</definedName>
    <definedName name="Steel_Form_work_11" localSheetId="12">#REF!</definedName>
    <definedName name="Steel_Form_work_11" localSheetId="8">#REF!</definedName>
    <definedName name="Steel_Form_work_11" localSheetId="10">#REF!</definedName>
    <definedName name="Steel_Form_work_11">#REF!</definedName>
    <definedName name="Steel_Form_work_3" localSheetId="5">#REF!</definedName>
    <definedName name="Steel_Form_work_3" localSheetId="31">#REF!</definedName>
    <definedName name="Steel_Form_work_3" localSheetId="2">#REF!</definedName>
    <definedName name="Steel_Form_work_3" localSheetId="1">#REF!</definedName>
    <definedName name="Steel_Form_work_3" localSheetId="13">#REF!</definedName>
    <definedName name="Steel_Form_work_3" localSheetId="9">#REF!</definedName>
    <definedName name="Steel_Form_work_3" localSheetId="20">#REF!</definedName>
    <definedName name="Steel_Form_work_3" localSheetId="12">#REF!</definedName>
    <definedName name="Steel_Form_work_3" localSheetId="8">#REF!</definedName>
    <definedName name="Steel_Form_work_3" localSheetId="10">#REF!</definedName>
    <definedName name="Steel_Form_work_3">#REF!</definedName>
    <definedName name="Steel_Form_work_6" localSheetId="5">#REF!</definedName>
    <definedName name="Steel_Form_work_6" localSheetId="31">#REF!</definedName>
    <definedName name="Steel_Form_work_6" localSheetId="2">#REF!</definedName>
    <definedName name="Steel_Form_work_6" localSheetId="1">#REF!</definedName>
    <definedName name="Steel_Form_work_6" localSheetId="13">#REF!</definedName>
    <definedName name="Steel_Form_work_6" localSheetId="9">#REF!</definedName>
    <definedName name="Steel_Form_work_6" localSheetId="20">#REF!</definedName>
    <definedName name="Steel_Form_work_6" localSheetId="12">#REF!</definedName>
    <definedName name="Steel_Form_work_6" localSheetId="8">#REF!</definedName>
    <definedName name="Steel_Form_work_6" localSheetId="10">#REF!</definedName>
    <definedName name="Steel_Form_work_6">#REF!</definedName>
    <definedName name="Stucco" localSheetId="31">#REF!</definedName>
    <definedName name="Stucco" localSheetId="2">#REF!</definedName>
    <definedName name="Stucco" localSheetId="1">#REF!</definedName>
    <definedName name="Stucco" localSheetId="13">#REF!</definedName>
    <definedName name="Stucco" localSheetId="9">#REF!</definedName>
    <definedName name="Stucco" localSheetId="20">#REF!</definedName>
    <definedName name="Stucco" localSheetId="12">#REF!</definedName>
    <definedName name="Stucco" localSheetId="8">#REF!</definedName>
    <definedName name="Stucco" localSheetId="10">#REF!</definedName>
    <definedName name="Stucco">#REF!</definedName>
    <definedName name="sxsxsa" localSheetId="5">#REF!</definedName>
    <definedName name="sxsxsa" localSheetId="31">#REF!</definedName>
    <definedName name="sxsxsa" localSheetId="2">#REF!</definedName>
    <definedName name="sxsxsa" localSheetId="1">#REF!</definedName>
    <definedName name="sxsxsa" localSheetId="9">#REF!</definedName>
    <definedName name="sxsxsa" localSheetId="20">#REF!</definedName>
    <definedName name="sxsxsa" localSheetId="12">#REF!</definedName>
    <definedName name="sxsxsa" localSheetId="8">#REF!</definedName>
    <definedName name="sxsxsa" localSheetId="10">#REF!</definedName>
    <definedName name="sxsxsa">#REF!</definedName>
    <definedName name="th" localSheetId="31">#REF!</definedName>
    <definedName name="th" localSheetId="9">#REF!</definedName>
    <definedName name="th" localSheetId="8">#REF!</definedName>
    <definedName name="th" localSheetId="10">#REF!</definedName>
    <definedName name="th">#REF!</definedName>
    <definedName name="Tiles">[1]Spec!$B$19</definedName>
    <definedName name="tj" localSheetId="5">#REF!</definedName>
    <definedName name="tj" localSheetId="31">#REF!</definedName>
    <definedName name="tj" localSheetId="2">#REF!</definedName>
    <definedName name="tj" localSheetId="1">#REF!</definedName>
    <definedName name="tj" localSheetId="13">#REF!</definedName>
    <definedName name="tj" localSheetId="9">#REF!</definedName>
    <definedName name="tj" localSheetId="20">#REF!</definedName>
    <definedName name="tj" localSheetId="12">#REF!</definedName>
    <definedName name="tj" localSheetId="8">#REF!</definedName>
    <definedName name="tj" localSheetId="10">#REF!</definedName>
    <definedName name="tj">#REF!</definedName>
    <definedName name="TP" localSheetId="5">#REF!</definedName>
    <definedName name="TP" localSheetId="31">#REF!</definedName>
    <definedName name="TP" localSheetId="2">#REF!</definedName>
    <definedName name="TP" localSheetId="1">#REF!</definedName>
    <definedName name="TP" localSheetId="13">#REF!</definedName>
    <definedName name="TP" localSheetId="9">#REF!</definedName>
    <definedName name="TP" localSheetId="20">#REF!</definedName>
    <definedName name="TP" localSheetId="12">#REF!</definedName>
    <definedName name="TP" localSheetId="8">#REF!</definedName>
    <definedName name="TP" localSheetId="10">#REF!</definedName>
    <definedName name="TP">#REF!</definedName>
    <definedName name="ty" localSheetId="5">#REF!</definedName>
    <definedName name="ty" localSheetId="31">#REF!</definedName>
    <definedName name="ty" localSheetId="2">#REF!</definedName>
    <definedName name="ty" localSheetId="1">#REF!</definedName>
    <definedName name="ty" localSheetId="13">#REF!</definedName>
    <definedName name="ty" localSheetId="9">#REF!</definedName>
    <definedName name="ty" localSheetId="20">#REF!</definedName>
    <definedName name="ty" localSheetId="12">#REF!</definedName>
    <definedName name="ty" localSheetId="8">#REF!</definedName>
    <definedName name="ty" localSheetId="10">#REF!</definedName>
    <definedName name="ty">#REF!</definedName>
    <definedName name="tyu" localSheetId="31">#REF!</definedName>
    <definedName name="tyu" localSheetId="9">#REF!</definedName>
    <definedName name="tyu" localSheetId="8">#REF!</definedName>
    <definedName name="tyu" localSheetId="10">#REF!</definedName>
    <definedName name="tyu">#REF!</definedName>
    <definedName name="uo" localSheetId="5">#REF!</definedName>
    <definedName name="uo" localSheetId="31">#REF!</definedName>
    <definedName name="uo" localSheetId="2">#REF!</definedName>
    <definedName name="uo" localSheetId="1">#REF!</definedName>
    <definedName name="uo" localSheetId="13">#REF!</definedName>
    <definedName name="uo" localSheetId="9">#REF!</definedName>
    <definedName name="uo" localSheetId="20">#REF!</definedName>
    <definedName name="uo" localSheetId="12">#REF!</definedName>
    <definedName name="uo" localSheetId="8">#REF!</definedName>
    <definedName name="uo" localSheetId="10">#REF!</definedName>
    <definedName name="uo">#REF!</definedName>
    <definedName name="UYT" localSheetId="31">#REF!</definedName>
    <definedName name="UYT" localSheetId="9">#REF!</definedName>
    <definedName name="UYT" localSheetId="8">#REF!</definedName>
    <definedName name="UYT" localSheetId="10">#REF!</definedName>
    <definedName name="UYT">#REF!</definedName>
    <definedName name="v" localSheetId="5">#REF!</definedName>
    <definedName name="v" localSheetId="31">#REF!</definedName>
    <definedName name="v" localSheetId="2">#REF!</definedName>
    <definedName name="v" localSheetId="1">#REF!</definedName>
    <definedName name="v" localSheetId="13">#REF!</definedName>
    <definedName name="v" localSheetId="9">#REF!</definedName>
    <definedName name="v" localSheetId="20">#REF!</definedName>
    <definedName name="v" localSheetId="12">#REF!</definedName>
    <definedName name="v" localSheetId="8">#REF!</definedName>
    <definedName name="v" localSheetId="10">#REF!</definedName>
    <definedName name="v">#REF!</definedName>
    <definedName name="VAC" localSheetId="31">#REF!</definedName>
    <definedName name="VAC" localSheetId="9">#REF!</definedName>
    <definedName name="VAC" localSheetId="20">#REF!</definedName>
    <definedName name="VAC" localSheetId="8">#REF!</definedName>
    <definedName name="VAC" localSheetId="10">#REF!</definedName>
    <definedName name="VAC">#REF!</definedName>
    <definedName name="Vambay">[4]Data!$X$195:$AD$249,[4]Data!$X$251:$AD$357,[4]Data!$X$358:$AD$361,[4]Data!$X$362:$AD$374,[4]Data!$X$376:$AD$398,[4]Data!$X$399:$AD$456,[4]Data!$X$459:$AD$460</definedName>
    <definedName name="Vambay_11" localSheetId="5">#REF!,#REF!,#REF!,#REF!,#REF!,#REF!,#REF!</definedName>
    <definedName name="Vambay_11" localSheetId="31">#REF!,#REF!,#REF!,#REF!,#REF!,#REF!,#REF!</definedName>
    <definedName name="Vambay_11" localSheetId="2">#REF!,#REF!,#REF!,#REF!,#REF!,#REF!,#REF!</definedName>
    <definedName name="Vambay_11" localSheetId="1">#REF!,#REF!,#REF!,#REF!,#REF!,#REF!,#REF!</definedName>
    <definedName name="Vambay_11" localSheetId="13">#REF!,#REF!,#REF!,#REF!,#REF!,#REF!,#REF!</definedName>
    <definedName name="Vambay_11" localSheetId="9">#REF!,#REF!,#REF!,#REF!,#REF!,#REF!,#REF!</definedName>
    <definedName name="Vambay_11" localSheetId="20">#REF!,#REF!,#REF!,#REF!,#REF!,#REF!,#REF!</definedName>
    <definedName name="Vambay_11" localSheetId="12">#REF!,#REF!,#REF!,#REF!,#REF!,#REF!,#REF!</definedName>
    <definedName name="Vambay_11" localSheetId="8">#REF!,#REF!,#REF!,#REF!,#REF!,#REF!,#REF!</definedName>
    <definedName name="Vambay_11" localSheetId="10">#REF!,#REF!,#REF!,#REF!,#REF!,#REF!,#REF!</definedName>
    <definedName name="Vambay_11">#REF!,#REF!,#REF!,#REF!,#REF!,#REF!,#REF!</definedName>
    <definedName name="Vambay_3" localSheetId="5">#REF!,#REF!,#REF!,#REF!,#REF!,#REF!,#REF!</definedName>
    <definedName name="Vambay_3" localSheetId="31">#REF!,#REF!,#REF!,#REF!,#REF!,#REF!,#REF!</definedName>
    <definedName name="Vambay_3" localSheetId="2">#REF!,#REF!,#REF!,#REF!,#REF!,#REF!,#REF!</definedName>
    <definedName name="Vambay_3" localSheetId="1">#REF!,#REF!,#REF!,#REF!,#REF!,#REF!,#REF!</definedName>
    <definedName name="Vambay_3" localSheetId="13">#REF!,#REF!,#REF!,#REF!,#REF!,#REF!,#REF!</definedName>
    <definedName name="Vambay_3" localSheetId="9">#REF!,#REF!,#REF!,#REF!,#REF!,#REF!,#REF!</definedName>
    <definedName name="Vambay_3" localSheetId="20">#REF!,#REF!,#REF!,#REF!,#REF!,#REF!,#REF!</definedName>
    <definedName name="Vambay_3" localSheetId="12">#REF!,#REF!,#REF!,#REF!,#REF!,#REF!,#REF!</definedName>
    <definedName name="Vambay_3" localSheetId="8">#REF!,#REF!,#REF!,#REF!,#REF!,#REF!,#REF!</definedName>
    <definedName name="Vambay_3" localSheetId="10">#REF!,#REF!,#REF!,#REF!,#REF!,#REF!,#REF!</definedName>
    <definedName name="Vambay_3">#REF!,#REF!,#REF!,#REF!,#REF!,#REF!,#REF!</definedName>
    <definedName name="Vambay_6" localSheetId="5">#REF!,#REF!,#REF!,#REF!,#REF!,#REF!,#REF!</definedName>
    <definedName name="Vambay_6" localSheetId="31">#REF!,#REF!,#REF!,#REF!,#REF!,#REF!,#REF!</definedName>
    <definedName name="Vambay_6" localSheetId="2">#REF!,#REF!,#REF!,#REF!,#REF!,#REF!,#REF!</definedName>
    <definedName name="Vambay_6" localSheetId="1">#REF!,#REF!,#REF!,#REF!,#REF!,#REF!,#REF!</definedName>
    <definedName name="Vambay_6" localSheetId="13">#REF!,#REF!,#REF!,#REF!,#REF!,#REF!,#REF!</definedName>
    <definedName name="Vambay_6" localSheetId="9">#REF!,#REF!,#REF!,#REF!,#REF!,#REF!,#REF!</definedName>
    <definedName name="Vambay_6" localSheetId="20">#REF!,#REF!,#REF!,#REF!,#REF!,#REF!,#REF!</definedName>
    <definedName name="Vambay_6" localSheetId="12">#REF!,#REF!,#REF!,#REF!,#REF!,#REF!,#REF!</definedName>
    <definedName name="Vambay_6" localSheetId="8">#REF!,#REF!,#REF!,#REF!,#REF!,#REF!,#REF!</definedName>
    <definedName name="Vambay_6" localSheetId="10">#REF!,#REF!,#REF!,#REF!,#REF!,#REF!,#REF!</definedName>
    <definedName name="Vambay_6">#REF!,#REF!,#REF!,#REF!,#REF!,#REF!,#REF!</definedName>
    <definedName name="Vambay_7">[4]Data!$X$195:$AD$249,[4]Data!$X$251:$AD$357,[4]Data!$X$358:$AD$361,[4]Data!$X$362:$AD$374,[4]Data!$X$376:$AD$398,[4]Data!$X$399:$AD$456,[4]Data!$X$459:$AD$460</definedName>
    <definedName name="Vambay_8">[4]Data!$X$195:$AD$249,[4]Data!$X$251:$AD$357,[4]Data!$X$358:$AD$361,[4]Data!$X$362:$AD$374,[4]Data!$X$376:$AD$398,[4]Data!$X$399:$AD$456,[4]Data!$X$459:$AD$460</definedName>
    <definedName name="Varnish" localSheetId="31">#REF!</definedName>
    <definedName name="Varnish" localSheetId="2">#REF!</definedName>
    <definedName name="Varnish" localSheetId="1">#REF!</definedName>
    <definedName name="Varnish" localSheetId="13">#REF!</definedName>
    <definedName name="Varnish" localSheetId="9">#REF!</definedName>
    <definedName name="Varnish" localSheetId="20">#REF!</definedName>
    <definedName name="Varnish" localSheetId="12">#REF!</definedName>
    <definedName name="Varnish" localSheetId="8">#REF!</definedName>
    <definedName name="Varnish" localSheetId="10">#REF!</definedName>
    <definedName name="Varnish">#REF!</definedName>
    <definedName name="Varnish1" localSheetId="31">#REF!</definedName>
    <definedName name="Varnish1" localSheetId="2">#REF!</definedName>
    <definedName name="Varnish1" localSheetId="1">#REF!</definedName>
    <definedName name="Varnish1" localSheetId="13">#REF!</definedName>
    <definedName name="Varnish1" localSheetId="9">#REF!</definedName>
    <definedName name="Varnish1" localSheetId="20">#REF!</definedName>
    <definedName name="Varnish1" localSheetId="12">#REF!</definedName>
    <definedName name="Varnish1" localSheetId="8">#REF!</definedName>
    <definedName name="Varnish1" localSheetId="10">#REF!</definedName>
    <definedName name="Varnish1">#REF!</definedName>
    <definedName name="vinoth" localSheetId="31">#REF!</definedName>
    <definedName name="vinoth" localSheetId="9">#REF!</definedName>
    <definedName name="vinoth" localSheetId="20">#REF!</definedName>
    <definedName name="vinoth" localSheetId="8">#REF!</definedName>
    <definedName name="vinoth" localSheetId="10">#REF!</definedName>
    <definedName name="vinoth">#REF!</definedName>
    <definedName name="w" localSheetId="5">#REF!</definedName>
    <definedName name="w" localSheetId="31">#REF!</definedName>
    <definedName name="w" localSheetId="2">#REF!</definedName>
    <definedName name="w" localSheetId="1">#REF!</definedName>
    <definedName name="w" localSheetId="13">#REF!</definedName>
    <definedName name="w" localSheetId="9">#REF!</definedName>
    <definedName name="w" localSheetId="20">#REF!</definedName>
    <definedName name="w" localSheetId="12">#REF!</definedName>
    <definedName name="w" localSheetId="8">#REF!</definedName>
    <definedName name="w" localSheetId="10">#REF!</definedName>
    <definedName name="w">#REF!</definedName>
    <definedName name="wdw" localSheetId="2">#REF!</definedName>
    <definedName name="wdw" localSheetId="1">#REF!</definedName>
    <definedName name="wdw">#REF!</definedName>
    <definedName name="wdwd" localSheetId="5">#REF!</definedName>
    <definedName name="wdwd" localSheetId="2">#REF!</definedName>
    <definedName name="wdwd" localSheetId="1">#REF!</definedName>
    <definedName name="wdwd" localSheetId="9">#REF!</definedName>
    <definedName name="wdwd" localSheetId="8">#REF!</definedName>
    <definedName name="wdwd" localSheetId="10">#REF!</definedName>
    <definedName name="wdwd">#REF!</definedName>
    <definedName name="WE" localSheetId="5">#REF!</definedName>
    <definedName name="we" localSheetId="31">#REF!</definedName>
    <definedName name="WE" localSheetId="2">#REF!</definedName>
    <definedName name="WE" localSheetId="1">#REF!</definedName>
    <definedName name="WE" localSheetId="13">#REF!</definedName>
    <definedName name="we" localSheetId="9">#REF!</definedName>
    <definedName name="WE" localSheetId="20">#REF!</definedName>
    <definedName name="WE" localSheetId="12">#REF!</definedName>
    <definedName name="we" localSheetId="8">#REF!</definedName>
    <definedName name="WE" localSheetId="29">#REF!</definedName>
    <definedName name="we" localSheetId="10">#REF!</definedName>
    <definedName name="we">#REF!</definedName>
    <definedName name="Weath.Course" localSheetId="31">#REF!</definedName>
    <definedName name="Weath.Course" localSheetId="2">#REF!</definedName>
    <definedName name="Weath.Course" localSheetId="1">#REF!</definedName>
    <definedName name="Weath.Course" localSheetId="13">#REF!</definedName>
    <definedName name="Weath.Course" localSheetId="9">#REF!</definedName>
    <definedName name="Weath.Course" localSheetId="20">#REF!</definedName>
    <definedName name="Weath.Course" localSheetId="12">#REF!</definedName>
    <definedName name="Weath.Course" localSheetId="8">#REF!</definedName>
    <definedName name="Weath.Course" localSheetId="10">#REF!</definedName>
    <definedName name="Weath.Course">#REF!</definedName>
    <definedName name="Weathering">[1]Spec!$B$18</definedName>
    <definedName name="WEE" localSheetId="5">#REF!</definedName>
    <definedName name="WEE" localSheetId="31">#REF!</definedName>
    <definedName name="WEE" localSheetId="2">#REF!</definedName>
    <definedName name="WEE" localSheetId="1">#REF!</definedName>
    <definedName name="WEE" localSheetId="13">#REF!</definedName>
    <definedName name="WEE" localSheetId="9">#REF!</definedName>
    <definedName name="WEE" localSheetId="20">#REF!</definedName>
    <definedName name="WEE" localSheetId="12">#REF!</definedName>
    <definedName name="WEE" localSheetId="8">#REF!</definedName>
    <definedName name="WEE" localSheetId="10">#REF!</definedName>
    <definedName name="WEE">#REF!</definedName>
    <definedName name="White_Wash" localSheetId="31">#REF!</definedName>
    <definedName name="White_Wash" localSheetId="2">#REF!</definedName>
    <definedName name="White_Wash" localSheetId="1">#REF!</definedName>
    <definedName name="White_Wash" localSheetId="13">#REF!</definedName>
    <definedName name="White_Wash" localSheetId="9">#REF!</definedName>
    <definedName name="White_Wash" localSheetId="20">#REF!</definedName>
    <definedName name="White_Wash" localSheetId="12">#REF!</definedName>
    <definedName name="White_Wash" localSheetId="8">#REF!</definedName>
    <definedName name="White_Wash" localSheetId="10">#REF!</definedName>
    <definedName name="White_Wash">#REF!</definedName>
    <definedName name="Win_Grill" localSheetId="31">#REF!</definedName>
    <definedName name="Win_Grill" localSheetId="2">#REF!</definedName>
    <definedName name="Win_Grill" localSheetId="1">#REF!</definedName>
    <definedName name="Win_Grill" localSheetId="13">#REF!</definedName>
    <definedName name="Win_Grill" localSheetId="9">#REF!</definedName>
    <definedName name="Win_Grill" localSheetId="20">#REF!</definedName>
    <definedName name="Win_Grill" localSheetId="12">#REF!</definedName>
    <definedName name="Win_Grill" localSheetId="8">#REF!</definedName>
    <definedName name="Win_Grill" localSheetId="10">#REF!</definedName>
    <definedName name="Win_Grill">#REF!</definedName>
    <definedName name="Win_M.S_RODl" localSheetId="31">#REF!</definedName>
    <definedName name="Win_M.S_RODl" localSheetId="2">#REF!</definedName>
    <definedName name="Win_M.S_RODl" localSheetId="1">#REF!</definedName>
    <definedName name="Win_M.S_RODl" localSheetId="13">#REF!</definedName>
    <definedName name="Win_M.S_RODl" localSheetId="9">#REF!</definedName>
    <definedName name="Win_M.S_RODl" localSheetId="20">#REF!</definedName>
    <definedName name="Win_M.S_RODl" localSheetId="12">#REF!</definedName>
    <definedName name="Win_M.S_RODl" localSheetId="8">#REF!</definedName>
    <definedName name="Win_M.S_RODl" localSheetId="10">#REF!</definedName>
    <definedName name="Win_M.S_RODl">#REF!</definedName>
    <definedName name="Wood_Paint" localSheetId="31">#REF!</definedName>
    <definedName name="Wood_Paint" localSheetId="2">#REF!</definedName>
    <definedName name="Wood_Paint" localSheetId="1">#REF!</definedName>
    <definedName name="Wood_Paint" localSheetId="13">#REF!</definedName>
    <definedName name="Wood_Paint" localSheetId="9">#REF!</definedName>
    <definedName name="Wood_Paint" localSheetId="20">#REF!</definedName>
    <definedName name="Wood_Paint" localSheetId="12">#REF!</definedName>
    <definedName name="Wood_Paint" localSheetId="8">#REF!</definedName>
    <definedName name="Wood_Paint" localSheetId="10">#REF!</definedName>
    <definedName name="Wood_Paint">#REF!</definedName>
    <definedName name="WW">[1]Spec!$B$22</definedName>
    <definedName name="WW_Colour" localSheetId="5">#REF!</definedName>
    <definedName name="WW_Colour" localSheetId="31">#REF!</definedName>
    <definedName name="WW_Colour" localSheetId="2">#REF!</definedName>
    <definedName name="WW_Colour" localSheetId="1">#REF!</definedName>
    <definedName name="WW_Colour" localSheetId="13">#REF!</definedName>
    <definedName name="WW_Colour" localSheetId="9">#REF!</definedName>
    <definedName name="WW_Colour" localSheetId="20">#REF!</definedName>
    <definedName name="WW_Colour" localSheetId="12">#REF!</definedName>
    <definedName name="WW_Colour" localSheetId="8">#REF!</definedName>
    <definedName name="WW_Colour" localSheetId="10">#REF!</definedName>
    <definedName name="WW_Colour">#REF!</definedName>
    <definedName name="WW_Colour_11" localSheetId="5">#REF!</definedName>
    <definedName name="WW_Colour_11" localSheetId="31">#REF!</definedName>
    <definedName name="WW_Colour_11" localSheetId="2">#REF!</definedName>
    <definedName name="WW_Colour_11" localSheetId="1">#REF!</definedName>
    <definedName name="WW_Colour_11" localSheetId="13">#REF!</definedName>
    <definedName name="WW_Colour_11" localSheetId="9">#REF!</definedName>
    <definedName name="WW_Colour_11" localSheetId="20">#REF!</definedName>
    <definedName name="WW_Colour_11" localSheetId="12">#REF!</definedName>
    <definedName name="WW_Colour_11" localSheetId="8">#REF!</definedName>
    <definedName name="WW_Colour_11" localSheetId="10">#REF!</definedName>
    <definedName name="WW_Colour_11">#REF!</definedName>
    <definedName name="WW_Colour_3" localSheetId="5">#REF!</definedName>
    <definedName name="WW_Colour_3" localSheetId="31">#REF!</definedName>
    <definedName name="WW_Colour_3" localSheetId="2">#REF!</definedName>
    <definedName name="WW_Colour_3" localSheetId="1">#REF!</definedName>
    <definedName name="WW_Colour_3" localSheetId="13">#REF!</definedName>
    <definedName name="WW_Colour_3" localSheetId="9">#REF!</definedName>
    <definedName name="WW_Colour_3" localSheetId="20">#REF!</definedName>
    <definedName name="WW_Colour_3" localSheetId="12">#REF!</definedName>
    <definedName name="WW_Colour_3" localSheetId="8">#REF!</definedName>
    <definedName name="WW_Colour_3" localSheetId="10">#REF!</definedName>
    <definedName name="WW_Colour_3">#REF!</definedName>
    <definedName name="WW_Colour_6" localSheetId="5">#REF!</definedName>
    <definedName name="WW_Colour_6" localSheetId="31">#REF!</definedName>
    <definedName name="WW_Colour_6" localSheetId="2">#REF!</definedName>
    <definedName name="WW_Colour_6" localSheetId="1">#REF!</definedName>
    <definedName name="WW_Colour_6" localSheetId="13">#REF!</definedName>
    <definedName name="WW_Colour_6" localSheetId="9">#REF!</definedName>
    <definedName name="WW_Colour_6" localSheetId="20">#REF!</definedName>
    <definedName name="WW_Colour_6" localSheetId="12">#REF!</definedName>
    <definedName name="WW_Colour_6" localSheetId="8">#REF!</definedName>
    <definedName name="WW_Colour_6" localSheetId="10">#REF!</definedName>
    <definedName name="WW_Colour_6">#REF!</definedName>
    <definedName name="www" localSheetId="31">#REF!</definedName>
    <definedName name="www" localSheetId="9">#REF!</definedName>
    <definedName name="www" localSheetId="20">#REF!</definedName>
    <definedName name="www" localSheetId="8">#REF!</definedName>
    <definedName name="www" localSheetId="10">#REF!</definedName>
    <definedName name="www">#REF!</definedName>
    <definedName name="x" localSheetId="31">#REF!</definedName>
    <definedName name="x" localSheetId="9">#REF!</definedName>
    <definedName name="x" localSheetId="20">#REF!</definedName>
    <definedName name="x" localSheetId="8">#REF!</definedName>
    <definedName name="x" localSheetId="10">#REF!</definedName>
    <definedName name="x">#REF!</definedName>
    <definedName name="xfef" localSheetId="2">#REF!</definedName>
    <definedName name="xfef" localSheetId="1">#REF!</definedName>
    <definedName name="xfef">#REF!</definedName>
    <definedName name="yt" localSheetId="5">#REF!</definedName>
    <definedName name="yt" localSheetId="31">#REF!</definedName>
    <definedName name="yt" localSheetId="2">#REF!</definedName>
    <definedName name="yt" localSheetId="1">#REF!</definedName>
    <definedName name="yt" localSheetId="13">#REF!</definedName>
    <definedName name="yt" localSheetId="9">#REF!</definedName>
    <definedName name="yt" localSheetId="20">#REF!</definedName>
    <definedName name="yt" localSheetId="12">#REF!</definedName>
    <definedName name="yt" localSheetId="8">#REF!</definedName>
    <definedName name="yt" localSheetId="10">#REF!</definedName>
    <definedName name="yt">#REF!</definedName>
    <definedName name="yuk" localSheetId="5">[4]Data!#REF!</definedName>
    <definedName name="yuk" localSheetId="31">[4]Data!#REF!</definedName>
    <definedName name="yuk" localSheetId="9">[4]Data!#REF!</definedName>
    <definedName name="yuk" localSheetId="20">[4]Data!#REF!</definedName>
    <definedName name="yuk" localSheetId="12">[4]Data!#REF!</definedName>
    <definedName name="yuk" localSheetId="8">[4]Data!#REF!</definedName>
    <definedName name="yuk" localSheetId="10">[4]Data!#REF!</definedName>
    <definedName name="yuk">[4]Data!#REF!</definedName>
    <definedName name="z" localSheetId="31">#REF!</definedName>
    <definedName name="z" localSheetId="30">#REF!</definedName>
    <definedName name="z" localSheetId="9">#REF!</definedName>
    <definedName name="z" localSheetId="20">#REF!</definedName>
    <definedName name="z" localSheetId="8">#REF!</definedName>
    <definedName name="z" localSheetId="10">#REF!</definedName>
    <definedName name="z">#REF!</definedName>
    <definedName name="Zx" localSheetId="31">#REF!</definedName>
    <definedName name="Zx" localSheetId="9">#REF!</definedName>
    <definedName name="Zx" localSheetId="8">#REF!</definedName>
    <definedName name="Zx" localSheetId="10">#REF!</definedName>
    <definedName name="Zx">#REF!</definedName>
    <definedName name="zxv" localSheetId="31">#REF!</definedName>
    <definedName name="zxv" localSheetId="9">#REF!</definedName>
    <definedName name="zxv" localSheetId="8">#REF!</definedName>
    <definedName name="zxv" localSheetId="10">#REF!</definedName>
    <definedName name="zxv">#REF!</definedName>
  </definedNames>
  <calcPr calcId="124519"/>
</workbook>
</file>

<file path=xl/calcChain.xml><?xml version="1.0" encoding="utf-8"?>
<calcChain xmlns="http://schemas.openxmlformats.org/spreadsheetml/2006/main">
  <c r="A1" i="42"/>
  <c r="I28"/>
  <c r="I32" i="1"/>
  <c r="G28" i="42"/>
  <c r="G26"/>
  <c r="G22"/>
  <c r="N7"/>
  <c r="E5"/>
  <c r="E15" s="1"/>
  <c r="K15" s="1"/>
  <c r="E4"/>
  <c r="I6" i="30"/>
  <c r="H6"/>
  <c r="G6"/>
  <c r="E16" i="42" l="1"/>
  <c r="K16" s="1"/>
  <c r="E7"/>
  <c r="E9" s="1"/>
  <c r="E10" s="1"/>
  <c r="G10" s="1"/>
  <c r="E14" s="1"/>
  <c r="K14" s="1"/>
  <c r="J18" s="1"/>
  <c r="J21" i="30"/>
  <c r="J19"/>
  <c r="I19"/>
  <c r="L971" i="41"/>
  <c r="K971"/>
  <c r="L970"/>
  <c r="K970"/>
  <c r="K969"/>
  <c r="C969"/>
  <c r="L969" s="1"/>
  <c r="K968"/>
  <c r="C968"/>
  <c r="L968" s="1"/>
  <c r="L967"/>
  <c r="K967"/>
  <c r="C967"/>
  <c r="K966"/>
  <c r="C966"/>
  <c r="L966" s="1"/>
  <c r="K965"/>
  <c r="C965"/>
  <c r="L965" s="1"/>
  <c r="L964"/>
  <c r="K964"/>
  <c r="C964"/>
  <c r="L963"/>
  <c r="K963"/>
  <c r="C963"/>
  <c r="K962"/>
  <c r="C962"/>
  <c r="L962" s="1"/>
  <c r="K961"/>
  <c r="C961"/>
  <c r="L961" s="1"/>
  <c r="L960"/>
  <c r="K960"/>
  <c r="C960"/>
  <c r="L959"/>
  <c r="K959"/>
  <c r="C959"/>
  <c r="K958"/>
  <c r="K957"/>
  <c r="C957"/>
  <c r="C958" s="1"/>
  <c r="L958" s="1"/>
  <c r="L956"/>
  <c r="K956"/>
  <c r="C956"/>
  <c r="L955"/>
  <c r="K955"/>
  <c r="C955"/>
  <c r="K954"/>
  <c r="C954"/>
  <c r="L954" s="1"/>
  <c r="K953"/>
  <c r="C953"/>
  <c r="L953" s="1"/>
  <c r="L952"/>
  <c r="K952"/>
  <c r="C952"/>
  <c r="L951"/>
  <c r="K951"/>
  <c r="C951"/>
  <c r="K950"/>
  <c r="C950"/>
  <c r="L950" s="1"/>
  <c r="K949"/>
  <c r="C949"/>
  <c r="L949" s="1"/>
  <c r="L948"/>
  <c r="K948"/>
  <c r="C948"/>
  <c r="L947"/>
  <c r="K947"/>
  <c r="C947"/>
  <c r="K946"/>
  <c r="C946"/>
  <c r="L946" s="1"/>
  <c r="K945"/>
  <c r="C945"/>
  <c r="L945" s="1"/>
  <c r="L944"/>
  <c r="K944"/>
  <c r="C944"/>
  <c r="L943"/>
  <c r="K943"/>
  <c r="C943"/>
  <c r="K942"/>
  <c r="C942"/>
  <c r="L942" s="1"/>
  <c r="K941"/>
  <c r="C941"/>
  <c r="L941" s="1"/>
  <c r="L940"/>
  <c r="K940"/>
  <c r="C940"/>
  <c r="L939"/>
  <c r="K939"/>
  <c r="C939"/>
  <c r="K938"/>
  <c r="C938"/>
  <c r="L938" s="1"/>
  <c r="K937"/>
  <c r="C937"/>
  <c r="L937" s="1"/>
  <c r="L936"/>
  <c r="K936"/>
  <c r="C936"/>
  <c r="L935"/>
  <c r="K935"/>
  <c r="C935"/>
  <c r="K934"/>
  <c r="C934"/>
  <c r="L934" s="1"/>
  <c r="K933"/>
  <c r="C933"/>
  <c r="L933" s="1"/>
  <c r="L932"/>
  <c r="K932"/>
  <c r="C932"/>
  <c r="L931"/>
  <c r="K931"/>
  <c r="C931"/>
  <c r="K930"/>
  <c r="C930"/>
  <c r="L930" s="1"/>
  <c r="K929"/>
  <c r="C929"/>
  <c r="L929" s="1"/>
  <c r="L928"/>
  <c r="K928"/>
  <c r="C928"/>
  <c r="L927"/>
  <c r="K927"/>
  <c r="C927"/>
  <c r="K926"/>
  <c r="C926"/>
  <c r="L926" s="1"/>
  <c r="K925"/>
  <c r="C925"/>
  <c r="L925" s="1"/>
  <c r="L924"/>
  <c r="K924"/>
  <c r="C924"/>
  <c r="L923"/>
  <c r="K923"/>
  <c r="C923"/>
  <c r="K922"/>
  <c r="C922"/>
  <c r="L922" s="1"/>
  <c r="K921"/>
  <c r="C921"/>
  <c r="L921" s="1"/>
  <c r="L920"/>
  <c r="K920"/>
  <c r="C920"/>
  <c r="L919"/>
  <c r="K919"/>
  <c r="C919"/>
  <c r="K918"/>
  <c r="C918"/>
  <c r="L918" s="1"/>
  <c r="K917"/>
  <c r="C917"/>
  <c r="L917" s="1"/>
  <c r="L916"/>
  <c r="K916"/>
  <c r="C916"/>
  <c r="L915"/>
  <c r="K915"/>
  <c r="C915"/>
  <c r="K914"/>
  <c r="C914"/>
  <c r="L914" s="1"/>
  <c r="K913"/>
  <c r="C913"/>
  <c r="L913" s="1"/>
  <c r="L912"/>
  <c r="K912"/>
  <c r="C912"/>
  <c r="L911"/>
  <c r="K911"/>
  <c r="C911"/>
  <c r="K910"/>
  <c r="C910"/>
  <c r="L910" s="1"/>
  <c r="K909"/>
  <c r="C909"/>
  <c r="L909" s="1"/>
  <c r="L908"/>
  <c r="C908"/>
  <c r="C907"/>
  <c r="L907" s="1"/>
  <c r="L906"/>
  <c r="C906"/>
  <c r="C905"/>
  <c r="L905" s="1"/>
  <c r="L904"/>
  <c r="C904"/>
  <c r="C903"/>
  <c r="L903" s="1"/>
  <c r="L902"/>
  <c r="C902"/>
  <c r="C901"/>
  <c r="L901" s="1"/>
  <c r="L900"/>
  <c r="C900"/>
  <c r="C899"/>
  <c r="L899" s="1"/>
  <c r="L898"/>
  <c r="C898"/>
  <c r="C897"/>
  <c r="L897" s="1"/>
  <c r="L896"/>
  <c r="C896"/>
  <c r="C895"/>
  <c r="L895" s="1"/>
  <c r="L894"/>
  <c r="C894"/>
  <c r="C893"/>
  <c r="L893" s="1"/>
  <c r="L892"/>
  <c r="C892"/>
  <c r="C891"/>
  <c r="L891" s="1"/>
  <c r="L890"/>
  <c r="C890"/>
  <c r="B890"/>
  <c r="L889"/>
  <c r="C889"/>
  <c r="C888"/>
  <c r="L888" s="1"/>
  <c r="L887"/>
  <c r="C887"/>
  <c r="C886"/>
  <c r="L886" s="1"/>
  <c r="L885"/>
  <c r="C885"/>
  <c r="C884"/>
  <c r="L884" s="1"/>
  <c r="L883"/>
  <c r="C883"/>
  <c r="L882"/>
  <c r="C882"/>
  <c r="L881"/>
  <c r="N880"/>
  <c r="L880"/>
  <c r="N879"/>
  <c r="L879"/>
  <c r="N878"/>
  <c r="L878"/>
  <c r="F878"/>
  <c r="N877"/>
  <c r="L877"/>
  <c r="C877"/>
  <c r="N876"/>
  <c r="C876"/>
  <c r="N875"/>
  <c r="C875"/>
  <c r="N874"/>
  <c r="N873"/>
  <c r="N872"/>
  <c r="N871"/>
  <c r="N870"/>
  <c r="J870"/>
  <c r="H870"/>
  <c r="C870"/>
  <c r="L869"/>
  <c r="K869"/>
  <c r="J869"/>
  <c r="I869"/>
  <c r="H869"/>
  <c r="L868"/>
  <c r="K868"/>
  <c r="J868"/>
  <c r="I868"/>
  <c r="H868"/>
  <c r="L867"/>
  <c r="K867"/>
  <c r="J867"/>
  <c r="I867"/>
  <c r="H867"/>
  <c r="L866"/>
  <c r="K866"/>
  <c r="J866"/>
  <c r="I866"/>
  <c r="H866"/>
  <c r="L865"/>
  <c r="K865"/>
  <c r="J865"/>
  <c r="I865"/>
  <c r="H865"/>
  <c r="L864"/>
  <c r="K864"/>
  <c r="J864"/>
  <c r="I864"/>
  <c r="H864"/>
  <c r="L863"/>
  <c r="K863"/>
  <c r="J863"/>
  <c r="I863"/>
  <c r="H863"/>
  <c r="L862"/>
  <c r="K862"/>
  <c r="J862"/>
  <c r="I862"/>
  <c r="H862"/>
  <c r="L861"/>
  <c r="K861"/>
  <c r="J861"/>
  <c r="I861"/>
  <c r="H861"/>
  <c r="L860"/>
  <c r="K860"/>
  <c r="J860"/>
  <c r="I860"/>
  <c r="H860"/>
  <c r="L859"/>
  <c r="K859"/>
  <c r="J859"/>
  <c r="I859"/>
  <c r="H859"/>
  <c r="L858"/>
  <c r="K858"/>
  <c r="J858"/>
  <c r="I858"/>
  <c r="H858"/>
  <c r="L857"/>
  <c r="K857"/>
  <c r="J857"/>
  <c r="I857"/>
  <c r="H857"/>
  <c r="L856"/>
  <c r="K856"/>
  <c r="J856"/>
  <c r="I856"/>
  <c r="H856"/>
  <c r="L855"/>
  <c r="K855"/>
  <c r="J855"/>
  <c r="I855"/>
  <c r="H855"/>
  <c r="L854"/>
  <c r="K854"/>
  <c r="I854"/>
  <c r="N853"/>
  <c r="L853"/>
  <c r="K853"/>
  <c r="I853"/>
  <c r="F853"/>
  <c r="D853"/>
  <c r="N852"/>
  <c r="L852"/>
  <c r="K852"/>
  <c r="I852"/>
  <c r="F852"/>
  <c r="N851"/>
  <c r="L851"/>
  <c r="K851"/>
  <c r="I851"/>
  <c r="F851"/>
  <c r="N850"/>
  <c r="L850"/>
  <c r="K850"/>
  <c r="I850"/>
  <c r="F850"/>
  <c r="K849"/>
  <c r="N849" s="1"/>
  <c r="I849"/>
  <c r="E849"/>
  <c r="C849"/>
  <c r="L849" s="1"/>
  <c r="I848"/>
  <c r="F848"/>
  <c r="E848"/>
  <c r="K848" s="1"/>
  <c r="B848"/>
  <c r="I847"/>
  <c r="F847"/>
  <c r="E847"/>
  <c r="K847" s="1"/>
  <c r="K846"/>
  <c r="N846" s="1"/>
  <c r="I846"/>
  <c r="E846"/>
  <c r="F846" s="1"/>
  <c r="C846"/>
  <c r="L846" s="1"/>
  <c r="I845"/>
  <c r="F845"/>
  <c r="E845"/>
  <c r="K845" s="1"/>
  <c r="I844"/>
  <c r="E844"/>
  <c r="K844" s="1"/>
  <c r="N843"/>
  <c r="K843"/>
  <c r="I843"/>
  <c r="F843"/>
  <c r="C843"/>
  <c r="L843" s="1"/>
  <c r="N842"/>
  <c r="K842"/>
  <c r="I842"/>
  <c r="C842"/>
  <c r="L842" s="1"/>
  <c r="N841"/>
  <c r="K841"/>
  <c r="I841"/>
  <c r="F841"/>
  <c r="C841"/>
  <c r="L841" s="1"/>
  <c r="N840"/>
  <c r="K840"/>
  <c r="I840"/>
  <c r="C840"/>
  <c r="L840" s="1"/>
  <c r="N839"/>
  <c r="L839"/>
  <c r="K839"/>
  <c r="I839"/>
  <c r="F839"/>
  <c r="N838"/>
  <c r="K838"/>
  <c r="I838"/>
  <c r="C838"/>
  <c r="L838" s="1"/>
  <c r="N837"/>
  <c r="L837"/>
  <c r="K837"/>
  <c r="I837"/>
  <c r="F837"/>
  <c r="N836"/>
  <c r="L836"/>
  <c r="K836"/>
  <c r="I836"/>
  <c r="F836"/>
  <c r="N835"/>
  <c r="K835"/>
  <c r="I835"/>
  <c r="C835"/>
  <c r="L835" s="1"/>
  <c r="N834"/>
  <c r="L834"/>
  <c r="K834"/>
  <c r="I834"/>
  <c r="F834"/>
  <c r="N833"/>
  <c r="K833"/>
  <c r="I833"/>
  <c r="F833"/>
  <c r="C833"/>
  <c r="L833" s="1"/>
  <c r="N832"/>
  <c r="K832"/>
  <c r="I832"/>
  <c r="C832"/>
  <c r="L832" s="1"/>
  <c r="N831"/>
  <c r="K831"/>
  <c r="I831"/>
  <c r="F831"/>
  <c r="C831"/>
  <c r="L831" s="1"/>
  <c r="N830"/>
  <c r="K830"/>
  <c r="I830"/>
  <c r="C830"/>
  <c r="L830" s="1"/>
  <c r="N829"/>
  <c r="K829"/>
  <c r="I829"/>
  <c r="F829"/>
  <c r="C829"/>
  <c r="L829" s="1"/>
  <c r="N828"/>
  <c r="K828"/>
  <c r="I828"/>
  <c r="C828"/>
  <c r="L828" s="1"/>
  <c r="N827"/>
  <c r="K827"/>
  <c r="I827"/>
  <c r="F827"/>
  <c r="C827"/>
  <c r="L827" s="1"/>
  <c r="N826"/>
  <c r="K826"/>
  <c r="I826"/>
  <c r="C826"/>
  <c r="L826" s="1"/>
  <c r="N825"/>
  <c r="K825"/>
  <c r="I825"/>
  <c r="F825"/>
  <c r="C825"/>
  <c r="L825" s="1"/>
  <c r="N824"/>
  <c r="K824"/>
  <c r="I824"/>
  <c r="C824"/>
  <c r="L824" s="1"/>
  <c r="N823"/>
  <c r="K823"/>
  <c r="I823"/>
  <c r="F823"/>
  <c r="C823"/>
  <c r="L823" s="1"/>
  <c r="N822"/>
  <c r="K822"/>
  <c r="I822"/>
  <c r="C822"/>
  <c r="L822" s="1"/>
  <c r="N821"/>
  <c r="L821"/>
  <c r="K821"/>
  <c r="I821"/>
  <c r="F821"/>
  <c r="N820"/>
  <c r="L820"/>
  <c r="K820"/>
  <c r="I820"/>
  <c r="F820"/>
  <c r="N819"/>
  <c r="L819"/>
  <c r="K819"/>
  <c r="I819"/>
  <c r="F819"/>
  <c r="N818"/>
  <c r="L818"/>
  <c r="K818"/>
  <c r="I818"/>
  <c r="F818"/>
  <c r="N817"/>
  <c r="K817"/>
  <c r="I817"/>
  <c r="F817"/>
  <c r="C817"/>
  <c r="L817" s="1"/>
  <c r="N816"/>
  <c r="K816"/>
  <c r="I816"/>
  <c r="C816"/>
  <c r="L816" s="1"/>
  <c r="N815"/>
  <c r="K815"/>
  <c r="I815"/>
  <c r="F815"/>
  <c r="C815"/>
  <c r="L815" s="1"/>
  <c r="N814"/>
  <c r="L814"/>
  <c r="K814"/>
  <c r="I814"/>
  <c r="F814"/>
  <c r="N813"/>
  <c r="K813"/>
  <c r="I813"/>
  <c r="C813"/>
  <c r="L813" s="1"/>
  <c r="N812"/>
  <c r="K812"/>
  <c r="I812"/>
  <c r="F812"/>
  <c r="C812"/>
  <c r="L812" s="1"/>
  <c r="N811"/>
  <c r="K811"/>
  <c r="I811"/>
  <c r="F811"/>
  <c r="C811"/>
  <c r="L811" s="1"/>
  <c r="N810"/>
  <c r="K810"/>
  <c r="I810"/>
  <c r="F810"/>
  <c r="C810"/>
  <c r="L810" s="1"/>
  <c r="N809"/>
  <c r="L809"/>
  <c r="K809"/>
  <c r="I809"/>
  <c r="F809"/>
  <c r="N808"/>
  <c r="K808"/>
  <c r="I808"/>
  <c r="F808"/>
  <c r="C808"/>
  <c r="L808" s="1"/>
  <c r="N807"/>
  <c r="L807"/>
  <c r="K807"/>
  <c r="I807"/>
  <c r="F807"/>
  <c r="I806"/>
  <c r="E806"/>
  <c r="F806" s="1"/>
  <c r="C806"/>
  <c r="I805"/>
  <c r="E805"/>
  <c r="K805" s="1"/>
  <c r="N805" s="1"/>
  <c r="C805"/>
  <c r="L805" s="1"/>
  <c r="N804"/>
  <c r="K804"/>
  <c r="I804"/>
  <c r="F804"/>
  <c r="C804"/>
  <c r="L804" s="1"/>
  <c r="N803"/>
  <c r="K803"/>
  <c r="I803"/>
  <c r="C803"/>
  <c r="L803" s="1"/>
  <c r="N802"/>
  <c r="K802"/>
  <c r="I802"/>
  <c r="C802"/>
  <c r="L802" s="1"/>
  <c r="N801"/>
  <c r="K801"/>
  <c r="I801"/>
  <c r="C801"/>
  <c r="L801" s="1"/>
  <c r="N800"/>
  <c r="L800"/>
  <c r="K800"/>
  <c r="I800"/>
  <c r="F800"/>
  <c r="N799"/>
  <c r="K799"/>
  <c r="I799"/>
  <c r="C799"/>
  <c r="L799" s="1"/>
  <c r="N798"/>
  <c r="K798"/>
  <c r="I798"/>
  <c r="F798"/>
  <c r="C798"/>
  <c r="L798" s="1"/>
  <c r="N797"/>
  <c r="K797"/>
  <c r="I797"/>
  <c r="C797"/>
  <c r="L797" s="1"/>
  <c r="N796"/>
  <c r="K796"/>
  <c r="I796"/>
  <c r="F796"/>
  <c r="C796"/>
  <c r="L796" s="1"/>
  <c r="N795"/>
  <c r="K795"/>
  <c r="I795"/>
  <c r="C795"/>
  <c r="L795" s="1"/>
  <c r="N794"/>
  <c r="K794"/>
  <c r="I794"/>
  <c r="F794"/>
  <c r="C794"/>
  <c r="L794" s="1"/>
  <c r="N793"/>
  <c r="K793"/>
  <c r="I793"/>
  <c r="C793"/>
  <c r="L793" s="1"/>
  <c r="N792"/>
  <c r="K792"/>
  <c r="I792"/>
  <c r="F792"/>
  <c r="C792"/>
  <c r="L792" s="1"/>
  <c r="N791"/>
  <c r="K791"/>
  <c r="I791"/>
  <c r="C791"/>
  <c r="L791" s="1"/>
  <c r="N790"/>
  <c r="K790"/>
  <c r="I790"/>
  <c r="F790"/>
  <c r="C790"/>
  <c r="L790" s="1"/>
  <c r="N789"/>
  <c r="K789"/>
  <c r="I789"/>
  <c r="C789"/>
  <c r="L789" s="1"/>
  <c r="N788"/>
  <c r="L788"/>
  <c r="K788"/>
  <c r="I788"/>
  <c r="F788"/>
  <c r="N787"/>
  <c r="K787"/>
  <c r="I787"/>
  <c r="F787"/>
  <c r="C787"/>
  <c r="L787" s="1"/>
  <c r="N786"/>
  <c r="K786"/>
  <c r="I786"/>
  <c r="C786"/>
  <c r="L786" s="1"/>
  <c r="N785"/>
  <c r="K785"/>
  <c r="I785"/>
  <c r="F785"/>
  <c r="C785"/>
  <c r="L785" s="1"/>
  <c r="N784"/>
  <c r="K784"/>
  <c r="I784"/>
  <c r="C784"/>
  <c r="L784" s="1"/>
  <c r="N783"/>
  <c r="K783"/>
  <c r="I783"/>
  <c r="F783"/>
  <c r="C783"/>
  <c r="L783" s="1"/>
  <c r="N782"/>
  <c r="L782"/>
  <c r="K782"/>
  <c r="I782"/>
  <c r="F782"/>
  <c r="N781"/>
  <c r="K781"/>
  <c r="I781"/>
  <c r="F781"/>
  <c r="C781"/>
  <c r="L781" s="1"/>
  <c r="I780"/>
  <c r="E780"/>
  <c r="K780" s="1"/>
  <c r="C780"/>
  <c r="N779"/>
  <c r="K779"/>
  <c r="I779"/>
  <c r="F779"/>
  <c r="C779"/>
  <c r="L779" s="1"/>
  <c r="I778"/>
  <c r="F778"/>
  <c r="E778"/>
  <c r="K778" s="1"/>
  <c r="C778"/>
  <c r="N777"/>
  <c r="L777"/>
  <c r="K777"/>
  <c r="I777"/>
  <c r="F777"/>
  <c r="N776"/>
  <c r="L776"/>
  <c r="K776"/>
  <c r="I776"/>
  <c r="F776"/>
  <c r="N775"/>
  <c r="L775"/>
  <c r="K775"/>
  <c r="I775"/>
  <c r="F775"/>
  <c r="N774"/>
  <c r="L774"/>
  <c r="K774"/>
  <c r="I774"/>
  <c r="F774"/>
  <c r="I773"/>
  <c r="E773"/>
  <c r="K773" s="1"/>
  <c r="N772"/>
  <c r="L772"/>
  <c r="K772"/>
  <c r="I772"/>
  <c r="F772"/>
  <c r="N771"/>
  <c r="K771"/>
  <c r="I771"/>
  <c r="F771"/>
  <c r="C771"/>
  <c r="L771" s="1"/>
  <c r="I770"/>
  <c r="F770"/>
  <c r="E770"/>
  <c r="K770" s="1"/>
  <c r="C770"/>
  <c r="N769"/>
  <c r="L769"/>
  <c r="K769"/>
  <c r="I769"/>
  <c r="F769"/>
  <c r="N768"/>
  <c r="K768"/>
  <c r="I768"/>
  <c r="C768"/>
  <c r="L768" s="1"/>
  <c r="K767"/>
  <c r="N767" s="1"/>
  <c r="I767"/>
  <c r="E767"/>
  <c r="C767"/>
  <c r="L767" s="1"/>
  <c r="B767"/>
  <c r="N766"/>
  <c r="K766"/>
  <c r="I766"/>
  <c r="F766"/>
  <c r="C766"/>
  <c r="L766" s="1"/>
  <c r="N765"/>
  <c r="K765"/>
  <c r="I765"/>
  <c r="C765"/>
  <c r="L765" s="1"/>
  <c r="N764"/>
  <c r="K764"/>
  <c r="I764"/>
  <c r="F764"/>
  <c r="C764"/>
  <c r="L764" s="1"/>
  <c r="N763"/>
  <c r="K763"/>
  <c r="I763"/>
  <c r="C763"/>
  <c r="L763" s="1"/>
  <c r="N762"/>
  <c r="L762"/>
  <c r="K762"/>
  <c r="I762"/>
  <c r="F762"/>
  <c r="N761"/>
  <c r="L761"/>
  <c r="K761"/>
  <c r="I761"/>
  <c r="F761"/>
  <c r="N760"/>
  <c r="L760"/>
  <c r="K760"/>
  <c r="I760"/>
  <c r="F760"/>
  <c r="N759"/>
  <c r="L759"/>
  <c r="K759"/>
  <c r="I759"/>
  <c r="F759"/>
  <c r="K758"/>
  <c r="N758" s="1"/>
  <c r="I758"/>
  <c r="E758"/>
  <c r="F758" s="1"/>
  <c r="C758"/>
  <c r="L758" s="1"/>
  <c r="N757"/>
  <c r="K757"/>
  <c r="I757"/>
  <c r="F757"/>
  <c r="C757"/>
  <c r="L757" s="1"/>
  <c r="N756"/>
  <c r="K756"/>
  <c r="I756"/>
  <c r="C756"/>
  <c r="L756" s="1"/>
  <c r="N755"/>
  <c r="K755"/>
  <c r="I755"/>
  <c r="F755"/>
  <c r="C755"/>
  <c r="L755" s="1"/>
  <c r="N754"/>
  <c r="K754"/>
  <c r="I754"/>
  <c r="C754"/>
  <c r="L754" s="1"/>
  <c r="N753"/>
  <c r="L753"/>
  <c r="K753"/>
  <c r="I753"/>
  <c r="F753"/>
  <c r="N752"/>
  <c r="L752"/>
  <c r="K752"/>
  <c r="I752"/>
  <c r="F752"/>
  <c r="N751"/>
  <c r="L751"/>
  <c r="K751"/>
  <c r="I751"/>
  <c r="F751"/>
  <c r="C751"/>
  <c r="I750"/>
  <c r="F750"/>
  <c r="E750"/>
  <c r="K750" s="1"/>
  <c r="N750" s="1"/>
  <c r="C750"/>
  <c r="L750" s="1"/>
  <c r="N749"/>
  <c r="L749"/>
  <c r="K749"/>
  <c r="I749"/>
  <c r="F749"/>
  <c r="B749"/>
  <c r="N748"/>
  <c r="K748"/>
  <c r="I748"/>
  <c r="C748"/>
  <c r="L748" s="1"/>
  <c r="N747"/>
  <c r="K747"/>
  <c r="I747"/>
  <c r="C747"/>
  <c r="L747" s="1"/>
  <c r="N746"/>
  <c r="K746"/>
  <c r="I746"/>
  <c r="C746"/>
  <c r="L746" s="1"/>
  <c r="N745"/>
  <c r="K745"/>
  <c r="I745"/>
  <c r="C745"/>
  <c r="L745" s="1"/>
  <c r="N744"/>
  <c r="L744"/>
  <c r="K744"/>
  <c r="I744"/>
  <c r="F744"/>
  <c r="N743"/>
  <c r="K743"/>
  <c r="I743"/>
  <c r="C743"/>
  <c r="L743" s="1"/>
  <c r="N742"/>
  <c r="L742"/>
  <c r="K742"/>
  <c r="I742"/>
  <c r="F742"/>
  <c r="N741"/>
  <c r="L741"/>
  <c r="K741"/>
  <c r="I741"/>
  <c r="F741"/>
  <c r="N740"/>
  <c r="K740"/>
  <c r="I740"/>
  <c r="C740"/>
  <c r="L740" s="1"/>
  <c r="N739"/>
  <c r="L739"/>
  <c r="K739"/>
  <c r="I739"/>
  <c r="F739"/>
  <c r="N738"/>
  <c r="K738"/>
  <c r="I738"/>
  <c r="C738"/>
  <c r="L738" s="1"/>
  <c r="N737"/>
  <c r="K737"/>
  <c r="I737"/>
  <c r="C737"/>
  <c r="L737" s="1"/>
  <c r="N736"/>
  <c r="K736"/>
  <c r="I736"/>
  <c r="C736"/>
  <c r="L736" s="1"/>
  <c r="N735"/>
  <c r="K735"/>
  <c r="I735"/>
  <c r="C735"/>
  <c r="L735" s="1"/>
  <c r="N734"/>
  <c r="L734"/>
  <c r="K734"/>
  <c r="I734"/>
  <c r="F734"/>
  <c r="N733"/>
  <c r="K733"/>
  <c r="I733"/>
  <c r="C733"/>
  <c r="L733" s="1"/>
  <c r="N732"/>
  <c r="K732"/>
  <c r="I732"/>
  <c r="F732"/>
  <c r="C732"/>
  <c r="L732" s="1"/>
  <c r="N731"/>
  <c r="K731"/>
  <c r="I731"/>
  <c r="C731"/>
  <c r="L731" s="1"/>
  <c r="N730"/>
  <c r="K730"/>
  <c r="I730"/>
  <c r="F730"/>
  <c r="C730"/>
  <c r="L730" s="1"/>
  <c r="N729"/>
  <c r="L729"/>
  <c r="K729"/>
  <c r="I729"/>
  <c r="F729"/>
  <c r="N728"/>
  <c r="K728"/>
  <c r="I728"/>
  <c r="C728"/>
  <c r="L728" s="1"/>
  <c r="N727"/>
  <c r="K727"/>
  <c r="I727"/>
  <c r="C727"/>
  <c r="L727" s="1"/>
  <c r="N726"/>
  <c r="K726"/>
  <c r="I726"/>
  <c r="C726"/>
  <c r="L726" s="1"/>
  <c r="N725"/>
  <c r="K725"/>
  <c r="I725"/>
  <c r="C725"/>
  <c r="L725" s="1"/>
  <c r="I724"/>
  <c r="E724"/>
  <c r="F724" s="1"/>
  <c r="C724"/>
  <c r="K723"/>
  <c r="N723" s="1"/>
  <c r="I723"/>
  <c r="E723"/>
  <c r="F723" s="1"/>
  <c r="C723"/>
  <c r="L723" s="1"/>
  <c r="N722"/>
  <c r="L722"/>
  <c r="K722"/>
  <c r="I722"/>
  <c r="F722"/>
  <c r="N721"/>
  <c r="K721"/>
  <c r="I721"/>
  <c r="C721"/>
  <c r="L721" s="1"/>
  <c r="N720"/>
  <c r="K720"/>
  <c r="I720"/>
  <c r="F720"/>
  <c r="C720"/>
  <c r="L720" s="1"/>
  <c r="N719"/>
  <c r="L719"/>
  <c r="K719"/>
  <c r="I719"/>
  <c r="F719"/>
  <c r="N718"/>
  <c r="L718"/>
  <c r="K718"/>
  <c r="I718"/>
  <c r="F718"/>
  <c r="N717"/>
  <c r="L717"/>
  <c r="K717"/>
  <c r="I717"/>
  <c r="F717"/>
  <c r="N716"/>
  <c r="L716"/>
  <c r="K716"/>
  <c r="I716"/>
  <c r="F716"/>
  <c r="N715"/>
  <c r="L715"/>
  <c r="K715"/>
  <c r="I715"/>
  <c r="F715"/>
  <c r="N714"/>
  <c r="L714"/>
  <c r="K714"/>
  <c r="I714"/>
  <c r="F714"/>
  <c r="N713"/>
  <c r="K713"/>
  <c r="I713"/>
  <c r="F713"/>
  <c r="C713"/>
  <c r="L713" s="1"/>
  <c r="N712"/>
  <c r="L712"/>
  <c r="K712"/>
  <c r="I712"/>
  <c r="F712"/>
  <c r="N711"/>
  <c r="L711"/>
  <c r="K711"/>
  <c r="I711"/>
  <c r="F711"/>
  <c r="N710"/>
  <c r="L710"/>
  <c r="K710"/>
  <c r="I710"/>
  <c r="F710"/>
  <c r="N709"/>
  <c r="L709"/>
  <c r="K709"/>
  <c r="I709"/>
  <c r="F709"/>
  <c r="N708"/>
  <c r="L708"/>
  <c r="K708"/>
  <c r="I708"/>
  <c r="F708"/>
  <c r="N707"/>
  <c r="L707"/>
  <c r="K707"/>
  <c r="I707"/>
  <c r="F707"/>
  <c r="N706"/>
  <c r="L706"/>
  <c r="K706"/>
  <c r="I706"/>
  <c r="F706"/>
  <c r="N705"/>
  <c r="L705"/>
  <c r="K705"/>
  <c r="I705"/>
  <c r="F705"/>
  <c r="N704"/>
  <c r="L704"/>
  <c r="K704"/>
  <c r="I704"/>
  <c r="F704"/>
  <c r="N703"/>
  <c r="L703"/>
  <c r="K703"/>
  <c r="I703"/>
  <c r="F703"/>
  <c r="N702"/>
  <c r="L702"/>
  <c r="K702"/>
  <c r="I702"/>
  <c r="F702"/>
  <c r="N701"/>
  <c r="L701"/>
  <c r="K701"/>
  <c r="I701"/>
  <c r="F701"/>
  <c r="N700"/>
  <c r="L700"/>
  <c r="K700"/>
  <c r="I700"/>
  <c r="F700"/>
  <c r="N699"/>
  <c r="L699"/>
  <c r="K699"/>
  <c r="I699"/>
  <c r="F699"/>
  <c r="N698"/>
  <c r="L698"/>
  <c r="K698"/>
  <c r="I698"/>
  <c r="F698"/>
  <c r="N697"/>
  <c r="L697"/>
  <c r="K697"/>
  <c r="I697"/>
  <c r="F697"/>
  <c r="N696"/>
  <c r="L696"/>
  <c r="K696"/>
  <c r="I696"/>
  <c r="F696"/>
  <c r="N695"/>
  <c r="L695"/>
  <c r="K695"/>
  <c r="I695"/>
  <c r="F695"/>
  <c r="N694"/>
  <c r="L694"/>
  <c r="K694"/>
  <c r="I694"/>
  <c r="F694"/>
  <c r="N693"/>
  <c r="L693"/>
  <c r="K693"/>
  <c r="I693"/>
  <c r="F693"/>
  <c r="N692"/>
  <c r="L692"/>
  <c r="K692"/>
  <c r="I692"/>
  <c r="F692"/>
  <c r="N691"/>
  <c r="L691"/>
  <c r="K691"/>
  <c r="I691"/>
  <c r="F691"/>
  <c r="N690"/>
  <c r="L690"/>
  <c r="K690"/>
  <c r="I690"/>
  <c r="F690"/>
  <c r="N689"/>
  <c r="L689"/>
  <c r="K689"/>
  <c r="I689"/>
  <c r="F689"/>
  <c r="N688"/>
  <c r="L688"/>
  <c r="K688"/>
  <c r="I688"/>
  <c r="F688"/>
  <c r="N687"/>
  <c r="L687"/>
  <c r="K687"/>
  <c r="I687"/>
  <c r="F687"/>
  <c r="N686"/>
  <c r="K686"/>
  <c r="I686"/>
  <c r="F686"/>
  <c r="C686"/>
  <c r="L686" s="1"/>
  <c r="N685"/>
  <c r="K685"/>
  <c r="I685"/>
  <c r="C685"/>
  <c r="L685" s="1"/>
  <c r="N684"/>
  <c r="K684"/>
  <c r="I684"/>
  <c r="F684"/>
  <c r="C684"/>
  <c r="L684" s="1"/>
  <c r="N683"/>
  <c r="K683"/>
  <c r="I683"/>
  <c r="C683"/>
  <c r="L683" s="1"/>
  <c r="N682"/>
  <c r="L682"/>
  <c r="K682"/>
  <c r="I682"/>
  <c r="F682"/>
  <c r="N681"/>
  <c r="K681"/>
  <c r="I681"/>
  <c r="F681"/>
  <c r="C681"/>
  <c r="L681" s="1"/>
  <c r="N680"/>
  <c r="K680"/>
  <c r="I680"/>
  <c r="C680"/>
  <c r="L680" s="1"/>
  <c r="N679"/>
  <c r="K679"/>
  <c r="I679"/>
  <c r="C679"/>
  <c r="L679" s="1"/>
  <c r="N678"/>
  <c r="K678"/>
  <c r="I678"/>
  <c r="C678"/>
  <c r="L678" s="1"/>
  <c r="N677"/>
  <c r="K677"/>
  <c r="I677"/>
  <c r="C677"/>
  <c r="L677" s="1"/>
  <c r="N676"/>
  <c r="K676"/>
  <c r="I676"/>
  <c r="C676"/>
  <c r="L676" s="1"/>
  <c r="N675"/>
  <c r="K675"/>
  <c r="I675"/>
  <c r="C675"/>
  <c r="L675" s="1"/>
  <c r="N674"/>
  <c r="K674"/>
  <c r="I674"/>
  <c r="C674"/>
  <c r="L674" s="1"/>
  <c r="N673"/>
  <c r="K673"/>
  <c r="I673"/>
  <c r="C673"/>
  <c r="L673" s="1"/>
  <c r="N672"/>
  <c r="L672"/>
  <c r="K672"/>
  <c r="I672"/>
  <c r="F672"/>
  <c r="N671"/>
  <c r="L671"/>
  <c r="K671"/>
  <c r="I671"/>
  <c r="F671"/>
  <c r="N670"/>
  <c r="L670"/>
  <c r="K670"/>
  <c r="I670"/>
  <c r="F670"/>
  <c r="N669"/>
  <c r="L669"/>
  <c r="K669"/>
  <c r="I669"/>
  <c r="F669"/>
  <c r="N668"/>
  <c r="L668"/>
  <c r="K668"/>
  <c r="I668"/>
  <c r="F668"/>
  <c r="N667"/>
  <c r="L667"/>
  <c r="K667"/>
  <c r="I667"/>
  <c r="F667"/>
  <c r="N666"/>
  <c r="L666"/>
  <c r="K666"/>
  <c r="I666"/>
  <c r="F666"/>
  <c r="N665"/>
  <c r="L665"/>
  <c r="K665"/>
  <c r="I665"/>
  <c r="F665"/>
  <c r="N664"/>
  <c r="L664"/>
  <c r="K664"/>
  <c r="I664"/>
  <c r="F664"/>
  <c r="N663"/>
  <c r="L663"/>
  <c r="K663"/>
  <c r="I663"/>
  <c r="F663"/>
  <c r="N662"/>
  <c r="L662"/>
  <c r="K662"/>
  <c r="I662"/>
  <c r="F662"/>
  <c r="N661"/>
  <c r="L661"/>
  <c r="K661"/>
  <c r="I661"/>
  <c r="F661"/>
  <c r="N660"/>
  <c r="L660"/>
  <c r="K660"/>
  <c r="I660"/>
  <c r="F660"/>
  <c r="N659"/>
  <c r="L659"/>
  <c r="K659"/>
  <c r="I659"/>
  <c r="F659"/>
  <c r="N658"/>
  <c r="L658"/>
  <c r="K658"/>
  <c r="I658"/>
  <c r="F658"/>
  <c r="N657"/>
  <c r="L657"/>
  <c r="K657"/>
  <c r="I657"/>
  <c r="F657"/>
  <c r="N656"/>
  <c r="L656"/>
  <c r="K656"/>
  <c r="I656"/>
  <c r="F656"/>
  <c r="N655"/>
  <c r="L655"/>
  <c r="K655"/>
  <c r="I655"/>
  <c r="F655"/>
  <c r="N654"/>
  <c r="L654"/>
  <c r="K654"/>
  <c r="I654"/>
  <c r="F654"/>
  <c r="N653"/>
  <c r="L653"/>
  <c r="K653"/>
  <c r="I653"/>
  <c r="F653"/>
  <c r="N652"/>
  <c r="L652"/>
  <c r="K652"/>
  <c r="I652"/>
  <c r="F652"/>
  <c r="N651"/>
  <c r="L651"/>
  <c r="K651"/>
  <c r="I651"/>
  <c r="F651"/>
  <c r="A651"/>
  <c r="N650"/>
  <c r="L650"/>
  <c r="K650"/>
  <c r="I650"/>
  <c r="F650"/>
  <c r="N649"/>
  <c r="K649"/>
  <c r="I649"/>
  <c r="C649"/>
  <c r="L649" s="1"/>
  <c r="N648"/>
  <c r="K648"/>
  <c r="I648"/>
  <c r="C648"/>
  <c r="L648" s="1"/>
  <c r="N647"/>
  <c r="L647"/>
  <c r="K647"/>
  <c r="I647"/>
  <c r="F647"/>
  <c r="N646"/>
  <c r="L646"/>
  <c r="K646"/>
  <c r="I646"/>
  <c r="F646"/>
  <c r="N645"/>
  <c r="K645"/>
  <c r="I645"/>
  <c r="C645"/>
  <c r="L645" s="1"/>
  <c r="N644"/>
  <c r="K644"/>
  <c r="I644"/>
  <c r="C644"/>
  <c r="L644" s="1"/>
  <c r="N643"/>
  <c r="L643"/>
  <c r="K643"/>
  <c r="I643"/>
  <c r="F643"/>
  <c r="K642"/>
  <c r="N642" s="1"/>
  <c r="I642"/>
  <c r="E642"/>
  <c r="F642" s="1"/>
  <c r="C642"/>
  <c r="L642" s="1"/>
  <c r="N641"/>
  <c r="K641"/>
  <c r="I641"/>
  <c r="C641"/>
  <c r="L641" s="1"/>
  <c r="N640"/>
  <c r="K640"/>
  <c r="I640"/>
  <c r="C640"/>
  <c r="L640" s="1"/>
  <c r="K639"/>
  <c r="N639" s="1"/>
  <c r="I639"/>
  <c r="E639"/>
  <c r="F639" s="1"/>
  <c r="C639"/>
  <c r="L639" s="1"/>
  <c r="N638"/>
  <c r="L638"/>
  <c r="K638"/>
  <c r="I638"/>
  <c r="F638"/>
  <c r="K637"/>
  <c r="N637" s="1"/>
  <c r="I637"/>
  <c r="E637"/>
  <c r="F637" s="1"/>
  <c r="C637"/>
  <c r="L637" s="1"/>
  <c r="N636"/>
  <c r="K636"/>
  <c r="I636"/>
  <c r="F636"/>
  <c r="E636"/>
  <c r="C636"/>
  <c r="L636" s="1"/>
  <c r="I635"/>
  <c r="E635"/>
  <c r="F635" s="1"/>
  <c r="C635"/>
  <c r="N634"/>
  <c r="K634"/>
  <c r="I634"/>
  <c r="C634"/>
  <c r="L634" s="1"/>
  <c r="N633"/>
  <c r="K633"/>
  <c r="I633"/>
  <c r="C633"/>
  <c r="L633" s="1"/>
  <c r="N632"/>
  <c r="K632"/>
  <c r="I632"/>
  <c r="C632"/>
  <c r="L632" s="1"/>
  <c r="I631"/>
  <c r="E631"/>
  <c r="F631" s="1"/>
  <c r="C631"/>
  <c r="B631"/>
  <c r="N630"/>
  <c r="K630"/>
  <c r="I630"/>
  <c r="C630"/>
  <c r="L630" s="1"/>
  <c r="B630"/>
  <c r="I629"/>
  <c r="C629"/>
  <c r="K628"/>
  <c r="N628" s="1"/>
  <c r="I628"/>
  <c r="E628"/>
  <c r="F628" s="1"/>
  <c r="C628"/>
  <c r="L628" s="1"/>
  <c r="N627"/>
  <c r="K627"/>
  <c r="I627"/>
  <c r="F627"/>
  <c r="C627"/>
  <c r="L627" s="1"/>
  <c r="K626"/>
  <c r="N626" s="1"/>
  <c r="I626"/>
  <c r="E626"/>
  <c r="F626" s="1"/>
  <c r="C626"/>
  <c r="L626" s="1"/>
  <c r="B626"/>
  <c r="N625"/>
  <c r="K625"/>
  <c r="I625"/>
  <c r="C625"/>
  <c r="L625" s="1"/>
  <c r="N624"/>
  <c r="K624"/>
  <c r="I624"/>
  <c r="F624"/>
  <c r="E624"/>
  <c r="C624"/>
  <c r="L624" s="1"/>
  <c r="I623"/>
  <c r="E623"/>
  <c r="F623" s="1"/>
  <c r="C623"/>
  <c r="K622"/>
  <c r="N622" s="1"/>
  <c r="I622"/>
  <c r="E622"/>
  <c r="F622" s="1"/>
  <c r="C622"/>
  <c r="L622" s="1"/>
  <c r="N621"/>
  <c r="K621"/>
  <c r="I621"/>
  <c r="C621"/>
  <c r="L621" s="1"/>
  <c r="N620"/>
  <c r="K620"/>
  <c r="I620"/>
  <c r="C620"/>
  <c r="L620" s="1"/>
  <c r="N619"/>
  <c r="K619"/>
  <c r="I619"/>
  <c r="C619"/>
  <c r="L619" s="1"/>
  <c r="N618"/>
  <c r="K618"/>
  <c r="I618"/>
  <c r="C618"/>
  <c r="L618" s="1"/>
  <c r="N617"/>
  <c r="L617"/>
  <c r="K617"/>
  <c r="I617"/>
  <c r="F617"/>
  <c r="N616"/>
  <c r="K616"/>
  <c r="I616"/>
  <c r="C616"/>
  <c r="L616" s="1"/>
  <c r="N615"/>
  <c r="K615"/>
  <c r="I615"/>
  <c r="F615"/>
  <c r="E615"/>
  <c r="C615"/>
  <c r="L615" s="1"/>
  <c r="N614"/>
  <c r="K614"/>
  <c r="I614"/>
  <c r="C614"/>
  <c r="L614" s="1"/>
  <c r="N613"/>
  <c r="K613"/>
  <c r="I613"/>
  <c r="C613"/>
  <c r="L613" s="1"/>
  <c r="I612"/>
  <c r="E612"/>
  <c r="F612" s="1"/>
  <c r="C612"/>
  <c r="K611"/>
  <c r="N611" s="1"/>
  <c r="I611"/>
  <c r="E611"/>
  <c r="F611" s="1"/>
  <c r="C611"/>
  <c r="L611" s="1"/>
  <c r="N610"/>
  <c r="L610"/>
  <c r="K610"/>
  <c r="I610"/>
  <c r="F610"/>
  <c r="N609"/>
  <c r="K609"/>
  <c r="I609"/>
  <c r="C609"/>
  <c r="L609" s="1"/>
  <c r="N608"/>
  <c r="K608"/>
  <c r="I608"/>
  <c r="F608"/>
  <c r="C608"/>
  <c r="L608" s="1"/>
  <c r="N607"/>
  <c r="K607"/>
  <c r="I607"/>
  <c r="C607"/>
  <c r="L607" s="1"/>
  <c r="N606"/>
  <c r="L606"/>
  <c r="K606"/>
  <c r="I606"/>
  <c r="F606"/>
  <c r="K605"/>
  <c r="N605" s="1"/>
  <c r="I605"/>
  <c r="E605"/>
  <c r="F605" s="1"/>
  <c r="C605"/>
  <c r="L605" s="1"/>
  <c r="N604"/>
  <c r="K604"/>
  <c r="I604"/>
  <c r="F604"/>
  <c r="C604"/>
  <c r="L604" s="1"/>
  <c r="N603"/>
  <c r="K603"/>
  <c r="I603"/>
  <c r="C603"/>
  <c r="L603" s="1"/>
  <c r="N602"/>
  <c r="K602"/>
  <c r="I602"/>
  <c r="F602"/>
  <c r="E602"/>
  <c r="C602"/>
  <c r="L602" s="1"/>
  <c r="I601"/>
  <c r="E601"/>
  <c r="F601" s="1"/>
  <c r="C601"/>
  <c r="N600"/>
  <c r="K600"/>
  <c r="I600"/>
  <c r="C600"/>
  <c r="L600" s="1"/>
  <c r="N599"/>
  <c r="K599"/>
  <c r="I599"/>
  <c r="F599"/>
  <c r="C599"/>
  <c r="L599" s="1"/>
  <c r="N598"/>
  <c r="K598"/>
  <c r="I598"/>
  <c r="C598"/>
  <c r="L598" s="1"/>
  <c r="N597"/>
  <c r="K597"/>
  <c r="I597"/>
  <c r="F597"/>
  <c r="E597"/>
  <c r="C597"/>
  <c r="L597" s="1"/>
  <c r="N596"/>
  <c r="K596"/>
  <c r="I596"/>
  <c r="C596"/>
  <c r="L596" s="1"/>
  <c r="K595"/>
  <c r="N595" s="1"/>
  <c r="I595"/>
  <c r="E595"/>
  <c r="F595" s="1"/>
  <c r="C595"/>
  <c r="L595" s="1"/>
  <c r="N594"/>
  <c r="K594"/>
  <c r="I594"/>
  <c r="F594"/>
  <c r="E594"/>
  <c r="C594"/>
  <c r="L594" s="1"/>
  <c r="I593"/>
  <c r="E593"/>
  <c r="F593" s="1"/>
  <c r="C593"/>
  <c r="K592"/>
  <c r="N592" s="1"/>
  <c r="I592"/>
  <c r="E592"/>
  <c r="F592" s="1"/>
  <c r="C592"/>
  <c r="L592" s="1"/>
  <c r="K591"/>
  <c r="N591" s="1"/>
  <c r="I591"/>
  <c r="E591"/>
  <c r="F591" s="1"/>
  <c r="C591"/>
  <c r="L591" s="1"/>
  <c r="N590"/>
  <c r="K590"/>
  <c r="I590"/>
  <c r="F590"/>
  <c r="E590"/>
  <c r="C590"/>
  <c r="L590" s="1"/>
  <c r="I589"/>
  <c r="E589"/>
  <c r="F589" s="1"/>
  <c r="C589"/>
  <c r="N588"/>
  <c r="L588"/>
  <c r="K588"/>
  <c r="I588"/>
  <c r="F588"/>
  <c r="N587"/>
  <c r="K587"/>
  <c r="I587"/>
  <c r="C587"/>
  <c r="L587" s="1"/>
  <c r="K586"/>
  <c r="N586" s="1"/>
  <c r="I586"/>
  <c r="E586"/>
  <c r="F586" s="1"/>
  <c r="C586"/>
  <c r="L586" s="1"/>
  <c r="N585"/>
  <c r="K585"/>
  <c r="I585"/>
  <c r="F585"/>
  <c r="E585"/>
  <c r="C585"/>
  <c r="L585" s="1"/>
  <c r="I584"/>
  <c r="E584"/>
  <c r="F584" s="1"/>
  <c r="C584"/>
  <c r="N583"/>
  <c r="L583"/>
  <c r="K583"/>
  <c r="I583"/>
  <c r="F583"/>
  <c r="N582"/>
  <c r="K582"/>
  <c r="I582"/>
  <c r="C582"/>
  <c r="L582" s="1"/>
  <c r="N581"/>
  <c r="K581"/>
  <c r="I581"/>
  <c r="C581"/>
  <c r="L581" s="1"/>
  <c r="N580"/>
  <c r="K580"/>
  <c r="I580"/>
  <c r="C580"/>
  <c r="L580" s="1"/>
  <c r="K579"/>
  <c r="N579" s="1"/>
  <c r="I579"/>
  <c r="E579"/>
  <c r="F579" s="1"/>
  <c r="C579"/>
  <c r="L579" s="1"/>
  <c r="N578"/>
  <c r="K578"/>
  <c r="I578"/>
  <c r="F578"/>
  <c r="C578"/>
  <c r="L578" s="1"/>
  <c r="K577"/>
  <c r="N577" s="1"/>
  <c r="I577"/>
  <c r="E577"/>
  <c r="F577" s="1"/>
  <c r="C577"/>
  <c r="L577" s="1"/>
  <c r="N576"/>
  <c r="K576"/>
  <c r="I576"/>
  <c r="C576"/>
  <c r="L576" s="1"/>
  <c r="I575"/>
  <c r="E575"/>
  <c r="F575" s="1"/>
  <c r="C575"/>
  <c r="K574"/>
  <c r="N574" s="1"/>
  <c r="I574"/>
  <c r="E574"/>
  <c r="F574" s="1"/>
  <c r="C574"/>
  <c r="L574" s="1"/>
  <c r="N573"/>
  <c r="K573"/>
  <c r="I573"/>
  <c r="C573"/>
  <c r="L573" s="1"/>
  <c r="I572"/>
  <c r="E572"/>
  <c r="E629" s="1"/>
  <c r="C572"/>
  <c r="N571"/>
  <c r="K571"/>
  <c r="I571"/>
  <c r="C571"/>
  <c r="L571" s="1"/>
  <c r="N570"/>
  <c r="K570"/>
  <c r="I570"/>
  <c r="F570"/>
  <c r="C570"/>
  <c r="L570" s="1"/>
  <c r="S569"/>
  <c r="I569"/>
  <c r="E569"/>
  <c r="F569" s="1"/>
  <c r="C569"/>
  <c r="N568"/>
  <c r="K568"/>
  <c r="I568"/>
  <c r="C568"/>
  <c r="L568" s="1"/>
  <c r="S567"/>
  <c r="K567"/>
  <c r="N567" s="1"/>
  <c r="I567"/>
  <c r="E567"/>
  <c r="C567"/>
  <c r="L567" s="1"/>
  <c r="N566"/>
  <c r="K566"/>
  <c r="I566"/>
  <c r="F566"/>
  <c r="C566"/>
  <c r="L566" s="1"/>
  <c r="N565"/>
  <c r="K565"/>
  <c r="I565"/>
  <c r="C565"/>
  <c r="L565" s="1"/>
  <c r="N564"/>
  <c r="K564"/>
  <c r="I564"/>
  <c r="F564"/>
  <c r="C564"/>
  <c r="L564" s="1"/>
  <c r="N563"/>
  <c r="K563"/>
  <c r="I563"/>
  <c r="C563"/>
  <c r="L563" s="1"/>
  <c r="N562"/>
  <c r="K562"/>
  <c r="I562"/>
  <c r="F562"/>
  <c r="C562"/>
  <c r="L562" s="1"/>
  <c r="N561"/>
  <c r="L561"/>
  <c r="K561"/>
  <c r="I561"/>
  <c r="F561"/>
  <c r="N560"/>
  <c r="K560"/>
  <c r="I560"/>
  <c r="C560"/>
  <c r="L560" s="1"/>
  <c r="N559"/>
  <c r="K559"/>
  <c r="I559"/>
  <c r="F559"/>
  <c r="C559"/>
  <c r="L559" s="1"/>
  <c r="N558"/>
  <c r="K558"/>
  <c r="I558"/>
  <c r="C558"/>
  <c r="L558" s="1"/>
  <c r="N557"/>
  <c r="K557"/>
  <c r="I557"/>
  <c r="F557"/>
  <c r="C557"/>
  <c r="L557" s="1"/>
  <c r="N556"/>
  <c r="K556"/>
  <c r="I556"/>
  <c r="C556"/>
  <c r="L556" s="1"/>
  <c r="N555"/>
  <c r="K555"/>
  <c r="I555"/>
  <c r="F555"/>
  <c r="C555"/>
  <c r="L555" s="1"/>
  <c r="N554"/>
  <c r="K554"/>
  <c r="I554"/>
  <c r="C554"/>
  <c r="L554" s="1"/>
  <c r="N553"/>
  <c r="K553"/>
  <c r="I553"/>
  <c r="C553"/>
  <c r="L553" s="1"/>
  <c r="N552"/>
  <c r="K552"/>
  <c r="I552"/>
  <c r="C552"/>
  <c r="L552" s="1"/>
  <c r="N551"/>
  <c r="L551"/>
  <c r="K551"/>
  <c r="I551"/>
  <c r="F551"/>
  <c r="N550"/>
  <c r="K550"/>
  <c r="I550"/>
  <c r="C550"/>
  <c r="L550" s="1"/>
  <c r="N549"/>
  <c r="K549"/>
  <c r="I549"/>
  <c r="F549"/>
  <c r="C549"/>
  <c r="L549" s="1"/>
  <c r="N548"/>
  <c r="K548"/>
  <c r="I548"/>
  <c r="C548"/>
  <c r="L548" s="1"/>
  <c r="N547"/>
  <c r="K547"/>
  <c r="I547"/>
  <c r="F547"/>
  <c r="C547"/>
  <c r="L547" s="1"/>
  <c r="N546"/>
  <c r="K546"/>
  <c r="I546"/>
  <c r="C546"/>
  <c r="L546" s="1"/>
  <c r="N545"/>
  <c r="L545"/>
  <c r="K545"/>
  <c r="I545"/>
  <c r="F545"/>
  <c r="K544"/>
  <c r="N544" s="1"/>
  <c r="I544"/>
  <c r="E544"/>
  <c r="C544"/>
  <c r="L544" s="1"/>
  <c r="I543"/>
  <c r="F543"/>
  <c r="E543"/>
  <c r="K543" s="1"/>
  <c r="C543"/>
  <c r="N542"/>
  <c r="K542"/>
  <c r="I542"/>
  <c r="F542"/>
  <c r="C542"/>
  <c r="L542" s="1"/>
  <c r="N541"/>
  <c r="L541"/>
  <c r="K541"/>
  <c r="I541"/>
  <c r="F541"/>
  <c r="N540"/>
  <c r="K540"/>
  <c r="I540"/>
  <c r="C540"/>
  <c r="L540" s="1"/>
  <c r="N539"/>
  <c r="K539"/>
  <c r="I539"/>
  <c r="F539"/>
  <c r="C539"/>
  <c r="L539" s="1"/>
  <c r="N538"/>
  <c r="K538"/>
  <c r="I538"/>
  <c r="C538"/>
  <c r="L538" s="1"/>
  <c r="N537"/>
  <c r="K537"/>
  <c r="I537"/>
  <c r="F537"/>
  <c r="C537"/>
  <c r="L537" s="1"/>
  <c r="N536"/>
  <c r="K536"/>
  <c r="I536"/>
  <c r="C536"/>
  <c r="L536" s="1"/>
  <c r="N535"/>
  <c r="K535"/>
  <c r="I535"/>
  <c r="F535"/>
  <c r="C535"/>
  <c r="L535" s="1"/>
  <c r="N534"/>
  <c r="K534"/>
  <c r="I534"/>
  <c r="C534"/>
  <c r="L534" s="1"/>
  <c r="I533"/>
  <c r="F533"/>
  <c r="E533"/>
  <c r="K533" s="1"/>
  <c r="C533"/>
  <c r="N532"/>
  <c r="L532"/>
  <c r="K532"/>
  <c r="I532"/>
  <c r="F532"/>
  <c r="N531"/>
  <c r="K531"/>
  <c r="I531"/>
  <c r="F531"/>
  <c r="C531"/>
  <c r="L531" s="1"/>
  <c r="N530"/>
  <c r="K530"/>
  <c r="I530"/>
  <c r="C530"/>
  <c r="L530" s="1"/>
  <c r="N529"/>
  <c r="L529"/>
  <c r="K529"/>
  <c r="I529"/>
  <c r="F529"/>
  <c r="N528"/>
  <c r="K528"/>
  <c r="I528"/>
  <c r="F528"/>
  <c r="C528"/>
  <c r="L528" s="1"/>
  <c r="N527"/>
  <c r="L527"/>
  <c r="K527"/>
  <c r="I527"/>
  <c r="F527"/>
  <c r="N526"/>
  <c r="L526"/>
  <c r="K526"/>
  <c r="I526"/>
  <c r="F526"/>
  <c r="N525"/>
  <c r="K525"/>
  <c r="I525"/>
  <c r="F525"/>
  <c r="C525"/>
  <c r="L525" s="1"/>
  <c r="N524"/>
  <c r="K524"/>
  <c r="I524"/>
  <c r="F524"/>
  <c r="C524"/>
  <c r="L524" s="1"/>
  <c r="N523"/>
  <c r="L523"/>
  <c r="K523"/>
  <c r="I523"/>
  <c r="F523"/>
  <c r="N522"/>
  <c r="K522"/>
  <c r="I522"/>
  <c r="C522"/>
  <c r="L522" s="1"/>
  <c r="N521"/>
  <c r="K521"/>
  <c r="I521"/>
  <c r="N520"/>
  <c r="K520"/>
  <c r="I520"/>
  <c r="C520"/>
  <c r="L520" s="1"/>
  <c r="N519"/>
  <c r="L519"/>
  <c r="K519"/>
  <c r="I519"/>
  <c r="F519"/>
  <c r="N518"/>
  <c r="K518"/>
  <c r="I518"/>
  <c r="F518"/>
  <c r="C518"/>
  <c r="L518" s="1"/>
  <c r="N517"/>
  <c r="K517"/>
  <c r="I517"/>
  <c r="F517"/>
  <c r="C517"/>
  <c r="L517" s="1"/>
  <c r="N516"/>
  <c r="L516"/>
  <c r="K516"/>
  <c r="I516"/>
  <c r="F516"/>
  <c r="N515"/>
  <c r="K515"/>
  <c r="I515"/>
  <c r="C515"/>
  <c r="L515" s="1"/>
  <c r="N514"/>
  <c r="L514"/>
  <c r="K514"/>
  <c r="I514"/>
  <c r="F514"/>
  <c r="K513"/>
  <c r="N513" s="1"/>
  <c r="I513"/>
  <c r="E513"/>
  <c r="F513" s="1"/>
  <c r="C513"/>
  <c r="L513" s="1"/>
  <c r="N512"/>
  <c r="K512"/>
  <c r="I512"/>
  <c r="F512"/>
  <c r="C512"/>
  <c r="L512" s="1"/>
  <c r="N511"/>
  <c r="K511"/>
  <c r="I511"/>
  <c r="C511"/>
  <c r="L511" s="1"/>
  <c r="I510"/>
  <c r="F510"/>
  <c r="E510"/>
  <c r="K510" s="1"/>
  <c r="N510" s="1"/>
  <c r="C510"/>
  <c r="N509"/>
  <c r="L509"/>
  <c r="K509"/>
  <c r="I509"/>
  <c r="F509"/>
  <c r="N508"/>
  <c r="K508"/>
  <c r="I508"/>
  <c r="N507"/>
  <c r="K507"/>
  <c r="I507"/>
  <c r="N506"/>
  <c r="K506"/>
  <c r="I506"/>
  <c r="C506"/>
  <c r="L506" s="1"/>
  <c r="N505"/>
  <c r="K505"/>
  <c r="I505"/>
  <c r="F505"/>
  <c r="C505"/>
  <c r="L505" s="1"/>
  <c r="I504"/>
  <c r="E504"/>
  <c r="K504" s="1"/>
  <c r="C504"/>
  <c r="K503"/>
  <c r="N503" s="1"/>
  <c r="I503"/>
  <c r="E503"/>
  <c r="F503" s="1"/>
  <c r="C503"/>
  <c r="C508" s="1"/>
  <c r="I502"/>
  <c r="E502"/>
  <c r="K502" s="1"/>
  <c r="C502"/>
  <c r="K501"/>
  <c r="L501" s="1"/>
  <c r="I501"/>
  <c r="F501"/>
  <c r="N500"/>
  <c r="K500"/>
  <c r="I500"/>
  <c r="C500"/>
  <c r="L500" s="1"/>
  <c r="N499"/>
  <c r="L499"/>
  <c r="K499"/>
  <c r="I499"/>
  <c r="F499"/>
  <c r="K498"/>
  <c r="L498" s="1"/>
  <c r="I498"/>
  <c r="F498"/>
  <c r="N497"/>
  <c r="K497"/>
  <c r="I497"/>
  <c r="C497"/>
  <c r="L497" s="1"/>
  <c r="N496"/>
  <c r="L496"/>
  <c r="K496"/>
  <c r="I496"/>
  <c r="F496"/>
  <c r="K495"/>
  <c r="L495" s="1"/>
  <c r="I495"/>
  <c r="C495"/>
  <c r="F495" s="1"/>
  <c r="N494"/>
  <c r="L494"/>
  <c r="K494"/>
  <c r="I494"/>
  <c r="F494"/>
  <c r="N493"/>
  <c r="K493"/>
  <c r="I493"/>
  <c r="F493"/>
  <c r="C493"/>
  <c r="L493" s="1"/>
  <c r="N492"/>
  <c r="K492"/>
  <c r="I492"/>
  <c r="C492"/>
  <c r="L492" s="1"/>
  <c r="N491"/>
  <c r="K491"/>
  <c r="I491"/>
  <c r="C491"/>
  <c r="L491" s="1"/>
  <c r="N490"/>
  <c r="L490"/>
  <c r="K490"/>
  <c r="I490"/>
  <c r="F490"/>
  <c r="N489"/>
  <c r="K489"/>
  <c r="I489"/>
  <c r="F489"/>
  <c r="C489"/>
  <c r="L489" s="1"/>
  <c r="K488"/>
  <c r="L488" s="1"/>
  <c r="I488"/>
  <c r="F488"/>
  <c r="C488"/>
  <c r="N487"/>
  <c r="K487"/>
  <c r="I487"/>
  <c r="F487"/>
  <c r="C487"/>
  <c r="L487" s="1"/>
  <c r="K486"/>
  <c r="I486"/>
  <c r="F486"/>
  <c r="C486"/>
  <c r="N485"/>
  <c r="L485"/>
  <c r="K485"/>
  <c r="I485"/>
  <c r="F485"/>
  <c r="N484"/>
  <c r="K484"/>
  <c r="I484"/>
  <c r="C484"/>
  <c r="L484" s="1"/>
  <c r="N483"/>
  <c r="K483"/>
  <c r="I483"/>
  <c r="C483"/>
  <c r="L483" s="1"/>
  <c r="N482"/>
  <c r="K482"/>
  <c r="I482"/>
  <c r="F482"/>
  <c r="C482"/>
  <c r="L482" s="1"/>
  <c r="N481"/>
  <c r="K481"/>
  <c r="I481"/>
  <c r="C481"/>
  <c r="L481" s="1"/>
  <c r="N480"/>
  <c r="K480"/>
  <c r="I480"/>
  <c r="C480"/>
  <c r="L480" s="1"/>
  <c r="N479"/>
  <c r="K479"/>
  <c r="I479"/>
  <c r="C479"/>
  <c r="L479" s="1"/>
  <c r="N478"/>
  <c r="K478"/>
  <c r="I478"/>
  <c r="F478"/>
  <c r="C478"/>
  <c r="L478" s="1"/>
  <c r="I477"/>
  <c r="E477"/>
  <c r="K477" s="1"/>
  <c r="C477"/>
  <c r="K476"/>
  <c r="I476"/>
  <c r="F476"/>
  <c r="C476"/>
  <c r="N475"/>
  <c r="K475"/>
  <c r="I475"/>
  <c r="F475"/>
  <c r="C475"/>
  <c r="L475" s="1"/>
  <c r="K474"/>
  <c r="L474" s="1"/>
  <c r="I474"/>
  <c r="F474"/>
  <c r="N473"/>
  <c r="K473"/>
  <c r="I473"/>
  <c r="C473"/>
  <c r="L473" s="1"/>
  <c r="N472"/>
  <c r="K472"/>
  <c r="I472"/>
  <c r="C472"/>
  <c r="L472" s="1"/>
  <c r="N471"/>
  <c r="K471"/>
  <c r="I471"/>
  <c r="C471"/>
  <c r="L471" s="1"/>
  <c r="N470"/>
  <c r="K470"/>
  <c r="I470"/>
  <c r="F470"/>
  <c r="C470"/>
  <c r="L470" s="1"/>
  <c r="N469"/>
  <c r="K469"/>
  <c r="I469"/>
  <c r="C469"/>
  <c r="L469" s="1"/>
  <c r="N468"/>
  <c r="L468"/>
  <c r="K468"/>
  <c r="I468"/>
  <c r="F468"/>
  <c r="K467"/>
  <c r="L467" s="1"/>
  <c r="I467"/>
  <c r="F467"/>
  <c r="C467"/>
  <c r="N466"/>
  <c r="K466"/>
  <c r="I466"/>
  <c r="F466"/>
  <c r="C466"/>
  <c r="L466" s="1"/>
  <c r="K465"/>
  <c r="L465" s="1"/>
  <c r="I465"/>
  <c r="F465"/>
  <c r="N464"/>
  <c r="K464"/>
  <c r="I464"/>
  <c r="C464"/>
  <c r="L464" s="1"/>
  <c r="N463"/>
  <c r="K463"/>
  <c r="I463"/>
  <c r="F463"/>
  <c r="C463"/>
  <c r="L463" s="1"/>
  <c r="N462"/>
  <c r="L462"/>
  <c r="K462"/>
  <c r="I462"/>
  <c r="F462"/>
  <c r="N461"/>
  <c r="K461"/>
  <c r="I461"/>
  <c r="F461"/>
  <c r="C461"/>
  <c r="L461" s="1"/>
  <c r="K460"/>
  <c r="I460"/>
  <c r="F460"/>
  <c r="C460"/>
  <c r="N459"/>
  <c r="K459"/>
  <c r="I459"/>
  <c r="F459"/>
  <c r="C459"/>
  <c r="L459" s="1"/>
  <c r="K458"/>
  <c r="L458" s="1"/>
  <c r="I458"/>
  <c r="F458"/>
  <c r="C458"/>
  <c r="N457"/>
  <c r="K457"/>
  <c r="I457"/>
  <c r="F457"/>
  <c r="C457"/>
  <c r="L457" s="1"/>
  <c r="K456"/>
  <c r="I456"/>
  <c r="F456"/>
  <c r="C456"/>
  <c r="N455"/>
  <c r="L455"/>
  <c r="K455"/>
  <c r="I455"/>
  <c r="F455"/>
  <c r="N454"/>
  <c r="K454"/>
  <c r="I454"/>
  <c r="C454"/>
  <c r="L454" s="1"/>
  <c r="N453"/>
  <c r="K453"/>
  <c r="I453"/>
  <c r="C453"/>
  <c r="L453" s="1"/>
  <c r="N452"/>
  <c r="K452"/>
  <c r="I452"/>
  <c r="F452"/>
  <c r="C452"/>
  <c r="L452" s="1"/>
  <c r="N451"/>
  <c r="K451"/>
  <c r="I451"/>
  <c r="C451"/>
  <c r="L451" s="1"/>
  <c r="N450"/>
  <c r="K450"/>
  <c r="I450"/>
  <c r="C450"/>
  <c r="L450" s="1"/>
  <c r="N449"/>
  <c r="K449"/>
  <c r="I449"/>
  <c r="C449"/>
  <c r="L449" s="1"/>
  <c r="N448"/>
  <c r="K448"/>
  <c r="I448"/>
  <c r="F448"/>
  <c r="C448"/>
  <c r="L448" s="1"/>
  <c r="N447"/>
  <c r="K447"/>
  <c r="I447"/>
  <c r="C447"/>
  <c r="L447" s="1"/>
  <c r="N446"/>
  <c r="K446"/>
  <c r="I446"/>
  <c r="C446"/>
  <c r="L446" s="1"/>
  <c r="N445"/>
  <c r="K445"/>
  <c r="I445"/>
  <c r="C445"/>
  <c r="L445" s="1"/>
  <c r="N444"/>
  <c r="K444"/>
  <c r="I444"/>
  <c r="F444"/>
  <c r="C444"/>
  <c r="L444" s="1"/>
  <c r="N443"/>
  <c r="K443"/>
  <c r="I443"/>
  <c r="C443"/>
  <c r="L443" s="1"/>
  <c r="N442"/>
  <c r="K442"/>
  <c r="I442"/>
  <c r="C442"/>
  <c r="L442" s="1"/>
  <c r="N441"/>
  <c r="K441"/>
  <c r="I441"/>
  <c r="C441"/>
  <c r="L441" s="1"/>
  <c r="N440"/>
  <c r="K440"/>
  <c r="I440"/>
  <c r="F440"/>
  <c r="C440"/>
  <c r="L440" s="1"/>
  <c r="N439"/>
  <c r="L439"/>
  <c r="K439"/>
  <c r="I439"/>
  <c r="F439"/>
  <c r="N438"/>
  <c r="K438"/>
  <c r="I438"/>
  <c r="F438"/>
  <c r="C438"/>
  <c r="L438" s="1"/>
  <c r="K437"/>
  <c r="I437"/>
  <c r="F437"/>
  <c r="C437"/>
  <c r="N436"/>
  <c r="L436"/>
  <c r="K436"/>
  <c r="I436"/>
  <c r="F436"/>
  <c r="N435"/>
  <c r="K435"/>
  <c r="I435"/>
  <c r="C435"/>
  <c r="L435" s="1"/>
  <c r="N434"/>
  <c r="K434"/>
  <c r="I434"/>
  <c r="C434"/>
  <c r="L434" s="1"/>
  <c r="N433"/>
  <c r="K433"/>
  <c r="I433"/>
  <c r="F433"/>
  <c r="C433"/>
  <c r="L433" s="1"/>
  <c r="N432"/>
  <c r="K432"/>
  <c r="I432"/>
  <c r="C432"/>
  <c r="L432" s="1"/>
  <c r="N431"/>
  <c r="K431"/>
  <c r="I431"/>
  <c r="C431"/>
  <c r="L431" s="1"/>
  <c r="N430"/>
  <c r="L430"/>
  <c r="K430"/>
  <c r="I430"/>
  <c r="F430"/>
  <c r="N429"/>
  <c r="K429"/>
  <c r="I429"/>
  <c r="F429"/>
  <c r="C429"/>
  <c r="L429" s="1"/>
  <c r="K428"/>
  <c r="L428" s="1"/>
  <c r="I428"/>
  <c r="F428"/>
  <c r="C428"/>
  <c r="I427"/>
  <c r="E427"/>
  <c r="K427" s="1"/>
  <c r="C427"/>
  <c r="I426"/>
  <c r="F426"/>
  <c r="E426"/>
  <c r="K426" s="1"/>
  <c r="C426"/>
  <c r="I425"/>
  <c r="E425"/>
  <c r="K425" s="1"/>
  <c r="C425"/>
  <c r="I424"/>
  <c r="E424"/>
  <c r="K424" s="1"/>
  <c r="N424" s="1"/>
  <c r="C424"/>
  <c r="N423"/>
  <c r="L423"/>
  <c r="K423"/>
  <c r="I423"/>
  <c r="F423"/>
  <c r="K422"/>
  <c r="L422" s="1"/>
  <c r="I422"/>
  <c r="F422"/>
  <c r="C422"/>
  <c r="N421"/>
  <c r="K421"/>
  <c r="I421"/>
  <c r="F421"/>
  <c r="C421"/>
  <c r="L421" s="1"/>
  <c r="K420"/>
  <c r="I420"/>
  <c r="F420"/>
  <c r="C420"/>
  <c r="N419"/>
  <c r="K419"/>
  <c r="I419"/>
  <c r="F419"/>
  <c r="C419"/>
  <c r="L419" s="1"/>
  <c r="K418"/>
  <c r="L418" s="1"/>
  <c r="I418"/>
  <c r="F418"/>
  <c r="C418"/>
  <c r="N417"/>
  <c r="K417"/>
  <c r="I417"/>
  <c r="F417"/>
  <c r="C417"/>
  <c r="L417" s="1"/>
  <c r="K416"/>
  <c r="L416" s="1"/>
  <c r="I416"/>
  <c r="F416"/>
  <c r="N415"/>
  <c r="K415"/>
  <c r="I415"/>
  <c r="C415"/>
  <c r="L415" s="1"/>
  <c r="N414"/>
  <c r="K414"/>
  <c r="I414"/>
  <c r="F414"/>
  <c r="C414"/>
  <c r="L414" s="1"/>
  <c r="N413"/>
  <c r="K413"/>
  <c r="I413"/>
  <c r="C413"/>
  <c r="L413" s="1"/>
  <c r="N412"/>
  <c r="K412"/>
  <c r="I412"/>
  <c r="C412"/>
  <c r="L412" s="1"/>
  <c r="N411"/>
  <c r="K411"/>
  <c r="I411"/>
  <c r="C411"/>
  <c r="L411" s="1"/>
  <c r="N410"/>
  <c r="L410"/>
  <c r="K410"/>
  <c r="I410"/>
  <c r="F410"/>
  <c r="K409"/>
  <c r="I409"/>
  <c r="F409"/>
  <c r="C409"/>
  <c r="N408"/>
  <c r="K408"/>
  <c r="I408"/>
  <c r="F408"/>
  <c r="C408"/>
  <c r="L408" s="1"/>
  <c r="K407"/>
  <c r="L407" s="1"/>
  <c r="I407"/>
  <c r="F407"/>
  <c r="C407"/>
  <c r="N406"/>
  <c r="K406"/>
  <c r="I406"/>
  <c r="F406"/>
  <c r="C406"/>
  <c r="L406" s="1"/>
  <c r="K405"/>
  <c r="I405"/>
  <c r="F405"/>
  <c r="C405"/>
  <c r="N404"/>
  <c r="K404"/>
  <c r="I404"/>
  <c r="F404"/>
  <c r="C404"/>
  <c r="L404" s="1"/>
  <c r="K403"/>
  <c r="L403" s="1"/>
  <c r="I403"/>
  <c r="F403"/>
  <c r="N402"/>
  <c r="K402"/>
  <c r="I402"/>
  <c r="C402"/>
  <c r="L402" s="1"/>
  <c r="N401"/>
  <c r="K401"/>
  <c r="I401"/>
  <c r="C401"/>
  <c r="L401" s="1"/>
  <c r="N400"/>
  <c r="K400"/>
  <c r="I400"/>
  <c r="C400"/>
  <c r="L400" s="1"/>
  <c r="N399"/>
  <c r="K399"/>
  <c r="I399"/>
  <c r="F399"/>
  <c r="C399"/>
  <c r="L399" s="1"/>
  <c r="N398"/>
  <c r="K398"/>
  <c r="I398"/>
  <c r="C398"/>
  <c r="L398" s="1"/>
  <c r="N397"/>
  <c r="L397"/>
  <c r="K397"/>
  <c r="I397"/>
  <c r="F397"/>
  <c r="K396"/>
  <c r="L396" s="1"/>
  <c r="I396"/>
  <c r="F396"/>
  <c r="C396"/>
  <c r="N395"/>
  <c r="K395"/>
  <c r="I395"/>
  <c r="C395"/>
  <c r="L395" s="1"/>
  <c r="K394"/>
  <c r="I394"/>
  <c r="C394"/>
  <c r="F394" s="1"/>
  <c r="I393"/>
  <c r="F393"/>
  <c r="E393"/>
  <c r="K393" s="1"/>
  <c r="C393"/>
  <c r="I392"/>
  <c r="E392"/>
  <c r="K392" s="1"/>
  <c r="C392"/>
  <c r="I391"/>
  <c r="E391"/>
  <c r="K391" s="1"/>
  <c r="N391" s="1"/>
  <c r="C391"/>
  <c r="N390"/>
  <c r="L390"/>
  <c r="K390"/>
  <c r="I390"/>
  <c r="F390"/>
  <c r="K389"/>
  <c r="I389"/>
  <c r="F389"/>
  <c r="C389"/>
  <c r="N388"/>
  <c r="K388"/>
  <c r="I388"/>
  <c r="F388"/>
  <c r="C388"/>
  <c r="L388" s="1"/>
  <c r="K387"/>
  <c r="L387" s="1"/>
  <c r="I387"/>
  <c r="F387"/>
  <c r="C387"/>
  <c r="I386"/>
  <c r="E386"/>
  <c r="K386" s="1"/>
  <c r="C386"/>
  <c r="I385"/>
  <c r="E385"/>
  <c r="K385" s="1"/>
  <c r="C385"/>
  <c r="K384"/>
  <c r="L384" s="1"/>
  <c r="I384"/>
  <c r="F384"/>
  <c r="N383"/>
  <c r="L383"/>
  <c r="K383"/>
  <c r="I383"/>
  <c r="F383"/>
  <c r="N382"/>
  <c r="K382"/>
  <c r="I382"/>
  <c r="F382"/>
  <c r="C382"/>
  <c r="L382" s="1"/>
  <c r="K381"/>
  <c r="I381"/>
  <c r="F381"/>
  <c r="C381"/>
  <c r="N380"/>
  <c r="K380"/>
  <c r="I380"/>
  <c r="F380"/>
  <c r="C380"/>
  <c r="L380" s="1"/>
  <c r="I379"/>
  <c r="F379"/>
  <c r="E379"/>
  <c r="K379" s="1"/>
  <c r="L379" s="1"/>
  <c r="N378"/>
  <c r="K378"/>
  <c r="I378"/>
  <c r="F378"/>
  <c r="C378"/>
  <c r="L378" s="1"/>
  <c r="K377"/>
  <c r="L377" s="1"/>
  <c r="I377"/>
  <c r="F377"/>
  <c r="I376"/>
  <c r="E376"/>
  <c r="K376" s="1"/>
  <c r="C376"/>
  <c r="K375"/>
  <c r="I375"/>
  <c r="F375"/>
  <c r="C375"/>
  <c r="I374"/>
  <c r="F374"/>
  <c r="E374"/>
  <c r="K374" s="1"/>
  <c r="C374"/>
  <c r="N373"/>
  <c r="K373"/>
  <c r="I373"/>
  <c r="C373"/>
  <c r="L373" s="1"/>
  <c r="N372"/>
  <c r="K372"/>
  <c r="I372"/>
  <c r="F372"/>
  <c r="C372"/>
  <c r="L372" s="1"/>
  <c r="K371"/>
  <c r="N371" s="1"/>
  <c r="I371"/>
  <c r="C371"/>
  <c r="L371" s="1"/>
  <c r="N370"/>
  <c r="L370"/>
  <c r="K370"/>
  <c r="I370"/>
  <c r="F370"/>
  <c r="I369"/>
  <c r="E369"/>
  <c r="K369" s="1"/>
  <c r="N369" s="1"/>
  <c r="C369"/>
  <c r="K368"/>
  <c r="N368" s="1"/>
  <c r="I368"/>
  <c r="E368"/>
  <c r="C368"/>
  <c r="L368" s="1"/>
  <c r="I367"/>
  <c r="E367"/>
  <c r="K367" s="1"/>
  <c r="C367"/>
  <c r="F367" s="1"/>
  <c r="K366"/>
  <c r="N366" s="1"/>
  <c r="I366"/>
  <c r="C366"/>
  <c r="L366" s="1"/>
  <c r="N365"/>
  <c r="K365"/>
  <c r="I365"/>
  <c r="F365"/>
  <c r="C365"/>
  <c r="L365" s="1"/>
  <c r="K364"/>
  <c r="N364" s="1"/>
  <c r="I364"/>
  <c r="C364"/>
  <c r="L364" s="1"/>
  <c r="I363"/>
  <c r="F363"/>
  <c r="E363"/>
  <c r="K363" s="1"/>
  <c r="C363"/>
  <c r="N362"/>
  <c r="L362"/>
  <c r="K362"/>
  <c r="I362"/>
  <c r="F362"/>
  <c r="N361"/>
  <c r="L361"/>
  <c r="K361"/>
  <c r="I361"/>
  <c r="F361"/>
  <c r="K360"/>
  <c r="L360" s="1"/>
  <c r="I360"/>
  <c r="F360"/>
  <c r="I359"/>
  <c r="E359"/>
  <c r="K359" s="1"/>
  <c r="C359"/>
  <c r="K358"/>
  <c r="L358" s="1"/>
  <c r="I358"/>
  <c r="F358"/>
  <c r="C358"/>
  <c r="N357"/>
  <c r="K357"/>
  <c r="I357"/>
  <c r="C357"/>
  <c r="L357" s="1"/>
  <c r="K356"/>
  <c r="N356" s="1"/>
  <c r="I356"/>
  <c r="E356"/>
  <c r="C356"/>
  <c r="L356" s="1"/>
  <c r="N355"/>
  <c r="K355"/>
  <c r="I355"/>
  <c r="F355"/>
  <c r="C355"/>
  <c r="L355" s="1"/>
  <c r="K354"/>
  <c r="N354" s="1"/>
  <c r="I354"/>
  <c r="C354"/>
  <c r="L354" s="1"/>
  <c r="N353"/>
  <c r="K353"/>
  <c r="I353"/>
  <c r="F353"/>
  <c r="C353"/>
  <c r="L353" s="1"/>
  <c r="L352"/>
  <c r="K352"/>
  <c r="N352" s="1"/>
  <c r="I352"/>
  <c r="F352"/>
  <c r="N351"/>
  <c r="K351"/>
  <c r="I351"/>
  <c r="C351"/>
  <c r="L351" s="1"/>
  <c r="K350"/>
  <c r="N350" s="1"/>
  <c r="I350"/>
  <c r="E350"/>
  <c r="C350"/>
  <c r="L350" s="1"/>
  <c r="N349"/>
  <c r="K349"/>
  <c r="I349"/>
  <c r="F349"/>
  <c r="C349"/>
  <c r="L349" s="1"/>
  <c r="K348"/>
  <c r="N348" s="1"/>
  <c r="I348"/>
  <c r="C348"/>
  <c r="L348" s="1"/>
  <c r="N347"/>
  <c r="K347"/>
  <c r="I347"/>
  <c r="F347"/>
  <c r="C347"/>
  <c r="L347" s="1"/>
  <c r="K346"/>
  <c r="N346" s="1"/>
  <c r="I346"/>
  <c r="C346"/>
  <c r="L346" s="1"/>
  <c r="N345"/>
  <c r="K345"/>
  <c r="I345"/>
  <c r="C345"/>
  <c r="L345" s="1"/>
  <c r="L344"/>
  <c r="K344"/>
  <c r="N344" s="1"/>
  <c r="I344"/>
  <c r="F344"/>
  <c r="N343"/>
  <c r="K343"/>
  <c r="I343"/>
  <c r="F343"/>
  <c r="C343"/>
  <c r="L343" s="1"/>
  <c r="K342"/>
  <c r="L342" s="1"/>
  <c r="I342"/>
  <c r="F342"/>
  <c r="K341"/>
  <c r="N341" s="1"/>
  <c r="I341"/>
  <c r="C341"/>
  <c r="L341" s="1"/>
  <c r="N340"/>
  <c r="K340"/>
  <c r="I340"/>
  <c r="F340"/>
  <c r="C340"/>
  <c r="L340" s="1"/>
  <c r="K339"/>
  <c r="N339" s="1"/>
  <c r="I339"/>
  <c r="C339"/>
  <c r="L339" s="1"/>
  <c r="N338"/>
  <c r="L338"/>
  <c r="K338"/>
  <c r="I338"/>
  <c r="F338"/>
  <c r="K337"/>
  <c r="I337"/>
  <c r="F337"/>
  <c r="C337"/>
  <c r="N336"/>
  <c r="K336"/>
  <c r="I336"/>
  <c r="F336"/>
  <c r="C336"/>
  <c r="L336" s="1"/>
  <c r="K335"/>
  <c r="L335" s="1"/>
  <c r="I335"/>
  <c r="F335"/>
  <c r="K334"/>
  <c r="N334" s="1"/>
  <c r="I334"/>
  <c r="C334"/>
  <c r="L334" s="1"/>
  <c r="N333"/>
  <c r="K333"/>
  <c r="I333"/>
  <c r="F333"/>
  <c r="C333"/>
  <c r="L333" s="1"/>
  <c r="L332"/>
  <c r="K332"/>
  <c r="N332" s="1"/>
  <c r="I332"/>
  <c r="F332"/>
  <c r="N331"/>
  <c r="K331"/>
  <c r="I331"/>
  <c r="F331"/>
  <c r="C331"/>
  <c r="L331" s="1"/>
  <c r="K330"/>
  <c r="L330" s="1"/>
  <c r="I330"/>
  <c r="F330"/>
  <c r="C330"/>
  <c r="N329"/>
  <c r="L329"/>
  <c r="K329"/>
  <c r="I329"/>
  <c r="F329"/>
  <c r="I328"/>
  <c r="F328"/>
  <c r="E328"/>
  <c r="K328" s="1"/>
  <c r="C328"/>
  <c r="N327"/>
  <c r="L327"/>
  <c r="K327"/>
  <c r="I327"/>
  <c r="F327"/>
  <c r="N326"/>
  <c r="K326"/>
  <c r="I326"/>
  <c r="F326"/>
  <c r="C326"/>
  <c r="L326" s="1"/>
  <c r="L325"/>
  <c r="K325"/>
  <c r="N325" s="1"/>
  <c r="I325"/>
  <c r="F325"/>
  <c r="N324"/>
  <c r="L324"/>
  <c r="K324"/>
  <c r="I324"/>
  <c r="F324"/>
  <c r="N323"/>
  <c r="K323"/>
  <c r="I323"/>
  <c r="F323"/>
  <c r="C323"/>
  <c r="L323" s="1"/>
  <c r="L322"/>
  <c r="K322"/>
  <c r="N322" s="1"/>
  <c r="I322"/>
  <c r="F322"/>
  <c r="N321"/>
  <c r="K321"/>
  <c r="I321"/>
  <c r="F321"/>
  <c r="C321"/>
  <c r="L321" s="1"/>
  <c r="K320"/>
  <c r="I320"/>
  <c r="F320"/>
  <c r="C320"/>
  <c r="N319"/>
  <c r="K319"/>
  <c r="I319"/>
  <c r="F319"/>
  <c r="C319"/>
  <c r="L319" s="1"/>
  <c r="K318"/>
  <c r="L318" s="1"/>
  <c r="I318"/>
  <c r="F318"/>
  <c r="K317"/>
  <c r="N317" s="1"/>
  <c r="I317"/>
  <c r="C317"/>
  <c r="L317" s="1"/>
  <c r="N316"/>
  <c r="K316"/>
  <c r="I316"/>
  <c r="F316"/>
  <c r="C316"/>
  <c r="L316" s="1"/>
  <c r="K315"/>
  <c r="N315" s="1"/>
  <c r="I315"/>
  <c r="C315"/>
  <c r="L315" s="1"/>
  <c r="N314"/>
  <c r="K314"/>
  <c r="I314"/>
  <c r="C314"/>
  <c r="L314" s="1"/>
  <c r="K313"/>
  <c r="N313" s="1"/>
  <c r="I313"/>
  <c r="C313"/>
  <c r="L313" s="1"/>
  <c r="N312"/>
  <c r="K312"/>
  <c r="I312"/>
  <c r="F312"/>
  <c r="C312"/>
  <c r="L312" s="1"/>
  <c r="K311"/>
  <c r="N311" s="1"/>
  <c r="I311"/>
  <c r="C311"/>
  <c r="L311" s="1"/>
  <c r="N310"/>
  <c r="K310"/>
  <c r="I310"/>
  <c r="F310"/>
  <c r="C310"/>
  <c r="L310" s="1"/>
  <c r="K309"/>
  <c r="N309" s="1"/>
  <c r="I309"/>
  <c r="C309"/>
  <c r="F309" s="1"/>
  <c r="N308"/>
  <c r="K308"/>
  <c r="I308"/>
  <c r="F308"/>
  <c r="C308"/>
  <c r="L308" s="1"/>
  <c r="L307"/>
  <c r="K307"/>
  <c r="N307" s="1"/>
  <c r="I307"/>
  <c r="F307"/>
  <c r="N306"/>
  <c r="K306"/>
  <c r="I306"/>
  <c r="C306"/>
  <c r="L306" s="1"/>
  <c r="K305"/>
  <c r="I305"/>
  <c r="C305"/>
  <c r="F305" s="1"/>
  <c r="N304"/>
  <c r="K304"/>
  <c r="I304"/>
  <c r="F304"/>
  <c r="C304"/>
  <c r="L304" s="1"/>
  <c r="I303"/>
  <c r="E303"/>
  <c r="K303" s="1"/>
  <c r="N303" s="1"/>
  <c r="C303"/>
  <c r="I302"/>
  <c r="F302"/>
  <c r="E302"/>
  <c r="K302" s="1"/>
  <c r="C302"/>
  <c r="N301"/>
  <c r="L301"/>
  <c r="K301"/>
  <c r="I301"/>
  <c r="F301"/>
  <c r="N300"/>
  <c r="K300"/>
  <c r="I300"/>
  <c r="F300"/>
  <c r="C300"/>
  <c r="L300" s="1"/>
  <c r="I299"/>
  <c r="E299"/>
  <c r="C299"/>
  <c r="I298"/>
  <c r="E298"/>
  <c r="K298" s="1"/>
  <c r="N298" s="1"/>
  <c r="C298"/>
  <c r="I297"/>
  <c r="F297"/>
  <c r="E297"/>
  <c r="K297" s="1"/>
  <c r="C297"/>
  <c r="N296"/>
  <c r="L296"/>
  <c r="K296"/>
  <c r="I296"/>
  <c r="F296"/>
  <c r="I295"/>
  <c r="F295"/>
  <c r="E295"/>
  <c r="K295" s="1"/>
  <c r="C295"/>
  <c r="I294"/>
  <c r="F294"/>
  <c r="E294"/>
  <c r="K294" s="1"/>
  <c r="L294" s="1"/>
  <c r="C294"/>
  <c r="I293"/>
  <c r="E293"/>
  <c r="C293"/>
  <c r="I292"/>
  <c r="E292"/>
  <c r="K292" s="1"/>
  <c r="N292" s="1"/>
  <c r="C292"/>
  <c r="I291"/>
  <c r="F291"/>
  <c r="E291"/>
  <c r="K291" s="1"/>
  <c r="C291"/>
  <c r="N290"/>
  <c r="L290"/>
  <c r="K290"/>
  <c r="I290"/>
  <c r="F290"/>
  <c r="N289"/>
  <c r="K289"/>
  <c r="I289"/>
  <c r="F289"/>
  <c r="C289"/>
  <c r="L289" s="1"/>
  <c r="K288"/>
  <c r="N288" s="1"/>
  <c r="I288"/>
  <c r="C288"/>
  <c r="F288" s="1"/>
  <c r="N287"/>
  <c r="K287"/>
  <c r="I287"/>
  <c r="F287"/>
  <c r="C287"/>
  <c r="L287" s="1"/>
  <c r="L286"/>
  <c r="K286"/>
  <c r="N286" s="1"/>
  <c r="I286"/>
  <c r="F286"/>
  <c r="N285"/>
  <c r="K285"/>
  <c r="I285"/>
  <c r="C285"/>
  <c r="L285" s="1"/>
  <c r="K284"/>
  <c r="I284"/>
  <c r="C284"/>
  <c r="F284" s="1"/>
  <c r="N283"/>
  <c r="L283"/>
  <c r="K283"/>
  <c r="I283"/>
  <c r="F283"/>
  <c r="I282"/>
  <c r="F282"/>
  <c r="E282"/>
  <c r="K282" s="1"/>
  <c r="C282"/>
  <c r="N281"/>
  <c r="I281"/>
  <c r="E281"/>
  <c r="K281" s="1"/>
  <c r="C281"/>
  <c r="F281" s="1"/>
  <c r="U280"/>
  <c r="I280"/>
  <c r="E280"/>
  <c r="K280" s="1"/>
  <c r="L280" s="1"/>
  <c r="C280"/>
  <c r="K279"/>
  <c r="N279" s="1"/>
  <c r="I279"/>
  <c r="C279"/>
  <c r="F279" s="1"/>
  <c r="N278"/>
  <c r="K278"/>
  <c r="I278"/>
  <c r="C278"/>
  <c r="L278" s="1"/>
  <c r="L277"/>
  <c r="K277"/>
  <c r="N277" s="1"/>
  <c r="I277"/>
  <c r="F277"/>
  <c r="I276"/>
  <c r="F276"/>
  <c r="E276"/>
  <c r="K276" s="1"/>
  <c r="C276"/>
  <c r="I275"/>
  <c r="E275"/>
  <c r="C275"/>
  <c r="I274"/>
  <c r="E274"/>
  <c r="K274" s="1"/>
  <c r="N274" s="1"/>
  <c r="C274"/>
  <c r="K273"/>
  <c r="N273" s="1"/>
  <c r="I273"/>
  <c r="E273"/>
  <c r="F273" s="1"/>
  <c r="C273"/>
  <c r="N272"/>
  <c r="L272"/>
  <c r="K272"/>
  <c r="I272"/>
  <c r="F272"/>
  <c r="I271"/>
  <c r="F271"/>
  <c r="E271"/>
  <c r="K271" s="1"/>
  <c r="C271"/>
  <c r="N270"/>
  <c r="I270"/>
  <c r="E270"/>
  <c r="K270" s="1"/>
  <c r="C270"/>
  <c r="I269"/>
  <c r="E269"/>
  <c r="C269"/>
  <c r="K268"/>
  <c r="I268"/>
  <c r="F268"/>
  <c r="L267"/>
  <c r="K267"/>
  <c r="N267" s="1"/>
  <c r="I267"/>
  <c r="C267"/>
  <c r="F267" s="1"/>
  <c r="N266"/>
  <c r="L266"/>
  <c r="K266"/>
  <c r="I266"/>
  <c r="F266"/>
  <c r="K265"/>
  <c r="N265" s="1"/>
  <c r="I265"/>
  <c r="E265"/>
  <c r="C265"/>
  <c r="X264"/>
  <c r="K264"/>
  <c r="N264" s="1"/>
  <c r="I264"/>
  <c r="E264"/>
  <c r="C264"/>
  <c r="N263"/>
  <c r="K263"/>
  <c r="I263"/>
  <c r="F263"/>
  <c r="C263"/>
  <c r="L263" s="1"/>
  <c r="K262"/>
  <c r="N262" s="1"/>
  <c r="I262"/>
  <c r="C262"/>
  <c r="F262" s="1"/>
  <c r="N261"/>
  <c r="K261"/>
  <c r="I261"/>
  <c r="F261"/>
  <c r="C261"/>
  <c r="L261" s="1"/>
  <c r="K260"/>
  <c r="N260" s="1"/>
  <c r="I260"/>
  <c r="C260"/>
  <c r="F260" s="1"/>
  <c r="N259"/>
  <c r="L259"/>
  <c r="K259"/>
  <c r="I259"/>
  <c r="F259"/>
  <c r="I258"/>
  <c r="E258"/>
  <c r="K258" s="1"/>
  <c r="N258" s="1"/>
  <c r="C258"/>
  <c r="N257"/>
  <c r="L257"/>
  <c r="K257"/>
  <c r="I257"/>
  <c r="F257"/>
  <c r="K256"/>
  <c r="I256"/>
  <c r="F256"/>
  <c r="C256"/>
  <c r="N255"/>
  <c r="L255"/>
  <c r="K255"/>
  <c r="I255"/>
  <c r="F255"/>
  <c r="N254"/>
  <c r="L254"/>
  <c r="K254"/>
  <c r="I254"/>
  <c r="F254"/>
  <c r="K253"/>
  <c r="I253"/>
  <c r="C253"/>
  <c r="F253" s="1"/>
  <c r="N252"/>
  <c r="K252"/>
  <c r="I252"/>
  <c r="F252"/>
  <c r="C252"/>
  <c r="L252" s="1"/>
  <c r="I251"/>
  <c r="E251"/>
  <c r="K251" s="1"/>
  <c r="N251" s="1"/>
  <c r="C251"/>
  <c r="K250"/>
  <c r="N250" s="1"/>
  <c r="I250"/>
  <c r="E250"/>
  <c r="F250" s="1"/>
  <c r="C250"/>
  <c r="L250" s="1"/>
  <c r="I249"/>
  <c r="E249"/>
  <c r="K249" s="1"/>
  <c r="L249" s="1"/>
  <c r="C249"/>
  <c r="K248"/>
  <c r="N248" s="1"/>
  <c r="I248"/>
  <c r="C248"/>
  <c r="F248" s="1"/>
  <c r="N247"/>
  <c r="K247"/>
  <c r="I247"/>
  <c r="F247"/>
  <c r="C247"/>
  <c r="L247" s="1"/>
  <c r="K246"/>
  <c r="N246" s="1"/>
  <c r="I246"/>
  <c r="C246"/>
  <c r="F246" s="1"/>
  <c r="N245"/>
  <c r="K245"/>
  <c r="I245"/>
  <c r="C245"/>
  <c r="L245" s="1"/>
  <c r="K244"/>
  <c r="N244" s="1"/>
  <c r="I244"/>
  <c r="C244"/>
  <c r="F244" s="1"/>
  <c r="N243"/>
  <c r="K243"/>
  <c r="I243"/>
  <c r="C243"/>
  <c r="L243" s="1"/>
  <c r="K242"/>
  <c r="N242" s="1"/>
  <c r="I242"/>
  <c r="C242"/>
  <c r="F242" s="1"/>
  <c r="N241"/>
  <c r="K241"/>
  <c r="I241"/>
  <c r="F241"/>
  <c r="C241"/>
  <c r="L241" s="1"/>
  <c r="K240"/>
  <c r="N240" s="1"/>
  <c r="I240"/>
  <c r="C240"/>
  <c r="F240" s="1"/>
  <c r="N239"/>
  <c r="K239"/>
  <c r="I239"/>
  <c r="F239"/>
  <c r="C239"/>
  <c r="L239" s="1"/>
  <c r="K238"/>
  <c r="N238" s="1"/>
  <c r="I238"/>
  <c r="C238"/>
  <c r="F238" s="1"/>
  <c r="N237"/>
  <c r="K237"/>
  <c r="I237"/>
  <c r="C237"/>
  <c r="L237" s="1"/>
  <c r="L236"/>
  <c r="K236"/>
  <c r="N236" s="1"/>
  <c r="I236"/>
  <c r="F236"/>
  <c r="I235"/>
  <c r="E235"/>
  <c r="K235" s="1"/>
  <c r="C235"/>
  <c r="F235" s="1"/>
  <c r="K234"/>
  <c r="N234" s="1"/>
  <c r="I234"/>
  <c r="C234"/>
  <c r="F234" s="1"/>
  <c r="N233"/>
  <c r="K233"/>
  <c r="I233"/>
  <c r="C233"/>
  <c r="L233" s="1"/>
  <c r="L232"/>
  <c r="K232"/>
  <c r="N232" s="1"/>
  <c r="I232"/>
  <c r="F232"/>
  <c r="N231"/>
  <c r="L231"/>
  <c r="K231"/>
  <c r="I231"/>
  <c r="F231"/>
  <c r="N230"/>
  <c r="K230"/>
  <c r="I230"/>
  <c r="C230"/>
  <c r="L230" s="1"/>
  <c r="L229"/>
  <c r="K229"/>
  <c r="N229" s="1"/>
  <c r="I229"/>
  <c r="C229"/>
  <c r="F229" s="1"/>
  <c r="N228"/>
  <c r="L228"/>
  <c r="K228"/>
  <c r="I228"/>
  <c r="F228"/>
  <c r="K227"/>
  <c r="I227"/>
  <c r="C227"/>
  <c r="F227" s="1"/>
  <c r="N226"/>
  <c r="L226"/>
  <c r="K226"/>
  <c r="I226"/>
  <c r="F226"/>
  <c r="N225"/>
  <c r="K225"/>
  <c r="I225"/>
  <c r="C225"/>
  <c r="L225" s="1"/>
  <c r="K224"/>
  <c r="N224" s="1"/>
  <c r="I224"/>
  <c r="C224"/>
  <c r="F224" s="1"/>
  <c r="N223"/>
  <c r="K223"/>
  <c r="I223"/>
  <c r="F223"/>
  <c r="C223"/>
  <c r="L223" s="1"/>
  <c r="K222"/>
  <c r="N222" s="1"/>
  <c r="I222"/>
  <c r="C222"/>
  <c r="F222" s="1"/>
  <c r="N221"/>
  <c r="L221"/>
  <c r="K221"/>
  <c r="I221"/>
  <c r="F221"/>
  <c r="K220"/>
  <c r="I220"/>
  <c r="F220"/>
  <c r="C220"/>
  <c r="I219"/>
  <c r="E219"/>
  <c r="K219" s="1"/>
  <c r="C219"/>
  <c r="I218"/>
  <c r="E218"/>
  <c r="C218"/>
  <c r="K217"/>
  <c r="I217"/>
  <c r="F217"/>
  <c r="K216"/>
  <c r="N216" s="1"/>
  <c r="I216"/>
  <c r="C216"/>
  <c r="F216" s="1"/>
  <c r="N215"/>
  <c r="K215"/>
  <c r="I215"/>
  <c r="C215"/>
  <c r="L215" s="1"/>
  <c r="K214"/>
  <c r="N214" s="1"/>
  <c r="I214"/>
  <c r="C214"/>
  <c r="F214" s="1"/>
  <c r="N213"/>
  <c r="L213"/>
  <c r="K213"/>
  <c r="I213"/>
  <c r="F213"/>
  <c r="K212"/>
  <c r="I212"/>
  <c r="F212"/>
  <c r="K211"/>
  <c r="N211" s="1"/>
  <c r="I211"/>
  <c r="F211"/>
  <c r="N210"/>
  <c r="L210"/>
  <c r="K210"/>
  <c r="I210"/>
  <c r="F210"/>
  <c r="N209"/>
  <c r="L209"/>
  <c r="K209"/>
  <c r="I209"/>
  <c r="F209"/>
  <c r="K208"/>
  <c r="I208"/>
  <c r="C208"/>
  <c r="F208" s="1"/>
  <c r="N207"/>
  <c r="K207"/>
  <c r="I207"/>
  <c r="F207"/>
  <c r="C207"/>
  <c r="L207" s="1"/>
  <c r="K206"/>
  <c r="I206"/>
  <c r="C206"/>
  <c r="F206" s="1"/>
  <c r="N205"/>
  <c r="K205"/>
  <c r="I205"/>
  <c r="C205"/>
  <c r="L205" s="1"/>
  <c r="K204"/>
  <c r="I204"/>
  <c r="C204"/>
  <c r="F204" s="1"/>
  <c r="N203"/>
  <c r="L203"/>
  <c r="K203"/>
  <c r="I203"/>
  <c r="F203"/>
  <c r="N202"/>
  <c r="K202"/>
  <c r="I202"/>
  <c r="C202"/>
  <c r="L202" s="1"/>
  <c r="L201"/>
  <c r="K201"/>
  <c r="N201" s="1"/>
  <c r="I201"/>
  <c r="C201"/>
  <c r="F201" s="1"/>
  <c r="N200"/>
  <c r="K200"/>
  <c r="I200"/>
  <c r="F200"/>
  <c r="C200"/>
  <c r="L200" s="1"/>
  <c r="K199"/>
  <c r="N199" s="1"/>
  <c r="I199"/>
  <c r="C199"/>
  <c r="F199" s="1"/>
  <c r="N198"/>
  <c r="K198"/>
  <c r="I198"/>
  <c r="C198"/>
  <c r="L198" s="1"/>
  <c r="L197"/>
  <c r="K197"/>
  <c r="N197" s="1"/>
  <c r="I197"/>
  <c r="F197"/>
  <c r="N196"/>
  <c r="K196"/>
  <c r="I196"/>
  <c r="C196"/>
  <c r="L196" s="1"/>
  <c r="K195"/>
  <c r="I195"/>
  <c r="C195"/>
  <c r="F195" s="1"/>
  <c r="N194"/>
  <c r="K194"/>
  <c r="I194"/>
  <c r="C194"/>
  <c r="L194" s="1"/>
  <c r="K193"/>
  <c r="I193"/>
  <c r="C193"/>
  <c r="F193" s="1"/>
  <c r="N192"/>
  <c r="K192"/>
  <c r="I192"/>
  <c r="F192"/>
  <c r="C192"/>
  <c r="L192" s="1"/>
  <c r="K191"/>
  <c r="I191"/>
  <c r="F191"/>
  <c r="K190"/>
  <c r="N190" s="1"/>
  <c r="I190"/>
  <c r="C190"/>
  <c r="F190" s="1"/>
  <c r="N189"/>
  <c r="K189"/>
  <c r="I189"/>
  <c r="F189"/>
  <c r="C189"/>
  <c r="L189" s="1"/>
  <c r="K188"/>
  <c r="N188" s="1"/>
  <c r="I188"/>
  <c r="C188"/>
  <c r="F188" s="1"/>
  <c r="N187"/>
  <c r="K187"/>
  <c r="I187"/>
  <c r="F187"/>
  <c r="C187"/>
  <c r="L187" s="1"/>
  <c r="K186"/>
  <c r="N186" s="1"/>
  <c r="I186"/>
  <c r="C186"/>
  <c r="F186" s="1"/>
  <c r="N185"/>
  <c r="L185"/>
  <c r="K185"/>
  <c r="I185"/>
  <c r="F185"/>
  <c r="K184"/>
  <c r="I184"/>
  <c r="F184"/>
  <c r="C184"/>
  <c r="N183"/>
  <c r="K183"/>
  <c r="I183"/>
  <c r="C183"/>
  <c r="L183" s="1"/>
  <c r="K182"/>
  <c r="I182"/>
  <c r="F182"/>
  <c r="C182"/>
  <c r="N181"/>
  <c r="K181"/>
  <c r="I181"/>
  <c r="F181"/>
  <c r="C181"/>
  <c r="L181" s="1"/>
  <c r="K180"/>
  <c r="I180"/>
  <c r="F180"/>
  <c r="C180"/>
  <c r="N179"/>
  <c r="L179"/>
  <c r="K179"/>
  <c r="I179"/>
  <c r="F179"/>
  <c r="N178"/>
  <c r="K178"/>
  <c r="I178"/>
  <c r="F178"/>
  <c r="C178"/>
  <c r="L178" s="1"/>
  <c r="K177"/>
  <c r="N177" s="1"/>
  <c r="I177"/>
  <c r="C177"/>
  <c r="F177" s="1"/>
  <c r="N176"/>
  <c r="K176"/>
  <c r="I176"/>
  <c r="C176"/>
  <c r="L176" s="1"/>
  <c r="K175"/>
  <c r="N175" s="1"/>
  <c r="I175"/>
  <c r="C175"/>
  <c r="F175" s="1"/>
  <c r="N174"/>
  <c r="K174"/>
  <c r="I174"/>
  <c r="F174"/>
  <c r="C174"/>
  <c r="L174" s="1"/>
  <c r="L173"/>
  <c r="K173"/>
  <c r="N173" s="1"/>
  <c r="I173"/>
  <c r="C173"/>
  <c r="F173" s="1"/>
  <c r="N172"/>
  <c r="L172"/>
  <c r="K172"/>
  <c r="I172"/>
  <c r="F172"/>
  <c r="K171"/>
  <c r="N171" s="1"/>
  <c r="I171"/>
  <c r="C171"/>
  <c r="L171" s="1"/>
  <c r="N170"/>
  <c r="K170"/>
  <c r="I170"/>
  <c r="C170"/>
  <c r="L170" s="1"/>
  <c r="K169"/>
  <c r="N169" s="1"/>
  <c r="I169"/>
  <c r="C169"/>
  <c r="F169" s="1"/>
  <c r="N168"/>
  <c r="K168"/>
  <c r="I168"/>
  <c r="C168"/>
  <c r="L168" s="1"/>
  <c r="K167"/>
  <c r="N167" s="1"/>
  <c r="I167"/>
  <c r="C167"/>
  <c r="L167" s="1"/>
  <c r="N166"/>
  <c r="K166"/>
  <c r="I166"/>
  <c r="C166"/>
  <c r="L166" s="1"/>
  <c r="K165"/>
  <c r="N165" s="1"/>
  <c r="I165"/>
  <c r="C165"/>
  <c r="L165" s="1"/>
  <c r="N164"/>
  <c r="K164"/>
  <c r="I164"/>
  <c r="C164"/>
  <c r="L164" s="1"/>
  <c r="K163"/>
  <c r="N163" s="1"/>
  <c r="I163"/>
  <c r="C163"/>
  <c r="N162"/>
  <c r="K162"/>
  <c r="I162"/>
  <c r="C162"/>
  <c r="L162" s="1"/>
  <c r="K161"/>
  <c r="N161" s="1"/>
  <c r="I161"/>
  <c r="C161"/>
  <c r="N160"/>
  <c r="K160"/>
  <c r="I160"/>
  <c r="C160"/>
  <c r="L160" s="1"/>
  <c r="K159"/>
  <c r="I159"/>
  <c r="F159"/>
  <c r="L158"/>
  <c r="K158"/>
  <c r="N158" s="1"/>
  <c r="I158"/>
  <c r="F158"/>
  <c r="I157"/>
  <c r="E157"/>
  <c r="K157" s="1"/>
  <c r="N157" s="1"/>
  <c r="C157"/>
  <c r="K156"/>
  <c r="N156" s="1"/>
  <c r="I156"/>
  <c r="F156"/>
  <c r="N155"/>
  <c r="L155"/>
  <c r="K155"/>
  <c r="I155"/>
  <c r="F155"/>
  <c r="N154"/>
  <c r="K154"/>
  <c r="L154" s="1"/>
  <c r="I154"/>
  <c r="F154"/>
  <c r="K153"/>
  <c r="I153"/>
  <c r="F153"/>
  <c r="K152"/>
  <c r="N152" s="1"/>
  <c r="I152"/>
  <c r="F152"/>
  <c r="N151"/>
  <c r="L151"/>
  <c r="K151"/>
  <c r="I151"/>
  <c r="F151"/>
  <c r="N150"/>
  <c r="K150"/>
  <c r="L150" s="1"/>
  <c r="I150"/>
  <c r="F150"/>
  <c r="K149"/>
  <c r="N149" s="1"/>
  <c r="I149"/>
  <c r="C149"/>
  <c r="N148"/>
  <c r="K148"/>
  <c r="I148"/>
  <c r="C148"/>
  <c r="L148" s="1"/>
  <c r="K147"/>
  <c r="N147" s="1"/>
  <c r="I147"/>
  <c r="C147"/>
  <c r="I146"/>
  <c r="E146"/>
  <c r="K146" s="1"/>
  <c r="L146" s="1"/>
  <c r="C146"/>
  <c r="I145"/>
  <c r="E145"/>
  <c r="C145"/>
  <c r="K144"/>
  <c r="I144"/>
  <c r="F144"/>
  <c r="L143"/>
  <c r="K143"/>
  <c r="N143" s="1"/>
  <c r="I143"/>
  <c r="F143"/>
  <c r="N142"/>
  <c r="L142"/>
  <c r="K142"/>
  <c r="I142"/>
  <c r="F142"/>
  <c r="N141"/>
  <c r="K141"/>
  <c r="L141" s="1"/>
  <c r="I141"/>
  <c r="F141"/>
  <c r="K140"/>
  <c r="I140"/>
  <c r="F140"/>
  <c r="L139"/>
  <c r="K139"/>
  <c r="N139" s="1"/>
  <c r="I139"/>
  <c r="F139"/>
  <c r="N138"/>
  <c r="L138"/>
  <c r="K138"/>
  <c r="I138"/>
  <c r="F138"/>
  <c r="N137"/>
  <c r="K137"/>
  <c r="I137"/>
  <c r="F137"/>
  <c r="C137"/>
  <c r="L137" s="1"/>
  <c r="K136"/>
  <c r="N136" s="1"/>
  <c r="I136"/>
  <c r="C136"/>
  <c r="F136" s="1"/>
  <c r="N135"/>
  <c r="K135"/>
  <c r="I135"/>
  <c r="F135"/>
  <c r="C135"/>
  <c r="L135" s="1"/>
  <c r="I134"/>
  <c r="E134"/>
  <c r="C134"/>
  <c r="I133"/>
  <c r="E133"/>
  <c r="K133" s="1"/>
  <c r="N133" s="1"/>
  <c r="C133"/>
  <c r="N132"/>
  <c r="K132"/>
  <c r="L132" s="1"/>
  <c r="I132"/>
  <c r="F132"/>
  <c r="K131"/>
  <c r="I131"/>
  <c r="F131"/>
  <c r="L130"/>
  <c r="K130"/>
  <c r="N130" s="1"/>
  <c r="I130"/>
  <c r="F130"/>
  <c r="N129"/>
  <c r="L129"/>
  <c r="K129"/>
  <c r="I129"/>
  <c r="F129"/>
  <c r="N128"/>
  <c r="K128"/>
  <c r="L128" s="1"/>
  <c r="I128"/>
  <c r="F128"/>
  <c r="K127"/>
  <c r="I127"/>
  <c r="F127"/>
  <c r="L126"/>
  <c r="K126"/>
  <c r="N126" s="1"/>
  <c r="I126"/>
  <c r="F126"/>
  <c r="N125"/>
  <c r="L125"/>
  <c r="K125"/>
  <c r="I125"/>
  <c r="F125"/>
  <c r="N124"/>
  <c r="K124"/>
  <c r="L124" s="1"/>
  <c r="I124"/>
  <c r="F124"/>
  <c r="K123"/>
  <c r="I123"/>
  <c r="F123"/>
  <c r="L122"/>
  <c r="K122"/>
  <c r="N122" s="1"/>
  <c r="I122"/>
  <c r="F122"/>
  <c r="N121"/>
  <c r="L121"/>
  <c r="K121"/>
  <c r="I121"/>
  <c r="F121"/>
  <c r="N120"/>
  <c r="K120"/>
  <c r="L120" s="1"/>
  <c r="I120"/>
  <c r="F120"/>
  <c r="K119"/>
  <c r="N119" s="1"/>
  <c r="I119"/>
  <c r="C119"/>
  <c r="L119" s="1"/>
  <c r="N118"/>
  <c r="K118"/>
  <c r="I118"/>
  <c r="C118"/>
  <c r="L118" s="1"/>
  <c r="K117"/>
  <c r="N117" s="1"/>
  <c r="I117"/>
  <c r="C117"/>
  <c r="L117" s="1"/>
  <c r="N116"/>
  <c r="K116"/>
  <c r="I116"/>
  <c r="C116"/>
  <c r="L116" s="1"/>
  <c r="K115"/>
  <c r="N115" s="1"/>
  <c r="I115"/>
  <c r="C115"/>
  <c r="N114"/>
  <c r="L114"/>
  <c r="K114"/>
  <c r="I114"/>
  <c r="F114"/>
  <c r="N113"/>
  <c r="K113"/>
  <c r="I113"/>
  <c r="F113"/>
  <c r="C113"/>
  <c r="L113" s="1"/>
  <c r="L112"/>
  <c r="K112"/>
  <c r="N112" s="1"/>
  <c r="I112"/>
  <c r="C112"/>
  <c r="F112" s="1"/>
  <c r="N111"/>
  <c r="K111"/>
  <c r="I111"/>
  <c r="C111"/>
  <c r="L111" s="1"/>
  <c r="K110"/>
  <c r="N110" s="1"/>
  <c r="I110"/>
  <c r="C110"/>
  <c r="F110" s="1"/>
  <c r="N109"/>
  <c r="K109"/>
  <c r="I109"/>
  <c r="C109"/>
  <c r="L109" s="1"/>
  <c r="K108"/>
  <c r="N108" s="1"/>
  <c r="I108"/>
  <c r="F108"/>
  <c r="N107"/>
  <c r="L107"/>
  <c r="K107"/>
  <c r="I107"/>
  <c r="F107"/>
  <c r="N106"/>
  <c r="K106"/>
  <c r="L106" s="1"/>
  <c r="I106"/>
  <c r="F106"/>
  <c r="K105"/>
  <c r="I105"/>
  <c r="F105"/>
  <c r="K104"/>
  <c r="N104" s="1"/>
  <c r="I104"/>
  <c r="F104"/>
  <c r="N103"/>
  <c r="L103"/>
  <c r="K103"/>
  <c r="I103"/>
  <c r="F103"/>
  <c r="N102"/>
  <c r="L102"/>
  <c r="K102"/>
  <c r="I102"/>
  <c r="F102"/>
  <c r="N101"/>
  <c r="L101"/>
  <c r="K101"/>
  <c r="I101"/>
  <c r="F101"/>
  <c r="K100"/>
  <c r="N100" s="1"/>
  <c r="I100"/>
  <c r="C100"/>
  <c r="L100" s="1"/>
  <c r="N99"/>
  <c r="K99"/>
  <c r="I99"/>
  <c r="C99"/>
  <c r="L99" s="1"/>
  <c r="K98"/>
  <c r="N98" s="1"/>
  <c r="I98"/>
  <c r="E98"/>
  <c r="C98"/>
  <c r="I97"/>
  <c r="F97"/>
  <c r="E97"/>
  <c r="K97" s="1"/>
  <c r="N97" s="1"/>
  <c r="C97"/>
  <c r="L97" s="1"/>
  <c r="I96"/>
  <c r="E96"/>
  <c r="F96" s="1"/>
  <c r="C96"/>
  <c r="K95"/>
  <c r="N95" s="1"/>
  <c r="I95"/>
  <c r="C95"/>
  <c r="L95" s="1"/>
  <c r="N94"/>
  <c r="K94"/>
  <c r="L94" s="1"/>
  <c r="I94"/>
  <c r="F94"/>
  <c r="K93"/>
  <c r="L93" s="1"/>
  <c r="I93"/>
  <c r="F93"/>
  <c r="K92"/>
  <c r="L92" s="1"/>
  <c r="I92"/>
  <c r="F92"/>
  <c r="N91"/>
  <c r="L91"/>
  <c r="K91"/>
  <c r="I91"/>
  <c r="F91"/>
  <c r="N90"/>
  <c r="K90"/>
  <c r="L90" s="1"/>
  <c r="I90"/>
  <c r="F90"/>
  <c r="K89"/>
  <c r="L89" s="1"/>
  <c r="I89"/>
  <c r="F89"/>
  <c r="K88"/>
  <c r="L88" s="1"/>
  <c r="I88"/>
  <c r="F88"/>
  <c r="N87"/>
  <c r="L87"/>
  <c r="K87"/>
  <c r="I87"/>
  <c r="F87"/>
  <c r="N86"/>
  <c r="K86"/>
  <c r="L86" s="1"/>
  <c r="I86"/>
  <c r="F86"/>
  <c r="K85"/>
  <c r="L85" s="1"/>
  <c r="I85"/>
  <c r="F85"/>
  <c r="K84"/>
  <c r="L84" s="1"/>
  <c r="I84"/>
  <c r="F84"/>
  <c r="N83"/>
  <c r="L83"/>
  <c r="K83"/>
  <c r="I83"/>
  <c r="F83"/>
  <c r="N82"/>
  <c r="K82"/>
  <c r="L82" s="1"/>
  <c r="I82"/>
  <c r="F82"/>
  <c r="K81"/>
  <c r="L81" s="1"/>
  <c r="I81"/>
  <c r="F81"/>
  <c r="K80"/>
  <c r="L80" s="1"/>
  <c r="I80"/>
  <c r="F80"/>
  <c r="N79"/>
  <c r="K79"/>
  <c r="I79"/>
  <c r="C79"/>
  <c r="L79" s="1"/>
  <c r="K78"/>
  <c r="N78" s="1"/>
  <c r="I78"/>
  <c r="C78"/>
  <c r="L78" s="1"/>
  <c r="N77"/>
  <c r="K77"/>
  <c r="I77"/>
  <c r="C77"/>
  <c r="L77" s="1"/>
  <c r="K76"/>
  <c r="N76" s="1"/>
  <c r="I76"/>
  <c r="C76"/>
  <c r="L76" s="1"/>
  <c r="N75"/>
  <c r="K75"/>
  <c r="I75"/>
  <c r="C75"/>
  <c r="L75" s="1"/>
  <c r="K74"/>
  <c r="N74" s="1"/>
  <c r="I74"/>
  <c r="C74"/>
  <c r="L74" s="1"/>
  <c r="N73"/>
  <c r="K73"/>
  <c r="I73"/>
  <c r="C73"/>
  <c r="L73" s="1"/>
  <c r="K72"/>
  <c r="N72" s="1"/>
  <c r="I72"/>
  <c r="C72"/>
  <c r="L72" s="1"/>
  <c r="N71"/>
  <c r="K71"/>
  <c r="I71"/>
  <c r="C71"/>
  <c r="L71" s="1"/>
  <c r="K70"/>
  <c r="N70" s="1"/>
  <c r="I70"/>
  <c r="C70"/>
  <c r="L70" s="1"/>
  <c r="N69"/>
  <c r="K69"/>
  <c r="I69"/>
  <c r="C69"/>
  <c r="L69" s="1"/>
  <c r="K68"/>
  <c r="N68" s="1"/>
  <c r="I68"/>
  <c r="C68"/>
  <c r="L68" s="1"/>
  <c r="N67"/>
  <c r="K67"/>
  <c r="I67"/>
  <c r="C67"/>
  <c r="L67" s="1"/>
  <c r="K66"/>
  <c r="N66" s="1"/>
  <c r="I66"/>
  <c r="C66"/>
  <c r="L66" s="1"/>
  <c r="N65"/>
  <c r="K65"/>
  <c r="I65"/>
  <c r="C65"/>
  <c r="L65" s="1"/>
  <c r="K64"/>
  <c r="L64" s="1"/>
  <c r="I64"/>
  <c r="F64"/>
  <c r="K63"/>
  <c r="N63" s="1"/>
  <c r="I63"/>
  <c r="C63"/>
  <c r="L63" s="1"/>
  <c r="N62"/>
  <c r="K62"/>
  <c r="I62"/>
  <c r="C62"/>
  <c r="L62" s="1"/>
  <c r="K61"/>
  <c r="N61" s="1"/>
  <c r="I61"/>
  <c r="C61"/>
  <c r="L61" s="1"/>
  <c r="N60"/>
  <c r="K60"/>
  <c r="I60"/>
  <c r="C60"/>
  <c r="L60" s="1"/>
  <c r="K59"/>
  <c r="N59" s="1"/>
  <c r="I59"/>
  <c r="C59"/>
  <c r="L59" s="1"/>
  <c r="N58"/>
  <c r="K58"/>
  <c r="I58"/>
  <c r="C58"/>
  <c r="L58" s="1"/>
  <c r="K57"/>
  <c r="L57" s="1"/>
  <c r="I57"/>
  <c r="F57"/>
  <c r="N56"/>
  <c r="L56"/>
  <c r="K56"/>
  <c r="I56"/>
  <c r="F56"/>
  <c r="N55"/>
  <c r="K55"/>
  <c r="L55" s="1"/>
  <c r="I55"/>
  <c r="F55"/>
  <c r="K54"/>
  <c r="L54" s="1"/>
  <c r="I54"/>
  <c r="F54"/>
  <c r="K53"/>
  <c r="L53" s="1"/>
  <c r="I53"/>
  <c r="F53"/>
  <c r="N52"/>
  <c r="L52"/>
  <c r="K52"/>
  <c r="I52"/>
  <c r="F52"/>
  <c r="N51"/>
  <c r="K51"/>
  <c r="L51" s="1"/>
  <c r="I51"/>
  <c r="F51"/>
  <c r="K50"/>
  <c r="N50" s="1"/>
  <c r="I50"/>
  <c r="C50"/>
  <c r="L50" s="1"/>
  <c r="N49"/>
  <c r="K49"/>
  <c r="I49"/>
  <c r="C49"/>
  <c r="L49" s="1"/>
  <c r="I48"/>
  <c r="E48"/>
  <c r="F48" s="1"/>
  <c r="C48"/>
  <c r="K47"/>
  <c r="N47" s="1"/>
  <c r="I47"/>
  <c r="E47"/>
  <c r="F47" s="1"/>
  <c r="C47"/>
  <c r="L47" s="1"/>
  <c r="I46"/>
  <c r="E46"/>
  <c r="C46"/>
  <c r="K45"/>
  <c r="L45" s="1"/>
  <c r="I45"/>
  <c r="F45"/>
  <c r="I44"/>
  <c r="E44"/>
  <c r="F44" s="1"/>
  <c r="C44"/>
  <c r="K43"/>
  <c r="L43" s="1"/>
  <c r="I43"/>
  <c r="F43"/>
  <c r="N42"/>
  <c r="L42"/>
  <c r="K42"/>
  <c r="I42"/>
  <c r="F42"/>
  <c r="N41"/>
  <c r="K41"/>
  <c r="I41"/>
  <c r="F41"/>
  <c r="C41"/>
  <c r="L41" s="1"/>
  <c r="K40"/>
  <c r="N40" s="1"/>
  <c r="I40"/>
  <c r="C40"/>
  <c r="L40" s="1"/>
  <c r="N39"/>
  <c r="K39"/>
  <c r="I39"/>
  <c r="F39"/>
  <c r="C39"/>
  <c r="L39" s="1"/>
  <c r="K38"/>
  <c r="N38" s="1"/>
  <c r="I38"/>
  <c r="C38"/>
  <c r="L38" s="1"/>
  <c r="N37"/>
  <c r="K37"/>
  <c r="I37"/>
  <c r="F37"/>
  <c r="C37"/>
  <c r="L37" s="1"/>
  <c r="K36"/>
  <c r="N36" s="1"/>
  <c r="I36"/>
  <c r="C36"/>
  <c r="L36" s="1"/>
  <c r="N35"/>
  <c r="K35"/>
  <c r="I35"/>
  <c r="F35"/>
  <c r="C35"/>
  <c r="L35" s="1"/>
  <c r="L34"/>
  <c r="K34"/>
  <c r="N34" s="1"/>
  <c r="I34"/>
  <c r="F34"/>
  <c r="N33"/>
  <c r="L33"/>
  <c r="K33"/>
  <c r="I33"/>
  <c r="F33"/>
  <c r="U32"/>
  <c r="K32"/>
  <c r="N32" s="1"/>
  <c r="I32"/>
  <c r="C32"/>
  <c r="L32" s="1"/>
  <c r="I31"/>
  <c r="E31"/>
  <c r="F31" s="1"/>
  <c r="C31"/>
  <c r="K30"/>
  <c r="N30" s="1"/>
  <c r="I30"/>
  <c r="C30"/>
  <c r="L30" s="1"/>
  <c r="N29"/>
  <c r="K29"/>
  <c r="I29"/>
  <c r="F29"/>
  <c r="C29"/>
  <c r="L29" s="1"/>
  <c r="K28"/>
  <c r="N28" s="1"/>
  <c r="I28"/>
  <c r="C28"/>
  <c r="L28" s="1"/>
  <c r="I27"/>
  <c r="E27"/>
  <c r="K27" s="1"/>
  <c r="C27"/>
  <c r="B27"/>
  <c r="I26"/>
  <c r="F26"/>
  <c r="E26"/>
  <c r="K26" s="1"/>
  <c r="C26"/>
  <c r="N25"/>
  <c r="L25"/>
  <c r="K25"/>
  <c r="I25"/>
  <c r="F25"/>
  <c r="N24"/>
  <c r="L24"/>
  <c r="K24"/>
  <c r="I24"/>
  <c r="F24"/>
  <c r="K23"/>
  <c r="L23" s="1"/>
  <c r="I23"/>
  <c r="F23"/>
  <c r="L22"/>
  <c r="K22"/>
  <c r="N22" s="1"/>
  <c r="I22"/>
  <c r="F22"/>
  <c r="N21"/>
  <c r="L21"/>
  <c r="K21"/>
  <c r="I21"/>
  <c r="F21"/>
  <c r="N20"/>
  <c r="L20"/>
  <c r="K20"/>
  <c r="I20"/>
  <c r="F20"/>
  <c r="K19"/>
  <c r="L19" s="1"/>
  <c r="I19"/>
  <c r="F19"/>
  <c r="K18"/>
  <c r="N18" s="1"/>
  <c r="I18"/>
  <c r="C18"/>
  <c r="L18" s="1"/>
  <c r="N17"/>
  <c r="K17"/>
  <c r="I17"/>
  <c r="C17"/>
  <c r="L17" s="1"/>
  <c r="L16"/>
  <c r="K16"/>
  <c r="N16" s="1"/>
  <c r="I16"/>
  <c r="F16"/>
  <c r="N15"/>
  <c r="K15"/>
  <c r="I15"/>
  <c r="F15"/>
  <c r="C15"/>
  <c r="L15" s="1"/>
  <c r="K14"/>
  <c r="N14" s="1"/>
  <c r="I14"/>
  <c r="F14"/>
  <c r="C14"/>
  <c r="L14" s="1"/>
  <c r="N13"/>
  <c r="L13"/>
  <c r="K13"/>
  <c r="I13"/>
  <c r="F13"/>
  <c r="N12"/>
  <c r="K12"/>
  <c r="I12"/>
  <c r="C12"/>
  <c r="L12" s="1"/>
  <c r="K11"/>
  <c r="N11" s="1"/>
  <c r="I11"/>
  <c r="C11"/>
  <c r="L11" s="1"/>
  <c r="N10"/>
  <c r="L10"/>
  <c r="K10"/>
  <c r="I10"/>
  <c r="F10"/>
  <c r="K9"/>
  <c r="N9" s="1"/>
  <c r="I9"/>
  <c r="C9"/>
  <c r="L9" s="1"/>
  <c r="N8"/>
  <c r="K8"/>
  <c r="I8"/>
  <c r="F8"/>
  <c r="C8"/>
  <c r="L8" s="1"/>
  <c r="K7"/>
  <c r="N7" s="1"/>
  <c r="I7"/>
  <c r="C7"/>
  <c r="L7" s="1"/>
  <c r="I6"/>
  <c r="C6"/>
  <c r="A1"/>
  <c r="H65" i="40"/>
  <c r="C65"/>
  <c r="G63"/>
  <c r="H62"/>
  <c r="C62"/>
  <c r="G60"/>
  <c r="H59"/>
  <c r="G57"/>
  <c r="H56"/>
  <c r="A53"/>
  <c r="A58" s="1"/>
  <c r="A61" s="1"/>
  <c r="A64" s="1"/>
  <c r="J51"/>
  <c r="I51"/>
  <c r="A46"/>
  <c r="G45"/>
  <c r="G42"/>
  <c r="I38"/>
  <c r="E32"/>
  <c r="B32"/>
  <c r="B35" s="1"/>
  <c r="E29"/>
  <c r="C29"/>
  <c r="C32" s="1"/>
  <c r="B29"/>
  <c r="A27"/>
  <c r="G26"/>
  <c r="H25"/>
  <c r="G23"/>
  <c r="H22"/>
  <c r="N21"/>
  <c r="G20"/>
  <c r="I19"/>
  <c r="H19"/>
  <c r="G17"/>
  <c r="H16"/>
  <c r="E16"/>
  <c r="J26" s="1"/>
  <c r="C16"/>
  <c r="B16"/>
  <c r="B19" s="1"/>
  <c r="B22" s="1"/>
  <c r="B25" s="1"/>
  <c r="G14"/>
  <c r="H13"/>
  <c r="E13"/>
  <c r="C13"/>
  <c r="B13"/>
  <c r="G11"/>
  <c r="H10"/>
  <c r="A3"/>
  <c r="L4076" i="39"/>
  <c r="K4069"/>
  <c r="I4069"/>
  <c r="K4067"/>
  <c r="I4067"/>
  <c r="F4067"/>
  <c r="F4066"/>
  <c r="F4065"/>
  <c r="F4064"/>
  <c r="J4061"/>
  <c r="J4060"/>
  <c r="K4058"/>
  <c r="J4058"/>
  <c r="J4055"/>
  <c r="J4052"/>
  <c r="J4050"/>
  <c r="J4049"/>
  <c r="K4038"/>
  <c r="I4038"/>
  <c r="I4037"/>
  <c r="K4037" s="1"/>
  <c r="K4026"/>
  <c r="I4026"/>
  <c r="K4024"/>
  <c r="I4024"/>
  <c r="K4011"/>
  <c r="K4009"/>
  <c r="I4009"/>
  <c r="K3993"/>
  <c r="I3981"/>
  <c r="I3979"/>
  <c r="K3979" s="1"/>
  <c r="K3976"/>
  <c r="I3976"/>
  <c r="I3975"/>
  <c r="K3975" s="1"/>
  <c r="I3973"/>
  <c r="K3973" s="1"/>
  <c r="I3964"/>
  <c r="K3962"/>
  <c r="I3962"/>
  <c r="H3962"/>
  <c r="K3959"/>
  <c r="I3959"/>
  <c r="K3958"/>
  <c r="I3958"/>
  <c r="H3958"/>
  <c r="K3957"/>
  <c r="I3957"/>
  <c r="I3974" s="1"/>
  <c r="K3974" s="1"/>
  <c r="I3956"/>
  <c r="K3956" s="1"/>
  <c r="K3948"/>
  <c r="K3946"/>
  <c r="K3943"/>
  <c r="I3943"/>
  <c r="K3942"/>
  <c r="I3942"/>
  <c r="K3941"/>
  <c r="I3941"/>
  <c r="K3940"/>
  <c r="I3940"/>
  <c r="K3928"/>
  <c r="K3925"/>
  <c r="K3924"/>
  <c r="K3923"/>
  <c r="K3922"/>
  <c r="G3899"/>
  <c r="G3900" s="1"/>
  <c r="G3897"/>
  <c r="E3897"/>
  <c r="G3896"/>
  <c r="J3892"/>
  <c r="H3892"/>
  <c r="J3891"/>
  <c r="H3891"/>
  <c r="J3890"/>
  <c r="H3890"/>
  <c r="J3889"/>
  <c r="J3894" s="1"/>
  <c r="J3896" s="1"/>
  <c r="H3889"/>
  <c r="H3885"/>
  <c r="H3876"/>
  <c r="H3869"/>
  <c r="H3866"/>
  <c r="H3865"/>
  <c r="H3864"/>
  <c r="H3863"/>
  <c r="I3861"/>
  <c r="J3855"/>
  <c r="H3855"/>
  <c r="E3852"/>
  <c r="J3848"/>
  <c r="H3848"/>
  <c r="H3845"/>
  <c r="H3844"/>
  <c r="H3843"/>
  <c r="H3842"/>
  <c r="I3840"/>
  <c r="K3829"/>
  <c r="I3829"/>
  <c r="K3821"/>
  <c r="I3806"/>
  <c r="K3806" s="1"/>
  <c r="K3805"/>
  <c r="K3789"/>
  <c r="K3788"/>
  <c r="K3787"/>
  <c r="K3786"/>
  <c r="K3785"/>
  <c r="K3784"/>
  <c r="K3783"/>
  <c r="K3782"/>
  <c r="K3766"/>
  <c r="K3765"/>
  <c r="K3764"/>
  <c r="K3763"/>
  <c r="K3762"/>
  <c r="K3761"/>
  <c r="I3761"/>
  <c r="K3750"/>
  <c r="K3745"/>
  <c r="I3745"/>
  <c r="K3734"/>
  <c r="X3720"/>
  <c r="V3720"/>
  <c r="X3719"/>
  <c r="V3719"/>
  <c r="X3718"/>
  <c r="V3718"/>
  <c r="X3717"/>
  <c r="V3717"/>
  <c r="J3717"/>
  <c r="V3716"/>
  <c r="J3716"/>
  <c r="K3715"/>
  <c r="J3715"/>
  <c r="K3714"/>
  <c r="J3714"/>
  <c r="K3713"/>
  <c r="J3713"/>
  <c r="N3709"/>
  <c r="X3706"/>
  <c r="X3705"/>
  <c r="X3704"/>
  <c r="X3703"/>
  <c r="K3703"/>
  <c r="X3694"/>
  <c r="V3694"/>
  <c r="X3693"/>
  <c r="V3693"/>
  <c r="H3693"/>
  <c r="X3692"/>
  <c r="V3692"/>
  <c r="K3692"/>
  <c r="I3692"/>
  <c r="H3692"/>
  <c r="F3692"/>
  <c r="X3691"/>
  <c r="V3691"/>
  <c r="K3691"/>
  <c r="I3691"/>
  <c r="H3691"/>
  <c r="F3691"/>
  <c r="X3690"/>
  <c r="V3690"/>
  <c r="H3689"/>
  <c r="X3688"/>
  <c r="V3688"/>
  <c r="H3688"/>
  <c r="X3687"/>
  <c r="V3687"/>
  <c r="H3687"/>
  <c r="X3686"/>
  <c r="V3686"/>
  <c r="H3686"/>
  <c r="X3685"/>
  <c r="V3685"/>
  <c r="K3685"/>
  <c r="H3685"/>
  <c r="F3685"/>
  <c r="X3684"/>
  <c r="V3684"/>
  <c r="K3683"/>
  <c r="F3683"/>
  <c r="H3682"/>
  <c r="H3681"/>
  <c r="F3681"/>
  <c r="K3671"/>
  <c r="K3670"/>
  <c r="X3664"/>
  <c r="K3664"/>
  <c r="X3663"/>
  <c r="X3662"/>
  <c r="K3662"/>
  <c r="X3661"/>
  <c r="X3660"/>
  <c r="X3658"/>
  <c r="X3657"/>
  <c r="X3656"/>
  <c r="X3655"/>
  <c r="X3647"/>
  <c r="X3645"/>
  <c r="X3644"/>
  <c r="X3643"/>
  <c r="X3642"/>
  <c r="X3641"/>
  <c r="X3640"/>
  <c r="X3639"/>
  <c r="L3639"/>
  <c r="K3639"/>
  <c r="X3638"/>
  <c r="X3637"/>
  <c r="X3636"/>
  <c r="V3636"/>
  <c r="X3635"/>
  <c r="V3635"/>
  <c r="X3634"/>
  <c r="V3634"/>
  <c r="K3628"/>
  <c r="I3628"/>
  <c r="K3627"/>
  <c r="I3627"/>
  <c r="K3626"/>
  <c r="I3626"/>
  <c r="K3625"/>
  <c r="I3625"/>
  <c r="K3624"/>
  <c r="I3624"/>
  <c r="H3624"/>
  <c r="K3623"/>
  <c r="I3623"/>
  <c r="X3619"/>
  <c r="V3618"/>
  <c r="V3617"/>
  <c r="X3617" s="1"/>
  <c r="S3617"/>
  <c r="S3618" s="1"/>
  <c r="X3618" s="1"/>
  <c r="J3617"/>
  <c r="W3616"/>
  <c r="X3611"/>
  <c r="K3607"/>
  <c r="K3606"/>
  <c r="K3605"/>
  <c r="K3604"/>
  <c r="K3603"/>
  <c r="S3602"/>
  <c r="S3603" s="1"/>
  <c r="K3602"/>
  <c r="I3602"/>
  <c r="V3601"/>
  <c r="K3601"/>
  <c r="X3594"/>
  <c r="S3585"/>
  <c r="S3586" s="1"/>
  <c r="V3584"/>
  <c r="K3584"/>
  <c r="I3584"/>
  <c r="K3583"/>
  <c r="K3585" s="1"/>
  <c r="K3586" s="1"/>
  <c r="I3583"/>
  <c r="K3577"/>
  <c r="K3576"/>
  <c r="I3577" s="1"/>
  <c r="K3574"/>
  <c r="I3574"/>
  <c r="K3573"/>
  <c r="K3575" s="1"/>
  <c r="I3573"/>
  <c r="S3571"/>
  <c r="S3570"/>
  <c r="V3569"/>
  <c r="K3562"/>
  <c r="K3560"/>
  <c r="I3560"/>
  <c r="V3558"/>
  <c r="K3557"/>
  <c r="S3555"/>
  <c r="X3554"/>
  <c r="V3554"/>
  <c r="V3570" s="1"/>
  <c r="S3554"/>
  <c r="V3553"/>
  <c r="P3547"/>
  <c r="R3547" s="1"/>
  <c r="K3545"/>
  <c r="I3545"/>
  <c r="AE3545" s="1"/>
  <c r="AG3545" s="1"/>
  <c r="AE3543"/>
  <c r="AG3543" s="1"/>
  <c r="X3543"/>
  <c r="V3543"/>
  <c r="V3559" s="1"/>
  <c r="M3543"/>
  <c r="R3543" s="1"/>
  <c r="K3543"/>
  <c r="I3543"/>
  <c r="X3542"/>
  <c r="V3542"/>
  <c r="P3542"/>
  <c r="M3542"/>
  <c r="R3542" s="1"/>
  <c r="K3542"/>
  <c r="I3542"/>
  <c r="AE3542" s="1"/>
  <c r="AG3542" s="1"/>
  <c r="P3541"/>
  <c r="AB3539"/>
  <c r="S3539"/>
  <c r="F3539"/>
  <c r="AG3538"/>
  <c r="AE3538"/>
  <c r="AB3538"/>
  <c r="X3538"/>
  <c r="V3538"/>
  <c r="S3538"/>
  <c r="F3538"/>
  <c r="K3538" s="1"/>
  <c r="AE3537"/>
  <c r="V3537"/>
  <c r="I3537"/>
  <c r="P3533"/>
  <c r="P3549" s="1"/>
  <c r="R3549" s="1"/>
  <c r="R3531"/>
  <c r="P3531"/>
  <c r="R3530"/>
  <c r="P3530"/>
  <c r="P3546" s="1"/>
  <c r="R3546" s="1"/>
  <c r="K3529"/>
  <c r="I3529"/>
  <c r="M3527"/>
  <c r="K3527"/>
  <c r="I3527"/>
  <c r="R3526"/>
  <c r="P3526"/>
  <c r="M3526"/>
  <c r="K3526"/>
  <c r="I3526"/>
  <c r="P3525"/>
  <c r="I3525"/>
  <c r="F3523"/>
  <c r="K3522"/>
  <c r="F3522"/>
  <c r="K3510"/>
  <c r="K3508"/>
  <c r="I3508"/>
  <c r="M3507"/>
  <c r="K3502"/>
  <c r="K3500"/>
  <c r="K3487"/>
  <c r="I3487"/>
  <c r="K3486"/>
  <c r="I3486"/>
  <c r="K3485"/>
  <c r="I3485"/>
  <c r="K3484"/>
  <c r="I3484"/>
  <c r="K3481"/>
  <c r="J3479"/>
  <c r="J3478"/>
  <c r="J3477"/>
  <c r="I3466"/>
  <c r="R3462"/>
  <c r="P3462"/>
  <c r="K3462"/>
  <c r="I3462"/>
  <c r="R3460"/>
  <c r="P3460"/>
  <c r="K3454"/>
  <c r="R3441"/>
  <c r="P3441"/>
  <c r="R3440"/>
  <c r="P3440"/>
  <c r="R3439"/>
  <c r="P3439"/>
  <c r="R3438"/>
  <c r="K3428"/>
  <c r="K3427"/>
  <c r="K3426"/>
  <c r="K3425"/>
  <c r="K3424"/>
  <c r="F3423"/>
  <c r="I3422"/>
  <c r="F3420"/>
  <c r="I3417"/>
  <c r="F3422" s="1"/>
  <c r="K3422" s="1"/>
  <c r="I3416"/>
  <c r="I3415"/>
  <c r="I3412"/>
  <c r="F3421" s="1"/>
  <c r="I3411"/>
  <c r="I3410"/>
  <c r="I3409"/>
  <c r="I3408"/>
  <c r="I3395"/>
  <c r="I3394"/>
  <c r="I3393"/>
  <c r="I3389"/>
  <c r="K3366"/>
  <c r="I3366"/>
  <c r="P3363"/>
  <c r="R3363" s="1"/>
  <c r="I3359"/>
  <c r="K3353"/>
  <c r="I3353"/>
  <c r="K3340"/>
  <c r="P3330"/>
  <c r="R3330" s="1"/>
  <c r="R3328"/>
  <c r="P3328"/>
  <c r="I3328"/>
  <c r="I3430" s="1"/>
  <c r="R3327"/>
  <c r="P3327"/>
  <c r="K3327"/>
  <c r="I3327"/>
  <c r="I3396" s="1"/>
  <c r="I3429" s="1"/>
  <c r="K3429" s="1"/>
  <c r="R3326"/>
  <c r="P3326"/>
  <c r="K3326"/>
  <c r="I3326"/>
  <c r="P3325"/>
  <c r="K3325"/>
  <c r="I3325"/>
  <c r="K3324"/>
  <c r="I3324"/>
  <c r="K3320"/>
  <c r="I3310"/>
  <c r="I3309"/>
  <c r="K3307"/>
  <c r="I3307"/>
  <c r="K3304"/>
  <c r="I3304"/>
  <c r="K3303"/>
  <c r="I3303"/>
  <c r="K3302"/>
  <c r="I3302"/>
  <c r="K3301"/>
  <c r="I3301"/>
  <c r="R3293"/>
  <c r="P3293"/>
  <c r="K3290"/>
  <c r="I3290"/>
  <c r="K3289"/>
  <c r="K3288"/>
  <c r="K3287"/>
  <c r="K3286"/>
  <c r="K3285"/>
  <c r="K3284"/>
  <c r="K3281"/>
  <c r="R3267"/>
  <c r="P3267"/>
  <c r="R3266"/>
  <c r="P3266"/>
  <c r="K3266"/>
  <c r="L3232" s="1"/>
  <c r="I3266"/>
  <c r="R3265"/>
  <c r="P3265"/>
  <c r="R3264"/>
  <c r="P3264"/>
  <c r="P3263"/>
  <c r="K3262"/>
  <c r="R3260"/>
  <c r="V3258"/>
  <c r="X3258" s="1"/>
  <c r="X3257"/>
  <c r="V3257"/>
  <c r="X3256"/>
  <c r="V3256"/>
  <c r="X3255"/>
  <c r="V3255"/>
  <c r="X3254"/>
  <c r="V3254"/>
  <c r="X3253"/>
  <c r="V3253"/>
  <c r="X3252"/>
  <c r="V3252"/>
  <c r="X3249"/>
  <c r="V3249"/>
  <c r="L3236"/>
  <c r="P3233"/>
  <c r="R3232"/>
  <c r="P3232"/>
  <c r="H3232"/>
  <c r="H3233" s="1"/>
  <c r="R3231"/>
  <c r="P3231"/>
  <c r="P3230"/>
  <c r="R3229"/>
  <c r="P3229"/>
  <c r="P3443" s="1"/>
  <c r="R3443" s="1"/>
  <c r="R3228"/>
  <c r="P3228"/>
  <c r="R3227"/>
  <c r="R3226"/>
  <c r="R3225"/>
  <c r="R3224"/>
  <c r="R3223"/>
  <c r="P3223"/>
  <c r="P3437" s="1"/>
  <c r="R3437" s="1"/>
  <c r="L3210"/>
  <c r="P3199"/>
  <c r="P3234" s="1"/>
  <c r="P3268" s="1"/>
  <c r="S3198"/>
  <c r="T3198" s="1"/>
  <c r="R3198"/>
  <c r="R3197"/>
  <c r="R3196"/>
  <c r="R3195"/>
  <c r="L3194"/>
  <c r="R3193"/>
  <c r="P3193"/>
  <c r="R3191"/>
  <c r="R3190"/>
  <c r="P3161"/>
  <c r="R3161" s="1"/>
  <c r="P3159"/>
  <c r="R3159" s="1"/>
  <c r="P3158"/>
  <c r="K3156"/>
  <c r="I3155"/>
  <c r="K3154"/>
  <c r="I3154"/>
  <c r="U3153"/>
  <c r="I3153"/>
  <c r="P3160" s="1"/>
  <c r="U3152"/>
  <c r="I3152"/>
  <c r="K3152" s="1"/>
  <c r="U3151"/>
  <c r="K3151"/>
  <c r="I3151"/>
  <c r="I3150"/>
  <c r="U3149"/>
  <c r="U3148"/>
  <c r="U3150" s="1"/>
  <c r="I3148"/>
  <c r="F3148"/>
  <c r="P3147"/>
  <c r="P3146"/>
  <c r="P3148" s="1"/>
  <c r="M3155" s="1"/>
  <c r="P3143"/>
  <c r="M3154" s="1"/>
  <c r="P3141"/>
  <c r="M3153" s="1"/>
  <c r="P3140"/>
  <c r="M3156" s="1"/>
  <c r="V3136"/>
  <c r="X3136" s="1"/>
  <c r="V3134"/>
  <c r="X3134" s="1"/>
  <c r="R3120"/>
  <c r="K3120"/>
  <c r="X3119"/>
  <c r="R3119"/>
  <c r="K3119"/>
  <c r="V3118"/>
  <c r="X3117"/>
  <c r="V3115"/>
  <c r="K3110"/>
  <c r="I3110"/>
  <c r="V3122" s="1"/>
  <c r="X3122" s="1"/>
  <c r="AU3108"/>
  <c r="AS3108"/>
  <c r="AQ3108"/>
  <c r="V3108"/>
  <c r="AQ3107"/>
  <c r="AS3107" s="1"/>
  <c r="AH3107"/>
  <c r="V3107"/>
  <c r="V3109" s="1"/>
  <c r="K3105"/>
  <c r="V3104"/>
  <c r="V3102"/>
  <c r="V3101"/>
  <c r="K3082"/>
  <c r="I3075"/>
  <c r="K3075" s="1"/>
  <c r="F3075"/>
  <c r="R3063"/>
  <c r="K3056"/>
  <c r="I3056"/>
  <c r="P3063" s="1"/>
  <c r="F3056"/>
  <c r="I3055"/>
  <c r="K3038"/>
  <c r="K3017"/>
  <c r="K3041" s="1"/>
  <c r="K3014"/>
  <c r="K3012"/>
  <c r="K3009"/>
  <c r="I3009"/>
  <c r="K2995"/>
  <c r="I2971"/>
  <c r="P2978" s="1"/>
  <c r="R2978" s="1"/>
  <c r="K2970"/>
  <c r="I2970"/>
  <c r="P2977" s="1"/>
  <c r="R2977" s="1"/>
  <c r="I2967"/>
  <c r="I2964"/>
  <c r="I2963"/>
  <c r="P2925"/>
  <c r="P2924"/>
  <c r="P2923"/>
  <c r="K2886"/>
  <c r="K2888" s="1"/>
  <c r="I2884"/>
  <c r="K2884" s="1"/>
  <c r="K2883"/>
  <c r="K2871"/>
  <c r="I2871"/>
  <c r="I2870"/>
  <c r="K2870" s="1"/>
  <c r="K2869"/>
  <c r="I2869"/>
  <c r="I2868"/>
  <c r="K2868" s="1"/>
  <c r="K2867"/>
  <c r="K2866"/>
  <c r="R2859"/>
  <c r="M2855"/>
  <c r="M2854"/>
  <c r="I2854"/>
  <c r="I2838"/>
  <c r="K2835"/>
  <c r="K2834"/>
  <c r="J2831"/>
  <c r="R2828"/>
  <c r="P2828"/>
  <c r="P2861" s="1"/>
  <c r="R2861" s="1"/>
  <c r="P2827"/>
  <c r="P2860" s="1"/>
  <c r="R2860" s="1"/>
  <c r="P2826"/>
  <c r="P2859" s="1"/>
  <c r="P2825"/>
  <c r="M2822"/>
  <c r="I2822"/>
  <c r="M2821"/>
  <c r="K2821"/>
  <c r="K2820"/>
  <c r="K2819"/>
  <c r="K2818"/>
  <c r="F2814"/>
  <c r="AE2793"/>
  <c r="AG2793" s="1"/>
  <c r="AE2792"/>
  <c r="AG2792" s="1"/>
  <c r="S2792"/>
  <c r="K2792"/>
  <c r="AE2791"/>
  <c r="AG2791" s="1"/>
  <c r="S2791"/>
  <c r="AG2790"/>
  <c r="AE2790"/>
  <c r="S2790"/>
  <c r="V2789"/>
  <c r="S2789"/>
  <c r="X2789" s="1"/>
  <c r="AG2788"/>
  <c r="V2788"/>
  <c r="X2788" s="1"/>
  <c r="S2788"/>
  <c r="X2787"/>
  <c r="V2787"/>
  <c r="S2787"/>
  <c r="V2786"/>
  <c r="S2786"/>
  <c r="X2786" s="1"/>
  <c r="S2785"/>
  <c r="V2784"/>
  <c r="X2784" s="1"/>
  <c r="S2783"/>
  <c r="S2782"/>
  <c r="S2781"/>
  <c r="L2778"/>
  <c r="F2815" s="1"/>
  <c r="Y2777"/>
  <c r="K2774"/>
  <c r="K2773"/>
  <c r="E2757"/>
  <c r="E2759" s="1"/>
  <c r="E2760" s="1"/>
  <c r="E2755"/>
  <c r="E2756" s="1"/>
  <c r="K2735"/>
  <c r="I2733"/>
  <c r="K2733" s="1"/>
  <c r="K2717"/>
  <c r="I2717"/>
  <c r="I2711"/>
  <c r="K2711" s="1"/>
  <c r="L2688"/>
  <c r="K2685"/>
  <c r="K2684"/>
  <c r="I2684"/>
  <c r="I2681"/>
  <c r="K2680"/>
  <c r="I2680"/>
  <c r="P2676"/>
  <c r="P2674"/>
  <c r="I2670"/>
  <c r="K2669"/>
  <c r="I2669"/>
  <c r="I3107" s="1"/>
  <c r="K3107" s="1"/>
  <c r="K2668"/>
  <c r="I2668"/>
  <c r="K2667"/>
  <c r="I2667"/>
  <c r="K2665"/>
  <c r="AG2659"/>
  <c r="AE2659"/>
  <c r="AG2657"/>
  <c r="AG2656"/>
  <c r="AG2655"/>
  <c r="AG2654"/>
  <c r="AG2653"/>
  <c r="AB2652"/>
  <c r="AE2651"/>
  <c r="AB2649"/>
  <c r="R2648"/>
  <c r="P2648"/>
  <c r="R2647"/>
  <c r="P2647"/>
  <c r="P2646"/>
  <c r="R2646" s="1"/>
  <c r="AE2645"/>
  <c r="P2645"/>
  <c r="R2645" s="1"/>
  <c r="AE2644"/>
  <c r="AE2646" s="1"/>
  <c r="AB2651" s="1"/>
  <c r="P2644"/>
  <c r="R2644" s="1"/>
  <c r="P2642"/>
  <c r="K2641"/>
  <c r="AE2640"/>
  <c r="M2640"/>
  <c r="K2640"/>
  <c r="AE2639"/>
  <c r="AE2641" s="1"/>
  <c r="AB2650" s="1"/>
  <c r="K2639"/>
  <c r="K2638"/>
  <c r="AE2637"/>
  <c r="P2637"/>
  <c r="M2642" s="1"/>
  <c r="R2642" s="1"/>
  <c r="K2637"/>
  <c r="K2635"/>
  <c r="P2632"/>
  <c r="M2641" s="1"/>
  <c r="K2629"/>
  <c r="I2629"/>
  <c r="I2630" s="1"/>
  <c r="I2625"/>
  <c r="AG2623"/>
  <c r="AE2623"/>
  <c r="AB2617"/>
  <c r="AG2617" s="1"/>
  <c r="AB2615"/>
  <c r="AE2611"/>
  <c r="AE2612" s="1"/>
  <c r="AE2610"/>
  <c r="K2610"/>
  <c r="X2609"/>
  <c r="I2609"/>
  <c r="V2608"/>
  <c r="X2608" s="1"/>
  <c r="Z2606" s="1"/>
  <c r="Z2607"/>
  <c r="X2607"/>
  <c r="V2607"/>
  <c r="AE2621" s="1"/>
  <c r="AG2621" s="1"/>
  <c r="AE2606"/>
  <c r="V2606"/>
  <c r="X2606" s="1"/>
  <c r="AE2605"/>
  <c r="AE2607" s="1"/>
  <c r="AB2616" s="1"/>
  <c r="Z2605"/>
  <c r="V2605"/>
  <c r="Z2604"/>
  <c r="S2604"/>
  <c r="I2604"/>
  <c r="AE2603"/>
  <c r="AB2618" s="1"/>
  <c r="X2603"/>
  <c r="V2603"/>
  <c r="AE2617" s="1"/>
  <c r="Z2601"/>
  <c r="S2601"/>
  <c r="V2598"/>
  <c r="S2603" s="1"/>
  <c r="V2597"/>
  <c r="V2596"/>
  <c r="V2593"/>
  <c r="S2602" s="1"/>
  <c r="V2592"/>
  <c r="V2591"/>
  <c r="V2589"/>
  <c r="O2580"/>
  <c r="R2576"/>
  <c r="P2576"/>
  <c r="K2575"/>
  <c r="H2574"/>
  <c r="P2569"/>
  <c r="I2569"/>
  <c r="K2543"/>
  <c r="K2540"/>
  <c r="I2534"/>
  <c r="N2522"/>
  <c r="R2517"/>
  <c r="P2517"/>
  <c r="M2514"/>
  <c r="K2514"/>
  <c r="R2510"/>
  <c r="K2510"/>
  <c r="I2509"/>
  <c r="P2516" s="1"/>
  <c r="R2516" s="1"/>
  <c r="P2507"/>
  <c r="I2507"/>
  <c r="P2506"/>
  <c r="P2510" s="1"/>
  <c r="P2505"/>
  <c r="P2504"/>
  <c r="I2503"/>
  <c r="I2487"/>
  <c r="K2487" s="1"/>
  <c r="H2487"/>
  <c r="K2485"/>
  <c r="K2490" s="1"/>
  <c r="K2492" s="1"/>
  <c r="I2485"/>
  <c r="I2479"/>
  <c r="I2481" s="1"/>
  <c r="F2485" s="1"/>
  <c r="H2472"/>
  <c r="I2469"/>
  <c r="K2469" s="1"/>
  <c r="I2468"/>
  <c r="I2539" s="1"/>
  <c r="K2467"/>
  <c r="I2467"/>
  <c r="I2486" s="1"/>
  <c r="K2486" s="1"/>
  <c r="I2466"/>
  <c r="I2537" s="1"/>
  <c r="I3482" s="1"/>
  <c r="K3482" s="1"/>
  <c r="I2462"/>
  <c r="I2442"/>
  <c r="K2442" s="1"/>
  <c r="R2437"/>
  <c r="P2433"/>
  <c r="R2429"/>
  <c r="K2426"/>
  <c r="I2426"/>
  <c r="K2422"/>
  <c r="R2408"/>
  <c r="K2408"/>
  <c r="I2408"/>
  <c r="R2407"/>
  <c r="R2406"/>
  <c r="R2405"/>
  <c r="R2404"/>
  <c r="R2403"/>
  <c r="R2402"/>
  <c r="R2401"/>
  <c r="R2400"/>
  <c r="R2399"/>
  <c r="R2398"/>
  <c r="R2397"/>
  <c r="K2397"/>
  <c r="R2396"/>
  <c r="R2395"/>
  <c r="R2394"/>
  <c r="R2393"/>
  <c r="E2393"/>
  <c r="R2392"/>
  <c r="E2392"/>
  <c r="R2391"/>
  <c r="K2388"/>
  <c r="K2387"/>
  <c r="R2372"/>
  <c r="P2372"/>
  <c r="R2371"/>
  <c r="P2371"/>
  <c r="K2366"/>
  <c r="K2365"/>
  <c r="K2364"/>
  <c r="I2347"/>
  <c r="K2347" s="1"/>
  <c r="D2347"/>
  <c r="R2335"/>
  <c r="P2335"/>
  <c r="R2334"/>
  <c r="K2328"/>
  <c r="I2328"/>
  <c r="K2327"/>
  <c r="K2314"/>
  <c r="I2314"/>
  <c r="E2313"/>
  <c r="I2312"/>
  <c r="K2312" s="1"/>
  <c r="I2311"/>
  <c r="K2311" s="1"/>
  <c r="I2310"/>
  <c r="K2310" s="1"/>
  <c r="I2309"/>
  <c r="K2309" s="1"/>
  <c r="L2308"/>
  <c r="L2307"/>
  <c r="K2299"/>
  <c r="I2299"/>
  <c r="H2299"/>
  <c r="K2297"/>
  <c r="I2297"/>
  <c r="I2313" s="1"/>
  <c r="K2313" s="1"/>
  <c r="K2295"/>
  <c r="K2291"/>
  <c r="I3018" s="1"/>
  <c r="K3018" s="1"/>
  <c r="K2290"/>
  <c r="K2289"/>
  <c r="K2287"/>
  <c r="K2286"/>
  <c r="K2285"/>
  <c r="K2283"/>
  <c r="K2282"/>
  <c r="K2281"/>
  <c r="K2280"/>
  <c r="K2277"/>
  <c r="K2276"/>
  <c r="K2275"/>
  <c r="K2273"/>
  <c r="L2270"/>
  <c r="K2269"/>
  <c r="K2268"/>
  <c r="K2267"/>
  <c r="K2266"/>
  <c r="K2265"/>
  <c r="K2264"/>
  <c r="K2263"/>
  <c r="K2262"/>
  <c r="K2261"/>
  <c r="L2260"/>
  <c r="L2259"/>
  <c r="M2255"/>
  <c r="K2248"/>
  <c r="K2247"/>
  <c r="I2247"/>
  <c r="I2246"/>
  <c r="K2246" s="1"/>
  <c r="K2245"/>
  <c r="I2245"/>
  <c r="I2244"/>
  <c r="K2244" s="1"/>
  <c r="I2221"/>
  <c r="K2221" s="1"/>
  <c r="K2225" s="1"/>
  <c r="I2212"/>
  <c r="K2212" s="1"/>
  <c r="K2216" s="1"/>
  <c r="K2206"/>
  <c r="K2202"/>
  <c r="I2202"/>
  <c r="K2197"/>
  <c r="K2200" s="1"/>
  <c r="J2197"/>
  <c r="I2189"/>
  <c r="K2189" s="1"/>
  <c r="K2193" s="1"/>
  <c r="K2176"/>
  <c r="I2176"/>
  <c r="H2174"/>
  <c r="I2163"/>
  <c r="K2163" s="1"/>
  <c r="R2151"/>
  <c r="I2149"/>
  <c r="K2144"/>
  <c r="I2144"/>
  <c r="K2129"/>
  <c r="I2129"/>
  <c r="K2124"/>
  <c r="I2124"/>
  <c r="I2116"/>
  <c r="K2116" s="1"/>
  <c r="K2119" s="1"/>
  <c r="K2104"/>
  <c r="I2104"/>
  <c r="K2096"/>
  <c r="K2095"/>
  <c r="I2094"/>
  <c r="K2094" s="1"/>
  <c r="K2098" s="1"/>
  <c r="K2093"/>
  <c r="I2093"/>
  <c r="R2091"/>
  <c r="Q2091"/>
  <c r="P2091"/>
  <c r="O2091"/>
  <c r="N2091"/>
  <c r="M2091"/>
  <c r="R2090"/>
  <c r="Q2090"/>
  <c r="P2090"/>
  <c r="O2090"/>
  <c r="N2090"/>
  <c r="M2090"/>
  <c r="R2089"/>
  <c r="Q2089"/>
  <c r="P2089"/>
  <c r="O2089"/>
  <c r="N2089"/>
  <c r="M2089"/>
  <c r="R2088"/>
  <c r="Q2088"/>
  <c r="P2088"/>
  <c r="O2088"/>
  <c r="N2088"/>
  <c r="M2088"/>
  <c r="R2087"/>
  <c r="Q2087"/>
  <c r="P2087"/>
  <c r="O2087"/>
  <c r="N2087"/>
  <c r="M2087"/>
  <c r="R2086"/>
  <c r="Q2086"/>
  <c r="P2086"/>
  <c r="O2086"/>
  <c r="N2086"/>
  <c r="M2086"/>
  <c r="R2085"/>
  <c r="Q2085"/>
  <c r="P2085"/>
  <c r="O2085"/>
  <c r="N2085"/>
  <c r="M2085"/>
  <c r="R2084"/>
  <c r="Q2084"/>
  <c r="P2084"/>
  <c r="O2084"/>
  <c r="N2084"/>
  <c r="M2084"/>
  <c r="R2083"/>
  <c r="Q2083"/>
  <c r="P2083"/>
  <c r="O2083"/>
  <c r="N2083"/>
  <c r="M2083"/>
  <c r="R2082"/>
  <c r="Q2082"/>
  <c r="P2082"/>
  <c r="O2082"/>
  <c r="N2082"/>
  <c r="M2082"/>
  <c r="R2081"/>
  <c r="Q2081"/>
  <c r="P2081"/>
  <c r="O2081"/>
  <c r="N2081"/>
  <c r="M2081"/>
  <c r="R2080"/>
  <c r="Q2080"/>
  <c r="P2080"/>
  <c r="O2080"/>
  <c r="N2080"/>
  <c r="M2080"/>
  <c r="R2079"/>
  <c r="Q2079"/>
  <c r="P2079"/>
  <c r="O2079"/>
  <c r="N2079"/>
  <c r="M2079"/>
  <c r="R2078"/>
  <c r="Q2078"/>
  <c r="P2078"/>
  <c r="O2078"/>
  <c r="N2078"/>
  <c r="M2078"/>
  <c r="R2077"/>
  <c r="Q2077"/>
  <c r="P2077"/>
  <c r="O2077"/>
  <c r="N2077"/>
  <c r="M2077"/>
  <c r="R2076"/>
  <c r="Q2076"/>
  <c r="P2076"/>
  <c r="O2076"/>
  <c r="N2076"/>
  <c r="M2076"/>
  <c r="I2076"/>
  <c r="K2076" s="1"/>
  <c r="R2075"/>
  <c r="Q2075"/>
  <c r="P2075"/>
  <c r="O2075"/>
  <c r="N2075"/>
  <c r="M2075"/>
  <c r="I2075"/>
  <c r="K2075" s="1"/>
  <c r="R2074"/>
  <c r="Q2074"/>
  <c r="P2074"/>
  <c r="O2074"/>
  <c r="N2074"/>
  <c r="M2074"/>
  <c r="I2074"/>
  <c r="K2074" s="1"/>
  <c r="R2073"/>
  <c r="Q2073"/>
  <c r="P2073"/>
  <c r="O2073"/>
  <c r="N2073"/>
  <c r="M2073"/>
  <c r="I2073"/>
  <c r="K2073" s="1"/>
  <c r="R2072"/>
  <c r="Q2072"/>
  <c r="P2072"/>
  <c r="O2072"/>
  <c r="N2072"/>
  <c r="M2072"/>
  <c r="R2071"/>
  <c r="Q2071"/>
  <c r="P2071"/>
  <c r="O2071"/>
  <c r="N2071"/>
  <c r="M2071"/>
  <c r="R2070"/>
  <c r="Q2070"/>
  <c r="P2070"/>
  <c r="O2070"/>
  <c r="N2070"/>
  <c r="M2070"/>
  <c r="R2069"/>
  <c r="Q2069"/>
  <c r="P2069"/>
  <c r="O2069"/>
  <c r="N2069"/>
  <c r="M2069"/>
  <c r="R2068"/>
  <c r="Q2068"/>
  <c r="P2068"/>
  <c r="O2068"/>
  <c r="N2068"/>
  <c r="M2068"/>
  <c r="R2067"/>
  <c r="Q2067"/>
  <c r="P2067"/>
  <c r="O2067"/>
  <c r="N2067"/>
  <c r="M2067"/>
  <c r="R2066"/>
  <c r="Q2066"/>
  <c r="P2066"/>
  <c r="O2066"/>
  <c r="N2066"/>
  <c r="M2066"/>
  <c r="R2065"/>
  <c r="Q2065"/>
  <c r="P2065"/>
  <c r="O2065"/>
  <c r="N2065"/>
  <c r="M2065"/>
  <c r="R2064"/>
  <c r="Q2064"/>
  <c r="P2064"/>
  <c r="O2064"/>
  <c r="N2064"/>
  <c r="M2064"/>
  <c r="R2063"/>
  <c r="Q2063"/>
  <c r="P2063"/>
  <c r="O2063"/>
  <c r="N2063"/>
  <c r="M2063"/>
  <c r="R2062"/>
  <c r="Q2062"/>
  <c r="P2062"/>
  <c r="O2062"/>
  <c r="N2062"/>
  <c r="M2062"/>
  <c r="R2061"/>
  <c r="Q2061"/>
  <c r="P2061"/>
  <c r="O2061"/>
  <c r="N2061"/>
  <c r="M2061"/>
  <c r="R2060"/>
  <c r="Q2060"/>
  <c r="P2060"/>
  <c r="O2060"/>
  <c r="N2060"/>
  <c r="M2060"/>
  <c r="R2059"/>
  <c r="Q2059"/>
  <c r="P2059"/>
  <c r="O2059"/>
  <c r="N2059"/>
  <c r="M2059"/>
  <c r="R2058"/>
  <c r="Q2058"/>
  <c r="P2058"/>
  <c r="O2058"/>
  <c r="N2058"/>
  <c r="M2058"/>
  <c r="R2057"/>
  <c r="Q2057"/>
  <c r="P2057"/>
  <c r="O2057"/>
  <c r="N2057"/>
  <c r="M2057"/>
  <c r="R2056"/>
  <c r="Q2056"/>
  <c r="P2056"/>
  <c r="O2056"/>
  <c r="N2056"/>
  <c r="M2056"/>
  <c r="R2055"/>
  <c r="Q2055"/>
  <c r="P2055"/>
  <c r="O2055"/>
  <c r="N2055"/>
  <c r="M2055"/>
  <c r="R2054"/>
  <c r="Q2054"/>
  <c r="P2054"/>
  <c r="O2054"/>
  <c r="N2054"/>
  <c r="M2054"/>
  <c r="R2053"/>
  <c r="Q2053"/>
  <c r="P2053"/>
  <c r="O2053"/>
  <c r="N2053"/>
  <c r="M2053"/>
  <c r="R2052"/>
  <c r="Q2052"/>
  <c r="P2052"/>
  <c r="O2052"/>
  <c r="N2052"/>
  <c r="M2052"/>
  <c r="I2052"/>
  <c r="K2052" s="1"/>
  <c r="R2051"/>
  <c r="Q2051"/>
  <c r="P2051"/>
  <c r="O2051"/>
  <c r="N2051"/>
  <c r="M2051"/>
  <c r="I2051"/>
  <c r="K2051" s="1"/>
  <c r="R2050"/>
  <c r="Q2050"/>
  <c r="P2050"/>
  <c r="O2050"/>
  <c r="N2050"/>
  <c r="M2050"/>
  <c r="K2050"/>
  <c r="R2049"/>
  <c r="Q2049"/>
  <c r="P2049"/>
  <c r="O2049"/>
  <c r="N2049"/>
  <c r="M2049"/>
  <c r="K2049"/>
  <c r="I2049"/>
  <c r="R2048"/>
  <c r="Q2048"/>
  <c r="P2048"/>
  <c r="O2048"/>
  <c r="N2048"/>
  <c r="M2048"/>
  <c r="R2047"/>
  <c r="Q2047"/>
  <c r="P2047"/>
  <c r="O2047"/>
  <c r="N2047"/>
  <c r="M2047"/>
  <c r="P2046"/>
  <c r="O2046"/>
  <c r="N2046"/>
  <c r="M2046"/>
  <c r="P2032"/>
  <c r="R2024"/>
  <c r="P2024"/>
  <c r="K2024"/>
  <c r="I2024"/>
  <c r="P2014"/>
  <c r="P2006"/>
  <c r="R2006" s="1"/>
  <c r="K2005"/>
  <c r="I2005"/>
  <c r="P1996"/>
  <c r="P1990"/>
  <c r="P1988"/>
  <c r="R1986"/>
  <c r="P1986"/>
  <c r="K1986"/>
  <c r="I1986"/>
  <c r="P1975"/>
  <c r="P1968"/>
  <c r="R1968" s="1"/>
  <c r="K1968"/>
  <c r="I1968"/>
  <c r="N1944"/>
  <c r="N1943"/>
  <c r="N1945" s="1"/>
  <c r="Q1942"/>
  <c r="P1942"/>
  <c r="Q1941"/>
  <c r="P1941"/>
  <c r="K1941"/>
  <c r="Q1940"/>
  <c r="P1940"/>
  <c r="P1939"/>
  <c r="Q1939" s="1"/>
  <c r="K1939"/>
  <c r="P1938"/>
  <c r="P1937"/>
  <c r="Q1936"/>
  <c r="K1936"/>
  <c r="I1936"/>
  <c r="K1925"/>
  <c r="I1923"/>
  <c r="K1923" s="1"/>
  <c r="K1922"/>
  <c r="I1922"/>
  <c r="K1909"/>
  <c r="I1909"/>
  <c r="R1908"/>
  <c r="P1908"/>
  <c r="P1909" s="1"/>
  <c r="R1909" s="1"/>
  <c r="K1908"/>
  <c r="I1908"/>
  <c r="K1907"/>
  <c r="I1907"/>
  <c r="P1897"/>
  <c r="P1896"/>
  <c r="K1895"/>
  <c r="I1895"/>
  <c r="I1896" s="1"/>
  <c r="K1896" s="1"/>
  <c r="R1890"/>
  <c r="R1889"/>
  <c r="R1887"/>
  <c r="K1887"/>
  <c r="I1887"/>
  <c r="K1886"/>
  <c r="K1878"/>
  <c r="I1878"/>
  <c r="I1879" s="1"/>
  <c r="K1879" s="1"/>
  <c r="P1877"/>
  <c r="P1878" s="1"/>
  <c r="R1878" s="1"/>
  <c r="I1870"/>
  <c r="K1870" s="1"/>
  <c r="P1866"/>
  <c r="P1865"/>
  <c r="P1864"/>
  <c r="P1895" s="1"/>
  <c r="R1859"/>
  <c r="R1858"/>
  <c r="P1857"/>
  <c r="P1888" s="1"/>
  <c r="R1856"/>
  <c r="P1856"/>
  <c r="K1848"/>
  <c r="K1843"/>
  <c r="I1843"/>
  <c r="K1842"/>
  <c r="I1842"/>
  <c r="K1840"/>
  <c r="I1840"/>
  <c r="K1830"/>
  <c r="I1825"/>
  <c r="K1825" s="1"/>
  <c r="K1824"/>
  <c r="I1824"/>
  <c r="I1822"/>
  <c r="K1822" s="1"/>
  <c r="K1812"/>
  <c r="I1807"/>
  <c r="I2736" s="1"/>
  <c r="K2736" s="1"/>
  <c r="K1806"/>
  <c r="I1806"/>
  <c r="I2735" s="1"/>
  <c r="I1804"/>
  <c r="K1804" s="1"/>
  <c r="K1797"/>
  <c r="K1796"/>
  <c r="K1793"/>
  <c r="K1786"/>
  <c r="I1785"/>
  <c r="K1785" s="1"/>
  <c r="K1770"/>
  <c r="I1770"/>
  <c r="K1769"/>
  <c r="I1769"/>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K1682" s="1"/>
  <c r="AE1677"/>
  <c r="AE1676"/>
  <c r="AE1675"/>
  <c r="AE1674"/>
  <c r="AE1673"/>
  <c r="AE1672"/>
  <c r="AE1671"/>
  <c r="AE1670"/>
  <c r="AE1669"/>
  <c r="AE1668"/>
  <c r="AE1667"/>
  <c r="K1667"/>
  <c r="AE1666"/>
  <c r="K1666"/>
  <c r="K1670" s="1"/>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R1632"/>
  <c r="Q1632"/>
  <c r="AE1631"/>
  <c r="R1631"/>
  <c r="Q1631"/>
  <c r="AE1630"/>
  <c r="Q1630"/>
  <c r="P1630"/>
  <c r="R1630" s="1"/>
  <c r="K1630"/>
  <c r="I1630"/>
  <c r="P1632" s="1"/>
  <c r="AE1629"/>
  <c r="R1629"/>
  <c r="Q1629"/>
  <c r="K1629"/>
  <c r="I1629"/>
  <c r="AE1628"/>
  <c r="Q1628"/>
  <c r="I1628"/>
  <c r="K1628" s="1"/>
  <c r="AE1627"/>
  <c r="I1627"/>
  <c r="K1627" s="1"/>
  <c r="AE1626"/>
  <c r="K1626"/>
  <c r="I1626"/>
  <c r="P1628" s="1"/>
  <c r="R1628" s="1"/>
  <c r="AE1625"/>
  <c r="AE1624"/>
  <c r="AE1623"/>
  <c r="AE1622"/>
  <c r="AE1621"/>
  <c r="AE1620"/>
  <c r="AE1619"/>
  <c r="AE1618"/>
  <c r="AE1617"/>
  <c r="AE1616"/>
  <c r="AE1615"/>
  <c r="O1615"/>
  <c r="AE1614"/>
  <c r="K1614"/>
  <c r="I1614"/>
  <c r="AE1613"/>
  <c r="AE1612"/>
  <c r="AE1611"/>
  <c r="AE1610"/>
  <c r="AE1609"/>
  <c r="AE1608"/>
  <c r="AE1607"/>
  <c r="AE1606"/>
  <c r="AE1605"/>
  <c r="AE1604"/>
  <c r="AE1603"/>
  <c r="P1603"/>
  <c r="P1615" s="1"/>
  <c r="R1615" s="1"/>
  <c r="AE1602"/>
  <c r="L1602"/>
  <c r="AE1601"/>
  <c r="L1601"/>
  <c r="AE1600"/>
  <c r="AE1599"/>
  <c r="AE1598"/>
  <c r="AE1597"/>
  <c r="AE1596"/>
  <c r="AE1595"/>
  <c r="AE1594"/>
  <c r="AE1593"/>
  <c r="AE1592"/>
  <c r="AE1591"/>
  <c r="K1591"/>
  <c r="AE1590"/>
  <c r="AE1589"/>
  <c r="AE1588"/>
  <c r="AE1587"/>
  <c r="I1587"/>
  <c r="AE1586"/>
  <c r="AE1585"/>
  <c r="AE1584"/>
  <c r="AE1583"/>
  <c r="AE1582"/>
  <c r="AE1581"/>
  <c r="AE1580"/>
  <c r="AE1579"/>
  <c r="AE1578"/>
  <c r="K1578"/>
  <c r="AE1577"/>
  <c r="AE1576"/>
  <c r="AE1575"/>
  <c r="AE1574"/>
  <c r="K1574"/>
  <c r="I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K1547"/>
  <c r="I1547"/>
  <c r="I3196" s="1"/>
  <c r="AE1546"/>
  <c r="AE1545"/>
  <c r="AE1544"/>
  <c r="AE1543"/>
  <c r="AE1542"/>
  <c r="AE1541"/>
  <c r="AE1540"/>
  <c r="P1540"/>
  <c r="R1540" s="1"/>
  <c r="AE1539"/>
  <c r="AE1538"/>
  <c r="P1538"/>
  <c r="R1538" s="1"/>
  <c r="AE1537"/>
  <c r="AE1536"/>
  <c r="AE1535"/>
  <c r="AE1534"/>
  <c r="K1534"/>
  <c r="I1534"/>
  <c r="I3210" s="1"/>
  <c r="AE1533"/>
  <c r="AE1532"/>
  <c r="I1532"/>
  <c r="K1532" s="1"/>
  <c r="AE1531"/>
  <c r="AE1530"/>
  <c r="AE1529"/>
  <c r="AE1528"/>
  <c r="AE1527"/>
  <c r="AE1526"/>
  <c r="AE1525"/>
  <c r="AE1524"/>
  <c r="AE1523"/>
  <c r="AE1522"/>
  <c r="AE1521"/>
  <c r="R1521"/>
  <c r="AE1520"/>
  <c r="AE1519"/>
  <c r="AE1518"/>
  <c r="AE1517"/>
  <c r="K1517"/>
  <c r="I1517"/>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P1435"/>
  <c r="AE1434"/>
  <c r="AE1433"/>
  <c r="U1433"/>
  <c r="R1433"/>
  <c r="AE1432"/>
  <c r="AE1431"/>
  <c r="AE1430"/>
  <c r="S1430"/>
  <c r="AE1429"/>
  <c r="X1429"/>
  <c r="AE1428"/>
  <c r="X1428"/>
  <c r="AE1427"/>
  <c r="X1427"/>
  <c r="AE1426"/>
  <c r="AE1425"/>
  <c r="P1425"/>
  <c r="AE1424"/>
  <c r="AE1423"/>
  <c r="AE1422"/>
  <c r="AE1421"/>
  <c r="AE1420"/>
  <c r="AE1419"/>
  <c r="Y1419"/>
  <c r="L1419"/>
  <c r="AE1418"/>
  <c r="P1418"/>
  <c r="R1418" s="1"/>
  <c r="AE1417"/>
  <c r="Y1417"/>
  <c r="P1417"/>
  <c r="P1434" s="1"/>
  <c r="AE1416"/>
  <c r="P1416"/>
  <c r="P1433" s="1"/>
  <c r="P1449" s="1"/>
  <c r="AE1415"/>
  <c r="AE1414"/>
  <c r="R1414"/>
  <c r="P1414"/>
  <c r="P1431" s="1"/>
  <c r="AE1413"/>
  <c r="P1413"/>
  <c r="AE1412"/>
  <c r="R1412"/>
  <c r="P1412"/>
  <c r="P1429" s="1"/>
  <c r="AE1411"/>
  <c r="AE1410"/>
  <c r="AE1409"/>
  <c r="P1409"/>
  <c r="AE1408"/>
  <c r="P1408"/>
  <c r="R1408" s="1"/>
  <c r="AE1407"/>
  <c r="AE1406"/>
  <c r="S1406"/>
  <c r="AE1405"/>
  <c r="S1405"/>
  <c r="AE1404"/>
  <c r="S1404"/>
  <c r="L1404"/>
  <c r="AE1403"/>
  <c r="S1403"/>
  <c r="AE1402"/>
  <c r="S1402"/>
  <c r="AE1401"/>
  <c r="R1401"/>
  <c r="AE1400"/>
  <c r="R1400"/>
  <c r="AE1399"/>
  <c r="R1399"/>
  <c r="AE1398"/>
  <c r="AE1397"/>
  <c r="R1397"/>
  <c r="AE1396"/>
  <c r="R1396"/>
  <c r="AE1395"/>
  <c r="R1395"/>
  <c r="AE1394"/>
  <c r="V1394"/>
  <c r="P1394"/>
  <c r="P1411" s="1"/>
  <c r="AE1393"/>
  <c r="P1393"/>
  <c r="R1393" s="1"/>
  <c r="AE1392"/>
  <c r="P1392"/>
  <c r="R1392" s="1"/>
  <c r="AE1391"/>
  <c r="R1391"/>
  <c r="AE1390"/>
  <c r="AE1389"/>
  <c r="AB1389"/>
  <c r="AD1389" s="1"/>
  <c r="AE1388"/>
  <c r="AE1387"/>
  <c r="AE1386"/>
  <c r="AE1385"/>
  <c r="AE1384"/>
  <c r="AE1383"/>
  <c r="AE1382"/>
  <c r="AE1381"/>
  <c r="AE1380"/>
  <c r="AE1379"/>
  <c r="V1379"/>
  <c r="AE1378"/>
  <c r="K1378"/>
  <c r="I1378"/>
  <c r="AE1377"/>
  <c r="AB1377"/>
  <c r="V1377"/>
  <c r="X1377" s="1"/>
  <c r="AE1376"/>
  <c r="AE1375"/>
  <c r="V1375"/>
  <c r="I1375"/>
  <c r="K1375" s="1"/>
  <c r="AE1374"/>
  <c r="AE1373"/>
  <c r="AB1373"/>
  <c r="V1373"/>
  <c r="V1390" s="1"/>
  <c r="V1406" s="1"/>
  <c r="AE1372"/>
  <c r="AB1372"/>
  <c r="AD1372" s="1"/>
  <c r="P1372"/>
  <c r="R1372" s="1"/>
  <c r="AE1371"/>
  <c r="AE1370"/>
  <c r="AE1369"/>
  <c r="AE1368"/>
  <c r="AE1367"/>
  <c r="AE1366"/>
  <c r="AE1365"/>
  <c r="AE1364"/>
  <c r="AE1363"/>
  <c r="AE1362"/>
  <c r="V1362"/>
  <c r="X1362" s="1"/>
  <c r="AE1361"/>
  <c r="V1361"/>
  <c r="X1361" s="1"/>
  <c r="AE1360"/>
  <c r="AB1360"/>
  <c r="I3995" s="1"/>
  <c r="K3995" s="1"/>
  <c r="X1360"/>
  <c r="V1360"/>
  <c r="AE1359"/>
  <c r="AB1359"/>
  <c r="AE1358"/>
  <c r="AB1358"/>
  <c r="AB1375" s="1"/>
  <c r="X1358"/>
  <c r="V1358"/>
  <c r="AE1357"/>
  <c r="X1357"/>
  <c r="V1357"/>
  <c r="AE1356"/>
  <c r="AB1356"/>
  <c r="AD1356" s="1"/>
  <c r="X1356"/>
  <c r="V1356"/>
  <c r="I1356"/>
  <c r="K1356" s="1"/>
  <c r="AE1355"/>
  <c r="AB1355"/>
  <c r="I3992" s="1"/>
  <c r="V1355"/>
  <c r="R1355"/>
  <c r="AE1354"/>
  <c r="AB1354"/>
  <c r="I3991" s="1"/>
  <c r="X1354"/>
  <c r="V1354"/>
  <c r="AB1352" s="1"/>
  <c r="AB1369" s="1"/>
  <c r="AE1353"/>
  <c r="V1353"/>
  <c r="R1353"/>
  <c r="R1357" s="1"/>
  <c r="R1358" s="1"/>
  <c r="AE1352"/>
  <c r="AD1352"/>
  <c r="V1352"/>
  <c r="AE1351"/>
  <c r="AE1350"/>
  <c r="AE1349"/>
  <c r="AE1348"/>
  <c r="AE1347"/>
  <c r="Y1347"/>
  <c r="AE1346"/>
  <c r="AE1345"/>
  <c r="AE1344"/>
  <c r="AE1343"/>
  <c r="AE1342"/>
  <c r="X1342"/>
  <c r="AE1341"/>
  <c r="X1341"/>
  <c r="AE1340"/>
  <c r="X1340"/>
  <c r="AE1339"/>
  <c r="V1339"/>
  <c r="X1339" s="1"/>
  <c r="AE1338"/>
  <c r="X1338"/>
  <c r="AE1337"/>
  <c r="AE1336"/>
  <c r="AE1335"/>
  <c r="AE1334"/>
  <c r="AE1333"/>
  <c r="AE1332"/>
  <c r="R1332"/>
  <c r="AE1331"/>
  <c r="X1331"/>
  <c r="AE1330"/>
  <c r="AE1329"/>
  <c r="AE1328"/>
  <c r="AE1327"/>
  <c r="AE1326"/>
  <c r="AE1325"/>
  <c r="V1325"/>
  <c r="AE1324"/>
  <c r="X1324"/>
  <c r="V1324"/>
  <c r="AE1323"/>
  <c r="AE1322"/>
  <c r="AE1321"/>
  <c r="AE1320"/>
  <c r="R1320"/>
  <c r="P1320"/>
  <c r="AE1319"/>
  <c r="R1319"/>
  <c r="AE1318"/>
  <c r="V1318"/>
  <c r="X1318" s="1"/>
  <c r="AE1317"/>
  <c r="AE1316"/>
  <c r="AE1315"/>
  <c r="AE1314"/>
  <c r="AE1313"/>
  <c r="AE1312"/>
  <c r="AE1311"/>
  <c r="AE1310"/>
  <c r="AE1309"/>
  <c r="AE1308"/>
  <c r="AE1307"/>
  <c r="AE1306"/>
  <c r="AE1305"/>
  <c r="V1305"/>
  <c r="AE1304"/>
  <c r="X1304"/>
  <c r="AE1303"/>
  <c r="AE1302"/>
  <c r="AE1301"/>
  <c r="P1301"/>
  <c r="R1301" s="1"/>
  <c r="AE1300"/>
  <c r="R1300"/>
  <c r="AE1299"/>
  <c r="AE1298"/>
  <c r="X1298"/>
  <c r="AE1297"/>
  <c r="AE1296"/>
  <c r="AE1295"/>
  <c r="AE1294"/>
  <c r="AE1293"/>
  <c r="AE1292"/>
  <c r="AE1291"/>
  <c r="AE1290"/>
  <c r="AE1289"/>
  <c r="AE1288"/>
  <c r="AE1287"/>
  <c r="AE1286"/>
  <c r="AE1285"/>
  <c r="X1285"/>
  <c r="V1285"/>
  <c r="AE1284"/>
  <c r="AE1283"/>
  <c r="K1283"/>
  <c r="AE1282"/>
  <c r="AE1281"/>
  <c r="AE1280"/>
  <c r="AE1279"/>
  <c r="V1279"/>
  <c r="AE1278"/>
  <c r="AE1277"/>
  <c r="X1277"/>
  <c r="AE1276"/>
  <c r="AE1275"/>
  <c r="AE1274"/>
  <c r="AE1273"/>
  <c r="AE1272"/>
  <c r="AE1271"/>
  <c r="AE1270"/>
  <c r="K1270"/>
  <c r="I1270"/>
  <c r="AE1269"/>
  <c r="K1269"/>
  <c r="I1269"/>
  <c r="AE1268"/>
  <c r="AE1267"/>
  <c r="AD1267"/>
  <c r="AE1266"/>
  <c r="AC1266"/>
  <c r="AE1265"/>
  <c r="AC1265"/>
  <c r="AE1264"/>
  <c r="AC1264"/>
  <c r="R1264"/>
  <c r="P1264"/>
  <c r="AE1263"/>
  <c r="AD1263"/>
  <c r="AC1263"/>
  <c r="AB1263"/>
  <c r="AE1262"/>
  <c r="AC1262"/>
  <c r="AB1262"/>
  <c r="AD1262" s="1"/>
  <c r="AE1261"/>
  <c r="AE1260"/>
  <c r="AE1259"/>
  <c r="AE1258"/>
  <c r="R1257"/>
  <c r="AE1256"/>
  <c r="K1256"/>
  <c r="AE1255"/>
  <c r="AE1254"/>
  <c r="AE1253"/>
  <c r="AB1253"/>
  <c r="AE1252"/>
  <c r="AE1251"/>
  <c r="AE1250"/>
  <c r="AE1249"/>
  <c r="AD1249"/>
  <c r="AE1248"/>
  <c r="K1248"/>
  <c r="I1248"/>
  <c r="AE1247"/>
  <c r="AE1246"/>
  <c r="AE1245"/>
  <c r="AE1244"/>
  <c r="AE1243"/>
  <c r="AE1242"/>
  <c r="AE1241"/>
  <c r="AD1241"/>
  <c r="AE1240"/>
  <c r="AE1239"/>
  <c r="AE1238"/>
  <c r="AE1237"/>
  <c r="X1237"/>
  <c r="AE1236"/>
  <c r="AE1235"/>
  <c r="AE1234"/>
  <c r="R1234"/>
  <c r="AE1233"/>
  <c r="K1233"/>
  <c r="I1233"/>
  <c r="AE1232"/>
  <c r="K1232"/>
  <c r="I1232"/>
  <c r="AE1231"/>
  <c r="I1231"/>
  <c r="K1231" s="1"/>
  <c r="AE1230"/>
  <c r="AE1229"/>
  <c r="AE1228"/>
  <c r="AE1227"/>
  <c r="AE1226"/>
  <c r="AB1226"/>
  <c r="S1226"/>
  <c r="AE1225"/>
  <c r="AB1225"/>
  <c r="AE1224"/>
  <c r="AE1223"/>
  <c r="AE1222"/>
  <c r="P1222"/>
  <c r="R1222" s="1"/>
  <c r="T1222" s="1"/>
  <c r="AE1221"/>
  <c r="AB1221"/>
  <c r="AD1221" s="1"/>
  <c r="AE1220"/>
  <c r="AE1219"/>
  <c r="AE1218"/>
  <c r="AU1217"/>
  <c r="AE1217"/>
  <c r="AE1216"/>
  <c r="AE1215"/>
  <c r="AB1215"/>
  <c r="T1215"/>
  <c r="R1215"/>
  <c r="AE1214"/>
  <c r="AE1213"/>
  <c r="AD1213"/>
  <c r="AE1212"/>
  <c r="AC1212"/>
  <c r="AE1211"/>
  <c r="AE1210"/>
  <c r="AE1209"/>
  <c r="AE1203"/>
  <c r="AE1202"/>
  <c r="K1193"/>
  <c r="AE1191"/>
  <c r="K1191"/>
  <c r="AE1190"/>
  <c r="AE1189"/>
  <c r="AK1188"/>
  <c r="AE1188"/>
  <c r="AD1188"/>
  <c r="AE1187"/>
  <c r="AE1186"/>
  <c r="AE1185"/>
  <c r="AE1184"/>
  <c r="AE1183"/>
  <c r="AE1182"/>
  <c r="AE1181"/>
  <c r="AE1180"/>
  <c r="AE1179"/>
  <c r="AE1178"/>
  <c r="K1178"/>
  <c r="AE1177"/>
  <c r="K1177"/>
  <c r="AE1176"/>
  <c r="Q1176"/>
  <c r="K1176"/>
  <c r="AE1175"/>
  <c r="AE1174"/>
  <c r="AE1173"/>
  <c r="AE1172"/>
  <c r="AE1171"/>
  <c r="AE1170"/>
  <c r="AE1169"/>
  <c r="AE1168"/>
  <c r="AE1167"/>
  <c r="AE1166"/>
  <c r="AE1165"/>
  <c r="AE1164"/>
  <c r="AE1163"/>
  <c r="AE1162"/>
  <c r="AE1161"/>
  <c r="AE1160"/>
  <c r="I1160"/>
  <c r="K1160" s="1"/>
  <c r="AE1159"/>
  <c r="I1159"/>
  <c r="K1159" s="1"/>
  <c r="AE1158"/>
  <c r="AE1157"/>
  <c r="AE1156"/>
  <c r="AE1155"/>
  <c r="AE1154"/>
  <c r="AE1153"/>
  <c r="X1153"/>
  <c r="AE1152"/>
  <c r="AE1151"/>
  <c r="P1151"/>
  <c r="AE1150"/>
  <c r="P1150"/>
  <c r="AE1149"/>
  <c r="P1149"/>
  <c r="AE1147"/>
  <c r="AE1146"/>
  <c r="I1146"/>
  <c r="K1146" s="1"/>
  <c r="AE1145"/>
  <c r="I1145"/>
  <c r="K1145" s="1"/>
  <c r="AE1144"/>
  <c r="AE1143"/>
  <c r="AE1142"/>
  <c r="Q1142"/>
  <c r="AE1141"/>
  <c r="AE1140"/>
  <c r="AE1139"/>
  <c r="AE1138"/>
  <c r="AE1137"/>
  <c r="AE1136"/>
  <c r="AE1135"/>
  <c r="K1135"/>
  <c r="AE1134"/>
  <c r="K1134"/>
  <c r="AE1133"/>
  <c r="K1133"/>
  <c r="I1133"/>
  <c r="AE1132"/>
  <c r="I1132"/>
  <c r="K1132" s="1"/>
  <c r="AE1131"/>
  <c r="AE1130"/>
  <c r="K1130"/>
  <c r="AE1129"/>
  <c r="I1129"/>
  <c r="K1129" s="1"/>
  <c r="AE1128"/>
  <c r="AE1127"/>
  <c r="AE1126"/>
  <c r="AE1125"/>
  <c r="AE1124"/>
  <c r="AE1123"/>
  <c r="AE1122"/>
  <c r="AE1121"/>
  <c r="AE1120"/>
  <c r="AE1119"/>
  <c r="AE1118"/>
  <c r="R1118"/>
  <c r="AE1116"/>
  <c r="AE1115"/>
  <c r="AE1114"/>
  <c r="AE1113"/>
  <c r="AE1112"/>
  <c r="AE1111"/>
  <c r="AE1110"/>
  <c r="AE1109"/>
  <c r="AE1108"/>
  <c r="AE1107"/>
  <c r="I1107"/>
  <c r="K1107" s="1"/>
  <c r="AE1106"/>
  <c r="K1106"/>
  <c r="I1106"/>
  <c r="AE1105"/>
  <c r="K1105"/>
  <c r="I1105"/>
  <c r="AE1104"/>
  <c r="AE1103"/>
  <c r="I1103"/>
  <c r="K1103" s="1"/>
  <c r="H1103"/>
  <c r="AE1101"/>
  <c r="AE1100"/>
  <c r="AE1099"/>
  <c r="AE1098"/>
  <c r="AE1097"/>
  <c r="R1097"/>
  <c r="P1097"/>
  <c r="P1118" s="1"/>
  <c r="AE1096"/>
  <c r="AE1095"/>
  <c r="AE1094"/>
  <c r="P1094"/>
  <c r="AE1093"/>
  <c r="AE1092"/>
  <c r="R1092"/>
  <c r="I1092"/>
  <c r="K1092" s="1"/>
  <c r="AE1091"/>
  <c r="AE1090"/>
  <c r="K1090"/>
  <c r="I1090"/>
  <c r="AE1089"/>
  <c r="I1089"/>
  <c r="K1089" s="1"/>
  <c r="AE1088"/>
  <c r="AE1087"/>
  <c r="K1087"/>
  <c r="I1087"/>
  <c r="H1087"/>
  <c r="AE1086"/>
  <c r="AE1085"/>
  <c r="AE1084"/>
  <c r="AE1083"/>
  <c r="AE1082"/>
  <c r="AE1081"/>
  <c r="AE1080"/>
  <c r="AE1079"/>
  <c r="AE1078"/>
  <c r="AE1077"/>
  <c r="K1077"/>
  <c r="I1077"/>
  <c r="I1076"/>
  <c r="I1075"/>
  <c r="K1075" s="1"/>
  <c r="I1074"/>
  <c r="K1074" s="1"/>
  <c r="R1072"/>
  <c r="P1072"/>
  <c r="K1072"/>
  <c r="AE1071"/>
  <c r="AG1071" s="1"/>
  <c r="P1070"/>
  <c r="R1070" s="1"/>
  <c r="P1069"/>
  <c r="R1069" s="1"/>
  <c r="P1068"/>
  <c r="R1068" s="1"/>
  <c r="P1066"/>
  <c r="R1066" s="1"/>
  <c r="K1062"/>
  <c r="I1062"/>
  <c r="P1073" s="1"/>
  <c r="R1073" s="1"/>
  <c r="I1061"/>
  <c r="K1060"/>
  <c r="I1060"/>
  <c r="P1071" s="1"/>
  <c r="R1071" s="1"/>
  <c r="K1059"/>
  <c r="I1059"/>
  <c r="K1058"/>
  <c r="I1058"/>
  <c r="AE1067" s="1"/>
  <c r="AG1067" s="1"/>
  <c r="K1057"/>
  <c r="I1057"/>
  <c r="AE1066" s="1"/>
  <c r="AG1066" s="1"/>
  <c r="I1055"/>
  <c r="R1053"/>
  <c r="P1053"/>
  <c r="P1051"/>
  <c r="R1051" s="1"/>
  <c r="R1050"/>
  <c r="P1050"/>
  <c r="AE1041"/>
  <c r="AE1040"/>
  <c r="AE1039"/>
  <c r="AE1038"/>
  <c r="AE1037"/>
  <c r="AE1036"/>
  <c r="AE1034"/>
  <c r="AE1033"/>
  <c r="AE1032"/>
  <c r="AE1031"/>
  <c r="AE1030"/>
  <c r="AE1029"/>
  <c r="AE1028"/>
  <c r="AE1027"/>
  <c r="AE1026"/>
  <c r="AE1025"/>
  <c r="I1025"/>
  <c r="AE1024"/>
  <c r="I1024"/>
  <c r="P1098" s="1"/>
  <c r="P1119" s="1"/>
  <c r="R1119" s="1"/>
  <c r="AE1023"/>
  <c r="K1023"/>
  <c r="I1023"/>
  <c r="AE1022"/>
  <c r="I1022"/>
  <c r="AE1021"/>
  <c r="I1021"/>
  <c r="K1021" s="1"/>
  <c r="AE1020"/>
  <c r="I1020"/>
  <c r="K1020" s="1"/>
  <c r="AE1019"/>
  <c r="AE1018"/>
  <c r="AE1017"/>
  <c r="AE1016"/>
  <c r="AE1015"/>
  <c r="AE1014"/>
  <c r="AE1013"/>
  <c r="AE1012"/>
  <c r="AE1011"/>
  <c r="AE1010"/>
  <c r="AE1009"/>
  <c r="AE1008"/>
  <c r="AE1007"/>
  <c r="AE1006"/>
  <c r="AE1004"/>
  <c r="AE1003"/>
  <c r="AE1002"/>
  <c r="AE1001"/>
  <c r="AE1000"/>
  <c r="AE999"/>
  <c r="AE998"/>
  <c r="AE997"/>
  <c r="AE996"/>
  <c r="R996"/>
  <c r="P996"/>
  <c r="I996"/>
  <c r="K996" s="1"/>
  <c r="AE995"/>
  <c r="I995"/>
  <c r="AE994"/>
  <c r="P994"/>
  <c r="R994" s="1"/>
  <c r="K994"/>
  <c r="I994"/>
  <c r="I2840" s="1"/>
  <c r="AE993"/>
  <c r="R993"/>
  <c r="P993"/>
  <c r="K993"/>
  <c r="I993"/>
  <c r="I2839" s="1"/>
  <c r="AE992"/>
  <c r="R992"/>
  <c r="P992"/>
  <c r="I992"/>
  <c r="K992" s="1"/>
  <c r="AE991"/>
  <c r="R991"/>
  <c r="P991"/>
  <c r="I991"/>
  <c r="I2837" s="1"/>
  <c r="AE990"/>
  <c r="K990"/>
  <c r="I990"/>
  <c r="I2836" s="1"/>
  <c r="AE989"/>
  <c r="R989"/>
  <c r="P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K960" s="1"/>
  <c r="AE959"/>
  <c r="K959"/>
  <c r="I959"/>
  <c r="AE958"/>
  <c r="I958"/>
  <c r="AE957"/>
  <c r="I957"/>
  <c r="P950" s="1"/>
  <c r="R950" s="1"/>
  <c r="AE956"/>
  <c r="I956"/>
  <c r="K956" s="1"/>
  <c r="AE955"/>
  <c r="I955"/>
  <c r="AE954"/>
  <c r="AE953"/>
  <c r="R953"/>
  <c r="P953"/>
  <c r="P1055" s="1"/>
  <c r="R1055" s="1"/>
  <c r="AE952"/>
  <c r="P952"/>
  <c r="R952" s="1"/>
  <c r="AE951"/>
  <c r="AE950"/>
  <c r="AE949"/>
  <c r="P949"/>
  <c r="R949" s="1"/>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R904"/>
  <c r="AE903"/>
  <c r="R903"/>
  <c r="AE902"/>
  <c r="R902"/>
  <c r="R908" s="1"/>
  <c r="AE901"/>
  <c r="V901"/>
  <c r="X901" s="1"/>
  <c r="K901"/>
  <c r="H901"/>
  <c r="AE900"/>
  <c r="AE899"/>
  <c r="AE898"/>
  <c r="AE897"/>
  <c r="H897"/>
  <c r="AE896"/>
  <c r="I896"/>
  <c r="K896" s="1"/>
  <c r="AE895"/>
  <c r="AE894"/>
  <c r="AE893"/>
  <c r="AE892"/>
  <c r="AE891"/>
  <c r="AE890"/>
  <c r="AE889"/>
  <c r="AE888"/>
  <c r="AE887"/>
  <c r="AE886"/>
  <c r="AE885"/>
  <c r="V885"/>
  <c r="X885" s="1"/>
  <c r="K885"/>
  <c r="AE884"/>
  <c r="AE883"/>
  <c r="AE882"/>
  <c r="I882"/>
  <c r="AE881"/>
  <c r="I881"/>
  <c r="K881" s="1"/>
  <c r="AE880"/>
  <c r="V880"/>
  <c r="R880"/>
  <c r="I880"/>
  <c r="K880" s="1"/>
  <c r="AE879"/>
  <c r="R879"/>
  <c r="I879"/>
  <c r="K879" s="1"/>
  <c r="AE878"/>
  <c r="R878"/>
  <c r="AE877"/>
  <c r="R877"/>
  <c r="AE876"/>
  <c r="R876"/>
  <c r="AE875"/>
  <c r="R875"/>
  <c r="AE874"/>
  <c r="R874"/>
  <c r="P874"/>
  <c r="AE873"/>
  <c r="AE872"/>
  <c r="AE871"/>
  <c r="AE870"/>
  <c r="AE869"/>
  <c r="AE868"/>
  <c r="AE867"/>
  <c r="V867"/>
  <c r="X867" s="1"/>
  <c r="K867"/>
  <c r="AE866"/>
  <c r="AE865"/>
  <c r="AE864"/>
  <c r="V864"/>
  <c r="X864" s="1"/>
  <c r="K864"/>
  <c r="AE863"/>
  <c r="X863"/>
  <c r="V863"/>
  <c r="K863"/>
  <c r="AE862"/>
  <c r="X862"/>
  <c r="V862"/>
  <c r="P862"/>
  <c r="K862"/>
  <c r="AE861"/>
  <c r="V861"/>
  <c r="X861" s="1"/>
  <c r="K861"/>
  <c r="AE860"/>
  <c r="P860"/>
  <c r="R860" s="1"/>
  <c r="AE859"/>
  <c r="AE858"/>
  <c r="AE857"/>
  <c r="R857"/>
  <c r="P857"/>
  <c r="AE856"/>
  <c r="P856"/>
  <c r="R856" s="1"/>
  <c r="AE855"/>
  <c r="P855"/>
  <c r="R855" s="1"/>
  <c r="AE854"/>
  <c r="P854"/>
  <c r="R854" s="1"/>
  <c r="AE853"/>
  <c r="AE852"/>
  <c r="AE851"/>
  <c r="AE850"/>
  <c r="AE849"/>
  <c r="AE848"/>
  <c r="AE847"/>
  <c r="AE846"/>
  <c r="AE845"/>
  <c r="AE844"/>
  <c r="R844"/>
  <c r="AE843"/>
  <c r="R843"/>
  <c r="AE842"/>
  <c r="R842"/>
  <c r="AE841"/>
  <c r="R841"/>
  <c r="AE840"/>
  <c r="R840"/>
  <c r="AE839"/>
  <c r="R839"/>
  <c r="AE838"/>
  <c r="P838"/>
  <c r="R838" s="1"/>
  <c r="AE837"/>
  <c r="AE827"/>
  <c r="AE826"/>
  <c r="P826"/>
  <c r="R826" s="1"/>
  <c r="R847" s="1"/>
  <c r="AE825"/>
  <c r="V825"/>
  <c r="AE824"/>
  <c r="V824"/>
  <c r="AE823"/>
  <c r="V823"/>
  <c r="AE822"/>
  <c r="AE821"/>
  <c r="AE820"/>
  <c r="AE819"/>
  <c r="W819"/>
  <c r="AE818"/>
  <c r="AE817"/>
  <c r="R817"/>
  <c r="AE816"/>
  <c r="R816"/>
  <c r="AE815"/>
  <c r="R815"/>
  <c r="AE814"/>
  <c r="R814"/>
  <c r="AE813"/>
  <c r="R813"/>
  <c r="AE812"/>
  <c r="R812"/>
  <c r="AE811"/>
  <c r="R811"/>
  <c r="P811"/>
  <c r="AE810"/>
  <c r="AE809"/>
  <c r="AE808"/>
  <c r="R808"/>
  <c r="R820" s="1"/>
  <c r="P808"/>
  <c r="AE807"/>
  <c r="AE806"/>
  <c r="AE805"/>
  <c r="AE804"/>
  <c r="W804"/>
  <c r="AE803"/>
  <c r="AE802"/>
  <c r="AE801"/>
  <c r="AE800"/>
  <c r="AE799"/>
  <c r="AE798"/>
  <c r="AE797"/>
  <c r="AE796"/>
  <c r="AE795"/>
  <c r="AE794"/>
  <c r="AE793"/>
  <c r="AE792"/>
  <c r="R792"/>
  <c r="P792"/>
  <c r="AE791"/>
  <c r="AE790"/>
  <c r="AE789"/>
  <c r="K789"/>
  <c r="AE788"/>
  <c r="K788"/>
  <c r="AE787"/>
  <c r="I787"/>
  <c r="K787" s="1"/>
  <c r="AE786"/>
  <c r="AE785"/>
  <c r="AE784"/>
  <c r="A784"/>
  <c r="AE783"/>
  <c r="R783"/>
  <c r="K783"/>
  <c r="I783"/>
  <c r="AE782"/>
  <c r="AE781"/>
  <c r="AE780"/>
  <c r="K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AE758"/>
  <c r="AE757"/>
  <c r="AE756"/>
  <c r="R756"/>
  <c r="P756"/>
  <c r="AE755"/>
  <c r="R755"/>
  <c r="P755"/>
  <c r="AE754"/>
  <c r="R754"/>
  <c r="P754"/>
  <c r="AE753"/>
  <c r="R753"/>
  <c r="P753"/>
  <c r="AE752"/>
  <c r="AE751"/>
  <c r="P751"/>
  <c r="R751" s="1"/>
  <c r="AE750"/>
  <c r="AE749"/>
  <c r="AE748"/>
  <c r="AE747"/>
  <c r="AE746"/>
  <c r="AE745"/>
  <c r="K745"/>
  <c r="I745"/>
  <c r="AE744"/>
  <c r="AE743"/>
  <c r="I743"/>
  <c r="AE742"/>
  <c r="AE741"/>
  <c r="AE740"/>
  <c r="P740"/>
  <c r="R740" s="1"/>
  <c r="AE739"/>
  <c r="P739"/>
  <c r="R739" s="1"/>
  <c r="AE738"/>
  <c r="P738"/>
  <c r="R738" s="1"/>
  <c r="AE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K723" s="1"/>
  <c r="I725" s="1"/>
  <c r="K725" s="1"/>
  <c r="AE716"/>
  <c r="V716"/>
  <c r="AE715"/>
  <c r="AE714"/>
  <c r="V714"/>
  <c r="AE713"/>
  <c r="V713"/>
  <c r="AE712"/>
  <c r="AE711"/>
  <c r="AE710"/>
  <c r="W710"/>
  <c r="AE709"/>
  <c r="V709"/>
  <c r="S709"/>
  <c r="P709"/>
  <c r="R709" s="1"/>
  <c r="R713" s="1"/>
  <c r="AE708"/>
  <c r="AE707"/>
  <c r="AE706"/>
  <c r="AE705"/>
  <c r="AE704"/>
  <c r="AE703"/>
  <c r="AE702"/>
  <c r="AE701"/>
  <c r="K701"/>
  <c r="AE700"/>
  <c r="I700"/>
  <c r="K700" s="1"/>
  <c r="AE699"/>
  <c r="I699"/>
  <c r="K699" s="1"/>
  <c r="AE698"/>
  <c r="P698"/>
  <c r="R698" s="1"/>
  <c r="R702" s="1"/>
  <c r="AE697"/>
  <c r="AE696"/>
  <c r="AE695"/>
  <c r="AE694"/>
  <c r="AE693"/>
  <c r="AE692"/>
  <c r="R692"/>
  <c r="AF691"/>
  <c r="AE691"/>
  <c r="AE690"/>
  <c r="AF689"/>
  <c r="AE689"/>
  <c r="AE688"/>
  <c r="P688"/>
  <c r="R688" s="1"/>
  <c r="AE687"/>
  <c r="AE686"/>
  <c r="AE685"/>
  <c r="AC685"/>
  <c r="AE684"/>
  <c r="AC684"/>
  <c r="AE683"/>
  <c r="AA683"/>
  <c r="AE682"/>
  <c r="R682"/>
  <c r="K682"/>
  <c r="AE681"/>
  <c r="AE828" s="1"/>
  <c r="I681"/>
  <c r="K681" s="1"/>
  <c r="AE680"/>
  <c r="K680"/>
  <c r="K684" s="1"/>
  <c r="I686" s="1"/>
  <c r="I680"/>
  <c r="AE679"/>
  <c r="X679"/>
  <c r="V679"/>
  <c r="AE678"/>
  <c r="P678"/>
  <c r="R678" s="1"/>
  <c r="AE677"/>
  <c r="AE676"/>
  <c r="AE675"/>
  <c r="AE674"/>
  <c r="AE673"/>
  <c r="P660"/>
  <c r="R660" s="1"/>
  <c r="P659"/>
  <c r="R659" s="1"/>
  <c r="R658"/>
  <c r="P658"/>
  <c r="AD648"/>
  <c r="AF648" s="1"/>
  <c r="X648"/>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E608"/>
  <c r="E609" s="1"/>
  <c r="AE607"/>
  <c r="AE606"/>
  <c r="AE605"/>
  <c r="AE604"/>
  <c r="K604"/>
  <c r="I604"/>
  <c r="AE603"/>
  <c r="AE602"/>
  <c r="E602"/>
  <c r="AE601"/>
  <c r="AE600"/>
  <c r="AE599"/>
  <c r="AE598"/>
  <c r="AE597"/>
  <c r="AE596"/>
  <c r="AE595"/>
  <c r="AE594"/>
  <c r="AE593"/>
  <c r="AE592"/>
  <c r="AE591"/>
  <c r="AE590"/>
  <c r="AE589"/>
  <c r="AE588"/>
  <c r="AE587"/>
  <c r="AE586"/>
  <c r="AE585"/>
  <c r="V585"/>
  <c r="P585"/>
  <c r="R585" s="1"/>
  <c r="AE584"/>
  <c r="R584"/>
  <c r="AE583"/>
  <c r="R583"/>
  <c r="AE582"/>
  <c r="V582"/>
  <c r="X582" s="1"/>
  <c r="I582"/>
  <c r="K582" s="1"/>
  <c r="AE581"/>
  <c r="AE580"/>
  <c r="AE579"/>
  <c r="AE578"/>
  <c r="P578"/>
  <c r="R578" s="1"/>
  <c r="AE577"/>
  <c r="AE576"/>
  <c r="AE575"/>
  <c r="AE574"/>
  <c r="AE573"/>
  <c r="AE572"/>
  <c r="AC572"/>
  <c r="AB572"/>
  <c r="AD572" s="1"/>
  <c r="AC566"/>
  <c r="AE564"/>
  <c r="AE563"/>
  <c r="AE562"/>
  <c r="M562"/>
  <c r="AE561"/>
  <c r="M561"/>
  <c r="AE560"/>
  <c r="M560"/>
  <c r="AE559"/>
  <c r="M559"/>
  <c r="M563" s="1"/>
  <c r="AE558"/>
  <c r="AE557"/>
  <c r="AE556"/>
  <c r="AE555"/>
  <c r="AB555"/>
  <c r="V555"/>
  <c r="AE554"/>
  <c r="AE553"/>
  <c r="R553"/>
  <c r="E553"/>
  <c r="AE552"/>
  <c r="AE551"/>
  <c r="AE550"/>
  <c r="AE549"/>
  <c r="W549"/>
  <c r="AC549" s="1"/>
  <c r="AE548"/>
  <c r="AC548"/>
  <c r="W548"/>
  <c r="R548"/>
  <c r="P548"/>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K492"/>
  <c r="I492"/>
  <c r="AE491"/>
  <c r="AC491"/>
  <c r="AE490"/>
  <c r="AE489"/>
  <c r="AE488"/>
  <c r="AE487"/>
  <c r="AE486"/>
  <c r="AE485"/>
  <c r="AE484"/>
  <c r="P484"/>
  <c r="R484" s="1"/>
  <c r="AE483"/>
  <c r="R483"/>
  <c r="P483"/>
  <c r="AE482"/>
  <c r="P482"/>
  <c r="R482" s="1"/>
  <c r="AE481"/>
  <c r="AE480"/>
  <c r="AB480"/>
  <c r="AE479"/>
  <c r="AE471"/>
  <c r="AE470"/>
  <c r="R470"/>
  <c r="P470"/>
  <c r="AE469"/>
  <c r="AE468"/>
  <c r="AE467"/>
  <c r="AE466"/>
  <c r="AE465"/>
  <c r="AE464"/>
  <c r="P459"/>
  <c r="R459" s="1"/>
  <c r="P458"/>
  <c r="R458" s="1"/>
  <c r="R457"/>
  <c r="P457"/>
  <c r="AJ452"/>
  <c r="P452"/>
  <c r="R452" s="1"/>
  <c r="P441"/>
  <c r="R441" s="1"/>
  <c r="R440"/>
  <c r="P440"/>
  <c r="P439"/>
  <c r="R439" s="1"/>
  <c r="P433"/>
  <c r="R433" s="1"/>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AD278"/>
  <c r="AC278"/>
  <c r="AD277"/>
  <c r="AC277"/>
  <c r="AD276"/>
  <c r="AC276"/>
  <c r="AD275"/>
  <c r="AC275"/>
  <c r="AD274"/>
  <c r="AD280" s="1"/>
  <c r="AC274"/>
  <c r="AC280" s="1"/>
  <c r="K257"/>
  <c r="I256"/>
  <c r="K256" s="1"/>
  <c r="K245"/>
  <c r="I241"/>
  <c r="K241" s="1"/>
  <c r="R219"/>
  <c r="P219"/>
  <c r="R218"/>
  <c r="P218"/>
  <c r="AU217"/>
  <c r="AV217" s="1"/>
  <c r="R217"/>
  <c r="P217"/>
  <c r="AV216"/>
  <c r="AU216"/>
  <c r="R216"/>
  <c r="P216"/>
  <c r="AV215"/>
  <c r="AU215"/>
  <c r="R215"/>
  <c r="P215"/>
  <c r="AV214"/>
  <c r="AU214"/>
  <c r="R214"/>
  <c r="P214"/>
  <c r="AU213"/>
  <c r="AV213" s="1"/>
  <c r="R213"/>
  <c r="AV212"/>
  <c r="AU212"/>
  <c r="R212"/>
  <c r="P212"/>
  <c r="AV211"/>
  <c r="AU211"/>
  <c r="AV210"/>
  <c r="AU210"/>
  <c r="AV209"/>
  <c r="AU209"/>
  <c r="AV208"/>
  <c r="AU208"/>
  <c r="AU207"/>
  <c r="AV207" s="1"/>
  <c r="AV206"/>
  <c r="AU206"/>
  <c r="AV205"/>
  <c r="AU205"/>
  <c r="AV204"/>
  <c r="AU204"/>
  <c r="AU203"/>
  <c r="AV203" s="1"/>
  <c r="AV202"/>
  <c r="AU202"/>
  <c r="AU201"/>
  <c r="AV201" s="1"/>
  <c r="AU200"/>
  <c r="AV200" s="1"/>
  <c r="AV199"/>
  <c r="AU199"/>
  <c r="AU198"/>
  <c r="AV198" s="1"/>
  <c r="AU197"/>
  <c r="AV197" s="1"/>
  <c r="AV196"/>
  <c r="AU196"/>
  <c r="AV195"/>
  <c r="AU195"/>
  <c r="AU194"/>
  <c r="AV194" s="1"/>
  <c r="AV193"/>
  <c r="AU193"/>
  <c r="AU192"/>
  <c r="AV192" s="1"/>
  <c r="AU186"/>
  <c r="AV186" s="1"/>
  <c r="I186"/>
  <c r="K186" s="1"/>
  <c r="I185"/>
  <c r="K185" s="1"/>
  <c r="AV184"/>
  <c r="AU184"/>
  <c r="AV182"/>
  <c r="AU182"/>
  <c r="AU181"/>
  <c r="AV181" s="1"/>
  <c r="AV178"/>
  <c r="AU178"/>
  <c r="AU177"/>
  <c r="AV177" s="1"/>
  <c r="AV176"/>
  <c r="AU176"/>
  <c r="I176"/>
  <c r="K176" s="1"/>
  <c r="AV175"/>
  <c r="AU175"/>
  <c r="AV174"/>
  <c r="AU174"/>
  <c r="AU172"/>
  <c r="AV172" s="1"/>
  <c r="AV170"/>
  <c r="AU170"/>
  <c r="AU169"/>
  <c r="AV169" s="1"/>
  <c r="AN164"/>
  <c r="AP163"/>
  <c r="AN163"/>
  <c r="AV162"/>
  <c r="AU162"/>
  <c r="AU161"/>
  <c r="AV161" s="1"/>
  <c r="AP161"/>
  <c r="AU160"/>
  <c r="AV160" s="1"/>
  <c r="K157"/>
  <c r="I157"/>
  <c r="I155"/>
  <c r="K155" s="1"/>
  <c r="AV154"/>
  <c r="AU154"/>
  <c r="K153"/>
  <c r="I153"/>
  <c r="AU152"/>
  <c r="AV152" s="1"/>
  <c r="AV150"/>
  <c r="AU150"/>
  <c r="AU149"/>
  <c r="AV149" s="1"/>
  <c r="AV146"/>
  <c r="AU146"/>
  <c r="AU145"/>
  <c r="AV145" s="1"/>
  <c r="AV144"/>
  <c r="AU144"/>
  <c r="AV143"/>
  <c r="AU143"/>
  <c r="AV141"/>
  <c r="AU141"/>
  <c r="I141"/>
  <c r="K141" s="1"/>
  <c r="AV139"/>
  <c r="AU139"/>
  <c r="AV138"/>
  <c r="AU138"/>
  <c r="K136"/>
  <c r="M133"/>
  <c r="AP132"/>
  <c r="AN132"/>
  <c r="AP130"/>
  <c r="AU118"/>
  <c r="AV118" s="1"/>
  <c r="AU116"/>
  <c r="AV116" s="1"/>
  <c r="M116"/>
  <c r="AU114"/>
  <c r="AV114" s="1"/>
  <c r="AU113"/>
  <c r="AV113" s="1"/>
  <c r="X111"/>
  <c r="AP107"/>
  <c r="M101"/>
  <c r="AN88"/>
  <c r="AP87"/>
  <c r="AN87"/>
  <c r="AP85"/>
  <c r="AP105" s="1"/>
  <c r="I83"/>
  <c r="I96" s="1"/>
  <c r="AP63"/>
  <c r="C61"/>
  <c r="K133" s="1"/>
  <c r="K134" s="1"/>
  <c r="D13" i="37" s="1"/>
  <c r="AE60" i="39"/>
  <c r="AE59"/>
  <c r="AE58"/>
  <c r="AE57"/>
  <c r="AK56"/>
  <c r="AJ56"/>
  <c r="AI56"/>
  <c r="AH56"/>
  <c r="AG56"/>
  <c r="AE56"/>
  <c r="I3523" s="1"/>
  <c r="AK55"/>
  <c r="AJ55"/>
  <c r="AI55"/>
  <c r="AH55"/>
  <c r="AG55"/>
  <c r="AE55"/>
  <c r="I3539" s="1"/>
  <c r="AK54"/>
  <c r="AJ54"/>
  <c r="AI54"/>
  <c r="AH54"/>
  <c r="AG54"/>
  <c r="AE54"/>
  <c r="I3256" s="1"/>
  <c r="K3256" s="1"/>
  <c r="AK53"/>
  <c r="AJ53"/>
  <c r="AI53"/>
  <c r="AH53"/>
  <c r="AG53"/>
  <c r="AE53"/>
  <c r="I3243" s="1"/>
  <c r="K3243" s="1"/>
  <c r="AK52"/>
  <c r="AJ52"/>
  <c r="AI52"/>
  <c r="AH52"/>
  <c r="AG52"/>
  <c r="C461" s="1"/>
  <c r="AE52"/>
  <c r="P52"/>
  <c r="R52" s="1"/>
  <c r="AK51"/>
  <c r="AJ51"/>
  <c r="AI51"/>
  <c r="AH51"/>
  <c r="AG51"/>
  <c r="AE51"/>
  <c r="C460" s="1"/>
  <c r="AK50"/>
  <c r="AJ50"/>
  <c r="AI50"/>
  <c r="AH50"/>
  <c r="AG50"/>
  <c r="AE50"/>
  <c r="I3198" s="1"/>
  <c r="K3198" s="1"/>
  <c r="AK49"/>
  <c r="AJ49"/>
  <c r="AI49"/>
  <c r="AH49"/>
  <c r="AG49"/>
  <c r="AE49"/>
  <c r="I3212" s="1"/>
  <c r="AE48"/>
  <c r="AK47"/>
  <c r="AJ47"/>
  <c r="AI47"/>
  <c r="AH47"/>
  <c r="AG47"/>
  <c r="AE47"/>
  <c r="Y47"/>
  <c r="X47"/>
  <c r="AI46"/>
  <c r="AH46"/>
  <c r="AF46"/>
  <c r="AJ46" s="1"/>
  <c r="AE46"/>
  <c r="C24" s="1"/>
  <c r="X46"/>
  <c r="AK45"/>
  <c r="AI45"/>
  <c r="AH45"/>
  <c r="AG45"/>
  <c r="AE45"/>
  <c r="X45"/>
  <c r="AK44"/>
  <c r="AJ44"/>
  <c r="AI44"/>
  <c r="AH44"/>
  <c r="AG44"/>
  <c r="AE44"/>
  <c r="C22" s="1"/>
  <c r="R44"/>
  <c r="R45" s="1"/>
  <c r="AK43"/>
  <c r="AF43"/>
  <c r="AG43" s="1"/>
  <c r="X43"/>
  <c r="AK42"/>
  <c r="AJ42"/>
  <c r="AI42"/>
  <c r="AH42"/>
  <c r="AG42"/>
  <c r="AE42"/>
  <c r="C20" s="1"/>
  <c r="AF412" s="1"/>
  <c r="AF413" s="1"/>
  <c r="AF414" s="1"/>
  <c r="AF415" s="1"/>
  <c r="AF416" s="1"/>
  <c r="AF417" s="1"/>
  <c r="AF418" s="1"/>
  <c r="AF419" s="1"/>
  <c r="AF420" s="1"/>
  <c r="AF421" s="1"/>
  <c r="AF422" s="1"/>
  <c r="AK41"/>
  <c r="AJ41"/>
  <c r="AI41"/>
  <c r="AH41"/>
  <c r="AG41"/>
  <c r="AE41"/>
  <c r="X41"/>
  <c r="X42" s="1"/>
  <c r="AE40"/>
  <c r="AK39"/>
  <c r="AJ39"/>
  <c r="AI39"/>
  <c r="AH39"/>
  <c r="AG39"/>
  <c r="AE39"/>
  <c r="V81" s="1"/>
  <c r="X39"/>
  <c r="AK38"/>
  <c r="AJ38"/>
  <c r="AI38"/>
  <c r="AH38"/>
  <c r="AG38"/>
  <c r="AE38"/>
  <c r="X38"/>
  <c r="AK37"/>
  <c r="AJ37"/>
  <c r="AI37"/>
  <c r="AH37"/>
  <c r="AG37"/>
  <c r="AE37"/>
  <c r="AK36"/>
  <c r="AJ36"/>
  <c r="AI36"/>
  <c r="AH36"/>
  <c r="AG36"/>
  <c r="AE36"/>
  <c r="D61" s="1"/>
  <c r="I95" s="1"/>
  <c r="K95" s="1"/>
  <c r="AK35"/>
  <c r="AJ35"/>
  <c r="AI35"/>
  <c r="AH35"/>
  <c r="AG35"/>
  <c r="AE35"/>
  <c r="AK34"/>
  <c r="AJ34"/>
  <c r="AI34"/>
  <c r="AH34"/>
  <c r="AG34"/>
  <c r="AE34"/>
  <c r="Y34"/>
  <c r="X34"/>
  <c r="D34"/>
  <c r="AK33"/>
  <c r="AJ33"/>
  <c r="AI33"/>
  <c r="AH33"/>
  <c r="AG33"/>
  <c r="AE33"/>
  <c r="I2664" s="1"/>
  <c r="Y33"/>
  <c r="D33"/>
  <c r="I2249" s="1"/>
  <c r="K2249" s="1"/>
  <c r="AK32"/>
  <c r="AJ32"/>
  <c r="AI32"/>
  <c r="AH32"/>
  <c r="AG32"/>
  <c r="AE32"/>
  <c r="V3116" s="1"/>
  <c r="X32"/>
  <c r="X33" s="1"/>
  <c r="D32"/>
  <c r="I1104" s="1"/>
  <c r="K1104" s="1"/>
  <c r="AK31"/>
  <c r="AJ31"/>
  <c r="AI31"/>
  <c r="AH31"/>
  <c r="AG31"/>
  <c r="AE31"/>
  <c r="X31"/>
  <c r="D31"/>
  <c r="I1073" s="1"/>
  <c r="K1073" s="1"/>
  <c r="C31"/>
  <c r="AK30"/>
  <c r="AJ30"/>
  <c r="AI30"/>
  <c r="AH30"/>
  <c r="AG30"/>
  <c r="AE30"/>
  <c r="AC30"/>
  <c r="C137" s="1"/>
  <c r="I1218" s="1"/>
  <c r="K1218" s="1"/>
  <c r="D30"/>
  <c r="P213" s="1"/>
  <c r="C30"/>
  <c r="I927" s="1"/>
  <c r="K927" s="1"/>
  <c r="AK29"/>
  <c r="AJ29"/>
  <c r="AI29"/>
  <c r="AH29"/>
  <c r="AG29"/>
  <c r="AE29"/>
  <c r="Z29"/>
  <c r="AC29" s="1"/>
  <c r="C91" s="1"/>
  <c r="X29"/>
  <c r="E29"/>
  <c r="C29"/>
  <c r="I1234" s="1"/>
  <c r="K1234" s="1"/>
  <c r="AK28"/>
  <c r="AJ28"/>
  <c r="AI28"/>
  <c r="AH28"/>
  <c r="AG28"/>
  <c r="AE28"/>
  <c r="AK27"/>
  <c r="AJ27"/>
  <c r="AI27"/>
  <c r="AH27"/>
  <c r="AG27"/>
  <c r="AE27"/>
  <c r="V83" s="1"/>
  <c r="V111" s="1"/>
  <c r="E27"/>
  <c r="C27"/>
  <c r="AK26"/>
  <c r="AJ26"/>
  <c r="AI26"/>
  <c r="AH26"/>
  <c r="AG26"/>
  <c r="AE26"/>
  <c r="E26"/>
  <c r="C26"/>
  <c r="AK25"/>
  <c r="AJ25"/>
  <c r="AI25"/>
  <c r="AH25"/>
  <c r="AG25"/>
  <c r="AE25"/>
  <c r="X25"/>
  <c r="X26" s="1"/>
  <c r="X27" s="1"/>
  <c r="X28" s="1"/>
  <c r="P25"/>
  <c r="R25" s="1"/>
  <c r="C25"/>
  <c r="AK24"/>
  <c r="AJ24"/>
  <c r="AI24"/>
  <c r="AH24"/>
  <c r="AG24"/>
  <c r="AE24"/>
  <c r="C18" s="1"/>
  <c r="X24"/>
  <c r="AK23"/>
  <c r="AJ23"/>
  <c r="AI23"/>
  <c r="AH23"/>
  <c r="AG23"/>
  <c r="AE23"/>
  <c r="X23"/>
  <c r="C23"/>
  <c r="AK22"/>
  <c r="AJ22"/>
  <c r="AI22"/>
  <c r="AH22"/>
  <c r="AG22"/>
  <c r="AE22"/>
  <c r="C41" s="1"/>
  <c r="AC22"/>
  <c r="C84" s="1"/>
  <c r="AK21"/>
  <c r="AJ21"/>
  <c r="AI21"/>
  <c r="AH21"/>
  <c r="AG21"/>
  <c r="AE21"/>
  <c r="X21"/>
  <c r="AK20"/>
  <c r="AJ20"/>
  <c r="AI20"/>
  <c r="AH20"/>
  <c r="AG20"/>
  <c r="AE20"/>
  <c r="AK19"/>
  <c r="AJ19"/>
  <c r="AI19"/>
  <c r="AH19"/>
  <c r="AG19"/>
  <c r="AE19"/>
  <c r="X19"/>
  <c r="X20" s="1"/>
  <c r="C19"/>
  <c r="AK18"/>
  <c r="AJ18"/>
  <c r="AI18"/>
  <c r="AH18"/>
  <c r="AG18"/>
  <c r="AE18"/>
  <c r="AC18"/>
  <c r="C80" s="1"/>
  <c r="X18"/>
  <c r="AK17"/>
  <c r="AJ17"/>
  <c r="AI17"/>
  <c r="AH17"/>
  <c r="AG17"/>
  <c r="AE17"/>
  <c r="C17" s="1"/>
  <c r="Y17"/>
  <c r="D17"/>
  <c r="AK16"/>
  <c r="AJ16"/>
  <c r="AI16"/>
  <c r="AH16"/>
  <c r="AG16"/>
  <c r="AE16"/>
  <c r="X16"/>
  <c r="X17" s="1"/>
  <c r="C16"/>
  <c r="AK15"/>
  <c r="AJ15"/>
  <c r="AI15"/>
  <c r="AH15"/>
  <c r="AG15"/>
  <c r="AE15"/>
  <c r="X15"/>
  <c r="C15"/>
  <c r="AK14"/>
  <c r="AJ14"/>
  <c r="AI14"/>
  <c r="AH14"/>
  <c r="AG14"/>
  <c r="AE14"/>
  <c r="D14" s="1"/>
  <c r="C14"/>
  <c r="AK13"/>
  <c r="AJ13"/>
  <c r="AI13"/>
  <c r="AH13"/>
  <c r="AG13"/>
  <c r="AE13"/>
  <c r="AK12"/>
  <c r="AJ12"/>
  <c r="AI12"/>
  <c r="AH12"/>
  <c r="AG12"/>
  <c r="AE12"/>
  <c r="AN11"/>
  <c r="AN12" s="1"/>
  <c r="AK11"/>
  <c r="AJ11"/>
  <c r="AI11"/>
  <c r="AH11"/>
  <c r="AG11"/>
  <c r="AE11"/>
  <c r="X11"/>
  <c r="P11"/>
  <c r="R11" s="1"/>
  <c r="C11"/>
  <c r="I382"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K10"/>
  <c r="AJ10"/>
  <c r="AI10"/>
  <c r="AH10"/>
  <c r="AG10"/>
  <c r="AE10"/>
  <c r="X10"/>
  <c r="AK9"/>
  <c r="AJ9"/>
  <c r="AI9"/>
  <c r="AH9"/>
  <c r="AG9"/>
  <c r="AE9"/>
  <c r="X9"/>
  <c r="AE3"/>
  <c r="U3"/>
  <c r="Q3"/>
  <c r="O3"/>
  <c r="J3"/>
  <c r="H3"/>
  <c r="S2"/>
  <c r="H25" i="38"/>
  <c r="E21"/>
  <c r="E20"/>
  <c r="U19"/>
  <c r="H19"/>
  <c r="E19"/>
  <c r="U18"/>
  <c r="H18"/>
  <c r="E18"/>
  <c r="U17"/>
  <c r="E17"/>
  <c r="Z46" i="39" s="1"/>
  <c r="Z47" s="1"/>
  <c r="AC47" s="1"/>
  <c r="U16" i="38"/>
  <c r="U20" s="1"/>
  <c r="E15"/>
  <c r="U14"/>
  <c r="V14" s="1"/>
  <c r="E14"/>
  <c r="Z31" i="39" s="1"/>
  <c r="T12" i="38"/>
  <c r="Q12"/>
  <c r="N12"/>
  <c r="K12"/>
  <c r="K11"/>
  <c r="Z21" i="39" s="1"/>
  <c r="AC21" s="1"/>
  <c r="C83" s="1"/>
  <c r="I1353" s="1"/>
  <c r="K1353" s="1"/>
  <c r="N10" i="38"/>
  <c r="Z41" i="39" s="1"/>
  <c r="K5" i="38"/>
  <c r="K6" s="1"/>
  <c r="Q4"/>
  <c r="H4"/>
  <c r="H10" s="1"/>
  <c r="Z18" i="39" s="1"/>
  <c r="E4" i="38"/>
  <c r="Q3"/>
  <c r="N3"/>
  <c r="N4" s="1"/>
  <c r="N5" s="1"/>
  <c r="N6" s="1"/>
  <c r="K3"/>
  <c r="K4" s="1"/>
  <c r="H3"/>
  <c r="E3"/>
  <c r="C3"/>
  <c r="C4" s="1"/>
  <c r="C5" s="1"/>
  <c r="C6" s="1"/>
  <c r="N972" i="37"/>
  <c r="M972"/>
  <c r="M971"/>
  <c r="N971" s="1"/>
  <c r="M970"/>
  <c r="M969"/>
  <c r="M968"/>
  <c r="M967"/>
  <c r="M966"/>
  <c r="M965"/>
  <c r="M964"/>
  <c r="M963"/>
  <c r="N963" s="1"/>
  <c r="D963"/>
  <c r="N962"/>
  <c r="M962"/>
  <c r="D962"/>
  <c r="M961"/>
  <c r="M960"/>
  <c r="M959"/>
  <c r="M958"/>
  <c r="M957"/>
  <c r="D957"/>
  <c r="M956"/>
  <c r="D956"/>
  <c r="M955"/>
  <c r="D955"/>
  <c r="N955" s="1"/>
  <c r="M954"/>
  <c r="D954"/>
  <c r="N954" s="1"/>
  <c r="M953"/>
  <c r="D953"/>
  <c r="M952"/>
  <c r="D952"/>
  <c r="M951"/>
  <c r="D951"/>
  <c r="N951" s="1"/>
  <c r="M950"/>
  <c r="D950"/>
  <c r="N950" s="1"/>
  <c r="M949"/>
  <c r="D949"/>
  <c r="M948"/>
  <c r="D948"/>
  <c r="M947"/>
  <c r="D947"/>
  <c r="N947" s="1"/>
  <c r="M946"/>
  <c r="D946"/>
  <c r="N946" s="1"/>
  <c r="M945"/>
  <c r="D945"/>
  <c r="M944"/>
  <c r="D944"/>
  <c r="M943"/>
  <c r="D943"/>
  <c r="M942"/>
  <c r="D942"/>
  <c r="N942" s="1"/>
  <c r="M941"/>
  <c r="D941"/>
  <c r="M940"/>
  <c r="D940"/>
  <c r="M939"/>
  <c r="D939"/>
  <c r="M938"/>
  <c r="D938"/>
  <c r="N938" s="1"/>
  <c r="M937"/>
  <c r="N937" s="1"/>
  <c r="D937"/>
  <c r="M936"/>
  <c r="D936"/>
  <c r="M935"/>
  <c r="N935" s="1"/>
  <c r="D935"/>
  <c r="M934"/>
  <c r="D934"/>
  <c r="N934" s="1"/>
  <c r="M933"/>
  <c r="D933"/>
  <c r="M932"/>
  <c r="D932"/>
  <c r="M931"/>
  <c r="D931"/>
  <c r="M930"/>
  <c r="D930"/>
  <c r="N930" s="1"/>
  <c r="M929"/>
  <c r="N929" s="1"/>
  <c r="D929"/>
  <c r="M928"/>
  <c r="N928" s="1"/>
  <c r="D928"/>
  <c r="M927"/>
  <c r="N927" s="1"/>
  <c r="D927"/>
  <c r="M926"/>
  <c r="D926"/>
  <c r="N926" s="1"/>
  <c r="M925"/>
  <c r="D925"/>
  <c r="M924"/>
  <c r="D924"/>
  <c r="M923"/>
  <c r="D923"/>
  <c r="M922"/>
  <c r="D922"/>
  <c r="N922" s="1"/>
  <c r="M921"/>
  <c r="D921"/>
  <c r="M920"/>
  <c r="D920"/>
  <c r="M919"/>
  <c r="D919"/>
  <c r="M918"/>
  <c r="D918"/>
  <c r="N918" s="1"/>
  <c r="M917"/>
  <c r="D917"/>
  <c r="M916"/>
  <c r="M915"/>
  <c r="M914"/>
  <c r="M913"/>
  <c r="M912"/>
  <c r="M911"/>
  <c r="M910"/>
  <c r="D905"/>
  <c r="N905" s="1"/>
  <c r="D904"/>
  <c r="N904" s="1"/>
  <c r="D903"/>
  <c r="N903" s="1"/>
  <c r="C891"/>
  <c r="D890"/>
  <c r="N890" s="1"/>
  <c r="N883"/>
  <c r="D883"/>
  <c r="N882"/>
  <c r="P881"/>
  <c r="N881"/>
  <c r="P880"/>
  <c r="N880"/>
  <c r="P879"/>
  <c r="N879"/>
  <c r="P878"/>
  <c r="P877"/>
  <c r="P876"/>
  <c r="D876"/>
  <c r="P875"/>
  <c r="P874"/>
  <c r="P873"/>
  <c r="P872"/>
  <c r="P871"/>
  <c r="D871"/>
  <c r="M870"/>
  <c r="N870" s="1"/>
  <c r="L870"/>
  <c r="K870"/>
  <c r="J870"/>
  <c r="B870"/>
  <c r="F870" s="1"/>
  <c r="K869"/>
  <c r="J869"/>
  <c r="K868"/>
  <c r="L868" s="1"/>
  <c r="J868"/>
  <c r="M867"/>
  <c r="L867"/>
  <c r="K867"/>
  <c r="J867"/>
  <c r="M866"/>
  <c r="N866" s="1"/>
  <c r="L866"/>
  <c r="K866"/>
  <c r="J866"/>
  <c r="B866"/>
  <c r="F866" s="1"/>
  <c r="K865"/>
  <c r="J865"/>
  <c r="K864"/>
  <c r="L864" s="1"/>
  <c r="J864"/>
  <c r="M863"/>
  <c r="L863"/>
  <c r="K863"/>
  <c r="J863"/>
  <c r="M862"/>
  <c r="N862" s="1"/>
  <c r="L862"/>
  <c r="K862"/>
  <c r="J862"/>
  <c r="B862"/>
  <c r="F862" s="1"/>
  <c r="K861"/>
  <c r="J861"/>
  <c r="K860"/>
  <c r="L860" s="1"/>
  <c r="J860"/>
  <c r="M859"/>
  <c r="L859"/>
  <c r="K859"/>
  <c r="J859"/>
  <c r="M858"/>
  <c r="N858" s="1"/>
  <c r="L858"/>
  <c r="K858"/>
  <c r="J858"/>
  <c r="B858"/>
  <c r="F858" s="1"/>
  <c r="K857"/>
  <c r="J857"/>
  <c r="K856"/>
  <c r="L856" s="1"/>
  <c r="J856"/>
  <c r="J871" s="1"/>
  <c r="K855"/>
  <c r="F855"/>
  <c r="B855"/>
  <c r="M854"/>
  <c r="K854"/>
  <c r="H854"/>
  <c r="E854"/>
  <c r="M853"/>
  <c r="K853"/>
  <c r="H853"/>
  <c r="M852"/>
  <c r="N852" s="1"/>
  <c r="K852"/>
  <c r="H852"/>
  <c r="B852"/>
  <c r="F852" s="1"/>
  <c r="P851"/>
  <c r="N851"/>
  <c r="M851"/>
  <c r="K851"/>
  <c r="H851"/>
  <c r="F851"/>
  <c r="B851"/>
  <c r="K850"/>
  <c r="D850"/>
  <c r="K849"/>
  <c r="C849"/>
  <c r="M848"/>
  <c r="N848" s="1"/>
  <c r="K848"/>
  <c r="H848"/>
  <c r="G848"/>
  <c r="B848"/>
  <c r="F848" s="1"/>
  <c r="M847"/>
  <c r="K847"/>
  <c r="G847"/>
  <c r="D847"/>
  <c r="M846"/>
  <c r="K846"/>
  <c r="G846"/>
  <c r="H846" s="1"/>
  <c r="M845"/>
  <c r="K845"/>
  <c r="G845"/>
  <c r="H845" s="1"/>
  <c r="M844"/>
  <c r="K844"/>
  <c r="M843"/>
  <c r="K843"/>
  <c r="M842"/>
  <c r="K842"/>
  <c r="M841"/>
  <c r="K841"/>
  <c r="M840"/>
  <c r="K840"/>
  <c r="H840"/>
  <c r="B840"/>
  <c r="F840" s="1"/>
  <c r="M839"/>
  <c r="K839"/>
  <c r="D839"/>
  <c r="H839" s="1"/>
  <c r="B839"/>
  <c r="M838"/>
  <c r="N838" s="1"/>
  <c r="K838"/>
  <c r="H838"/>
  <c r="B838"/>
  <c r="F838" s="1"/>
  <c r="P837"/>
  <c r="M837"/>
  <c r="N837" s="1"/>
  <c r="K837"/>
  <c r="H837"/>
  <c r="B837"/>
  <c r="F837" s="1"/>
  <c r="P836"/>
  <c r="M836"/>
  <c r="K836"/>
  <c r="H836"/>
  <c r="D836"/>
  <c r="N836" s="1"/>
  <c r="B836"/>
  <c r="P835"/>
  <c r="N835"/>
  <c r="M835"/>
  <c r="K835"/>
  <c r="H835"/>
  <c r="F835"/>
  <c r="B835"/>
  <c r="M834"/>
  <c r="K834"/>
  <c r="M833"/>
  <c r="K833"/>
  <c r="M832"/>
  <c r="K832"/>
  <c r="M831"/>
  <c r="K831"/>
  <c r="M830"/>
  <c r="K830"/>
  <c r="M829"/>
  <c r="K829"/>
  <c r="M828"/>
  <c r="K828"/>
  <c r="M827"/>
  <c r="K827"/>
  <c r="D827"/>
  <c r="H827" s="1"/>
  <c r="M826"/>
  <c r="K826"/>
  <c r="D826"/>
  <c r="H826" s="1"/>
  <c r="M825"/>
  <c r="K825"/>
  <c r="D825"/>
  <c r="H825" s="1"/>
  <c r="M824"/>
  <c r="K824"/>
  <c r="D824"/>
  <c r="H824" s="1"/>
  <c r="M823"/>
  <c r="K823"/>
  <c r="D823"/>
  <c r="H823" s="1"/>
  <c r="M822"/>
  <c r="K822"/>
  <c r="H822"/>
  <c r="B822"/>
  <c r="F822" s="1"/>
  <c r="M821"/>
  <c r="N821" s="1"/>
  <c r="K821"/>
  <c r="H821"/>
  <c r="B821"/>
  <c r="F821" s="1"/>
  <c r="P820"/>
  <c r="M820"/>
  <c r="N820" s="1"/>
  <c r="K820"/>
  <c r="H820"/>
  <c r="F820"/>
  <c r="B820"/>
  <c r="P819"/>
  <c r="N819"/>
  <c r="M819"/>
  <c r="K819"/>
  <c r="H819"/>
  <c r="F819"/>
  <c r="B819"/>
  <c r="M818"/>
  <c r="K818"/>
  <c r="D818"/>
  <c r="H818" s="1"/>
  <c r="M817"/>
  <c r="K817"/>
  <c r="D817"/>
  <c r="H817" s="1"/>
  <c r="M816"/>
  <c r="K816"/>
  <c r="D816"/>
  <c r="H816" s="1"/>
  <c r="M815"/>
  <c r="K815"/>
  <c r="H815"/>
  <c r="B815"/>
  <c r="F815" s="1"/>
  <c r="M814"/>
  <c r="K814"/>
  <c r="D814"/>
  <c r="H814" s="1"/>
  <c r="B814"/>
  <c r="M813"/>
  <c r="K813"/>
  <c r="D813"/>
  <c r="H813" s="1"/>
  <c r="B813"/>
  <c r="M812"/>
  <c r="K812"/>
  <c r="D812"/>
  <c r="H812" s="1"/>
  <c r="B812"/>
  <c r="M811"/>
  <c r="K811"/>
  <c r="D811"/>
  <c r="H811" s="1"/>
  <c r="B811"/>
  <c r="M810"/>
  <c r="N810" s="1"/>
  <c r="K810"/>
  <c r="H810"/>
  <c r="B810"/>
  <c r="F810" s="1"/>
  <c r="P809"/>
  <c r="M809"/>
  <c r="K809"/>
  <c r="B809"/>
  <c r="P808"/>
  <c r="M808"/>
  <c r="N808" s="1"/>
  <c r="K808"/>
  <c r="H808"/>
  <c r="B808"/>
  <c r="F808" s="1"/>
  <c r="K807"/>
  <c r="K806"/>
  <c r="M805"/>
  <c r="K805"/>
  <c r="B805"/>
  <c r="M804"/>
  <c r="K804"/>
  <c r="B804"/>
  <c r="M803"/>
  <c r="K803"/>
  <c r="B803"/>
  <c r="M802"/>
  <c r="K802"/>
  <c r="B802"/>
  <c r="M801"/>
  <c r="N801" s="1"/>
  <c r="K801"/>
  <c r="H801"/>
  <c r="B801"/>
  <c r="F801" s="1"/>
  <c r="P800"/>
  <c r="M800"/>
  <c r="K800"/>
  <c r="B800"/>
  <c r="P799"/>
  <c r="M799"/>
  <c r="K799"/>
  <c r="B799"/>
  <c r="P798"/>
  <c r="M798"/>
  <c r="K798"/>
  <c r="B798"/>
  <c r="P797"/>
  <c r="M797"/>
  <c r="K797"/>
  <c r="H797"/>
  <c r="D797"/>
  <c r="B797"/>
  <c r="P796"/>
  <c r="M796"/>
  <c r="N796" s="1"/>
  <c r="K796"/>
  <c r="D796"/>
  <c r="H796" s="1"/>
  <c r="B796"/>
  <c r="F796" s="1"/>
  <c r="P795"/>
  <c r="M795"/>
  <c r="K795"/>
  <c r="D795"/>
  <c r="H795" s="1"/>
  <c r="B795"/>
  <c r="P794"/>
  <c r="M794"/>
  <c r="N794" s="1"/>
  <c r="K794"/>
  <c r="D794"/>
  <c r="H794" s="1"/>
  <c r="B794"/>
  <c r="F794" s="1"/>
  <c r="P793"/>
  <c r="M793"/>
  <c r="K793"/>
  <c r="H793"/>
  <c r="D793"/>
  <c r="B793"/>
  <c r="P792"/>
  <c r="M792"/>
  <c r="N792" s="1"/>
  <c r="K792"/>
  <c r="D792"/>
  <c r="H792" s="1"/>
  <c r="B792"/>
  <c r="F792" s="1"/>
  <c r="P791"/>
  <c r="M791"/>
  <c r="K791"/>
  <c r="H791"/>
  <c r="D791"/>
  <c r="B791"/>
  <c r="P790"/>
  <c r="M790"/>
  <c r="N790" s="1"/>
  <c r="K790"/>
  <c r="D790"/>
  <c r="H790" s="1"/>
  <c r="B790"/>
  <c r="F790" s="1"/>
  <c r="P789"/>
  <c r="M789"/>
  <c r="N789" s="1"/>
  <c r="K789"/>
  <c r="H789"/>
  <c r="B789"/>
  <c r="F789" s="1"/>
  <c r="P788"/>
  <c r="M788"/>
  <c r="K788"/>
  <c r="B788"/>
  <c r="P787"/>
  <c r="M787"/>
  <c r="K787"/>
  <c r="H787"/>
  <c r="F787"/>
  <c r="D787"/>
  <c r="N787" s="1"/>
  <c r="B787"/>
  <c r="P786"/>
  <c r="M786"/>
  <c r="K786"/>
  <c r="H786"/>
  <c r="F786"/>
  <c r="D786"/>
  <c r="N786" s="1"/>
  <c r="B786"/>
  <c r="P785"/>
  <c r="N785"/>
  <c r="M785"/>
  <c r="K785"/>
  <c r="H785"/>
  <c r="F785"/>
  <c r="D785"/>
  <c r="B785"/>
  <c r="P784"/>
  <c r="N784"/>
  <c r="M784"/>
  <c r="K784"/>
  <c r="H784"/>
  <c r="F784"/>
  <c r="D784"/>
  <c r="B784"/>
  <c r="P783"/>
  <c r="N783"/>
  <c r="M783"/>
  <c r="K783"/>
  <c r="H783"/>
  <c r="F783"/>
  <c r="B783"/>
  <c r="M782"/>
  <c r="K782"/>
  <c r="M781"/>
  <c r="K781"/>
  <c r="P780"/>
  <c r="M780"/>
  <c r="K780"/>
  <c r="B780"/>
  <c r="K779"/>
  <c r="P778"/>
  <c r="M778"/>
  <c r="N778" s="1"/>
  <c r="K778"/>
  <c r="H778"/>
  <c r="B778"/>
  <c r="F778" s="1"/>
  <c r="P777"/>
  <c r="N777"/>
  <c r="M777"/>
  <c r="K777"/>
  <c r="H777"/>
  <c r="F777"/>
  <c r="B777"/>
  <c r="M776"/>
  <c r="K776"/>
  <c r="H776"/>
  <c r="M775"/>
  <c r="N775" s="1"/>
  <c r="K775"/>
  <c r="H775"/>
  <c r="B775"/>
  <c r="F775" s="1"/>
  <c r="K774"/>
  <c r="P773"/>
  <c r="M773"/>
  <c r="N773" s="1"/>
  <c r="K773"/>
  <c r="H773"/>
  <c r="B773"/>
  <c r="F773" s="1"/>
  <c r="P772"/>
  <c r="M772"/>
  <c r="K772"/>
  <c r="B772"/>
  <c r="K771"/>
  <c r="P770"/>
  <c r="M770"/>
  <c r="N770" s="1"/>
  <c r="K770"/>
  <c r="H770"/>
  <c r="B770"/>
  <c r="F770" s="1"/>
  <c r="P769"/>
  <c r="N769"/>
  <c r="M769"/>
  <c r="K769"/>
  <c r="H769"/>
  <c r="F769"/>
  <c r="D769"/>
  <c r="B769"/>
  <c r="K768"/>
  <c r="D768"/>
  <c r="M767"/>
  <c r="K767"/>
  <c r="B767"/>
  <c r="M766"/>
  <c r="K766"/>
  <c r="D766"/>
  <c r="H766" s="1"/>
  <c r="B766"/>
  <c r="M765"/>
  <c r="K765"/>
  <c r="B765"/>
  <c r="M764"/>
  <c r="K764"/>
  <c r="B764"/>
  <c r="M763"/>
  <c r="N763" s="1"/>
  <c r="K763"/>
  <c r="H763"/>
  <c r="B763"/>
  <c r="F763" s="1"/>
  <c r="P762"/>
  <c r="M762"/>
  <c r="N762" s="1"/>
  <c r="K762"/>
  <c r="H762"/>
  <c r="B762"/>
  <c r="F762" s="1"/>
  <c r="P761"/>
  <c r="N761"/>
  <c r="M761"/>
  <c r="K761"/>
  <c r="H761"/>
  <c r="F761"/>
  <c r="B761"/>
  <c r="M760"/>
  <c r="K760"/>
  <c r="H760"/>
  <c r="K759"/>
  <c r="M758"/>
  <c r="K758"/>
  <c r="M757"/>
  <c r="K757"/>
  <c r="M756"/>
  <c r="K756"/>
  <c r="M755"/>
  <c r="K755"/>
  <c r="D755"/>
  <c r="H755" s="1"/>
  <c r="M754"/>
  <c r="K754"/>
  <c r="H754"/>
  <c r="B754"/>
  <c r="F754" s="1"/>
  <c r="M753"/>
  <c r="N753" s="1"/>
  <c r="K753"/>
  <c r="H753"/>
  <c r="B753"/>
  <c r="F753" s="1"/>
  <c r="P752"/>
  <c r="M752"/>
  <c r="N752" s="1"/>
  <c r="K752"/>
  <c r="H752"/>
  <c r="D752"/>
  <c r="B752"/>
  <c r="F752" s="1"/>
  <c r="K751"/>
  <c r="M750"/>
  <c r="N750" s="1"/>
  <c r="K750"/>
  <c r="H750"/>
  <c r="C750"/>
  <c r="B750"/>
  <c r="F750" s="1"/>
  <c r="M749"/>
  <c r="K749"/>
  <c r="B749"/>
  <c r="M748"/>
  <c r="K748"/>
  <c r="B748"/>
  <c r="M747"/>
  <c r="K747"/>
  <c r="B747"/>
  <c r="M746"/>
  <c r="K746"/>
  <c r="B746"/>
  <c r="M745"/>
  <c r="N745" s="1"/>
  <c r="K745"/>
  <c r="H745"/>
  <c r="B745"/>
  <c r="F745" s="1"/>
  <c r="P744"/>
  <c r="M744"/>
  <c r="K744"/>
  <c r="B744"/>
  <c r="P743"/>
  <c r="M743"/>
  <c r="N743" s="1"/>
  <c r="K743"/>
  <c r="H743"/>
  <c r="B743"/>
  <c r="F743" s="1"/>
  <c r="P742"/>
  <c r="N742"/>
  <c r="M742"/>
  <c r="K742"/>
  <c r="H742"/>
  <c r="F742"/>
  <c r="B742"/>
  <c r="M741"/>
  <c r="K741"/>
  <c r="M740"/>
  <c r="K740"/>
  <c r="H740"/>
  <c r="B740"/>
  <c r="F740" s="1"/>
  <c r="M739"/>
  <c r="K739"/>
  <c r="B739"/>
  <c r="M738"/>
  <c r="K738"/>
  <c r="B738"/>
  <c r="M737"/>
  <c r="K737"/>
  <c r="B737"/>
  <c r="M736"/>
  <c r="K736"/>
  <c r="B736"/>
  <c r="M735"/>
  <c r="N735" s="1"/>
  <c r="K735"/>
  <c r="H735"/>
  <c r="B735"/>
  <c r="F735" s="1"/>
  <c r="P734"/>
  <c r="M734"/>
  <c r="K734"/>
  <c r="B734"/>
  <c r="P733"/>
  <c r="M733"/>
  <c r="K733"/>
  <c r="B733"/>
  <c r="P732"/>
  <c r="M732"/>
  <c r="K732"/>
  <c r="B732"/>
  <c r="P731"/>
  <c r="M731"/>
  <c r="K731"/>
  <c r="B731"/>
  <c r="P730"/>
  <c r="M730"/>
  <c r="N730" s="1"/>
  <c r="K730"/>
  <c r="H730"/>
  <c r="B730"/>
  <c r="F730" s="1"/>
  <c r="P729"/>
  <c r="M729"/>
  <c r="K729"/>
  <c r="B729"/>
  <c r="P728"/>
  <c r="M728"/>
  <c r="B728" s="1"/>
  <c r="K728"/>
  <c r="P727"/>
  <c r="M727"/>
  <c r="B727" s="1"/>
  <c r="K727"/>
  <c r="P726"/>
  <c r="M726"/>
  <c r="B726" s="1"/>
  <c r="K726"/>
  <c r="K725"/>
  <c r="K724"/>
  <c r="M723"/>
  <c r="N723" s="1"/>
  <c r="K723"/>
  <c r="H723"/>
  <c r="B723"/>
  <c r="F723" s="1"/>
  <c r="P722"/>
  <c r="M722"/>
  <c r="K722"/>
  <c r="B722"/>
  <c r="P721"/>
  <c r="M721"/>
  <c r="K721"/>
  <c r="B721"/>
  <c r="P720"/>
  <c r="N720"/>
  <c r="M720"/>
  <c r="K720"/>
  <c r="H720"/>
  <c r="F720"/>
  <c r="B720"/>
  <c r="P719"/>
  <c r="N719"/>
  <c r="M719"/>
  <c r="K719"/>
  <c r="H719"/>
  <c r="F719"/>
  <c r="B719"/>
  <c r="M718"/>
  <c r="K718"/>
  <c r="H718"/>
  <c r="B718"/>
  <c r="F718" s="1"/>
  <c r="M717"/>
  <c r="N717" s="1"/>
  <c r="K717"/>
  <c r="H717"/>
  <c r="B717"/>
  <c r="F717" s="1"/>
  <c r="P716"/>
  <c r="N716"/>
  <c r="M716"/>
  <c r="K716"/>
  <c r="H716"/>
  <c r="F716"/>
  <c r="B716"/>
  <c r="P715"/>
  <c r="N715"/>
  <c r="M715"/>
  <c r="K715"/>
  <c r="H715"/>
  <c r="F715"/>
  <c r="B715"/>
  <c r="M714"/>
  <c r="K714"/>
  <c r="D714"/>
  <c r="H714" s="1"/>
  <c r="M713"/>
  <c r="K713"/>
  <c r="H713"/>
  <c r="B713"/>
  <c r="F713" s="1"/>
  <c r="M712"/>
  <c r="N712" s="1"/>
  <c r="K712"/>
  <c r="H712"/>
  <c r="B712"/>
  <c r="F712" s="1"/>
  <c r="P711"/>
  <c r="M711"/>
  <c r="N711" s="1"/>
  <c r="K711"/>
  <c r="H711"/>
  <c r="F711"/>
  <c r="B711"/>
  <c r="P710"/>
  <c r="N710"/>
  <c r="M710"/>
  <c r="K710"/>
  <c r="H710"/>
  <c r="F710"/>
  <c r="B710"/>
  <c r="M709"/>
  <c r="K709"/>
  <c r="H709"/>
  <c r="M708"/>
  <c r="N708" s="1"/>
  <c r="K708"/>
  <c r="H708"/>
  <c r="B708"/>
  <c r="F708" s="1"/>
  <c r="P707"/>
  <c r="M707"/>
  <c r="N707" s="1"/>
  <c r="K707"/>
  <c r="H707"/>
  <c r="F707"/>
  <c r="B707"/>
  <c r="P706"/>
  <c r="N706"/>
  <c r="M706"/>
  <c r="K706"/>
  <c r="H706"/>
  <c r="F706"/>
  <c r="B706"/>
  <c r="M705"/>
  <c r="K705"/>
  <c r="H705"/>
  <c r="B705"/>
  <c r="F705" s="1"/>
  <c r="M704"/>
  <c r="N704" s="1"/>
  <c r="K704"/>
  <c r="H704"/>
  <c r="B704"/>
  <c r="F704" s="1"/>
  <c r="P703"/>
  <c r="M703"/>
  <c r="N703" s="1"/>
  <c r="K703"/>
  <c r="H703"/>
  <c r="F703"/>
  <c r="B703"/>
  <c r="P702"/>
  <c r="N702"/>
  <c r="M702"/>
  <c r="K702"/>
  <c r="H702"/>
  <c r="F702"/>
  <c r="B702"/>
  <c r="M701"/>
  <c r="K701"/>
  <c r="H701"/>
  <c r="B701"/>
  <c r="F701" s="1"/>
  <c r="M700"/>
  <c r="N700" s="1"/>
  <c r="K700"/>
  <c r="H700"/>
  <c r="B700"/>
  <c r="F700" s="1"/>
  <c r="P699"/>
  <c r="N699"/>
  <c r="M699"/>
  <c r="K699"/>
  <c r="H699"/>
  <c r="F699"/>
  <c r="B699"/>
  <c r="P698"/>
  <c r="N698"/>
  <c r="M698"/>
  <c r="K698"/>
  <c r="H698"/>
  <c r="F698"/>
  <c r="B698"/>
  <c r="M697"/>
  <c r="K697"/>
  <c r="H697"/>
  <c r="M696"/>
  <c r="N696" s="1"/>
  <c r="K696"/>
  <c r="H696"/>
  <c r="B696"/>
  <c r="F696" s="1"/>
  <c r="P695"/>
  <c r="N695"/>
  <c r="M695"/>
  <c r="K695"/>
  <c r="H695"/>
  <c r="F695"/>
  <c r="B695"/>
  <c r="P694"/>
  <c r="N694"/>
  <c r="M694"/>
  <c r="K694"/>
  <c r="H694"/>
  <c r="F694"/>
  <c r="B694"/>
  <c r="M693"/>
  <c r="K693"/>
  <c r="H693"/>
  <c r="B693"/>
  <c r="F693" s="1"/>
  <c r="M692"/>
  <c r="N692" s="1"/>
  <c r="K692"/>
  <c r="H692"/>
  <c r="B692"/>
  <c r="F692" s="1"/>
  <c r="P691"/>
  <c r="N691"/>
  <c r="M691"/>
  <c r="K691"/>
  <c r="H691"/>
  <c r="F691"/>
  <c r="B691"/>
  <c r="P690"/>
  <c r="N690"/>
  <c r="M690"/>
  <c r="K690"/>
  <c r="H690"/>
  <c r="F690"/>
  <c r="B690"/>
  <c r="M689"/>
  <c r="K689"/>
  <c r="H689"/>
  <c r="M688"/>
  <c r="N688" s="1"/>
  <c r="K688"/>
  <c r="H688"/>
  <c r="B688"/>
  <c r="F688" s="1"/>
  <c r="P687"/>
  <c r="M687"/>
  <c r="K687"/>
  <c r="B687"/>
  <c r="P686"/>
  <c r="M686"/>
  <c r="K686"/>
  <c r="B686"/>
  <c r="P685"/>
  <c r="M685"/>
  <c r="K685"/>
  <c r="B685"/>
  <c r="P684"/>
  <c r="M684"/>
  <c r="K684"/>
  <c r="B684"/>
  <c r="P683"/>
  <c r="M683"/>
  <c r="N683" s="1"/>
  <c r="K683"/>
  <c r="H683"/>
  <c r="B683"/>
  <c r="F683" s="1"/>
  <c r="P682"/>
  <c r="M682"/>
  <c r="K682"/>
  <c r="F682"/>
  <c r="D682"/>
  <c r="N682" s="1"/>
  <c r="B682"/>
  <c r="P681"/>
  <c r="M681"/>
  <c r="B681" s="1"/>
  <c r="K681"/>
  <c r="F681"/>
  <c r="D681"/>
  <c r="N681" s="1"/>
  <c r="P680"/>
  <c r="M680"/>
  <c r="B680" s="1"/>
  <c r="K680"/>
  <c r="D680"/>
  <c r="N680" s="1"/>
  <c r="P679"/>
  <c r="M679"/>
  <c r="B679" s="1"/>
  <c r="K679"/>
  <c r="D679"/>
  <c r="H679" s="1"/>
  <c r="P678"/>
  <c r="M678"/>
  <c r="B678" s="1"/>
  <c r="F678" s="1"/>
  <c r="K678"/>
  <c r="H678"/>
  <c r="D678"/>
  <c r="N678" s="1"/>
  <c r="P677"/>
  <c r="M677"/>
  <c r="B677" s="1"/>
  <c r="K677"/>
  <c r="D677"/>
  <c r="N677" s="1"/>
  <c r="P676"/>
  <c r="M676"/>
  <c r="B676" s="1"/>
  <c r="K676"/>
  <c r="D676"/>
  <c r="H676" s="1"/>
  <c r="P675"/>
  <c r="M675"/>
  <c r="B675" s="1"/>
  <c r="K675"/>
  <c r="D675"/>
  <c r="N675" s="1"/>
  <c r="P674"/>
  <c r="M674"/>
  <c r="B674" s="1"/>
  <c r="K674"/>
  <c r="P673"/>
  <c r="N673"/>
  <c r="M673"/>
  <c r="K673"/>
  <c r="H673"/>
  <c r="F673"/>
  <c r="B673"/>
  <c r="M672"/>
  <c r="K672"/>
  <c r="H672"/>
  <c r="B672"/>
  <c r="F672" s="1"/>
  <c r="M671"/>
  <c r="N671" s="1"/>
  <c r="K671"/>
  <c r="H671"/>
  <c r="B671"/>
  <c r="F671" s="1"/>
  <c r="P670"/>
  <c r="N670"/>
  <c r="M670"/>
  <c r="K670"/>
  <c r="H670"/>
  <c r="F670"/>
  <c r="B670"/>
  <c r="P669"/>
  <c r="N669"/>
  <c r="M669"/>
  <c r="K669"/>
  <c r="H669"/>
  <c r="F669"/>
  <c r="B669"/>
  <c r="M668"/>
  <c r="K668"/>
  <c r="H668"/>
  <c r="M667"/>
  <c r="N667" s="1"/>
  <c r="K667"/>
  <c r="H667"/>
  <c r="B667"/>
  <c r="F667" s="1"/>
  <c r="P666"/>
  <c r="N666"/>
  <c r="M666"/>
  <c r="K666"/>
  <c r="H666"/>
  <c r="F666"/>
  <c r="B666"/>
  <c r="P665"/>
  <c r="N665"/>
  <c r="M665"/>
  <c r="K665"/>
  <c r="H665"/>
  <c r="F665"/>
  <c r="B665"/>
  <c r="M664"/>
  <c r="K664"/>
  <c r="H664"/>
  <c r="B664"/>
  <c r="F664" s="1"/>
  <c r="M663"/>
  <c r="N663" s="1"/>
  <c r="K663"/>
  <c r="H663"/>
  <c r="B663"/>
  <c r="F663" s="1"/>
  <c r="P662"/>
  <c r="N662"/>
  <c r="M662"/>
  <c r="K662"/>
  <c r="H662"/>
  <c r="F662"/>
  <c r="B662"/>
  <c r="P661"/>
  <c r="N661"/>
  <c r="M661"/>
  <c r="K661"/>
  <c r="H661"/>
  <c r="F661"/>
  <c r="B661"/>
  <c r="M660"/>
  <c r="K660"/>
  <c r="H660"/>
  <c r="M659"/>
  <c r="N659" s="1"/>
  <c r="K659"/>
  <c r="H659"/>
  <c r="B659"/>
  <c r="F659" s="1"/>
  <c r="P658"/>
  <c r="N658"/>
  <c r="M658"/>
  <c r="K658"/>
  <c r="H658"/>
  <c r="F658"/>
  <c r="B658"/>
  <c r="P657"/>
  <c r="N657"/>
  <c r="M657"/>
  <c r="K657"/>
  <c r="H657"/>
  <c r="F657"/>
  <c r="B657"/>
  <c r="M656"/>
  <c r="K656"/>
  <c r="H656"/>
  <c r="B656"/>
  <c r="F656" s="1"/>
  <c r="M655"/>
  <c r="N655" s="1"/>
  <c r="K655"/>
  <c r="H655"/>
  <c r="B655"/>
  <c r="F655" s="1"/>
  <c r="P654"/>
  <c r="N654"/>
  <c r="M654"/>
  <c r="K654"/>
  <c r="H654"/>
  <c r="F654"/>
  <c r="B654"/>
  <c r="P653"/>
  <c r="N653"/>
  <c r="M653"/>
  <c r="K653"/>
  <c r="H653"/>
  <c r="F653"/>
  <c r="B653"/>
  <c r="M652"/>
  <c r="K652"/>
  <c r="H652"/>
  <c r="A652"/>
  <c r="M651"/>
  <c r="K651"/>
  <c r="H651"/>
  <c r="B651"/>
  <c r="F651" s="1"/>
  <c r="M650"/>
  <c r="K650"/>
  <c r="B650"/>
  <c r="M649"/>
  <c r="K649"/>
  <c r="B649"/>
  <c r="M648"/>
  <c r="N648" s="1"/>
  <c r="K648"/>
  <c r="H648"/>
  <c r="B648"/>
  <c r="F648" s="1"/>
  <c r="P647"/>
  <c r="N647"/>
  <c r="M647"/>
  <c r="K647"/>
  <c r="H647"/>
  <c r="F647"/>
  <c r="B647"/>
  <c r="P646"/>
  <c r="N646"/>
  <c r="M646"/>
  <c r="B646" s="1"/>
  <c r="F646" s="1"/>
  <c r="K646"/>
  <c r="H646"/>
  <c r="D646"/>
  <c r="P645"/>
  <c r="N645"/>
  <c r="M645"/>
  <c r="B645" s="1"/>
  <c r="K645"/>
  <c r="H645"/>
  <c r="F645"/>
  <c r="D645"/>
  <c r="P644"/>
  <c r="N644"/>
  <c r="M644"/>
  <c r="K644"/>
  <c r="H644"/>
  <c r="F644"/>
  <c r="B644"/>
  <c r="K643"/>
  <c r="P642"/>
  <c r="M642"/>
  <c r="B642" s="1"/>
  <c r="K642"/>
  <c r="P641"/>
  <c r="M641"/>
  <c r="B641" s="1"/>
  <c r="K641"/>
  <c r="K640"/>
  <c r="P639"/>
  <c r="N639"/>
  <c r="M639"/>
  <c r="K639"/>
  <c r="H639"/>
  <c r="F639"/>
  <c r="B639"/>
  <c r="K638"/>
  <c r="G638"/>
  <c r="K637"/>
  <c r="K636"/>
  <c r="M635"/>
  <c r="K635"/>
  <c r="M634"/>
  <c r="K634"/>
  <c r="D634"/>
  <c r="B634"/>
  <c r="F634" s="1"/>
  <c r="M633"/>
  <c r="N633" s="1"/>
  <c r="K633"/>
  <c r="D633"/>
  <c r="H633" s="1"/>
  <c r="B633"/>
  <c r="F633" s="1"/>
  <c r="K632"/>
  <c r="D632"/>
  <c r="C632"/>
  <c r="P631"/>
  <c r="N631"/>
  <c r="M631"/>
  <c r="K631"/>
  <c r="H631"/>
  <c r="F631"/>
  <c r="D631"/>
  <c r="C631"/>
  <c r="B631"/>
  <c r="K630"/>
  <c r="K629"/>
  <c r="M628"/>
  <c r="K628"/>
  <c r="D628"/>
  <c r="H628" s="1"/>
  <c r="K627"/>
  <c r="D627"/>
  <c r="C627"/>
  <c r="P626"/>
  <c r="M626"/>
  <c r="K626"/>
  <c r="D626"/>
  <c r="H626" s="1"/>
  <c r="B626"/>
  <c r="K625"/>
  <c r="D625"/>
  <c r="H625" s="1"/>
  <c r="K624"/>
  <c r="D624"/>
  <c r="K623"/>
  <c r="D623"/>
  <c r="P622"/>
  <c r="M622"/>
  <c r="K622"/>
  <c r="B622"/>
  <c r="P621"/>
  <c r="M621"/>
  <c r="B621" s="1"/>
  <c r="K621"/>
  <c r="P620"/>
  <c r="M620"/>
  <c r="B620" s="1"/>
  <c r="K620"/>
  <c r="P619"/>
  <c r="M619"/>
  <c r="B619" s="1"/>
  <c r="K619"/>
  <c r="P618"/>
  <c r="N618"/>
  <c r="M618"/>
  <c r="K618"/>
  <c r="H618"/>
  <c r="F618"/>
  <c r="B618"/>
  <c r="M617"/>
  <c r="K617"/>
  <c r="D617"/>
  <c r="H617" s="1"/>
  <c r="K616"/>
  <c r="D616"/>
  <c r="P615"/>
  <c r="M615"/>
  <c r="B615" s="1"/>
  <c r="K615"/>
  <c r="P614"/>
  <c r="M614"/>
  <c r="B614" s="1"/>
  <c r="K614"/>
  <c r="K613"/>
  <c r="K612"/>
  <c r="B612"/>
  <c r="M611"/>
  <c r="N611" s="1"/>
  <c r="K611"/>
  <c r="H611"/>
  <c r="B611"/>
  <c r="F611" s="1"/>
  <c r="P610"/>
  <c r="N610"/>
  <c r="M610"/>
  <c r="K610"/>
  <c r="H610"/>
  <c r="D610"/>
  <c r="B610"/>
  <c r="F610" s="1"/>
  <c r="P609"/>
  <c r="N609"/>
  <c r="M609"/>
  <c r="K609"/>
  <c r="H609"/>
  <c r="D609"/>
  <c r="B609"/>
  <c r="F609" s="1"/>
  <c r="P608"/>
  <c r="N608"/>
  <c r="M608"/>
  <c r="K608"/>
  <c r="H608"/>
  <c r="D608"/>
  <c r="B608"/>
  <c r="F608" s="1"/>
  <c r="P607"/>
  <c r="N607"/>
  <c r="M607"/>
  <c r="K607"/>
  <c r="H607"/>
  <c r="F607"/>
  <c r="B607"/>
  <c r="K606"/>
  <c r="D606"/>
  <c r="P605"/>
  <c r="M605"/>
  <c r="K605"/>
  <c r="D605"/>
  <c r="N605" s="1"/>
  <c r="B605"/>
  <c r="P604"/>
  <c r="M604"/>
  <c r="K604"/>
  <c r="H604"/>
  <c r="D604"/>
  <c r="N604" s="1"/>
  <c r="B604"/>
  <c r="F604" s="1"/>
  <c r="K603"/>
  <c r="D603"/>
  <c r="K602"/>
  <c r="D602"/>
  <c r="M601"/>
  <c r="K601"/>
  <c r="D601"/>
  <c r="H601" s="1"/>
  <c r="M600"/>
  <c r="K600"/>
  <c r="D600"/>
  <c r="H600" s="1"/>
  <c r="M599"/>
  <c r="K599"/>
  <c r="D599"/>
  <c r="H599" s="1"/>
  <c r="K598"/>
  <c r="D598"/>
  <c r="P597"/>
  <c r="M597"/>
  <c r="B597" s="1"/>
  <c r="K597"/>
  <c r="D597"/>
  <c r="H597" s="1"/>
  <c r="K596"/>
  <c r="D596"/>
  <c r="K595"/>
  <c r="D595"/>
  <c r="K594"/>
  <c r="D594"/>
  <c r="K593"/>
  <c r="D593"/>
  <c r="K592"/>
  <c r="D592"/>
  <c r="K591"/>
  <c r="D591"/>
  <c r="K590"/>
  <c r="D590"/>
  <c r="M589"/>
  <c r="K589"/>
  <c r="H589"/>
  <c r="M588"/>
  <c r="N588" s="1"/>
  <c r="K588"/>
  <c r="D588"/>
  <c r="H588" s="1"/>
  <c r="B588"/>
  <c r="F588" s="1"/>
  <c r="K587"/>
  <c r="D587"/>
  <c r="K586"/>
  <c r="K585"/>
  <c r="P584"/>
  <c r="M584"/>
  <c r="N584" s="1"/>
  <c r="K584"/>
  <c r="H584"/>
  <c r="B584"/>
  <c r="F584" s="1"/>
  <c r="P583"/>
  <c r="M583"/>
  <c r="B583" s="1"/>
  <c r="K583"/>
  <c r="P582"/>
  <c r="M582"/>
  <c r="B582" s="1"/>
  <c r="K582"/>
  <c r="P581"/>
  <c r="N581"/>
  <c r="M581"/>
  <c r="B581" s="1"/>
  <c r="K581"/>
  <c r="H581"/>
  <c r="F581"/>
  <c r="D581"/>
  <c r="K580"/>
  <c r="G580"/>
  <c r="P579"/>
  <c r="N579"/>
  <c r="M579"/>
  <c r="K579"/>
  <c r="H579"/>
  <c r="D579"/>
  <c r="B579"/>
  <c r="F579" s="1"/>
  <c r="K578"/>
  <c r="M577"/>
  <c r="K577"/>
  <c r="B577"/>
  <c r="K576"/>
  <c r="K575"/>
  <c r="P574"/>
  <c r="M574"/>
  <c r="B574" s="1"/>
  <c r="K574"/>
  <c r="K573"/>
  <c r="P572"/>
  <c r="M572"/>
  <c r="K572"/>
  <c r="B572"/>
  <c r="P571"/>
  <c r="M571"/>
  <c r="K571"/>
  <c r="B571"/>
  <c r="U570"/>
  <c r="K570"/>
  <c r="M569"/>
  <c r="K569"/>
  <c r="U568"/>
  <c r="K568"/>
  <c r="P567"/>
  <c r="M567"/>
  <c r="K567"/>
  <c r="B567"/>
  <c r="P566"/>
  <c r="M566"/>
  <c r="K566"/>
  <c r="B566"/>
  <c r="P565"/>
  <c r="M565"/>
  <c r="K565"/>
  <c r="B565"/>
  <c r="P564"/>
  <c r="M564"/>
  <c r="K564"/>
  <c r="B564"/>
  <c r="P563"/>
  <c r="M563"/>
  <c r="K563"/>
  <c r="B563"/>
  <c r="P562"/>
  <c r="M562"/>
  <c r="N562" s="1"/>
  <c r="K562"/>
  <c r="H562"/>
  <c r="B562"/>
  <c r="F562" s="1"/>
  <c r="P561"/>
  <c r="M561"/>
  <c r="K561"/>
  <c r="B561"/>
  <c r="P560"/>
  <c r="M560"/>
  <c r="K560"/>
  <c r="B560"/>
  <c r="P559"/>
  <c r="M559"/>
  <c r="K559"/>
  <c r="B559"/>
  <c r="P558"/>
  <c r="M558"/>
  <c r="K558"/>
  <c r="B558"/>
  <c r="P557"/>
  <c r="M557"/>
  <c r="K557"/>
  <c r="B557"/>
  <c r="P556"/>
  <c r="M556"/>
  <c r="K556"/>
  <c r="B556"/>
  <c r="P555"/>
  <c r="M555"/>
  <c r="B555" s="1"/>
  <c r="K555"/>
  <c r="P554"/>
  <c r="M554"/>
  <c r="B554" s="1"/>
  <c r="K554"/>
  <c r="P553"/>
  <c r="M553"/>
  <c r="B553" s="1"/>
  <c r="K553"/>
  <c r="P552"/>
  <c r="N552"/>
  <c r="M552"/>
  <c r="K552"/>
  <c r="H552"/>
  <c r="F552"/>
  <c r="B552"/>
  <c r="M551"/>
  <c r="K551"/>
  <c r="M550"/>
  <c r="K550"/>
  <c r="M549"/>
  <c r="K549"/>
  <c r="M548"/>
  <c r="K548"/>
  <c r="M547"/>
  <c r="K547"/>
  <c r="M546"/>
  <c r="B546" s="1"/>
  <c r="F546" s="1"/>
  <c r="K546"/>
  <c r="H546"/>
  <c r="K545"/>
  <c r="K544"/>
  <c r="D544"/>
  <c r="P543"/>
  <c r="M543"/>
  <c r="K543"/>
  <c r="B543"/>
  <c r="P542"/>
  <c r="N542"/>
  <c r="M542"/>
  <c r="K542"/>
  <c r="H542"/>
  <c r="F542"/>
  <c r="B542"/>
  <c r="M541"/>
  <c r="K541"/>
  <c r="M540"/>
  <c r="K540"/>
  <c r="M539"/>
  <c r="K539"/>
  <c r="M538"/>
  <c r="K538"/>
  <c r="M537"/>
  <c r="K537"/>
  <c r="M536"/>
  <c r="K536"/>
  <c r="M535"/>
  <c r="K535"/>
  <c r="K534"/>
  <c r="P533"/>
  <c r="N533"/>
  <c r="M533"/>
  <c r="K533"/>
  <c r="H533"/>
  <c r="F533"/>
  <c r="B533"/>
  <c r="M532"/>
  <c r="K532"/>
  <c r="M531"/>
  <c r="K531"/>
  <c r="M530"/>
  <c r="B530" s="1"/>
  <c r="F530" s="1"/>
  <c r="K530"/>
  <c r="H530"/>
  <c r="M529"/>
  <c r="K529"/>
  <c r="B529"/>
  <c r="M528"/>
  <c r="N528" s="1"/>
  <c r="K528"/>
  <c r="H528"/>
  <c r="B528"/>
  <c r="F528" s="1"/>
  <c r="P527"/>
  <c r="M527"/>
  <c r="N527" s="1"/>
  <c r="K527"/>
  <c r="H527"/>
  <c r="B527"/>
  <c r="F527" s="1"/>
  <c r="P526"/>
  <c r="M526"/>
  <c r="K526"/>
  <c r="B526"/>
  <c r="P525"/>
  <c r="M525"/>
  <c r="K525"/>
  <c r="B525"/>
  <c r="P524"/>
  <c r="N524"/>
  <c r="M524"/>
  <c r="K524"/>
  <c r="H524"/>
  <c r="F524"/>
  <c r="B524"/>
  <c r="M523"/>
  <c r="K523"/>
  <c r="M522"/>
  <c r="K522"/>
  <c r="D522"/>
  <c r="H522" s="1"/>
  <c r="M521"/>
  <c r="K521"/>
  <c r="M520"/>
  <c r="P520" s="1"/>
  <c r="K520"/>
  <c r="H520"/>
  <c r="M519"/>
  <c r="K519"/>
  <c r="B519"/>
  <c r="M518"/>
  <c r="K518"/>
  <c r="B518"/>
  <c r="M517"/>
  <c r="K517"/>
  <c r="H517"/>
  <c r="B517"/>
  <c r="F517" s="1"/>
  <c r="P516"/>
  <c r="M516"/>
  <c r="K516"/>
  <c r="B516"/>
  <c r="P515"/>
  <c r="M515"/>
  <c r="N515" s="1"/>
  <c r="K515"/>
  <c r="H515"/>
  <c r="B515"/>
  <c r="F515" s="1"/>
  <c r="K514"/>
  <c r="P513"/>
  <c r="M513"/>
  <c r="K513"/>
  <c r="B513"/>
  <c r="P512"/>
  <c r="M512"/>
  <c r="K512"/>
  <c r="B512"/>
  <c r="K511"/>
  <c r="M510"/>
  <c r="K510"/>
  <c r="H510"/>
  <c r="P509"/>
  <c r="M509"/>
  <c r="K509"/>
  <c r="B509"/>
  <c r="P508"/>
  <c r="M508"/>
  <c r="K508"/>
  <c r="B508"/>
  <c r="P507"/>
  <c r="M507"/>
  <c r="K507"/>
  <c r="B507"/>
  <c r="P506"/>
  <c r="M506"/>
  <c r="K506"/>
  <c r="B506"/>
  <c r="K505"/>
  <c r="K504"/>
  <c r="K503"/>
  <c r="P502"/>
  <c r="N502"/>
  <c r="M502"/>
  <c r="K502"/>
  <c r="H502"/>
  <c r="F502"/>
  <c r="B502"/>
  <c r="M501"/>
  <c r="K501"/>
  <c r="M500"/>
  <c r="P500" s="1"/>
  <c r="K500"/>
  <c r="H500"/>
  <c r="B500"/>
  <c r="F500" s="1"/>
  <c r="M499"/>
  <c r="K499"/>
  <c r="H499"/>
  <c r="P498"/>
  <c r="M498"/>
  <c r="K498"/>
  <c r="D498"/>
  <c r="H498" s="1"/>
  <c r="B498"/>
  <c r="P497"/>
  <c r="M497"/>
  <c r="N497" s="1"/>
  <c r="K497"/>
  <c r="H497"/>
  <c r="B497"/>
  <c r="F497" s="1"/>
  <c r="P496"/>
  <c r="M496"/>
  <c r="K496"/>
  <c r="D496"/>
  <c r="N496" s="1"/>
  <c r="B496"/>
  <c r="P495"/>
  <c r="N495"/>
  <c r="M495"/>
  <c r="K495"/>
  <c r="H495"/>
  <c r="F495"/>
  <c r="B495"/>
  <c r="M494"/>
  <c r="K494"/>
  <c r="M493"/>
  <c r="K493"/>
  <c r="M492"/>
  <c r="K492"/>
  <c r="N491"/>
  <c r="M491"/>
  <c r="P491" s="1"/>
  <c r="K491"/>
  <c r="H491"/>
  <c r="F491"/>
  <c r="B491"/>
  <c r="M490"/>
  <c r="B490" s="1"/>
  <c r="K490"/>
  <c r="M489"/>
  <c r="B489" s="1"/>
  <c r="K489"/>
  <c r="M488"/>
  <c r="B488" s="1"/>
  <c r="K488"/>
  <c r="M487"/>
  <c r="B487" s="1"/>
  <c r="K487"/>
  <c r="M486"/>
  <c r="B486" s="1"/>
  <c r="F486" s="1"/>
  <c r="K486"/>
  <c r="H486"/>
  <c r="P485"/>
  <c r="M485"/>
  <c r="K485"/>
  <c r="B485"/>
  <c r="P484"/>
  <c r="M484"/>
  <c r="K484"/>
  <c r="B484"/>
  <c r="P483"/>
  <c r="M483"/>
  <c r="K483"/>
  <c r="B483"/>
  <c r="P482"/>
  <c r="M482"/>
  <c r="K482"/>
  <c r="B482"/>
  <c r="P481"/>
  <c r="M481"/>
  <c r="K481"/>
  <c r="B481"/>
  <c r="P480"/>
  <c r="M480"/>
  <c r="K480"/>
  <c r="B480"/>
  <c r="P479"/>
  <c r="M479"/>
  <c r="K479"/>
  <c r="B479"/>
  <c r="K478"/>
  <c r="M477"/>
  <c r="B477" s="1"/>
  <c r="K477"/>
  <c r="M476"/>
  <c r="B476" s="1"/>
  <c r="K476"/>
  <c r="M475"/>
  <c r="B475" s="1"/>
  <c r="F475" s="1"/>
  <c r="K475"/>
  <c r="H475"/>
  <c r="P474"/>
  <c r="M474"/>
  <c r="K474"/>
  <c r="B474"/>
  <c r="P473"/>
  <c r="M473"/>
  <c r="K473"/>
  <c r="B473"/>
  <c r="P472"/>
  <c r="M472"/>
  <c r="K472"/>
  <c r="B472"/>
  <c r="P471"/>
  <c r="M471"/>
  <c r="K471"/>
  <c r="B471"/>
  <c r="P470"/>
  <c r="M470"/>
  <c r="K470"/>
  <c r="B470"/>
  <c r="P469"/>
  <c r="M469"/>
  <c r="N469" s="1"/>
  <c r="K469"/>
  <c r="H469"/>
  <c r="B469"/>
  <c r="F469" s="1"/>
  <c r="P468"/>
  <c r="M468"/>
  <c r="K468"/>
  <c r="B468"/>
  <c r="P467"/>
  <c r="M467"/>
  <c r="K467"/>
  <c r="B467"/>
  <c r="P466"/>
  <c r="N466"/>
  <c r="M466"/>
  <c r="K466"/>
  <c r="H466"/>
  <c r="F466"/>
  <c r="B466"/>
  <c r="M465"/>
  <c r="K465"/>
  <c r="M464"/>
  <c r="K464"/>
  <c r="N463"/>
  <c r="M463"/>
  <c r="P463" s="1"/>
  <c r="K463"/>
  <c r="H463"/>
  <c r="F463"/>
  <c r="B463"/>
  <c r="M462"/>
  <c r="K462"/>
  <c r="B462"/>
  <c r="M461"/>
  <c r="K461"/>
  <c r="B461"/>
  <c r="M460"/>
  <c r="K460"/>
  <c r="B460"/>
  <c r="M459"/>
  <c r="K459"/>
  <c r="B459"/>
  <c r="M458"/>
  <c r="K458"/>
  <c r="B458"/>
  <c r="M457"/>
  <c r="K457"/>
  <c r="B457"/>
  <c r="M456"/>
  <c r="K456"/>
  <c r="H456"/>
  <c r="B456"/>
  <c r="F456" s="1"/>
  <c r="P455"/>
  <c r="M455"/>
  <c r="K455"/>
  <c r="B455"/>
  <c r="P454"/>
  <c r="M454"/>
  <c r="K454"/>
  <c r="B454"/>
  <c r="P453"/>
  <c r="M453"/>
  <c r="K453"/>
  <c r="B453"/>
  <c r="P452"/>
  <c r="M452"/>
  <c r="K452"/>
  <c r="B452"/>
  <c r="P451"/>
  <c r="M451"/>
  <c r="K451"/>
  <c r="B451"/>
  <c r="P450"/>
  <c r="M450"/>
  <c r="K450"/>
  <c r="B450"/>
  <c r="P449"/>
  <c r="M449"/>
  <c r="K449"/>
  <c r="B449"/>
  <c r="P448"/>
  <c r="M448"/>
  <c r="K448"/>
  <c r="B448"/>
  <c r="P447"/>
  <c r="M447"/>
  <c r="K447"/>
  <c r="B447"/>
  <c r="P446"/>
  <c r="M446"/>
  <c r="K446"/>
  <c r="B446"/>
  <c r="P445"/>
  <c r="M445"/>
  <c r="K445"/>
  <c r="B445"/>
  <c r="P444"/>
  <c r="M444"/>
  <c r="K444"/>
  <c r="B444"/>
  <c r="P443"/>
  <c r="M443"/>
  <c r="K443"/>
  <c r="B443"/>
  <c r="P442"/>
  <c r="M442"/>
  <c r="K442"/>
  <c r="B442"/>
  <c r="P441"/>
  <c r="M441"/>
  <c r="K441"/>
  <c r="B441"/>
  <c r="P440"/>
  <c r="M440"/>
  <c r="N440" s="1"/>
  <c r="K440"/>
  <c r="H440"/>
  <c r="B440"/>
  <c r="F440" s="1"/>
  <c r="P439"/>
  <c r="M439"/>
  <c r="K439"/>
  <c r="B439"/>
  <c r="P438"/>
  <c r="M438"/>
  <c r="B438" s="1"/>
  <c r="K438"/>
  <c r="P437"/>
  <c r="N437"/>
  <c r="M437"/>
  <c r="K437"/>
  <c r="H437"/>
  <c r="F437"/>
  <c r="B437"/>
  <c r="M436"/>
  <c r="K436"/>
  <c r="M435"/>
  <c r="K435"/>
  <c r="M434"/>
  <c r="K434"/>
  <c r="M433"/>
  <c r="K433"/>
  <c r="M432"/>
  <c r="K432"/>
  <c r="M431"/>
  <c r="P431" s="1"/>
  <c r="K431"/>
  <c r="H431"/>
  <c r="B431"/>
  <c r="F431" s="1"/>
  <c r="M430"/>
  <c r="K430"/>
  <c r="B430"/>
  <c r="M429"/>
  <c r="K429"/>
  <c r="B429"/>
  <c r="K428"/>
  <c r="K427"/>
  <c r="K426"/>
  <c r="K425"/>
  <c r="N424"/>
  <c r="M424"/>
  <c r="P424" s="1"/>
  <c r="K424"/>
  <c r="H424"/>
  <c r="F424"/>
  <c r="B424"/>
  <c r="M423"/>
  <c r="K423"/>
  <c r="D423"/>
  <c r="H423" s="1"/>
  <c r="B423"/>
  <c r="M422"/>
  <c r="K422"/>
  <c r="B422"/>
  <c r="M421"/>
  <c r="K421"/>
  <c r="B421"/>
  <c r="M420"/>
  <c r="K420"/>
  <c r="B420"/>
  <c r="M419"/>
  <c r="K419"/>
  <c r="B419"/>
  <c r="M418"/>
  <c r="K418"/>
  <c r="B418"/>
  <c r="M417"/>
  <c r="K417"/>
  <c r="H417"/>
  <c r="B417"/>
  <c r="F417" s="1"/>
  <c r="P416"/>
  <c r="M416"/>
  <c r="K416"/>
  <c r="B416"/>
  <c r="P415"/>
  <c r="M415"/>
  <c r="K415"/>
  <c r="B415"/>
  <c r="P414"/>
  <c r="M414"/>
  <c r="K414"/>
  <c r="B414"/>
  <c r="P413"/>
  <c r="M413"/>
  <c r="K413"/>
  <c r="B413"/>
  <c r="P412"/>
  <c r="M412"/>
  <c r="K412"/>
  <c r="B412"/>
  <c r="P411"/>
  <c r="M411"/>
  <c r="N411" s="1"/>
  <c r="K411"/>
  <c r="H411"/>
  <c r="B411"/>
  <c r="F411" s="1"/>
  <c r="P410"/>
  <c r="M410"/>
  <c r="K410"/>
  <c r="B410"/>
  <c r="P409"/>
  <c r="M409"/>
  <c r="K409"/>
  <c r="B409"/>
  <c r="P408"/>
  <c r="M408"/>
  <c r="K408"/>
  <c r="B408"/>
  <c r="P407"/>
  <c r="M407"/>
  <c r="K407"/>
  <c r="B407"/>
  <c r="P406"/>
  <c r="M406"/>
  <c r="B406" s="1"/>
  <c r="K406"/>
  <c r="P405"/>
  <c r="M405"/>
  <c r="B405" s="1"/>
  <c r="K405"/>
  <c r="P404"/>
  <c r="N404"/>
  <c r="M404"/>
  <c r="K404"/>
  <c r="H404"/>
  <c r="F404"/>
  <c r="B404"/>
  <c r="M403"/>
  <c r="K403"/>
  <c r="M402"/>
  <c r="K402"/>
  <c r="M401"/>
  <c r="K401"/>
  <c r="M400"/>
  <c r="K400"/>
  <c r="M399"/>
  <c r="K399"/>
  <c r="N398"/>
  <c r="M398"/>
  <c r="P398" s="1"/>
  <c r="K398"/>
  <c r="H398"/>
  <c r="F398"/>
  <c r="B398"/>
  <c r="M397"/>
  <c r="K397"/>
  <c r="B397"/>
  <c r="M396"/>
  <c r="K396"/>
  <c r="B396"/>
  <c r="M395"/>
  <c r="K395"/>
  <c r="B395"/>
  <c r="K394"/>
  <c r="K393"/>
  <c r="K392"/>
  <c r="G392"/>
  <c r="M392" s="1"/>
  <c r="P392" s="1"/>
  <c r="B392"/>
  <c r="P391"/>
  <c r="M391"/>
  <c r="N391" s="1"/>
  <c r="K391"/>
  <c r="H391"/>
  <c r="B391"/>
  <c r="F391" s="1"/>
  <c r="P390"/>
  <c r="M390"/>
  <c r="K390"/>
  <c r="B390"/>
  <c r="P389"/>
  <c r="M389"/>
  <c r="K389"/>
  <c r="B389"/>
  <c r="P388"/>
  <c r="M388"/>
  <c r="K388"/>
  <c r="B388"/>
  <c r="K387"/>
  <c r="K386"/>
  <c r="M385"/>
  <c r="K385"/>
  <c r="H385"/>
  <c r="B385"/>
  <c r="F385" s="1"/>
  <c r="P384"/>
  <c r="M384"/>
  <c r="N384" s="1"/>
  <c r="K384"/>
  <c r="H384"/>
  <c r="B384"/>
  <c r="F384" s="1"/>
  <c r="P383"/>
  <c r="M383"/>
  <c r="K383"/>
  <c r="B383"/>
  <c r="P382"/>
  <c r="M382"/>
  <c r="B382" s="1"/>
  <c r="K382"/>
  <c r="D382"/>
  <c r="N382" s="1"/>
  <c r="P381"/>
  <c r="M381"/>
  <c r="B381" s="1"/>
  <c r="K381"/>
  <c r="D381"/>
  <c r="N381" s="1"/>
  <c r="K380"/>
  <c r="P379"/>
  <c r="M379"/>
  <c r="B379" s="1"/>
  <c r="K379"/>
  <c r="D379"/>
  <c r="N379" s="1"/>
  <c r="P378"/>
  <c r="N378"/>
  <c r="M378"/>
  <c r="K378"/>
  <c r="H378"/>
  <c r="F378"/>
  <c r="B378"/>
  <c r="K377"/>
  <c r="D377"/>
  <c r="P376"/>
  <c r="M376"/>
  <c r="B376" s="1"/>
  <c r="K376"/>
  <c r="D376"/>
  <c r="N376" s="1"/>
  <c r="K375"/>
  <c r="G375"/>
  <c r="M375" s="1"/>
  <c r="P375" s="1"/>
  <c r="P374"/>
  <c r="M374"/>
  <c r="K374"/>
  <c r="D374"/>
  <c r="N374" s="1"/>
  <c r="B374"/>
  <c r="P373"/>
  <c r="M373"/>
  <c r="K373"/>
  <c r="D373"/>
  <c r="N373" s="1"/>
  <c r="B373"/>
  <c r="P372"/>
  <c r="M372"/>
  <c r="K372"/>
  <c r="D372"/>
  <c r="H372" s="1"/>
  <c r="B372"/>
  <c r="P371"/>
  <c r="N371"/>
  <c r="M371"/>
  <c r="K371"/>
  <c r="H371"/>
  <c r="F371"/>
  <c r="B371"/>
  <c r="K370"/>
  <c r="D370"/>
  <c r="K369"/>
  <c r="K368"/>
  <c r="D368"/>
  <c r="M367"/>
  <c r="K367"/>
  <c r="D367"/>
  <c r="H367" s="1"/>
  <c r="M366"/>
  <c r="K366"/>
  <c r="D366"/>
  <c r="H366" s="1"/>
  <c r="M365"/>
  <c r="K365"/>
  <c r="D365"/>
  <c r="H365" s="1"/>
  <c r="K364"/>
  <c r="G364"/>
  <c r="H364" s="1"/>
  <c r="D364"/>
  <c r="P363"/>
  <c r="N363"/>
  <c r="M363"/>
  <c r="K363"/>
  <c r="H363"/>
  <c r="F363"/>
  <c r="B363"/>
  <c r="M362"/>
  <c r="P362" s="1"/>
  <c r="K362"/>
  <c r="H362"/>
  <c r="B362"/>
  <c r="F362" s="1"/>
  <c r="M361"/>
  <c r="K361"/>
  <c r="H361"/>
  <c r="K360"/>
  <c r="D360"/>
  <c r="M359"/>
  <c r="K359"/>
  <c r="D359"/>
  <c r="H359" s="1"/>
  <c r="B359"/>
  <c r="M358"/>
  <c r="K358"/>
  <c r="D358"/>
  <c r="H358" s="1"/>
  <c r="B358"/>
  <c r="K357"/>
  <c r="D357"/>
  <c r="M356"/>
  <c r="K356"/>
  <c r="D356"/>
  <c r="H356" s="1"/>
  <c r="M355"/>
  <c r="N355" s="1"/>
  <c r="K355"/>
  <c r="D355"/>
  <c r="H355" s="1"/>
  <c r="M354"/>
  <c r="K354"/>
  <c r="D354"/>
  <c r="H354" s="1"/>
  <c r="N353"/>
  <c r="M353"/>
  <c r="P353" s="1"/>
  <c r="K353"/>
  <c r="H353"/>
  <c r="F353"/>
  <c r="B353"/>
  <c r="M352"/>
  <c r="K352"/>
  <c r="D352"/>
  <c r="H352" s="1"/>
  <c r="B352"/>
  <c r="K351"/>
  <c r="D351"/>
  <c r="M350"/>
  <c r="K350"/>
  <c r="D350"/>
  <c r="H350" s="1"/>
  <c r="M349"/>
  <c r="K349"/>
  <c r="D349"/>
  <c r="H349" s="1"/>
  <c r="M348"/>
  <c r="K348"/>
  <c r="D348"/>
  <c r="H348" s="1"/>
  <c r="M347"/>
  <c r="K347"/>
  <c r="D347"/>
  <c r="H347" s="1"/>
  <c r="M346"/>
  <c r="K346"/>
  <c r="D346"/>
  <c r="H346" s="1"/>
  <c r="M345"/>
  <c r="P345" s="1"/>
  <c r="K345"/>
  <c r="H345"/>
  <c r="B345"/>
  <c r="F345" s="1"/>
  <c r="M344"/>
  <c r="K344"/>
  <c r="D344"/>
  <c r="H344" s="1"/>
  <c r="B344"/>
  <c r="F344" s="1"/>
  <c r="M343"/>
  <c r="K343"/>
  <c r="H343"/>
  <c r="B343"/>
  <c r="F343" s="1"/>
  <c r="P342"/>
  <c r="M342"/>
  <c r="N342" s="1"/>
  <c r="K342"/>
  <c r="H342"/>
  <c r="D342"/>
  <c r="B342"/>
  <c r="F342" s="1"/>
  <c r="P341"/>
  <c r="M341"/>
  <c r="N341" s="1"/>
  <c r="K341"/>
  <c r="H341"/>
  <c r="D341"/>
  <c r="B341"/>
  <c r="F341" s="1"/>
  <c r="P340"/>
  <c r="M340"/>
  <c r="N340" s="1"/>
  <c r="K340"/>
  <c r="H340"/>
  <c r="D340"/>
  <c r="B340"/>
  <c r="F340" s="1"/>
  <c r="P339"/>
  <c r="M339"/>
  <c r="N339" s="1"/>
  <c r="K339"/>
  <c r="H339"/>
  <c r="B339"/>
  <c r="F339" s="1"/>
  <c r="P338"/>
  <c r="N338"/>
  <c r="M338"/>
  <c r="K338"/>
  <c r="H338"/>
  <c r="F338"/>
  <c r="D338"/>
  <c r="B338"/>
  <c r="P337"/>
  <c r="N337"/>
  <c r="M337"/>
  <c r="K337"/>
  <c r="H337"/>
  <c r="F337"/>
  <c r="D337"/>
  <c r="B337"/>
  <c r="P336"/>
  <c r="N336"/>
  <c r="M336"/>
  <c r="K336"/>
  <c r="H336"/>
  <c r="F336"/>
  <c r="B336"/>
  <c r="M335"/>
  <c r="K335"/>
  <c r="M334"/>
  <c r="K334"/>
  <c r="N333"/>
  <c r="M333"/>
  <c r="P333" s="1"/>
  <c r="K333"/>
  <c r="H333"/>
  <c r="F333"/>
  <c r="B333"/>
  <c r="M332"/>
  <c r="B332" s="1"/>
  <c r="K332"/>
  <c r="M331"/>
  <c r="B331" s="1"/>
  <c r="K331"/>
  <c r="M330"/>
  <c r="B330" s="1"/>
  <c r="F330" s="1"/>
  <c r="K330"/>
  <c r="H330"/>
  <c r="K329"/>
  <c r="D329"/>
  <c r="M328"/>
  <c r="K328"/>
  <c r="H328"/>
  <c r="P327"/>
  <c r="M327"/>
  <c r="K327"/>
  <c r="B327"/>
  <c r="P326"/>
  <c r="M326"/>
  <c r="N326" s="1"/>
  <c r="K326"/>
  <c r="H326"/>
  <c r="B326"/>
  <c r="F326" s="1"/>
  <c r="P325"/>
  <c r="N325"/>
  <c r="M325"/>
  <c r="K325"/>
  <c r="H325"/>
  <c r="F325"/>
  <c r="B325"/>
  <c r="M324"/>
  <c r="K324"/>
  <c r="N323"/>
  <c r="M323"/>
  <c r="P323" s="1"/>
  <c r="K323"/>
  <c r="H323"/>
  <c r="F323"/>
  <c r="B323"/>
  <c r="M322"/>
  <c r="K322"/>
  <c r="D322"/>
  <c r="H322" s="1"/>
  <c r="M321"/>
  <c r="K321"/>
  <c r="M320"/>
  <c r="K320"/>
  <c r="M319"/>
  <c r="K319"/>
  <c r="H319"/>
  <c r="P318"/>
  <c r="M318"/>
  <c r="K318"/>
  <c r="B318"/>
  <c r="P317"/>
  <c r="M317"/>
  <c r="K317"/>
  <c r="B317"/>
  <c r="P316"/>
  <c r="M316"/>
  <c r="K316"/>
  <c r="B316"/>
  <c r="P315"/>
  <c r="M315"/>
  <c r="K315"/>
  <c r="B315"/>
  <c r="P314"/>
  <c r="M314"/>
  <c r="K314"/>
  <c r="B314"/>
  <c r="P313"/>
  <c r="M313"/>
  <c r="K313"/>
  <c r="B313"/>
  <c r="P312"/>
  <c r="M312"/>
  <c r="N312" s="1"/>
  <c r="K312"/>
  <c r="H312"/>
  <c r="D312"/>
  <c r="B312"/>
  <c r="F312" s="1"/>
  <c r="P311"/>
  <c r="M311"/>
  <c r="N311" s="1"/>
  <c r="K311"/>
  <c r="H311"/>
  <c r="D311"/>
  <c r="B311"/>
  <c r="F311" s="1"/>
  <c r="P310"/>
  <c r="M310"/>
  <c r="N310" s="1"/>
  <c r="K310"/>
  <c r="H310"/>
  <c r="D310"/>
  <c r="B310"/>
  <c r="F310" s="1"/>
  <c r="P309"/>
  <c r="M309"/>
  <c r="N309" s="1"/>
  <c r="K309"/>
  <c r="H309"/>
  <c r="D309"/>
  <c r="B309"/>
  <c r="F309" s="1"/>
  <c r="P308"/>
  <c r="M308"/>
  <c r="N308" s="1"/>
  <c r="K308"/>
  <c r="H308"/>
  <c r="B308"/>
  <c r="F308" s="1"/>
  <c r="P307"/>
  <c r="M307"/>
  <c r="K307"/>
  <c r="B307"/>
  <c r="P306"/>
  <c r="M306"/>
  <c r="K306"/>
  <c r="B306"/>
  <c r="P305"/>
  <c r="M305"/>
  <c r="K305"/>
  <c r="B305"/>
  <c r="K304"/>
  <c r="K303"/>
  <c r="M302"/>
  <c r="K302"/>
  <c r="H302"/>
  <c r="B302"/>
  <c r="F302" s="1"/>
  <c r="P301"/>
  <c r="M301"/>
  <c r="N301" s="1"/>
  <c r="K301"/>
  <c r="H301"/>
  <c r="D301"/>
  <c r="B301"/>
  <c r="F301" s="1"/>
  <c r="K300"/>
  <c r="K299"/>
  <c r="K298"/>
  <c r="P297"/>
  <c r="N297"/>
  <c r="M297"/>
  <c r="K297"/>
  <c r="H297"/>
  <c r="F297"/>
  <c r="B297"/>
  <c r="K296"/>
  <c r="K295"/>
  <c r="D295"/>
  <c r="K294"/>
  <c r="D294"/>
  <c r="K293"/>
  <c r="D293"/>
  <c r="K292"/>
  <c r="P291"/>
  <c r="N291"/>
  <c r="M291"/>
  <c r="K291"/>
  <c r="H291"/>
  <c r="F291"/>
  <c r="B291"/>
  <c r="M290"/>
  <c r="K290"/>
  <c r="M289"/>
  <c r="K289"/>
  <c r="M288"/>
  <c r="K288"/>
  <c r="N287"/>
  <c r="M287"/>
  <c r="P287" s="1"/>
  <c r="K287"/>
  <c r="H287"/>
  <c r="F287"/>
  <c r="B287"/>
  <c r="M286"/>
  <c r="K286"/>
  <c r="M285"/>
  <c r="K285"/>
  <c r="M284"/>
  <c r="K284"/>
  <c r="H284"/>
  <c r="K283"/>
  <c r="K282"/>
  <c r="W281"/>
  <c r="K281"/>
  <c r="D281"/>
  <c r="P280"/>
  <c r="M280"/>
  <c r="K280"/>
  <c r="B280"/>
  <c r="P279"/>
  <c r="M279"/>
  <c r="K279"/>
  <c r="B279"/>
  <c r="P278"/>
  <c r="M278"/>
  <c r="N278" s="1"/>
  <c r="K278"/>
  <c r="H278"/>
  <c r="B278"/>
  <c r="F278" s="1"/>
  <c r="K277"/>
  <c r="K276"/>
  <c r="K275"/>
  <c r="K274"/>
  <c r="P273"/>
  <c r="N273"/>
  <c r="M273"/>
  <c r="K273"/>
  <c r="H273"/>
  <c r="F273"/>
  <c r="B273"/>
  <c r="K272"/>
  <c r="K271"/>
  <c r="K270"/>
  <c r="M269"/>
  <c r="K269"/>
  <c r="H269"/>
  <c r="B269"/>
  <c r="F269" s="1"/>
  <c r="P268"/>
  <c r="M268"/>
  <c r="K268"/>
  <c r="B268"/>
  <c r="P267"/>
  <c r="M267"/>
  <c r="N267" s="1"/>
  <c r="K267"/>
  <c r="H267"/>
  <c r="B267"/>
  <c r="F267" s="1"/>
  <c r="K266"/>
  <c r="Z265"/>
  <c r="K265"/>
  <c r="M264"/>
  <c r="K264"/>
  <c r="M263"/>
  <c r="K263"/>
  <c r="M262"/>
  <c r="K262"/>
  <c r="M261"/>
  <c r="K261"/>
  <c r="N260"/>
  <c r="M260"/>
  <c r="P260" s="1"/>
  <c r="K260"/>
  <c r="H260"/>
  <c r="F260"/>
  <c r="B260"/>
  <c r="K259"/>
  <c r="N258"/>
  <c r="M258"/>
  <c r="P258" s="1"/>
  <c r="K258"/>
  <c r="H258"/>
  <c r="F258"/>
  <c r="B258"/>
  <c r="M257"/>
  <c r="K257"/>
  <c r="M256"/>
  <c r="K256"/>
  <c r="H256"/>
  <c r="P255"/>
  <c r="M255"/>
  <c r="N255" s="1"/>
  <c r="K255"/>
  <c r="H255"/>
  <c r="B255"/>
  <c r="F255" s="1"/>
  <c r="P254"/>
  <c r="M254"/>
  <c r="K254"/>
  <c r="B254"/>
  <c r="P253"/>
  <c r="M253"/>
  <c r="B253" s="1"/>
  <c r="K253"/>
  <c r="K252"/>
  <c r="K251"/>
  <c r="D251"/>
  <c r="K250"/>
  <c r="D250"/>
  <c r="M249"/>
  <c r="K249"/>
  <c r="M248"/>
  <c r="K248"/>
  <c r="M247"/>
  <c r="K247"/>
  <c r="M246"/>
  <c r="K246"/>
  <c r="M245"/>
  <c r="K245"/>
  <c r="M244"/>
  <c r="K244"/>
  <c r="M243"/>
  <c r="K243"/>
  <c r="M242"/>
  <c r="K242"/>
  <c r="M241"/>
  <c r="K241"/>
  <c r="M240"/>
  <c r="K240"/>
  <c r="M239"/>
  <c r="K239"/>
  <c r="M238"/>
  <c r="K238"/>
  <c r="N237"/>
  <c r="M237"/>
  <c r="P237" s="1"/>
  <c r="K237"/>
  <c r="H237"/>
  <c r="F237"/>
  <c r="B237"/>
  <c r="K236"/>
  <c r="D236"/>
  <c r="P235"/>
  <c r="M235"/>
  <c r="K235"/>
  <c r="B235"/>
  <c r="P234"/>
  <c r="M234"/>
  <c r="K234"/>
  <c r="B234"/>
  <c r="P233"/>
  <c r="M233"/>
  <c r="N233" s="1"/>
  <c r="K233"/>
  <c r="H233"/>
  <c r="B233"/>
  <c r="F233" s="1"/>
  <c r="P232"/>
  <c r="N232"/>
  <c r="M232"/>
  <c r="K232"/>
  <c r="H232"/>
  <c r="F232"/>
  <c r="B232"/>
  <c r="M231"/>
  <c r="P231" s="1"/>
  <c r="K231"/>
  <c r="M230"/>
  <c r="P230" s="1"/>
  <c r="K230"/>
  <c r="N229"/>
  <c r="M229"/>
  <c r="P229" s="1"/>
  <c r="K229"/>
  <c r="H229"/>
  <c r="F229"/>
  <c r="B229"/>
  <c r="M228"/>
  <c r="K228"/>
  <c r="M227"/>
  <c r="N227" s="1"/>
  <c r="K227"/>
  <c r="H227"/>
  <c r="B227"/>
  <c r="F227" s="1"/>
  <c r="P226"/>
  <c r="M226"/>
  <c r="K226"/>
  <c r="B226"/>
  <c r="P225"/>
  <c r="M225"/>
  <c r="K225"/>
  <c r="B225"/>
  <c r="P224"/>
  <c r="M224"/>
  <c r="K224"/>
  <c r="B224"/>
  <c r="P223"/>
  <c r="M223"/>
  <c r="K223"/>
  <c r="B223"/>
  <c r="P222"/>
  <c r="M222"/>
  <c r="N222" s="1"/>
  <c r="K222"/>
  <c r="H222"/>
  <c r="B222"/>
  <c r="F222" s="1"/>
  <c r="P221"/>
  <c r="N221"/>
  <c r="M221"/>
  <c r="K221"/>
  <c r="H221"/>
  <c r="F221"/>
  <c r="D221"/>
  <c r="B221"/>
  <c r="K220"/>
  <c r="K219"/>
  <c r="M218"/>
  <c r="N218" s="1"/>
  <c r="K218"/>
  <c r="H218"/>
  <c r="B218"/>
  <c r="F218" s="1"/>
  <c r="P217"/>
  <c r="M217"/>
  <c r="K217"/>
  <c r="B217"/>
  <c r="P216"/>
  <c r="M216"/>
  <c r="K216"/>
  <c r="B216"/>
  <c r="P215"/>
  <c r="M215"/>
  <c r="K215"/>
  <c r="B215"/>
  <c r="P214"/>
  <c r="N214"/>
  <c r="M214"/>
  <c r="K214"/>
  <c r="H214"/>
  <c r="F214"/>
  <c r="B214"/>
  <c r="P213"/>
  <c r="N213"/>
  <c r="M213"/>
  <c r="K213"/>
  <c r="H213"/>
  <c r="F213"/>
  <c r="B213"/>
  <c r="N212"/>
  <c r="M212"/>
  <c r="P212" s="1"/>
  <c r="K212"/>
  <c r="H212"/>
  <c r="F212"/>
  <c r="B212"/>
  <c r="M211"/>
  <c r="N211" s="1"/>
  <c r="K211"/>
  <c r="H211"/>
  <c r="B211"/>
  <c r="F211" s="1"/>
  <c r="P210"/>
  <c r="M210"/>
  <c r="N210" s="1"/>
  <c r="K210"/>
  <c r="H210"/>
  <c r="B210"/>
  <c r="F210" s="1"/>
  <c r="P209"/>
  <c r="M209"/>
  <c r="K209"/>
  <c r="B209"/>
  <c r="P208"/>
  <c r="M208"/>
  <c r="K208"/>
  <c r="B208"/>
  <c r="P207"/>
  <c r="M207"/>
  <c r="K207"/>
  <c r="B207"/>
  <c r="P206"/>
  <c r="M206"/>
  <c r="K206"/>
  <c r="B206"/>
  <c r="P205"/>
  <c r="M205"/>
  <c r="K205"/>
  <c r="B205"/>
  <c r="P204"/>
  <c r="N204"/>
  <c r="M204"/>
  <c r="K204"/>
  <c r="H204"/>
  <c r="F204"/>
  <c r="B204"/>
  <c r="M203"/>
  <c r="P203" s="1"/>
  <c r="K203"/>
  <c r="M202"/>
  <c r="P202" s="1"/>
  <c r="K202"/>
  <c r="M201"/>
  <c r="P201" s="1"/>
  <c r="K201"/>
  <c r="M200"/>
  <c r="P200" s="1"/>
  <c r="K200"/>
  <c r="M199"/>
  <c r="P199" s="1"/>
  <c r="K199"/>
  <c r="N198"/>
  <c r="M198"/>
  <c r="P198" s="1"/>
  <c r="K198"/>
  <c r="H198"/>
  <c r="F198"/>
  <c r="B198"/>
  <c r="M197"/>
  <c r="K197"/>
  <c r="M196"/>
  <c r="K196"/>
  <c r="M195"/>
  <c r="K195"/>
  <c r="M194"/>
  <c r="K194"/>
  <c r="M193"/>
  <c r="K193"/>
  <c r="M192"/>
  <c r="N192" s="1"/>
  <c r="K192"/>
  <c r="H192"/>
  <c r="B192"/>
  <c r="F192" s="1"/>
  <c r="P191"/>
  <c r="M191"/>
  <c r="K191"/>
  <c r="B191"/>
  <c r="P190"/>
  <c r="M190"/>
  <c r="K190"/>
  <c r="B190"/>
  <c r="P189"/>
  <c r="M189"/>
  <c r="K189"/>
  <c r="B189"/>
  <c r="P188"/>
  <c r="M188"/>
  <c r="K188"/>
  <c r="B188"/>
  <c r="P187"/>
  <c r="M187"/>
  <c r="K187"/>
  <c r="B187"/>
  <c r="P186"/>
  <c r="M186"/>
  <c r="N186" s="1"/>
  <c r="K186"/>
  <c r="H186"/>
  <c r="B186"/>
  <c r="F186" s="1"/>
  <c r="P185"/>
  <c r="M185"/>
  <c r="K185"/>
  <c r="B185"/>
  <c r="P184"/>
  <c r="M184"/>
  <c r="K184"/>
  <c r="B184"/>
  <c r="P183"/>
  <c r="M183"/>
  <c r="K183"/>
  <c r="B183"/>
  <c r="P182"/>
  <c r="M182"/>
  <c r="K182"/>
  <c r="B182"/>
  <c r="P181"/>
  <c r="M181"/>
  <c r="K181"/>
  <c r="B181"/>
  <c r="P180"/>
  <c r="N180"/>
  <c r="M180"/>
  <c r="K180"/>
  <c r="H180"/>
  <c r="F180"/>
  <c r="B180"/>
  <c r="M179"/>
  <c r="P179" s="1"/>
  <c r="K179"/>
  <c r="M178"/>
  <c r="P178" s="1"/>
  <c r="K178"/>
  <c r="M177"/>
  <c r="P177" s="1"/>
  <c r="K177"/>
  <c r="M176"/>
  <c r="P176" s="1"/>
  <c r="K176"/>
  <c r="M175"/>
  <c r="P175" s="1"/>
  <c r="K175"/>
  <c r="M174"/>
  <c r="P174" s="1"/>
  <c r="K174"/>
  <c r="N173"/>
  <c r="M173"/>
  <c r="P173" s="1"/>
  <c r="K173"/>
  <c r="H173"/>
  <c r="F173"/>
  <c r="B173"/>
  <c r="M172"/>
  <c r="K172"/>
  <c r="M171"/>
  <c r="K171"/>
  <c r="M170"/>
  <c r="K170"/>
  <c r="M169"/>
  <c r="K169"/>
  <c r="M168"/>
  <c r="K168"/>
  <c r="M167"/>
  <c r="K167"/>
  <c r="M166"/>
  <c r="K166"/>
  <c r="M165"/>
  <c r="K165"/>
  <c r="M164"/>
  <c r="K164"/>
  <c r="M163"/>
  <c r="K163"/>
  <c r="M162"/>
  <c r="K162"/>
  <c r="M161"/>
  <c r="K161"/>
  <c r="M160"/>
  <c r="N160" s="1"/>
  <c r="K160"/>
  <c r="H160"/>
  <c r="P159"/>
  <c r="M159"/>
  <c r="N159" s="1"/>
  <c r="K159"/>
  <c r="H159"/>
  <c r="B159"/>
  <c r="F159" s="1"/>
  <c r="K158"/>
  <c r="P157"/>
  <c r="M157"/>
  <c r="N157" s="1"/>
  <c r="K157"/>
  <c r="H157"/>
  <c r="B157"/>
  <c r="F157" s="1"/>
  <c r="P156"/>
  <c r="N156"/>
  <c r="M156"/>
  <c r="K156"/>
  <c r="H156"/>
  <c r="F156"/>
  <c r="B156"/>
  <c r="N155"/>
  <c r="M155"/>
  <c r="P155" s="1"/>
  <c r="K155"/>
  <c r="H155"/>
  <c r="F155"/>
  <c r="B155"/>
  <c r="M154"/>
  <c r="N154" s="1"/>
  <c r="K154"/>
  <c r="H154"/>
  <c r="P153"/>
  <c r="M153"/>
  <c r="N153" s="1"/>
  <c r="K153"/>
  <c r="H153"/>
  <c r="B153"/>
  <c r="F153" s="1"/>
  <c r="P152"/>
  <c r="N152"/>
  <c r="M152"/>
  <c r="K152"/>
  <c r="H152"/>
  <c r="F152"/>
  <c r="B152"/>
  <c r="N151"/>
  <c r="M151"/>
  <c r="P151" s="1"/>
  <c r="K151"/>
  <c r="H151"/>
  <c r="F151"/>
  <c r="B151"/>
  <c r="M150"/>
  <c r="K150"/>
  <c r="M149"/>
  <c r="K149"/>
  <c r="M148"/>
  <c r="K148"/>
  <c r="K147"/>
  <c r="K146"/>
  <c r="P145"/>
  <c r="N145"/>
  <c r="M145"/>
  <c r="K145"/>
  <c r="H145"/>
  <c r="F145"/>
  <c r="B145"/>
  <c r="N144"/>
  <c r="M144"/>
  <c r="P144" s="1"/>
  <c r="K144"/>
  <c r="H144"/>
  <c r="F144"/>
  <c r="B144"/>
  <c r="M143"/>
  <c r="N143" s="1"/>
  <c r="K143"/>
  <c r="H143"/>
  <c r="B143"/>
  <c r="F143" s="1"/>
  <c r="P142"/>
  <c r="M142"/>
  <c r="N142" s="1"/>
  <c r="K142"/>
  <c r="H142"/>
  <c r="B142"/>
  <c r="F142" s="1"/>
  <c r="P141"/>
  <c r="N141"/>
  <c r="M141"/>
  <c r="K141"/>
  <c r="H141"/>
  <c r="F141"/>
  <c r="B141"/>
  <c r="N140"/>
  <c r="M140"/>
  <c r="P140" s="1"/>
  <c r="K140"/>
  <c r="H140"/>
  <c r="F140"/>
  <c r="B140"/>
  <c r="M139"/>
  <c r="N139" s="1"/>
  <c r="K139"/>
  <c r="H139"/>
  <c r="B139"/>
  <c r="F139" s="1"/>
  <c r="P138"/>
  <c r="M138"/>
  <c r="K138"/>
  <c r="B138"/>
  <c r="P137"/>
  <c r="M137"/>
  <c r="K137"/>
  <c r="B137"/>
  <c r="P136"/>
  <c r="M136"/>
  <c r="K136"/>
  <c r="B136"/>
  <c r="K135"/>
  <c r="K134"/>
  <c r="N133"/>
  <c r="M133"/>
  <c r="P133" s="1"/>
  <c r="K133"/>
  <c r="H133"/>
  <c r="F133"/>
  <c r="B133"/>
  <c r="M132"/>
  <c r="N132" s="1"/>
  <c r="K132"/>
  <c r="H132"/>
  <c r="B132"/>
  <c r="F132" s="1"/>
  <c r="P131"/>
  <c r="M131"/>
  <c r="N131" s="1"/>
  <c r="K131"/>
  <c r="H131"/>
  <c r="F131"/>
  <c r="B131"/>
  <c r="P130"/>
  <c r="N130"/>
  <c r="M130"/>
  <c r="K130"/>
  <c r="H130"/>
  <c r="F130"/>
  <c r="B130"/>
  <c r="N129"/>
  <c r="M129"/>
  <c r="P129" s="1"/>
  <c r="K129"/>
  <c r="H129"/>
  <c r="F129"/>
  <c r="B129"/>
  <c r="M128"/>
  <c r="N128" s="1"/>
  <c r="K128"/>
  <c r="H128"/>
  <c r="B128"/>
  <c r="F128" s="1"/>
  <c r="P127"/>
  <c r="N127"/>
  <c r="M127"/>
  <c r="K127"/>
  <c r="H127"/>
  <c r="F127"/>
  <c r="B127"/>
  <c r="P126"/>
  <c r="N126"/>
  <c r="M126"/>
  <c r="K126"/>
  <c r="H126"/>
  <c r="F126"/>
  <c r="B126"/>
  <c r="N125"/>
  <c r="M125"/>
  <c r="P125" s="1"/>
  <c r="K125"/>
  <c r="H125"/>
  <c r="F125"/>
  <c r="B125"/>
  <c r="M124"/>
  <c r="N124" s="1"/>
  <c r="K124"/>
  <c r="H124"/>
  <c r="B124"/>
  <c r="F124" s="1"/>
  <c r="P123"/>
  <c r="M123"/>
  <c r="N123" s="1"/>
  <c r="K123"/>
  <c r="H123"/>
  <c r="B123"/>
  <c r="F123" s="1"/>
  <c r="P122"/>
  <c r="N122"/>
  <c r="M122"/>
  <c r="K122"/>
  <c r="H122"/>
  <c r="F122"/>
  <c r="B122"/>
  <c r="N121"/>
  <c r="M121"/>
  <c r="P121" s="1"/>
  <c r="K121"/>
  <c r="H121"/>
  <c r="F121"/>
  <c r="B121"/>
  <c r="M120"/>
  <c r="K120"/>
  <c r="M119"/>
  <c r="K119"/>
  <c r="M118"/>
  <c r="K118"/>
  <c r="M117"/>
  <c r="K117"/>
  <c r="M116"/>
  <c r="K116"/>
  <c r="M115"/>
  <c r="N115" s="1"/>
  <c r="K115"/>
  <c r="H115"/>
  <c r="P114"/>
  <c r="M114"/>
  <c r="K114"/>
  <c r="B114"/>
  <c r="P113"/>
  <c r="M113"/>
  <c r="K113"/>
  <c r="B113"/>
  <c r="P112"/>
  <c r="M112"/>
  <c r="K112"/>
  <c r="B112"/>
  <c r="P111"/>
  <c r="M111"/>
  <c r="K111"/>
  <c r="B111"/>
  <c r="P110"/>
  <c r="M110"/>
  <c r="K110"/>
  <c r="B110"/>
  <c r="P109"/>
  <c r="M109"/>
  <c r="N109" s="1"/>
  <c r="K109"/>
  <c r="H109"/>
  <c r="B109"/>
  <c r="F109" s="1"/>
  <c r="P108"/>
  <c r="N108"/>
  <c r="M108"/>
  <c r="K108"/>
  <c r="H108"/>
  <c r="F108"/>
  <c r="B108"/>
  <c r="N107"/>
  <c r="M107"/>
  <c r="P107" s="1"/>
  <c r="K107"/>
  <c r="H107"/>
  <c r="F107"/>
  <c r="B107"/>
  <c r="M106"/>
  <c r="N106" s="1"/>
  <c r="K106"/>
  <c r="H106"/>
  <c r="P105"/>
  <c r="M105"/>
  <c r="N105" s="1"/>
  <c r="K105"/>
  <c r="H105"/>
  <c r="F105"/>
  <c r="B105"/>
  <c r="P104"/>
  <c r="N104"/>
  <c r="M104"/>
  <c r="K104"/>
  <c r="H104"/>
  <c r="F104"/>
  <c r="B104"/>
  <c r="N103"/>
  <c r="M103"/>
  <c r="P103" s="1"/>
  <c r="K103"/>
  <c r="H103"/>
  <c r="F103"/>
  <c r="B103"/>
  <c r="M102"/>
  <c r="N102" s="1"/>
  <c r="K102"/>
  <c r="H102"/>
  <c r="P101"/>
  <c r="M101"/>
  <c r="K101"/>
  <c r="B101"/>
  <c r="P100"/>
  <c r="M100"/>
  <c r="K100"/>
  <c r="B100"/>
  <c r="K99"/>
  <c r="K98"/>
  <c r="K97"/>
  <c r="P96"/>
  <c r="M96"/>
  <c r="K96"/>
  <c r="B96"/>
  <c r="P95"/>
  <c r="N95"/>
  <c r="M95"/>
  <c r="K95"/>
  <c r="H95"/>
  <c r="F95"/>
  <c r="B95"/>
  <c r="N94"/>
  <c r="M94"/>
  <c r="P94" s="1"/>
  <c r="K94"/>
  <c r="H94"/>
  <c r="F94"/>
  <c r="B94"/>
  <c r="M93"/>
  <c r="N93" s="1"/>
  <c r="K93"/>
  <c r="H93"/>
  <c r="B93"/>
  <c r="F93" s="1"/>
  <c r="P92"/>
  <c r="M92"/>
  <c r="N92" s="1"/>
  <c r="K92"/>
  <c r="H92"/>
  <c r="F92"/>
  <c r="B92"/>
  <c r="P91"/>
  <c r="N91"/>
  <c r="M91"/>
  <c r="K91"/>
  <c r="H91"/>
  <c r="F91"/>
  <c r="B91"/>
  <c r="N90"/>
  <c r="M90"/>
  <c r="P90" s="1"/>
  <c r="K90"/>
  <c r="H90"/>
  <c r="F90"/>
  <c r="B90"/>
  <c r="M89"/>
  <c r="N89" s="1"/>
  <c r="K89"/>
  <c r="H89"/>
  <c r="B89"/>
  <c r="F89" s="1"/>
  <c r="P88"/>
  <c r="M88"/>
  <c r="N88" s="1"/>
  <c r="K88"/>
  <c r="H88"/>
  <c r="F88"/>
  <c r="B88"/>
  <c r="P87"/>
  <c r="N87"/>
  <c r="M87"/>
  <c r="K87"/>
  <c r="H87"/>
  <c r="F87"/>
  <c r="B87"/>
  <c r="N86"/>
  <c r="M86"/>
  <c r="P86" s="1"/>
  <c r="K86"/>
  <c r="H86"/>
  <c r="F86"/>
  <c r="B86"/>
  <c r="M85"/>
  <c r="N85" s="1"/>
  <c r="K85"/>
  <c r="H85"/>
  <c r="B85"/>
  <c r="F85" s="1"/>
  <c r="P84"/>
  <c r="M84"/>
  <c r="N84" s="1"/>
  <c r="K84"/>
  <c r="H84"/>
  <c r="F84"/>
  <c r="B84"/>
  <c r="P83"/>
  <c r="N83"/>
  <c r="M83"/>
  <c r="K83"/>
  <c r="H83"/>
  <c r="F83"/>
  <c r="B83"/>
  <c r="N82"/>
  <c r="M82"/>
  <c r="P82" s="1"/>
  <c r="K82"/>
  <c r="H82"/>
  <c r="F82"/>
  <c r="B82"/>
  <c r="M81"/>
  <c r="N81" s="1"/>
  <c r="K81"/>
  <c r="H81"/>
  <c r="B81"/>
  <c r="F81" s="1"/>
  <c r="P80"/>
  <c r="M80"/>
  <c r="K80"/>
  <c r="B80"/>
  <c r="P79"/>
  <c r="M79"/>
  <c r="K79"/>
  <c r="B79"/>
  <c r="P78"/>
  <c r="M78"/>
  <c r="K78"/>
  <c r="B78"/>
  <c r="P77"/>
  <c r="M77"/>
  <c r="K77"/>
  <c r="B77"/>
  <c r="P76"/>
  <c r="M76"/>
  <c r="K76"/>
  <c r="B76"/>
  <c r="P75"/>
  <c r="M75"/>
  <c r="K75"/>
  <c r="B75"/>
  <c r="P74"/>
  <c r="M74"/>
  <c r="K74"/>
  <c r="B74"/>
  <c r="P73"/>
  <c r="M73"/>
  <c r="K73"/>
  <c r="B73"/>
  <c r="P72"/>
  <c r="M72"/>
  <c r="K72"/>
  <c r="B72"/>
  <c r="P71"/>
  <c r="M71"/>
  <c r="K71"/>
  <c r="B71"/>
  <c r="P70"/>
  <c r="M70"/>
  <c r="K70"/>
  <c r="B70"/>
  <c r="P69"/>
  <c r="M69"/>
  <c r="K69"/>
  <c r="B69"/>
  <c r="P68"/>
  <c r="M68"/>
  <c r="K68"/>
  <c r="B68"/>
  <c r="P67"/>
  <c r="M67"/>
  <c r="K67"/>
  <c r="B67"/>
  <c r="P66"/>
  <c r="M66"/>
  <c r="K66"/>
  <c r="B66"/>
  <c r="P65"/>
  <c r="M65"/>
  <c r="N65" s="1"/>
  <c r="K65"/>
  <c r="H65"/>
  <c r="B65"/>
  <c r="F65" s="1"/>
  <c r="P64"/>
  <c r="M64"/>
  <c r="K64"/>
  <c r="B64"/>
  <c r="P63"/>
  <c r="M63"/>
  <c r="K63"/>
  <c r="B63"/>
  <c r="P62"/>
  <c r="M62"/>
  <c r="K62"/>
  <c r="B62"/>
  <c r="P61"/>
  <c r="M61"/>
  <c r="K61"/>
  <c r="B61"/>
  <c r="P60"/>
  <c r="M60"/>
  <c r="K60"/>
  <c r="B60"/>
  <c r="P59"/>
  <c r="M59"/>
  <c r="K59"/>
  <c r="B59"/>
  <c r="P58"/>
  <c r="N58"/>
  <c r="M58"/>
  <c r="K58"/>
  <c r="H58"/>
  <c r="F58"/>
  <c r="B58"/>
  <c r="N57"/>
  <c r="M57"/>
  <c r="P57" s="1"/>
  <c r="K57"/>
  <c r="H57"/>
  <c r="F57"/>
  <c r="B57"/>
  <c r="M56"/>
  <c r="N56" s="1"/>
  <c r="K56"/>
  <c r="H56"/>
  <c r="B56"/>
  <c r="F56" s="1"/>
  <c r="P55"/>
  <c r="M55"/>
  <c r="N55" s="1"/>
  <c r="K55"/>
  <c r="H55"/>
  <c r="B55"/>
  <c r="F55" s="1"/>
  <c r="P54"/>
  <c r="N54"/>
  <c r="M54"/>
  <c r="K54"/>
  <c r="H54"/>
  <c r="F54"/>
  <c r="B54"/>
  <c r="N53"/>
  <c r="M53"/>
  <c r="P53" s="1"/>
  <c r="K53"/>
  <c r="H53"/>
  <c r="F53"/>
  <c r="B53"/>
  <c r="M52"/>
  <c r="N52" s="1"/>
  <c r="K52"/>
  <c r="H52"/>
  <c r="B52"/>
  <c r="F52" s="1"/>
  <c r="P51"/>
  <c r="M51"/>
  <c r="K51"/>
  <c r="B51"/>
  <c r="P50"/>
  <c r="M50"/>
  <c r="K50"/>
  <c r="B50"/>
  <c r="K49"/>
  <c r="K48"/>
  <c r="K47"/>
  <c r="P46"/>
  <c r="N46"/>
  <c r="M46"/>
  <c r="K46"/>
  <c r="H46"/>
  <c r="F46"/>
  <c r="B46"/>
  <c r="K45"/>
  <c r="P44"/>
  <c r="N44"/>
  <c r="M44"/>
  <c r="K44"/>
  <c r="H44"/>
  <c r="F44"/>
  <c r="B44"/>
  <c r="N43"/>
  <c r="M43"/>
  <c r="P43" s="1"/>
  <c r="K43"/>
  <c r="H43"/>
  <c r="F43"/>
  <c r="B43"/>
  <c r="M42"/>
  <c r="K42"/>
  <c r="M41"/>
  <c r="K41"/>
  <c r="M40"/>
  <c r="K40"/>
  <c r="M39"/>
  <c r="K39"/>
  <c r="M38"/>
  <c r="K38"/>
  <c r="M37"/>
  <c r="K37"/>
  <c r="M36"/>
  <c r="K36"/>
  <c r="M35"/>
  <c r="N35" s="1"/>
  <c r="K35"/>
  <c r="H35"/>
  <c r="B35"/>
  <c r="F35" s="1"/>
  <c r="P34"/>
  <c r="M34"/>
  <c r="N34" s="1"/>
  <c r="K34"/>
  <c r="H34"/>
  <c r="F34"/>
  <c r="B34"/>
  <c r="W33"/>
  <c r="P33"/>
  <c r="M33"/>
  <c r="K33"/>
  <c r="B33"/>
  <c r="K32"/>
  <c r="M31"/>
  <c r="K31"/>
  <c r="M30"/>
  <c r="K30"/>
  <c r="M29"/>
  <c r="K29"/>
  <c r="K28"/>
  <c r="D28"/>
  <c r="C28"/>
  <c r="K27"/>
  <c r="P26"/>
  <c r="N26"/>
  <c r="M26"/>
  <c r="K26"/>
  <c r="H26"/>
  <c r="F26"/>
  <c r="B26"/>
  <c r="P25"/>
  <c r="N25"/>
  <c r="M25"/>
  <c r="K25"/>
  <c r="H25"/>
  <c r="F25"/>
  <c r="B25"/>
  <c r="N24"/>
  <c r="M24"/>
  <c r="P24" s="1"/>
  <c r="K24"/>
  <c r="H24"/>
  <c r="F24"/>
  <c r="B24"/>
  <c r="M23"/>
  <c r="N23" s="1"/>
  <c r="K23"/>
  <c r="H23"/>
  <c r="B23"/>
  <c r="F23" s="1"/>
  <c r="P22"/>
  <c r="N22"/>
  <c r="M22"/>
  <c r="K22"/>
  <c r="H22"/>
  <c r="F22"/>
  <c r="B22"/>
  <c r="P21"/>
  <c r="N21"/>
  <c r="M21"/>
  <c r="K21"/>
  <c r="H21"/>
  <c r="F21"/>
  <c r="B21"/>
  <c r="N20"/>
  <c r="M20"/>
  <c r="P20" s="1"/>
  <c r="K20"/>
  <c r="H20"/>
  <c r="F20"/>
  <c r="B20"/>
  <c r="M19"/>
  <c r="K19"/>
  <c r="M18"/>
  <c r="K18"/>
  <c r="M17"/>
  <c r="N17" s="1"/>
  <c r="K17"/>
  <c r="H17"/>
  <c r="P16"/>
  <c r="M16"/>
  <c r="K16"/>
  <c r="B16"/>
  <c r="P15"/>
  <c r="M15"/>
  <c r="K15"/>
  <c r="B15"/>
  <c r="P14"/>
  <c r="N14"/>
  <c r="M14"/>
  <c r="K14"/>
  <c r="H14"/>
  <c r="F14"/>
  <c r="B14"/>
  <c r="P13"/>
  <c r="M13"/>
  <c r="B13" s="1"/>
  <c r="K13"/>
  <c r="P12"/>
  <c r="M12"/>
  <c r="B12" s="1"/>
  <c r="K12"/>
  <c r="P11"/>
  <c r="N11"/>
  <c r="M11"/>
  <c r="K11"/>
  <c r="H11"/>
  <c r="F11"/>
  <c r="B11"/>
  <c r="M10"/>
  <c r="P10" s="1"/>
  <c r="K10"/>
  <c r="M9"/>
  <c r="P9" s="1"/>
  <c r="K9"/>
  <c r="M8"/>
  <c r="P8" s="1"/>
  <c r="K8"/>
  <c r="K7"/>
  <c r="B6"/>
  <c r="A1"/>
  <c r="H14" i="36"/>
  <c r="G14"/>
  <c r="H879" i="37" s="1"/>
  <c r="D7" i="36"/>
  <c r="F7" s="1"/>
  <c r="C5"/>
  <c r="A2"/>
  <c r="H1726" i="35"/>
  <c r="G849" i="37" s="1"/>
  <c r="M849" s="1"/>
  <c r="N849" s="1"/>
  <c r="H1725" i="35"/>
  <c r="H1721"/>
  <c r="K1720"/>
  <c r="H1720"/>
  <c r="H1722" s="1"/>
  <c r="H1723" s="1"/>
  <c r="G292" i="37" s="1"/>
  <c r="E1720" i="35"/>
  <c r="B1695"/>
  <c r="B1694"/>
  <c r="B1693"/>
  <c r="B1692"/>
  <c r="B1691"/>
  <c r="B1690"/>
  <c r="J1687"/>
  <c r="B1685"/>
  <c r="B1684"/>
  <c r="B1683"/>
  <c r="B1682"/>
  <c r="B1681"/>
  <c r="B1680"/>
  <c r="B1679"/>
  <c r="B1678"/>
  <c r="B1677"/>
  <c r="B1676"/>
  <c r="B1675"/>
  <c r="B1674"/>
  <c r="B1673"/>
  <c r="B1672"/>
  <c r="B1671"/>
  <c r="B1670"/>
  <c r="B1669"/>
  <c r="H1662"/>
  <c r="G636" i="37" s="1"/>
  <c r="H1661" i="35"/>
  <c r="H1660"/>
  <c r="H1655"/>
  <c r="H1656" s="1"/>
  <c r="G759" i="37" s="1"/>
  <c r="H1654" i="35"/>
  <c r="H1653"/>
  <c r="H1649"/>
  <c r="H1650" s="1"/>
  <c r="G751" i="37" s="1"/>
  <c r="H1644" i="35"/>
  <c r="H1643"/>
  <c r="H1642"/>
  <c r="H1641"/>
  <c r="H1640"/>
  <c r="H1639"/>
  <c r="H1638"/>
  <c r="H1637"/>
  <c r="H1645" s="1"/>
  <c r="H1646" s="1"/>
  <c r="G643" i="37" s="1"/>
  <c r="E1637" i="35"/>
  <c r="H1634"/>
  <c r="G606" i="37" s="1"/>
  <c r="H1633" i="35"/>
  <c r="H1630"/>
  <c r="G632" i="37" s="1"/>
  <c r="H1629" i="35"/>
  <c r="H1626"/>
  <c r="G627" i="37" s="1"/>
  <c r="H627" s="1"/>
  <c r="H1625" i="35"/>
  <c r="H1622"/>
  <c r="G625" i="37" s="1"/>
  <c r="M625" s="1"/>
  <c r="H1621" i="35"/>
  <c r="H1618"/>
  <c r="G624" i="37" s="1"/>
  <c r="H1617" i="35"/>
  <c r="H1614"/>
  <c r="G623" i="37" s="1"/>
  <c r="H1613" i="35"/>
  <c r="H1610"/>
  <c r="G616" i="37" s="1"/>
  <c r="H616" s="1"/>
  <c r="H1609" i="35"/>
  <c r="H1608"/>
  <c r="H1605"/>
  <c r="H1606" s="1"/>
  <c r="G602" i="37" s="1"/>
  <c r="H1601" i="35"/>
  <c r="H1600"/>
  <c r="H1599"/>
  <c r="H1598"/>
  <c r="H1602" s="1"/>
  <c r="G603" i="37" s="1"/>
  <c r="H1597" i="35"/>
  <c r="H1596"/>
  <c r="H1586"/>
  <c r="H1585"/>
  <c r="H1584"/>
  <c r="H1582"/>
  <c r="H1581"/>
  <c r="H1580"/>
  <c r="H1579"/>
  <c r="H1587" s="1"/>
  <c r="G596" i="37" s="1"/>
  <c r="H1574" i="35"/>
  <c r="H1573"/>
  <c r="H1572"/>
  <c r="H1571"/>
  <c r="H1570"/>
  <c r="H1568"/>
  <c r="H1567"/>
  <c r="H1566"/>
  <c r="H1565"/>
  <c r="H1564"/>
  <c r="H1563"/>
  <c r="H1575" s="1"/>
  <c r="G595" i="37" s="1"/>
  <c r="H1559" i="35"/>
  <c r="G594" i="37" s="1"/>
  <c r="H1558" i="35"/>
  <c r="H1554"/>
  <c r="H1553"/>
  <c r="H1552"/>
  <c r="H1551"/>
  <c r="H1550"/>
  <c r="H1548"/>
  <c r="H1547"/>
  <c r="H1546"/>
  <c r="H1555" s="1"/>
  <c r="H1545"/>
  <c r="H1541"/>
  <c r="G592" i="37" s="1"/>
  <c r="H1540" i="35"/>
  <c r="H1536"/>
  <c r="H1535"/>
  <c r="H1534"/>
  <c r="H1533"/>
  <c r="H1532"/>
  <c r="H1531"/>
  <c r="H1530"/>
  <c r="H1529"/>
  <c r="H1528"/>
  <c r="H1527"/>
  <c r="H1526"/>
  <c r="H1525"/>
  <c r="H1524"/>
  <c r="H1523"/>
  <c r="H1522"/>
  <c r="H1521"/>
  <c r="H1537" s="1"/>
  <c r="G591" i="37" s="1"/>
  <c r="H1520" i="35"/>
  <c r="H1519"/>
  <c r="H1515"/>
  <c r="H1513"/>
  <c r="H1512"/>
  <c r="H1511"/>
  <c r="H1510"/>
  <c r="H1509"/>
  <c r="H1508"/>
  <c r="H1506"/>
  <c r="H1505"/>
  <c r="H1504"/>
  <c r="H1503"/>
  <c r="H1502"/>
  <c r="H1501"/>
  <c r="H1500"/>
  <c r="H1498"/>
  <c r="H1497"/>
  <c r="H1496"/>
  <c r="H1495"/>
  <c r="H1494"/>
  <c r="H1493"/>
  <c r="H1492"/>
  <c r="H1516" s="1"/>
  <c r="G590" i="37" s="1"/>
  <c r="H1487" i="35"/>
  <c r="G587" i="37" s="1"/>
  <c r="H1486" i="35"/>
  <c r="H1481"/>
  <c r="H1480"/>
  <c r="H1479"/>
  <c r="H1478"/>
  <c r="H1482" s="1"/>
  <c r="H1483" s="1"/>
  <c r="G586" i="37" s="1"/>
  <c r="H1473" i="35"/>
  <c r="H1472"/>
  <c r="H1471"/>
  <c r="H1470"/>
  <c r="H1474" s="1"/>
  <c r="H1475" s="1"/>
  <c r="G585" i="37" s="1"/>
  <c r="H1465" i="35"/>
  <c r="H1466" s="1"/>
  <c r="G779" i="37" s="1"/>
  <c r="H1462" i="35"/>
  <c r="H1461"/>
  <c r="H1460"/>
  <c r="H1457"/>
  <c r="G578" i="37" s="1"/>
  <c r="M578" s="1"/>
  <c r="H1456" i="35"/>
  <c r="H1455"/>
  <c r="H1454"/>
  <c r="H1451"/>
  <c r="G576" i="37" s="1"/>
  <c r="H1450" i="35"/>
  <c r="H1449"/>
  <c r="H1448"/>
  <c r="H1445"/>
  <c r="G613" i="37" s="1"/>
  <c r="H1444" i="35"/>
  <c r="G612" i="37" s="1"/>
  <c r="M612" s="1"/>
  <c r="J1441" i="35"/>
  <c r="H1431"/>
  <c r="H1430"/>
  <c r="H1429"/>
  <c r="G1429"/>
  <c r="E1429"/>
  <c r="H1428"/>
  <c r="G1426"/>
  <c r="E1426"/>
  <c r="H1426" s="1"/>
  <c r="H1425"/>
  <c r="H1424"/>
  <c r="H1423"/>
  <c r="H1422"/>
  <c r="H1421"/>
  <c r="H1420"/>
  <c r="H1419"/>
  <c r="H1418"/>
  <c r="H1417"/>
  <c r="H1416"/>
  <c r="H1415"/>
  <c r="G1415"/>
  <c r="E1415"/>
  <c r="E1406"/>
  <c r="H1406" s="1"/>
  <c r="H1405"/>
  <c r="E1404"/>
  <c r="H1404" s="1"/>
  <c r="H1403"/>
  <c r="H1402"/>
  <c r="E1402"/>
  <c r="E1401"/>
  <c r="H1401" s="1"/>
  <c r="H1400"/>
  <c r="H1399"/>
  <c r="E1398"/>
  <c r="H1398" s="1"/>
  <c r="H1397"/>
  <c r="E1397"/>
  <c r="H1396"/>
  <c r="H1395"/>
  <c r="H1394"/>
  <c r="E1394"/>
  <c r="E1393"/>
  <c r="H1393" s="1"/>
  <c r="H1392"/>
  <c r="H1391"/>
  <c r="E1390"/>
  <c r="H1390" s="1"/>
  <c r="H1389"/>
  <c r="E1389"/>
  <c r="H1388"/>
  <c r="H1387"/>
  <c r="H1386"/>
  <c r="E1386"/>
  <c r="E1385"/>
  <c r="H1385" s="1"/>
  <c r="H1384"/>
  <c r="E1383"/>
  <c r="H1383" s="1"/>
  <c r="H1382"/>
  <c r="H1381"/>
  <c r="E1381"/>
  <c r="H1380"/>
  <c r="H1379"/>
  <c r="H1378"/>
  <c r="E1378"/>
  <c r="H1377"/>
  <c r="H1376"/>
  <c r="E1376"/>
  <c r="H1375"/>
  <c r="E1374"/>
  <c r="H1374" s="1"/>
  <c r="H1373"/>
  <c r="H1372"/>
  <c r="E1371"/>
  <c r="H1371" s="1"/>
  <c r="H1370"/>
  <c r="E1369"/>
  <c r="H1369" s="1"/>
  <c r="H1368"/>
  <c r="H1367"/>
  <c r="E1367"/>
  <c r="E1366"/>
  <c r="H1366" s="1"/>
  <c r="H1365"/>
  <c r="E1364"/>
  <c r="H1364" s="1"/>
  <c r="H1363"/>
  <c r="H1362"/>
  <c r="E1362"/>
  <c r="H1361"/>
  <c r="H1360"/>
  <c r="H1359"/>
  <c r="E1359"/>
  <c r="H1358"/>
  <c r="H1357"/>
  <c r="E1357"/>
  <c r="H1356"/>
  <c r="E1355"/>
  <c r="H1355" s="1"/>
  <c r="H1354"/>
  <c r="E1354"/>
  <c r="H1353"/>
  <c r="H1352"/>
  <c r="E1352"/>
  <c r="H1351"/>
  <c r="E1350"/>
  <c r="H1350" s="1"/>
  <c r="H1349"/>
  <c r="E1349"/>
  <c r="H1348"/>
  <c r="H1347"/>
  <c r="E1347"/>
  <c r="H1346"/>
  <c r="E1345"/>
  <c r="H1345" s="1"/>
  <c r="H1344"/>
  <c r="E1343"/>
  <c r="H1343" s="1"/>
  <c r="H1342"/>
  <c r="H1341"/>
  <c r="H1340"/>
  <c r="H1339"/>
  <c r="H1338"/>
  <c r="H1337"/>
  <c r="E1337"/>
  <c r="H1336"/>
  <c r="H1335"/>
  <c r="H1334"/>
  <c r="E1334"/>
  <c r="E1333"/>
  <c r="H1333" s="1"/>
  <c r="H1332"/>
  <c r="E1331"/>
  <c r="H1331" s="1"/>
  <c r="H1330"/>
  <c r="H1329"/>
  <c r="E1329"/>
  <c r="E1328"/>
  <c r="H1328" s="1"/>
  <c r="H1327"/>
  <c r="H1326"/>
  <c r="E1325"/>
  <c r="H1325" s="1"/>
  <c r="H1324"/>
  <c r="E1323"/>
  <c r="H1323" s="1"/>
  <c r="H1322"/>
  <c r="H1321"/>
  <c r="E1321"/>
  <c r="H1320"/>
  <c r="H1319"/>
  <c r="E1319"/>
  <c r="H1318"/>
  <c r="E1317"/>
  <c r="H1317" s="1"/>
  <c r="H1316"/>
  <c r="E1315"/>
  <c r="H1315" s="1"/>
  <c r="H1314"/>
  <c r="E1314"/>
  <c r="H1313"/>
  <c r="H1312"/>
  <c r="H1311"/>
  <c r="E1311"/>
  <c r="H1310"/>
  <c r="E1309"/>
  <c r="H1309" s="1"/>
  <c r="H1308"/>
  <c r="E1307"/>
  <c r="H1307" s="1"/>
  <c r="H1306"/>
  <c r="H1305"/>
  <c r="E1305"/>
  <c r="H1304"/>
  <c r="H1303"/>
  <c r="H1302"/>
  <c r="G1302"/>
  <c r="E1302"/>
  <c r="H1296"/>
  <c r="H1295"/>
  <c r="H1294"/>
  <c r="H1293"/>
  <c r="F1292"/>
  <c r="E1292"/>
  <c r="H1292" s="1"/>
  <c r="H1291"/>
  <c r="H1290"/>
  <c r="E1289"/>
  <c r="H1289" s="1"/>
  <c r="H1288"/>
  <c r="H1287"/>
  <c r="H1286"/>
  <c r="H1285"/>
  <c r="H1284"/>
  <c r="H1297" s="1"/>
  <c r="H1298" s="1"/>
  <c r="G640" i="37" s="1"/>
  <c r="H1279" i="35"/>
  <c r="H1278"/>
  <c r="H1277"/>
  <c r="H1276"/>
  <c r="H1274"/>
  <c r="H1273"/>
  <c r="H1272"/>
  <c r="H1271"/>
  <c r="H1270"/>
  <c r="H1280" s="1"/>
  <c r="H1281" s="1"/>
  <c r="G637" i="37" s="1"/>
  <c r="H1264" i="35"/>
  <c r="H1263"/>
  <c r="H1262"/>
  <c r="H1261"/>
  <c r="H1260"/>
  <c r="H1259"/>
  <c r="H1258"/>
  <c r="H1257"/>
  <c r="H1256"/>
  <c r="H1255"/>
  <c r="H1254"/>
  <c r="H1253"/>
  <c r="H1265" s="1"/>
  <c r="H1266" s="1"/>
  <c r="G570" i="37" s="1"/>
  <c r="H1248" i="35"/>
  <c r="H1247"/>
  <c r="H1246"/>
  <c r="H1245"/>
  <c r="H1244"/>
  <c r="H1243"/>
  <c r="H1242"/>
  <c r="H1241"/>
  <c r="H1240"/>
  <c r="H1239"/>
  <c r="H1238"/>
  <c r="H1237"/>
  <c r="H1236"/>
  <c r="H1235"/>
  <c r="H1234"/>
  <c r="H1233"/>
  <c r="H1232"/>
  <c r="H1231"/>
  <c r="H1230"/>
  <c r="H1229"/>
  <c r="H1227"/>
  <c r="H1226"/>
  <c r="H1225"/>
  <c r="H1224"/>
  <c r="H1223"/>
  <c r="H1222"/>
  <c r="H1221"/>
  <c r="H1220"/>
  <c r="H1219"/>
  <c r="H1218"/>
  <c r="H1217"/>
  <c r="H1216"/>
  <c r="H1215"/>
  <c r="H1214"/>
  <c r="H1213"/>
  <c r="H1212"/>
  <c r="H1211"/>
  <c r="H1210"/>
  <c r="H1209"/>
  <c r="H1208"/>
  <c r="H1249" s="1"/>
  <c r="H1250" s="1"/>
  <c r="G568" i="37" s="1"/>
  <c r="H1207" i="35"/>
  <c r="H1206"/>
  <c r="H1200"/>
  <c r="H1199"/>
  <c r="H1198"/>
  <c r="H1197"/>
  <c r="H1196"/>
  <c r="H1195"/>
  <c r="H1194"/>
  <c r="H1193"/>
  <c r="H1201" s="1"/>
  <c r="H1202" s="1"/>
  <c r="G545" i="37" s="1"/>
  <c r="H1192" i="35"/>
  <c r="H1187"/>
  <c r="H1186"/>
  <c r="H1188" s="1"/>
  <c r="H1189" s="1"/>
  <c r="G544" i="37" s="1"/>
  <c r="H1183" i="35"/>
  <c r="H1184" s="1"/>
  <c r="G725" i="37" s="1"/>
  <c r="H1178" i="35"/>
  <c r="H1177"/>
  <c r="H1176"/>
  <c r="H1179" s="1"/>
  <c r="H1180" s="1"/>
  <c r="G724" i="37" s="1"/>
  <c r="B1173" i="35"/>
  <c r="H1170"/>
  <c r="H1171" s="1"/>
  <c r="G534" i="37" s="1"/>
  <c r="H1165" i="35"/>
  <c r="H1164"/>
  <c r="H1163"/>
  <c r="H1166" s="1"/>
  <c r="H1167" s="1"/>
  <c r="H1160"/>
  <c r="G514" i="37" s="1"/>
  <c r="H1159" i="35"/>
  <c r="H1157"/>
  <c r="H1154"/>
  <c r="G511" i="37" s="1"/>
  <c r="M511" s="1"/>
  <c r="H1153" i="35"/>
  <c r="H1147"/>
  <c r="E1147"/>
  <c r="E1146"/>
  <c r="H1146" s="1"/>
  <c r="H1145"/>
  <c r="E1145"/>
  <c r="H1144"/>
  <c r="E1144"/>
  <c r="H1143"/>
  <c r="H1142"/>
  <c r="H1141"/>
  <c r="H1140"/>
  <c r="H1139"/>
  <c r="H1138"/>
  <c r="H1137"/>
  <c r="H1136"/>
  <c r="J1135"/>
  <c r="H1135"/>
  <c r="J1134"/>
  <c r="H1134"/>
  <c r="H1133"/>
  <c r="H1132"/>
  <c r="H1131"/>
  <c r="H1130"/>
  <c r="H1129"/>
  <c r="H1128"/>
  <c r="H1126"/>
  <c r="E1126"/>
  <c r="H1125"/>
  <c r="H1124"/>
  <c r="H1123"/>
  <c r="H1122"/>
  <c r="H1121"/>
  <c r="H1120"/>
  <c r="H1119"/>
  <c r="E1118"/>
  <c r="H1118" s="1"/>
  <c r="H1117"/>
  <c r="H1116"/>
  <c r="H1115"/>
  <c r="H1114"/>
  <c r="H1113"/>
  <c r="H1112"/>
  <c r="H1111"/>
  <c r="H1110"/>
  <c r="E1110"/>
  <c r="H1109"/>
  <c r="H1148" s="1"/>
  <c r="H1149" s="1"/>
  <c r="G505" i="37" s="1"/>
  <c r="H1108" i="35"/>
  <c r="H1107"/>
  <c r="H1106"/>
  <c r="H1105"/>
  <c r="H1104"/>
  <c r="H1098"/>
  <c r="H1097"/>
  <c r="H1096"/>
  <c r="H1095"/>
  <c r="H1094"/>
  <c r="H1093"/>
  <c r="H1092"/>
  <c r="H1091"/>
  <c r="H1089"/>
  <c r="H1088"/>
  <c r="H1087"/>
  <c r="H1086"/>
  <c r="H1085"/>
  <c r="H1084"/>
  <c r="H1083"/>
  <c r="H1082"/>
  <c r="H1081"/>
  <c r="H1080"/>
  <c r="H1079"/>
  <c r="H1078"/>
  <c r="H1077"/>
  <c r="H1076"/>
  <c r="H1075"/>
  <c r="H1074"/>
  <c r="H1073"/>
  <c r="H1072"/>
  <c r="H1071"/>
  <c r="H1070"/>
  <c r="H1069"/>
  <c r="H1068"/>
  <c r="H1066"/>
  <c r="H1065"/>
  <c r="H1064"/>
  <c r="H1063"/>
  <c r="H1062"/>
  <c r="H1061"/>
  <c r="H1060"/>
  <c r="H1059"/>
  <c r="H1058"/>
  <c r="H1057"/>
  <c r="H1056"/>
  <c r="H1054"/>
  <c r="H1053"/>
  <c r="H1052"/>
  <c r="H1051"/>
  <c r="H1050"/>
  <c r="H1049"/>
  <c r="H1048"/>
  <c r="H1047"/>
  <c r="H1046"/>
  <c r="H1045"/>
  <c r="H1044"/>
  <c r="H1043"/>
  <c r="H1042"/>
  <c r="H1041"/>
  <c r="H1040"/>
  <c r="H1038"/>
  <c r="G1037"/>
  <c r="H1037" s="1"/>
  <c r="H1036"/>
  <c r="H1035"/>
  <c r="H1034"/>
  <c r="H1033"/>
  <c r="H1032"/>
  <c r="H1031"/>
  <c r="H1030"/>
  <c r="H1029"/>
  <c r="H1028"/>
  <c r="H1027"/>
  <c r="H1026"/>
  <c r="H1025"/>
  <c r="H1024"/>
  <c r="H1022"/>
  <c r="H1021"/>
  <c r="H1020"/>
  <c r="H1019"/>
  <c r="H1018"/>
  <c r="H1017"/>
  <c r="H1016"/>
  <c r="H1015"/>
  <c r="H1014"/>
  <c r="H1013"/>
  <c r="H1012"/>
  <c r="H1011"/>
  <c r="H1010"/>
  <c r="H1009"/>
  <c r="H1008"/>
  <c r="H1007"/>
  <c r="H1006"/>
  <c r="H1005"/>
  <c r="H1004"/>
  <c r="H1003"/>
  <c r="H1002"/>
  <c r="H1001"/>
  <c r="H1000"/>
  <c r="H999"/>
  <c r="H998"/>
  <c r="H997"/>
  <c r="H996"/>
  <c r="H995"/>
  <c r="H993"/>
  <c r="H992"/>
  <c r="H991"/>
  <c r="H990"/>
  <c r="H989"/>
  <c r="H988"/>
  <c r="H987"/>
  <c r="H986"/>
  <c r="H1099" s="1"/>
  <c r="H1100" s="1"/>
  <c r="G504" i="37" s="1"/>
  <c r="H980" i="35"/>
  <c r="H979"/>
  <c r="H978"/>
  <c r="E977"/>
  <c r="H977" s="1"/>
  <c r="H976"/>
  <c r="E976"/>
  <c r="E975"/>
  <c r="H975" s="1"/>
  <c r="H974"/>
  <c r="E974"/>
  <c r="H973"/>
  <c r="H972"/>
  <c r="E972"/>
  <c r="H971"/>
  <c r="H970"/>
  <c r="H969"/>
  <c r="E969"/>
  <c r="E968"/>
  <c r="H968" s="1"/>
  <c r="H967"/>
  <c r="H966"/>
  <c r="H965"/>
  <c r="H964"/>
  <c r="H963"/>
  <c r="H962"/>
  <c r="H961"/>
  <c r="H960"/>
  <c r="H959"/>
  <c r="E959"/>
  <c r="E958"/>
  <c r="H958" s="1"/>
  <c r="K957"/>
  <c r="J957"/>
  <c r="G957"/>
  <c r="E957"/>
  <c r="H957" s="1"/>
  <c r="K956"/>
  <c r="J956"/>
  <c r="G956"/>
  <c r="E956"/>
  <c r="H956" s="1"/>
  <c r="K955"/>
  <c r="J955"/>
  <c r="H955"/>
  <c r="G955"/>
  <c r="E955"/>
  <c r="H954"/>
  <c r="H947"/>
  <c r="E947"/>
  <c r="E946"/>
  <c r="H946" s="1"/>
  <c r="H945"/>
  <c r="H944"/>
  <c r="H943"/>
  <c r="E943"/>
  <c r="H942"/>
  <c r="E942"/>
  <c r="H941"/>
  <c r="H940"/>
  <c r="H939"/>
  <c r="H933"/>
  <c r="H932"/>
  <c r="F932"/>
  <c r="H931"/>
  <c r="H934" s="1"/>
  <c r="H935" s="1"/>
  <c r="G380" i="37" s="1"/>
  <c r="H927" i="35"/>
  <c r="H928" s="1"/>
  <c r="G377" i="37" s="1"/>
  <c r="E927" i="35"/>
  <c r="H923"/>
  <c r="H924" s="1"/>
  <c r="G850" i="37" s="1"/>
  <c r="B923" i="35"/>
  <c r="H921"/>
  <c r="H920"/>
  <c r="H917"/>
  <c r="H918" s="1"/>
  <c r="G370" i="37" s="1"/>
  <c r="H914" i="35"/>
  <c r="H913"/>
  <c r="H912"/>
  <c r="H915" s="1"/>
  <c r="G369" i="37" s="1"/>
  <c r="H908" i="35"/>
  <c r="H907"/>
  <c r="H906"/>
  <c r="H909" s="1"/>
  <c r="G368" i="37" s="1"/>
  <c r="H903" i="35"/>
  <c r="H902"/>
  <c r="H890"/>
  <c r="H889"/>
  <c r="H888"/>
  <c r="H887"/>
  <c r="H891" s="1"/>
  <c r="G351" i="37" s="1"/>
  <c r="H883" i="35"/>
  <c r="G774" i="37" s="1"/>
  <c r="M774" s="1"/>
  <c r="H882" i="35"/>
  <c r="H878"/>
  <c r="H877"/>
  <c r="H876"/>
  <c r="H875"/>
  <c r="H874"/>
  <c r="H873"/>
  <c r="H872"/>
  <c r="H879" s="1"/>
  <c r="G771" i="37" s="1"/>
  <c r="H867" i="35"/>
  <c r="H866"/>
  <c r="H868" s="1"/>
  <c r="G329" i="37" s="1"/>
  <c r="H863" i="35"/>
  <c r="G781" i="37" s="1"/>
  <c r="H862" i="35"/>
  <c r="H861"/>
  <c r="H858"/>
  <c r="G807" i="37" s="1"/>
  <c r="H857" i="35"/>
  <c r="H856"/>
  <c r="H855"/>
  <c r="H852"/>
  <c r="G806" i="37" s="1"/>
  <c r="M806" s="1"/>
  <c r="H851" i="35"/>
  <c r="H850"/>
  <c r="H846"/>
  <c r="H845"/>
  <c r="H844"/>
  <c r="H843"/>
  <c r="H847" s="1"/>
  <c r="G304" i="37" s="1"/>
  <c r="H840" i="35"/>
  <c r="G303" i="37" s="1"/>
  <c r="M303" s="1"/>
  <c r="H839" i="35"/>
  <c r="H834"/>
  <c r="H835" s="1"/>
  <c r="G300" i="37" s="1"/>
  <c r="H832" i="35"/>
  <c r="G299" i="37" s="1"/>
  <c r="M299" s="1"/>
  <c r="H830" i="35"/>
  <c r="G298" i="37" s="1"/>
  <c r="H828" i="35"/>
  <c r="G296" i="37" s="1"/>
  <c r="H825" i="35"/>
  <c r="H824"/>
  <c r="H823"/>
  <c r="H822"/>
  <c r="H821"/>
  <c r="H826" s="1"/>
  <c r="G295" i="37" s="1"/>
  <c r="H817" i="35"/>
  <c r="H816"/>
  <c r="H815"/>
  <c r="H818" s="1"/>
  <c r="G294" i="37" s="1"/>
  <c r="H812" i="35"/>
  <c r="G293" i="37" s="1"/>
  <c r="H293" s="1"/>
  <c r="H811" i="35"/>
  <c r="H810"/>
  <c r="H805"/>
  <c r="H804"/>
  <c r="H803"/>
  <c r="H802"/>
  <c r="H801"/>
  <c r="H800"/>
  <c r="H799"/>
  <c r="H798"/>
  <c r="E798"/>
  <c r="H797"/>
  <c r="H796"/>
  <c r="H795"/>
  <c r="H794"/>
  <c r="H793"/>
  <c r="H792"/>
  <c r="H791"/>
  <c r="H790"/>
  <c r="H789"/>
  <c r="H788"/>
  <c r="H806" s="1"/>
  <c r="H807" s="1"/>
  <c r="G283" i="37" s="1"/>
  <c r="H785" i="35"/>
  <c r="H784"/>
  <c r="H779"/>
  <c r="H778"/>
  <c r="H777"/>
  <c r="H776"/>
  <c r="H780" s="1"/>
  <c r="H781" s="1"/>
  <c r="G282" i="37" s="1"/>
  <c r="H769" i="35"/>
  <c r="H768"/>
  <c r="H767"/>
  <c r="H766"/>
  <c r="H770" s="1"/>
  <c r="E771" s="1"/>
  <c r="H771" s="1"/>
  <c r="H772" s="1"/>
  <c r="G281" i="37" s="1"/>
  <c r="E766" i="35"/>
  <c r="H759"/>
  <c r="H760" s="1"/>
  <c r="G276" i="37" s="1"/>
  <c r="H758" i="35"/>
  <c r="H757"/>
  <c r="H756"/>
  <c r="H755"/>
  <c r="H750"/>
  <c r="H749"/>
  <c r="H748"/>
  <c r="H747"/>
  <c r="H751" s="1"/>
  <c r="H752" s="1"/>
  <c r="G275" i="37" s="1"/>
  <c r="H743" i="35"/>
  <c r="H744" s="1"/>
  <c r="G274" i="37" s="1"/>
  <c r="H742" i="35"/>
  <c r="H741"/>
  <c r="H740"/>
  <c r="H734"/>
  <c r="H733"/>
  <c r="H732"/>
  <c r="H731"/>
  <c r="H730"/>
  <c r="H729"/>
  <c r="H728"/>
  <c r="H727"/>
  <c r="H726"/>
  <c r="H725"/>
  <c r="H724"/>
  <c r="E724"/>
  <c r="E723"/>
  <c r="H723" s="1"/>
  <c r="H722"/>
  <c r="H721"/>
  <c r="H720"/>
  <c r="E720"/>
  <c r="H719"/>
  <c r="H718"/>
  <c r="E718"/>
  <c r="E717"/>
  <c r="H717" s="1"/>
  <c r="H716"/>
  <c r="H715"/>
  <c r="H714"/>
  <c r="H713"/>
  <c r="H712"/>
  <c r="E712"/>
  <c r="H711"/>
  <c r="H709"/>
  <c r="H708"/>
  <c r="H707"/>
  <c r="H706"/>
  <c r="H705"/>
  <c r="H704"/>
  <c r="H703"/>
  <c r="H702"/>
  <c r="H701"/>
  <c r="H700"/>
  <c r="H699"/>
  <c r="G698"/>
  <c r="E698"/>
  <c r="H698" s="1"/>
  <c r="H735" s="1"/>
  <c r="H736" s="1"/>
  <c r="H697"/>
  <c r="H691"/>
  <c r="M690"/>
  <c r="H690"/>
  <c r="H689"/>
  <c r="H692" s="1"/>
  <c r="H693" s="1"/>
  <c r="G271" i="37" s="1"/>
  <c r="J684" i="35"/>
  <c r="H684"/>
  <c r="H683"/>
  <c r="H682"/>
  <c r="E682"/>
  <c r="H681"/>
  <c r="H680"/>
  <c r="E680"/>
  <c r="H679"/>
  <c r="H678"/>
  <c r="H677"/>
  <c r="G677"/>
  <c r="E677"/>
  <c r="H676"/>
  <c r="G674"/>
  <c r="E674"/>
  <c r="H674" s="1"/>
  <c r="H673"/>
  <c r="H672"/>
  <c r="H671"/>
  <c r="H670"/>
  <c r="H669"/>
  <c r="H668"/>
  <c r="H667"/>
  <c r="H666"/>
  <c r="H665"/>
  <c r="H664"/>
  <c r="H663"/>
  <c r="G663"/>
  <c r="E663"/>
  <c r="H662"/>
  <c r="E662"/>
  <c r="H661"/>
  <c r="E660"/>
  <c r="H660" s="1"/>
  <c r="H659"/>
  <c r="E658"/>
  <c r="H658" s="1"/>
  <c r="H657"/>
  <c r="E657"/>
  <c r="H656"/>
  <c r="H655"/>
  <c r="H654"/>
  <c r="E654"/>
  <c r="E653"/>
  <c r="H653" s="1"/>
  <c r="H652"/>
  <c r="H651"/>
  <c r="E650"/>
  <c r="H650" s="1"/>
  <c r="H649"/>
  <c r="E649"/>
  <c r="H648"/>
  <c r="H647"/>
  <c r="H646"/>
  <c r="E646"/>
  <c r="E645"/>
  <c r="H645" s="1"/>
  <c r="H644"/>
  <c r="H643"/>
  <c r="E642"/>
  <c r="H642" s="1"/>
  <c r="H641"/>
  <c r="E641"/>
  <c r="H640"/>
  <c r="H639"/>
  <c r="E639"/>
  <c r="H638"/>
  <c r="E637"/>
  <c r="H637" s="1"/>
  <c r="H636"/>
  <c r="H635"/>
  <c r="E634"/>
  <c r="H634" s="1"/>
  <c r="H633"/>
  <c r="E632"/>
  <c r="H632" s="1"/>
  <c r="H631"/>
  <c r="H630"/>
  <c r="E630"/>
  <c r="H629"/>
  <c r="H628"/>
  <c r="H627"/>
  <c r="E627"/>
  <c r="H626"/>
  <c r="H625"/>
  <c r="E625"/>
  <c r="H624"/>
  <c r="E623"/>
  <c r="H623" s="1"/>
  <c r="H622"/>
  <c r="E622"/>
  <c r="H621"/>
  <c r="H620"/>
  <c r="E620"/>
  <c r="H619"/>
  <c r="E618"/>
  <c r="H618" s="1"/>
  <c r="H617"/>
  <c r="H616"/>
  <c r="E615"/>
  <c r="H615" s="1"/>
  <c r="H614"/>
  <c r="E613"/>
  <c r="H613" s="1"/>
  <c r="H612"/>
  <c r="H611"/>
  <c r="E611"/>
  <c r="E610"/>
  <c r="H610" s="1"/>
  <c r="H609"/>
  <c r="E608"/>
  <c r="H608" s="1"/>
  <c r="H607"/>
  <c r="H606"/>
  <c r="E606"/>
  <c r="E605"/>
  <c r="H605" s="1"/>
  <c r="H604"/>
  <c r="E603"/>
  <c r="H603" s="1"/>
  <c r="H602"/>
  <c r="H601"/>
  <c r="E601"/>
  <c r="H600"/>
  <c r="H599"/>
  <c r="E599"/>
  <c r="H598"/>
  <c r="H597"/>
  <c r="H596"/>
  <c r="H595"/>
  <c r="H594"/>
  <c r="E593"/>
  <c r="H593" s="1"/>
  <c r="H592"/>
  <c r="H591"/>
  <c r="E590"/>
  <c r="H590" s="1"/>
  <c r="H589"/>
  <c r="E589"/>
  <c r="H588"/>
  <c r="H587"/>
  <c r="E587"/>
  <c r="H586"/>
  <c r="E585"/>
  <c r="H585" s="1"/>
  <c r="H584"/>
  <c r="E584"/>
  <c r="H583"/>
  <c r="H582"/>
  <c r="H581"/>
  <c r="E581"/>
  <c r="H580"/>
  <c r="H579"/>
  <c r="E579"/>
  <c r="H578"/>
  <c r="E577"/>
  <c r="H577" s="1"/>
  <c r="H576"/>
  <c r="E575"/>
  <c r="H575" s="1"/>
  <c r="H574"/>
  <c r="H573"/>
  <c r="E573"/>
  <c r="H572"/>
  <c r="H571"/>
  <c r="E571"/>
  <c r="E570"/>
  <c r="H570" s="1"/>
  <c r="H569"/>
  <c r="H568"/>
  <c r="E567"/>
  <c r="H567" s="1"/>
  <c r="H566"/>
  <c r="H565"/>
  <c r="E565"/>
  <c r="H564"/>
  <c r="H563"/>
  <c r="E563"/>
  <c r="H562"/>
  <c r="E561"/>
  <c r="H561" s="1"/>
  <c r="H560"/>
  <c r="H559"/>
  <c r="G558"/>
  <c r="E558"/>
  <c r="H558" s="1"/>
  <c r="H552"/>
  <c r="H551"/>
  <c r="H550"/>
  <c r="H549"/>
  <c r="H548"/>
  <c r="H547"/>
  <c r="H546"/>
  <c r="H553" s="1"/>
  <c r="H554" s="1"/>
  <c r="G768" i="37" s="1"/>
  <c r="B545" i="35"/>
  <c r="C768" i="37" s="1"/>
  <c r="H540" i="35"/>
  <c r="H539"/>
  <c r="H538"/>
  <c r="H537"/>
  <c r="H542" s="1"/>
  <c r="H543" s="1"/>
  <c r="G266" i="37" s="1"/>
  <c r="H536" i="35"/>
  <c r="H535"/>
  <c r="H530"/>
  <c r="H529"/>
  <c r="H528"/>
  <c r="H527"/>
  <c r="H531" s="1"/>
  <c r="H532" s="1"/>
  <c r="G265" i="37" s="1"/>
  <c r="H526" i="35"/>
  <c r="H525"/>
  <c r="H520"/>
  <c r="H519"/>
  <c r="H518"/>
  <c r="H517"/>
  <c r="H516"/>
  <c r="H514"/>
  <c r="H513"/>
  <c r="H512"/>
  <c r="H511"/>
  <c r="H509"/>
  <c r="H508"/>
  <c r="H521" s="1"/>
  <c r="H522" s="1"/>
  <c r="G259" i="37" s="1"/>
  <c r="E503" i="35"/>
  <c r="H503" s="1"/>
  <c r="H502"/>
  <c r="H501"/>
  <c r="E500"/>
  <c r="H500" s="1"/>
  <c r="H499"/>
  <c r="E499"/>
  <c r="H498"/>
  <c r="H497"/>
  <c r="H496"/>
  <c r="H504" s="1"/>
  <c r="H505" s="1"/>
  <c r="G252" i="37" s="1"/>
  <c r="H492" i="35"/>
  <c r="H490"/>
  <c r="H489"/>
  <c r="H493" s="1"/>
  <c r="G251" i="37" s="1"/>
  <c r="H482" i="35"/>
  <c r="H481"/>
  <c r="H480"/>
  <c r="H479"/>
  <c r="H478"/>
  <c r="H477"/>
  <c r="H476"/>
  <c r="H475"/>
  <c r="J474"/>
  <c r="K474" s="1"/>
  <c r="H474"/>
  <c r="H483" s="1"/>
  <c r="E484" s="1"/>
  <c r="H484" s="1"/>
  <c r="H485" s="1"/>
  <c r="G250" i="37" s="1"/>
  <c r="H470" i="35"/>
  <c r="H468"/>
  <c r="H467"/>
  <c r="H471" s="1"/>
  <c r="G236" i="37" s="1"/>
  <c r="H462" i="35"/>
  <c r="H461"/>
  <c r="H460"/>
  <c r="H459"/>
  <c r="H463" s="1"/>
  <c r="G220" i="37" s="1"/>
  <c r="H455" i="35"/>
  <c r="H456" s="1"/>
  <c r="G219" i="37" s="1"/>
  <c r="H449" i="35"/>
  <c r="H448"/>
  <c r="H447"/>
  <c r="H446"/>
  <c r="H450" s="1"/>
  <c r="H451" s="1"/>
  <c r="G394" i="37" s="1"/>
  <c r="H441" i="35"/>
  <c r="H440"/>
  <c r="H442" s="1"/>
  <c r="H443" s="1"/>
  <c r="H436"/>
  <c r="H430"/>
  <c r="H429"/>
  <c r="H428"/>
  <c r="H427"/>
  <c r="H431" s="1"/>
  <c r="H432" s="1"/>
  <c r="G387" i="37" s="1"/>
  <c r="H426" i="35"/>
  <c r="H421"/>
  <c r="H420"/>
  <c r="H419"/>
  <c r="H422" s="1"/>
  <c r="H423" s="1"/>
  <c r="H408"/>
  <c r="H409" s="1"/>
  <c r="G147" i="37" s="1"/>
  <c r="H407" i="35"/>
  <c r="H406"/>
  <c r="H402"/>
  <c r="H403" s="1"/>
  <c r="G146" i="37" s="1"/>
  <c r="H396" i="35"/>
  <c r="H395"/>
  <c r="H394"/>
  <c r="H393"/>
  <c r="H392"/>
  <c r="H397" s="1"/>
  <c r="H398" s="1"/>
  <c r="G135" i="37" s="1"/>
  <c r="H387" i="35"/>
  <c r="H386"/>
  <c r="H385"/>
  <c r="H384"/>
  <c r="H388" s="1"/>
  <c r="H389" s="1"/>
  <c r="G134" i="37" s="1"/>
  <c r="H378" i="35"/>
  <c r="H377"/>
  <c r="H376"/>
  <c r="H375"/>
  <c r="H374"/>
  <c r="H379" s="1"/>
  <c r="H380" s="1"/>
  <c r="G99" i="37" s="1"/>
  <c r="E374" i="35"/>
  <c r="H369"/>
  <c r="H368"/>
  <c r="E367"/>
  <c r="H367" s="1"/>
  <c r="H366"/>
  <c r="H365"/>
  <c r="H364"/>
  <c r="H363"/>
  <c r="H362"/>
  <c r="H361"/>
  <c r="H360"/>
  <c r="H359"/>
  <c r="H357"/>
  <c r="H356"/>
  <c r="H355"/>
  <c r="H354"/>
  <c r="H353"/>
  <c r="H370" s="1"/>
  <c r="H371" s="1"/>
  <c r="G98" i="37" s="1"/>
  <c r="H347" i="35"/>
  <c r="H346"/>
  <c r="H345"/>
  <c r="H344"/>
  <c r="H343"/>
  <c r="H342"/>
  <c r="H341"/>
  <c r="H348" s="1"/>
  <c r="H349" s="1"/>
  <c r="G97" i="37" s="1"/>
  <c r="H335" i="35"/>
  <c r="H334"/>
  <c r="H333"/>
  <c r="H332"/>
  <c r="H331"/>
  <c r="H330"/>
  <c r="H329"/>
  <c r="H328"/>
  <c r="H327"/>
  <c r="H336" s="1"/>
  <c r="H337" s="1"/>
  <c r="G49" i="37" s="1"/>
  <c r="E322" i="35"/>
  <c r="H322" s="1"/>
  <c r="O321"/>
  <c r="E321"/>
  <c r="H321" s="1"/>
  <c r="H320"/>
  <c r="E320"/>
  <c r="H319"/>
  <c r="H318"/>
  <c r="H317"/>
  <c r="H316"/>
  <c r="H315"/>
  <c r="G310"/>
  <c r="H310" s="1"/>
  <c r="H309"/>
  <c r="H308"/>
  <c r="H307"/>
  <c r="H306"/>
  <c r="H305"/>
  <c r="H304"/>
  <c r="H303"/>
  <c r="H302"/>
  <c r="H301"/>
  <c r="E301"/>
  <c r="H300"/>
  <c r="H299"/>
  <c r="H298"/>
  <c r="H297"/>
  <c r="H296"/>
  <c r="H295"/>
  <c r="H294"/>
  <c r="H293"/>
  <c r="H292"/>
  <c r="H291"/>
  <c r="H290"/>
  <c r="E289"/>
  <c r="H289" s="1"/>
  <c r="G284"/>
  <c r="H284" s="1"/>
  <c r="H283"/>
  <c r="G283"/>
  <c r="H279"/>
  <c r="G279"/>
  <c r="G280" s="1"/>
  <c r="H278"/>
  <c r="G278"/>
  <c r="H277"/>
  <c r="H276"/>
  <c r="E276"/>
  <c r="H275"/>
  <c r="H274"/>
  <c r="H273"/>
  <c r="H272"/>
  <c r="E271"/>
  <c r="H271" s="1"/>
  <c r="H270"/>
  <c r="G270"/>
  <c r="E270"/>
  <c r="H269"/>
  <c r="H268"/>
  <c r="E268"/>
  <c r="H267"/>
  <c r="J266"/>
  <c r="H266"/>
  <c r="H265"/>
  <c r="H264"/>
  <c r="H263"/>
  <c r="H262"/>
  <c r="H261"/>
  <c r="H260"/>
  <c r="H259"/>
  <c r="H258"/>
  <c r="H257"/>
  <c r="H256"/>
  <c r="H255"/>
  <c r="G255"/>
  <c r="E255"/>
  <c r="H249"/>
  <c r="H248"/>
  <c r="H247"/>
  <c r="H246"/>
  <c r="H250" s="1"/>
  <c r="H251" s="1"/>
  <c r="G428" i="37" s="1"/>
  <c r="M245" i="35"/>
  <c r="H245"/>
  <c r="H244"/>
  <c r="H239"/>
  <c r="H238"/>
  <c r="H237"/>
  <c r="H236"/>
  <c r="F236"/>
  <c r="E236"/>
  <c r="H235"/>
  <c r="H234"/>
  <c r="E233"/>
  <c r="H233" s="1"/>
  <c r="H232"/>
  <c r="E232"/>
  <c r="H231"/>
  <c r="H230"/>
  <c r="H229"/>
  <c r="H228"/>
  <c r="H227"/>
  <c r="E226"/>
  <c r="H226" s="1"/>
  <c r="H225"/>
  <c r="H224"/>
  <c r="H223"/>
  <c r="H222"/>
  <c r="H221"/>
  <c r="H220"/>
  <c r="H219"/>
  <c r="H218"/>
  <c r="H217"/>
  <c r="H216"/>
  <c r="E215"/>
  <c r="H215" s="1"/>
  <c r="H214"/>
  <c r="E214"/>
  <c r="H213"/>
  <c r="H212"/>
  <c r="F212"/>
  <c r="E212"/>
  <c r="F211"/>
  <c r="E211"/>
  <c r="H211" s="1"/>
  <c r="H210"/>
  <c r="H209"/>
  <c r="H208"/>
  <c r="H207"/>
  <c r="H203"/>
  <c r="G203"/>
  <c r="G204" s="1"/>
  <c r="H202"/>
  <c r="G202"/>
  <c r="H201"/>
  <c r="H196"/>
  <c r="F196"/>
  <c r="E196"/>
  <c r="H195"/>
  <c r="H194"/>
  <c r="H193"/>
  <c r="H192"/>
  <c r="E191"/>
  <c r="H191" s="1"/>
  <c r="H190"/>
  <c r="H189"/>
  <c r="H188"/>
  <c r="H187"/>
  <c r="E187"/>
  <c r="E186"/>
  <c r="H186" s="1"/>
  <c r="J185"/>
  <c r="H185"/>
  <c r="E185"/>
  <c r="H184"/>
  <c r="H183"/>
  <c r="E183"/>
  <c r="E182"/>
  <c r="H182" s="1"/>
  <c r="H181"/>
  <c r="J180"/>
  <c r="H180"/>
  <c r="E180"/>
  <c r="H179"/>
  <c r="J178"/>
  <c r="H178"/>
  <c r="E177"/>
  <c r="H177" s="1"/>
  <c r="M176"/>
  <c r="H176"/>
  <c r="E176"/>
  <c r="J175"/>
  <c r="E175"/>
  <c r="L176" s="1"/>
  <c r="N176" s="1"/>
  <c r="H174"/>
  <c r="H173"/>
  <c r="H172"/>
  <c r="H171"/>
  <c r="H170"/>
  <c r="H169"/>
  <c r="H168"/>
  <c r="H167"/>
  <c r="H166"/>
  <c r="H165"/>
  <c r="H164"/>
  <c r="H163"/>
  <c r="H162"/>
  <c r="H161"/>
  <c r="H160"/>
  <c r="H159"/>
  <c r="H158"/>
  <c r="E158"/>
  <c r="H157"/>
  <c r="H156"/>
  <c r="H155"/>
  <c r="E155"/>
  <c r="E154"/>
  <c r="H154" s="1"/>
  <c r="J153"/>
  <c r="E153"/>
  <c r="J148"/>
  <c r="G148"/>
  <c r="H148" s="1"/>
  <c r="J147"/>
  <c r="H147"/>
  <c r="H141"/>
  <c r="H140"/>
  <c r="H139"/>
  <c r="H138"/>
  <c r="H137"/>
  <c r="H136"/>
  <c r="H135"/>
  <c r="H134"/>
  <c r="E134"/>
  <c r="H133"/>
  <c r="E133"/>
  <c r="H132"/>
  <c r="E132"/>
  <c r="H131"/>
  <c r="E131"/>
  <c r="H130"/>
  <c r="E130"/>
  <c r="H129"/>
  <c r="E128"/>
  <c r="H128" s="1"/>
  <c r="H127"/>
  <c r="K126"/>
  <c r="H126"/>
  <c r="H125"/>
  <c r="H142" s="1"/>
  <c r="H143" s="1"/>
  <c r="G45" i="37" s="1"/>
  <c r="G125" i="35"/>
  <c r="E125"/>
  <c r="K124"/>
  <c r="J124"/>
  <c r="H124"/>
  <c r="E124"/>
  <c r="F119"/>
  <c r="E119"/>
  <c r="D119"/>
  <c r="C119"/>
  <c r="H119" s="1"/>
  <c r="B119"/>
  <c r="H118"/>
  <c r="H117"/>
  <c r="F117"/>
  <c r="E117"/>
  <c r="D117"/>
  <c r="C117"/>
  <c r="B117"/>
  <c r="F116"/>
  <c r="E116"/>
  <c r="D116"/>
  <c r="C116"/>
  <c r="H116" s="1"/>
  <c r="B116"/>
  <c r="H115"/>
  <c r="F115"/>
  <c r="E115"/>
  <c r="D115"/>
  <c r="C115"/>
  <c r="B115"/>
  <c r="F114"/>
  <c r="E114"/>
  <c r="D114"/>
  <c r="C114"/>
  <c r="H114" s="1"/>
  <c r="B114"/>
  <c r="H113"/>
  <c r="F113"/>
  <c r="E113"/>
  <c r="D113"/>
  <c r="C113"/>
  <c r="B113"/>
  <c r="F112"/>
  <c r="E112"/>
  <c r="D112"/>
  <c r="C112"/>
  <c r="H112" s="1"/>
  <c r="B112"/>
  <c r="F111"/>
  <c r="E111"/>
  <c r="D111"/>
  <c r="C111"/>
  <c r="H111" s="1"/>
  <c r="B111"/>
  <c r="F110"/>
  <c r="E110"/>
  <c r="D110"/>
  <c r="C110"/>
  <c r="H110" s="1"/>
  <c r="B110"/>
  <c r="F109"/>
  <c r="E109"/>
  <c r="D109"/>
  <c r="C109"/>
  <c r="H109" s="1"/>
  <c r="B109"/>
  <c r="F108"/>
  <c r="E108"/>
  <c r="D108"/>
  <c r="C108"/>
  <c r="H108" s="1"/>
  <c r="E107"/>
  <c r="H107" s="1"/>
  <c r="H106"/>
  <c r="H105"/>
  <c r="H104"/>
  <c r="H103"/>
  <c r="H102"/>
  <c r="K101"/>
  <c r="H101"/>
  <c r="K99"/>
  <c r="H99"/>
  <c r="H98"/>
  <c r="H97"/>
  <c r="H96"/>
  <c r="H95"/>
  <c r="H94"/>
  <c r="H93"/>
  <c r="H92"/>
  <c r="H91"/>
  <c r="H90"/>
  <c r="K89"/>
  <c r="H89"/>
  <c r="H88"/>
  <c r="E88"/>
  <c r="H87"/>
  <c r="H86"/>
  <c r="H85"/>
  <c r="H84"/>
  <c r="H83"/>
  <c r="H82"/>
  <c r="K80"/>
  <c r="H80"/>
  <c r="O79"/>
  <c r="K79"/>
  <c r="H79"/>
  <c r="F79"/>
  <c r="K78"/>
  <c r="H78"/>
  <c r="H120" s="1"/>
  <c r="H121" s="1"/>
  <c r="F78"/>
  <c r="H77"/>
  <c r="K73"/>
  <c r="F73"/>
  <c r="H73" s="1"/>
  <c r="H72"/>
  <c r="F72"/>
  <c r="F71"/>
  <c r="H71" s="1"/>
  <c r="H70"/>
  <c r="F70"/>
  <c r="H69"/>
  <c r="F69"/>
  <c r="H68"/>
  <c r="F68"/>
  <c r="H67"/>
  <c r="F67"/>
  <c r="H66"/>
  <c r="F66"/>
  <c r="H65"/>
  <c r="F65"/>
  <c r="H64"/>
  <c r="F64"/>
  <c r="H63"/>
  <c r="K62"/>
  <c r="J62"/>
  <c r="K61"/>
  <c r="J61"/>
  <c r="M60"/>
  <c r="K60"/>
  <c r="J60"/>
  <c r="H59"/>
  <c r="K54"/>
  <c r="F54"/>
  <c r="H54" s="1"/>
  <c r="H53"/>
  <c r="F53"/>
  <c r="E53"/>
  <c r="H52"/>
  <c r="F52"/>
  <c r="E52"/>
  <c r="F51"/>
  <c r="E51"/>
  <c r="H51" s="1"/>
  <c r="F50"/>
  <c r="E50"/>
  <c r="H50" s="1"/>
  <c r="H49"/>
  <c r="F49"/>
  <c r="E49"/>
  <c r="H48"/>
  <c r="F48"/>
  <c r="E48"/>
  <c r="F47"/>
  <c r="E47"/>
  <c r="H47" s="1"/>
  <c r="F46"/>
  <c r="E46"/>
  <c r="H46" s="1"/>
  <c r="F45"/>
  <c r="H44"/>
  <c r="E44"/>
  <c r="H43"/>
  <c r="E43"/>
  <c r="H42"/>
  <c r="H41"/>
  <c r="H40"/>
  <c r="E40"/>
  <c r="H39"/>
  <c r="E39"/>
  <c r="H38"/>
  <c r="H37"/>
  <c r="H36"/>
  <c r="K32"/>
  <c r="J32"/>
  <c r="H32"/>
  <c r="F32"/>
  <c r="E32"/>
  <c r="E62" s="1"/>
  <c r="K31"/>
  <c r="J31"/>
  <c r="E31"/>
  <c r="F31" s="1"/>
  <c r="K30"/>
  <c r="J30"/>
  <c r="F30"/>
  <c r="E30"/>
  <c r="H30" s="1"/>
  <c r="H25"/>
  <c r="E25"/>
  <c r="K24"/>
  <c r="F24"/>
  <c r="H24" s="1"/>
  <c r="K23"/>
  <c r="F23"/>
  <c r="H23" s="1"/>
  <c r="H22"/>
  <c r="F22"/>
  <c r="F21"/>
  <c r="H21" s="1"/>
  <c r="H20"/>
  <c r="F20"/>
  <c r="H19"/>
  <c r="F19"/>
  <c r="H18"/>
  <c r="F18"/>
  <c r="H17"/>
  <c r="F17"/>
  <c r="H16"/>
  <c r="F16"/>
  <c r="F15"/>
  <c r="E15"/>
  <c r="E45" s="1"/>
  <c r="H45" s="1"/>
  <c r="O14"/>
  <c r="M14"/>
  <c r="K14"/>
  <c r="H14"/>
  <c r="K13"/>
  <c r="J13"/>
  <c r="H13"/>
  <c r="K12"/>
  <c r="J12"/>
  <c r="H12"/>
  <c r="F12"/>
  <c r="K11"/>
  <c r="J11"/>
  <c r="F11"/>
  <c r="C11"/>
  <c r="H11" s="1"/>
  <c r="F17" i="34"/>
  <c r="F18"/>
  <c r="F19"/>
  <c r="F20"/>
  <c r="F21"/>
  <c r="F22"/>
  <c r="F23"/>
  <c r="F24"/>
  <c r="F25"/>
  <c r="F26"/>
  <c r="F27"/>
  <c r="F28"/>
  <c r="F29"/>
  <c r="F30"/>
  <c r="F31"/>
  <c r="F32"/>
  <c r="F33"/>
  <c r="F34"/>
  <c r="F35"/>
  <c r="F37"/>
  <c r="F38"/>
  <c r="F39"/>
  <c r="F40"/>
  <c r="F42"/>
  <c r="F43"/>
  <c r="F44"/>
  <c r="F45"/>
  <c r="F46"/>
  <c r="F47"/>
  <c r="F48"/>
  <c r="F49"/>
  <c r="F50"/>
  <c r="F51"/>
  <c r="F52"/>
  <c r="F53"/>
  <c r="F54"/>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8"/>
  <c r="F829"/>
  <c r="F830"/>
  <c r="F831"/>
  <c r="F832"/>
  <c r="F833"/>
  <c r="F834"/>
  <c r="F835"/>
  <c r="F836"/>
  <c r="F837"/>
  <c r="F838"/>
  <c r="F839"/>
  <c r="F840"/>
  <c r="F841"/>
  <c r="F842"/>
  <c r="F843"/>
  <c r="F844"/>
  <c r="F845"/>
  <c r="F846"/>
  <c r="F847"/>
  <c r="F848"/>
  <c r="F849"/>
  <c r="F850"/>
  <c r="F851"/>
  <c r="F852"/>
  <c r="F853"/>
  <c r="F854"/>
  <c r="F859"/>
  <c r="F860"/>
  <c r="F861"/>
  <c r="F862"/>
  <c r="F863"/>
  <c r="F864"/>
  <c r="F865"/>
  <c r="F866"/>
  <c r="F867"/>
  <c r="F868"/>
  <c r="F869"/>
  <c r="F870"/>
  <c r="F871"/>
  <c r="F872"/>
  <c r="F873"/>
  <c r="F874"/>
  <c r="F875"/>
  <c r="F876"/>
  <c r="F877"/>
  <c r="F878"/>
  <c r="F879"/>
  <c r="F880"/>
  <c r="F881"/>
  <c r="F882"/>
  <c r="F883"/>
  <c r="F884"/>
  <c r="F886"/>
  <c r="F887"/>
  <c r="F888"/>
  <c r="F889"/>
  <c r="F890"/>
  <c r="F891"/>
  <c r="F892"/>
  <c r="F893"/>
  <c r="F894"/>
  <c r="F895"/>
  <c r="F896"/>
  <c r="F897"/>
  <c r="F898"/>
  <c r="F899"/>
  <c r="F900"/>
  <c r="F901"/>
  <c r="F902"/>
  <c r="F903"/>
  <c r="F904"/>
  <c r="F905"/>
  <c r="F906"/>
  <c r="F907"/>
  <c r="F908"/>
  <c r="F909"/>
  <c r="F910"/>
  <c r="F911"/>
  <c r="F912"/>
  <c r="F913"/>
  <c r="F914"/>
  <c r="F915"/>
  <c r="D365"/>
  <c r="D350"/>
  <c r="F350" s="1"/>
  <c r="D55"/>
  <c r="F55" s="1"/>
  <c r="D41"/>
  <c r="F41" s="1"/>
  <c r="D36"/>
  <c r="F36" s="1"/>
  <c r="F17" i="32"/>
  <c r="F18"/>
  <c r="F19"/>
  <c r="F20"/>
  <c r="F21"/>
  <c r="F22"/>
  <c r="F23"/>
  <c r="F24"/>
  <c r="F25"/>
  <c r="F26"/>
  <c r="F27"/>
  <c r="F28"/>
  <c r="F29"/>
  <c r="F30"/>
  <c r="F31"/>
  <c r="F32"/>
  <c r="F33"/>
  <c r="F34"/>
  <c r="F35"/>
  <c r="F37"/>
  <c r="F38"/>
  <c r="F39"/>
  <c r="F40"/>
  <c r="F44"/>
  <c r="F45"/>
  <c r="F46"/>
  <c r="F47"/>
  <c r="F48"/>
  <c r="F49"/>
  <c r="F50"/>
  <c r="F51"/>
  <c r="F52"/>
  <c r="F53"/>
  <c r="F54"/>
  <c r="F55"/>
  <c r="F56"/>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9"/>
  <c r="F330"/>
  <c r="F331"/>
  <c r="F332"/>
  <c r="F333"/>
  <c r="F334"/>
  <c r="F335"/>
  <c r="F336"/>
  <c r="F337"/>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2"/>
  <c r="F463"/>
  <c r="F464"/>
  <c r="F465"/>
  <c r="F466"/>
  <c r="F467"/>
  <c r="F468"/>
  <c r="F469"/>
  <c r="F470"/>
  <c r="F471"/>
  <c r="F472"/>
  <c r="F473"/>
  <c r="F474"/>
  <c r="F475"/>
  <c r="F476"/>
  <c r="F477"/>
  <c r="F478"/>
  <c r="F479"/>
  <c r="F480"/>
  <c r="F481"/>
  <c r="F482"/>
  <c r="F483"/>
  <c r="F484"/>
  <c r="F485"/>
  <c r="F486"/>
  <c r="F487"/>
  <c r="F488"/>
  <c r="F489"/>
  <c r="F490"/>
  <c r="F491"/>
  <c r="F492"/>
  <c r="F493"/>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7"/>
  <c r="F648"/>
  <c r="F649"/>
  <c r="F651"/>
  <c r="F652"/>
  <c r="F653"/>
  <c r="F654"/>
  <c r="F655"/>
  <c r="F656"/>
  <c r="F657"/>
  <c r="F658"/>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9"/>
  <c r="F830"/>
  <c r="F831"/>
  <c r="F832"/>
  <c r="F833"/>
  <c r="F834"/>
  <c r="F835"/>
  <c r="F836"/>
  <c r="F837"/>
  <c r="F838"/>
  <c r="F839"/>
  <c r="F840"/>
  <c r="F841"/>
  <c r="F842"/>
  <c r="F16" i="34"/>
  <c r="H917"/>
  <c r="F917" s="1"/>
  <c r="H918"/>
  <c r="F918" s="1"/>
  <c r="H919"/>
  <c r="F919" s="1"/>
  <c r="D920"/>
  <c r="H920"/>
  <c r="F920" s="1"/>
  <c r="D921"/>
  <c r="H921" s="1"/>
  <c r="F921" s="1"/>
  <c r="D922"/>
  <c r="H922" s="1"/>
  <c r="F922" s="1"/>
  <c r="H923"/>
  <c r="F923" s="1"/>
  <c r="F924"/>
  <c r="H924"/>
  <c r="H925"/>
  <c r="F925" s="1"/>
  <c r="H926"/>
  <c r="F926" s="1"/>
  <c r="D927"/>
  <c r="H927"/>
  <c r="F927" s="1"/>
  <c r="D928"/>
  <c r="H928"/>
  <c r="F928" s="1"/>
  <c r="D929"/>
  <c r="H929" s="1"/>
  <c r="F929" s="1"/>
  <c r="D930"/>
  <c r="H930" s="1"/>
  <c r="F930" s="1"/>
  <c r="D931"/>
  <c r="H931"/>
  <c r="F931" s="1"/>
  <c r="D932"/>
  <c r="H932"/>
  <c r="F932" s="1"/>
  <c r="D933"/>
  <c r="H933" s="1"/>
  <c r="F933" s="1"/>
  <c r="D934"/>
  <c r="H934" s="1"/>
  <c r="F934" s="1"/>
  <c r="C935"/>
  <c r="D935"/>
  <c r="H935" s="1"/>
  <c r="F935" s="1"/>
  <c r="D936"/>
  <c r="H936"/>
  <c r="F936" s="1"/>
  <c r="D937"/>
  <c r="H937"/>
  <c r="F937" s="1"/>
  <c r="D938"/>
  <c r="H938" s="1"/>
  <c r="F938" s="1"/>
  <c r="D939"/>
  <c r="H939" s="1"/>
  <c r="F939" s="1"/>
  <c r="D940"/>
  <c r="H940"/>
  <c r="F940" s="1"/>
  <c r="D941"/>
  <c r="H941"/>
  <c r="F941" s="1"/>
  <c r="D942"/>
  <c r="H942" s="1"/>
  <c r="F942" s="1"/>
  <c r="D943"/>
  <c r="H943" s="1"/>
  <c r="F943" s="1"/>
  <c r="D944"/>
  <c r="H944"/>
  <c r="F944" s="1"/>
  <c r="D945"/>
  <c r="H945"/>
  <c r="F945" s="1"/>
  <c r="D946"/>
  <c r="H946" s="1"/>
  <c r="F946" s="1"/>
  <c r="D947"/>
  <c r="H947" s="1"/>
  <c r="F947" s="1"/>
  <c r="D948"/>
  <c r="H948"/>
  <c r="F948" s="1"/>
  <c r="D949"/>
  <c r="H949"/>
  <c r="F949" s="1"/>
  <c r="D950"/>
  <c r="H950" s="1"/>
  <c r="F950" s="1"/>
  <c r="D951"/>
  <c r="H951" s="1"/>
  <c r="F951" s="1"/>
  <c r="D952"/>
  <c r="H952"/>
  <c r="F952" s="1"/>
  <c r="D953"/>
  <c r="H953"/>
  <c r="F953" s="1"/>
  <c r="D954"/>
  <c r="H954" s="1"/>
  <c r="F954" s="1"/>
  <c r="D955"/>
  <c r="H955" s="1"/>
  <c r="F955" s="1"/>
  <c r="D956"/>
  <c r="H956"/>
  <c r="F956" s="1"/>
  <c r="D957"/>
  <c r="H957"/>
  <c r="F957" s="1"/>
  <c r="D958"/>
  <c r="H958" s="1"/>
  <c r="F958" s="1"/>
  <c r="D959"/>
  <c r="H959" s="1"/>
  <c r="F959" s="1"/>
  <c r="D960"/>
  <c r="H960"/>
  <c r="F960" s="1"/>
  <c r="D961"/>
  <c r="H961" s="1"/>
  <c r="F961" s="1"/>
  <c r="D962"/>
  <c r="H962" s="1"/>
  <c r="F962" s="1"/>
  <c r="D963"/>
  <c r="H963" s="1"/>
  <c r="F963" s="1"/>
  <c r="D964"/>
  <c r="H964"/>
  <c r="F964" s="1"/>
  <c r="D965"/>
  <c r="H965"/>
  <c r="F965" s="1"/>
  <c r="D966"/>
  <c r="H966" s="1"/>
  <c r="F966" s="1"/>
  <c r="D967"/>
  <c r="H967" s="1"/>
  <c r="F967" s="1"/>
  <c r="D968"/>
  <c r="H968"/>
  <c r="F968" s="1"/>
  <c r="D969"/>
  <c r="H969"/>
  <c r="F969" s="1"/>
  <c r="D970"/>
  <c r="H970" s="1"/>
  <c r="F970" s="1"/>
  <c r="D971"/>
  <c r="H971" s="1"/>
  <c r="F971" s="1"/>
  <c r="D972"/>
  <c r="H972"/>
  <c r="F972" s="1"/>
  <c r="D973"/>
  <c r="H973"/>
  <c r="F973" s="1"/>
  <c r="D974"/>
  <c r="H974" s="1"/>
  <c r="F974" s="1"/>
  <c r="D975"/>
  <c r="H975"/>
  <c r="D976"/>
  <c r="H976"/>
  <c r="D977"/>
  <c r="H977"/>
  <c r="D978"/>
  <c r="H978"/>
  <c r="D979"/>
  <c r="H979"/>
  <c r="D980"/>
  <c r="H980"/>
  <c r="D981"/>
  <c r="H981"/>
  <c r="D982"/>
  <c r="H982"/>
  <c r="D983"/>
  <c r="H983"/>
  <c r="D984"/>
  <c r="H984"/>
  <c r="D985"/>
  <c r="H985"/>
  <c r="D986"/>
  <c r="H986"/>
  <c r="D987"/>
  <c r="H987"/>
  <c r="D988"/>
  <c r="H988"/>
  <c r="D989"/>
  <c r="H989"/>
  <c r="D990"/>
  <c r="H990"/>
  <c r="D991"/>
  <c r="H991"/>
  <c r="D992"/>
  <c r="H992"/>
  <c r="D993"/>
  <c r="H993"/>
  <c r="D994"/>
  <c r="H994"/>
  <c r="D995"/>
  <c r="H995"/>
  <c r="D996"/>
  <c r="H996"/>
  <c r="D997"/>
  <c r="H997"/>
  <c r="D998"/>
  <c r="H998"/>
  <c r="D999"/>
  <c r="H999"/>
  <c r="D1000"/>
  <c r="H1000"/>
  <c r="D1001"/>
  <c r="H1001"/>
  <c r="D1002"/>
  <c r="H1002"/>
  <c r="D1004"/>
  <c r="H1004"/>
  <c r="D1005"/>
  <c r="D1003" s="1"/>
  <c r="H1003" s="1"/>
  <c r="H1005"/>
  <c r="D1006"/>
  <c r="H1006"/>
  <c r="D1007"/>
  <c r="H1007"/>
  <c r="D1008"/>
  <c r="H1008"/>
  <c r="D1009"/>
  <c r="H1009"/>
  <c r="D1010"/>
  <c r="H1010"/>
  <c r="D1011"/>
  <c r="H1011"/>
  <c r="D1012"/>
  <c r="H1012"/>
  <c r="D1013"/>
  <c r="H1013"/>
  <c r="D1014"/>
  <c r="H1014"/>
  <c r="H1015"/>
  <c r="H1016"/>
  <c r="H1017"/>
  <c r="H1018"/>
  <c r="H1019"/>
  <c r="H1020"/>
  <c r="H1021"/>
  <c r="H1022"/>
  <c r="H1023"/>
  <c r="H1024"/>
  <c r="H1025"/>
  <c r="H1026"/>
  <c r="H1027"/>
  <c r="H1028"/>
  <c r="H1029"/>
  <c r="H1030"/>
  <c r="G23" i="30"/>
  <c r="F6" i="33"/>
  <c r="B6"/>
  <c r="B15"/>
  <c r="B17"/>
  <c r="B19"/>
  <c r="H1036" i="34"/>
  <c r="H1035"/>
  <c r="H1034"/>
  <c r="H1033"/>
  <c r="H1032"/>
  <c r="H1031"/>
  <c r="D916"/>
  <c r="D915"/>
  <c r="D914"/>
  <c r="H914" s="1"/>
  <c r="D913"/>
  <c r="D912"/>
  <c r="H912" s="1"/>
  <c r="H911"/>
  <c r="D910"/>
  <c r="D907"/>
  <c r="H907" s="1"/>
  <c r="H906"/>
  <c r="D905"/>
  <c r="H905" s="1"/>
  <c r="D904"/>
  <c r="D903"/>
  <c r="D902"/>
  <c r="D901"/>
  <c r="H901" s="1"/>
  <c r="D900"/>
  <c r="H900" s="1"/>
  <c r="D899"/>
  <c r="D898"/>
  <c r="H898" s="1"/>
  <c r="D897"/>
  <c r="D896"/>
  <c r="H896" s="1"/>
  <c r="D895"/>
  <c r="D894"/>
  <c r="H894" s="1"/>
  <c r="H893"/>
  <c r="H892"/>
  <c r="H891"/>
  <c r="H890"/>
  <c r="D889"/>
  <c r="H889" s="1"/>
  <c r="D888"/>
  <c r="D887"/>
  <c r="H886"/>
  <c r="D885"/>
  <c r="H885" s="1"/>
  <c r="D884"/>
  <c r="H884" s="1"/>
  <c r="D883"/>
  <c r="H883" s="1"/>
  <c r="D882"/>
  <c r="H881"/>
  <c r="D880"/>
  <c r="H880" s="1"/>
  <c r="H879"/>
  <c r="D878"/>
  <c r="H878" s="1"/>
  <c r="D877"/>
  <c r="H877" s="1"/>
  <c r="D876"/>
  <c r="D875"/>
  <c r="H875" s="1"/>
  <c r="D874"/>
  <c r="H874" s="1"/>
  <c r="D873"/>
  <c r="H873" s="1"/>
  <c r="H872"/>
  <c r="D871"/>
  <c r="D870"/>
  <c r="H870" s="1"/>
  <c r="D869"/>
  <c r="H869" s="1"/>
  <c r="D868"/>
  <c r="H868" s="1"/>
  <c r="D867"/>
  <c r="D866"/>
  <c r="H866" s="1"/>
  <c r="D865"/>
  <c r="H865" s="1"/>
  <c r="D864"/>
  <c r="H864" s="1"/>
  <c r="D863"/>
  <c r="D862"/>
  <c r="H862" s="1"/>
  <c r="D861"/>
  <c r="H861" s="1"/>
  <c r="H860"/>
  <c r="D859"/>
  <c r="H859" s="1"/>
  <c r="D858"/>
  <c r="F858" s="1"/>
  <c r="D857"/>
  <c r="H857" s="1"/>
  <c r="D856"/>
  <c r="H856" s="1"/>
  <c r="D855"/>
  <c r="H855" s="1"/>
  <c r="H854"/>
  <c r="D853"/>
  <c r="D852"/>
  <c r="D851"/>
  <c r="D850"/>
  <c r="H850" s="1"/>
  <c r="H849"/>
  <c r="H848"/>
  <c r="H847"/>
  <c r="H846"/>
  <c r="H845"/>
  <c r="H844"/>
  <c r="D843"/>
  <c r="H843" s="1"/>
  <c r="D842"/>
  <c r="H842" s="1"/>
  <c r="H841"/>
  <c r="D840"/>
  <c r="H840" s="1"/>
  <c r="D839"/>
  <c r="H839" s="1"/>
  <c r="D838"/>
  <c r="D837"/>
  <c r="H837" s="1"/>
  <c r="D836"/>
  <c r="H836" s="1"/>
  <c r="D835"/>
  <c r="H835" s="1"/>
  <c r="H834"/>
  <c r="H833"/>
  <c r="H832"/>
  <c r="H831"/>
  <c r="D830"/>
  <c r="D829"/>
  <c r="H829" s="1"/>
  <c r="D828"/>
  <c r="H828" s="1"/>
  <c r="D826"/>
  <c r="H825"/>
  <c r="H824"/>
  <c r="D823"/>
  <c r="H823" s="1"/>
  <c r="D822"/>
  <c r="H822" s="1"/>
  <c r="H821"/>
  <c r="C821"/>
  <c r="D820"/>
  <c r="D819"/>
  <c r="D818"/>
  <c r="H818" s="1"/>
  <c r="D817"/>
  <c r="H817" s="1"/>
  <c r="H816"/>
  <c r="D815"/>
  <c r="H814"/>
  <c r="H813"/>
  <c r="D812"/>
  <c r="H812" s="1"/>
  <c r="H811"/>
  <c r="D810"/>
  <c r="H810" s="1"/>
  <c r="D809"/>
  <c r="H809" s="1"/>
  <c r="D808"/>
  <c r="D807"/>
  <c r="H807" s="1"/>
  <c r="H806"/>
  <c r="D805"/>
  <c r="H805" s="1"/>
  <c r="D804"/>
  <c r="H804" s="1"/>
  <c r="D803"/>
  <c r="D802"/>
  <c r="H802" s="1"/>
  <c r="H801"/>
  <c r="D800"/>
  <c r="D799"/>
  <c r="H799" s="1"/>
  <c r="D798"/>
  <c r="D797"/>
  <c r="H797" s="1"/>
  <c r="D796"/>
  <c r="H796" s="1"/>
  <c r="D795"/>
  <c r="H795" s="1"/>
  <c r="H794"/>
  <c r="D793"/>
  <c r="H793" s="1"/>
  <c r="D792"/>
  <c r="D791"/>
  <c r="H791" s="1"/>
  <c r="H790"/>
  <c r="H789"/>
  <c r="H788"/>
  <c r="H787"/>
  <c r="H786"/>
  <c r="H785"/>
  <c r="D784"/>
  <c r="H783"/>
  <c r="H782"/>
  <c r="H781"/>
  <c r="H780"/>
  <c r="H779"/>
  <c r="H778"/>
  <c r="H777"/>
  <c r="H776"/>
  <c r="H775"/>
  <c r="H774"/>
  <c r="H773"/>
  <c r="H772"/>
  <c r="H771"/>
  <c r="H770"/>
  <c r="H769"/>
  <c r="H768"/>
  <c r="H767"/>
  <c r="H766"/>
  <c r="H765"/>
  <c r="H764"/>
  <c r="H763"/>
  <c r="H762"/>
  <c r="H761"/>
  <c r="H760"/>
  <c r="H759"/>
  <c r="H758"/>
  <c r="D757"/>
  <c r="D756"/>
  <c r="H756" s="1"/>
  <c r="D755"/>
  <c r="H755" s="1"/>
  <c r="D754"/>
  <c r="H753"/>
  <c r="D752"/>
  <c r="D751"/>
  <c r="H751" s="1"/>
  <c r="D750"/>
  <c r="D749"/>
  <c r="D748"/>
  <c r="D747"/>
  <c r="H747" s="1"/>
  <c r="D746"/>
  <c r="H746" s="1"/>
  <c r="D745"/>
  <c r="D744"/>
  <c r="H743"/>
  <c r="H742"/>
  <c r="H741"/>
  <c r="H740"/>
  <c r="H739"/>
  <c r="H738"/>
  <c r="H737"/>
  <c r="H736"/>
  <c r="H735"/>
  <c r="H734"/>
  <c r="H733"/>
  <c r="H732"/>
  <c r="H731"/>
  <c r="H730"/>
  <c r="H729"/>
  <c r="H728"/>
  <c r="H727"/>
  <c r="H726"/>
  <c r="H725"/>
  <c r="H724"/>
  <c r="H723"/>
  <c r="H722"/>
  <c r="A722"/>
  <c r="H721"/>
  <c r="D720"/>
  <c r="H720" s="1"/>
  <c r="D719"/>
  <c r="H718"/>
  <c r="H717"/>
  <c r="D716"/>
  <c r="D715"/>
  <c r="H715" s="1"/>
  <c r="H714"/>
  <c r="D713"/>
  <c r="H713" s="1"/>
  <c r="D712"/>
  <c r="D711"/>
  <c r="D710"/>
  <c r="H710" s="1"/>
  <c r="H709"/>
  <c r="D708"/>
  <c r="H708" s="1"/>
  <c r="D707"/>
  <c r="D706"/>
  <c r="D705"/>
  <c r="H705" s="1"/>
  <c r="D704"/>
  <c r="D703"/>
  <c r="H703" s="1"/>
  <c r="D702"/>
  <c r="H702" s="1"/>
  <c r="C702"/>
  <c r="D701"/>
  <c r="C701"/>
  <c r="D700"/>
  <c r="D699"/>
  <c r="D697"/>
  <c r="H697" s="1"/>
  <c r="C697"/>
  <c r="D696"/>
  <c r="D695"/>
  <c r="D694"/>
  <c r="H694" s="1"/>
  <c r="D693"/>
  <c r="H693" s="1"/>
  <c r="D692"/>
  <c r="D691"/>
  <c r="D690"/>
  <c r="H690" s="1"/>
  <c r="D689"/>
  <c r="H689" s="1"/>
  <c r="H688"/>
  <c r="D687"/>
  <c r="D686"/>
  <c r="D685"/>
  <c r="H685" s="1"/>
  <c r="D684"/>
  <c r="D683"/>
  <c r="H683" s="1"/>
  <c r="D682"/>
  <c r="H682" s="1"/>
  <c r="H681"/>
  <c r="D680"/>
  <c r="D679"/>
  <c r="D678"/>
  <c r="H678" s="1"/>
  <c r="H677"/>
  <c r="D676"/>
  <c r="H676" s="1"/>
  <c r="D675"/>
  <c r="D674"/>
  <c r="D673"/>
  <c r="H673" s="1"/>
  <c r="D672"/>
  <c r="D671"/>
  <c r="D670"/>
  <c r="D669"/>
  <c r="H669" s="1"/>
  <c r="D668"/>
  <c r="H668" s="1"/>
  <c r="D667"/>
  <c r="D666"/>
  <c r="D665"/>
  <c r="H665" s="1"/>
  <c r="D664"/>
  <c r="H664" s="1"/>
  <c r="D663"/>
  <c r="D662"/>
  <c r="D661"/>
  <c r="H661" s="1"/>
  <c r="D660"/>
  <c r="H660" s="1"/>
  <c r="H659"/>
  <c r="D658"/>
  <c r="D657"/>
  <c r="H657" s="1"/>
  <c r="D656"/>
  <c r="H656" s="1"/>
  <c r="D655"/>
  <c r="H654"/>
  <c r="D653"/>
  <c r="D652"/>
  <c r="H652" s="1"/>
  <c r="D651"/>
  <c r="H651" s="1"/>
  <c r="D650"/>
  <c r="D649"/>
  <c r="H649" s="1"/>
  <c r="D648"/>
  <c r="H648" s="1"/>
  <c r="D647"/>
  <c r="D646"/>
  <c r="D645"/>
  <c r="H645" s="1"/>
  <c r="D644"/>
  <c r="D643"/>
  <c r="D642"/>
  <c r="H642" s="1"/>
  <c r="D641"/>
  <c r="H641" s="1"/>
  <c r="D640"/>
  <c r="D639"/>
  <c r="H639" s="1"/>
  <c r="I638"/>
  <c r="I640" s="1"/>
  <c r="D638"/>
  <c r="D637"/>
  <c r="D636"/>
  <c r="H636" s="1"/>
  <c r="D635"/>
  <c r="H635" s="1"/>
  <c r="D634"/>
  <c r="D633"/>
  <c r="H632"/>
  <c r="D631"/>
  <c r="H631" s="1"/>
  <c r="D630"/>
  <c r="H630" s="1"/>
  <c r="D629"/>
  <c r="D628"/>
  <c r="D627"/>
  <c r="H627" s="1"/>
  <c r="H626"/>
  <c r="D625"/>
  <c r="D624"/>
  <c r="D623"/>
  <c r="D622"/>
  <c r="H622" s="1"/>
  <c r="D621"/>
  <c r="H621" s="1"/>
  <c r="H620"/>
  <c r="D619"/>
  <c r="D618"/>
  <c r="D617"/>
  <c r="H617" s="1"/>
  <c r="D616"/>
  <c r="H616" s="1"/>
  <c r="D615"/>
  <c r="H615" s="1"/>
  <c r="H614"/>
  <c r="D613"/>
  <c r="D612"/>
  <c r="H612" s="1"/>
  <c r="D611"/>
  <c r="H611" s="1"/>
  <c r="H610"/>
  <c r="D609"/>
  <c r="H609" s="1"/>
  <c r="D608"/>
  <c r="D607"/>
  <c r="H607" s="1"/>
  <c r="D606"/>
  <c r="H606" s="1"/>
  <c r="D605"/>
  <c r="D604"/>
  <c r="D603"/>
  <c r="H603" s="1"/>
  <c r="D602"/>
  <c r="H602" s="1"/>
  <c r="H601"/>
  <c r="D600"/>
  <c r="D599"/>
  <c r="H598"/>
  <c r="D597"/>
  <c r="H597" s="1"/>
  <c r="H596"/>
  <c r="H595"/>
  <c r="D594"/>
  <c r="H594" s="1"/>
  <c r="D593"/>
  <c r="H592"/>
  <c r="D591"/>
  <c r="D590"/>
  <c r="D589"/>
  <c r="H588"/>
  <c r="D587"/>
  <c r="H587" s="1"/>
  <c r="D586"/>
  <c r="H585"/>
  <c r="D584"/>
  <c r="H583"/>
  <c r="D582"/>
  <c r="D581"/>
  <c r="H581" s="1"/>
  <c r="D580"/>
  <c r="H580" s="1"/>
  <c r="D579"/>
  <c r="H578"/>
  <c r="D574"/>
  <c r="D573"/>
  <c r="D572"/>
  <c r="H572" s="1"/>
  <c r="D571"/>
  <c r="H570"/>
  <c r="D569"/>
  <c r="H568"/>
  <c r="H567"/>
  <c r="D566"/>
  <c r="H566" s="1"/>
  <c r="H565"/>
  <c r="D564"/>
  <c r="H563"/>
  <c r="D562"/>
  <c r="H562" s="1"/>
  <c r="D561"/>
  <c r="D560"/>
  <c r="H560" s="1"/>
  <c r="H559"/>
  <c r="D558"/>
  <c r="H558" s="1"/>
  <c r="D557"/>
  <c r="D556"/>
  <c r="D555"/>
  <c r="H555" s="1"/>
  <c r="H554"/>
  <c r="D553"/>
  <c r="H553" s="1"/>
  <c r="D552"/>
  <c r="D551"/>
  <c r="D550"/>
  <c r="H550" s="1"/>
  <c r="D549"/>
  <c r="H549" s="1"/>
  <c r="D548"/>
  <c r="D547"/>
  <c r="D546"/>
  <c r="H546" s="1"/>
  <c r="D545"/>
  <c r="H545" s="1"/>
  <c r="D544"/>
  <c r="H543"/>
  <c r="D542"/>
  <c r="D541"/>
  <c r="H541" s="1"/>
  <c r="D540"/>
  <c r="H540" s="1"/>
  <c r="D539"/>
  <c r="D538"/>
  <c r="H537"/>
  <c r="D536"/>
  <c r="H536" s="1"/>
  <c r="D535"/>
  <c r="H534"/>
  <c r="D533"/>
  <c r="D532"/>
  <c r="H531"/>
  <c r="D530"/>
  <c r="H530" s="1"/>
  <c r="D529"/>
  <c r="H529" s="1"/>
  <c r="D528"/>
  <c r="D527"/>
  <c r="D526"/>
  <c r="H526" s="1"/>
  <c r="D525"/>
  <c r="H524"/>
  <c r="D523"/>
  <c r="H523" s="1"/>
  <c r="D522"/>
  <c r="D521"/>
  <c r="H521" s="1"/>
  <c r="D520"/>
  <c r="H520" s="1"/>
  <c r="D519"/>
  <c r="H519" s="1"/>
  <c r="D518"/>
  <c r="D517"/>
  <c r="H517" s="1"/>
  <c r="D516"/>
  <c r="D515"/>
  <c r="H515" s="1"/>
  <c r="D514"/>
  <c r="D513"/>
  <c r="H513" s="1"/>
  <c r="D512"/>
  <c r="H512" s="1"/>
  <c r="D511"/>
  <c r="H511" s="1"/>
  <c r="D510"/>
  <c r="D509"/>
  <c r="H509" s="1"/>
  <c r="H508"/>
  <c r="D507"/>
  <c r="H507" s="1"/>
  <c r="D506"/>
  <c r="H505"/>
  <c r="D504"/>
  <c r="D503"/>
  <c r="H503" s="1"/>
  <c r="D502"/>
  <c r="H502" s="1"/>
  <c r="D501"/>
  <c r="D500"/>
  <c r="H499"/>
  <c r="D498"/>
  <c r="H498" s="1"/>
  <c r="D497"/>
  <c r="D496"/>
  <c r="D495"/>
  <c r="D494"/>
  <c r="H494" s="1"/>
  <c r="D493"/>
  <c r="H493" s="1"/>
  <c r="H492"/>
  <c r="D491"/>
  <c r="D490"/>
  <c r="H490" s="1"/>
  <c r="D489"/>
  <c r="H489" s="1"/>
  <c r="D488"/>
  <c r="D487"/>
  <c r="D486"/>
  <c r="H486" s="1"/>
  <c r="H485"/>
  <c r="D484"/>
  <c r="H484" s="1"/>
  <c r="D483"/>
  <c r="D482"/>
  <c r="D481"/>
  <c r="H481" s="1"/>
  <c r="D480"/>
  <c r="H480" s="1"/>
  <c r="H479"/>
  <c r="D478"/>
  <c r="D477"/>
  <c r="D476"/>
  <c r="H476" s="1"/>
  <c r="D475"/>
  <c r="H475" s="1"/>
  <c r="D474"/>
  <c r="D473"/>
  <c r="H472"/>
  <c r="D471"/>
  <c r="H471" s="1"/>
  <c r="D470"/>
  <c r="H470" s="1"/>
  <c r="D469"/>
  <c r="D468"/>
  <c r="D467"/>
  <c r="H467" s="1"/>
  <c r="H466"/>
  <c r="D465"/>
  <c r="H465" s="1"/>
  <c r="D464"/>
  <c r="D463"/>
  <c r="D462"/>
  <c r="H462" s="1"/>
  <c r="D461"/>
  <c r="H461" s="1"/>
  <c r="D460"/>
  <c r="H460" s="1"/>
  <c r="H459"/>
  <c r="D458"/>
  <c r="H458" s="1"/>
  <c r="D457"/>
  <c r="H457" s="1"/>
  <c r="D456"/>
  <c r="H456" s="1"/>
  <c r="D455"/>
  <c r="D454"/>
  <c r="H454" s="1"/>
  <c r="H453"/>
  <c r="H452"/>
  <c r="D451"/>
  <c r="H451" s="1"/>
  <c r="D450"/>
  <c r="H450" s="1"/>
  <c r="D449"/>
  <c r="H448"/>
  <c r="D447"/>
  <c r="H447" s="1"/>
  <c r="H446"/>
  <c r="D445"/>
  <c r="H445" s="1"/>
  <c r="D444"/>
  <c r="D443"/>
  <c r="D442"/>
  <c r="H442" s="1"/>
  <c r="D441"/>
  <c r="H441" s="1"/>
  <c r="D440"/>
  <c r="H439"/>
  <c r="D438"/>
  <c r="D437"/>
  <c r="H437" s="1"/>
  <c r="D436"/>
  <c r="H436" s="1"/>
  <c r="D435"/>
  <c r="D434"/>
  <c r="D433"/>
  <c r="H433" s="1"/>
  <c r="D432"/>
  <c r="H432" s="1"/>
  <c r="H431"/>
  <c r="H430"/>
  <c r="H429"/>
  <c r="D428"/>
  <c r="D427"/>
  <c r="D426"/>
  <c r="H426" s="1"/>
  <c r="D425"/>
  <c r="H425" s="1"/>
  <c r="D424"/>
  <c r="D423"/>
  <c r="D422"/>
  <c r="H422" s="1"/>
  <c r="H421"/>
  <c r="D420"/>
  <c r="H420" s="1"/>
  <c r="D419"/>
  <c r="D418"/>
  <c r="D417"/>
  <c r="H417" s="1"/>
  <c r="D416"/>
  <c r="H416" s="1"/>
  <c r="D415"/>
  <c r="D414"/>
  <c r="H413"/>
  <c r="D412"/>
  <c r="H412" s="1"/>
  <c r="H411"/>
  <c r="D410"/>
  <c r="H410" s="1"/>
  <c r="D409"/>
  <c r="D408"/>
  <c r="H407"/>
  <c r="D406"/>
  <c r="D405"/>
  <c r="H405" s="1"/>
  <c r="H404"/>
  <c r="D403"/>
  <c r="H403" s="1"/>
  <c r="D402"/>
  <c r="H401"/>
  <c r="D400"/>
  <c r="D399"/>
  <c r="H399" s="1"/>
  <c r="H398"/>
  <c r="D397"/>
  <c r="H397" s="1"/>
  <c r="H396"/>
  <c r="D395"/>
  <c r="H394"/>
  <c r="H393"/>
  <c r="D392"/>
  <c r="H392" s="1"/>
  <c r="H391"/>
  <c r="D390"/>
  <c r="H390" s="1"/>
  <c r="D389"/>
  <c r="H389" s="1"/>
  <c r="D388"/>
  <c r="H387"/>
  <c r="D386"/>
  <c r="H386" s="1"/>
  <c r="D385"/>
  <c r="H385" s="1"/>
  <c r="D384"/>
  <c r="H384" s="1"/>
  <c r="D383"/>
  <c r="D382"/>
  <c r="H382" s="1"/>
  <c r="D381"/>
  <c r="H381" s="1"/>
  <c r="D380"/>
  <c r="H380" s="1"/>
  <c r="D379"/>
  <c r="D378"/>
  <c r="H378" s="1"/>
  <c r="D377"/>
  <c r="H376"/>
  <c r="D375"/>
  <c r="H375" s="1"/>
  <c r="D374"/>
  <c r="D373"/>
  <c r="H373" s="1"/>
  <c r="D372"/>
  <c r="H372" s="1"/>
  <c r="D371"/>
  <c r="H370"/>
  <c r="D369"/>
  <c r="D368"/>
  <c r="H368" s="1"/>
  <c r="D367"/>
  <c r="H367" s="1"/>
  <c r="D366"/>
  <c r="H366" s="1"/>
  <c r="H364"/>
  <c r="D363"/>
  <c r="H363" s="1"/>
  <c r="D362"/>
  <c r="D361"/>
  <c r="D360"/>
  <c r="H360" s="1"/>
  <c r="D359"/>
  <c r="H359" s="1"/>
  <c r="H358"/>
  <c r="D357"/>
  <c r="H357" s="1"/>
  <c r="D356"/>
  <c r="D355"/>
  <c r="H355" s="1"/>
  <c r="H354"/>
  <c r="D353"/>
  <c r="H353" s="1"/>
  <c r="D352"/>
  <c r="H352" s="1"/>
  <c r="H351"/>
  <c r="D349"/>
  <c r="H349" s="1"/>
  <c r="K348"/>
  <c r="D348"/>
  <c r="D347"/>
  <c r="H347" s="1"/>
  <c r="D346"/>
  <c r="H346" s="1"/>
  <c r="H345"/>
  <c r="D344"/>
  <c r="H344" s="1"/>
  <c r="D343"/>
  <c r="D342"/>
  <c r="H342" s="1"/>
  <c r="D341"/>
  <c r="H341" s="1"/>
  <c r="H340"/>
  <c r="D339"/>
  <c r="D338"/>
  <c r="H338" s="1"/>
  <c r="D337"/>
  <c r="H336"/>
  <c r="D335"/>
  <c r="H334"/>
  <c r="D333"/>
  <c r="H333" s="1"/>
  <c r="N332"/>
  <c r="D332"/>
  <c r="D330"/>
  <c r="H330" s="1"/>
  <c r="D329"/>
  <c r="D328"/>
  <c r="H327"/>
  <c r="D326"/>
  <c r="H326" s="1"/>
  <c r="H325"/>
  <c r="D324"/>
  <c r="H324" s="1"/>
  <c r="H323"/>
  <c r="H322"/>
  <c r="D321"/>
  <c r="D320"/>
  <c r="H320" s="1"/>
  <c r="D319"/>
  <c r="D318"/>
  <c r="H318" s="1"/>
  <c r="D317"/>
  <c r="D316"/>
  <c r="H316" s="1"/>
  <c r="D315"/>
  <c r="H315" s="1"/>
  <c r="D314"/>
  <c r="H314" s="1"/>
  <c r="D313"/>
  <c r="D312"/>
  <c r="H312" s="1"/>
  <c r="D311"/>
  <c r="H311" s="1"/>
  <c r="D310"/>
  <c r="H310" s="1"/>
  <c r="D309"/>
  <c r="D308"/>
  <c r="H308" s="1"/>
  <c r="D307"/>
  <c r="H307" s="1"/>
  <c r="D306"/>
  <c r="H306" s="1"/>
  <c r="D305"/>
  <c r="H304"/>
  <c r="D303"/>
  <c r="H303" s="1"/>
  <c r="D302"/>
  <c r="D301"/>
  <c r="H300"/>
  <c r="H299"/>
  <c r="D298"/>
  <c r="D297"/>
  <c r="H297" s="1"/>
  <c r="H296"/>
  <c r="D295"/>
  <c r="H295" s="1"/>
  <c r="H294"/>
  <c r="D293"/>
  <c r="D292"/>
  <c r="D291"/>
  <c r="H291" s="1"/>
  <c r="D290"/>
  <c r="H290" s="1"/>
  <c r="H289"/>
  <c r="D288"/>
  <c r="D287"/>
  <c r="D286"/>
  <c r="H286" s="1"/>
  <c r="H285"/>
  <c r="D284"/>
  <c r="H284" s="1"/>
  <c r="D283"/>
  <c r="D282"/>
  <c r="H281"/>
  <c r="H280"/>
  <c r="H279"/>
  <c r="H278"/>
  <c r="H277"/>
  <c r="D276"/>
  <c r="H276" s="1"/>
  <c r="D275"/>
  <c r="H275" s="1"/>
  <c r="D274"/>
  <c r="D273"/>
  <c r="D272"/>
  <c r="H272" s="1"/>
  <c r="H271"/>
  <c r="D270"/>
  <c r="H270" s="1"/>
  <c r="D269"/>
  <c r="D268"/>
  <c r="D267"/>
  <c r="H267" s="1"/>
  <c r="D266"/>
  <c r="H266" s="1"/>
  <c r="H265"/>
  <c r="D264"/>
  <c r="D263"/>
  <c r="D262"/>
  <c r="H262" s="1"/>
  <c r="D261"/>
  <c r="H261" s="1"/>
  <c r="D260"/>
  <c r="H259"/>
  <c r="D258"/>
  <c r="D257"/>
  <c r="H257" s="1"/>
  <c r="D256"/>
  <c r="H256" s="1"/>
  <c r="D255"/>
  <c r="D254"/>
  <c r="H253"/>
  <c r="D252"/>
  <c r="H252" s="1"/>
  <c r="D251"/>
  <c r="H251" s="1"/>
  <c r="D250"/>
  <c r="D249"/>
  <c r="D248"/>
  <c r="H248" s="1"/>
  <c r="H247"/>
  <c r="D246"/>
  <c r="H246" s="1"/>
  <c r="D245"/>
  <c r="D244"/>
  <c r="D243"/>
  <c r="H243" s="1"/>
  <c r="D242"/>
  <c r="H242" s="1"/>
  <c r="D241"/>
  <c r="H240"/>
  <c r="D239"/>
  <c r="D238"/>
  <c r="H238" s="1"/>
  <c r="D237"/>
  <c r="H237" s="1"/>
  <c r="D236"/>
  <c r="D235"/>
  <c r="D234"/>
  <c r="H234" s="1"/>
  <c r="D233"/>
  <c r="H233" s="1"/>
  <c r="D232"/>
  <c r="D231"/>
  <c r="D230"/>
  <c r="H230" s="1"/>
  <c r="D229"/>
  <c r="H229" s="1"/>
  <c r="D228"/>
  <c r="H227"/>
  <c r="H226"/>
  <c r="D225"/>
  <c r="H224"/>
  <c r="H223"/>
  <c r="H222"/>
  <c r="H221"/>
  <c r="H220"/>
  <c r="H219"/>
  <c r="H218"/>
  <c r="D217"/>
  <c r="H217" s="1"/>
  <c r="D216"/>
  <c r="H216" s="1"/>
  <c r="D215"/>
  <c r="D214"/>
  <c r="D213"/>
  <c r="H213" s="1"/>
  <c r="H212"/>
  <c r="H211"/>
  <c r="H210"/>
  <c r="H209"/>
  <c r="H208"/>
  <c r="H207"/>
  <c r="H206"/>
  <c r="D205"/>
  <c r="H205" s="1"/>
  <c r="D204"/>
  <c r="D203"/>
  <c r="D202"/>
  <c r="H202" s="1"/>
  <c r="D201"/>
  <c r="H201" s="1"/>
  <c r="H200"/>
  <c r="H199"/>
  <c r="H198"/>
  <c r="H197"/>
  <c r="H196"/>
  <c r="H195"/>
  <c r="H194"/>
  <c r="H193"/>
  <c r="H192"/>
  <c r="H191"/>
  <c r="H190"/>
  <c r="H189"/>
  <c r="H188"/>
  <c r="D187"/>
  <c r="D186"/>
  <c r="D185"/>
  <c r="H185" s="1"/>
  <c r="D184"/>
  <c r="H184" s="1"/>
  <c r="D183"/>
  <c r="H182"/>
  <c r="D181"/>
  <c r="D180"/>
  <c r="H180" s="1"/>
  <c r="D179"/>
  <c r="D178"/>
  <c r="D177"/>
  <c r="H176"/>
  <c r="H175"/>
  <c r="H174"/>
  <c r="H173"/>
  <c r="H172"/>
  <c r="H171"/>
  <c r="H170"/>
  <c r="H169"/>
  <c r="D168"/>
  <c r="H168" s="1"/>
  <c r="D167"/>
  <c r="H167" s="1"/>
  <c r="D166"/>
  <c r="D165"/>
  <c r="D164"/>
  <c r="H164" s="1"/>
  <c r="D163"/>
  <c r="H163" s="1"/>
  <c r="H162"/>
  <c r="H161"/>
  <c r="H160"/>
  <c r="H159"/>
  <c r="H158"/>
  <c r="H157"/>
  <c r="H156"/>
  <c r="H155"/>
  <c r="H154"/>
  <c r="H153"/>
  <c r="H152"/>
  <c r="H151"/>
  <c r="H150"/>
  <c r="H149"/>
  <c r="H148"/>
  <c r="D147"/>
  <c r="D146"/>
  <c r="D145"/>
  <c r="H145" s="1"/>
  <c r="D144"/>
  <c r="H144" s="1"/>
  <c r="D143"/>
  <c r="D142"/>
  <c r="D141"/>
  <c r="H141" s="1"/>
  <c r="D140"/>
  <c r="H140" s="1"/>
  <c r="D139"/>
  <c r="D138"/>
  <c r="D137"/>
  <c r="H137" s="1"/>
  <c r="D136"/>
  <c r="H136" s="1"/>
  <c r="D135"/>
  <c r="D134"/>
  <c r="D133"/>
  <c r="H133" s="1"/>
  <c r="H132"/>
  <c r="D131"/>
  <c r="H131" s="1"/>
  <c r="D130"/>
  <c r="D129"/>
  <c r="D128"/>
  <c r="H128" s="1"/>
  <c r="D127"/>
  <c r="D126"/>
  <c r="H125"/>
  <c r="H124"/>
  <c r="H123"/>
  <c r="H122"/>
  <c r="H121"/>
  <c r="H120"/>
  <c r="H119"/>
  <c r="D118"/>
  <c r="D117"/>
  <c r="H117" s="1"/>
  <c r="D116"/>
  <c r="D115"/>
  <c r="D114"/>
  <c r="H113"/>
  <c r="H112"/>
  <c r="H111"/>
  <c r="H110"/>
  <c r="H109"/>
  <c r="H108"/>
  <c r="H107"/>
  <c r="H106"/>
  <c r="H105"/>
  <c r="H104"/>
  <c r="H103"/>
  <c r="H102"/>
  <c r="H101"/>
  <c r="D100"/>
  <c r="H100" s="1"/>
  <c r="D99"/>
  <c r="H99" s="1"/>
  <c r="D98"/>
  <c r="D97"/>
  <c r="D96"/>
  <c r="H96" s="1"/>
  <c r="D95"/>
  <c r="H95" s="1"/>
  <c r="D94"/>
  <c r="D93"/>
  <c r="D92"/>
  <c r="H92" s="1"/>
  <c r="D91"/>
  <c r="H91" s="1"/>
  <c r="D90"/>
  <c r="D89"/>
  <c r="D88"/>
  <c r="H88" s="1"/>
  <c r="D87"/>
  <c r="H86"/>
  <c r="D85"/>
  <c r="D84"/>
  <c r="D83"/>
  <c r="H83" s="1"/>
  <c r="D82"/>
  <c r="H82" s="1"/>
  <c r="D81"/>
  <c r="H80"/>
  <c r="D79"/>
  <c r="D78"/>
  <c r="H78" s="1"/>
  <c r="D77"/>
  <c r="H77" s="1"/>
  <c r="D76"/>
  <c r="D75"/>
  <c r="D74"/>
  <c r="H74" s="1"/>
  <c r="D73"/>
  <c r="H73" s="1"/>
  <c r="D72"/>
  <c r="D71"/>
  <c r="D70"/>
  <c r="H70" s="1"/>
  <c r="D69"/>
  <c r="H69" s="1"/>
  <c r="D68"/>
  <c r="D67"/>
  <c r="H66"/>
  <c r="D65"/>
  <c r="H65" s="1"/>
  <c r="D64"/>
  <c r="D63"/>
  <c r="D62"/>
  <c r="D61"/>
  <c r="H61" s="1"/>
  <c r="H60"/>
  <c r="D59"/>
  <c r="D58"/>
  <c r="H57"/>
  <c r="H56"/>
  <c r="H54"/>
  <c r="H53"/>
  <c r="D52"/>
  <c r="D51"/>
  <c r="D50"/>
  <c r="H50" s="1"/>
  <c r="D49"/>
  <c r="H49" s="1"/>
  <c r="D48"/>
  <c r="D47"/>
  <c r="D46"/>
  <c r="H46" s="1"/>
  <c r="H45"/>
  <c r="H44"/>
  <c r="K43"/>
  <c r="D43"/>
  <c r="D40"/>
  <c r="D39"/>
  <c r="H39" s="1"/>
  <c r="D38"/>
  <c r="H38" s="1"/>
  <c r="D37"/>
  <c r="H35"/>
  <c r="H34"/>
  <c r="H33"/>
  <c r="H32"/>
  <c r="H31"/>
  <c r="H30"/>
  <c r="H29"/>
  <c r="D28"/>
  <c r="D27"/>
  <c r="H26"/>
  <c r="D25"/>
  <c r="H25" s="1"/>
  <c r="D24"/>
  <c r="H24" s="1"/>
  <c r="H23"/>
  <c r="D22"/>
  <c r="D21"/>
  <c r="H20"/>
  <c r="D19"/>
  <c r="H19" s="1"/>
  <c r="D18"/>
  <c r="H18" s="1"/>
  <c r="D17"/>
  <c r="D16"/>
  <c r="H15"/>
  <c r="F15" s="1"/>
  <c r="D14"/>
  <c r="D13"/>
  <c r="H13" s="1"/>
  <c r="F13" s="1"/>
  <c r="H12"/>
  <c r="F12" s="1"/>
  <c r="D11"/>
  <c r="H11" s="1"/>
  <c r="F11" s="1"/>
  <c r="D10"/>
  <c r="H10" s="1"/>
  <c r="F10" s="1"/>
  <c r="H9"/>
  <c r="F9" s="1"/>
  <c r="D8"/>
  <c r="H8" s="1"/>
  <c r="F8" s="1"/>
  <c r="D7"/>
  <c r="H6"/>
  <c r="F6" s="1"/>
  <c r="M19" i="33"/>
  <c r="D19"/>
  <c r="E18"/>
  <c r="D18"/>
  <c r="C18"/>
  <c r="L17"/>
  <c r="F17" s="1"/>
  <c r="C17"/>
  <c r="E16"/>
  <c r="C16"/>
  <c r="L15"/>
  <c r="F15" s="1"/>
  <c r="C15"/>
  <c r="E14"/>
  <c r="C14"/>
  <c r="E13"/>
  <c r="D13"/>
  <c r="C13"/>
  <c r="E12"/>
  <c r="C12"/>
  <c r="A12"/>
  <c r="E11"/>
  <c r="C11"/>
  <c r="E10"/>
  <c r="C10"/>
  <c r="E9"/>
  <c r="C9"/>
  <c r="E8"/>
  <c r="C8"/>
  <c r="E7"/>
  <c r="C7"/>
  <c r="A7"/>
  <c r="F6" i="32"/>
  <c r="F7"/>
  <c r="F8"/>
  <c r="F9"/>
  <c r="F10"/>
  <c r="F11"/>
  <c r="F12"/>
  <c r="F13"/>
  <c r="F14"/>
  <c r="F15"/>
  <c r="F853"/>
  <c r="F917"/>
  <c r="F918"/>
  <c r="F919"/>
  <c r="F920"/>
  <c r="F921"/>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B6"/>
  <c r="B7"/>
  <c r="B8"/>
  <c r="B9"/>
  <c r="B10"/>
  <c r="B11"/>
  <c r="B12"/>
  <c r="B13"/>
  <c r="B14"/>
  <c r="B15"/>
  <c r="B17"/>
  <c r="B18"/>
  <c r="B19"/>
  <c r="B20"/>
  <c r="B21"/>
  <c r="B22"/>
  <c r="B23"/>
  <c r="B24"/>
  <c r="B25"/>
  <c r="B26"/>
  <c r="B27"/>
  <c r="B28"/>
  <c r="B29"/>
  <c r="B30"/>
  <c r="B31"/>
  <c r="B32"/>
  <c r="B33"/>
  <c r="B34"/>
  <c r="B35"/>
  <c r="B37"/>
  <c r="B38"/>
  <c r="B39"/>
  <c r="B40"/>
  <c r="B44"/>
  <c r="B45"/>
  <c r="B46"/>
  <c r="B47"/>
  <c r="B48"/>
  <c r="B49"/>
  <c r="B50"/>
  <c r="B51"/>
  <c r="B52"/>
  <c r="B53"/>
  <c r="B54"/>
  <c r="B55"/>
  <c r="B56"/>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9"/>
  <c r="B330"/>
  <c r="B331"/>
  <c r="B332"/>
  <c r="B333"/>
  <c r="B334"/>
  <c r="B335"/>
  <c r="B336"/>
  <c r="B337"/>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2"/>
  <c r="B463"/>
  <c r="B464"/>
  <c r="B465"/>
  <c r="B466"/>
  <c r="B467"/>
  <c r="B468"/>
  <c r="B469"/>
  <c r="B470"/>
  <c r="B471"/>
  <c r="B472"/>
  <c r="B473"/>
  <c r="B474"/>
  <c r="B475"/>
  <c r="B476"/>
  <c r="B477"/>
  <c r="B478"/>
  <c r="B479"/>
  <c r="B480"/>
  <c r="B481"/>
  <c r="B482"/>
  <c r="B483"/>
  <c r="B484"/>
  <c r="B485"/>
  <c r="B486"/>
  <c r="B487"/>
  <c r="B488"/>
  <c r="B489"/>
  <c r="B490"/>
  <c r="B491"/>
  <c r="B492"/>
  <c r="B493"/>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7"/>
  <c r="B648"/>
  <c r="B649"/>
  <c r="B651"/>
  <c r="B652"/>
  <c r="B653"/>
  <c r="B654"/>
  <c r="B655"/>
  <c r="B656"/>
  <c r="B657"/>
  <c r="B658"/>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H1135"/>
  <c r="H1134"/>
  <c r="H1133"/>
  <c r="H1132"/>
  <c r="H1131"/>
  <c r="H1130"/>
  <c r="J1129"/>
  <c r="H1129"/>
  <c r="J1128"/>
  <c r="H1128"/>
  <c r="J1127"/>
  <c r="H1127"/>
  <c r="J1126"/>
  <c r="H1126"/>
  <c r="J1125"/>
  <c r="H1125"/>
  <c r="J1124"/>
  <c r="H1124"/>
  <c r="J1123"/>
  <c r="H1123"/>
  <c r="J1122"/>
  <c r="H1122"/>
  <c r="J1121"/>
  <c r="H1121"/>
  <c r="J1120"/>
  <c r="H1120"/>
  <c r="J1119"/>
  <c r="H1119"/>
  <c r="J1118"/>
  <c r="H1118"/>
  <c r="J1117"/>
  <c r="H1117"/>
  <c r="J1116"/>
  <c r="H1116"/>
  <c r="J1115"/>
  <c r="H1115"/>
  <c r="J1114"/>
  <c r="H1114"/>
  <c r="J1113"/>
  <c r="H1113"/>
  <c r="J1112"/>
  <c r="H1112"/>
  <c r="J1111"/>
  <c r="H1111"/>
  <c r="J1110"/>
  <c r="H1110"/>
  <c r="O1109"/>
  <c r="P1109" s="1"/>
  <c r="J1109"/>
  <c r="H1109"/>
  <c r="O1108"/>
  <c r="P1108" s="1"/>
  <c r="J1108"/>
  <c r="H1108"/>
  <c r="O1107"/>
  <c r="D1107"/>
  <c r="P1107" s="1"/>
  <c r="O1106"/>
  <c r="D1106"/>
  <c r="O1105"/>
  <c r="D1105"/>
  <c r="P1105" s="1"/>
  <c r="O1104"/>
  <c r="D1104"/>
  <c r="J1104" s="1"/>
  <c r="O1103"/>
  <c r="D1103"/>
  <c r="P1103" s="1"/>
  <c r="O1102"/>
  <c r="D1102"/>
  <c r="O1101"/>
  <c r="D1101"/>
  <c r="J1101" s="1"/>
  <c r="O1100"/>
  <c r="D1100"/>
  <c r="J1100" s="1"/>
  <c r="O1099"/>
  <c r="D1099"/>
  <c r="O1098"/>
  <c r="D1098"/>
  <c r="O1097"/>
  <c r="D1097"/>
  <c r="J1097" s="1"/>
  <c r="O1096"/>
  <c r="O1095"/>
  <c r="D1095"/>
  <c r="O1094"/>
  <c r="D1094"/>
  <c r="O1093"/>
  <c r="D1093"/>
  <c r="J1093" s="1"/>
  <c r="O1092"/>
  <c r="D1092"/>
  <c r="J1092" s="1"/>
  <c r="O1091"/>
  <c r="D1091"/>
  <c r="H1091" s="1"/>
  <c r="O1090"/>
  <c r="D1090"/>
  <c r="O1089"/>
  <c r="D1089"/>
  <c r="J1089" s="1"/>
  <c r="O1088"/>
  <c r="D1088"/>
  <c r="J1088" s="1"/>
  <c r="O1087"/>
  <c r="D1087"/>
  <c r="O1086"/>
  <c r="D1086"/>
  <c r="O1085"/>
  <c r="D1085"/>
  <c r="J1085" s="1"/>
  <c r="O1084"/>
  <c r="D1084"/>
  <c r="J1084" s="1"/>
  <c r="O1083"/>
  <c r="D1083"/>
  <c r="H1083" s="1"/>
  <c r="O1082"/>
  <c r="D1082"/>
  <c r="O1081"/>
  <c r="D1081"/>
  <c r="J1081" s="1"/>
  <c r="O1080"/>
  <c r="D1080"/>
  <c r="J1080" s="1"/>
  <c r="O1079"/>
  <c r="D1079"/>
  <c r="O1078"/>
  <c r="D1078"/>
  <c r="O1077"/>
  <c r="D1077"/>
  <c r="J1077" s="1"/>
  <c r="O1076"/>
  <c r="D1076"/>
  <c r="O1075"/>
  <c r="D1075"/>
  <c r="O1074"/>
  <c r="D1074"/>
  <c r="O1073"/>
  <c r="D1073"/>
  <c r="J1073" s="1"/>
  <c r="O1072"/>
  <c r="D1072"/>
  <c r="J1072" s="1"/>
  <c r="O1071"/>
  <c r="D1071"/>
  <c r="P1071" s="1"/>
  <c r="O1070"/>
  <c r="D1070"/>
  <c r="O1069"/>
  <c r="D1069"/>
  <c r="J1069" s="1"/>
  <c r="O1068"/>
  <c r="D1068"/>
  <c r="J1068" s="1"/>
  <c r="O1067"/>
  <c r="D1067"/>
  <c r="P1067" s="1"/>
  <c r="O1066"/>
  <c r="D1066"/>
  <c r="O1065"/>
  <c r="H1065"/>
  <c r="D1065"/>
  <c r="J1065" s="1"/>
  <c r="O1064"/>
  <c r="D1064"/>
  <c r="O1063"/>
  <c r="D1063"/>
  <c r="O1062"/>
  <c r="D1062"/>
  <c r="O1061"/>
  <c r="D1061"/>
  <c r="J1061" s="1"/>
  <c r="O1060"/>
  <c r="D1060"/>
  <c r="J1060" s="1"/>
  <c r="O1059"/>
  <c r="D1059"/>
  <c r="H1059" s="1"/>
  <c r="O1058"/>
  <c r="D1058"/>
  <c r="O1057"/>
  <c r="D1057"/>
  <c r="J1057" s="1"/>
  <c r="O1056"/>
  <c r="D1056"/>
  <c r="J1056" s="1"/>
  <c r="O1055"/>
  <c r="D1055"/>
  <c r="O1054"/>
  <c r="D1054"/>
  <c r="O1053"/>
  <c r="D1053"/>
  <c r="J1053" s="1"/>
  <c r="O1052"/>
  <c r="D1052"/>
  <c r="J1052" s="1"/>
  <c r="O1051"/>
  <c r="H1051"/>
  <c r="D1051"/>
  <c r="O1050"/>
  <c r="D1050"/>
  <c r="O1049"/>
  <c r="D1049"/>
  <c r="J1049" s="1"/>
  <c r="O1048"/>
  <c r="D1048"/>
  <c r="J1048" s="1"/>
  <c r="O1047"/>
  <c r="D1047"/>
  <c r="O1046"/>
  <c r="D1046"/>
  <c r="O1045"/>
  <c r="D1045"/>
  <c r="O1044"/>
  <c r="D1044"/>
  <c r="J1044" s="1"/>
  <c r="O1043"/>
  <c r="D1043"/>
  <c r="O1042"/>
  <c r="D1042"/>
  <c r="O1041"/>
  <c r="D1041"/>
  <c r="O1040"/>
  <c r="D1040"/>
  <c r="J1040" s="1"/>
  <c r="O1039"/>
  <c r="D1039"/>
  <c r="O1038"/>
  <c r="D1038"/>
  <c r="O1037"/>
  <c r="D1037"/>
  <c r="O1036"/>
  <c r="D1036"/>
  <c r="J1036" s="1"/>
  <c r="O1035"/>
  <c r="D1035"/>
  <c r="O1034"/>
  <c r="D1034"/>
  <c r="P1034" s="1"/>
  <c r="O1033"/>
  <c r="D1033"/>
  <c r="O1032"/>
  <c r="D1032"/>
  <c r="J1032" s="1"/>
  <c r="O1031"/>
  <c r="D1031"/>
  <c r="O1030"/>
  <c r="D1030"/>
  <c r="P1030" s="1"/>
  <c r="O1029"/>
  <c r="D1029"/>
  <c r="J1029" s="1"/>
  <c r="O1028"/>
  <c r="D1028"/>
  <c r="J1028" s="1"/>
  <c r="C1028"/>
  <c r="O1027"/>
  <c r="P1027" s="1"/>
  <c r="D1027"/>
  <c r="O1026"/>
  <c r="D1026"/>
  <c r="H1026" s="1"/>
  <c r="O1025"/>
  <c r="D1025"/>
  <c r="J1025" s="1"/>
  <c r="O1024"/>
  <c r="D1024"/>
  <c r="O1023"/>
  <c r="D1023"/>
  <c r="J1023" s="1"/>
  <c r="O1022"/>
  <c r="D1022"/>
  <c r="P1022" s="1"/>
  <c r="O1021"/>
  <c r="D1021"/>
  <c r="J1021" s="1"/>
  <c r="O1020"/>
  <c r="D1020"/>
  <c r="J1020" s="1"/>
  <c r="P1019"/>
  <c r="O1019"/>
  <c r="J1019"/>
  <c r="H1019"/>
  <c r="P1018"/>
  <c r="O1018"/>
  <c r="J1018"/>
  <c r="H1018"/>
  <c r="P1017"/>
  <c r="O1017"/>
  <c r="J1017"/>
  <c r="H1017"/>
  <c r="P1016"/>
  <c r="O1016"/>
  <c r="J1016"/>
  <c r="H1016"/>
  <c r="O1015"/>
  <c r="D1015"/>
  <c r="O1014"/>
  <c r="D1014"/>
  <c r="O1013"/>
  <c r="D1013"/>
  <c r="J1013" s="1"/>
  <c r="O1012"/>
  <c r="J1012"/>
  <c r="H1012"/>
  <c r="O1011"/>
  <c r="J1011"/>
  <c r="H1011"/>
  <c r="P1010"/>
  <c r="O1010"/>
  <c r="J1010"/>
  <c r="H1010"/>
  <c r="Q1009"/>
  <c r="D1009"/>
  <c r="M1008"/>
  <c r="O1008" s="1"/>
  <c r="P1008" s="1"/>
  <c r="E1008"/>
  <c r="C1008"/>
  <c r="A1008"/>
  <c r="M1007"/>
  <c r="N1007" s="1"/>
  <c r="E1007"/>
  <c r="C1007"/>
  <c r="A1007"/>
  <c r="M1006"/>
  <c r="N1006" s="1"/>
  <c r="E1006"/>
  <c r="C1006"/>
  <c r="A1006"/>
  <c r="O1005"/>
  <c r="P1005" s="1"/>
  <c r="M1005"/>
  <c r="N1005" s="1"/>
  <c r="E1005"/>
  <c r="C1005"/>
  <c r="M1004"/>
  <c r="N1004" s="1"/>
  <c r="E1004"/>
  <c r="C1004"/>
  <c r="M1003"/>
  <c r="O1003" s="1"/>
  <c r="P1003" s="1"/>
  <c r="C1003"/>
  <c r="A1003"/>
  <c r="M1002"/>
  <c r="O1002" s="1"/>
  <c r="P1002" s="1"/>
  <c r="M1001"/>
  <c r="O1001" s="1"/>
  <c r="P1001" s="1"/>
  <c r="E1001"/>
  <c r="C1001"/>
  <c r="A1001"/>
  <c r="M1000"/>
  <c r="O1000" s="1"/>
  <c r="P1000" s="1"/>
  <c r="E1000"/>
  <c r="C1000"/>
  <c r="A1000"/>
  <c r="M999"/>
  <c r="N999" s="1"/>
  <c r="E999"/>
  <c r="C999"/>
  <c r="A999"/>
  <c r="M998"/>
  <c r="N998" s="1"/>
  <c r="E998"/>
  <c r="C998"/>
  <c r="A998"/>
  <c r="O997"/>
  <c r="P997" s="1"/>
  <c r="M997"/>
  <c r="N997" s="1"/>
  <c r="E997"/>
  <c r="C997"/>
  <c r="A997"/>
  <c r="M996"/>
  <c r="N996" s="1"/>
  <c r="E996"/>
  <c r="C996"/>
  <c r="A996"/>
  <c r="M995"/>
  <c r="O995" s="1"/>
  <c r="P995" s="1"/>
  <c r="E995"/>
  <c r="C995"/>
  <c r="A995"/>
  <c r="M994"/>
  <c r="N994" s="1"/>
  <c r="E994"/>
  <c r="C994"/>
  <c r="A994"/>
  <c r="M993"/>
  <c r="N993" s="1"/>
  <c r="E993"/>
  <c r="C993"/>
  <c r="M992"/>
  <c r="O992" s="1"/>
  <c r="P992" s="1"/>
  <c r="C992"/>
  <c r="A992"/>
  <c r="M991"/>
  <c r="O991" s="1"/>
  <c r="P991" s="1"/>
  <c r="E991"/>
  <c r="C991"/>
  <c r="A991"/>
  <c r="M990"/>
  <c r="O990" s="1"/>
  <c r="E990"/>
  <c r="D990"/>
  <c r="C990"/>
  <c r="A990"/>
  <c r="M989"/>
  <c r="N989" s="1"/>
  <c r="E989"/>
  <c r="C989"/>
  <c r="A989"/>
  <c r="M988"/>
  <c r="O988" s="1"/>
  <c r="P988" s="1"/>
  <c r="E988"/>
  <c r="C988"/>
  <c r="A988"/>
  <c r="M987"/>
  <c r="O987" s="1"/>
  <c r="P987" s="1"/>
  <c r="E987"/>
  <c r="C987"/>
  <c r="A987"/>
  <c r="O986"/>
  <c r="P986" s="1"/>
  <c r="M986"/>
  <c r="N986" s="1"/>
  <c r="E986"/>
  <c r="C986"/>
  <c r="A986"/>
  <c r="M985"/>
  <c r="O985" s="1"/>
  <c r="P985" s="1"/>
  <c r="E985"/>
  <c r="C985"/>
  <c r="A985"/>
  <c r="M984"/>
  <c r="O984" s="1"/>
  <c r="P984" s="1"/>
  <c r="E984"/>
  <c r="C984"/>
  <c r="M983"/>
  <c r="O983" s="1"/>
  <c r="P983" s="1"/>
  <c r="C983"/>
  <c r="A983"/>
  <c r="M982"/>
  <c r="N982" s="1"/>
  <c r="E982"/>
  <c r="C982"/>
  <c r="A982"/>
  <c r="N981"/>
  <c r="M981"/>
  <c r="O981" s="1"/>
  <c r="P981" s="1"/>
  <c r="E981"/>
  <c r="C981"/>
  <c r="M980"/>
  <c r="N980" s="1"/>
  <c r="E980"/>
  <c r="C980"/>
  <c r="M979"/>
  <c r="N979" s="1"/>
  <c r="C979"/>
  <c r="A979"/>
  <c r="M978"/>
  <c r="N978" s="1"/>
  <c r="E978"/>
  <c r="C978"/>
  <c r="A978"/>
  <c r="M977"/>
  <c r="N977" s="1"/>
  <c r="E976"/>
  <c r="C976"/>
  <c r="E975"/>
  <c r="C975"/>
  <c r="E974"/>
  <c r="C974"/>
  <c r="E973"/>
  <c r="C973"/>
  <c r="E972"/>
  <c r="C972"/>
  <c r="E971"/>
  <c r="C971"/>
  <c r="E970"/>
  <c r="C970"/>
  <c r="E969"/>
  <c r="C969"/>
  <c r="E968"/>
  <c r="C968"/>
  <c r="E967"/>
  <c r="C967"/>
  <c r="E966"/>
  <c r="C966"/>
  <c r="E965"/>
  <c r="C965"/>
  <c r="M964"/>
  <c r="O964" s="1"/>
  <c r="P964" s="1"/>
  <c r="L964"/>
  <c r="C964"/>
  <c r="E963"/>
  <c r="C963"/>
  <c r="E962"/>
  <c r="C962"/>
  <c r="E961"/>
  <c r="C961"/>
  <c r="E960"/>
  <c r="C960"/>
  <c r="E959"/>
  <c r="C959"/>
  <c r="E958"/>
  <c r="C958"/>
  <c r="M957"/>
  <c r="O957" s="1"/>
  <c r="P957" s="1"/>
  <c r="L957"/>
  <c r="C957"/>
  <c r="M956"/>
  <c r="E956"/>
  <c r="D956"/>
  <c r="L956" s="1"/>
  <c r="C956"/>
  <c r="E955"/>
  <c r="D955"/>
  <c r="C955"/>
  <c r="E954"/>
  <c r="D954"/>
  <c r="C954"/>
  <c r="M953"/>
  <c r="N953" s="1"/>
  <c r="L953"/>
  <c r="C953"/>
  <c r="M952"/>
  <c r="O952" s="1"/>
  <c r="P952" s="1"/>
  <c r="L952"/>
  <c r="E952"/>
  <c r="C952"/>
  <c r="E951"/>
  <c r="C951"/>
  <c r="E950"/>
  <c r="C950"/>
  <c r="M949"/>
  <c r="O949" s="1"/>
  <c r="P949" s="1"/>
  <c r="L949"/>
  <c r="C949"/>
  <c r="E948"/>
  <c r="C948"/>
  <c r="E947"/>
  <c r="D947"/>
  <c r="C947"/>
  <c r="E946"/>
  <c r="C946"/>
  <c r="A946"/>
  <c r="E945"/>
  <c r="C945"/>
  <c r="E944"/>
  <c r="C944"/>
  <c r="K943"/>
  <c r="L943" s="1"/>
  <c r="E943"/>
  <c r="C943"/>
  <c r="A943"/>
  <c r="E942"/>
  <c r="C942"/>
  <c r="E941"/>
  <c r="C941"/>
  <c r="E940"/>
  <c r="C940"/>
  <c r="A940"/>
  <c r="O939"/>
  <c r="P939" s="1"/>
  <c r="M939"/>
  <c r="N939" s="1"/>
  <c r="M938"/>
  <c r="N938" s="1"/>
  <c r="E938"/>
  <c r="C938"/>
  <c r="A938"/>
  <c r="M937"/>
  <c r="N937" s="1"/>
  <c r="E937"/>
  <c r="C937"/>
  <c r="A937"/>
  <c r="M936"/>
  <c r="O936" s="1"/>
  <c r="P936" s="1"/>
  <c r="E936"/>
  <c r="C936"/>
  <c r="A936"/>
  <c r="M935"/>
  <c r="O935" s="1"/>
  <c r="P935" s="1"/>
  <c r="E935"/>
  <c r="C935"/>
  <c r="A935"/>
  <c r="M934"/>
  <c r="N934" s="1"/>
  <c r="E934"/>
  <c r="C934"/>
  <c r="A934"/>
  <c r="M933"/>
  <c r="O933" s="1"/>
  <c r="P933" s="1"/>
  <c r="E933"/>
  <c r="C933"/>
  <c r="A933"/>
  <c r="M932"/>
  <c r="N932" s="1"/>
  <c r="E932"/>
  <c r="C932"/>
  <c r="M931"/>
  <c r="N931" s="1"/>
  <c r="E931"/>
  <c r="C931"/>
  <c r="M930"/>
  <c r="N930" s="1"/>
  <c r="C930"/>
  <c r="A930"/>
  <c r="M929"/>
  <c r="N929" s="1"/>
  <c r="E929"/>
  <c r="C929"/>
  <c r="M928"/>
  <c r="N928" s="1"/>
  <c r="E928"/>
  <c r="C928"/>
  <c r="M927"/>
  <c r="N927" s="1"/>
  <c r="C927"/>
  <c r="A927"/>
  <c r="M926"/>
  <c r="N926" s="1"/>
  <c r="M925"/>
  <c r="N925" s="1"/>
  <c r="J925"/>
  <c r="H925"/>
  <c r="F925" s="1"/>
  <c r="E925"/>
  <c r="M924"/>
  <c r="N924" s="1"/>
  <c r="J924"/>
  <c r="H924"/>
  <c r="F924" s="1"/>
  <c r="M923"/>
  <c r="N923" s="1"/>
  <c r="J923"/>
  <c r="H923"/>
  <c r="F923" s="1"/>
  <c r="M922"/>
  <c r="O922" s="1"/>
  <c r="P922" s="1"/>
  <c r="J922"/>
  <c r="H922"/>
  <c r="F922" s="1"/>
  <c r="M921"/>
  <c r="O921" s="1"/>
  <c r="D921"/>
  <c r="M920"/>
  <c r="N920" s="1"/>
  <c r="M919"/>
  <c r="O919" s="1"/>
  <c r="D919"/>
  <c r="M918"/>
  <c r="N918" s="1"/>
  <c r="M917"/>
  <c r="O917" s="1"/>
  <c r="P917" s="1"/>
  <c r="M916"/>
  <c r="O916" s="1"/>
  <c r="D916"/>
  <c r="M915"/>
  <c r="O915" s="1"/>
  <c r="D915"/>
  <c r="M914"/>
  <c r="O914" s="1"/>
  <c r="D914"/>
  <c r="M913"/>
  <c r="O913" s="1"/>
  <c r="D913"/>
  <c r="M912"/>
  <c r="N912" s="1"/>
  <c r="J912"/>
  <c r="H912"/>
  <c r="F912" s="1"/>
  <c r="M911"/>
  <c r="O911" s="1"/>
  <c r="D911"/>
  <c r="H911" s="1"/>
  <c r="F911" s="1"/>
  <c r="H910"/>
  <c r="F910" s="1"/>
  <c r="M909"/>
  <c r="N909" s="1"/>
  <c r="H909"/>
  <c r="F909" s="1"/>
  <c r="O908"/>
  <c r="M908"/>
  <c r="D908"/>
  <c r="H908" s="1"/>
  <c r="F908" s="1"/>
  <c r="M907"/>
  <c r="O907" s="1"/>
  <c r="P907" s="1"/>
  <c r="J907"/>
  <c r="H907"/>
  <c r="F907" s="1"/>
  <c r="M906"/>
  <c r="O906" s="1"/>
  <c r="D906"/>
  <c r="H906" s="1"/>
  <c r="F906" s="1"/>
  <c r="M905"/>
  <c r="O905" s="1"/>
  <c r="D905"/>
  <c r="M904"/>
  <c r="O904" s="1"/>
  <c r="D904"/>
  <c r="J904" s="1"/>
  <c r="M903"/>
  <c r="O903" s="1"/>
  <c r="D903"/>
  <c r="H903" s="1"/>
  <c r="F903" s="1"/>
  <c r="M902"/>
  <c r="O902" s="1"/>
  <c r="D902"/>
  <c r="J902" s="1"/>
  <c r="M901"/>
  <c r="O901" s="1"/>
  <c r="P901" s="1"/>
  <c r="H901"/>
  <c r="F901" s="1"/>
  <c r="D901"/>
  <c r="M900"/>
  <c r="O900" s="1"/>
  <c r="D900"/>
  <c r="J900" s="1"/>
  <c r="M899"/>
  <c r="O899" s="1"/>
  <c r="D899"/>
  <c r="M898"/>
  <c r="O898" s="1"/>
  <c r="D898"/>
  <c r="H898" s="1"/>
  <c r="F898" s="1"/>
  <c r="M897"/>
  <c r="O897" s="1"/>
  <c r="D897"/>
  <c r="M896"/>
  <c r="O896" s="1"/>
  <c r="D896"/>
  <c r="M895"/>
  <c r="O895" s="1"/>
  <c r="D895"/>
  <c r="H895" s="1"/>
  <c r="F895" s="1"/>
  <c r="M894"/>
  <c r="O894" s="1"/>
  <c r="P894" s="1"/>
  <c r="J894"/>
  <c r="H894"/>
  <c r="F894" s="1"/>
  <c r="M893"/>
  <c r="N893" s="1"/>
  <c r="J893"/>
  <c r="H893"/>
  <c r="F893" s="1"/>
  <c r="M892"/>
  <c r="N892" s="1"/>
  <c r="J892"/>
  <c r="H892"/>
  <c r="F892" s="1"/>
  <c r="M891"/>
  <c r="O891" s="1"/>
  <c r="P891" s="1"/>
  <c r="J891"/>
  <c r="H891"/>
  <c r="F891" s="1"/>
  <c r="M890"/>
  <c r="O890" s="1"/>
  <c r="D890"/>
  <c r="M889"/>
  <c r="O889" s="1"/>
  <c r="D889"/>
  <c r="M888"/>
  <c r="O888" s="1"/>
  <c r="D888"/>
  <c r="J888" s="1"/>
  <c r="M887"/>
  <c r="N887" s="1"/>
  <c r="J887"/>
  <c r="H887"/>
  <c r="F887" s="1"/>
  <c r="M886"/>
  <c r="O886" s="1"/>
  <c r="D886"/>
  <c r="M885"/>
  <c r="O885" s="1"/>
  <c r="J885"/>
  <c r="D885"/>
  <c r="M884"/>
  <c r="O884" s="1"/>
  <c r="D884"/>
  <c r="M883"/>
  <c r="O883" s="1"/>
  <c r="D883"/>
  <c r="M882"/>
  <c r="N882" s="1"/>
  <c r="J882"/>
  <c r="H882"/>
  <c r="F882" s="1"/>
  <c r="M881"/>
  <c r="O881" s="1"/>
  <c r="D881"/>
  <c r="N881" s="1"/>
  <c r="M880"/>
  <c r="O880" s="1"/>
  <c r="P880" s="1"/>
  <c r="J880"/>
  <c r="H880"/>
  <c r="F880" s="1"/>
  <c r="M879"/>
  <c r="O879" s="1"/>
  <c r="D879"/>
  <c r="M878"/>
  <c r="O878" s="1"/>
  <c r="D878"/>
  <c r="M877"/>
  <c r="O877" s="1"/>
  <c r="D877"/>
  <c r="M876"/>
  <c r="O876" s="1"/>
  <c r="D876"/>
  <c r="O875"/>
  <c r="M875"/>
  <c r="D875"/>
  <c r="J875" s="1"/>
  <c r="M874"/>
  <c r="O874" s="1"/>
  <c r="D874"/>
  <c r="M873"/>
  <c r="O873" s="1"/>
  <c r="P873" s="1"/>
  <c r="J873"/>
  <c r="H873"/>
  <c r="F873" s="1"/>
  <c r="M872"/>
  <c r="O872" s="1"/>
  <c r="D872"/>
  <c r="H872" s="1"/>
  <c r="F872" s="1"/>
  <c r="M871"/>
  <c r="O871" s="1"/>
  <c r="D871"/>
  <c r="N871" s="1"/>
  <c r="O870"/>
  <c r="M870"/>
  <c r="D870"/>
  <c r="M869"/>
  <c r="O869" s="1"/>
  <c r="D869"/>
  <c r="M868"/>
  <c r="O868" s="1"/>
  <c r="D868"/>
  <c r="M867"/>
  <c r="O867" s="1"/>
  <c r="D867"/>
  <c r="M866"/>
  <c r="O866" s="1"/>
  <c r="D866"/>
  <c r="O865"/>
  <c r="M865"/>
  <c r="D865"/>
  <c r="M864"/>
  <c r="O864" s="1"/>
  <c r="D864"/>
  <c r="M863"/>
  <c r="O863" s="1"/>
  <c r="D863"/>
  <c r="M862"/>
  <c r="O862" s="1"/>
  <c r="D862"/>
  <c r="M861"/>
  <c r="N861" s="1"/>
  <c r="J861"/>
  <c r="H861"/>
  <c r="F861" s="1"/>
  <c r="M860"/>
  <c r="O860" s="1"/>
  <c r="D860"/>
  <c r="M859"/>
  <c r="O859" s="1"/>
  <c r="D859"/>
  <c r="M858"/>
  <c r="O858" s="1"/>
  <c r="D858"/>
  <c r="M857"/>
  <c r="D857"/>
  <c r="J857" s="1"/>
  <c r="M856"/>
  <c r="O856" s="1"/>
  <c r="D856"/>
  <c r="H856" s="1"/>
  <c r="F856" s="1"/>
  <c r="M855"/>
  <c r="N855" s="1"/>
  <c r="J855"/>
  <c r="H855"/>
  <c r="F855" s="1"/>
  <c r="M854"/>
  <c r="D854"/>
  <c r="J854" s="1"/>
  <c r="M853"/>
  <c r="O853" s="1"/>
  <c r="D853"/>
  <c r="M852"/>
  <c r="N852" s="1"/>
  <c r="D852"/>
  <c r="H852" s="1"/>
  <c r="F852" s="1"/>
  <c r="M851"/>
  <c r="O851" s="1"/>
  <c r="D851"/>
  <c r="M850"/>
  <c r="N850" s="1"/>
  <c r="J850"/>
  <c r="H850"/>
  <c r="F850" s="1"/>
  <c r="M849"/>
  <c r="N849" s="1"/>
  <c r="J849"/>
  <c r="H849"/>
  <c r="F849" s="1"/>
  <c r="M848"/>
  <c r="N848" s="1"/>
  <c r="J848"/>
  <c r="H848"/>
  <c r="F848" s="1"/>
  <c r="M847"/>
  <c r="N847" s="1"/>
  <c r="J847"/>
  <c r="H847"/>
  <c r="F847" s="1"/>
  <c r="M846"/>
  <c r="N846" s="1"/>
  <c r="J846"/>
  <c r="H846"/>
  <c r="F846" s="1"/>
  <c r="M845"/>
  <c r="N845" s="1"/>
  <c r="J845"/>
  <c r="H845"/>
  <c r="F845" s="1"/>
  <c r="J844"/>
  <c r="J843"/>
  <c r="M842"/>
  <c r="N842" s="1"/>
  <c r="J842"/>
  <c r="H842"/>
  <c r="M841"/>
  <c r="D841"/>
  <c r="J841" s="1"/>
  <c r="M840"/>
  <c r="O840" s="1"/>
  <c r="D840"/>
  <c r="M839"/>
  <c r="O839" s="1"/>
  <c r="D839"/>
  <c r="N839" s="1"/>
  <c r="M838"/>
  <c r="O838" s="1"/>
  <c r="D838"/>
  <c r="M837"/>
  <c r="D837"/>
  <c r="J837" s="1"/>
  <c r="M836"/>
  <c r="O836" s="1"/>
  <c r="D836"/>
  <c r="M835"/>
  <c r="O835" s="1"/>
  <c r="P835" s="1"/>
  <c r="J835"/>
  <c r="H835"/>
  <c r="M834"/>
  <c r="N834" s="1"/>
  <c r="J834"/>
  <c r="H834"/>
  <c r="M833"/>
  <c r="O833" s="1"/>
  <c r="P833" s="1"/>
  <c r="J833"/>
  <c r="H833"/>
  <c r="M832"/>
  <c r="N832" s="1"/>
  <c r="J832"/>
  <c r="H832"/>
  <c r="M831"/>
  <c r="O831" s="1"/>
  <c r="D831"/>
  <c r="M830"/>
  <c r="O830" s="1"/>
  <c r="D830"/>
  <c r="M829"/>
  <c r="N829" s="1"/>
  <c r="D829"/>
  <c r="J829" s="1"/>
  <c r="M828"/>
  <c r="O828" s="1"/>
  <c r="D828"/>
  <c r="F828" s="1"/>
  <c r="M827"/>
  <c r="O827" s="1"/>
  <c r="D827"/>
  <c r="M826"/>
  <c r="O826" s="1"/>
  <c r="P826" s="1"/>
  <c r="J826"/>
  <c r="H826"/>
  <c r="M825"/>
  <c r="N825" s="1"/>
  <c r="J825"/>
  <c r="H825"/>
  <c r="M824"/>
  <c r="O824" s="1"/>
  <c r="D824"/>
  <c r="M823"/>
  <c r="N823" s="1"/>
  <c r="D823"/>
  <c r="H823" s="1"/>
  <c r="M822"/>
  <c r="N822" s="1"/>
  <c r="J822"/>
  <c r="H822"/>
  <c r="C822"/>
  <c r="M821"/>
  <c r="O821" s="1"/>
  <c r="D821"/>
  <c r="M820"/>
  <c r="O820" s="1"/>
  <c r="D820"/>
  <c r="N820" s="1"/>
  <c r="M819"/>
  <c r="D819"/>
  <c r="J819" s="1"/>
  <c r="M818"/>
  <c r="O818" s="1"/>
  <c r="D818"/>
  <c r="M817"/>
  <c r="N817" s="1"/>
  <c r="J817"/>
  <c r="H817"/>
  <c r="M816"/>
  <c r="D816"/>
  <c r="J816" s="1"/>
  <c r="M815"/>
  <c r="N815" s="1"/>
  <c r="J815"/>
  <c r="H815"/>
  <c r="M814"/>
  <c r="N814" s="1"/>
  <c r="J814"/>
  <c r="H814"/>
  <c r="M813"/>
  <c r="O813" s="1"/>
  <c r="D813"/>
  <c r="M812"/>
  <c r="N812" s="1"/>
  <c r="J812"/>
  <c r="H812"/>
  <c r="M811"/>
  <c r="D811"/>
  <c r="J811" s="1"/>
  <c r="M810"/>
  <c r="D810"/>
  <c r="J810" s="1"/>
  <c r="M809"/>
  <c r="O809" s="1"/>
  <c r="D809"/>
  <c r="M808"/>
  <c r="O808" s="1"/>
  <c r="D808"/>
  <c r="M807"/>
  <c r="N807" s="1"/>
  <c r="J807"/>
  <c r="H807"/>
  <c r="M806"/>
  <c r="O806" s="1"/>
  <c r="P806" s="1"/>
  <c r="H806"/>
  <c r="D806"/>
  <c r="J806" s="1"/>
  <c r="M805"/>
  <c r="O805" s="1"/>
  <c r="D805"/>
  <c r="M804"/>
  <c r="N804" s="1"/>
  <c r="D804"/>
  <c r="H804" s="1"/>
  <c r="M803"/>
  <c r="D803"/>
  <c r="H803" s="1"/>
  <c r="M802"/>
  <c r="N802" s="1"/>
  <c r="J802"/>
  <c r="H802"/>
  <c r="M801"/>
  <c r="D801"/>
  <c r="H801" s="1"/>
  <c r="M800"/>
  <c r="D800"/>
  <c r="H800" s="1"/>
  <c r="M799"/>
  <c r="O799" s="1"/>
  <c r="D799"/>
  <c r="J799" s="1"/>
  <c r="M798"/>
  <c r="O798" s="1"/>
  <c r="D798"/>
  <c r="M797"/>
  <c r="D797"/>
  <c r="H797" s="1"/>
  <c r="M796"/>
  <c r="D796"/>
  <c r="H796" s="1"/>
  <c r="M795"/>
  <c r="N795" s="1"/>
  <c r="J795"/>
  <c r="H795"/>
  <c r="M794"/>
  <c r="D794"/>
  <c r="H794" s="1"/>
  <c r="M793"/>
  <c r="D793"/>
  <c r="H793" s="1"/>
  <c r="M792"/>
  <c r="O792" s="1"/>
  <c r="D792"/>
  <c r="J792" s="1"/>
  <c r="M791"/>
  <c r="N791" s="1"/>
  <c r="J791"/>
  <c r="H791"/>
  <c r="M790"/>
  <c r="N790" s="1"/>
  <c r="J790"/>
  <c r="H790"/>
  <c r="M789"/>
  <c r="N789" s="1"/>
  <c r="J789"/>
  <c r="H789"/>
  <c r="M788"/>
  <c r="N788" s="1"/>
  <c r="J788"/>
  <c r="H788"/>
  <c r="M787"/>
  <c r="N787" s="1"/>
  <c r="J787"/>
  <c r="H787"/>
  <c r="M786"/>
  <c r="N786" s="1"/>
  <c r="J786"/>
  <c r="H786"/>
  <c r="M785"/>
  <c r="O785" s="1"/>
  <c r="D785"/>
  <c r="N785" s="1"/>
  <c r="M784"/>
  <c r="N784" s="1"/>
  <c r="J784"/>
  <c r="H784"/>
  <c r="M783"/>
  <c r="N783" s="1"/>
  <c r="J783"/>
  <c r="H783"/>
  <c r="M782"/>
  <c r="N782" s="1"/>
  <c r="J782"/>
  <c r="H782"/>
  <c r="M781"/>
  <c r="N781" s="1"/>
  <c r="J781"/>
  <c r="H781"/>
  <c r="M780"/>
  <c r="N780" s="1"/>
  <c r="J780"/>
  <c r="H780"/>
  <c r="M779"/>
  <c r="N779" s="1"/>
  <c r="J779"/>
  <c r="H779"/>
  <c r="M778"/>
  <c r="N778" s="1"/>
  <c r="J778"/>
  <c r="H778"/>
  <c r="M777"/>
  <c r="N777" s="1"/>
  <c r="J777"/>
  <c r="H777"/>
  <c r="M776"/>
  <c r="N776" s="1"/>
  <c r="J776"/>
  <c r="H776"/>
  <c r="M775"/>
  <c r="N775" s="1"/>
  <c r="J775"/>
  <c r="H775"/>
  <c r="M774"/>
  <c r="N774" s="1"/>
  <c r="J774"/>
  <c r="H774"/>
  <c r="M773"/>
  <c r="N773" s="1"/>
  <c r="J773"/>
  <c r="H773"/>
  <c r="M772"/>
  <c r="N772" s="1"/>
  <c r="J772"/>
  <c r="H772"/>
  <c r="M771"/>
  <c r="N771" s="1"/>
  <c r="J771"/>
  <c r="H771"/>
  <c r="M770"/>
  <c r="N770" s="1"/>
  <c r="J770"/>
  <c r="H770"/>
  <c r="M769"/>
  <c r="N769" s="1"/>
  <c r="J769"/>
  <c r="H769"/>
  <c r="M768"/>
  <c r="N768" s="1"/>
  <c r="J768"/>
  <c r="H768"/>
  <c r="M767"/>
  <c r="N767" s="1"/>
  <c r="J767"/>
  <c r="H767"/>
  <c r="M766"/>
  <c r="N766" s="1"/>
  <c r="J766"/>
  <c r="H766"/>
  <c r="M765"/>
  <c r="N765" s="1"/>
  <c r="J765"/>
  <c r="H765"/>
  <c r="M764"/>
  <c r="N764" s="1"/>
  <c r="J764"/>
  <c r="H764"/>
  <c r="M763"/>
  <c r="N763" s="1"/>
  <c r="J763"/>
  <c r="H763"/>
  <c r="M762"/>
  <c r="N762" s="1"/>
  <c r="J762"/>
  <c r="H762"/>
  <c r="M761"/>
  <c r="N761" s="1"/>
  <c r="J761"/>
  <c r="H761"/>
  <c r="M760"/>
  <c r="N760" s="1"/>
  <c r="J760"/>
  <c r="H760"/>
  <c r="M759"/>
  <c r="N759" s="1"/>
  <c r="J759"/>
  <c r="H759"/>
  <c r="M758"/>
  <c r="D758"/>
  <c r="J758" s="1"/>
  <c r="M757"/>
  <c r="O757" s="1"/>
  <c r="D757"/>
  <c r="M756"/>
  <c r="O756" s="1"/>
  <c r="D756"/>
  <c r="J756" s="1"/>
  <c r="M755"/>
  <c r="O755" s="1"/>
  <c r="D755"/>
  <c r="M754"/>
  <c r="N754" s="1"/>
  <c r="J754"/>
  <c r="H754"/>
  <c r="M753"/>
  <c r="O753" s="1"/>
  <c r="D753"/>
  <c r="J753" s="1"/>
  <c r="M752"/>
  <c r="O752" s="1"/>
  <c r="D752"/>
  <c r="M751"/>
  <c r="D751"/>
  <c r="J751" s="1"/>
  <c r="M750"/>
  <c r="O750" s="1"/>
  <c r="D750"/>
  <c r="M749"/>
  <c r="O749" s="1"/>
  <c r="D749"/>
  <c r="J749" s="1"/>
  <c r="M748"/>
  <c r="O748" s="1"/>
  <c r="D748"/>
  <c r="M747"/>
  <c r="D747"/>
  <c r="J747" s="1"/>
  <c r="M746"/>
  <c r="O746" s="1"/>
  <c r="D746"/>
  <c r="M745"/>
  <c r="O745" s="1"/>
  <c r="D745"/>
  <c r="J745" s="1"/>
  <c r="M744"/>
  <c r="O744" s="1"/>
  <c r="P744" s="1"/>
  <c r="J744"/>
  <c r="H744"/>
  <c r="M743"/>
  <c r="O743" s="1"/>
  <c r="P743" s="1"/>
  <c r="J743"/>
  <c r="H743"/>
  <c r="M742"/>
  <c r="O742" s="1"/>
  <c r="P742" s="1"/>
  <c r="J742"/>
  <c r="H742"/>
  <c r="M741"/>
  <c r="O741" s="1"/>
  <c r="P741" s="1"/>
  <c r="J741"/>
  <c r="H741"/>
  <c r="M740"/>
  <c r="O740" s="1"/>
  <c r="P740" s="1"/>
  <c r="J740"/>
  <c r="H740"/>
  <c r="M739"/>
  <c r="O739" s="1"/>
  <c r="P739" s="1"/>
  <c r="J739"/>
  <c r="H739"/>
  <c r="M738"/>
  <c r="O738" s="1"/>
  <c r="P738" s="1"/>
  <c r="J738"/>
  <c r="H738"/>
  <c r="M737"/>
  <c r="O737" s="1"/>
  <c r="P737" s="1"/>
  <c r="J737"/>
  <c r="H737"/>
  <c r="M736"/>
  <c r="O736" s="1"/>
  <c r="P736" s="1"/>
  <c r="J736"/>
  <c r="H736"/>
  <c r="M735"/>
  <c r="O735" s="1"/>
  <c r="P735" s="1"/>
  <c r="J735"/>
  <c r="H735"/>
  <c r="M734"/>
  <c r="O734" s="1"/>
  <c r="P734" s="1"/>
  <c r="J734"/>
  <c r="H734"/>
  <c r="M733"/>
  <c r="O733" s="1"/>
  <c r="P733" s="1"/>
  <c r="J733"/>
  <c r="H733"/>
  <c r="M732"/>
  <c r="O732" s="1"/>
  <c r="P732" s="1"/>
  <c r="J732"/>
  <c r="H732"/>
  <c r="M731"/>
  <c r="O731" s="1"/>
  <c r="P731" s="1"/>
  <c r="J731"/>
  <c r="H731"/>
  <c r="M730"/>
  <c r="O730" s="1"/>
  <c r="P730" s="1"/>
  <c r="J730"/>
  <c r="H730"/>
  <c r="M729"/>
  <c r="N729" s="1"/>
  <c r="J729"/>
  <c r="H729"/>
  <c r="M728"/>
  <c r="O728" s="1"/>
  <c r="P728" s="1"/>
  <c r="J728"/>
  <c r="H728"/>
  <c r="M727"/>
  <c r="N727" s="1"/>
  <c r="J727"/>
  <c r="H727"/>
  <c r="M726"/>
  <c r="O726" s="1"/>
  <c r="P726" s="1"/>
  <c r="J726"/>
  <c r="H726"/>
  <c r="M725"/>
  <c r="N725" s="1"/>
  <c r="J725"/>
  <c r="H725"/>
  <c r="M724"/>
  <c r="O724" s="1"/>
  <c r="P724" s="1"/>
  <c r="J724"/>
  <c r="H724"/>
  <c r="M723"/>
  <c r="N723" s="1"/>
  <c r="J723"/>
  <c r="H723"/>
  <c r="A723"/>
  <c r="M722"/>
  <c r="N722" s="1"/>
  <c r="J722"/>
  <c r="H722"/>
  <c r="M721"/>
  <c r="D721"/>
  <c r="H721" s="1"/>
  <c r="M720"/>
  <c r="D720"/>
  <c r="J720" s="1"/>
  <c r="M719"/>
  <c r="O719" s="1"/>
  <c r="P719" s="1"/>
  <c r="J719"/>
  <c r="H719"/>
  <c r="M718"/>
  <c r="N718" s="1"/>
  <c r="J718"/>
  <c r="H718"/>
  <c r="M717"/>
  <c r="O717" s="1"/>
  <c r="D717"/>
  <c r="J717" s="1"/>
  <c r="M716"/>
  <c r="O716" s="1"/>
  <c r="D716"/>
  <c r="M715"/>
  <c r="N715" s="1"/>
  <c r="J715"/>
  <c r="H715"/>
  <c r="M714"/>
  <c r="O714" s="1"/>
  <c r="D714"/>
  <c r="J714" s="1"/>
  <c r="M713"/>
  <c r="O713" s="1"/>
  <c r="P713" s="1"/>
  <c r="D713"/>
  <c r="M712"/>
  <c r="D712"/>
  <c r="H712" s="1"/>
  <c r="M711"/>
  <c r="O711" s="1"/>
  <c r="D711"/>
  <c r="J711" s="1"/>
  <c r="M710"/>
  <c r="N710" s="1"/>
  <c r="J710"/>
  <c r="H710"/>
  <c r="M709"/>
  <c r="D709"/>
  <c r="H709" s="1"/>
  <c r="M708"/>
  <c r="D708"/>
  <c r="J708" s="1"/>
  <c r="M707"/>
  <c r="O707" s="1"/>
  <c r="D707"/>
  <c r="J707" s="1"/>
  <c r="M706"/>
  <c r="O706" s="1"/>
  <c r="D706"/>
  <c r="N706" s="1"/>
  <c r="M705"/>
  <c r="D705"/>
  <c r="M704"/>
  <c r="O704" s="1"/>
  <c r="D704"/>
  <c r="N704" s="1"/>
  <c r="M703"/>
  <c r="J703"/>
  <c r="D703"/>
  <c r="H703" s="1"/>
  <c r="C703"/>
  <c r="M702"/>
  <c r="D702"/>
  <c r="H702" s="1"/>
  <c r="C702"/>
  <c r="M701"/>
  <c r="D701"/>
  <c r="H701" s="1"/>
  <c r="M700"/>
  <c r="O700" s="1"/>
  <c r="D700"/>
  <c r="J700" s="1"/>
  <c r="M699"/>
  <c r="O699" s="1"/>
  <c r="D699"/>
  <c r="J699" s="1"/>
  <c r="M698"/>
  <c r="O698" s="1"/>
  <c r="D698"/>
  <c r="C698"/>
  <c r="M697"/>
  <c r="O697" s="1"/>
  <c r="D697"/>
  <c r="M696"/>
  <c r="D696"/>
  <c r="H696" s="1"/>
  <c r="M695"/>
  <c r="O695" s="1"/>
  <c r="D695"/>
  <c r="J695" s="1"/>
  <c r="M694"/>
  <c r="O694" s="1"/>
  <c r="D694"/>
  <c r="J694" s="1"/>
  <c r="M693"/>
  <c r="O693" s="1"/>
  <c r="D693"/>
  <c r="N693" s="1"/>
  <c r="M692"/>
  <c r="D692"/>
  <c r="H692" s="1"/>
  <c r="M691"/>
  <c r="H691"/>
  <c r="D691"/>
  <c r="J691" s="1"/>
  <c r="O690"/>
  <c r="M690"/>
  <c r="J690"/>
  <c r="D690"/>
  <c r="N689"/>
  <c r="M689"/>
  <c r="O689" s="1"/>
  <c r="P689" s="1"/>
  <c r="J689"/>
  <c r="H689"/>
  <c r="M688"/>
  <c r="D688"/>
  <c r="H688" s="1"/>
  <c r="M687"/>
  <c r="O687" s="1"/>
  <c r="D687"/>
  <c r="J687" s="1"/>
  <c r="M686"/>
  <c r="O686" s="1"/>
  <c r="D686"/>
  <c r="N686" s="1"/>
  <c r="M685"/>
  <c r="D685"/>
  <c r="M684"/>
  <c r="O684" s="1"/>
  <c r="D684"/>
  <c r="N684" s="1"/>
  <c r="M683"/>
  <c r="D683"/>
  <c r="H683" s="1"/>
  <c r="M682"/>
  <c r="N682" s="1"/>
  <c r="J682"/>
  <c r="H682"/>
  <c r="M681"/>
  <c r="O681" s="1"/>
  <c r="D681"/>
  <c r="M680"/>
  <c r="D680"/>
  <c r="H680" s="1"/>
  <c r="M679"/>
  <c r="O679" s="1"/>
  <c r="D679"/>
  <c r="J679" s="1"/>
  <c r="M678"/>
  <c r="N678" s="1"/>
  <c r="J678"/>
  <c r="H678"/>
  <c r="M677"/>
  <c r="D677"/>
  <c r="H677" s="1"/>
  <c r="M676"/>
  <c r="O676" s="1"/>
  <c r="D676"/>
  <c r="J676" s="1"/>
  <c r="M675"/>
  <c r="O675" s="1"/>
  <c r="H675"/>
  <c r="D675"/>
  <c r="J675" s="1"/>
  <c r="M674"/>
  <c r="O674" s="1"/>
  <c r="D674"/>
  <c r="M673"/>
  <c r="N673" s="1"/>
  <c r="D673"/>
  <c r="H673" s="1"/>
  <c r="M672"/>
  <c r="O672" s="1"/>
  <c r="D672"/>
  <c r="J672" s="1"/>
  <c r="M671"/>
  <c r="O671" s="1"/>
  <c r="D671"/>
  <c r="J671" s="1"/>
  <c r="M670"/>
  <c r="O670" s="1"/>
  <c r="D670"/>
  <c r="M669"/>
  <c r="D669"/>
  <c r="H669" s="1"/>
  <c r="M668"/>
  <c r="D668"/>
  <c r="J668" s="1"/>
  <c r="M667"/>
  <c r="O667" s="1"/>
  <c r="D667"/>
  <c r="J667" s="1"/>
  <c r="M666"/>
  <c r="O666" s="1"/>
  <c r="D666"/>
  <c r="M665"/>
  <c r="D665"/>
  <c r="H665" s="1"/>
  <c r="M664"/>
  <c r="O664" s="1"/>
  <c r="D664"/>
  <c r="J664" s="1"/>
  <c r="M663"/>
  <c r="O663" s="1"/>
  <c r="D663"/>
  <c r="J663" s="1"/>
  <c r="M662"/>
  <c r="O662" s="1"/>
  <c r="D662"/>
  <c r="M661"/>
  <c r="D661"/>
  <c r="H661" s="1"/>
  <c r="M660"/>
  <c r="N660" s="1"/>
  <c r="J660"/>
  <c r="H660"/>
  <c r="D659"/>
  <c r="J659" s="1"/>
  <c r="M658"/>
  <c r="O658" s="1"/>
  <c r="D658"/>
  <c r="M657"/>
  <c r="J657"/>
  <c r="D657"/>
  <c r="H657" s="1"/>
  <c r="M656"/>
  <c r="O656" s="1"/>
  <c r="D656"/>
  <c r="J656" s="1"/>
  <c r="M655"/>
  <c r="N655" s="1"/>
  <c r="J655"/>
  <c r="H655"/>
  <c r="M654"/>
  <c r="D654"/>
  <c r="H654" s="1"/>
  <c r="M653"/>
  <c r="D653"/>
  <c r="H653" s="1"/>
  <c r="M652"/>
  <c r="O652" s="1"/>
  <c r="D652"/>
  <c r="J652" s="1"/>
  <c r="M651"/>
  <c r="O651" s="1"/>
  <c r="D651"/>
  <c r="D650"/>
  <c r="J650" s="1"/>
  <c r="M649"/>
  <c r="D649"/>
  <c r="H649" s="1"/>
  <c r="M648"/>
  <c r="D648"/>
  <c r="J648" s="1"/>
  <c r="M647"/>
  <c r="O647" s="1"/>
  <c r="D647"/>
  <c r="D646"/>
  <c r="J646" s="1"/>
  <c r="M645"/>
  <c r="O645" s="1"/>
  <c r="D645"/>
  <c r="M644"/>
  <c r="D644"/>
  <c r="H644" s="1"/>
  <c r="M643"/>
  <c r="D643"/>
  <c r="J643" s="1"/>
  <c r="M642"/>
  <c r="O642" s="1"/>
  <c r="D642"/>
  <c r="M641"/>
  <c r="O641" s="1"/>
  <c r="D641"/>
  <c r="N641" s="1"/>
  <c r="M640"/>
  <c r="O640" s="1"/>
  <c r="D640"/>
  <c r="W639"/>
  <c r="W641" s="1"/>
  <c r="M639"/>
  <c r="O639" s="1"/>
  <c r="D639"/>
  <c r="M638"/>
  <c r="D638"/>
  <c r="H638" s="1"/>
  <c r="M637"/>
  <c r="D637"/>
  <c r="H637" s="1"/>
  <c r="M636"/>
  <c r="O636" s="1"/>
  <c r="D636"/>
  <c r="J636" s="1"/>
  <c r="M635"/>
  <c r="O635" s="1"/>
  <c r="D635"/>
  <c r="M634"/>
  <c r="D634"/>
  <c r="H634" s="1"/>
  <c r="M633"/>
  <c r="N633" s="1"/>
  <c r="J633"/>
  <c r="H633"/>
  <c r="M632"/>
  <c r="O632" s="1"/>
  <c r="D632"/>
  <c r="N632" s="1"/>
  <c r="M631"/>
  <c r="D631"/>
  <c r="H631" s="1"/>
  <c r="M630"/>
  <c r="D630"/>
  <c r="H630" s="1"/>
  <c r="M629"/>
  <c r="O629" s="1"/>
  <c r="D629"/>
  <c r="H629" s="1"/>
  <c r="M628"/>
  <c r="O628" s="1"/>
  <c r="D628"/>
  <c r="M627"/>
  <c r="J627"/>
  <c r="H627"/>
  <c r="M626"/>
  <c r="O626" s="1"/>
  <c r="D626"/>
  <c r="J626" s="1"/>
  <c r="M625"/>
  <c r="O625" s="1"/>
  <c r="D625"/>
  <c r="M624"/>
  <c r="D624"/>
  <c r="H624" s="1"/>
  <c r="M623"/>
  <c r="D623"/>
  <c r="J623" s="1"/>
  <c r="M622"/>
  <c r="O622" s="1"/>
  <c r="D622"/>
  <c r="M621"/>
  <c r="O621" s="1"/>
  <c r="P621" s="1"/>
  <c r="J621"/>
  <c r="H621"/>
  <c r="M620"/>
  <c r="D620"/>
  <c r="J620" s="1"/>
  <c r="M619"/>
  <c r="O619" s="1"/>
  <c r="D619"/>
  <c r="J619" s="1"/>
  <c r="M618"/>
  <c r="O618" s="1"/>
  <c r="D618"/>
  <c r="M617"/>
  <c r="D617"/>
  <c r="H617" s="1"/>
  <c r="M616"/>
  <c r="D616"/>
  <c r="J616" s="1"/>
  <c r="M615"/>
  <c r="N615" s="1"/>
  <c r="J615"/>
  <c r="H615"/>
  <c r="M614"/>
  <c r="D614"/>
  <c r="H614" s="1"/>
  <c r="M613"/>
  <c r="D613"/>
  <c r="J613" s="1"/>
  <c r="M612"/>
  <c r="O612" s="1"/>
  <c r="D612"/>
  <c r="M611"/>
  <c r="N611" s="1"/>
  <c r="J611"/>
  <c r="H611"/>
  <c r="M610"/>
  <c r="D610"/>
  <c r="J610" s="1"/>
  <c r="M609"/>
  <c r="O609" s="1"/>
  <c r="D609"/>
  <c r="M608"/>
  <c r="O608" s="1"/>
  <c r="D608"/>
  <c r="M607"/>
  <c r="D607"/>
  <c r="H607" s="1"/>
  <c r="M606"/>
  <c r="D606"/>
  <c r="J606" s="1"/>
  <c r="M605"/>
  <c r="O605" s="1"/>
  <c r="D605"/>
  <c r="M604"/>
  <c r="O604" s="1"/>
  <c r="D604"/>
  <c r="J604" s="1"/>
  <c r="M603"/>
  <c r="O603" s="1"/>
  <c r="D603"/>
  <c r="H603" s="1"/>
  <c r="M602"/>
  <c r="N602" s="1"/>
  <c r="J602"/>
  <c r="H602"/>
  <c r="M601"/>
  <c r="O601" s="1"/>
  <c r="D601"/>
  <c r="J601" s="1"/>
  <c r="M600"/>
  <c r="O600" s="1"/>
  <c r="D600"/>
  <c r="H600" s="1"/>
  <c r="M599"/>
  <c r="N599" s="1"/>
  <c r="J599"/>
  <c r="H599"/>
  <c r="M598"/>
  <c r="O598" s="1"/>
  <c r="D598"/>
  <c r="J598" s="1"/>
  <c r="M597"/>
  <c r="O597" s="1"/>
  <c r="P597" s="1"/>
  <c r="J597"/>
  <c r="H597"/>
  <c r="M596"/>
  <c r="N596" s="1"/>
  <c r="J596"/>
  <c r="H596"/>
  <c r="M595"/>
  <c r="O595" s="1"/>
  <c r="D595"/>
  <c r="J595" s="1"/>
  <c r="M594"/>
  <c r="O594" s="1"/>
  <c r="D594"/>
  <c r="M593"/>
  <c r="N593" s="1"/>
  <c r="J593"/>
  <c r="H593"/>
  <c r="M592"/>
  <c r="O592" s="1"/>
  <c r="D592"/>
  <c r="M591"/>
  <c r="O591" s="1"/>
  <c r="D591"/>
  <c r="M590"/>
  <c r="O590" s="1"/>
  <c r="D590"/>
  <c r="J590" s="1"/>
  <c r="M589"/>
  <c r="O589" s="1"/>
  <c r="P589" s="1"/>
  <c r="J589"/>
  <c r="H589"/>
  <c r="M588"/>
  <c r="O588" s="1"/>
  <c r="D588"/>
  <c r="J588" s="1"/>
  <c r="M587"/>
  <c r="O587" s="1"/>
  <c r="P587" s="1"/>
  <c r="D587"/>
  <c r="J587" s="1"/>
  <c r="M586"/>
  <c r="O586" s="1"/>
  <c r="P586" s="1"/>
  <c r="J586"/>
  <c r="H586"/>
  <c r="M585"/>
  <c r="O585" s="1"/>
  <c r="D585"/>
  <c r="J585" s="1"/>
  <c r="M584"/>
  <c r="O584" s="1"/>
  <c r="P584" s="1"/>
  <c r="J584"/>
  <c r="H584"/>
  <c r="M583"/>
  <c r="O583" s="1"/>
  <c r="D583"/>
  <c r="J583" s="1"/>
  <c r="M582"/>
  <c r="O582" s="1"/>
  <c r="D582"/>
  <c r="J582" s="1"/>
  <c r="M581"/>
  <c r="O581" s="1"/>
  <c r="D581"/>
  <c r="M580"/>
  <c r="O580" s="1"/>
  <c r="D580"/>
  <c r="N580" s="1"/>
  <c r="M579"/>
  <c r="N579" s="1"/>
  <c r="J579"/>
  <c r="H579"/>
  <c r="M578"/>
  <c r="O578" s="1"/>
  <c r="M577"/>
  <c r="O577" s="1"/>
  <c r="M576"/>
  <c r="O576" s="1"/>
  <c r="M575"/>
  <c r="O575" s="1"/>
  <c r="D575"/>
  <c r="J575" s="1"/>
  <c r="M574"/>
  <c r="O574" s="1"/>
  <c r="D574"/>
  <c r="D576" s="1"/>
  <c r="D573"/>
  <c r="M572"/>
  <c r="O572" s="1"/>
  <c r="D572"/>
  <c r="M571"/>
  <c r="N571" s="1"/>
  <c r="J571"/>
  <c r="H571"/>
  <c r="M570"/>
  <c r="O570" s="1"/>
  <c r="D570"/>
  <c r="H570" s="1"/>
  <c r="M569"/>
  <c r="O569" s="1"/>
  <c r="P569" s="1"/>
  <c r="J569"/>
  <c r="H569"/>
  <c r="M568"/>
  <c r="O568" s="1"/>
  <c r="P568" s="1"/>
  <c r="J568"/>
  <c r="H568"/>
  <c r="M567"/>
  <c r="O567" s="1"/>
  <c r="D567"/>
  <c r="M566"/>
  <c r="N566" s="1"/>
  <c r="J566"/>
  <c r="H566"/>
  <c r="M565"/>
  <c r="O565" s="1"/>
  <c r="H565"/>
  <c r="D565"/>
  <c r="J565" s="1"/>
  <c r="M564"/>
  <c r="O564" s="1"/>
  <c r="P564" s="1"/>
  <c r="J564"/>
  <c r="H564"/>
  <c r="M563"/>
  <c r="O563" s="1"/>
  <c r="D563"/>
  <c r="M562"/>
  <c r="O562" s="1"/>
  <c r="D562"/>
  <c r="J562" s="1"/>
  <c r="M561"/>
  <c r="O561" s="1"/>
  <c r="D561"/>
  <c r="M560"/>
  <c r="N560" s="1"/>
  <c r="J560"/>
  <c r="H560"/>
  <c r="M559"/>
  <c r="O559" s="1"/>
  <c r="D559"/>
  <c r="J559" s="1"/>
  <c r="M558"/>
  <c r="O558" s="1"/>
  <c r="D558"/>
  <c r="N558" s="1"/>
  <c r="M557"/>
  <c r="N557" s="1"/>
  <c r="D557"/>
  <c r="J557" s="1"/>
  <c r="M556"/>
  <c r="O556" s="1"/>
  <c r="D556"/>
  <c r="M555"/>
  <c r="O555" s="1"/>
  <c r="P555" s="1"/>
  <c r="J555"/>
  <c r="H555"/>
  <c r="M554"/>
  <c r="O554" s="1"/>
  <c r="D554"/>
  <c r="H554" s="1"/>
  <c r="M553"/>
  <c r="O553" s="1"/>
  <c r="D553"/>
  <c r="M552"/>
  <c r="O552" s="1"/>
  <c r="D552"/>
  <c r="M551"/>
  <c r="O551" s="1"/>
  <c r="D551"/>
  <c r="N551" s="1"/>
  <c r="O550"/>
  <c r="M550"/>
  <c r="D550"/>
  <c r="H550" s="1"/>
  <c r="M549"/>
  <c r="O549" s="1"/>
  <c r="D549"/>
  <c r="M548"/>
  <c r="O548" s="1"/>
  <c r="D548"/>
  <c r="M547"/>
  <c r="O547" s="1"/>
  <c r="D547"/>
  <c r="M546"/>
  <c r="O546" s="1"/>
  <c r="D546"/>
  <c r="H546" s="1"/>
  <c r="M545"/>
  <c r="O545" s="1"/>
  <c r="D545"/>
  <c r="J545" s="1"/>
  <c r="M544"/>
  <c r="O544" s="1"/>
  <c r="P544" s="1"/>
  <c r="J544"/>
  <c r="H544"/>
  <c r="M543"/>
  <c r="O543" s="1"/>
  <c r="D543"/>
  <c r="J543" s="1"/>
  <c r="M542"/>
  <c r="O542" s="1"/>
  <c r="D542"/>
  <c r="J542" s="1"/>
  <c r="M541"/>
  <c r="O541" s="1"/>
  <c r="D541"/>
  <c r="H541" s="1"/>
  <c r="M540"/>
  <c r="O540" s="1"/>
  <c r="D540"/>
  <c r="M539"/>
  <c r="O539" s="1"/>
  <c r="D539"/>
  <c r="M538"/>
  <c r="O538" s="1"/>
  <c r="P538" s="1"/>
  <c r="J538"/>
  <c r="H538"/>
  <c r="M537"/>
  <c r="O537" s="1"/>
  <c r="D537"/>
  <c r="M536"/>
  <c r="O536" s="1"/>
  <c r="D536"/>
  <c r="J536" s="1"/>
  <c r="M535"/>
  <c r="O535" s="1"/>
  <c r="P535" s="1"/>
  <c r="J535"/>
  <c r="H535"/>
  <c r="M534"/>
  <c r="O534" s="1"/>
  <c r="D534"/>
  <c r="M533"/>
  <c r="O533" s="1"/>
  <c r="D533"/>
  <c r="M532"/>
  <c r="O532" s="1"/>
  <c r="P532" s="1"/>
  <c r="J532"/>
  <c r="H532"/>
  <c r="M531"/>
  <c r="O531" s="1"/>
  <c r="D531"/>
  <c r="M530"/>
  <c r="O530" s="1"/>
  <c r="D530"/>
  <c r="J530" s="1"/>
  <c r="M529"/>
  <c r="O529" s="1"/>
  <c r="D529"/>
  <c r="J529" s="1"/>
  <c r="M528"/>
  <c r="O528" s="1"/>
  <c r="D528"/>
  <c r="J528" s="1"/>
  <c r="M527"/>
  <c r="O527" s="1"/>
  <c r="D527"/>
  <c r="M526"/>
  <c r="O526" s="1"/>
  <c r="D526"/>
  <c r="M525"/>
  <c r="O525" s="1"/>
  <c r="P525" s="1"/>
  <c r="J525"/>
  <c r="H525"/>
  <c r="M524"/>
  <c r="O524" s="1"/>
  <c r="D524"/>
  <c r="M523"/>
  <c r="D523"/>
  <c r="M522"/>
  <c r="O522" s="1"/>
  <c r="D522"/>
  <c r="J522" s="1"/>
  <c r="M521"/>
  <c r="O521" s="1"/>
  <c r="D521"/>
  <c r="H521" s="1"/>
  <c r="M520"/>
  <c r="O520" s="1"/>
  <c r="D520"/>
  <c r="M519"/>
  <c r="D519"/>
  <c r="M518"/>
  <c r="O518" s="1"/>
  <c r="D518"/>
  <c r="J518" s="1"/>
  <c r="M517"/>
  <c r="O517" s="1"/>
  <c r="D517"/>
  <c r="H517" s="1"/>
  <c r="M516"/>
  <c r="O516" s="1"/>
  <c r="D516"/>
  <c r="M515"/>
  <c r="D515"/>
  <c r="M514"/>
  <c r="O514" s="1"/>
  <c r="D514"/>
  <c r="J514" s="1"/>
  <c r="M513"/>
  <c r="O513" s="1"/>
  <c r="D513"/>
  <c r="J513" s="1"/>
  <c r="M512"/>
  <c r="O512" s="1"/>
  <c r="D512"/>
  <c r="M511"/>
  <c r="D511"/>
  <c r="H511" s="1"/>
  <c r="M510"/>
  <c r="O510" s="1"/>
  <c r="D510"/>
  <c r="J510" s="1"/>
  <c r="M509"/>
  <c r="O509" s="1"/>
  <c r="P509" s="1"/>
  <c r="J509"/>
  <c r="H509"/>
  <c r="M508"/>
  <c r="D508"/>
  <c r="J508" s="1"/>
  <c r="M507"/>
  <c r="O507" s="1"/>
  <c r="D507"/>
  <c r="J507" s="1"/>
  <c r="M506"/>
  <c r="O506" s="1"/>
  <c r="P506" s="1"/>
  <c r="J506"/>
  <c r="H506"/>
  <c r="M505"/>
  <c r="D505"/>
  <c r="J505" s="1"/>
  <c r="M504"/>
  <c r="O504" s="1"/>
  <c r="D504"/>
  <c r="J504" s="1"/>
  <c r="M503"/>
  <c r="O503" s="1"/>
  <c r="D503"/>
  <c r="H503" s="1"/>
  <c r="M502"/>
  <c r="O502" s="1"/>
  <c r="D502"/>
  <c r="N502" s="1"/>
  <c r="M501"/>
  <c r="D501"/>
  <c r="J501" s="1"/>
  <c r="M500"/>
  <c r="O500" s="1"/>
  <c r="P500" s="1"/>
  <c r="J500"/>
  <c r="H500"/>
  <c r="M499"/>
  <c r="O499" s="1"/>
  <c r="D499"/>
  <c r="M498"/>
  <c r="D498"/>
  <c r="J498" s="1"/>
  <c r="M497"/>
  <c r="O497" s="1"/>
  <c r="D497"/>
  <c r="M496"/>
  <c r="O496" s="1"/>
  <c r="D496"/>
  <c r="J496" s="1"/>
  <c r="M495"/>
  <c r="O495" s="1"/>
  <c r="D495"/>
  <c r="M493"/>
  <c r="N493" s="1"/>
  <c r="J493"/>
  <c r="H493"/>
  <c r="M492"/>
  <c r="O492" s="1"/>
  <c r="P492" s="1"/>
  <c r="D492"/>
  <c r="J492" s="1"/>
  <c r="M491"/>
  <c r="O491" s="1"/>
  <c r="D491"/>
  <c r="M490"/>
  <c r="D490"/>
  <c r="J490" s="1"/>
  <c r="M489"/>
  <c r="O489" s="1"/>
  <c r="D489"/>
  <c r="M488"/>
  <c r="O488" s="1"/>
  <c r="D488"/>
  <c r="J488" s="1"/>
  <c r="M487"/>
  <c r="O487" s="1"/>
  <c r="D487"/>
  <c r="M486"/>
  <c r="N486" s="1"/>
  <c r="J486"/>
  <c r="H486"/>
  <c r="M485"/>
  <c r="O485" s="1"/>
  <c r="D485"/>
  <c r="J485" s="1"/>
  <c r="M484"/>
  <c r="O484" s="1"/>
  <c r="D484"/>
  <c r="M483"/>
  <c r="D483"/>
  <c r="H483" s="1"/>
  <c r="M482"/>
  <c r="O482" s="1"/>
  <c r="D482"/>
  <c r="M481"/>
  <c r="O481" s="1"/>
  <c r="D481"/>
  <c r="J481" s="1"/>
  <c r="M480"/>
  <c r="O480" s="1"/>
  <c r="P480" s="1"/>
  <c r="J480"/>
  <c r="H480"/>
  <c r="M479"/>
  <c r="O479" s="1"/>
  <c r="D479"/>
  <c r="M478"/>
  <c r="O478" s="1"/>
  <c r="D478"/>
  <c r="J478" s="1"/>
  <c r="M477"/>
  <c r="O477" s="1"/>
  <c r="D477"/>
  <c r="M476"/>
  <c r="D476"/>
  <c r="H476" s="1"/>
  <c r="M475"/>
  <c r="O475" s="1"/>
  <c r="D475"/>
  <c r="J475" s="1"/>
  <c r="M474"/>
  <c r="O474" s="1"/>
  <c r="D474"/>
  <c r="J474" s="1"/>
  <c r="M473"/>
  <c r="O473" s="1"/>
  <c r="P473" s="1"/>
  <c r="J473"/>
  <c r="H473"/>
  <c r="M472"/>
  <c r="O472" s="1"/>
  <c r="D472"/>
  <c r="J472" s="1"/>
  <c r="M471"/>
  <c r="O471" s="1"/>
  <c r="D471"/>
  <c r="J471" s="1"/>
  <c r="M470"/>
  <c r="O470" s="1"/>
  <c r="D470"/>
  <c r="N470" s="1"/>
  <c r="M469"/>
  <c r="O469" s="1"/>
  <c r="D469"/>
  <c r="H469" s="1"/>
  <c r="M468"/>
  <c r="O468" s="1"/>
  <c r="D468"/>
  <c r="J468" s="1"/>
  <c r="M467"/>
  <c r="O467" s="1"/>
  <c r="P467" s="1"/>
  <c r="J467"/>
  <c r="H467"/>
  <c r="M466"/>
  <c r="O466" s="1"/>
  <c r="D466"/>
  <c r="J466" s="1"/>
  <c r="M465"/>
  <c r="O465" s="1"/>
  <c r="P465" s="1"/>
  <c r="D465"/>
  <c r="J465" s="1"/>
  <c r="M464"/>
  <c r="O464" s="1"/>
  <c r="D464"/>
  <c r="J464" s="1"/>
  <c r="M463"/>
  <c r="O463" s="1"/>
  <c r="D463"/>
  <c r="M462"/>
  <c r="O462" s="1"/>
  <c r="D462"/>
  <c r="J462" s="1"/>
  <c r="J461"/>
  <c r="M460"/>
  <c r="O460" s="1"/>
  <c r="P460" s="1"/>
  <c r="J460"/>
  <c r="H460"/>
  <c r="M459"/>
  <c r="O459" s="1"/>
  <c r="D459"/>
  <c r="M458"/>
  <c r="D458"/>
  <c r="J458" s="1"/>
  <c r="M457"/>
  <c r="O457" s="1"/>
  <c r="D457"/>
  <c r="J457" s="1"/>
  <c r="M456"/>
  <c r="O456" s="1"/>
  <c r="D456"/>
  <c r="J456" s="1"/>
  <c r="M455"/>
  <c r="O455" s="1"/>
  <c r="D455"/>
  <c r="M454"/>
  <c r="N454" s="1"/>
  <c r="J454"/>
  <c r="H454"/>
  <c r="M453"/>
  <c r="O453" s="1"/>
  <c r="P453" s="1"/>
  <c r="J453"/>
  <c r="H453"/>
  <c r="M452"/>
  <c r="D452"/>
  <c r="J452" s="1"/>
  <c r="M451"/>
  <c r="O451" s="1"/>
  <c r="D451"/>
  <c r="J451" s="1"/>
  <c r="M450"/>
  <c r="O450" s="1"/>
  <c r="D450"/>
  <c r="J450" s="1"/>
  <c r="M449"/>
  <c r="N449" s="1"/>
  <c r="J449"/>
  <c r="H449"/>
  <c r="M448"/>
  <c r="O448" s="1"/>
  <c r="D448"/>
  <c r="J448" s="1"/>
  <c r="M447"/>
  <c r="O447" s="1"/>
  <c r="P447" s="1"/>
  <c r="J447"/>
  <c r="H447"/>
  <c r="M446"/>
  <c r="O446" s="1"/>
  <c r="D446"/>
  <c r="J446" s="1"/>
  <c r="M445"/>
  <c r="O445" s="1"/>
  <c r="D445"/>
  <c r="J445" s="1"/>
  <c r="M444"/>
  <c r="O444" s="1"/>
  <c r="D444"/>
  <c r="H444" s="1"/>
  <c r="M443"/>
  <c r="O443" s="1"/>
  <c r="D443"/>
  <c r="M442"/>
  <c r="O442" s="1"/>
  <c r="D442"/>
  <c r="J442" s="1"/>
  <c r="M441"/>
  <c r="O441" s="1"/>
  <c r="D441"/>
  <c r="J441" s="1"/>
  <c r="M440"/>
  <c r="O440" s="1"/>
  <c r="P440" s="1"/>
  <c r="J440"/>
  <c r="H440"/>
  <c r="M439"/>
  <c r="O439" s="1"/>
  <c r="D439"/>
  <c r="J439" s="1"/>
  <c r="M438"/>
  <c r="O438" s="1"/>
  <c r="D438"/>
  <c r="J438" s="1"/>
  <c r="M437"/>
  <c r="O437" s="1"/>
  <c r="D437"/>
  <c r="H437" s="1"/>
  <c r="M436"/>
  <c r="O436" s="1"/>
  <c r="D436"/>
  <c r="M435"/>
  <c r="O435" s="1"/>
  <c r="D435"/>
  <c r="J435" s="1"/>
  <c r="M434"/>
  <c r="O434" s="1"/>
  <c r="D434"/>
  <c r="J434" s="1"/>
  <c r="M433"/>
  <c r="O433" s="1"/>
  <c r="D433"/>
  <c r="J433" s="1"/>
  <c r="M432"/>
  <c r="O432" s="1"/>
  <c r="P432" s="1"/>
  <c r="J432"/>
  <c r="H432"/>
  <c r="M431"/>
  <c r="O431" s="1"/>
  <c r="P431" s="1"/>
  <c r="J431"/>
  <c r="H431"/>
  <c r="M430"/>
  <c r="O430" s="1"/>
  <c r="P430" s="1"/>
  <c r="J430"/>
  <c r="H430"/>
  <c r="M429"/>
  <c r="O429" s="1"/>
  <c r="D429"/>
  <c r="J429" s="1"/>
  <c r="M428"/>
  <c r="O428" s="1"/>
  <c r="D428"/>
  <c r="J428" s="1"/>
  <c r="M427"/>
  <c r="O427" s="1"/>
  <c r="D427"/>
  <c r="M426"/>
  <c r="O426" s="1"/>
  <c r="D426"/>
  <c r="J426" s="1"/>
  <c r="M425"/>
  <c r="O425" s="1"/>
  <c r="D425"/>
  <c r="J425" s="1"/>
  <c r="M424"/>
  <c r="O424" s="1"/>
  <c r="D424"/>
  <c r="H424" s="1"/>
  <c r="M423"/>
  <c r="O423" s="1"/>
  <c r="D423"/>
  <c r="M422"/>
  <c r="N422" s="1"/>
  <c r="J422"/>
  <c r="H422"/>
  <c r="M421"/>
  <c r="O421" s="1"/>
  <c r="D421"/>
  <c r="J421" s="1"/>
  <c r="M420"/>
  <c r="O420" s="1"/>
  <c r="D420"/>
  <c r="M419"/>
  <c r="O419" s="1"/>
  <c r="D419"/>
  <c r="H419" s="1"/>
  <c r="M418"/>
  <c r="O418" s="1"/>
  <c r="D418"/>
  <c r="M417"/>
  <c r="O417" s="1"/>
  <c r="D417"/>
  <c r="J417" s="1"/>
  <c r="M416"/>
  <c r="O416" s="1"/>
  <c r="D416"/>
  <c r="M415"/>
  <c r="O415" s="1"/>
  <c r="D415"/>
  <c r="H415" s="1"/>
  <c r="M414"/>
  <c r="N414" s="1"/>
  <c r="J414"/>
  <c r="H414"/>
  <c r="M413"/>
  <c r="O413" s="1"/>
  <c r="D413"/>
  <c r="M412"/>
  <c r="N412" s="1"/>
  <c r="J412"/>
  <c r="H412"/>
  <c r="M411"/>
  <c r="O411" s="1"/>
  <c r="D411"/>
  <c r="J411" s="1"/>
  <c r="M410"/>
  <c r="O410" s="1"/>
  <c r="D410"/>
  <c r="M409"/>
  <c r="O409" s="1"/>
  <c r="D409"/>
  <c r="H409" s="1"/>
  <c r="M408"/>
  <c r="N408" s="1"/>
  <c r="J408"/>
  <c r="H408"/>
  <c r="M407"/>
  <c r="O407" s="1"/>
  <c r="D407"/>
  <c r="M406"/>
  <c r="D406"/>
  <c r="H406" s="1"/>
  <c r="M405"/>
  <c r="O405" s="1"/>
  <c r="P405" s="1"/>
  <c r="J405"/>
  <c r="H405"/>
  <c r="M404"/>
  <c r="O404" s="1"/>
  <c r="D404"/>
  <c r="M403"/>
  <c r="D403"/>
  <c r="J403" s="1"/>
  <c r="M402"/>
  <c r="O402" s="1"/>
  <c r="P402" s="1"/>
  <c r="J402"/>
  <c r="H402"/>
  <c r="M401"/>
  <c r="O401" s="1"/>
  <c r="D401"/>
  <c r="M400"/>
  <c r="D400"/>
  <c r="J400" s="1"/>
  <c r="M399"/>
  <c r="O399" s="1"/>
  <c r="P399" s="1"/>
  <c r="J399"/>
  <c r="H399"/>
  <c r="M398"/>
  <c r="O398" s="1"/>
  <c r="D398"/>
  <c r="M397"/>
  <c r="N397" s="1"/>
  <c r="J397"/>
  <c r="H397"/>
  <c r="M396"/>
  <c r="O396" s="1"/>
  <c r="D396"/>
  <c r="H396" s="1"/>
  <c r="M395"/>
  <c r="O395" s="1"/>
  <c r="P395" s="1"/>
  <c r="J395"/>
  <c r="H395"/>
  <c r="M394"/>
  <c r="O394" s="1"/>
  <c r="P394" s="1"/>
  <c r="J394"/>
  <c r="H394"/>
  <c r="M393"/>
  <c r="O393" s="1"/>
  <c r="D393"/>
  <c r="M392"/>
  <c r="N392" s="1"/>
  <c r="J392"/>
  <c r="H392"/>
  <c r="M391"/>
  <c r="O391" s="1"/>
  <c r="D391"/>
  <c r="J391" s="1"/>
  <c r="M390"/>
  <c r="O390" s="1"/>
  <c r="D390"/>
  <c r="M389"/>
  <c r="D389"/>
  <c r="J389" s="1"/>
  <c r="M388"/>
  <c r="O388" s="1"/>
  <c r="P388" s="1"/>
  <c r="J388"/>
  <c r="H388"/>
  <c r="M387"/>
  <c r="O387" s="1"/>
  <c r="D387"/>
  <c r="N387" s="1"/>
  <c r="M386"/>
  <c r="D386"/>
  <c r="J386" s="1"/>
  <c r="M385"/>
  <c r="O385" s="1"/>
  <c r="D385"/>
  <c r="M384"/>
  <c r="O384" s="1"/>
  <c r="D384"/>
  <c r="H384" s="1"/>
  <c r="M383"/>
  <c r="O383" s="1"/>
  <c r="D383"/>
  <c r="M382"/>
  <c r="D382"/>
  <c r="J382" s="1"/>
  <c r="M381"/>
  <c r="O381" s="1"/>
  <c r="D381"/>
  <c r="M380"/>
  <c r="O380" s="1"/>
  <c r="D380"/>
  <c r="J380" s="1"/>
  <c r="M379"/>
  <c r="O379" s="1"/>
  <c r="D379"/>
  <c r="M378"/>
  <c r="D378"/>
  <c r="J378" s="1"/>
  <c r="M377"/>
  <c r="O377" s="1"/>
  <c r="P377" s="1"/>
  <c r="J377"/>
  <c r="H377"/>
  <c r="M376"/>
  <c r="O376" s="1"/>
  <c r="D376"/>
  <c r="M375"/>
  <c r="D375"/>
  <c r="J375" s="1"/>
  <c r="M374"/>
  <c r="O374" s="1"/>
  <c r="D374"/>
  <c r="M373"/>
  <c r="D373"/>
  <c r="H373" s="1"/>
  <c r="M372"/>
  <c r="O372" s="1"/>
  <c r="D372"/>
  <c r="H372" s="1"/>
  <c r="M371"/>
  <c r="N371" s="1"/>
  <c r="J371"/>
  <c r="H371"/>
  <c r="M370"/>
  <c r="D370"/>
  <c r="J370" s="1"/>
  <c r="M369"/>
  <c r="O369" s="1"/>
  <c r="D369"/>
  <c r="H369" s="1"/>
  <c r="M368"/>
  <c r="O368" s="1"/>
  <c r="D368"/>
  <c r="H368" s="1"/>
  <c r="M367"/>
  <c r="O367" s="1"/>
  <c r="D367"/>
  <c r="H367" s="1"/>
  <c r="D366"/>
  <c r="H366" s="1"/>
  <c r="M365"/>
  <c r="N365" s="1"/>
  <c r="J365"/>
  <c r="H365"/>
  <c r="M364"/>
  <c r="O364" s="1"/>
  <c r="D364"/>
  <c r="J364" s="1"/>
  <c r="M363"/>
  <c r="O363" s="1"/>
  <c r="D363"/>
  <c r="H363" s="1"/>
  <c r="M362"/>
  <c r="D362"/>
  <c r="H362" s="1"/>
  <c r="M361"/>
  <c r="O361" s="1"/>
  <c r="D361"/>
  <c r="H361" s="1"/>
  <c r="M360"/>
  <c r="H360"/>
  <c r="D360"/>
  <c r="J360" s="1"/>
  <c r="M359"/>
  <c r="O359" s="1"/>
  <c r="P359" s="1"/>
  <c r="J359"/>
  <c r="H359"/>
  <c r="M358"/>
  <c r="O358" s="1"/>
  <c r="D358"/>
  <c r="H358" s="1"/>
  <c r="M357"/>
  <c r="O357" s="1"/>
  <c r="D357"/>
  <c r="J357" s="1"/>
  <c r="M356"/>
  <c r="O356" s="1"/>
  <c r="D356"/>
  <c r="H356" s="1"/>
  <c r="M355"/>
  <c r="N355" s="1"/>
  <c r="J355"/>
  <c r="H355"/>
  <c r="M354"/>
  <c r="D354"/>
  <c r="J354" s="1"/>
  <c r="M353"/>
  <c r="O353" s="1"/>
  <c r="D353"/>
  <c r="H353" s="1"/>
  <c r="M352"/>
  <c r="N352" s="1"/>
  <c r="J352"/>
  <c r="H352"/>
  <c r="D351"/>
  <c r="H351" s="1"/>
  <c r="O350"/>
  <c r="M350"/>
  <c r="D350"/>
  <c r="J350" s="1"/>
  <c r="Y349"/>
  <c r="M349"/>
  <c r="D349"/>
  <c r="J349" s="1"/>
  <c r="M348"/>
  <c r="O348" s="1"/>
  <c r="D348"/>
  <c r="H348" s="1"/>
  <c r="M347"/>
  <c r="O347" s="1"/>
  <c r="D347"/>
  <c r="H347" s="1"/>
  <c r="M346"/>
  <c r="N346" s="1"/>
  <c r="J346"/>
  <c r="H346"/>
  <c r="M345"/>
  <c r="O345" s="1"/>
  <c r="D345"/>
  <c r="H345" s="1"/>
  <c r="M344"/>
  <c r="O344" s="1"/>
  <c r="D344"/>
  <c r="H344" s="1"/>
  <c r="M343"/>
  <c r="O343" s="1"/>
  <c r="D343"/>
  <c r="H343" s="1"/>
  <c r="M342"/>
  <c r="O342" s="1"/>
  <c r="D342"/>
  <c r="J342" s="1"/>
  <c r="M341"/>
  <c r="O341" s="1"/>
  <c r="P341" s="1"/>
  <c r="J341"/>
  <c r="H341"/>
  <c r="M340"/>
  <c r="O340" s="1"/>
  <c r="D340"/>
  <c r="H340" s="1"/>
  <c r="J339"/>
  <c r="J338"/>
  <c r="M337"/>
  <c r="O337" s="1"/>
  <c r="P337" s="1"/>
  <c r="J337"/>
  <c r="H337"/>
  <c r="M336"/>
  <c r="D336"/>
  <c r="J336" s="1"/>
  <c r="M335"/>
  <c r="O335" s="1"/>
  <c r="P335" s="1"/>
  <c r="J335"/>
  <c r="H335"/>
  <c r="M334"/>
  <c r="O334" s="1"/>
  <c r="D334"/>
  <c r="M333"/>
  <c r="O333" s="1"/>
  <c r="M332"/>
  <c r="O332" s="1"/>
  <c r="D332"/>
  <c r="J332" s="1"/>
  <c r="M331"/>
  <c r="O331" s="1"/>
  <c r="D331"/>
  <c r="M330"/>
  <c r="O330" s="1"/>
  <c r="D330"/>
  <c r="H330" s="1"/>
  <c r="M329"/>
  <c r="N329" s="1"/>
  <c r="J329"/>
  <c r="H329"/>
  <c r="J328"/>
  <c r="M327"/>
  <c r="O327" s="1"/>
  <c r="P327" s="1"/>
  <c r="J327"/>
  <c r="H327"/>
  <c r="M326"/>
  <c r="O326" s="1"/>
  <c r="D326"/>
  <c r="M325"/>
  <c r="O325" s="1"/>
  <c r="P325" s="1"/>
  <c r="J325"/>
  <c r="H325"/>
  <c r="M324"/>
  <c r="N324" s="1"/>
  <c r="J324"/>
  <c r="H324"/>
  <c r="M323"/>
  <c r="O323" s="1"/>
  <c r="D323"/>
  <c r="J323" s="1"/>
  <c r="M322"/>
  <c r="O322" s="1"/>
  <c r="D322"/>
  <c r="N322" s="1"/>
  <c r="M321"/>
  <c r="O321" s="1"/>
  <c r="D321"/>
  <c r="H321" s="1"/>
  <c r="M320"/>
  <c r="O320" s="1"/>
  <c r="D320"/>
  <c r="M319"/>
  <c r="O319" s="1"/>
  <c r="D319"/>
  <c r="J319" s="1"/>
  <c r="M318"/>
  <c r="O318" s="1"/>
  <c r="D318"/>
  <c r="N318" s="1"/>
  <c r="M317"/>
  <c r="O317" s="1"/>
  <c r="D317"/>
  <c r="H317" s="1"/>
  <c r="M316"/>
  <c r="O316" s="1"/>
  <c r="D316"/>
  <c r="M315"/>
  <c r="O315" s="1"/>
  <c r="D315"/>
  <c r="J315" s="1"/>
  <c r="M314"/>
  <c r="O314" s="1"/>
  <c r="D314"/>
  <c r="M313"/>
  <c r="O313" s="1"/>
  <c r="D313"/>
  <c r="H313" s="1"/>
  <c r="M312"/>
  <c r="O312" s="1"/>
  <c r="D312"/>
  <c r="M311"/>
  <c r="O311" s="1"/>
  <c r="D311"/>
  <c r="J311" s="1"/>
  <c r="M310"/>
  <c r="O310" s="1"/>
  <c r="D310"/>
  <c r="J310" s="1"/>
  <c r="M309"/>
  <c r="O309" s="1"/>
  <c r="J309"/>
  <c r="D309"/>
  <c r="H309" s="1"/>
  <c r="M308"/>
  <c r="O308" s="1"/>
  <c r="D308"/>
  <c r="J308" s="1"/>
  <c r="M307"/>
  <c r="O307" s="1"/>
  <c r="D307"/>
  <c r="J307" s="1"/>
  <c r="M306"/>
  <c r="O306" s="1"/>
  <c r="P306" s="1"/>
  <c r="J306"/>
  <c r="H306"/>
  <c r="M305"/>
  <c r="O305" s="1"/>
  <c r="D305"/>
  <c r="J305" s="1"/>
  <c r="M304"/>
  <c r="O304" s="1"/>
  <c r="D304"/>
  <c r="J304" s="1"/>
  <c r="M303"/>
  <c r="O303" s="1"/>
  <c r="D303"/>
  <c r="N303" s="1"/>
  <c r="M302"/>
  <c r="N302" s="1"/>
  <c r="J302"/>
  <c r="H302"/>
  <c r="M301"/>
  <c r="O301" s="1"/>
  <c r="P301" s="1"/>
  <c r="J301"/>
  <c r="H301"/>
  <c r="M300"/>
  <c r="D300"/>
  <c r="J300" s="1"/>
  <c r="M299"/>
  <c r="O299" s="1"/>
  <c r="D299"/>
  <c r="J299" s="1"/>
  <c r="M298"/>
  <c r="O298" s="1"/>
  <c r="P298" s="1"/>
  <c r="J298"/>
  <c r="H298"/>
  <c r="M297"/>
  <c r="O297" s="1"/>
  <c r="P297" s="1"/>
  <c r="D297"/>
  <c r="J297" s="1"/>
  <c r="M296"/>
  <c r="O296" s="1"/>
  <c r="P296" s="1"/>
  <c r="J296"/>
  <c r="H296"/>
  <c r="M295"/>
  <c r="O295" s="1"/>
  <c r="D295"/>
  <c r="M294"/>
  <c r="O294" s="1"/>
  <c r="D294"/>
  <c r="J294" s="1"/>
  <c r="M293"/>
  <c r="O293" s="1"/>
  <c r="D293"/>
  <c r="J293" s="1"/>
  <c r="M292"/>
  <c r="O292" s="1"/>
  <c r="D292"/>
  <c r="H292" s="1"/>
  <c r="M291"/>
  <c r="N291" s="1"/>
  <c r="J291"/>
  <c r="H291"/>
  <c r="M290"/>
  <c r="O290" s="1"/>
  <c r="D290"/>
  <c r="J290" s="1"/>
  <c r="M289"/>
  <c r="O289" s="1"/>
  <c r="D289"/>
  <c r="J289" s="1"/>
  <c r="M288"/>
  <c r="O288" s="1"/>
  <c r="D288"/>
  <c r="N288" s="1"/>
  <c r="M287"/>
  <c r="N287" s="1"/>
  <c r="J287"/>
  <c r="H287"/>
  <c r="M286"/>
  <c r="O286" s="1"/>
  <c r="D286"/>
  <c r="J286" s="1"/>
  <c r="M285"/>
  <c r="O285" s="1"/>
  <c r="P285" s="1"/>
  <c r="D285"/>
  <c r="M284"/>
  <c r="O284" s="1"/>
  <c r="D284"/>
  <c r="J284" s="1"/>
  <c r="M283"/>
  <c r="O283" s="1"/>
  <c r="P283" s="1"/>
  <c r="J283"/>
  <c r="H283"/>
  <c r="M282"/>
  <c r="O282" s="1"/>
  <c r="P282" s="1"/>
  <c r="J282"/>
  <c r="H282"/>
  <c r="M281"/>
  <c r="O281" s="1"/>
  <c r="P281" s="1"/>
  <c r="J281"/>
  <c r="H281"/>
  <c r="M280"/>
  <c r="O280" s="1"/>
  <c r="P280" s="1"/>
  <c r="J280"/>
  <c r="H280"/>
  <c r="M279"/>
  <c r="O279" s="1"/>
  <c r="P279" s="1"/>
  <c r="J279"/>
  <c r="H279"/>
  <c r="M278"/>
  <c r="O278" s="1"/>
  <c r="D278"/>
  <c r="N278" s="1"/>
  <c r="M277"/>
  <c r="O277" s="1"/>
  <c r="D277"/>
  <c r="J277" s="1"/>
  <c r="M276"/>
  <c r="O276" s="1"/>
  <c r="D276"/>
  <c r="J276" s="1"/>
  <c r="M275"/>
  <c r="O275" s="1"/>
  <c r="D275"/>
  <c r="J275" s="1"/>
  <c r="M274"/>
  <c r="O274" s="1"/>
  <c r="D274"/>
  <c r="M273"/>
  <c r="N273" s="1"/>
  <c r="J273"/>
  <c r="H273"/>
  <c r="M272"/>
  <c r="O272" s="1"/>
  <c r="D272"/>
  <c r="J272" s="1"/>
  <c r="M271"/>
  <c r="O271" s="1"/>
  <c r="D271"/>
  <c r="M270"/>
  <c r="D270"/>
  <c r="H270" s="1"/>
  <c r="M269"/>
  <c r="O269" s="1"/>
  <c r="D269"/>
  <c r="M268"/>
  <c r="O268" s="1"/>
  <c r="D268"/>
  <c r="J268" s="1"/>
  <c r="M267"/>
  <c r="O267" s="1"/>
  <c r="P267" s="1"/>
  <c r="J267"/>
  <c r="H267"/>
  <c r="M266"/>
  <c r="O266" s="1"/>
  <c r="D266"/>
  <c r="M265"/>
  <c r="O265" s="1"/>
  <c r="D265"/>
  <c r="J265" s="1"/>
  <c r="M264"/>
  <c r="O264" s="1"/>
  <c r="D264"/>
  <c r="M263"/>
  <c r="O263" s="1"/>
  <c r="D263"/>
  <c r="H263" s="1"/>
  <c r="M262"/>
  <c r="O262" s="1"/>
  <c r="D262"/>
  <c r="J262" s="1"/>
  <c r="M261"/>
  <c r="O261" s="1"/>
  <c r="P261" s="1"/>
  <c r="J261"/>
  <c r="H261"/>
  <c r="M260"/>
  <c r="O260" s="1"/>
  <c r="D260"/>
  <c r="J260" s="1"/>
  <c r="M259"/>
  <c r="O259" s="1"/>
  <c r="D259"/>
  <c r="J259" s="1"/>
  <c r="M258"/>
  <c r="O258" s="1"/>
  <c r="D258"/>
  <c r="J258" s="1"/>
  <c r="M257"/>
  <c r="O257" s="1"/>
  <c r="D257"/>
  <c r="M256"/>
  <c r="O256" s="1"/>
  <c r="D256"/>
  <c r="J256" s="1"/>
  <c r="M255"/>
  <c r="O255" s="1"/>
  <c r="P255" s="1"/>
  <c r="J255"/>
  <c r="H255"/>
  <c r="M254"/>
  <c r="O254" s="1"/>
  <c r="D254"/>
  <c r="N254" s="1"/>
  <c r="M253"/>
  <c r="D253"/>
  <c r="J253" s="1"/>
  <c r="M252"/>
  <c r="O252" s="1"/>
  <c r="D252"/>
  <c r="J252" s="1"/>
  <c r="M251"/>
  <c r="O251" s="1"/>
  <c r="D251"/>
  <c r="H251" s="1"/>
  <c r="M250"/>
  <c r="O250" s="1"/>
  <c r="D250"/>
  <c r="M249"/>
  <c r="N249" s="1"/>
  <c r="J249"/>
  <c r="H249"/>
  <c r="M248"/>
  <c r="O248" s="1"/>
  <c r="D248"/>
  <c r="J248" s="1"/>
  <c r="M247"/>
  <c r="O247" s="1"/>
  <c r="D247"/>
  <c r="M246"/>
  <c r="D246"/>
  <c r="J246" s="1"/>
  <c r="M245"/>
  <c r="O245" s="1"/>
  <c r="D245"/>
  <c r="M244"/>
  <c r="O244" s="1"/>
  <c r="D244"/>
  <c r="J244" s="1"/>
  <c r="M243"/>
  <c r="O243" s="1"/>
  <c r="D243"/>
  <c r="M242"/>
  <c r="N242" s="1"/>
  <c r="J242"/>
  <c r="H242"/>
  <c r="M241"/>
  <c r="O241" s="1"/>
  <c r="P241" s="1"/>
  <c r="D241"/>
  <c r="J241" s="1"/>
  <c r="M240"/>
  <c r="O240" s="1"/>
  <c r="D240"/>
  <c r="M239"/>
  <c r="D239"/>
  <c r="J239" s="1"/>
  <c r="M238"/>
  <c r="O238" s="1"/>
  <c r="D238"/>
  <c r="M237"/>
  <c r="O237" s="1"/>
  <c r="D237"/>
  <c r="J237" s="1"/>
  <c r="M236"/>
  <c r="O236" s="1"/>
  <c r="D236"/>
  <c r="M235"/>
  <c r="D235"/>
  <c r="J235" s="1"/>
  <c r="M234"/>
  <c r="O234" s="1"/>
  <c r="D234"/>
  <c r="M233"/>
  <c r="O233" s="1"/>
  <c r="D233"/>
  <c r="J233" s="1"/>
  <c r="M232"/>
  <c r="O232" s="1"/>
  <c r="D232"/>
  <c r="N232" s="1"/>
  <c r="M231"/>
  <c r="D231"/>
  <c r="H231" s="1"/>
  <c r="M230"/>
  <c r="O230" s="1"/>
  <c r="D230"/>
  <c r="M229"/>
  <c r="N229" s="1"/>
  <c r="J229"/>
  <c r="H229"/>
  <c r="M228"/>
  <c r="N228" s="1"/>
  <c r="J228"/>
  <c r="H228"/>
  <c r="M227"/>
  <c r="O227" s="1"/>
  <c r="D227"/>
  <c r="J227" s="1"/>
  <c r="M226"/>
  <c r="O226" s="1"/>
  <c r="P226" s="1"/>
  <c r="J226"/>
  <c r="H226"/>
  <c r="M225"/>
  <c r="N225" s="1"/>
  <c r="J225"/>
  <c r="H225"/>
  <c r="M224"/>
  <c r="O224" s="1"/>
  <c r="P224" s="1"/>
  <c r="J224"/>
  <c r="H224"/>
  <c r="M223"/>
  <c r="O223" s="1"/>
  <c r="P223" s="1"/>
  <c r="J223"/>
  <c r="H223"/>
  <c r="M222"/>
  <c r="O222" s="1"/>
  <c r="P222" s="1"/>
  <c r="J222"/>
  <c r="H222"/>
  <c r="M221"/>
  <c r="O221" s="1"/>
  <c r="P221" s="1"/>
  <c r="J221"/>
  <c r="H221"/>
  <c r="M220"/>
  <c r="O220" s="1"/>
  <c r="P220" s="1"/>
  <c r="J220"/>
  <c r="H220"/>
  <c r="M219"/>
  <c r="O219" s="1"/>
  <c r="D219"/>
  <c r="J219" s="1"/>
  <c r="M218"/>
  <c r="O218" s="1"/>
  <c r="D218"/>
  <c r="J218" s="1"/>
  <c r="M217"/>
  <c r="O217" s="1"/>
  <c r="D217"/>
  <c r="N217" s="1"/>
  <c r="M216"/>
  <c r="D216"/>
  <c r="H216" s="1"/>
  <c r="M215"/>
  <c r="O215" s="1"/>
  <c r="D215"/>
  <c r="J215" s="1"/>
  <c r="M214"/>
  <c r="O214" s="1"/>
  <c r="P214" s="1"/>
  <c r="J214"/>
  <c r="H214"/>
  <c r="M213"/>
  <c r="N213" s="1"/>
  <c r="J213"/>
  <c r="H213"/>
  <c r="M212"/>
  <c r="O212" s="1"/>
  <c r="P212" s="1"/>
  <c r="J212"/>
  <c r="H212"/>
  <c r="M211"/>
  <c r="N211" s="1"/>
  <c r="J211"/>
  <c r="H211"/>
  <c r="M210"/>
  <c r="O210" s="1"/>
  <c r="P210" s="1"/>
  <c r="J210"/>
  <c r="H210"/>
  <c r="M209"/>
  <c r="N209" s="1"/>
  <c r="J209"/>
  <c r="H209"/>
  <c r="M208"/>
  <c r="O208" s="1"/>
  <c r="P208" s="1"/>
  <c r="J208"/>
  <c r="H208"/>
  <c r="M207"/>
  <c r="O207" s="1"/>
  <c r="D207"/>
  <c r="J207" s="1"/>
  <c r="M206"/>
  <c r="O206" s="1"/>
  <c r="D206"/>
  <c r="J206" s="1"/>
  <c r="M205"/>
  <c r="O205" s="1"/>
  <c r="D205"/>
  <c r="H205" s="1"/>
  <c r="M204"/>
  <c r="O204" s="1"/>
  <c r="D204"/>
  <c r="M203"/>
  <c r="O203" s="1"/>
  <c r="D203"/>
  <c r="J203" s="1"/>
  <c r="M202"/>
  <c r="O202" s="1"/>
  <c r="P202" s="1"/>
  <c r="J202"/>
  <c r="H202"/>
  <c r="M201"/>
  <c r="O201" s="1"/>
  <c r="P201" s="1"/>
  <c r="J201"/>
  <c r="H201"/>
  <c r="M200"/>
  <c r="O200" s="1"/>
  <c r="P200" s="1"/>
  <c r="J200"/>
  <c r="H200"/>
  <c r="M199"/>
  <c r="O199" s="1"/>
  <c r="P199" s="1"/>
  <c r="J199"/>
  <c r="H199"/>
  <c r="M198"/>
  <c r="O198" s="1"/>
  <c r="P198" s="1"/>
  <c r="J198"/>
  <c r="H198"/>
  <c r="M197"/>
  <c r="O197" s="1"/>
  <c r="P197" s="1"/>
  <c r="J197"/>
  <c r="H197"/>
  <c r="M196"/>
  <c r="O196" s="1"/>
  <c r="P196" s="1"/>
  <c r="J196"/>
  <c r="H196"/>
  <c r="M195"/>
  <c r="O195" s="1"/>
  <c r="P195" s="1"/>
  <c r="J195"/>
  <c r="H195"/>
  <c r="M194"/>
  <c r="O194" s="1"/>
  <c r="P194" s="1"/>
  <c r="J194"/>
  <c r="H194"/>
  <c r="M193"/>
  <c r="O193" s="1"/>
  <c r="P193" s="1"/>
  <c r="J193"/>
  <c r="H193"/>
  <c r="M192"/>
  <c r="O192" s="1"/>
  <c r="P192" s="1"/>
  <c r="J192"/>
  <c r="H192"/>
  <c r="M191"/>
  <c r="O191" s="1"/>
  <c r="P191" s="1"/>
  <c r="J191"/>
  <c r="H191"/>
  <c r="M190"/>
  <c r="O190" s="1"/>
  <c r="P190" s="1"/>
  <c r="J190"/>
  <c r="H190"/>
  <c r="M189"/>
  <c r="O189" s="1"/>
  <c r="D189"/>
  <c r="N189" s="1"/>
  <c r="M188"/>
  <c r="D188"/>
  <c r="J188" s="1"/>
  <c r="M187"/>
  <c r="O187" s="1"/>
  <c r="D187"/>
  <c r="J187" s="1"/>
  <c r="M186"/>
  <c r="O186" s="1"/>
  <c r="D186"/>
  <c r="J186" s="1"/>
  <c r="M185"/>
  <c r="O185" s="1"/>
  <c r="P185" s="1"/>
  <c r="D185"/>
  <c r="M184"/>
  <c r="N184" s="1"/>
  <c r="J184"/>
  <c r="H184"/>
  <c r="M183"/>
  <c r="O183" s="1"/>
  <c r="D183"/>
  <c r="J183" s="1"/>
  <c r="M182"/>
  <c r="O182" s="1"/>
  <c r="D182"/>
  <c r="M181"/>
  <c r="D181"/>
  <c r="J181" s="1"/>
  <c r="M180"/>
  <c r="O180" s="1"/>
  <c r="D180"/>
  <c r="M179"/>
  <c r="O179" s="1"/>
  <c r="D179"/>
  <c r="J179" s="1"/>
  <c r="M178"/>
  <c r="O178" s="1"/>
  <c r="P178" s="1"/>
  <c r="J178"/>
  <c r="H178"/>
  <c r="M177"/>
  <c r="O177" s="1"/>
  <c r="P177" s="1"/>
  <c r="J177"/>
  <c r="H177"/>
  <c r="M176"/>
  <c r="O176" s="1"/>
  <c r="P176" s="1"/>
  <c r="J176"/>
  <c r="H176"/>
  <c r="M175"/>
  <c r="O175" s="1"/>
  <c r="P175" s="1"/>
  <c r="J175"/>
  <c r="H175"/>
  <c r="M174"/>
  <c r="O174" s="1"/>
  <c r="P174" s="1"/>
  <c r="J174"/>
  <c r="H174"/>
  <c r="M173"/>
  <c r="O173" s="1"/>
  <c r="P173" s="1"/>
  <c r="J173"/>
  <c r="H173"/>
  <c r="M172"/>
  <c r="O172" s="1"/>
  <c r="P172" s="1"/>
  <c r="J172"/>
  <c r="H172"/>
  <c r="M171"/>
  <c r="O171" s="1"/>
  <c r="P171" s="1"/>
  <c r="J171"/>
  <c r="H171"/>
  <c r="M170"/>
  <c r="O170" s="1"/>
  <c r="D170"/>
  <c r="M169"/>
  <c r="D169"/>
  <c r="J169" s="1"/>
  <c r="M168"/>
  <c r="O168" s="1"/>
  <c r="P168" s="1"/>
  <c r="D168"/>
  <c r="M167"/>
  <c r="O167" s="1"/>
  <c r="D167"/>
  <c r="J167" s="1"/>
  <c r="M166"/>
  <c r="O166" s="1"/>
  <c r="D166"/>
  <c r="M165"/>
  <c r="D165"/>
  <c r="J165" s="1"/>
  <c r="M164"/>
  <c r="O164" s="1"/>
  <c r="P164" s="1"/>
  <c r="J164"/>
  <c r="H164"/>
  <c r="M163"/>
  <c r="O163" s="1"/>
  <c r="P163" s="1"/>
  <c r="J163"/>
  <c r="H163"/>
  <c r="M162"/>
  <c r="O162" s="1"/>
  <c r="P162" s="1"/>
  <c r="J162"/>
  <c r="H162"/>
  <c r="M161"/>
  <c r="O161" s="1"/>
  <c r="P161" s="1"/>
  <c r="J161"/>
  <c r="H161"/>
  <c r="M160"/>
  <c r="O160" s="1"/>
  <c r="P160" s="1"/>
  <c r="J160"/>
  <c r="H160"/>
  <c r="M159"/>
  <c r="O159" s="1"/>
  <c r="P159" s="1"/>
  <c r="J159"/>
  <c r="H159"/>
  <c r="M158"/>
  <c r="O158" s="1"/>
  <c r="P158" s="1"/>
  <c r="J158"/>
  <c r="H158"/>
  <c r="M157"/>
  <c r="O157" s="1"/>
  <c r="P157" s="1"/>
  <c r="J157"/>
  <c r="H157"/>
  <c r="M156"/>
  <c r="O156" s="1"/>
  <c r="P156" s="1"/>
  <c r="J156"/>
  <c r="H156"/>
  <c r="M155"/>
  <c r="O155" s="1"/>
  <c r="P155" s="1"/>
  <c r="J155"/>
  <c r="H155"/>
  <c r="M154"/>
  <c r="O154" s="1"/>
  <c r="P154" s="1"/>
  <c r="J154"/>
  <c r="H154"/>
  <c r="M153"/>
  <c r="O153" s="1"/>
  <c r="P153" s="1"/>
  <c r="J153"/>
  <c r="H153"/>
  <c r="M152"/>
  <c r="O152" s="1"/>
  <c r="P152" s="1"/>
  <c r="J152"/>
  <c r="H152"/>
  <c r="M151"/>
  <c r="O151" s="1"/>
  <c r="P151" s="1"/>
  <c r="J151"/>
  <c r="H151"/>
  <c r="M150"/>
  <c r="O150" s="1"/>
  <c r="P150" s="1"/>
  <c r="J150"/>
  <c r="H150"/>
  <c r="M149"/>
  <c r="O149" s="1"/>
  <c r="D149"/>
  <c r="M148"/>
  <c r="D148"/>
  <c r="J148" s="1"/>
  <c r="M147"/>
  <c r="O147" s="1"/>
  <c r="D147"/>
  <c r="M146"/>
  <c r="O146" s="1"/>
  <c r="D146"/>
  <c r="J146" s="1"/>
  <c r="M145"/>
  <c r="O145" s="1"/>
  <c r="D145"/>
  <c r="M144"/>
  <c r="D144"/>
  <c r="J144" s="1"/>
  <c r="M143"/>
  <c r="O143" s="1"/>
  <c r="D143"/>
  <c r="J143" s="1"/>
  <c r="M142"/>
  <c r="O142" s="1"/>
  <c r="D142"/>
  <c r="J142" s="1"/>
  <c r="M141"/>
  <c r="O141" s="1"/>
  <c r="D141"/>
  <c r="M140"/>
  <c r="D140"/>
  <c r="J140" s="1"/>
  <c r="M139"/>
  <c r="O139" s="1"/>
  <c r="D139"/>
  <c r="J139" s="1"/>
  <c r="M138"/>
  <c r="O138" s="1"/>
  <c r="D138"/>
  <c r="J138" s="1"/>
  <c r="M137"/>
  <c r="O137" s="1"/>
  <c r="D137"/>
  <c r="M136"/>
  <c r="D136"/>
  <c r="J136" s="1"/>
  <c r="M135"/>
  <c r="O135" s="1"/>
  <c r="D135"/>
  <c r="J135" s="1"/>
  <c r="M134"/>
  <c r="O134" s="1"/>
  <c r="P134" s="1"/>
  <c r="J134"/>
  <c r="H134"/>
  <c r="M133"/>
  <c r="D133"/>
  <c r="J133" s="1"/>
  <c r="M132"/>
  <c r="O132" s="1"/>
  <c r="D132"/>
  <c r="J132" s="1"/>
  <c r="M131"/>
  <c r="O131" s="1"/>
  <c r="D131"/>
  <c r="H131" s="1"/>
  <c r="M130"/>
  <c r="O130" s="1"/>
  <c r="D130"/>
  <c r="M129"/>
  <c r="D129"/>
  <c r="J129" s="1"/>
  <c r="M128"/>
  <c r="O128" s="1"/>
  <c r="D128"/>
  <c r="J128" s="1"/>
  <c r="M127"/>
  <c r="O127" s="1"/>
  <c r="P127" s="1"/>
  <c r="J127"/>
  <c r="H127"/>
  <c r="M126"/>
  <c r="N126" s="1"/>
  <c r="J126"/>
  <c r="H126"/>
  <c r="M125"/>
  <c r="O125" s="1"/>
  <c r="P125" s="1"/>
  <c r="J125"/>
  <c r="H125"/>
  <c r="M124"/>
  <c r="N124" s="1"/>
  <c r="J124"/>
  <c r="H124"/>
  <c r="M123"/>
  <c r="O123" s="1"/>
  <c r="P123" s="1"/>
  <c r="J123"/>
  <c r="H123"/>
  <c r="M122"/>
  <c r="N122" s="1"/>
  <c r="J122"/>
  <c r="H122"/>
  <c r="M121"/>
  <c r="O121" s="1"/>
  <c r="P121" s="1"/>
  <c r="J121"/>
  <c r="H121"/>
  <c r="M120"/>
  <c r="O120" s="1"/>
  <c r="D120"/>
  <c r="J120" s="1"/>
  <c r="M119"/>
  <c r="O119" s="1"/>
  <c r="D119"/>
  <c r="J119" s="1"/>
  <c r="M118"/>
  <c r="O118" s="1"/>
  <c r="D118"/>
  <c r="J118" s="1"/>
  <c r="M117"/>
  <c r="O117" s="1"/>
  <c r="D117"/>
  <c r="M116"/>
  <c r="D116"/>
  <c r="J116" s="1"/>
  <c r="M115"/>
  <c r="O115" s="1"/>
  <c r="P115" s="1"/>
  <c r="J115"/>
  <c r="H115"/>
  <c r="M114"/>
  <c r="O114" s="1"/>
  <c r="P114" s="1"/>
  <c r="J114"/>
  <c r="H114"/>
  <c r="M113"/>
  <c r="O113" s="1"/>
  <c r="P113" s="1"/>
  <c r="J113"/>
  <c r="H113"/>
  <c r="M112"/>
  <c r="O112" s="1"/>
  <c r="P112" s="1"/>
  <c r="J112"/>
  <c r="H112"/>
  <c r="M111"/>
  <c r="O111" s="1"/>
  <c r="P111" s="1"/>
  <c r="J111"/>
  <c r="H111"/>
  <c r="M110"/>
  <c r="O110" s="1"/>
  <c r="P110" s="1"/>
  <c r="J110"/>
  <c r="H110"/>
  <c r="M109"/>
  <c r="O109" s="1"/>
  <c r="P109" s="1"/>
  <c r="J109"/>
  <c r="H109"/>
  <c r="M108"/>
  <c r="O108" s="1"/>
  <c r="P108" s="1"/>
  <c r="J108"/>
  <c r="H108"/>
  <c r="M107"/>
  <c r="O107" s="1"/>
  <c r="P107" s="1"/>
  <c r="J107"/>
  <c r="H107"/>
  <c r="M106"/>
  <c r="O106" s="1"/>
  <c r="P106" s="1"/>
  <c r="J106"/>
  <c r="H106"/>
  <c r="M105"/>
  <c r="O105" s="1"/>
  <c r="P105" s="1"/>
  <c r="J105"/>
  <c r="H105"/>
  <c r="M104"/>
  <c r="O104" s="1"/>
  <c r="P104" s="1"/>
  <c r="J104"/>
  <c r="H104"/>
  <c r="M103"/>
  <c r="O103" s="1"/>
  <c r="P103" s="1"/>
  <c r="J103"/>
  <c r="H103"/>
  <c r="M102"/>
  <c r="O102" s="1"/>
  <c r="D102"/>
  <c r="N102" s="1"/>
  <c r="M101"/>
  <c r="D101"/>
  <c r="J101" s="1"/>
  <c r="M100"/>
  <c r="O100" s="1"/>
  <c r="P100" s="1"/>
  <c r="D100"/>
  <c r="M99"/>
  <c r="O99" s="1"/>
  <c r="D99"/>
  <c r="J99" s="1"/>
  <c r="M98"/>
  <c r="O98" s="1"/>
  <c r="D98"/>
  <c r="M97"/>
  <c r="D97"/>
  <c r="J97" s="1"/>
  <c r="M96"/>
  <c r="O96" s="1"/>
  <c r="D96"/>
  <c r="M95"/>
  <c r="O95" s="1"/>
  <c r="D95"/>
  <c r="J95" s="1"/>
  <c r="M94"/>
  <c r="O94" s="1"/>
  <c r="D94"/>
  <c r="M93"/>
  <c r="D93"/>
  <c r="J93" s="1"/>
  <c r="M92"/>
  <c r="O92" s="1"/>
  <c r="P92" s="1"/>
  <c r="D92"/>
  <c r="J92" s="1"/>
  <c r="M91"/>
  <c r="O91" s="1"/>
  <c r="D91"/>
  <c r="J91" s="1"/>
  <c r="M90"/>
  <c r="O90" s="1"/>
  <c r="D90"/>
  <c r="M89"/>
  <c r="D89"/>
  <c r="J89" s="1"/>
  <c r="M88"/>
  <c r="O88" s="1"/>
  <c r="P88" s="1"/>
  <c r="J88"/>
  <c r="H88"/>
  <c r="M87"/>
  <c r="O87" s="1"/>
  <c r="D87"/>
  <c r="N87" s="1"/>
  <c r="M86"/>
  <c r="D86"/>
  <c r="J86" s="1"/>
  <c r="M85"/>
  <c r="O85" s="1"/>
  <c r="D85"/>
  <c r="M84"/>
  <c r="O84" s="1"/>
  <c r="D84"/>
  <c r="J84" s="1"/>
  <c r="M83"/>
  <c r="O83" s="1"/>
  <c r="D83"/>
  <c r="M82"/>
  <c r="N82" s="1"/>
  <c r="J82"/>
  <c r="H82"/>
  <c r="M81"/>
  <c r="O81" s="1"/>
  <c r="D81"/>
  <c r="J81" s="1"/>
  <c r="M80"/>
  <c r="O80" s="1"/>
  <c r="D80"/>
  <c r="M79"/>
  <c r="H79"/>
  <c r="D79"/>
  <c r="J79" s="1"/>
  <c r="M78"/>
  <c r="O78" s="1"/>
  <c r="D78"/>
  <c r="N78" s="1"/>
  <c r="M77"/>
  <c r="O77" s="1"/>
  <c r="D77"/>
  <c r="J77" s="1"/>
  <c r="M76"/>
  <c r="O76" s="1"/>
  <c r="D76"/>
  <c r="M75"/>
  <c r="D75"/>
  <c r="H75" s="1"/>
  <c r="M74"/>
  <c r="O74" s="1"/>
  <c r="D74"/>
  <c r="M73"/>
  <c r="O73" s="1"/>
  <c r="D73"/>
  <c r="J73" s="1"/>
  <c r="M72"/>
  <c r="O72" s="1"/>
  <c r="D72"/>
  <c r="N72" s="1"/>
  <c r="M71"/>
  <c r="D71"/>
  <c r="H71" s="1"/>
  <c r="M70"/>
  <c r="O70" s="1"/>
  <c r="D70"/>
  <c r="N70" s="1"/>
  <c r="M69"/>
  <c r="O69" s="1"/>
  <c r="D69"/>
  <c r="J69" s="1"/>
  <c r="M68"/>
  <c r="O68" s="1"/>
  <c r="P68" s="1"/>
  <c r="J68"/>
  <c r="H68"/>
  <c r="M67"/>
  <c r="O67" s="1"/>
  <c r="D67"/>
  <c r="M66"/>
  <c r="O66" s="1"/>
  <c r="D66"/>
  <c r="J66" s="1"/>
  <c r="M65"/>
  <c r="O65" s="1"/>
  <c r="D65"/>
  <c r="M64"/>
  <c r="D64"/>
  <c r="J64" s="1"/>
  <c r="M63"/>
  <c r="O63" s="1"/>
  <c r="D63"/>
  <c r="M62"/>
  <c r="O62" s="1"/>
  <c r="P62" s="1"/>
  <c r="J62"/>
  <c r="H62"/>
  <c r="M61"/>
  <c r="O61" s="1"/>
  <c r="H61"/>
  <c r="D61"/>
  <c r="J61" s="1"/>
  <c r="M60"/>
  <c r="O60" s="1"/>
  <c r="D60"/>
  <c r="J60" s="1"/>
  <c r="M59"/>
  <c r="O59" s="1"/>
  <c r="P59" s="1"/>
  <c r="J59"/>
  <c r="H59"/>
  <c r="M58"/>
  <c r="N58" s="1"/>
  <c r="J58"/>
  <c r="H58"/>
  <c r="M56"/>
  <c r="O56" s="1"/>
  <c r="P56" s="1"/>
  <c r="J56"/>
  <c r="H56"/>
  <c r="N55"/>
  <c r="M55"/>
  <c r="O55" s="1"/>
  <c r="P55" s="1"/>
  <c r="J55"/>
  <c r="H55"/>
  <c r="M54"/>
  <c r="O54" s="1"/>
  <c r="P54" s="1"/>
  <c r="D54"/>
  <c r="J54" s="1"/>
  <c r="M53"/>
  <c r="O53" s="1"/>
  <c r="D53"/>
  <c r="J53" s="1"/>
  <c r="O52"/>
  <c r="M52"/>
  <c r="D52"/>
  <c r="M51"/>
  <c r="O51" s="1"/>
  <c r="D51"/>
  <c r="J51" s="1"/>
  <c r="M50"/>
  <c r="O50" s="1"/>
  <c r="D50"/>
  <c r="J50" s="1"/>
  <c r="M49"/>
  <c r="O49" s="1"/>
  <c r="D49"/>
  <c r="H49" s="1"/>
  <c r="M48"/>
  <c r="O48" s="1"/>
  <c r="D48"/>
  <c r="M47"/>
  <c r="N47" s="1"/>
  <c r="J47"/>
  <c r="H47"/>
  <c r="M46"/>
  <c r="O46" s="1"/>
  <c r="P46" s="1"/>
  <c r="J46"/>
  <c r="H46"/>
  <c r="Y45"/>
  <c r="M45"/>
  <c r="O45" s="1"/>
  <c r="D45"/>
  <c r="M44"/>
  <c r="J44"/>
  <c r="M40"/>
  <c r="D40"/>
  <c r="J40" s="1"/>
  <c r="M39"/>
  <c r="O39" s="1"/>
  <c r="D39"/>
  <c r="O38"/>
  <c r="M38"/>
  <c r="D38"/>
  <c r="J38" s="1"/>
  <c r="M37"/>
  <c r="O37" s="1"/>
  <c r="D37"/>
  <c r="N37" s="1"/>
  <c r="M35"/>
  <c r="O35" s="1"/>
  <c r="P35" s="1"/>
  <c r="J35"/>
  <c r="H35"/>
  <c r="M34"/>
  <c r="O34" s="1"/>
  <c r="P34" s="1"/>
  <c r="J34"/>
  <c r="H34"/>
  <c r="M33"/>
  <c r="O33" s="1"/>
  <c r="P33" s="1"/>
  <c r="J33"/>
  <c r="H33"/>
  <c r="M32"/>
  <c r="O32" s="1"/>
  <c r="P32" s="1"/>
  <c r="J32"/>
  <c r="H32"/>
  <c r="M31"/>
  <c r="O31" s="1"/>
  <c r="P31" s="1"/>
  <c r="J31"/>
  <c r="H31"/>
  <c r="M30"/>
  <c r="O30" s="1"/>
  <c r="P30" s="1"/>
  <c r="J30"/>
  <c r="H30"/>
  <c r="M29"/>
  <c r="O29" s="1"/>
  <c r="P29" s="1"/>
  <c r="J29"/>
  <c r="H29"/>
  <c r="M28"/>
  <c r="O28" s="1"/>
  <c r="D28"/>
  <c r="M27"/>
  <c r="O27" s="1"/>
  <c r="D27"/>
  <c r="J27" s="1"/>
  <c r="M26"/>
  <c r="O26" s="1"/>
  <c r="P26" s="1"/>
  <c r="J26"/>
  <c r="H26"/>
  <c r="M25"/>
  <c r="O25" s="1"/>
  <c r="D25"/>
  <c r="M24"/>
  <c r="O24" s="1"/>
  <c r="D24"/>
  <c r="J24" s="1"/>
  <c r="N23"/>
  <c r="M23"/>
  <c r="O23" s="1"/>
  <c r="P23" s="1"/>
  <c r="J23"/>
  <c r="H23"/>
  <c r="O22"/>
  <c r="M22"/>
  <c r="D22"/>
  <c r="M21"/>
  <c r="O21" s="1"/>
  <c r="D21"/>
  <c r="J21" s="1"/>
  <c r="M20"/>
  <c r="O20" s="1"/>
  <c r="P20" s="1"/>
  <c r="J20"/>
  <c r="H20"/>
  <c r="M19"/>
  <c r="O19" s="1"/>
  <c r="D19"/>
  <c r="M18"/>
  <c r="O18" s="1"/>
  <c r="D18"/>
  <c r="J18" s="1"/>
  <c r="M17"/>
  <c r="O17" s="1"/>
  <c r="D17"/>
  <c r="D16"/>
  <c r="N15"/>
  <c r="M15"/>
  <c r="O15" s="1"/>
  <c r="P15" s="1"/>
  <c r="J15"/>
  <c r="M14"/>
  <c r="O14" s="1"/>
  <c r="D14"/>
  <c r="J14" s="1"/>
  <c r="O13"/>
  <c r="M13"/>
  <c r="D13"/>
  <c r="J13" s="1"/>
  <c r="M12"/>
  <c r="O12" s="1"/>
  <c r="P12" s="1"/>
  <c r="J12"/>
  <c r="M11"/>
  <c r="O11" s="1"/>
  <c r="D11"/>
  <c r="M10"/>
  <c r="O10" s="1"/>
  <c r="D10"/>
  <c r="J10" s="1"/>
  <c r="M9"/>
  <c r="N9" s="1"/>
  <c r="J9"/>
  <c r="M8"/>
  <c r="O8" s="1"/>
  <c r="D8"/>
  <c r="J8" s="1"/>
  <c r="M7"/>
  <c r="O7" s="1"/>
  <c r="D7"/>
  <c r="J7" s="1"/>
  <c r="M6"/>
  <c r="N6" s="1"/>
  <c r="J6"/>
  <c r="E15" i="27"/>
  <c r="G5" i="30"/>
  <c r="H5" s="1"/>
  <c r="I5" s="1"/>
  <c r="F1138" i="31"/>
  <c r="F1137"/>
  <c r="F1136"/>
  <c r="F1135"/>
  <c r="F1134"/>
  <c r="F1133"/>
  <c r="H1132"/>
  <c r="F1132"/>
  <c r="H1131"/>
  <c r="F1131"/>
  <c r="H1130"/>
  <c r="F1130"/>
  <c r="H1129"/>
  <c r="F1129"/>
  <c r="H1128"/>
  <c r="F1128"/>
  <c r="H1127"/>
  <c r="F1127"/>
  <c r="H1126"/>
  <c r="F1126"/>
  <c r="H1125"/>
  <c r="F1125"/>
  <c r="H1124"/>
  <c r="F1124"/>
  <c r="H1123"/>
  <c r="F1123"/>
  <c r="H1122"/>
  <c r="F1122"/>
  <c r="H1121"/>
  <c r="F1121"/>
  <c r="H1120"/>
  <c r="F1120"/>
  <c r="H1119"/>
  <c r="F1119"/>
  <c r="H1118"/>
  <c r="F1118"/>
  <c r="H1117"/>
  <c r="F1117"/>
  <c r="H1116"/>
  <c r="F1116"/>
  <c r="H1115"/>
  <c r="F1115"/>
  <c r="H1114"/>
  <c r="F1114"/>
  <c r="H1113"/>
  <c r="F1113"/>
  <c r="M1112"/>
  <c r="N1112" s="1"/>
  <c r="H1112"/>
  <c r="F1112"/>
  <c r="M1111"/>
  <c r="N1111" s="1"/>
  <c r="H1111"/>
  <c r="F1111"/>
  <c r="M1110"/>
  <c r="C1110"/>
  <c r="M1109"/>
  <c r="C1109"/>
  <c r="H1109" s="1"/>
  <c r="M1108"/>
  <c r="C1108"/>
  <c r="F1108" s="1"/>
  <c r="M1107"/>
  <c r="C1107"/>
  <c r="H1107" s="1"/>
  <c r="M1106"/>
  <c r="C1106"/>
  <c r="M1105"/>
  <c r="C1105"/>
  <c r="F1105" s="1"/>
  <c r="M1104"/>
  <c r="C1104"/>
  <c r="F1104" s="1"/>
  <c r="M1103"/>
  <c r="C1103"/>
  <c r="H1103" s="1"/>
  <c r="M1102"/>
  <c r="C1102"/>
  <c r="F1102" s="1"/>
  <c r="M1101"/>
  <c r="C1101"/>
  <c r="H1101" s="1"/>
  <c r="M1100"/>
  <c r="C1100"/>
  <c r="F1100" s="1"/>
  <c r="M1099"/>
  <c r="M1098"/>
  <c r="C1098"/>
  <c r="M1097"/>
  <c r="C1097"/>
  <c r="H1097" s="1"/>
  <c r="M1096"/>
  <c r="C1096"/>
  <c r="F1096" s="1"/>
  <c r="M1095"/>
  <c r="C1095"/>
  <c r="F1095" s="1"/>
  <c r="M1094"/>
  <c r="C1094"/>
  <c r="M1093"/>
  <c r="C1093"/>
  <c r="H1093" s="1"/>
  <c r="M1092"/>
  <c r="C1092"/>
  <c r="F1092" s="1"/>
  <c r="M1091"/>
  <c r="C1091"/>
  <c r="H1091" s="1"/>
  <c r="M1090"/>
  <c r="C1090"/>
  <c r="H1090" s="1"/>
  <c r="M1089"/>
  <c r="C1089"/>
  <c r="H1089" s="1"/>
  <c r="M1088"/>
  <c r="C1088"/>
  <c r="H1088" s="1"/>
  <c r="M1087"/>
  <c r="C1087"/>
  <c r="H1087" s="1"/>
  <c r="M1086"/>
  <c r="C1086"/>
  <c r="H1086" s="1"/>
  <c r="M1085"/>
  <c r="C1085"/>
  <c r="H1085" s="1"/>
  <c r="M1084"/>
  <c r="C1084"/>
  <c r="M1083"/>
  <c r="C1083"/>
  <c r="H1083" s="1"/>
  <c r="M1082"/>
  <c r="C1082"/>
  <c r="M1081"/>
  <c r="C1081"/>
  <c r="H1081" s="1"/>
  <c r="M1080"/>
  <c r="C1080"/>
  <c r="M1079"/>
  <c r="C1079"/>
  <c r="H1079" s="1"/>
  <c r="M1078"/>
  <c r="C1078"/>
  <c r="M1077"/>
  <c r="C1077"/>
  <c r="H1077" s="1"/>
  <c r="M1076"/>
  <c r="C1076"/>
  <c r="M1075"/>
  <c r="C1075"/>
  <c r="H1075" s="1"/>
  <c r="M1074"/>
  <c r="C1074"/>
  <c r="M1073"/>
  <c r="C1073"/>
  <c r="H1073" s="1"/>
  <c r="M1072"/>
  <c r="C1072"/>
  <c r="M1071"/>
  <c r="C1071"/>
  <c r="H1071" s="1"/>
  <c r="M1070"/>
  <c r="C1070"/>
  <c r="M1069"/>
  <c r="C1069"/>
  <c r="H1069" s="1"/>
  <c r="M1068"/>
  <c r="C1068"/>
  <c r="M1067"/>
  <c r="C1067"/>
  <c r="H1067" s="1"/>
  <c r="M1066"/>
  <c r="C1066"/>
  <c r="M1065"/>
  <c r="C1065"/>
  <c r="H1065" s="1"/>
  <c r="M1064"/>
  <c r="C1064"/>
  <c r="M1063"/>
  <c r="C1063"/>
  <c r="H1063" s="1"/>
  <c r="M1062"/>
  <c r="C1062"/>
  <c r="M1061"/>
  <c r="C1061"/>
  <c r="H1061" s="1"/>
  <c r="M1060"/>
  <c r="C1060"/>
  <c r="M1059"/>
  <c r="C1059"/>
  <c r="H1059" s="1"/>
  <c r="M1058"/>
  <c r="C1058"/>
  <c r="M1057"/>
  <c r="C1057"/>
  <c r="H1057" s="1"/>
  <c r="M1056"/>
  <c r="C1056"/>
  <c r="M1055"/>
  <c r="C1055"/>
  <c r="H1055" s="1"/>
  <c r="M1054"/>
  <c r="C1054"/>
  <c r="M1053"/>
  <c r="C1053"/>
  <c r="H1053" s="1"/>
  <c r="M1052"/>
  <c r="C1052"/>
  <c r="M1051"/>
  <c r="C1051"/>
  <c r="H1051" s="1"/>
  <c r="M1050"/>
  <c r="C1050"/>
  <c r="M1049"/>
  <c r="C1049"/>
  <c r="H1049" s="1"/>
  <c r="M1048"/>
  <c r="C1048"/>
  <c r="M1047"/>
  <c r="C1047"/>
  <c r="H1047" s="1"/>
  <c r="M1046"/>
  <c r="C1046"/>
  <c r="M1045"/>
  <c r="C1045"/>
  <c r="H1045" s="1"/>
  <c r="M1044"/>
  <c r="C1044"/>
  <c r="M1043"/>
  <c r="C1043"/>
  <c r="H1043" s="1"/>
  <c r="M1042"/>
  <c r="C1042"/>
  <c r="M1041"/>
  <c r="C1041"/>
  <c r="H1041" s="1"/>
  <c r="M1040"/>
  <c r="C1040"/>
  <c r="M1039"/>
  <c r="C1039"/>
  <c r="H1039" s="1"/>
  <c r="M1038"/>
  <c r="C1038"/>
  <c r="M1037"/>
  <c r="C1037"/>
  <c r="H1037" s="1"/>
  <c r="M1036"/>
  <c r="C1036"/>
  <c r="M1035"/>
  <c r="C1035"/>
  <c r="H1035" s="1"/>
  <c r="M1034"/>
  <c r="C1034"/>
  <c r="M1033"/>
  <c r="C1033"/>
  <c r="H1033" s="1"/>
  <c r="M1032"/>
  <c r="C1032"/>
  <c r="M1031"/>
  <c r="C1031"/>
  <c r="H1031" s="1"/>
  <c r="B1031"/>
  <c r="M1030"/>
  <c r="C1030"/>
  <c r="M1029"/>
  <c r="C1029"/>
  <c r="M1028"/>
  <c r="C1028"/>
  <c r="M1027"/>
  <c r="C1027"/>
  <c r="M1026"/>
  <c r="C1026"/>
  <c r="M1025"/>
  <c r="C1025"/>
  <c r="F1025" s="1"/>
  <c r="M1024"/>
  <c r="C1024"/>
  <c r="M1023"/>
  <c r="C1023"/>
  <c r="M1022"/>
  <c r="N1022" s="1"/>
  <c r="H1022"/>
  <c r="F1022"/>
  <c r="M1021"/>
  <c r="N1021" s="1"/>
  <c r="H1021"/>
  <c r="F1021"/>
  <c r="M1020"/>
  <c r="N1020" s="1"/>
  <c r="H1020"/>
  <c r="F1020"/>
  <c r="M1019"/>
  <c r="N1019" s="1"/>
  <c r="H1019"/>
  <c r="F1019"/>
  <c r="M1018"/>
  <c r="C1018"/>
  <c r="M1017"/>
  <c r="C1017"/>
  <c r="M1016"/>
  <c r="C1016"/>
  <c r="M1015"/>
  <c r="H1015"/>
  <c r="F1015"/>
  <c r="M1014"/>
  <c r="H1014"/>
  <c r="F1014"/>
  <c r="M1013"/>
  <c r="N1013" s="1"/>
  <c r="H1013"/>
  <c r="F1013"/>
  <c r="C1012"/>
  <c r="D1011"/>
  <c r="B1011"/>
  <c r="A1011"/>
  <c r="D1010"/>
  <c r="B1010"/>
  <c r="A1010"/>
  <c r="D1009"/>
  <c r="B1009"/>
  <c r="A1009"/>
  <c r="D1008"/>
  <c r="B1008"/>
  <c r="K1007"/>
  <c r="D1007"/>
  <c r="B1007"/>
  <c r="K1006"/>
  <c r="L1006" s="1"/>
  <c r="B1006"/>
  <c r="A1006"/>
  <c r="K1005"/>
  <c r="M1005" s="1"/>
  <c r="N1005" s="1"/>
  <c r="K1004"/>
  <c r="D1004"/>
  <c r="B1004"/>
  <c r="A1004"/>
  <c r="K1003"/>
  <c r="D1003"/>
  <c r="B1003"/>
  <c r="A1003"/>
  <c r="K1002"/>
  <c r="D1002"/>
  <c r="B1002"/>
  <c r="A1002"/>
  <c r="K1001"/>
  <c r="D1001"/>
  <c r="B1001"/>
  <c r="A1001"/>
  <c r="K1000"/>
  <c r="D1000"/>
  <c r="B1000"/>
  <c r="A1000"/>
  <c r="K999"/>
  <c r="D999"/>
  <c r="B999"/>
  <c r="A999"/>
  <c r="K998"/>
  <c r="D998"/>
  <c r="B998"/>
  <c r="A998"/>
  <c r="K997"/>
  <c r="D997"/>
  <c r="B997"/>
  <c r="A997"/>
  <c r="K996"/>
  <c r="D996"/>
  <c r="B996"/>
  <c r="K995"/>
  <c r="M995" s="1"/>
  <c r="N995" s="1"/>
  <c r="B995"/>
  <c r="A995"/>
  <c r="K994"/>
  <c r="D994"/>
  <c r="B994"/>
  <c r="A994"/>
  <c r="K993"/>
  <c r="D993"/>
  <c r="C993"/>
  <c r="B993"/>
  <c r="A993"/>
  <c r="D992"/>
  <c r="B992"/>
  <c r="A992"/>
  <c r="D991"/>
  <c r="B991"/>
  <c r="A991"/>
  <c r="D990"/>
  <c r="B990"/>
  <c r="A990"/>
  <c r="D989"/>
  <c r="B989"/>
  <c r="A989"/>
  <c r="D988"/>
  <c r="B988"/>
  <c r="A988"/>
  <c r="D987"/>
  <c r="B987"/>
  <c r="K986"/>
  <c r="M986" s="1"/>
  <c r="N986" s="1"/>
  <c r="B986"/>
  <c r="A986"/>
  <c r="K985"/>
  <c r="D985"/>
  <c r="B985"/>
  <c r="A985"/>
  <c r="K984"/>
  <c r="D984"/>
  <c r="B984"/>
  <c r="D983"/>
  <c r="B983"/>
  <c r="K982"/>
  <c r="M982" s="1"/>
  <c r="N982" s="1"/>
  <c r="B982"/>
  <c r="A982"/>
  <c r="K981"/>
  <c r="M981" s="1"/>
  <c r="N981" s="1"/>
  <c r="D981"/>
  <c r="B981"/>
  <c r="A981"/>
  <c r="K980"/>
  <c r="L980" s="1"/>
  <c r="D979"/>
  <c r="B979"/>
  <c r="D978"/>
  <c r="B978"/>
  <c r="D977"/>
  <c r="B977"/>
  <c r="D976"/>
  <c r="B976"/>
  <c r="D975"/>
  <c r="B975"/>
  <c r="D974"/>
  <c r="B974"/>
  <c r="D973"/>
  <c r="B973"/>
  <c r="D972"/>
  <c r="B972"/>
  <c r="D971"/>
  <c r="B971"/>
  <c r="D970"/>
  <c r="B970"/>
  <c r="D969"/>
  <c r="B969"/>
  <c r="D968"/>
  <c r="B968"/>
  <c r="K967"/>
  <c r="L967" s="1"/>
  <c r="J967"/>
  <c r="B967"/>
  <c r="D966"/>
  <c r="B966"/>
  <c r="D965"/>
  <c r="B965"/>
  <c r="D964"/>
  <c r="B964"/>
  <c r="D963"/>
  <c r="B963"/>
  <c r="D962"/>
  <c r="B962"/>
  <c r="D961"/>
  <c r="B961"/>
  <c r="K960"/>
  <c r="L960" s="1"/>
  <c r="J960"/>
  <c r="B960"/>
  <c r="D959"/>
  <c r="C959"/>
  <c r="B959"/>
  <c r="D958"/>
  <c r="C958"/>
  <c r="B958"/>
  <c r="D957"/>
  <c r="C957"/>
  <c r="B957"/>
  <c r="K956"/>
  <c r="L956" s="1"/>
  <c r="J956"/>
  <c r="B956"/>
  <c r="D955"/>
  <c r="B955"/>
  <c r="D954"/>
  <c r="B954"/>
  <c r="D953"/>
  <c r="B953"/>
  <c r="K952"/>
  <c r="M952" s="1"/>
  <c r="N952" s="1"/>
  <c r="J952"/>
  <c r="B952"/>
  <c r="D951"/>
  <c r="B951"/>
  <c r="D950"/>
  <c r="C950"/>
  <c r="B950"/>
  <c r="D949"/>
  <c r="B949"/>
  <c r="A949"/>
  <c r="D948"/>
  <c r="B948"/>
  <c r="D947"/>
  <c r="B947"/>
  <c r="D946"/>
  <c r="B946"/>
  <c r="D945"/>
  <c r="B945"/>
  <c r="D944"/>
  <c r="B944"/>
  <c r="D943"/>
  <c r="B943"/>
  <c r="K942"/>
  <c r="L942" s="1"/>
  <c r="K941"/>
  <c r="D941"/>
  <c r="B941"/>
  <c r="A941"/>
  <c r="K940"/>
  <c r="D940"/>
  <c r="B940"/>
  <c r="A940"/>
  <c r="K939"/>
  <c r="D939"/>
  <c r="B939"/>
  <c r="A939"/>
  <c r="K938"/>
  <c r="D938"/>
  <c r="B938"/>
  <c r="A938"/>
  <c r="K937"/>
  <c r="D937"/>
  <c r="B937"/>
  <c r="A937"/>
  <c r="K936"/>
  <c r="D936"/>
  <c r="B936"/>
  <c r="A936"/>
  <c r="K935"/>
  <c r="D935"/>
  <c r="B935"/>
  <c r="D934"/>
  <c r="B934"/>
  <c r="K933"/>
  <c r="L933" s="1"/>
  <c r="B933"/>
  <c r="A933"/>
  <c r="K932"/>
  <c r="D932"/>
  <c r="B932"/>
  <c r="D931"/>
  <c r="B931"/>
  <c r="K930"/>
  <c r="L930" s="1"/>
  <c r="B930"/>
  <c r="A930"/>
  <c r="K929"/>
  <c r="M929" s="1"/>
  <c r="N929" s="1"/>
  <c r="K928"/>
  <c r="L928" s="1"/>
  <c r="H928"/>
  <c r="F928"/>
  <c r="D928"/>
  <c r="K927"/>
  <c r="M927" s="1"/>
  <c r="N927" s="1"/>
  <c r="H927"/>
  <c r="F927"/>
  <c r="K926"/>
  <c r="M926" s="1"/>
  <c r="N926" s="1"/>
  <c r="H926"/>
  <c r="F926"/>
  <c r="K925"/>
  <c r="M925" s="1"/>
  <c r="N925" s="1"/>
  <c r="H925"/>
  <c r="F925"/>
  <c r="K924"/>
  <c r="M924" s="1"/>
  <c r="C924"/>
  <c r="K923"/>
  <c r="L923" s="1"/>
  <c r="K922"/>
  <c r="C922"/>
  <c r="K921"/>
  <c r="M921" s="1"/>
  <c r="N921" s="1"/>
  <c r="K920"/>
  <c r="L920" s="1"/>
  <c r="K919"/>
  <c r="C919"/>
  <c r="K918"/>
  <c r="M918" s="1"/>
  <c r="C918"/>
  <c r="K917"/>
  <c r="C917"/>
  <c r="F917" s="1"/>
  <c r="K916"/>
  <c r="M916" s="1"/>
  <c r="C916"/>
  <c r="K915"/>
  <c r="L915" s="1"/>
  <c r="H915"/>
  <c r="F915"/>
  <c r="K914"/>
  <c r="C914"/>
  <c r="F913"/>
  <c r="K912"/>
  <c r="L912" s="1"/>
  <c r="F912"/>
  <c r="K911"/>
  <c r="M911" s="1"/>
  <c r="C911"/>
  <c r="K910"/>
  <c r="L910" s="1"/>
  <c r="H910"/>
  <c r="F910"/>
  <c r="K909"/>
  <c r="C909"/>
  <c r="K908"/>
  <c r="M908" s="1"/>
  <c r="C908"/>
  <c r="K907"/>
  <c r="C907"/>
  <c r="K906"/>
  <c r="M906" s="1"/>
  <c r="C906"/>
  <c r="K905"/>
  <c r="C905"/>
  <c r="K904"/>
  <c r="M904" s="1"/>
  <c r="C904"/>
  <c r="K903"/>
  <c r="C903"/>
  <c r="K902"/>
  <c r="M902" s="1"/>
  <c r="C902"/>
  <c r="K901"/>
  <c r="C901"/>
  <c r="K900"/>
  <c r="M900" s="1"/>
  <c r="C900"/>
  <c r="K899"/>
  <c r="C899"/>
  <c r="K898"/>
  <c r="M898" s="1"/>
  <c r="C898"/>
  <c r="K897"/>
  <c r="L897" s="1"/>
  <c r="H897"/>
  <c r="F897"/>
  <c r="K896"/>
  <c r="L896" s="1"/>
  <c r="H896"/>
  <c r="F896"/>
  <c r="K895"/>
  <c r="L895" s="1"/>
  <c r="H895"/>
  <c r="F895"/>
  <c r="K894"/>
  <c r="L894" s="1"/>
  <c r="H894"/>
  <c r="F894"/>
  <c r="K893"/>
  <c r="C893"/>
  <c r="K892"/>
  <c r="M892" s="1"/>
  <c r="C892"/>
  <c r="K891"/>
  <c r="C891"/>
  <c r="K890"/>
  <c r="M890" s="1"/>
  <c r="N890" s="1"/>
  <c r="H890"/>
  <c r="F890"/>
  <c r="K889"/>
  <c r="M889" s="1"/>
  <c r="C889"/>
  <c r="K888"/>
  <c r="M888" s="1"/>
  <c r="C888"/>
  <c r="K887"/>
  <c r="M887" s="1"/>
  <c r="C887"/>
  <c r="K886"/>
  <c r="C886"/>
  <c r="K885"/>
  <c r="M885" s="1"/>
  <c r="N885" s="1"/>
  <c r="H885"/>
  <c r="F885"/>
  <c r="K884"/>
  <c r="M884" s="1"/>
  <c r="C884"/>
  <c r="K883"/>
  <c r="L883" s="1"/>
  <c r="H883"/>
  <c r="F883"/>
  <c r="K882"/>
  <c r="M882" s="1"/>
  <c r="C882"/>
  <c r="K881"/>
  <c r="C881"/>
  <c r="K880"/>
  <c r="M880" s="1"/>
  <c r="C880"/>
  <c r="K879"/>
  <c r="M879" s="1"/>
  <c r="C879"/>
  <c r="K878"/>
  <c r="C878"/>
  <c r="K877"/>
  <c r="M877" s="1"/>
  <c r="C877"/>
  <c r="K876"/>
  <c r="L876" s="1"/>
  <c r="H876"/>
  <c r="F876"/>
  <c r="K875"/>
  <c r="C875"/>
  <c r="K874"/>
  <c r="M874" s="1"/>
  <c r="C874"/>
  <c r="H874" s="1"/>
  <c r="K873"/>
  <c r="C873"/>
  <c r="K872"/>
  <c r="M872" s="1"/>
  <c r="C872"/>
  <c r="K871"/>
  <c r="C871"/>
  <c r="K870"/>
  <c r="M870" s="1"/>
  <c r="C870"/>
  <c r="F870" s="1"/>
  <c r="K869"/>
  <c r="C869"/>
  <c r="K868"/>
  <c r="M868" s="1"/>
  <c r="C868"/>
  <c r="K867"/>
  <c r="C867"/>
  <c r="K866"/>
  <c r="M866" s="1"/>
  <c r="C866"/>
  <c r="H866" s="1"/>
  <c r="K865"/>
  <c r="C865"/>
  <c r="K864"/>
  <c r="M864" s="1"/>
  <c r="N864" s="1"/>
  <c r="H864"/>
  <c r="F864"/>
  <c r="K863"/>
  <c r="M863" s="1"/>
  <c r="C863"/>
  <c r="K862"/>
  <c r="M862" s="1"/>
  <c r="C862"/>
  <c r="K861"/>
  <c r="M861" s="1"/>
  <c r="C861"/>
  <c r="K860"/>
  <c r="M860" s="1"/>
  <c r="C860"/>
  <c r="K859"/>
  <c r="M859" s="1"/>
  <c r="C859"/>
  <c r="K858"/>
  <c r="M858" s="1"/>
  <c r="N858" s="1"/>
  <c r="H858"/>
  <c r="F858"/>
  <c r="K857"/>
  <c r="C857"/>
  <c r="K856"/>
  <c r="C856"/>
  <c r="K855"/>
  <c r="C855"/>
  <c r="H855" s="1"/>
  <c r="K854"/>
  <c r="C854"/>
  <c r="K853"/>
  <c r="L853" s="1"/>
  <c r="H853"/>
  <c r="F853"/>
  <c r="K852"/>
  <c r="L852" s="1"/>
  <c r="H852"/>
  <c r="F852"/>
  <c r="K851"/>
  <c r="L851" s="1"/>
  <c r="H851"/>
  <c r="F851"/>
  <c r="K850"/>
  <c r="L850" s="1"/>
  <c r="H850"/>
  <c r="F850"/>
  <c r="K849"/>
  <c r="L849" s="1"/>
  <c r="H849"/>
  <c r="F849"/>
  <c r="K848"/>
  <c r="M848" s="1"/>
  <c r="N848" s="1"/>
  <c r="H848"/>
  <c r="F848"/>
  <c r="C847"/>
  <c r="C846"/>
  <c r="K845"/>
  <c r="L845" s="1"/>
  <c r="H845"/>
  <c r="F845"/>
  <c r="K844"/>
  <c r="M844" s="1"/>
  <c r="C844"/>
  <c r="C843"/>
  <c r="K842"/>
  <c r="M842" s="1"/>
  <c r="C842"/>
  <c r="K841"/>
  <c r="C841"/>
  <c r="K840"/>
  <c r="M840" s="1"/>
  <c r="C840"/>
  <c r="K839"/>
  <c r="C839"/>
  <c r="K838"/>
  <c r="L838" s="1"/>
  <c r="H838"/>
  <c r="F838"/>
  <c r="K837"/>
  <c r="L837" s="1"/>
  <c r="H837"/>
  <c r="F837"/>
  <c r="K836"/>
  <c r="L836" s="1"/>
  <c r="H836"/>
  <c r="F836"/>
  <c r="K835"/>
  <c r="L835" s="1"/>
  <c r="H835"/>
  <c r="F835"/>
  <c r="K834"/>
  <c r="M834" s="1"/>
  <c r="C834"/>
  <c r="K833"/>
  <c r="C833"/>
  <c r="K832"/>
  <c r="M832" s="1"/>
  <c r="C832"/>
  <c r="K831"/>
  <c r="M831" s="1"/>
  <c r="C831"/>
  <c r="K830"/>
  <c r="M830" s="1"/>
  <c r="C830"/>
  <c r="K829"/>
  <c r="L829" s="1"/>
  <c r="H829"/>
  <c r="F829"/>
  <c r="K828"/>
  <c r="L828" s="1"/>
  <c r="H828"/>
  <c r="F828"/>
  <c r="K827"/>
  <c r="C827"/>
  <c r="K826"/>
  <c r="C826"/>
  <c r="K825"/>
  <c r="M825" s="1"/>
  <c r="N825" s="1"/>
  <c r="H825"/>
  <c r="F825"/>
  <c r="B825"/>
  <c r="K824"/>
  <c r="M824" s="1"/>
  <c r="C824"/>
  <c r="K823"/>
  <c r="C823"/>
  <c r="K822"/>
  <c r="C822"/>
  <c r="K821"/>
  <c r="M821" s="1"/>
  <c r="C821"/>
  <c r="K820"/>
  <c r="H820"/>
  <c r="F820"/>
  <c r="K819"/>
  <c r="C819"/>
  <c r="K818"/>
  <c r="L818" s="1"/>
  <c r="H818"/>
  <c r="F818"/>
  <c r="K817"/>
  <c r="L817" s="1"/>
  <c r="H817"/>
  <c r="F817"/>
  <c r="K816"/>
  <c r="C816"/>
  <c r="K815"/>
  <c r="M815" s="1"/>
  <c r="N815" s="1"/>
  <c r="H815"/>
  <c r="F815"/>
  <c r="K814"/>
  <c r="C814"/>
  <c r="K813"/>
  <c r="M813" s="1"/>
  <c r="C813"/>
  <c r="K812"/>
  <c r="M812" s="1"/>
  <c r="C812"/>
  <c r="K811"/>
  <c r="C811"/>
  <c r="K810"/>
  <c r="H810"/>
  <c r="F810"/>
  <c r="K809"/>
  <c r="M809" s="1"/>
  <c r="C809"/>
  <c r="K808"/>
  <c r="C808"/>
  <c r="K807"/>
  <c r="C807"/>
  <c r="K806"/>
  <c r="C806"/>
  <c r="K805"/>
  <c r="M805" s="1"/>
  <c r="N805" s="1"/>
  <c r="H805"/>
  <c r="F805"/>
  <c r="K804"/>
  <c r="M804" s="1"/>
  <c r="C804"/>
  <c r="K803"/>
  <c r="M803" s="1"/>
  <c r="C803"/>
  <c r="K802"/>
  <c r="M802" s="1"/>
  <c r="C802"/>
  <c r="K801"/>
  <c r="C801"/>
  <c r="K800"/>
  <c r="M800" s="1"/>
  <c r="C800"/>
  <c r="K799"/>
  <c r="M799" s="1"/>
  <c r="C799"/>
  <c r="K798"/>
  <c r="L798" s="1"/>
  <c r="H798"/>
  <c r="F798"/>
  <c r="K797"/>
  <c r="C797"/>
  <c r="K796"/>
  <c r="C796"/>
  <c r="K795"/>
  <c r="C795"/>
  <c r="K794"/>
  <c r="L794" s="1"/>
  <c r="H794"/>
  <c r="F794"/>
  <c r="K793"/>
  <c r="H793"/>
  <c r="F793"/>
  <c r="K792"/>
  <c r="H792"/>
  <c r="F792"/>
  <c r="K791"/>
  <c r="H791"/>
  <c r="F791"/>
  <c r="K790"/>
  <c r="H790"/>
  <c r="F790"/>
  <c r="K789"/>
  <c r="H789"/>
  <c r="F789"/>
  <c r="K788"/>
  <c r="C788"/>
  <c r="K787"/>
  <c r="M787" s="1"/>
  <c r="N787" s="1"/>
  <c r="H787"/>
  <c r="F787"/>
  <c r="K786"/>
  <c r="M786" s="1"/>
  <c r="N786" s="1"/>
  <c r="H786"/>
  <c r="F786"/>
  <c r="K785"/>
  <c r="M785" s="1"/>
  <c r="N785" s="1"/>
  <c r="H785"/>
  <c r="F785"/>
  <c r="K784"/>
  <c r="M784" s="1"/>
  <c r="N784" s="1"/>
  <c r="H784"/>
  <c r="F784"/>
  <c r="K783"/>
  <c r="M783" s="1"/>
  <c r="N783" s="1"/>
  <c r="H783"/>
  <c r="F783"/>
  <c r="K782"/>
  <c r="M782" s="1"/>
  <c r="N782" s="1"/>
  <c r="H782"/>
  <c r="F782"/>
  <c r="K781"/>
  <c r="M781" s="1"/>
  <c r="N781" s="1"/>
  <c r="H781"/>
  <c r="F781"/>
  <c r="K780"/>
  <c r="L780" s="1"/>
  <c r="H780"/>
  <c r="F780"/>
  <c r="K779"/>
  <c r="L779" s="1"/>
  <c r="H779"/>
  <c r="F779"/>
  <c r="K778"/>
  <c r="L778" s="1"/>
  <c r="H778"/>
  <c r="F778"/>
  <c r="K777"/>
  <c r="L777" s="1"/>
  <c r="H777"/>
  <c r="F777"/>
  <c r="K776"/>
  <c r="L776" s="1"/>
  <c r="H776"/>
  <c r="F776"/>
  <c r="K775"/>
  <c r="L775" s="1"/>
  <c r="H775"/>
  <c r="F775"/>
  <c r="K774"/>
  <c r="L774" s="1"/>
  <c r="H774"/>
  <c r="F774"/>
  <c r="K773"/>
  <c r="L773" s="1"/>
  <c r="H773"/>
  <c r="F773"/>
  <c r="K772"/>
  <c r="L772" s="1"/>
  <c r="H772"/>
  <c r="F772"/>
  <c r="K771"/>
  <c r="L771" s="1"/>
  <c r="H771"/>
  <c r="F771"/>
  <c r="K770"/>
  <c r="L770" s="1"/>
  <c r="H770"/>
  <c r="F770"/>
  <c r="K769"/>
  <c r="L769" s="1"/>
  <c r="H769"/>
  <c r="F769"/>
  <c r="K768"/>
  <c r="L768" s="1"/>
  <c r="H768"/>
  <c r="F768"/>
  <c r="K767"/>
  <c r="L767" s="1"/>
  <c r="H767"/>
  <c r="F767"/>
  <c r="K766"/>
  <c r="L766" s="1"/>
  <c r="H766"/>
  <c r="F766"/>
  <c r="K765"/>
  <c r="L765" s="1"/>
  <c r="H765"/>
  <c r="F765"/>
  <c r="K764"/>
  <c r="L764" s="1"/>
  <c r="H764"/>
  <c r="F764"/>
  <c r="K763"/>
  <c r="L763" s="1"/>
  <c r="H763"/>
  <c r="F763"/>
  <c r="K762"/>
  <c r="L762" s="1"/>
  <c r="H762"/>
  <c r="F762"/>
  <c r="K761"/>
  <c r="C761"/>
  <c r="K760"/>
  <c r="M760" s="1"/>
  <c r="C760"/>
  <c r="K759"/>
  <c r="C759"/>
  <c r="K758"/>
  <c r="M758" s="1"/>
  <c r="C758"/>
  <c r="K757"/>
  <c r="L757" s="1"/>
  <c r="H757"/>
  <c r="F757"/>
  <c r="K756"/>
  <c r="C756"/>
  <c r="K755"/>
  <c r="M755" s="1"/>
  <c r="C755"/>
  <c r="K754"/>
  <c r="M754" s="1"/>
  <c r="C754"/>
  <c r="K753"/>
  <c r="M753" s="1"/>
  <c r="C753"/>
  <c r="K752"/>
  <c r="C752"/>
  <c r="H752" s="1"/>
  <c r="K751"/>
  <c r="M751" s="1"/>
  <c r="C751"/>
  <c r="K750"/>
  <c r="M750" s="1"/>
  <c r="C750"/>
  <c r="K749"/>
  <c r="M749" s="1"/>
  <c r="C749"/>
  <c r="K748"/>
  <c r="C748"/>
  <c r="K747"/>
  <c r="L747" s="1"/>
  <c r="H747"/>
  <c r="F747"/>
  <c r="K746"/>
  <c r="L746" s="1"/>
  <c r="H746"/>
  <c r="F746"/>
  <c r="K745"/>
  <c r="M745" s="1"/>
  <c r="N745" s="1"/>
  <c r="H745"/>
  <c r="F745"/>
  <c r="K744"/>
  <c r="L744" s="1"/>
  <c r="H744"/>
  <c r="F744"/>
  <c r="K743"/>
  <c r="M743" s="1"/>
  <c r="N743" s="1"/>
  <c r="H743"/>
  <c r="F743"/>
  <c r="K742"/>
  <c r="M742" s="1"/>
  <c r="N742" s="1"/>
  <c r="H742"/>
  <c r="F742"/>
  <c r="K741"/>
  <c r="M741" s="1"/>
  <c r="N741" s="1"/>
  <c r="H741"/>
  <c r="F741"/>
  <c r="K740"/>
  <c r="M740" s="1"/>
  <c r="N740" s="1"/>
  <c r="H740"/>
  <c r="F740"/>
  <c r="K739"/>
  <c r="M739" s="1"/>
  <c r="N739" s="1"/>
  <c r="H739"/>
  <c r="F739"/>
  <c r="K738"/>
  <c r="M738" s="1"/>
  <c r="N738" s="1"/>
  <c r="H738"/>
  <c r="F738"/>
  <c r="K737"/>
  <c r="M737" s="1"/>
  <c r="N737" s="1"/>
  <c r="H737"/>
  <c r="F737"/>
  <c r="K736"/>
  <c r="M736" s="1"/>
  <c r="N736" s="1"/>
  <c r="H736"/>
  <c r="F736"/>
  <c r="K735"/>
  <c r="M735" s="1"/>
  <c r="N735" s="1"/>
  <c r="H735"/>
  <c r="F735"/>
  <c r="K734"/>
  <c r="M734" s="1"/>
  <c r="N734" s="1"/>
  <c r="H734"/>
  <c r="F734"/>
  <c r="K733"/>
  <c r="M733" s="1"/>
  <c r="N733" s="1"/>
  <c r="H733"/>
  <c r="F733"/>
  <c r="K732"/>
  <c r="M732" s="1"/>
  <c r="N732" s="1"/>
  <c r="H732"/>
  <c r="F732"/>
  <c r="K731"/>
  <c r="M731" s="1"/>
  <c r="N731" s="1"/>
  <c r="H731"/>
  <c r="F731"/>
  <c r="K730"/>
  <c r="M730" s="1"/>
  <c r="N730" s="1"/>
  <c r="H730"/>
  <c r="F730"/>
  <c r="K729"/>
  <c r="M729" s="1"/>
  <c r="N729" s="1"/>
  <c r="H729"/>
  <c r="F729"/>
  <c r="K728"/>
  <c r="M728" s="1"/>
  <c r="N728" s="1"/>
  <c r="H728"/>
  <c r="F728"/>
  <c r="K727"/>
  <c r="M727" s="1"/>
  <c r="N727" s="1"/>
  <c r="H727"/>
  <c r="F727"/>
  <c r="K726"/>
  <c r="M726" s="1"/>
  <c r="N726" s="1"/>
  <c r="H726"/>
  <c r="F726"/>
  <c r="A726"/>
  <c r="K725"/>
  <c r="M725" s="1"/>
  <c r="N725" s="1"/>
  <c r="H725"/>
  <c r="F725"/>
  <c r="K724"/>
  <c r="C724"/>
  <c r="K723"/>
  <c r="M723" s="1"/>
  <c r="C723"/>
  <c r="K722"/>
  <c r="L722" s="1"/>
  <c r="H722"/>
  <c r="F722"/>
  <c r="K721"/>
  <c r="L721" s="1"/>
  <c r="H721"/>
  <c r="F721"/>
  <c r="K720"/>
  <c r="C720"/>
  <c r="K719"/>
  <c r="M719" s="1"/>
  <c r="C719"/>
  <c r="K718"/>
  <c r="L718" s="1"/>
  <c r="H718"/>
  <c r="F718"/>
  <c r="K717"/>
  <c r="C717"/>
  <c r="K716"/>
  <c r="C716"/>
  <c r="K715"/>
  <c r="M715" s="1"/>
  <c r="C715"/>
  <c r="K714"/>
  <c r="M714" s="1"/>
  <c r="C714"/>
  <c r="K713"/>
  <c r="L713" s="1"/>
  <c r="H713"/>
  <c r="F713"/>
  <c r="K712"/>
  <c r="C712"/>
  <c r="K711"/>
  <c r="C711"/>
  <c r="K710"/>
  <c r="C710"/>
  <c r="C709"/>
  <c r="H709" s="1"/>
  <c r="K708"/>
  <c r="C708"/>
  <c r="K707"/>
  <c r="C707"/>
  <c r="K706"/>
  <c r="C706"/>
  <c r="B706"/>
  <c r="K705"/>
  <c r="C705"/>
  <c r="B705"/>
  <c r="C704"/>
  <c r="C703"/>
  <c r="C702"/>
  <c r="K701"/>
  <c r="C701"/>
  <c r="B701"/>
  <c r="K700"/>
  <c r="C700"/>
  <c r="K699"/>
  <c r="C699"/>
  <c r="K698"/>
  <c r="C698"/>
  <c r="K697"/>
  <c r="C697"/>
  <c r="K696"/>
  <c r="M696" s="1"/>
  <c r="C696"/>
  <c r="K695"/>
  <c r="C695"/>
  <c r="K694"/>
  <c r="C694"/>
  <c r="K693"/>
  <c r="M693" s="1"/>
  <c r="C693"/>
  <c r="K692"/>
  <c r="M692" s="1"/>
  <c r="N692" s="1"/>
  <c r="H692"/>
  <c r="F692"/>
  <c r="K691"/>
  <c r="M691" s="1"/>
  <c r="C691"/>
  <c r="K690"/>
  <c r="C690"/>
  <c r="K689"/>
  <c r="M689" s="1"/>
  <c r="C689"/>
  <c r="K688"/>
  <c r="M688" s="1"/>
  <c r="C688"/>
  <c r="K687"/>
  <c r="C687"/>
  <c r="K686"/>
  <c r="C686"/>
  <c r="K685"/>
  <c r="L685" s="1"/>
  <c r="H685"/>
  <c r="F685"/>
  <c r="K684"/>
  <c r="C684"/>
  <c r="K683"/>
  <c r="M683" s="1"/>
  <c r="C683"/>
  <c r="K682"/>
  <c r="C682"/>
  <c r="K681"/>
  <c r="L681" s="1"/>
  <c r="H681"/>
  <c r="F681"/>
  <c r="K680"/>
  <c r="C680"/>
  <c r="K679"/>
  <c r="M679" s="1"/>
  <c r="C679"/>
  <c r="K678"/>
  <c r="C678"/>
  <c r="K677"/>
  <c r="C677"/>
  <c r="C676"/>
  <c r="K675"/>
  <c r="M675" s="1"/>
  <c r="C675"/>
  <c r="K674"/>
  <c r="C674"/>
  <c r="K673"/>
  <c r="M673" s="1"/>
  <c r="C673"/>
  <c r="K672"/>
  <c r="C672"/>
  <c r="K671"/>
  <c r="C671"/>
  <c r="K670"/>
  <c r="M670" s="1"/>
  <c r="C670"/>
  <c r="K669"/>
  <c r="C669"/>
  <c r="K668"/>
  <c r="C668"/>
  <c r="K667"/>
  <c r="C667"/>
  <c r="K666"/>
  <c r="C666"/>
  <c r="C665"/>
  <c r="K664"/>
  <c r="C664"/>
  <c r="K663"/>
  <c r="L663" s="1"/>
  <c r="H663"/>
  <c r="F663"/>
  <c r="C662"/>
  <c r="K661"/>
  <c r="C661"/>
  <c r="K660"/>
  <c r="C660"/>
  <c r="K659"/>
  <c r="C659"/>
  <c r="K658"/>
  <c r="L658" s="1"/>
  <c r="H658"/>
  <c r="F658"/>
  <c r="K657"/>
  <c r="C657"/>
  <c r="K656"/>
  <c r="M656" s="1"/>
  <c r="C656"/>
  <c r="K655"/>
  <c r="M655" s="1"/>
  <c r="C655"/>
  <c r="K654"/>
  <c r="C654"/>
  <c r="C653"/>
  <c r="K652"/>
  <c r="C652"/>
  <c r="K651"/>
  <c r="C651"/>
  <c r="C650"/>
  <c r="C649"/>
  <c r="H649" s="1"/>
  <c r="K648"/>
  <c r="M648" s="1"/>
  <c r="C648"/>
  <c r="K647"/>
  <c r="C647"/>
  <c r="K646"/>
  <c r="C646"/>
  <c r="K645"/>
  <c r="M645" s="1"/>
  <c r="C645"/>
  <c r="K644"/>
  <c r="C644"/>
  <c r="K643"/>
  <c r="M643" s="1"/>
  <c r="C643"/>
  <c r="U642"/>
  <c r="U644" s="1"/>
  <c r="K642"/>
  <c r="C642"/>
  <c r="K641"/>
  <c r="M641" s="1"/>
  <c r="C641"/>
  <c r="K640"/>
  <c r="M640" s="1"/>
  <c r="C640"/>
  <c r="H640" s="1"/>
  <c r="K639"/>
  <c r="M639" s="1"/>
  <c r="C639"/>
  <c r="K638"/>
  <c r="C638"/>
  <c r="K637"/>
  <c r="M637" s="1"/>
  <c r="C637"/>
  <c r="K636"/>
  <c r="L636" s="1"/>
  <c r="H636"/>
  <c r="F636"/>
  <c r="K635"/>
  <c r="M635" s="1"/>
  <c r="C635"/>
  <c r="H635" s="1"/>
  <c r="K634"/>
  <c r="M634" s="1"/>
  <c r="C634"/>
  <c r="L634" s="1"/>
  <c r="K633"/>
  <c r="C633"/>
  <c r="K632"/>
  <c r="M632" s="1"/>
  <c r="C632"/>
  <c r="L632" s="1"/>
  <c r="C631"/>
  <c r="F631" s="1"/>
  <c r="K630"/>
  <c r="L630" s="1"/>
  <c r="H630"/>
  <c r="F630"/>
  <c r="K629"/>
  <c r="C629"/>
  <c r="K628"/>
  <c r="M628" s="1"/>
  <c r="C628"/>
  <c r="K627"/>
  <c r="C627"/>
  <c r="K626"/>
  <c r="M626" s="1"/>
  <c r="C626"/>
  <c r="K625"/>
  <c r="C625"/>
  <c r="K624"/>
  <c r="M624" s="1"/>
  <c r="N624" s="1"/>
  <c r="H624"/>
  <c r="F624"/>
  <c r="K623"/>
  <c r="M623" s="1"/>
  <c r="C623"/>
  <c r="K622"/>
  <c r="C622"/>
  <c r="K621"/>
  <c r="M621" s="1"/>
  <c r="C621"/>
  <c r="L621" s="1"/>
  <c r="K620"/>
  <c r="C620"/>
  <c r="K619"/>
  <c r="M619" s="1"/>
  <c r="C619"/>
  <c r="K618"/>
  <c r="L618" s="1"/>
  <c r="H618"/>
  <c r="F618"/>
  <c r="C617"/>
  <c r="F617" s="1"/>
  <c r="K616"/>
  <c r="C616"/>
  <c r="K615"/>
  <c r="M615" s="1"/>
  <c r="C615"/>
  <c r="K614"/>
  <c r="L614" s="1"/>
  <c r="H614"/>
  <c r="F614"/>
  <c r="K613"/>
  <c r="C613"/>
  <c r="H613" s="1"/>
  <c r="K612"/>
  <c r="M612" s="1"/>
  <c r="C612"/>
  <c r="K611"/>
  <c r="M611" s="1"/>
  <c r="C611"/>
  <c r="K610"/>
  <c r="M610" s="1"/>
  <c r="C610"/>
  <c r="K609"/>
  <c r="C609"/>
  <c r="K608"/>
  <c r="M608" s="1"/>
  <c r="C608"/>
  <c r="K607"/>
  <c r="M607" s="1"/>
  <c r="C607"/>
  <c r="K606"/>
  <c r="C606"/>
  <c r="K605"/>
  <c r="M605" s="1"/>
  <c r="N605" s="1"/>
  <c r="H605"/>
  <c r="F605"/>
  <c r="K604"/>
  <c r="M604" s="1"/>
  <c r="C604"/>
  <c r="K603"/>
  <c r="M603" s="1"/>
  <c r="C603"/>
  <c r="K602"/>
  <c r="L602" s="1"/>
  <c r="H602"/>
  <c r="F602"/>
  <c r="K601"/>
  <c r="C601"/>
  <c r="H601" s="1"/>
  <c r="K600"/>
  <c r="H600"/>
  <c r="F600"/>
  <c r="K599"/>
  <c r="M599" s="1"/>
  <c r="N599" s="1"/>
  <c r="H599"/>
  <c r="F599"/>
  <c r="K598"/>
  <c r="C598"/>
  <c r="K597"/>
  <c r="C597"/>
  <c r="K596"/>
  <c r="L596" s="1"/>
  <c r="H596"/>
  <c r="F596"/>
  <c r="K595"/>
  <c r="C595"/>
  <c r="K594"/>
  <c r="M594" s="1"/>
  <c r="C594"/>
  <c r="K593"/>
  <c r="C593"/>
  <c r="K592"/>
  <c r="L592" s="1"/>
  <c r="H592"/>
  <c r="F592"/>
  <c r="K591"/>
  <c r="C591"/>
  <c r="K590"/>
  <c r="C590"/>
  <c r="K589"/>
  <c r="L589" s="1"/>
  <c r="H589"/>
  <c r="F589"/>
  <c r="K588"/>
  <c r="C588"/>
  <c r="K587"/>
  <c r="H587"/>
  <c r="F587"/>
  <c r="K586"/>
  <c r="C586"/>
  <c r="K585"/>
  <c r="C585"/>
  <c r="K584"/>
  <c r="M584" s="1"/>
  <c r="C584"/>
  <c r="K583"/>
  <c r="M583" s="1"/>
  <c r="C583"/>
  <c r="K582"/>
  <c r="L582" s="1"/>
  <c r="H582"/>
  <c r="F582"/>
  <c r="K581"/>
  <c r="K580"/>
  <c r="M580" s="1"/>
  <c r="K579"/>
  <c r="C578"/>
  <c r="F578" s="1"/>
  <c r="K577"/>
  <c r="M577" s="1"/>
  <c r="C577"/>
  <c r="C576"/>
  <c r="C580" s="1"/>
  <c r="C575"/>
  <c r="H575" s="1"/>
  <c r="K574"/>
  <c r="L574" s="1"/>
  <c r="H574"/>
  <c r="F574"/>
  <c r="K573"/>
  <c r="M573" s="1"/>
  <c r="C573"/>
  <c r="K572"/>
  <c r="H572"/>
  <c r="F572"/>
  <c r="K571"/>
  <c r="H571"/>
  <c r="F571"/>
  <c r="K570"/>
  <c r="C570"/>
  <c r="K569"/>
  <c r="L569" s="1"/>
  <c r="H569"/>
  <c r="F569"/>
  <c r="K568"/>
  <c r="C568"/>
  <c r="K567"/>
  <c r="L567" s="1"/>
  <c r="H567"/>
  <c r="F567"/>
  <c r="K566"/>
  <c r="C566"/>
  <c r="K565"/>
  <c r="M565" s="1"/>
  <c r="C565"/>
  <c r="H565" s="1"/>
  <c r="K564"/>
  <c r="C564"/>
  <c r="K563"/>
  <c r="L563" s="1"/>
  <c r="H563"/>
  <c r="F563"/>
  <c r="K562"/>
  <c r="C562"/>
  <c r="K561"/>
  <c r="C561"/>
  <c r="K560"/>
  <c r="M560" s="1"/>
  <c r="C560"/>
  <c r="K559"/>
  <c r="M559" s="1"/>
  <c r="C559"/>
  <c r="K558"/>
  <c r="L558" s="1"/>
  <c r="H558"/>
  <c r="F558"/>
  <c r="K557"/>
  <c r="C557"/>
  <c r="K556"/>
  <c r="C556"/>
  <c r="K555"/>
  <c r="C555"/>
  <c r="F555" s="1"/>
  <c r="K554"/>
  <c r="M554" s="1"/>
  <c r="C554"/>
  <c r="K553"/>
  <c r="C553"/>
  <c r="K552"/>
  <c r="C552"/>
  <c r="K551"/>
  <c r="M551" s="1"/>
  <c r="C551"/>
  <c r="C550"/>
  <c r="F550" s="1"/>
  <c r="C549"/>
  <c r="K548"/>
  <c r="C548"/>
  <c r="K547"/>
  <c r="M547" s="1"/>
  <c r="N547" s="1"/>
  <c r="H547"/>
  <c r="F547"/>
  <c r="K546"/>
  <c r="M546" s="1"/>
  <c r="C546"/>
  <c r="K545"/>
  <c r="M545" s="1"/>
  <c r="C545"/>
  <c r="K544"/>
  <c r="M544" s="1"/>
  <c r="C544"/>
  <c r="K543"/>
  <c r="C543"/>
  <c r="K542"/>
  <c r="M542" s="1"/>
  <c r="C542"/>
  <c r="K541"/>
  <c r="M541" s="1"/>
  <c r="N541" s="1"/>
  <c r="H541"/>
  <c r="F541"/>
  <c r="K540"/>
  <c r="M540" s="1"/>
  <c r="C540"/>
  <c r="K539"/>
  <c r="M539" s="1"/>
  <c r="C539"/>
  <c r="K538"/>
  <c r="L538" s="1"/>
  <c r="H538"/>
  <c r="F538"/>
  <c r="K537"/>
  <c r="C537"/>
  <c r="K536"/>
  <c r="M536" s="1"/>
  <c r="C536"/>
  <c r="K535"/>
  <c r="L535" s="1"/>
  <c r="H535"/>
  <c r="F535"/>
  <c r="K534"/>
  <c r="C534"/>
  <c r="K533"/>
  <c r="M533" s="1"/>
  <c r="C533"/>
  <c r="K532"/>
  <c r="C532"/>
  <c r="K531"/>
  <c r="M531" s="1"/>
  <c r="C531"/>
  <c r="K530"/>
  <c r="C530"/>
  <c r="K529"/>
  <c r="M529" s="1"/>
  <c r="C529"/>
  <c r="K528"/>
  <c r="L528" s="1"/>
  <c r="H528"/>
  <c r="F528"/>
  <c r="K527"/>
  <c r="C527"/>
  <c r="K526"/>
  <c r="M526" s="1"/>
  <c r="C526"/>
  <c r="K525"/>
  <c r="M525" s="1"/>
  <c r="C525"/>
  <c r="K524"/>
  <c r="M524" s="1"/>
  <c r="C524"/>
  <c r="K523"/>
  <c r="C523"/>
  <c r="K522"/>
  <c r="M522" s="1"/>
  <c r="C522"/>
  <c r="K521"/>
  <c r="M521" s="1"/>
  <c r="C521"/>
  <c r="K520"/>
  <c r="M520" s="1"/>
  <c r="C520"/>
  <c r="K519"/>
  <c r="C519"/>
  <c r="K518"/>
  <c r="M518" s="1"/>
  <c r="C518"/>
  <c r="K517"/>
  <c r="M517" s="1"/>
  <c r="C517"/>
  <c r="K516"/>
  <c r="M516" s="1"/>
  <c r="C516"/>
  <c r="K515"/>
  <c r="C515"/>
  <c r="K514"/>
  <c r="M514" s="1"/>
  <c r="C514"/>
  <c r="K513"/>
  <c r="M513" s="1"/>
  <c r="C513"/>
  <c r="K512"/>
  <c r="L512" s="1"/>
  <c r="H512"/>
  <c r="F512"/>
  <c r="K511"/>
  <c r="M511" s="1"/>
  <c r="C511"/>
  <c r="K510"/>
  <c r="C510"/>
  <c r="K509"/>
  <c r="M509" s="1"/>
  <c r="N509" s="1"/>
  <c r="H509"/>
  <c r="F509"/>
  <c r="K508"/>
  <c r="M508" s="1"/>
  <c r="C508"/>
  <c r="K507"/>
  <c r="M507" s="1"/>
  <c r="C507"/>
  <c r="K506"/>
  <c r="M506" s="1"/>
  <c r="C506"/>
  <c r="K505"/>
  <c r="C505"/>
  <c r="K504"/>
  <c r="M504" s="1"/>
  <c r="C504"/>
  <c r="K503"/>
  <c r="L503" s="1"/>
  <c r="H503"/>
  <c r="F503"/>
  <c r="K502"/>
  <c r="C502"/>
  <c r="K501"/>
  <c r="M501" s="1"/>
  <c r="C501"/>
  <c r="K500"/>
  <c r="C500"/>
  <c r="K499"/>
  <c r="M499" s="1"/>
  <c r="C499"/>
  <c r="C498"/>
  <c r="C497"/>
  <c r="K496"/>
  <c r="M496" s="1"/>
  <c r="N496" s="1"/>
  <c r="H496"/>
  <c r="F496"/>
  <c r="K495"/>
  <c r="M495" s="1"/>
  <c r="C495"/>
  <c r="K494"/>
  <c r="M494" s="1"/>
  <c r="C494"/>
  <c r="K493"/>
  <c r="C493"/>
  <c r="K492"/>
  <c r="C492"/>
  <c r="K491"/>
  <c r="C491"/>
  <c r="K490"/>
  <c r="C490"/>
  <c r="K489"/>
  <c r="M489" s="1"/>
  <c r="N489" s="1"/>
  <c r="H489"/>
  <c r="F489"/>
  <c r="K488"/>
  <c r="M488" s="1"/>
  <c r="C488"/>
  <c r="K487"/>
  <c r="M487" s="1"/>
  <c r="C487"/>
  <c r="K486"/>
  <c r="C486"/>
  <c r="K485"/>
  <c r="C485"/>
  <c r="K484"/>
  <c r="M484" s="1"/>
  <c r="C484"/>
  <c r="K483"/>
  <c r="M483" s="1"/>
  <c r="N483" s="1"/>
  <c r="H483"/>
  <c r="F483"/>
  <c r="K482"/>
  <c r="M482" s="1"/>
  <c r="C482"/>
  <c r="K481"/>
  <c r="C481"/>
  <c r="K480"/>
  <c r="C480"/>
  <c r="K479"/>
  <c r="M479" s="1"/>
  <c r="C479"/>
  <c r="K478"/>
  <c r="M478" s="1"/>
  <c r="C478"/>
  <c r="K477"/>
  <c r="C477"/>
  <c r="K476"/>
  <c r="H476"/>
  <c r="F476"/>
  <c r="K475"/>
  <c r="C475"/>
  <c r="K474"/>
  <c r="M474" s="1"/>
  <c r="C474"/>
  <c r="K473"/>
  <c r="M473" s="1"/>
  <c r="C473"/>
  <c r="K472"/>
  <c r="C472"/>
  <c r="K471"/>
  <c r="C471"/>
  <c r="K470"/>
  <c r="M470" s="1"/>
  <c r="N470" s="1"/>
  <c r="H470"/>
  <c r="F470"/>
  <c r="K469"/>
  <c r="M469" s="1"/>
  <c r="C469"/>
  <c r="K468"/>
  <c r="M468" s="1"/>
  <c r="C468"/>
  <c r="K467"/>
  <c r="C467"/>
  <c r="K466"/>
  <c r="M466" s="1"/>
  <c r="C466"/>
  <c r="K465"/>
  <c r="M465" s="1"/>
  <c r="C465"/>
  <c r="C464"/>
  <c r="K463"/>
  <c r="L463" s="1"/>
  <c r="H463"/>
  <c r="F463"/>
  <c r="K462"/>
  <c r="C462"/>
  <c r="K461"/>
  <c r="C461"/>
  <c r="K460"/>
  <c r="M460" s="1"/>
  <c r="C460"/>
  <c r="K459"/>
  <c r="M459" s="1"/>
  <c r="C459"/>
  <c r="K458"/>
  <c r="M458" s="1"/>
  <c r="C458"/>
  <c r="K457"/>
  <c r="L457" s="1"/>
  <c r="H457"/>
  <c r="F457"/>
  <c r="K456"/>
  <c r="L456" s="1"/>
  <c r="H456"/>
  <c r="F456"/>
  <c r="K455"/>
  <c r="M455" s="1"/>
  <c r="C455"/>
  <c r="K454"/>
  <c r="C454"/>
  <c r="K453"/>
  <c r="C453"/>
  <c r="K452"/>
  <c r="M452" s="1"/>
  <c r="N452" s="1"/>
  <c r="H452"/>
  <c r="F452"/>
  <c r="K451"/>
  <c r="M451" s="1"/>
  <c r="C451"/>
  <c r="K450"/>
  <c r="L450" s="1"/>
  <c r="H450"/>
  <c r="F450"/>
  <c r="K449"/>
  <c r="C449"/>
  <c r="K448"/>
  <c r="C448"/>
  <c r="K447"/>
  <c r="M447" s="1"/>
  <c r="C447"/>
  <c r="K446"/>
  <c r="C446"/>
  <c r="K445"/>
  <c r="C445"/>
  <c r="K444"/>
  <c r="M444" s="1"/>
  <c r="C444"/>
  <c r="K443"/>
  <c r="M443" s="1"/>
  <c r="N443" s="1"/>
  <c r="H443"/>
  <c r="F443"/>
  <c r="K442"/>
  <c r="M442" s="1"/>
  <c r="C442"/>
  <c r="K441"/>
  <c r="M441" s="1"/>
  <c r="C441"/>
  <c r="K440"/>
  <c r="M440" s="1"/>
  <c r="C440"/>
  <c r="K439"/>
  <c r="C439"/>
  <c r="K438"/>
  <c r="M438" s="1"/>
  <c r="C438"/>
  <c r="K437"/>
  <c r="C437"/>
  <c r="K436"/>
  <c r="C436"/>
  <c r="K435"/>
  <c r="L435" s="1"/>
  <c r="H435"/>
  <c r="F435"/>
  <c r="K434"/>
  <c r="L434" s="1"/>
  <c r="H434"/>
  <c r="F434"/>
  <c r="K433"/>
  <c r="L433" s="1"/>
  <c r="H433"/>
  <c r="F433"/>
  <c r="K432"/>
  <c r="C432"/>
  <c r="K431"/>
  <c r="C431"/>
  <c r="K430"/>
  <c r="M430" s="1"/>
  <c r="C430"/>
  <c r="K429"/>
  <c r="M429" s="1"/>
  <c r="C429"/>
  <c r="K428"/>
  <c r="M428" s="1"/>
  <c r="C428"/>
  <c r="K427"/>
  <c r="M427" s="1"/>
  <c r="C427"/>
  <c r="K426"/>
  <c r="C426"/>
  <c r="K425"/>
  <c r="M425" s="1"/>
  <c r="N425" s="1"/>
  <c r="H425"/>
  <c r="F425"/>
  <c r="K424"/>
  <c r="M424" s="1"/>
  <c r="C424"/>
  <c r="K423"/>
  <c r="M423" s="1"/>
  <c r="C423"/>
  <c r="F423" s="1"/>
  <c r="K422"/>
  <c r="C422"/>
  <c r="K421"/>
  <c r="M421" s="1"/>
  <c r="C421"/>
  <c r="K420"/>
  <c r="M420" s="1"/>
  <c r="C420"/>
  <c r="K419"/>
  <c r="M419" s="1"/>
  <c r="C419"/>
  <c r="K418"/>
  <c r="C418"/>
  <c r="K417"/>
  <c r="M417" s="1"/>
  <c r="N417" s="1"/>
  <c r="H417"/>
  <c r="F417"/>
  <c r="K416"/>
  <c r="M416" s="1"/>
  <c r="C416"/>
  <c r="K415"/>
  <c r="M415" s="1"/>
  <c r="N415" s="1"/>
  <c r="H415"/>
  <c r="F415"/>
  <c r="K414"/>
  <c r="M414" s="1"/>
  <c r="C414"/>
  <c r="K413"/>
  <c r="M413" s="1"/>
  <c r="C413"/>
  <c r="K412"/>
  <c r="C412"/>
  <c r="K411"/>
  <c r="M411" s="1"/>
  <c r="N411" s="1"/>
  <c r="H411"/>
  <c r="F411"/>
  <c r="K410"/>
  <c r="M410" s="1"/>
  <c r="C410"/>
  <c r="K409"/>
  <c r="M409" s="1"/>
  <c r="C409"/>
  <c r="K408"/>
  <c r="M408" s="1"/>
  <c r="N408" s="1"/>
  <c r="H408"/>
  <c r="F408"/>
  <c r="K407"/>
  <c r="M407" s="1"/>
  <c r="C407"/>
  <c r="K406"/>
  <c r="C406"/>
  <c r="K405"/>
  <c r="M405" s="1"/>
  <c r="N405" s="1"/>
  <c r="H405"/>
  <c r="F405"/>
  <c r="K404"/>
  <c r="M404" s="1"/>
  <c r="C404"/>
  <c r="K403"/>
  <c r="M403" s="1"/>
  <c r="C403"/>
  <c r="K402"/>
  <c r="L402" s="1"/>
  <c r="H402"/>
  <c r="F402"/>
  <c r="K401"/>
  <c r="M401" s="1"/>
  <c r="C401"/>
  <c r="K400"/>
  <c r="M400" s="1"/>
  <c r="N400" s="1"/>
  <c r="H400"/>
  <c r="F400"/>
  <c r="K399"/>
  <c r="M399" s="1"/>
  <c r="C399"/>
  <c r="K398"/>
  <c r="M398" s="1"/>
  <c r="N398" s="1"/>
  <c r="H398"/>
  <c r="F398"/>
  <c r="K397"/>
  <c r="M397" s="1"/>
  <c r="N397" s="1"/>
  <c r="H397"/>
  <c r="F397"/>
  <c r="K396"/>
  <c r="M396" s="1"/>
  <c r="C396"/>
  <c r="K395"/>
  <c r="L395" s="1"/>
  <c r="H395"/>
  <c r="F395"/>
  <c r="K394"/>
  <c r="M394" s="1"/>
  <c r="C394"/>
  <c r="K393"/>
  <c r="C393"/>
  <c r="K392"/>
  <c r="M392" s="1"/>
  <c r="C392"/>
  <c r="K391"/>
  <c r="M391" s="1"/>
  <c r="N391" s="1"/>
  <c r="H391"/>
  <c r="F391"/>
  <c r="K390"/>
  <c r="M390" s="1"/>
  <c r="C390"/>
  <c r="K389"/>
  <c r="M389" s="1"/>
  <c r="C389"/>
  <c r="K388"/>
  <c r="C388"/>
  <c r="K387"/>
  <c r="M387" s="1"/>
  <c r="C387"/>
  <c r="K386"/>
  <c r="M386" s="1"/>
  <c r="C386"/>
  <c r="K385"/>
  <c r="C385"/>
  <c r="K384"/>
  <c r="M384" s="1"/>
  <c r="C384"/>
  <c r="K383"/>
  <c r="M383" s="1"/>
  <c r="C383"/>
  <c r="F383" s="1"/>
  <c r="K382"/>
  <c r="M382" s="1"/>
  <c r="C382"/>
  <c r="C381"/>
  <c r="K380"/>
  <c r="M380" s="1"/>
  <c r="N380" s="1"/>
  <c r="H380"/>
  <c r="F380"/>
  <c r="K379"/>
  <c r="M379" s="1"/>
  <c r="C379"/>
  <c r="K378"/>
  <c r="C378"/>
  <c r="K377"/>
  <c r="C377"/>
  <c r="K376"/>
  <c r="M376" s="1"/>
  <c r="C376"/>
  <c r="K375"/>
  <c r="M375" s="1"/>
  <c r="C375"/>
  <c r="K374"/>
  <c r="L374" s="1"/>
  <c r="H374"/>
  <c r="F374"/>
  <c r="K373"/>
  <c r="C373"/>
  <c r="K372"/>
  <c r="M372"/>
  <c r="C372"/>
  <c r="K371"/>
  <c r="C371"/>
  <c r="K370"/>
  <c r="M370"/>
  <c r="C370"/>
  <c r="C369"/>
  <c r="K368"/>
  <c r="M368" s="1"/>
  <c r="N368" s="1"/>
  <c r="H368"/>
  <c r="F368"/>
  <c r="K367"/>
  <c r="C367"/>
  <c r="K366"/>
  <c r="M366" s="1"/>
  <c r="C366"/>
  <c r="K365"/>
  <c r="M365" s="1"/>
  <c r="C365"/>
  <c r="K364"/>
  <c r="M364" s="1"/>
  <c r="C364"/>
  <c r="K363"/>
  <c r="M363" s="1"/>
  <c r="C363"/>
  <c r="K362"/>
  <c r="L362" s="1"/>
  <c r="H362"/>
  <c r="F362"/>
  <c r="K361"/>
  <c r="M361" s="1"/>
  <c r="C361"/>
  <c r="K360"/>
  <c r="M360" s="1"/>
  <c r="C360"/>
  <c r="K359"/>
  <c r="C359"/>
  <c r="K358"/>
  <c r="M358" s="1"/>
  <c r="N358" s="1"/>
  <c r="H358"/>
  <c r="F358"/>
  <c r="K357"/>
  <c r="M357" s="1"/>
  <c r="C357"/>
  <c r="K356"/>
  <c r="C356"/>
  <c r="K355"/>
  <c r="L355" s="1"/>
  <c r="H355"/>
  <c r="F355"/>
  <c r="C354"/>
  <c r="K353"/>
  <c r="M353" s="1"/>
  <c r="C353"/>
  <c r="W352"/>
  <c r="C352"/>
  <c r="K351"/>
  <c r="C351"/>
  <c r="K350"/>
  <c r="M350" s="1"/>
  <c r="C350"/>
  <c r="K349"/>
  <c r="M349" s="1"/>
  <c r="N349" s="1"/>
  <c r="H349"/>
  <c r="F349"/>
  <c r="C348"/>
  <c r="H348" s="1"/>
  <c r="K347"/>
  <c r="M347" s="1"/>
  <c r="C347"/>
  <c r="C346"/>
  <c r="K345"/>
  <c r="M345" s="1"/>
  <c r="C345"/>
  <c r="K344"/>
  <c r="M344" s="1"/>
  <c r="N344" s="1"/>
  <c r="H344"/>
  <c r="F344"/>
  <c r="C343"/>
  <c r="H343" s="1"/>
  <c r="C342"/>
  <c r="C341"/>
  <c r="H341" s="1"/>
  <c r="K340"/>
  <c r="M340" s="1"/>
  <c r="N340" s="1"/>
  <c r="H340"/>
  <c r="F340"/>
  <c r="K339"/>
  <c r="M339" s="1"/>
  <c r="C339"/>
  <c r="K338"/>
  <c r="L338" s="1"/>
  <c r="H338"/>
  <c r="F338"/>
  <c r="K337"/>
  <c r="M337" s="1"/>
  <c r="C337"/>
  <c r="Z336"/>
  <c r="C336"/>
  <c r="K335"/>
  <c r="K334"/>
  <c r="C334"/>
  <c r="K333"/>
  <c r="M333" s="1"/>
  <c r="C333"/>
  <c r="K332"/>
  <c r="M332" s="1"/>
  <c r="C332"/>
  <c r="K331"/>
  <c r="L331" s="1"/>
  <c r="H331"/>
  <c r="F331"/>
  <c r="C330"/>
  <c r="K329"/>
  <c r="M329" s="1"/>
  <c r="N329" s="1"/>
  <c r="H329"/>
  <c r="F329"/>
  <c r="K328"/>
  <c r="M328" s="1"/>
  <c r="C328"/>
  <c r="K327"/>
  <c r="M327" s="1"/>
  <c r="N327" s="1"/>
  <c r="H327"/>
  <c r="F327"/>
  <c r="K326"/>
  <c r="M326" s="1"/>
  <c r="N326" s="1"/>
  <c r="H326"/>
  <c r="F326"/>
  <c r="K325"/>
  <c r="M325" s="1"/>
  <c r="C325"/>
  <c r="K324"/>
  <c r="M324" s="1"/>
  <c r="C324"/>
  <c r="K323"/>
  <c r="C323"/>
  <c r="K322"/>
  <c r="M322" s="1"/>
  <c r="C322"/>
  <c r="K321"/>
  <c r="M321" s="1"/>
  <c r="C321"/>
  <c r="F321" s="1"/>
  <c r="K320"/>
  <c r="M320" s="1"/>
  <c r="C320"/>
  <c r="K319"/>
  <c r="C319"/>
  <c r="K318"/>
  <c r="M318" s="1"/>
  <c r="C318"/>
  <c r="K317"/>
  <c r="M317" s="1"/>
  <c r="C317"/>
  <c r="K316"/>
  <c r="M316" s="1"/>
  <c r="C316"/>
  <c r="K315"/>
  <c r="C315"/>
  <c r="K314"/>
  <c r="M314" s="1"/>
  <c r="C314"/>
  <c r="K313"/>
  <c r="M313" s="1"/>
  <c r="C313"/>
  <c r="K312"/>
  <c r="M312" s="1"/>
  <c r="C312"/>
  <c r="K311"/>
  <c r="C311"/>
  <c r="K310"/>
  <c r="M310" s="1"/>
  <c r="C310"/>
  <c r="K309"/>
  <c r="M309" s="1"/>
  <c r="C309"/>
  <c r="K308"/>
  <c r="L308" s="1"/>
  <c r="H308"/>
  <c r="F308"/>
  <c r="K307"/>
  <c r="M307" s="1"/>
  <c r="C307"/>
  <c r="K306"/>
  <c r="M306" s="1"/>
  <c r="C306"/>
  <c r="K305"/>
  <c r="M305" s="1"/>
  <c r="C305"/>
  <c r="K304"/>
  <c r="L304" s="1"/>
  <c r="H304"/>
  <c r="F304"/>
  <c r="K303"/>
  <c r="L303" s="1"/>
  <c r="H303"/>
  <c r="F303"/>
  <c r="K302"/>
  <c r="M302" s="1"/>
  <c r="C302"/>
  <c r="K301"/>
  <c r="C301"/>
  <c r="K300"/>
  <c r="M300" s="1"/>
  <c r="N300" s="1"/>
  <c r="H300"/>
  <c r="F300"/>
  <c r="K299"/>
  <c r="M299" s="1"/>
  <c r="C299"/>
  <c r="K298"/>
  <c r="M298" s="1"/>
  <c r="N298" s="1"/>
  <c r="H298"/>
  <c r="F298"/>
  <c r="K297"/>
  <c r="M297" s="1"/>
  <c r="C297"/>
  <c r="K296"/>
  <c r="C296"/>
  <c r="K295"/>
  <c r="C295"/>
  <c r="K294"/>
  <c r="M294" s="1"/>
  <c r="C294"/>
  <c r="K293"/>
  <c r="M293" s="1"/>
  <c r="N293" s="1"/>
  <c r="H293"/>
  <c r="F293"/>
  <c r="K292"/>
  <c r="M292" s="1"/>
  <c r="C292"/>
  <c r="H292" s="1"/>
  <c r="K291"/>
  <c r="M291" s="1"/>
  <c r="C291"/>
  <c r="K290"/>
  <c r="M290" s="1"/>
  <c r="C290"/>
  <c r="K289"/>
  <c r="L289" s="1"/>
  <c r="H289"/>
  <c r="F289"/>
  <c r="K288"/>
  <c r="M288" s="1"/>
  <c r="C288"/>
  <c r="K287"/>
  <c r="C287"/>
  <c r="K286"/>
  <c r="M286" s="1"/>
  <c r="C286"/>
  <c r="K285"/>
  <c r="M285" s="1"/>
  <c r="N285" s="1"/>
  <c r="H285"/>
  <c r="F285"/>
  <c r="K284"/>
  <c r="M284" s="1"/>
  <c r="N284" s="1"/>
  <c r="H284"/>
  <c r="F284"/>
  <c r="K283"/>
  <c r="M283" s="1"/>
  <c r="N283" s="1"/>
  <c r="H283"/>
  <c r="F283"/>
  <c r="K282"/>
  <c r="M282" s="1"/>
  <c r="N282" s="1"/>
  <c r="H282"/>
  <c r="F282"/>
  <c r="K281"/>
  <c r="M281" s="1"/>
  <c r="N281" s="1"/>
  <c r="H281"/>
  <c r="F281"/>
  <c r="K280"/>
  <c r="M280" s="1"/>
  <c r="C280"/>
  <c r="K279"/>
  <c r="M279" s="1"/>
  <c r="C279"/>
  <c r="K278"/>
  <c r="C278"/>
  <c r="K277"/>
  <c r="M277" s="1"/>
  <c r="C277"/>
  <c r="K276"/>
  <c r="M276" s="1"/>
  <c r="C276"/>
  <c r="K275"/>
  <c r="L275" s="1"/>
  <c r="H275"/>
  <c r="F275"/>
  <c r="K274"/>
  <c r="C274"/>
  <c r="K273"/>
  <c r="C273"/>
  <c r="K272"/>
  <c r="M272" s="1"/>
  <c r="C272"/>
  <c r="K271"/>
  <c r="M271" s="1"/>
  <c r="C271"/>
  <c r="K270"/>
  <c r="M270" s="1"/>
  <c r="C270"/>
  <c r="K269"/>
  <c r="L269" s="1"/>
  <c r="H269"/>
  <c r="F269"/>
  <c r="K268"/>
  <c r="C268"/>
  <c r="K267"/>
  <c r="M267" s="1"/>
  <c r="C267"/>
  <c r="K266"/>
  <c r="C266"/>
  <c r="K265"/>
  <c r="M265" s="1"/>
  <c r="C265"/>
  <c r="K264"/>
  <c r="C264"/>
  <c r="K263"/>
  <c r="M263" s="1"/>
  <c r="N263" s="1"/>
  <c r="H263"/>
  <c r="F263"/>
  <c r="K262"/>
  <c r="M262" s="1"/>
  <c r="C262"/>
  <c r="K261"/>
  <c r="C261"/>
  <c r="F261" s="1"/>
  <c r="K260"/>
  <c r="M260" s="1"/>
  <c r="C260"/>
  <c r="K259"/>
  <c r="C259"/>
  <c r="K258"/>
  <c r="M258" s="1"/>
  <c r="C258"/>
  <c r="K257"/>
  <c r="M257" s="1"/>
  <c r="N257" s="1"/>
  <c r="H257"/>
  <c r="F257"/>
  <c r="K256"/>
  <c r="M256" s="1"/>
  <c r="C256"/>
  <c r="K255"/>
  <c r="M255" s="1"/>
  <c r="C255"/>
  <c r="K254"/>
  <c r="C254"/>
  <c r="K253"/>
  <c r="M253" s="1"/>
  <c r="C253"/>
  <c r="K252"/>
  <c r="M252" s="1"/>
  <c r="C252"/>
  <c r="K251"/>
  <c r="L251" s="1"/>
  <c r="H251"/>
  <c r="F251"/>
  <c r="K250"/>
  <c r="M250" s="1"/>
  <c r="C250"/>
  <c r="K249"/>
  <c r="C249"/>
  <c r="K248"/>
  <c r="M248" s="1"/>
  <c r="C248"/>
  <c r="K247"/>
  <c r="M247" s="1"/>
  <c r="C247"/>
  <c r="K246"/>
  <c r="M246" s="1"/>
  <c r="C246"/>
  <c r="K245"/>
  <c r="C245"/>
  <c r="K244"/>
  <c r="M244" s="1"/>
  <c r="N244" s="1"/>
  <c r="H244"/>
  <c r="F244"/>
  <c r="K243"/>
  <c r="M243" s="1"/>
  <c r="C243"/>
  <c r="K242"/>
  <c r="M242" s="1"/>
  <c r="C242"/>
  <c r="K241"/>
  <c r="M241" s="1"/>
  <c r="C241"/>
  <c r="K240"/>
  <c r="C240"/>
  <c r="K239"/>
  <c r="M239" s="1"/>
  <c r="C239"/>
  <c r="K238"/>
  <c r="M238" s="1"/>
  <c r="C238"/>
  <c r="K237"/>
  <c r="M237" s="1"/>
  <c r="C237"/>
  <c r="K236"/>
  <c r="C236"/>
  <c r="K235"/>
  <c r="M235" s="1"/>
  <c r="C235"/>
  <c r="K234"/>
  <c r="M234" s="1"/>
  <c r="C234"/>
  <c r="K233"/>
  <c r="M233" s="1"/>
  <c r="C233"/>
  <c r="K232"/>
  <c r="C232"/>
  <c r="K231"/>
  <c r="M231" s="1"/>
  <c r="N231" s="1"/>
  <c r="H231"/>
  <c r="F231"/>
  <c r="K230"/>
  <c r="M230" s="1"/>
  <c r="N230" s="1"/>
  <c r="H230"/>
  <c r="F230"/>
  <c r="K229"/>
  <c r="M229" s="1"/>
  <c r="C229"/>
  <c r="K228"/>
  <c r="L228" s="1"/>
  <c r="H228"/>
  <c r="F228"/>
  <c r="K227"/>
  <c r="L227" s="1"/>
  <c r="H227"/>
  <c r="F227"/>
  <c r="K226"/>
  <c r="L226" s="1"/>
  <c r="H226"/>
  <c r="F226"/>
  <c r="K225"/>
  <c r="L225" s="1"/>
  <c r="H225"/>
  <c r="F225"/>
  <c r="K224"/>
  <c r="L224" s="1"/>
  <c r="H224"/>
  <c r="F224"/>
  <c r="K223"/>
  <c r="L223" s="1"/>
  <c r="H223"/>
  <c r="F223"/>
  <c r="K222"/>
  <c r="L222" s="1"/>
  <c r="H222"/>
  <c r="F222"/>
  <c r="K221"/>
  <c r="M221" s="1"/>
  <c r="C221"/>
  <c r="K220"/>
  <c r="C220"/>
  <c r="K219"/>
  <c r="M219" s="1"/>
  <c r="C219"/>
  <c r="H219" s="1"/>
  <c r="K218"/>
  <c r="M218" s="1"/>
  <c r="C218"/>
  <c r="K217"/>
  <c r="C217"/>
  <c r="F217" s="1"/>
  <c r="K216"/>
  <c r="M216" s="1"/>
  <c r="N216" s="1"/>
  <c r="H216"/>
  <c r="F216"/>
  <c r="K215"/>
  <c r="M215" s="1"/>
  <c r="N215" s="1"/>
  <c r="H215"/>
  <c r="F215"/>
  <c r="K214"/>
  <c r="M214" s="1"/>
  <c r="N214" s="1"/>
  <c r="H214"/>
  <c r="F214"/>
  <c r="K213"/>
  <c r="M213" s="1"/>
  <c r="N213" s="1"/>
  <c r="H213"/>
  <c r="F213"/>
  <c r="K212"/>
  <c r="M212" s="1"/>
  <c r="N212" s="1"/>
  <c r="H212"/>
  <c r="F212"/>
  <c r="K211"/>
  <c r="M211" s="1"/>
  <c r="N211" s="1"/>
  <c r="H211"/>
  <c r="F211"/>
  <c r="K210"/>
  <c r="M210" s="1"/>
  <c r="N210" s="1"/>
  <c r="H210"/>
  <c r="F210"/>
  <c r="K209"/>
  <c r="M209" s="1"/>
  <c r="C209"/>
  <c r="K208"/>
  <c r="M208" s="1"/>
  <c r="C208"/>
  <c r="K207"/>
  <c r="C207"/>
  <c r="K206"/>
  <c r="M206" s="1"/>
  <c r="C206"/>
  <c r="K205"/>
  <c r="M205" s="1"/>
  <c r="C205"/>
  <c r="K204"/>
  <c r="M204" s="1"/>
  <c r="N204" s="1"/>
  <c r="H204"/>
  <c r="F204"/>
  <c r="K203"/>
  <c r="M203" s="1"/>
  <c r="N203" s="1"/>
  <c r="H203"/>
  <c r="F203"/>
  <c r="K202"/>
  <c r="M202" s="1"/>
  <c r="N202" s="1"/>
  <c r="H202"/>
  <c r="F202"/>
  <c r="K201"/>
  <c r="M201" s="1"/>
  <c r="N201" s="1"/>
  <c r="H201"/>
  <c r="F201"/>
  <c r="K200"/>
  <c r="M200" s="1"/>
  <c r="N200" s="1"/>
  <c r="H200"/>
  <c r="F200"/>
  <c r="K199"/>
  <c r="M199" s="1"/>
  <c r="N199" s="1"/>
  <c r="H199"/>
  <c r="F199"/>
  <c r="K198"/>
  <c r="M198" s="1"/>
  <c r="N198" s="1"/>
  <c r="H198"/>
  <c r="F198"/>
  <c r="K197"/>
  <c r="M197" s="1"/>
  <c r="N197" s="1"/>
  <c r="H197"/>
  <c r="F197"/>
  <c r="K196"/>
  <c r="M196" s="1"/>
  <c r="N196" s="1"/>
  <c r="H196"/>
  <c r="F196"/>
  <c r="K195"/>
  <c r="M195" s="1"/>
  <c r="N195" s="1"/>
  <c r="H195"/>
  <c r="F195"/>
  <c r="K194"/>
  <c r="M194" s="1"/>
  <c r="N194" s="1"/>
  <c r="H194"/>
  <c r="F194"/>
  <c r="K193"/>
  <c r="M193" s="1"/>
  <c r="N193" s="1"/>
  <c r="H193"/>
  <c r="F193"/>
  <c r="K192"/>
  <c r="M192" s="1"/>
  <c r="N192" s="1"/>
  <c r="H192"/>
  <c r="F192"/>
  <c r="K191"/>
  <c r="M191" s="1"/>
  <c r="C191"/>
  <c r="K190"/>
  <c r="C190"/>
  <c r="K189"/>
  <c r="C189"/>
  <c r="K188"/>
  <c r="C188"/>
  <c r="K187"/>
  <c r="M187" s="1"/>
  <c r="C187"/>
  <c r="K186"/>
  <c r="L186" s="1"/>
  <c r="H186"/>
  <c r="F186"/>
  <c r="K185"/>
  <c r="C185"/>
  <c r="K184"/>
  <c r="M184" s="1"/>
  <c r="C184"/>
  <c r="K183"/>
  <c r="C183"/>
  <c r="K182"/>
  <c r="M182" s="1"/>
  <c r="C182"/>
  <c r="K181"/>
  <c r="C181"/>
  <c r="K180"/>
  <c r="L180" s="1"/>
  <c r="H180"/>
  <c r="F180"/>
  <c r="K179"/>
  <c r="L179" s="1"/>
  <c r="H179"/>
  <c r="F179"/>
  <c r="K178"/>
  <c r="L178" s="1"/>
  <c r="H178"/>
  <c r="F178"/>
  <c r="K177"/>
  <c r="L177" s="1"/>
  <c r="H177"/>
  <c r="F177"/>
  <c r="K176"/>
  <c r="L176" s="1"/>
  <c r="H176"/>
  <c r="F176"/>
  <c r="K175"/>
  <c r="L175" s="1"/>
  <c r="H175"/>
  <c r="F175"/>
  <c r="K174"/>
  <c r="L174" s="1"/>
  <c r="H174"/>
  <c r="F174"/>
  <c r="K173"/>
  <c r="L173" s="1"/>
  <c r="H173"/>
  <c r="F173"/>
  <c r="K172"/>
  <c r="C172"/>
  <c r="K171"/>
  <c r="C171"/>
  <c r="K170"/>
  <c r="C170"/>
  <c r="K169"/>
  <c r="C169"/>
  <c r="K168"/>
  <c r="M168" s="1"/>
  <c r="C168"/>
  <c r="F168" s="1"/>
  <c r="K167"/>
  <c r="C167"/>
  <c r="K166"/>
  <c r="M166" s="1"/>
  <c r="N166" s="1"/>
  <c r="H166"/>
  <c r="F166"/>
  <c r="K165"/>
  <c r="M165" s="1"/>
  <c r="N165" s="1"/>
  <c r="H165"/>
  <c r="F165"/>
  <c r="K164"/>
  <c r="L164" s="1"/>
  <c r="H164"/>
  <c r="F164"/>
  <c r="K163"/>
  <c r="L163" s="1"/>
  <c r="H163"/>
  <c r="F163"/>
  <c r="K162"/>
  <c r="M162" s="1"/>
  <c r="N162" s="1"/>
  <c r="H162"/>
  <c r="F162"/>
  <c r="K161"/>
  <c r="L161" s="1"/>
  <c r="H161"/>
  <c r="F161"/>
  <c r="K160"/>
  <c r="M160" s="1"/>
  <c r="N160" s="1"/>
  <c r="H160"/>
  <c r="F160"/>
  <c r="K159"/>
  <c r="L159" s="1"/>
  <c r="H159"/>
  <c r="F159"/>
  <c r="K158"/>
  <c r="L158" s="1"/>
  <c r="H158"/>
  <c r="F158"/>
  <c r="K157"/>
  <c r="L157" s="1"/>
  <c r="H157"/>
  <c r="F157"/>
  <c r="K156"/>
  <c r="L156" s="1"/>
  <c r="H156"/>
  <c r="F156"/>
  <c r="K155"/>
  <c r="L155" s="1"/>
  <c r="H155"/>
  <c r="F155"/>
  <c r="K154"/>
  <c r="L154" s="1"/>
  <c r="H154"/>
  <c r="F154"/>
  <c r="K153"/>
  <c r="L153" s="1"/>
  <c r="H153"/>
  <c r="F153"/>
  <c r="K152"/>
  <c r="L152" s="1"/>
  <c r="H152"/>
  <c r="F152"/>
  <c r="K151"/>
  <c r="M151" s="1"/>
  <c r="C151"/>
  <c r="K150"/>
  <c r="M150" s="1"/>
  <c r="C150"/>
  <c r="K149"/>
  <c r="C149"/>
  <c r="K148"/>
  <c r="C148"/>
  <c r="K147"/>
  <c r="C147"/>
  <c r="K146"/>
  <c r="M146" s="1"/>
  <c r="C146"/>
  <c r="K145"/>
  <c r="C145"/>
  <c r="K144"/>
  <c r="C144"/>
  <c r="K143"/>
  <c r="C143"/>
  <c r="K142"/>
  <c r="M142" s="1"/>
  <c r="C142"/>
  <c r="K141"/>
  <c r="C141"/>
  <c r="K140"/>
  <c r="C140"/>
  <c r="K139"/>
  <c r="C139"/>
  <c r="K138"/>
  <c r="M138" s="1"/>
  <c r="C138"/>
  <c r="K137"/>
  <c r="C137"/>
  <c r="K136"/>
  <c r="L136" s="1"/>
  <c r="H136"/>
  <c r="F136"/>
  <c r="K135"/>
  <c r="C135"/>
  <c r="K134"/>
  <c r="C134"/>
  <c r="K133"/>
  <c r="M133" s="1"/>
  <c r="C133"/>
  <c r="K132"/>
  <c r="C132"/>
  <c r="K131"/>
  <c r="C131"/>
  <c r="K130"/>
  <c r="M130" s="1"/>
  <c r="C130"/>
  <c r="K129"/>
  <c r="L129" s="1"/>
  <c r="H129"/>
  <c r="F129"/>
  <c r="K128"/>
  <c r="L128" s="1"/>
  <c r="H128"/>
  <c r="F128"/>
  <c r="K127"/>
  <c r="L127" s="1"/>
  <c r="H127"/>
  <c r="F127"/>
  <c r="K126"/>
  <c r="L126" s="1"/>
  <c r="H126"/>
  <c r="F126"/>
  <c r="K125"/>
  <c r="L125" s="1"/>
  <c r="H125"/>
  <c r="F125"/>
  <c r="K124"/>
  <c r="L124" s="1"/>
  <c r="H124"/>
  <c r="F124"/>
  <c r="K123"/>
  <c r="L123" s="1"/>
  <c r="H123"/>
  <c r="F123"/>
  <c r="K122"/>
  <c r="M122" s="1"/>
  <c r="C122"/>
  <c r="K121"/>
  <c r="M121" s="1"/>
  <c r="C121"/>
  <c r="K120"/>
  <c r="C120"/>
  <c r="C119"/>
  <c r="F119" s="1"/>
  <c r="C118"/>
  <c r="K117"/>
  <c r="L117" s="1"/>
  <c r="H117"/>
  <c r="F117"/>
  <c r="K116"/>
  <c r="L116" s="1"/>
  <c r="H116"/>
  <c r="F116"/>
  <c r="K115"/>
  <c r="L115" s="1"/>
  <c r="H115"/>
  <c r="F115"/>
  <c r="K114"/>
  <c r="L114" s="1"/>
  <c r="H114"/>
  <c r="F114"/>
  <c r="K113"/>
  <c r="L113" s="1"/>
  <c r="H113"/>
  <c r="F113"/>
  <c r="K112"/>
  <c r="L112" s="1"/>
  <c r="H112"/>
  <c r="F112"/>
  <c r="K111"/>
  <c r="L111" s="1"/>
  <c r="H111"/>
  <c r="F111"/>
  <c r="K110"/>
  <c r="L110" s="1"/>
  <c r="H110"/>
  <c r="F110"/>
  <c r="K109"/>
  <c r="L109" s="1"/>
  <c r="H109"/>
  <c r="F109"/>
  <c r="K108"/>
  <c r="L108" s="1"/>
  <c r="H108"/>
  <c r="F108"/>
  <c r="K107"/>
  <c r="L107" s="1"/>
  <c r="H107"/>
  <c r="F107"/>
  <c r="K106"/>
  <c r="L106" s="1"/>
  <c r="H106"/>
  <c r="F106"/>
  <c r="K105"/>
  <c r="L105" s="1"/>
  <c r="H105"/>
  <c r="F105"/>
  <c r="K104"/>
  <c r="C104"/>
  <c r="K103"/>
  <c r="M103" s="1"/>
  <c r="C103"/>
  <c r="K102"/>
  <c r="M102" s="1"/>
  <c r="C102"/>
  <c r="K101"/>
  <c r="M101" s="1"/>
  <c r="C101"/>
  <c r="K100"/>
  <c r="C100"/>
  <c r="K99"/>
  <c r="M99" s="1"/>
  <c r="C99"/>
  <c r="K98"/>
  <c r="C98"/>
  <c r="K97"/>
  <c r="M97" s="1"/>
  <c r="C97"/>
  <c r="K96"/>
  <c r="C96"/>
  <c r="K95"/>
  <c r="M95" s="1"/>
  <c r="C95"/>
  <c r="K94"/>
  <c r="M94" s="1"/>
  <c r="C94"/>
  <c r="K93"/>
  <c r="M93" s="1"/>
  <c r="C93"/>
  <c r="K92"/>
  <c r="C92"/>
  <c r="K91"/>
  <c r="M91" s="1"/>
  <c r="C91"/>
  <c r="K90"/>
  <c r="L90" s="1"/>
  <c r="H90"/>
  <c r="F90"/>
  <c r="K89"/>
  <c r="M89" s="1"/>
  <c r="C89"/>
  <c r="K88"/>
  <c r="M88" s="1"/>
  <c r="C88"/>
  <c r="K87"/>
  <c r="C87"/>
  <c r="K86"/>
  <c r="M86" s="1"/>
  <c r="C86"/>
  <c r="K85"/>
  <c r="C85"/>
  <c r="K84"/>
  <c r="M84" s="1"/>
  <c r="N84" s="1"/>
  <c r="H84"/>
  <c r="F84"/>
  <c r="K83"/>
  <c r="M83" s="1"/>
  <c r="C83"/>
  <c r="K82"/>
  <c r="C82"/>
  <c r="K81"/>
  <c r="M81" s="1"/>
  <c r="C81"/>
  <c r="K80"/>
  <c r="M80" s="1"/>
  <c r="C80"/>
  <c r="K79"/>
  <c r="M79" s="1"/>
  <c r="C79"/>
  <c r="K78"/>
  <c r="C78"/>
  <c r="K77"/>
  <c r="M77" s="1"/>
  <c r="C77"/>
  <c r="K76"/>
  <c r="M76" s="1"/>
  <c r="C76"/>
  <c r="K75"/>
  <c r="M75" s="1"/>
  <c r="C75"/>
  <c r="K74"/>
  <c r="C74"/>
  <c r="K73"/>
  <c r="M73" s="1"/>
  <c r="C73"/>
  <c r="K72"/>
  <c r="M72" s="1"/>
  <c r="C72"/>
  <c r="K71"/>
  <c r="M71" s="1"/>
  <c r="C71"/>
  <c r="K70"/>
  <c r="L70" s="1"/>
  <c r="H70"/>
  <c r="F70"/>
  <c r="K69"/>
  <c r="C69"/>
  <c r="K68"/>
  <c r="M68" s="1"/>
  <c r="C68"/>
  <c r="K67"/>
  <c r="C67"/>
  <c r="K66"/>
  <c r="M66" s="1"/>
  <c r="C66"/>
  <c r="K65"/>
  <c r="C65"/>
  <c r="K64"/>
  <c r="M64" s="1"/>
  <c r="N64" s="1"/>
  <c r="H64"/>
  <c r="F64"/>
  <c r="K63"/>
  <c r="M63" s="1"/>
  <c r="C63"/>
  <c r="C62"/>
  <c r="K61"/>
  <c r="L61" s="1"/>
  <c r="H61"/>
  <c r="F61"/>
  <c r="K60"/>
  <c r="L60" s="1"/>
  <c r="H60"/>
  <c r="F60"/>
  <c r="C59"/>
  <c r="K58"/>
  <c r="L58" s="1"/>
  <c r="H58"/>
  <c r="F58"/>
  <c r="K57"/>
  <c r="L57" s="1"/>
  <c r="H57"/>
  <c r="F57"/>
  <c r="K56"/>
  <c r="M56" s="1"/>
  <c r="C56"/>
  <c r="K55"/>
  <c r="M55" s="1"/>
  <c r="C55"/>
  <c r="K54"/>
  <c r="M54" s="1"/>
  <c r="C54"/>
  <c r="K53"/>
  <c r="M53" s="1"/>
  <c r="C53"/>
  <c r="K52"/>
  <c r="M52" s="1"/>
  <c r="C52"/>
  <c r="K51"/>
  <c r="M51" s="1"/>
  <c r="C51"/>
  <c r="K50"/>
  <c r="M50" s="1"/>
  <c r="C50"/>
  <c r="K49"/>
  <c r="L49" s="1"/>
  <c r="H49"/>
  <c r="F49"/>
  <c r="K48"/>
  <c r="M48" s="1"/>
  <c r="N48" s="1"/>
  <c r="H48"/>
  <c r="F48"/>
  <c r="W47"/>
  <c r="K47"/>
  <c r="M47" s="1"/>
  <c r="C47"/>
  <c r="C46"/>
  <c r="C45"/>
  <c r="C44"/>
  <c r="H44" s="1"/>
  <c r="C43"/>
  <c r="K42"/>
  <c r="M42" s="1"/>
  <c r="C42"/>
  <c r="K41"/>
  <c r="M41" s="1"/>
  <c r="C41"/>
  <c r="K40"/>
  <c r="M40" s="1"/>
  <c r="C40"/>
  <c r="K39"/>
  <c r="M39" s="1"/>
  <c r="C39"/>
  <c r="C38"/>
  <c r="K37"/>
  <c r="L37" s="1"/>
  <c r="H37"/>
  <c r="F37"/>
  <c r="K36"/>
  <c r="L36" s="1"/>
  <c r="H36"/>
  <c r="F36"/>
  <c r="K35"/>
  <c r="L35" s="1"/>
  <c r="H35"/>
  <c r="F35"/>
  <c r="K34"/>
  <c r="M34" s="1"/>
  <c r="N34" s="1"/>
  <c r="H34"/>
  <c r="F34"/>
  <c r="K33"/>
  <c r="L33" s="1"/>
  <c r="H33"/>
  <c r="F33"/>
  <c r="K32"/>
  <c r="L32" s="1"/>
  <c r="H32"/>
  <c r="F32"/>
  <c r="K31"/>
  <c r="L31" s="1"/>
  <c r="H31"/>
  <c r="F31"/>
  <c r="K30"/>
  <c r="M30" s="1"/>
  <c r="C30"/>
  <c r="K29"/>
  <c r="M29" s="1"/>
  <c r="C29"/>
  <c r="K28"/>
  <c r="M28" s="1"/>
  <c r="N28" s="1"/>
  <c r="H28"/>
  <c r="F28"/>
  <c r="K27"/>
  <c r="C27"/>
  <c r="K26"/>
  <c r="C26"/>
  <c r="K25"/>
  <c r="L25" s="1"/>
  <c r="H25"/>
  <c r="F25"/>
  <c r="K24"/>
  <c r="C24"/>
  <c r="K23"/>
  <c r="M23" s="1"/>
  <c r="C23"/>
  <c r="K22"/>
  <c r="L22" s="1"/>
  <c r="H22"/>
  <c r="F22"/>
  <c r="K21"/>
  <c r="C21"/>
  <c r="H21" s="1"/>
  <c r="K20"/>
  <c r="C20"/>
  <c r="K19"/>
  <c r="C19"/>
  <c r="C18"/>
  <c r="K17"/>
  <c r="M17" s="1"/>
  <c r="N17" s="1"/>
  <c r="H17"/>
  <c r="K16"/>
  <c r="M16" s="1"/>
  <c r="C16"/>
  <c r="H16" s="1"/>
  <c r="K15"/>
  <c r="C15"/>
  <c r="K14"/>
  <c r="M14" s="1"/>
  <c r="N14" s="1"/>
  <c r="H14"/>
  <c r="K13"/>
  <c r="M13" s="1"/>
  <c r="N13" s="1"/>
  <c r="C13"/>
  <c r="H13" s="1"/>
  <c r="K12"/>
  <c r="M12" s="1"/>
  <c r="C12"/>
  <c r="K11"/>
  <c r="M11" s="1"/>
  <c r="N11" s="1"/>
  <c r="H11"/>
  <c r="K10"/>
  <c r="M10" s="1"/>
  <c r="C10"/>
  <c r="H10" s="1"/>
  <c r="K9"/>
  <c r="M9" s="1"/>
  <c r="C9"/>
  <c r="K8"/>
  <c r="M8" s="1"/>
  <c r="N8" s="1"/>
  <c r="H8"/>
  <c r="M7"/>
  <c r="C7"/>
  <c r="C6"/>
  <c r="H16" i="30"/>
  <c r="G16"/>
  <c r="F5"/>
  <c r="F6" s="1"/>
  <c r="A2"/>
  <c r="O18" i="42" l="1"/>
  <c r="E22"/>
  <c r="I22" s="1"/>
  <c r="F856" i="34"/>
  <c r="F855"/>
  <c r="F784" i="41"/>
  <c r="F786"/>
  <c r="F813"/>
  <c r="F885" i="34"/>
  <c r="F857"/>
  <c r="L297" i="41"/>
  <c r="N297"/>
  <c r="L302"/>
  <c r="N302"/>
  <c r="L374"/>
  <c r="N374"/>
  <c r="L426"/>
  <c r="N426"/>
  <c r="O426" s="1"/>
  <c r="L427"/>
  <c r="N427"/>
  <c r="N543"/>
  <c r="L543"/>
  <c r="L770"/>
  <c r="N770"/>
  <c r="L778"/>
  <c r="N778"/>
  <c r="N845"/>
  <c r="L845"/>
  <c r="N346" i="37"/>
  <c r="H373"/>
  <c r="F374"/>
  <c r="H376"/>
  <c r="F676"/>
  <c r="F679"/>
  <c r="H681"/>
  <c r="H682"/>
  <c r="L510" i="41"/>
  <c r="L282"/>
  <c r="N282"/>
  <c r="L295"/>
  <c r="N295"/>
  <c r="N328"/>
  <c r="L328"/>
  <c r="L386"/>
  <c r="N386"/>
  <c r="N533"/>
  <c r="L533"/>
  <c r="L847"/>
  <c r="N847"/>
  <c r="N848"/>
  <c r="L848"/>
  <c r="N348" i="37"/>
  <c r="F379"/>
  <c r="H382"/>
  <c r="F498"/>
  <c r="N498"/>
  <c r="F597"/>
  <c r="N676"/>
  <c r="N679"/>
  <c r="F791"/>
  <c r="N791"/>
  <c r="F793"/>
  <c r="N793"/>
  <c r="F795"/>
  <c r="N795"/>
  <c r="N363" i="41"/>
  <c r="L363"/>
  <c r="L393"/>
  <c r="N393"/>
  <c r="L504"/>
  <c r="N504"/>
  <c r="L844"/>
  <c r="N844"/>
  <c r="N597" i="37"/>
  <c r="H677"/>
  <c r="H680"/>
  <c r="L271" i="41"/>
  <c r="N271"/>
  <c r="L291"/>
  <c r="N291"/>
  <c r="L508"/>
  <c r="F508"/>
  <c r="K629"/>
  <c r="N629" s="1"/>
  <c r="F629"/>
  <c r="L773"/>
  <c r="N773"/>
  <c r="L780"/>
  <c r="N780"/>
  <c r="H623" i="37"/>
  <c r="N625"/>
  <c r="F605"/>
  <c r="L629" i="41"/>
  <c r="F46"/>
  <c r="F98"/>
  <c r="F109"/>
  <c r="F111"/>
  <c r="L136"/>
  <c r="F176"/>
  <c r="F198"/>
  <c r="N249"/>
  <c r="F270"/>
  <c r="L276"/>
  <c r="F278"/>
  <c r="L279"/>
  <c r="L337"/>
  <c r="F368"/>
  <c r="L375"/>
  <c r="L381"/>
  <c r="L405"/>
  <c r="L409"/>
  <c r="L420"/>
  <c r="L424"/>
  <c r="L437"/>
  <c r="L456"/>
  <c r="L460"/>
  <c r="L476"/>
  <c r="L486"/>
  <c r="F544"/>
  <c r="F553"/>
  <c r="F567"/>
  <c r="K569"/>
  <c r="K572"/>
  <c r="F573"/>
  <c r="K575"/>
  <c r="F576"/>
  <c r="F581"/>
  <c r="K584"/>
  <c r="K589"/>
  <c r="K593"/>
  <c r="K601"/>
  <c r="K612"/>
  <c r="F613"/>
  <c r="F619"/>
  <c r="F621"/>
  <c r="K623"/>
  <c r="K631"/>
  <c r="F632"/>
  <c r="K635"/>
  <c r="F641"/>
  <c r="F645"/>
  <c r="F648"/>
  <c r="F673"/>
  <c r="F675"/>
  <c r="F677"/>
  <c r="F679"/>
  <c r="K724"/>
  <c r="F725"/>
  <c r="F727"/>
  <c r="F736"/>
  <c r="F738"/>
  <c r="F746"/>
  <c r="F748"/>
  <c r="F767"/>
  <c r="F802"/>
  <c r="K806"/>
  <c r="F835"/>
  <c r="F838"/>
  <c r="F849"/>
  <c r="L957"/>
  <c r="N943" i="37"/>
  <c r="N945"/>
  <c r="N953"/>
  <c r="F9" i="41"/>
  <c r="F12"/>
  <c r="F32"/>
  <c r="K48"/>
  <c r="N48" s="1"/>
  <c r="F58"/>
  <c r="F60"/>
  <c r="F62"/>
  <c r="L98"/>
  <c r="F145"/>
  <c r="F171"/>
  <c r="F196"/>
  <c r="F202"/>
  <c r="F215"/>
  <c r="F218"/>
  <c r="F225"/>
  <c r="F230"/>
  <c r="L235"/>
  <c r="F237"/>
  <c r="F245"/>
  <c r="L270"/>
  <c r="F280"/>
  <c r="L281"/>
  <c r="F285"/>
  <c r="F306"/>
  <c r="F314"/>
  <c r="L320"/>
  <c r="F345"/>
  <c r="F351"/>
  <c r="F357"/>
  <c r="F386"/>
  <c r="L389"/>
  <c r="F395"/>
  <c r="F401"/>
  <c r="F412"/>
  <c r="F427"/>
  <c r="F431"/>
  <c r="F435"/>
  <c r="F442"/>
  <c r="F446"/>
  <c r="F450"/>
  <c r="F454"/>
  <c r="F472"/>
  <c r="F480"/>
  <c r="F484"/>
  <c r="F491"/>
  <c r="L503"/>
  <c r="F504"/>
  <c r="F506"/>
  <c r="C507"/>
  <c r="F511"/>
  <c r="F515"/>
  <c r="F520"/>
  <c r="F522"/>
  <c r="F530"/>
  <c r="F534"/>
  <c r="F536"/>
  <c r="F538"/>
  <c r="F540"/>
  <c r="F546"/>
  <c r="F548"/>
  <c r="F550"/>
  <c r="F563"/>
  <c r="F565"/>
  <c r="F568"/>
  <c r="F571"/>
  <c r="F598"/>
  <c r="F600"/>
  <c r="F603"/>
  <c r="F607"/>
  <c r="F609"/>
  <c r="F616"/>
  <c r="F625"/>
  <c r="F634"/>
  <c r="F683"/>
  <c r="F685"/>
  <c r="F721"/>
  <c r="F731"/>
  <c r="F733"/>
  <c r="F740"/>
  <c r="F743"/>
  <c r="F754"/>
  <c r="F756"/>
  <c r="F773"/>
  <c r="F780"/>
  <c r="F789"/>
  <c r="F791"/>
  <c r="F793"/>
  <c r="F795"/>
  <c r="F797"/>
  <c r="F799"/>
  <c r="F805"/>
  <c r="F816"/>
  <c r="F822"/>
  <c r="F824"/>
  <c r="F826"/>
  <c r="F828"/>
  <c r="F830"/>
  <c r="F832"/>
  <c r="F840"/>
  <c r="F842"/>
  <c r="F844"/>
  <c r="F7"/>
  <c r="F17"/>
  <c r="F27"/>
  <c r="F116"/>
  <c r="F118"/>
  <c r="F134"/>
  <c r="F164"/>
  <c r="F166"/>
  <c r="F170"/>
  <c r="L219"/>
  <c r="F233"/>
  <c r="F243"/>
  <c r="F249"/>
  <c r="L273"/>
  <c r="F552"/>
  <c r="F554"/>
  <c r="F556"/>
  <c r="F558"/>
  <c r="F560"/>
  <c r="F572"/>
  <c r="F580"/>
  <c r="F582"/>
  <c r="F587"/>
  <c r="F596"/>
  <c r="F614"/>
  <c r="F618"/>
  <c r="F620"/>
  <c r="F630"/>
  <c r="F640"/>
  <c r="F644"/>
  <c r="F649"/>
  <c r="F674"/>
  <c r="F676"/>
  <c r="F678"/>
  <c r="F680"/>
  <c r="F726"/>
  <c r="F728"/>
  <c r="F735"/>
  <c r="F737"/>
  <c r="F745"/>
  <c r="F747"/>
  <c r="F763"/>
  <c r="F765"/>
  <c r="F768"/>
  <c r="F801"/>
  <c r="F803"/>
  <c r="F839" i="37"/>
  <c r="N919"/>
  <c r="N921"/>
  <c r="N944"/>
  <c r="N952"/>
  <c r="L133" i="41"/>
  <c r="L224"/>
  <c r="L369"/>
  <c r="L391"/>
  <c r="L394"/>
  <c r="N26"/>
  <c r="L26"/>
  <c r="N27"/>
  <c r="L27"/>
  <c r="L123"/>
  <c r="N123"/>
  <c r="L127"/>
  <c r="N127"/>
  <c r="L131"/>
  <c r="N131"/>
  <c r="L159"/>
  <c r="N159"/>
  <c r="L204"/>
  <c r="N204"/>
  <c r="L208"/>
  <c r="N208"/>
  <c r="L227"/>
  <c r="N227"/>
  <c r="L274"/>
  <c r="F274"/>
  <c r="L284"/>
  <c r="N284"/>
  <c r="K299"/>
  <c r="F299"/>
  <c r="L303"/>
  <c r="F303"/>
  <c r="L305"/>
  <c r="N305"/>
  <c r="L359"/>
  <c r="N359"/>
  <c r="L502"/>
  <c r="N502"/>
  <c r="N19"/>
  <c r="N23"/>
  <c r="K31"/>
  <c r="K44"/>
  <c r="K46"/>
  <c r="F50"/>
  <c r="N54"/>
  <c r="N64"/>
  <c r="F66"/>
  <c r="F68"/>
  <c r="F70"/>
  <c r="F72"/>
  <c r="F74"/>
  <c r="F76"/>
  <c r="F78"/>
  <c r="N81"/>
  <c r="N85"/>
  <c r="N89"/>
  <c r="N93"/>
  <c r="K96"/>
  <c r="F100"/>
  <c r="L110"/>
  <c r="L115"/>
  <c r="K134"/>
  <c r="N134" s="1"/>
  <c r="L149"/>
  <c r="L157"/>
  <c r="L163"/>
  <c r="L177"/>
  <c r="L186"/>
  <c r="L190"/>
  <c r="L216"/>
  <c r="N235"/>
  <c r="L240"/>
  <c r="L244"/>
  <c r="L248"/>
  <c r="N276"/>
  <c r="L140"/>
  <c r="N140"/>
  <c r="L144"/>
  <c r="N144"/>
  <c r="L180"/>
  <c r="N180"/>
  <c r="L184"/>
  <c r="N184"/>
  <c r="L191"/>
  <c r="N191"/>
  <c r="L195"/>
  <c r="N195"/>
  <c r="L217"/>
  <c r="N217"/>
  <c r="L256"/>
  <c r="N256"/>
  <c r="K269"/>
  <c r="F269"/>
  <c r="L298"/>
  <c r="F298"/>
  <c r="L367"/>
  <c r="N367"/>
  <c r="L385"/>
  <c r="N385"/>
  <c r="F11"/>
  <c r="F18"/>
  <c r="F28"/>
  <c r="F30"/>
  <c r="F36"/>
  <c r="F38"/>
  <c r="F40"/>
  <c r="N43"/>
  <c r="N45"/>
  <c r="N53"/>
  <c r="N57"/>
  <c r="F59"/>
  <c r="F61"/>
  <c r="F63"/>
  <c r="N80"/>
  <c r="N84"/>
  <c r="N88"/>
  <c r="N92"/>
  <c r="F95"/>
  <c r="L104"/>
  <c r="L108"/>
  <c r="K145"/>
  <c r="N145" s="1"/>
  <c r="F146"/>
  <c r="L147"/>
  <c r="F148"/>
  <c r="L152"/>
  <c r="L156"/>
  <c r="L161"/>
  <c r="F162"/>
  <c r="L169"/>
  <c r="F183"/>
  <c r="F194"/>
  <c r="L199"/>
  <c r="K218"/>
  <c r="N218" s="1"/>
  <c r="F219"/>
  <c r="L222"/>
  <c r="L262"/>
  <c r="N280"/>
  <c r="L288"/>
  <c r="L309"/>
  <c r="L105"/>
  <c r="N105"/>
  <c r="L153"/>
  <c r="N153"/>
  <c r="L206"/>
  <c r="N206"/>
  <c r="L220"/>
  <c r="N220"/>
  <c r="L265"/>
  <c r="F265"/>
  <c r="K293"/>
  <c r="F293"/>
  <c r="L376"/>
  <c r="N376"/>
  <c r="L392"/>
  <c r="N392"/>
  <c r="L477"/>
  <c r="N477"/>
  <c r="F49"/>
  <c r="F65"/>
  <c r="F67"/>
  <c r="F69"/>
  <c r="F71"/>
  <c r="F73"/>
  <c r="F75"/>
  <c r="F77"/>
  <c r="F79"/>
  <c r="F99"/>
  <c r="F133"/>
  <c r="N146"/>
  <c r="F157"/>
  <c r="F160"/>
  <c r="F168"/>
  <c r="L175"/>
  <c r="L188"/>
  <c r="F205"/>
  <c r="L211"/>
  <c r="L214"/>
  <c r="N219"/>
  <c r="L234"/>
  <c r="L238"/>
  <c r="L242"/>
  <c r="L246"/>
  <c r="L182"/>
  <c r="N182"/>
  <c r="L193"/>
  <c r="N193"/>
  <c r="L212"/>
  <c r="N212"/>
  <c r="L251"/>
  <c r="F251"/>
  <c r="L253"/>
  <c r="N253"/>
  <c r="L258"/>
  <c r="F258"/>
  <c r="L264"/>
  <c r="F264"/>
  <c r="L268"/>
  <c r="N268"/>
  <c r="K275"/>
  <c r="F275"/>
  <c r="L292"/>
  <c r="F292"/>
  <c r="L425"/>
  <c r="N425"/>
  <c r="L260"/>
  <c r="N294"/>
  <c r="F115"/>
  <c r="F117"/>
  <c r="F119"/>
  <c r="F147"/>
  <c r="F149"/>
  <c r="F161"/>
  <c r="F163"/>
  <c r="F165"/>
  <c r="F167"/>
  <c r="N318"/>
  <c r="N320"/>
  <c r="N330"/>
  <c r="N335"/>
  <c r="N337"/>
  <c r="N342"/>
  <c r="F350"/>
  <c r="F356"/>
  <c r="N358"/>
  <c r="N360"/>
  <c r="F369"/>
  <c r="N375"/>
  <c r="N377"/>
  <c r="N379"/>
  <c r="N381"/>
  <c r="N384"/>
  <c r="N387"/>
  <c r="N389"/>
  <c r="F391"/>
  <c r="N394"/>
  <c r="N396"/>
  <c r="N403"/>
  <c r="N405"/>
  <c r="N407"/>
  <c r="N409"/>
  <c r="N416"/>
  <c r="N418"/>
  <c r="N420"/>
  <c r="N422"/>
  <c r="F424"/>
  <c r="N428"/>
  <c r="N437"/>
  <c r="N456"/>
  <c r="N458"/>
  <c r="N460"/>
  <c r="N465"/>
  <c r="N467"/>
  <c r="N474"/>
  <c r="N476"/>
  <c r="N486"/>
  <c r="N488"/>
  <c r="N495"/>
  <c r="N498"/>
  <c r="N501"/>
  <c r="F311"/>
  <c r="F313"/>
  <c r="F315"/>
  <c r="F317"/>
  <c r="F334"/>
  <c r="F339"/>
  <c r="F341"/>
  <c r="F346"/>
  <c r="F348"/>
  <c r="F354"/>
  <c r="F359"/>
  <c r="F364"/>
  <c r="F366"/>
  <c r="F371"/>
  <c r="F373"/>
  <c r="F376"/>
  <c r="F385"/>
  <c r="F392"/>
  <c r="F398"/>
  <c r="F400"/>
  <c r="F402"/>
  <c r="F411"/>
  <c r="F413"/>
  <c r="F415"/>
  <c r="F425"/>
  <c r="F432"/>
  <c r="F434"/>
  <c r="F441"/>
  <c r="F443"/>
  <c r="F445"/>
  <c r="F447"/>
  <c r="F449"/>
  <c r="F451"/>
  <c r="F453"/>
  <c r="F464"/>
  <c r="F469"/>
  <c r="F471"/>
  <c r="F473"/>
  <c r="F477"/>
  <c r="F479"/>
  <c r="F481"/>
  <c r="F483"/>
  <c r="F492"/>
  <c r="F497"/>
  <c r="F500"/>
  <c r="F502"/>
  <c r="B51" i="40"/>
  <c r="B38"/>
  <c r="B41" s="1"/>
  <c r="B44" s="1"/>
  <c r="C35"/>
  <c r="C48"/>
  <c r="H48" s="1"/>
  <c r="G49" s="1"/>
  <c r="H32"/>
  <c r="G33" s="1"/>
  <c r="E35"/>
  <c r="H29"/>
  <c r="G30" s="1"/>
  <c r="B48"/>
  <c r="B56" s="1"/>
  <c r="B59" s="1"/>
  <c r="B62" s="1"/>
  <c r="B65" s="1"/>
  <c r="J23"/>
  <c r="N372" i="37"/>
  <c r="F381"/>
  <c r="N350"/>
  <c r="F358"/>
  <c r="F359"/>
  <c r="F372"/>
  <c r="H374"/>
  <c r="F376"/>
  <c r="H379"/>
  <c r="F677"/>
  <c r="F680"/>
  <c r="F766"/>
  <c r="F811"/>
  <c r="F812"/>
  <c r="F813"/>
  <c r="F814"/>
  <c r="F836"/>
  <c r="N917"/>
  <c r="N924"/>
  <c r="N931"/>
  <c r="N933"/>
  <c r="N940"/>
  <c r="N949"/>
  <c r="N956"/>
  <c r="F373"/>
  <c r="H381"/>
  <c r="F382"/>
  <c r="H496"/>
  <c r="H605"/>
  <c r="F626"/>
  <c r="N626"/>
  <c r="H675"/>
  <c r="N766"/>
  <c r="F797"/>
  <c r="N797"/>
  <c r="N811"/>
  <c r="N812"/>
  <c r="N813"/>
  <c r="N814"/>
  <c r="F496"/>
  <c r="F675"/>
  <c r="N839"/>
  <c r="N923"/>
  <c r="N925"/>
  <c r="N939"/>
  <c r="N941"/>
  <c r="N957"/>
  <c r="G386"/>
  <c r="E1438" i="35"/>
  <c r="H1438" s="1"/>
  <c r="M252" i="37"/>
  <c r="K663" i="35"/>
  <c r="M281" i="37"/>
  <c r="H281"/>
  <c r="M294"/>
  <c r="H294"/>
  <c r="M807"/>
  <c r="M369"/>
  <c r="M505"/>
  <c r="M570"/>
  <c r="M590"/>
  <c r="H590"/>
  <c r="H592"/>
  <c r="M592"/>
  <c r="M595"/>
  <c r="H595"/>
  <c r="M603"/>
  <c r="H603"/>
  <c r="M602"/>
  <c r="H602"/>
  <c r="M134"/>
  <c r="M147"/>
  <c r="H250"/>
  <c r="M250"/>
  <c r="M295"/>
  <c r="H295"/>
  <c r="H351"/>
  <c r="M351"/>
  <c r="H850"/>
  <c r="M850"/>
  <c r="M724"/>
  <c r="M591"/>
  <c r="H591"/>
  <c r="H606"/>
  <c r="M606"/>
  <c r="H13"/>
  <c r="N13"/>
  <c r="H204" i="35"/>
  <c r="G205"/>
  <c r="M97" i="37"/>
  <c r="M99"/>
  <c r="M265"/>
  <c r="M275"/>
  <c r="M276"/>
  <c r="M283"/>
  <c r="P299"/>
  <c r="B299"/>
  <c r="M304"/>
  <c r="M771"/>
  <c r="M380"/>
  <c r="H380"/>
  <c r="M725"/>
  <c r="M545"/>
  <c r="M585"/>
  <c r="M586"/>
  <c r="G593"/>
  <c r="H894" i="35"/>
  <c r="H55"/>
  <c r="H56" s="1"/>
  <c r="G27" i="37" s="1"/>
  <c r="H948" i="35"/>
  <c r="H981"/>
  <c r="H982" s="1"/>
  <c r="G503" i="37" s="1"/>
  <c r="F13"/>
  <c r="G425"/>
  <c r="H413" i="35"/>
  <c r="M146" i="37"/>
  <c r="M387"/>
  <c r="M220"/>
  <c r="H236"/>
  <c r="M236"/>
  <c r="M266"/>
  <c r="M271"/>
  <c r="M282"/>
  <c r="M296"/>
  <c r="M329"/>
  <c r="H329"/>
  <c r="M504"/>
  <c r="M568"/>
  <c r="M637"/>
  <c r="M759"/>
  <c r="M428"/>
  <c r="H280" i="35"/>
  <c r="G281"/>
  <c r="M135" i="37"/>
  <c r="M394"/>
  <c r="M219"/>
  <c r="M300"/>
  <c r="M370"/>
  <c r="H370"/>
  <c r="H544"/>
  <c r="M544"/>
  <c r="H596"/>
  <c r="M596"/>
  <c r="AC41" i="39"/>
  <c r="Z42"/>
  <c r="AC42" s="1"/>
  <c r="Z45"/>
  <c r="AC45" s="1"/>
  <c r="F62" i="35"/>
  <c r="H62"/>
  <c r="M45" i="37"/>
  <c r="M49"/>
  <c r="M98"/>
  <c r="E1437" i="35"/>
  <c r="H1437" s="1"/>
  <c r="G393" i="37"/>
  <c r="M251"/>
  <c r="H251"/>
  <c r="M259"/>
  <c r="H768"/>
  <c r="M768"/>
  <c r="G272"/>
  <c r="H763" i="35"/>
  <c r="G277" i="37" s="1"/>
  <c r="M274"/>
  <c r="M298"/>
  <c r="H368"/>
  <c r="M368"/>
  <c r="H377"/>
  <c r="M377"/>
  <c r="M514"/>
  <c r="M534"/>
  <c r="M640"/>
  <c r="M613"/>
  <c r="M779"/>
  <c r="M643"/>
  <c r="M751"/>
  <c r="M292"/>
  <c r="A265" i="39"/>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H1432" i="35"/>
  <c r="H1433" s="1"/>
  <c r="G629" i="37" s="1"/>
  <c r="J654" i="35"/>
  <c r="H1407"/>
  <c r="H1408" s="1"/>
  <c r="B774" i="37"/>
  <c r="F774" s="1"/>
  <c r="N774"/>
  <c r="M576"/>
  <c r="P239"/>
  <c r="B239"/>
  <c r="P243"/>
  <c r="B243"/>
  <c r="N256"/>
  <c r="P256"/>
  <c r="P261"/>
  <c r="B261"/>
  <c r="P285"/>
  <c r="P290"/>
  <c r="B290"/>
  <c r="P493"/>
  <c r="B493"/>
  <c r="M587"/>
  <c r="H587"/>
  <c r="P238"/>
  <c r="B238"/>
  <c r="P242"/>
  <c r="B242"/>
  <c r="P246"/>
  <c r="B246"/>
  <c r="P264"/>
  <c r="B264"/>
  <c r="P289"/>
  <c r="B289"/>
  <c r="P334"/>
  <c r="B334"/>
  <c r="N343"/>
  <c r="P343"/>
  <c r="N344"/>
  <c r="P344"/>
  <c r="P348"/>
  <c r="B348"/>
  <c r="F348" s="1"/>
  <c r="N358"/>
  <c r="P358"/>
  <c r="N359"/>
  <c r="P359"/>
  <c r="P365"/>
  <c r="B365"/>
  <c r="F365" s="1"/>
  <c r="P402"/>
  <c r="B402"/>
  <c r="P429"/>
  <c r="P430"/>
  <c r="P434"/>
  <c r="B434"/>
  <c r="P492"/>
  <c r="B492"/>
  <c r="N517"/>
  <c r="P517"/>
  <c r="P518"/>
  <c r="P519"/>
  <c r="P523"/>
  <c r="B523"/>
  <c r="P532"/>
  <c r="B532"/>
  <c r="P536"/>
  <c r="B536"/>
  <c r="P540"/>
  <c r="B540"/>
  <c r="P548"/>
  <c r="B548"/>
  <c r="P569"/>
  <c r="B569"/>
  <c r="N600"/>
  <c r="P600"/>
  <c r="B600"/>
  <c r="F600" s="1"/>
  <c r="N617"/>
  <c r="P617"/>
  <c r="B617"/>
  <c r="F617" s="1"/>
  <c r="N651"/>
  <c r="P651"/>
  <c r="N705"/>
  <c r="P705"/>
  <c r="N740"/>
  <c r="P740"/>
  <c r="P757"/>
  <c r="B757"/>
  <c r="P782"/>
  <c r="B782"/>
  <c r="N817"/>
  <c r="P817"/>
  <c r="B817"/>
  <c r="F817" s="1"/>
  <c r="N822"/>
  <c r="P822"/>
  <c r="N826"/>
  <c r="P826"/>
  <c r="B826"/>
  <c r="F826" s="1"/>
  <c r="P830"/>
  <c r="B830"/>
  <c r="P834"/>
  <c r="B834"/>
  <c r="N840"/>
  <c r="P840"/>
  <c r="P844"/>
  <c r="B844"/>
  <c r="N845"/>
  <c r="P845"/>
  <c r="B845"/>
  <c r="F845" s="1"/>
  <c r="N846"/>
  <c r="P846"/>
  <c r="B846"/>
  <c r="F846" s="1"/>
  <c r="L861"/>
  <c r="M861"/>
  <c r="Q10" i="38"/>
  <c r="Z19" i="39" s="1"/>
  <c r="Q5" i="38"/>
  <c r="Q6" s="1"/>
  <c r="Q7" s="1"/>
  <c r="Q13"/>
  <c r="Z43" i="39" s="1"/>
  <c r="AC43" s="1"/>
  <c r="P150" s="1"/>
  <c r="R150" s="1"/>
  <c r="I3748"/>
  <c r="I3253"/>
  <c r="K3253" s="1"/>
  <c r="P1375"/>
  <c r="R1375" s="1"/>
  <c r="V1334"/>
  <c r="X1334" s="1"/>
  <c r="D11"/>
  <c r="C10"/>
  <c r="K382"/>
  <c r="V382"/>
  <c r="J686"/>
  <c r="AF448"/>
  <c r="W434"/>
  <c r="J706"/>
  <c r="AF411"/>
  <c r="W402"/>
  <c r="V3672"/>
  <c r="X3672" s="1"/>
  <c r="I3796"/>
  <c r="K3796" s="1"/>
  <c r="P1549"/>
  <c r="R1549" s="1"/>
  <c r="T1182"/>
  <c r="T1158"/>
  <c r="AC1198"/>
  <c r="AC1199" s="1"/>
  <c r="AC1200" s="1"/>
  <c r="AC1201" s="1"/>
  <c r="AC1202" s="1"/>
  <c r="J596"/>
  <c r="J595"/>
  <c r="J594"/>
  <c r="J629"/>
  <c r="J630" s="1"/>
  <c r="J631" s="1"/>
  <c r="J632" s="1"/>
  <c r="J614"/>
  <c r="V592" s="1"/>
  <c r="J599"/>
  <c r="J593"/>
  <c r="J592"/>
  <c r="J591"/>
  <c r="J536"/>
  <c r="J537" s="1"/>
  <c r="J538" s="1"/>
  <c r="J660"/>
  <c r="J661" s="1"/>
  <c r="J662" s="1"/>
  <c r="J613"/>
  <c r="V591" s="1"/>
  <c r="J598"/>
  <c r="J597"/>
  <c r="J560"/>
  <c r="AJ1198"/>
  <c r="J615"/>
  <c r="V593" s="1"/>
  <c r="J616"/>
  <c r="V594" s="1"/>
  <c r="AJ1199"/>
  <c r="B115" i="37"/>
  <c r="F115" s="1"/>
  <c r="B160"/>
  <c r="F160" s="1"/>
  <c r="G149" i="35"/>
  <c r="B18" i="37"/>
  <c r="B19"/>
  <c r="B29"/>
  <c r="B30"/>
  <c r="B31"/>
  <c r="B36"/>
  <c r="B37"/>
  <c r="B38"/>
  <c r="B39"/>
  <c r="B40"/>
  <c r="B41"/>
  <c r="B42"/>
  <c r="B116"/>
  <c r="B117"/>
  <c r="B118"/>
  <c r="B119"/>
  <c r="B120"/>
  <c r="B148"/>
  <c r="B149"/>
  <c r="B150"/>
  <c r="B161"/>
  <c r="B162"/>
  <c r="B163"/>
  <c r="B164"/>
  <c r="B165"/>
  <c r="B166"/>
  <c r="B167"/>
  <c r="B168"/>
  <c r="B169"/>
  <c r="B170"/>
  <c r="B171"/>
  <c r="B172"/>
  <c r="B193"/>
  <c r="B194"/>
  <c r="B195"/>
  <c r="B196"/>
  <c r="B197"/>
  <c r="B228"/>
  <c r="N347"/>
  <c r="F352"/>
  <c r="N356"/>
  <c r="B375"/>
  <c r="F423"/>
  <c r="N522"/>
  <c r="P612"/>
  <c r="M623"/>
  <c r="N847"/>
  <c r="H849"/>
  <c r="X83" i="39"/>
  <c r="P257" i="37"/>
  <c r="N319"/>
  <c r="P319"/>
  <c r="P321"/>
  <c r="P335"/>
  <c r="B335"/>
  <c r="P354"/>
  <c r="B354"/>
  <c r="F354" s="1"/>
  <c r="P399"/>
  <c r="B399"/>
  <c r="N499"/>
  <c r="P499"/>
  <c r="P531"/>
  <c r="B531"/>
  <c r="M580"/>
  <c r="N589"/>
  <c r="P589"/>
  <c r="N599"/>
  <c r="P599"/>
  <c r="B599"/>
  <c r="F599" s="1"/>
  <c r="M638"/>
  <c r="N652"/>
  <c r="P652"/>
  <c r="N660"/>
  <c r="P660"/>
  <c r="N689"/>
  <c r="P689"/>
  <c r="N697"/>
  <c r="P697"/>
  <c r="N709"/>
  <c r="P709"/>
  <c r="N760"/>
  <c r="P760"/>
  <c r="N776"/>
  <c r="P776"/>
  <c r="P781"/>
  <c r="B781"/>
  <c r="N825"/>
  <c r="P825"/>
  <c r="B825"/>
  <c r="F825" s="1"/>
  <c r="P843"/>
  <c r="B843"/>
  <c r="N853"/>
  <c r="P853"/>
  <c r="N854"/>
  <c r="P854"/>
  <c r="B854"/>
  <c r="F854" s="1"/>
  <c r="L857"/>
  <c r="M857"/>
  <c r="M594"/>
  <c r="H594"/>
  <c r="M632"/>
  <c r="H632"/>
  <c r="P241"/>
  <c r="B241"/>
  <c r="P245"/>
  <c r="B245"/>
  <c r="P249"/>
  <c r="B249"/>
  <c r="P263"/>
  <c r="B263"/>
  <c r="P288"/>
  <c r="B288"/>
  <c r="P324"/>
  <c r="B324"/>
  <c r="P347"/>
  <c r="B347"/>
  <c r="F347" s="1"/>
  <c r="N352"/>
  <c r="P352"/>
  <c r="P356"/>
  <c r="B356"/>
  <c r="F356" s="1"/>
  <c r="N385"/>
  <c r="P385"/>
  <c r="P395"/>
  <c r="P396"/>
  <c r="P397"/>
  <c r="P401"/>
  <c r="B401"/>
  <c r="N417"/>
  <c r="P417"/>
  <c r="P418"/>
  <c r="P419"/>
  <c r="P420"/>
  <c r="P421"/>
  <c r="P422"/>
  <c r="N423"/>
  <c r="P423"/>
  <c r="P433"/>
  <c r="B433"/>
  <c r="N456"/>
  <c r="P456"/>
  <c r="P457"/>
  <c r="P458"/>
  <c r="P459"/>
  <c r="P460"/>
  <c r="P461"/>
  <c r="P462"/>
  <c r="P501"/>
  <c r="B501"/>
  <c r="P522"/>
  <c r="B522"/>
  <c r="F522" s="1"/>
  <c r="P537"/>
  <c r="B537"/>
  <c r="P541"/>
  <c r="B541"/>
  <c r="P549"/>
  <c r="B549"/>
  <c r="N601"/>
  <c r="P601"/>
  <c r="B601"/>
  <c r="F601" s="1"/>
  <c r="N634"/>
  <c r="P634"/>
  <c r="N656"/>
  <c r="P656"/>
  <c r="N664"/>
  <c r="P664"/>
  <c r="N672"/>
  <c r="P672"/>
  <c r="N693"/>
  <c r="P693"/>
  <c r="N701"/>
  <c r="P701"/>
  <c r="N718"/>
  <c r="P718"/>
  <c r="P741"/>
  <c r="B741"/>
  <c r="N754"/>
  <c r="P754"/>
  <c r="P758"/>
  <c r="B758"/>
  <c r="N818"/>
  <c r="P818"/>
  <c r="B818"/>
  <c r="F818" s="1"/>
  <c r="N823"/>
  <c r="P823"/>
  <c r="B823"/>
  <c r="F823" s="1"/>
  <c r="N827"/>
  <c r="P827"/>
  <c r="B827"/>
  <c r="F827" s="1"/>
  <c r="P831"/>
  <c r="B831"/>
  <c r="P841"/>
  <c r="B841"/>
  <c r="N859"/>
  <c r="B859"/>
  <c r="F859" s="1"/>
  <c r="L865"/>
  <c r="M865"/>
  <c r="Z32" i="39"/>
  <c r="AC31"/>
  <c r="I1590"/>
  <c r="K1590" s="1"/>
  <c r="I1564"/>
  <c r="K1564" s="1"/>
  <c r="I1577"/>
  <c r="K1577" s="1"/>
  <c r="K96"/>
  <c r="M96"/>
  <c r="M97" s="1"/>
  <c r="K1022"/>
  <c r="P1096"/>
  <c r="AD1369"/>
  <c r="AB1386"/>
  <c r="AD1386" s="1"/>
  <c r="N365" i="37"/>
  <c r="H15" i="35"/>
  <c r="H26" s="1"/>
  <c r="H27" s="1"/>
  <c r="G7" i="37" s="1"/>
  <c r="H31" i="35"/>
  <c r="H33" s="1"/>
  <c r="H34" s="1"/>
  <c r="G28" i="37" s="1"/>
  <c r="E60" i="35"/>
  <c r="G311"/>
  <c r="E675"/>
  <c r="H675" s="1"/>
  <c r="H685" s="1"/>
  <c r="H686" s="1"/>
  <c r="G270" i="37" s="1"/>
  <c r="E1427" i="35"/>
  <c r="H1427" s="1"/>
  <c r="B8" i="37"/>
  <c r="B9"/>
  <c r="B10"/>
  <c r="D12"/>
  <c r="P17"/>
  <c r="P18"/>
  <c r="P19"/>
  <c r="P23"/>
  <c r="P29"/>
  <c r="P30"/>
  <c r="P31"/>
  <c r="P35"/>
  <c r="P36"/>
  <c r="P37"/>
  <c r="P38"/>
  <c r="P39"/>
  <c r="P40"/>
  <c r="P41"/>
  <c r="P42"/>
  <c r="P52"/>
  <c r="P56"/>
  <c r="P81"/>
  <c r="P85"/>
  <c r="P89"/>
  <c r="P93"/>
  <c r="P102"/>
  <c r="P106"/>
  <c r="P115"/>
  <c r="P116"/>
  <c r="P117"/>
  <c r="P118"/>
  <c r="P119"/>
  <c r="P120"/>
  <c r="P124"/>
  <c r="P128"/>
  <c r="P132"/>
  <c r="P139"/>
  <c r="P143"/>
  <c r="P148"/>
  <c r="P149"/>
  <c r="P150"/>
  <c r="P154"/>
  <c r="P160"/>
  <c r="P161"/>
  <c r="P162"/>
  <c r="P163"/>
  <c r="P164"/>
  <c r="P165"/>
  <c r="P166"/>
  <c r="P167"/>
  <c r="P168"/>
  <c r="P169"/>
  <c r="P170"/>
  <c r="P171"/>
  <c r="P172"/>
  <c r="B174"/>
  <c r="B175"/>
  <c r="B176"/>
  <c r="B177"/>
  <c r="B178"/>
  <c r="B179"/>
  <c r="P192"/>
  <c r="P193"/>
  <c r="P194"/>
  <c r="P195"/>
  <c r="P196"/>
  <c r="P197"/>
  <c r="B199"/>
  <c r="B200"/>
  <c r="B201"/>
  <c r="B202"/>
  <c r="B203"/>
  <c r="P211"/>
  <c r="P218"/>
  <c r="P227"/>
  <c r="P228"/>
  <c r="B230"/>
  <c r="B231"/>
  <c r="B303"/>
  <c r="P303"/>
  <c r="N362"/>
  <c r="M364"/>
  <c r="N367"/>
  <c r="N500"/>
  <c r="B625"/>
  <c r="F625" s="1"/>
  <c r="P625"/>
  <c r="H774"/>
  <c r="N920"/>
  <c r="N936"/>
  <c r="K379" i="39"/>
  <c r="M624" i="37"/>
  <c r="H624"/>
  <c r="M636"/>
  <c r="P247"/>
  <c r="B247"/>
  <c r="N284"/>
  <c r="P284"/>
  <c r="P286"/>
  <c r="P320"/>
  <c r="N322"/>
  <c r="P322"/>
  <c r="N328"/>
  <c r="P328"/>
  <c r="P349"/>
  <c r="B349"/>
  <c r="F349" s="1"/>
  <c r="N361"/>
  <c r="P361"/>
  <c r="P366"/>
  <c r="B366"/>
  <c r="F366" s="1"/>
  <c r="P403"/>
  <c r="B403"/>
  <c r="P435"/>
  <c r="B435"/>
  <c r="P464"/>
  <c r="B464"/>
  <c r="N510"/>
  <c r="P510"/>
  <c r="P535"/>
  <c r="B535"/>
  <c r="P539"/>
  <c r="B539"/>
  <c r="P547"/>
  <c r="B547"/>
  <c r="P551"/>
  <c r="B551"/>
  <c r="N628"/>
  <c r="P628"/>
  <c r="B628"/>
  <c r="F628" s="1"/>
  <c r="N668"/>
  <c r="P668"/>
  <c r="N714"/>
  <c r="P714"/>
  <c r="B714"/>
  <c r="F714" s="1"/>
  <c r="P756"/>
  <c r="B756"/>
  <c r="N816"/>
  <c r="P816"/>
  <c r="B816"/>
  <c r="F816" s="1"/>
  <c r="P829"/>
  <c r="B829"/>
  <c r="P833"/>
  <c r="B833"/>
  <c r="N867"/>
  <c r="B867"/>
  <c r="F867" s="1"/>
  <c r="Z26" i="39"/>
  <c r="Z25"/>
  <c r="I3121"/>
  <c r="J3044"/>
  <c r="K3044" s="1"/>
  <c r="I2409"/>
  <c r="K2409" s="1"/>
  <c r="I2106"/>
  <c r="K2106" s="1"/>
  <c r="I2030"/>
  <c r="I2027"/>
  <c r="I1943"/>
  <c r="I2011"/>
  <c r="I1972"/>
  <c r="I1993"/>
  <c r="I2077"/>
  <c r="K2077" s="1"/>
  <c r="I2053"/>
  <c r="K2053" s="1"/>
  <c r="I2008"/>
  <c r="I1631"/>
  <c r="P2336"/>
  <c r="R2336" s="1"/>
  <c r="I2321"/>
  <c r="K2321" s="1"/>
  <c r="I355"/>
  <c r="K355" s="1"/>
  <c r="I335"/>
  <c r="I410"/>
  <c r="K410" s="1"/>
  <c r="I311"/>
  <c r="K311" s="1"/>
  <c r="I379"/>
  <c r="I1490"/>
  <c r="K1490" s="1"/>
  <c r="P390"/>
  <c r="R390" s="1"/>
  <c r="P376"/>
  <c r="R376" s="1"/>
  <c r="P240" i="37"/>
  <c r="B240"/>
  <c r="P244"/>
  <c r="B244"/>
  <c r="P248"/>
  <c r="B248"/>
  <c r="P262"/>
  <c r="B262"/>
  <c r="N269"/>
  <c r="P269"/>
  <c r="N302"/>
  <c r="P302"/>
  <c r="N330"/>
  <c r="P330"/>
  <c r="P331"/>
  <c r="P332"/>
  <c r="P346"/>
  <c r="B346"/>
  <c r="F346" s="1"/>
  <c r="P350"/>
  <c r="B350"/>
  <c r="F350" s="1"/>
  <c r="P355"/>
  <c r="B355"/>
  <c r="F355" s="1"/>
  <c r="P367"/>
  <c r="B367"/>
  <c r="F367" s="1"/>
  <c r="P400"/>
  <c r="B400"/>
  <c r="P432"/>
  <c r="B432"/>
  <c r="P436"/>
  <c r="B436"/>
  <c r="P465"/>
  <c r="B465"/>
  <c r="N475"/>
  <c r="P475"/>
  <c r="P476"/>
  <c r="P477"/>
  <c r="N486"/>
  <c r="P486"/>
  <c r="P487"/>
  <c r="P488"/>
  <c r="P489"/>
  <c r="P490"/>
  <c r="P494"/>
  <c r="B494"/>
  <c r="P521"/>
  <c r="B521"/>
  <c r="N530"/>
  <c r="P530"/>
  <c r="P538"/>
  <c r="B538"/>
  <c r="N546"/>
  <c r="P546"/>
  <c r="P550"/>
  <c r="B550"/>
  <c r="P635"/>
  <c r="B635"/>
  <c r="N713"/>
  <c r="P713"/>
  <c r="N755"/>
  <c r="P755"/>
  <c r="B755"/>
  <c r="F755" s="1"/>
  <c r="N815"/>
  <c r="P815"/>
  <c r="N824"/>
  <c r="P824"/>
  <c r="B824"/>
  <c r="F824" s="1"/>
  <c r="P828"/>
  <c r="B828"/>
  <c r="P832"/>
  <c r="B832"/>
  <c r="P842"/>
  <c r="B842"/>
  <c r="N863"/>
  <c r="B863"/>
  <c r="F863" s="1"/>
  <c r="L869"/>
  <c r="M869"/>
  <c r="E13" i="38"/>
  <c r="Z38" i="39" s="1"/>
  <c r="AC38" s="1"/>
  <c r="E5" i="38"/>
  <c r="I74" i="39"/>
  <c r="K74" s="1"/>
  <c r="I29"/>
  <c r="K29" s="1"/>
  <c r="I55"/>
  <c r="K55" s="1"/>
  <c r="I20"/>
  <c r="K20" s="1"/>
  <c r="I65"/>
  <c r="K65" s="1"/>
  <c r="P24"/>
  <c r="I156"/>
  <c r="K156" s="1"/>
  <c r="I37"/>
  <c r="K37" s="1"/>
  <c r="I11"/>
  <c r="K11" s="1"/>
  <c r="AC1197"/>
  <c r="J590"/>
  <c r="AJ1197"/>
  <c r="S1182"/>
  <c r="S1158"/>
  <c r="J659"/>
  <c r="W486" s="1"/>
  <c r="AC486" s="1"/>
  <c r="J628"/>
  <c r="J559"/>
  <c r="W561" s="1"/>
  <c r="AC561" s="1"/>
  <c r="J535"/>
  <c r="W537" s="1"/>
  <c r="AC537" s="1"/>
  <c r="J612"/>
  <c r="V590" s="1"/>
  <c r="K3523"/>
  <c r="P3527"/>
  <c r="E61" i="35"/>
  <c r="B17" i="37"/>
  <c r="F17" s="1"/>
  <c r="B102"/>
  <c r="F102" s="1"/>
  <c r="B106"/>
  <c r="F106" s="1"/>
  <c r="B154"/>
  <c r="F154" s="1"/>
  <c r="B520"/>
  <c r="F520" s="1"/>
  <c r="P578"/>
  <c r="M616"/>
  <c r="P774"/>
  <c r="P806"/>
  <c r="H175" i="35"/>
  <c r="J196" s="1"/>
  <c r="B256" i="37"/>
  <c r="F256" s="1"/>
  <c r="B257"/>
  <c r="B284"/>
  <c r="F284" s="1"/>
  <c r="B285"/>
  <c r="B286"/>
  <c r="M293"/>
  <c r="B319"/>
  <c r="F319" s="1"/>
  <c r="B320"/>
  <c r="B321"/>
  <c r="B322"/>
  <c r="F322" s="1"/>
  <c r="B328"/>
  <c r="F328" s="1"/>
  <c r="N345"/>
  <c r="N349"/>
  <c r="N354"/>
  <c r="B361"/>
  <c r="F361" s="1"/>
  <c r="N366"/>
  <c r="N431"/>
  <c r="B499"/>
  <c r="F499" s="1"/>
  <c r="B510"/>
  <c r="F510" s="1"/>
  <c r="B511"/>
  <c r="P511"/>
  <c r="N520"/>
  <c r="B578"/>
  <c r="B589"/>
  <c r="F589" s="1"/>
  <c r="M627"/>
  <c r="B652"/>
  <c r="F652" s="1"/>
  <c r="B660"/>
  <c r="F660" s="1"/>
  <c r="B668"/>
  <c r="F668" s="1"/>
  <c r="B689"/>
  <c r="F689" s="1"/>
  <c r="B697"/>
  <c r="F697" s="1"/>
  <c r="B709"/>
  <c r="F709" s="1"/>
  <c r="B760"/>
  <c r="F760" s="1"/>
  <c r="B776"/>
  <c r="F776" s="1"/>
  <c r="B806"/>
  <c r="H847"/>
  <c r="B849"/>
  <c r="F849" s="1"/>
  <c r="P849"/>
  <c r="B853"/>
  <c r="F853" s="1"/>
  <c r="L871"/>
  <c r="N932"/>
  <c r="N948"/>
  <c r="Q11" i="38"/>
  <c r="Z23" i="39" s="1"/>
  <c r="AC23" s="1"/>
  <c r="C85" s="1"/>
  <c r="E16" i="38"/>
  <c r="Z39" i="39" s="1"/>
  <c r="AC39" s="1"/>
  <c r="P125" s="1"/>
  <c r="R125" s="1"/>
  <c r="D16"/>
  <c r="Z34"/>
  <c r="AC34" s="1"/>
  <c r="C77" s="1"/>
  <c r="I444" s="1"/>
  <c r="K444" s="1"/>
  <c r="I46"/>
  <c r="K46" s="1"/>
  <c r="K335"/>
  <c r="X44"/>
  <c r="X36"/>
  <c r="X37" s="1"/>
  <c r="I2368"/>
  <c r="I762"/>
  <c r="K762" s="1"/>
  <c r="I2348"/>
  <c r="K2348" s="1"/>
  <c r="P890"/>
  <c r="R890" s="1"/>
  <c r="P794"/>
  <c r="R794" s="1"/>
  <c r="I784"/>
  <c r="K784" s="1"/>
  <c r="I726"/>
  <c r="K726" s="1"/>
  <c r="I819"/>
  <c r="K819" s="1"/>
  <c r="K515"/>
  <c r="V715"/>
  <c r="K283"/>
  <c r="I2146"/>
  <c r="I1970"/>
  <c r="I1757"/>
  <c r="K1757" s="1"/>
  <c r="I2126"/>
  <c r="K2126" s="1"/>
  <c r="P451"/>
  <c r="R451" s="1"/>
  <c r="I168"/>
  <c r="K168" s="1"/>
  <c r="P141"/>
  <c r="P577"/>
  <c r="R577" s="1"/>
  <c r="I482"/>
  <c r="K482" s="1"/>
  <c r="D158" i="37" s="1"/>
  <c r="P432" i="39"/>
  <c r="I3005"/>
  <c r="K3005" s="1"/>
  <c r="P151"/>
  <c r="R151" s="1"/>
  <c r="I989"/>
  <c r="K989" s="1"/>
  <c r="I954"/>
  <c r="I1019"/>
  <c r="P721"/>
  <c r="R721" s="1"/>
  <c r="P752"/>
  <c r="R752" s="1"/>
  <c r="P736"/>
  <c r="R736" s="1"/>
  <c r="X136"/>
  <c r="X133"/>
  <c r="V110"/>
  <c r="X110" s="1"/>
  <c r="X114" s="1"/>
  <c r="X116" s="1"/>
  <c r="X118" s="1"/>
  <c r="R1434"/>
  <c r="P1450"/>
  <c r="P528" i="37"/>
  <c r="P529"/>
  <c r="P577"/>
  <c r="P588"/>
  <c r="P611"/>
  <c r="P633"/>
  <c r="P648"/>
  <c r="P649"/>
  <c r="P650"/>
  <c r="P655"/>
  <c r="P659"/>
  <c r="P663"/>
  <c r="P667"/>
  <c r="P671"/>
  <c r="P688"/>
  <c r="P692"/>
  <c r="P696"/>
  <c r="P700"/>
  <c r="P704"/>
  <c r="P708"/>
  <c r="P712"/>
  <c r="P717"/>
  <c r="P723"/>
  <c r="P735"/>
  <c r="P736"/>
  <c r="P737"/>
  <c r="P738"/>
  <c r="P739"/>
  <c r="P745"/>
  <c r="P746"/>
  <c r="P747"/>
  <c r="P748"/>
  <c r="P749"/>
  <c r="P750"/>
  <c r="P753"/>
  <c r="P763"/>
  <c r="P764"/>
  <c r="P765"/>
  <c r="P766"/>
  <c r="P767"/>
  <c r="P775"/>
  <c r="P801"/>
  <c r="P802"/>
  <c r="P803"/>
  <c r="P804"/>
  <c r="P805"/>
  <c r="P810"/>
  <c r="P811"/>
  <c r="P812"/>
  <c r="P813"/>
  <c r="P814"/>
  <c r="P821"/>
  <c r="P838"/>
  <c r="P839"/>
  <c r="B847"/>
  <c r="F847" s="1"/>
  <c r="P847"/>
  <c r="P848"/>
  <c r="P852"/>
  <c r="M856"/>
  <c r="M860"/>
  <c r="M864"/>
  <c r="M868"/>
  <c r="H5" i="38"/>
  <c r="H6" s="1"/>
  <c r="X12" i="39"/>
  <c r="X13"/>
  <c r="AJ43"/>
  <c r="AC46"/>
  <c r="X81"/>
  <c r="V82"/>
  <c r="X82" s="1"/>
  <c r="I94"/>
  <c r="K94" s="1"/>
  <c r="K99" s="1"/>
  <c r="K101" s="1"/>
  <c r="I110"/>
  <c r="K110" s="1"/>
  <c r="I111"/>
  <c r="K111" s="1"/>
  <c r="I124"/>
  <c r="K124" s="1"/>
  <c r="K127" s="1"/>
  <c r="K129" s="1"/>
  <c r="I358"/>
  <c r="W403"/>
  <c r="J707"/>
  <c r="J708" s="1"/>
  <c r="J709" s="1"/>
  <c r="J710" s="1"/>
  <c r="P3514"/>
  <c r="R3514" s="1"/>
  <c r="P2359"/>
  <c r="R2359" s="1"/>
  <c r="I2298"/>
  <c r="K2298" s="1"/>
  <c r="P1376"/>
  <c r="R1376" s="1"/>
  <c r="V1335"/>
  <c r="I3706"/>
  <c r="K3706" s="1"/>
  <c r="I3795"/>
  <c r="I3342"/>
  <c r="K3342" s="1"/>
  <c r="I3769"/>
  <c r="K3769" s="1"/>
  <c r="V3671"/>
  <c r="X3671" s="1"/>
  <c r="P3515"/>
  <c r="AF3106"/>
  <c r="I3749"/>
  <c r="K3749" s="1"/>
  <c r="I3723"/>
  <c r="K3723" s="1"/>
  <c r="P2360"/>
  <c r="R2360" s="1"/>
  <c r="P1548"/>
  <c r="R1548" s="1"/>
  <c r="P1377"/>
  <c r="R1377" s="1"/>
  <c r="V1336"/>
  <c r="P3516"/>
  <c r="R3516" s="1"/>
  <c r="I3724"/>
  <c r="K3724" s="1"/>
  <c r="I3343"/>
  <c r="K3343" s="1"/>
  <c r="P2411"/>
  <c r="R2411" s="1"/>
  <c r="P1378"/>
  <c r="R1378" s="1"/>
  <c r="V1337"/>
  <c r="I3735"/>
  <c r="I3341"/>
  <c r="P2409"/>
  <c r="R2409" s="1"/>
  <c r="P1302"/>
  <c r="I2177"/>
  <c r="K2177" s="1"/>
  <c r="I2131"/>
  <c r="K2131" s="1"/>
  <c r="I2164"/>
  <c r="K2164" s="1"/>
  <c r="I2151"/>
  <c r="I3172"/>
  <c r="P1306"/>
  <c r="R1306" s="1"/>
  <c r="K3539"/>
  <c r="AE3539"/>
  <c r="AG3539" s="1"/>
  <c r="V3539"/>
  <c r="X3539" s="1"/>
  <c r="C12"/>
  <c r="C13"/>
  <c r="X14"/>
  <c r="X35"/>
  <c r="K83"/>
  <c r="P469"/>
  <c r="R469" s="1"/>
  <c r="K686"/>
  <c r="I2993"/>
  <c r="K2993" s="1"/>
  <c r="I2790"/>
  <c r="K2790" s="1"/>
  <c r="L2756" s="1"/>
  <c r="I3458"/>
  <c r="I2334"/>
  <c r="K2334" s="1"/>
  <c r="I1707"/>
  <c r="K1707" s="1"/>
  <c r="I1973"/>
  <c r="I2427"/>
  <c r="I1994"/>
  <c r="I2054"/>
  <c r="K2054" s="1"/>
  <c r="I1491"/>
  <c r="K1491" s="1"/>
  <c r="I1257"/>
  <c r="I810"/>
  <c r="I1380"/>
  <c r="K1380" s="1"/>
  <c r="I1252"/>
  <c r="P1145"/>
  <c r="I2078"/>
  <c r="K2078" s="1"/>
  <c r="I1358"/>
  <c r="K1358" s="1"/>
  <c r="V710"/>
  <c r="V645"/>
  <c r="I1337"/>
  <c r="K1337" s="1"/>
  <c r="I1227"/>
  <c r="K1227" s="1"/>
  <c r="I506"/>
  <c r="P285"/>
  <c r="R285" s="1"/>
  <c r="I273"/>
  <c r="K273" s="1"/>
  <c r="I227"/>
  <c r="P82"/>
  <c r="R82" s="1"/>
  <c r="P67"/>
  <c r="R67" s="1"/>
  <c r="I489"/>
  <c r="K489" s="1"/>
  <c r="I447"/>
  <c r="K447" s="1"/>
  <c r="P391"/>
  <c r="R391" s="1"/>
  <c r="P377"/>
  <c r="R377" s="1"/>
  <c r="I338"/>
  <c r="I314"/>
  <c r="I299"/>
  <c r="K299" s="1"/>
  <c r="I197"/>
  <c r="I413"/>
  <c r="K413" s="1"/>
  <c r="I212"/>
  <c r="K212" s="1"/>
  <c r="I2775"/>
  <c r="K2775" s="1"/>
  <c r="I2712"/>
  <c r="K2712" s="1"/>
  <c r="I1535"/>
  <c r="K1535" s="1"/>
  <c r="I1518"/>
  <c r="K1518" s="1"/>
  <c r="I2718"/>
  <c r="K2718" s="1"/>
  <c r="I1533"/>
  <c r="K1533" s="1"/>
  <c r="I1506"/>
  <c r="P1522"/>
  <c r="R1522" s="1"/>
  <c r="I1147"/>
  <c r="K1147" s="1"/>
  <c r="I1548"/>
  <c r="K1548" s="1"/>
  <c r="I1161"/>
  <c r="K1161" s="1"/>
  <c r="P2410"/>
  <c r="R2410" s="1"/>
  <c r="R2414" s="1"/>
  <c r="R2416" s="1"/>
  <c r="P1303"/>
  <c r="R1303" s="1"/>
  <c r="I3722"/>
  <c r="K3722" s="1"/>
  <c r="I3767"/>
  <c r="K3767" s="1"/>
  <c r="I3704"/>
  <c r="K3704" s="1"/>
  <c r="K3708" s="1"/>
  <c r="K3709" s="1"/>
  <c r="V3670"/>
  <c r="X3670" s="1"/>
  <c r="AF3105"/>
  <c r="I3794"/>
  <c r="K3794" s="1"/>
  <c r="P1547"/>
  <c r="R1547" s="1"/>
  <c r="R1552" s="1"/>
  <c r="P1541" s="1"/>
  <c r="R1541" s="1"/>
  <c r="P1402"/>
  <c r="I2367"/>
  <c r="K2367" s="1"/>
  <c r="P2373"/>
  <c r="R2373" s="1"/>
  <c r="C66"/>
  <c r="I2737"/>
  <c r="K2737" s="1"/>
  <c r="I1910"/>
  <c r="K1910" s="1"/>
  <c r="I1808"/>
  <c r="K1808" s="1"/>
  <c r="I1826"/>
  <c r="K1826" s="1"/>
  <c r="I1844"/>
  <c r="P549"/>
  <c r="R549" s="1"/>
  <c r="I607"/>
  <c r="K607" s="1"/>
  <c r="P521"/>
  <c r="R521" s="1"/>
  <c r="P503"/>
  <c r="R503" s="1"/>
  <c r="J687"/>
  <c r="J688" s="1"/>
  <c r="J689" s="1"/>
  <c r="J690" s="1"/>
  <c r="AF449"/>
  <c r="W435"/>
  <c r="W436" s="1"/>
  <c r="W437" s="1"/>
  <c r="W438" s="1"/>
  <c r="AH43"/>
  <c r="AI43"/>
  <c r="AE43"/>
  <c r="C21" s="1"/>
  <c r="AF450" s="1"/>
  <c r="AF451" s="1"/>
  <c r="AF452" s="1"/>
  <c r="AF453" s="1"/>
  <c r="AF454" s="1"/>
  <c r="AF455" s="1"/>
  <c r="AF456" s="1"/>
  <c r="AF457" s="1"/>
  <c r="AF458" s="1"/>
  <c r="AF459" s="1"/>
  <c r="AF460" s="1"/>
  <c r="AF461" s="1"/>
  <c r="AF462" s="1"/>
  <c r="AF463" s="1"/>
  <c r="I2125"/>
  <c r="K2125" s="1"/>
  <c r="I1969"/>
  <c r="I1780"/>
  <c r="K1780" s="1"/>
  <c r="I1750"/>
  <c r="K1750" s="1"/>
  <c r="I2145"/>
  <c r="P468"/>
  <c r="R468" s="1"/>
  <c r="P450"/>
  <c r="R450" s="1"/>
  <c r="R462" s="1"/>
  <c r="R464" s="1"/>
  <c r="P652"/>
  <c r="R652" s="1"/>
  <c r="P640"/>
  <c r="R640" s="1"/>
  <c r="P431"/>
  <c r="P576"/>
  <c r="R576" s="1"/>
  <c r="I82"/>
  <c r="I81"/>
  <c r="K81" s="1"/>
  <c r="P622"/>
  <c r="R622" s="1"/>
  <c r="I1223"/>
  <c r="X880"/>
  <c r="V896"/>
  <c r="X896" s="1"/>
  <c r="P1099"/>
  <c r="K1025"/>
  <c r="AB1404"/>
  <c r="X1406"/>
  <c r="I3768"/>
  <c r="K3768" s="1"/>
  <c r="I3705"/>
  <c r="K3705" s="1"/>
  <c r="I2697"/>
  <c r="K2697" s="1"/>
  <c r="AS1222"/>
  <c r="AU1222" s="1"/>
  <c r="P3294"/>
  <c r="I3149"/>
  <c r="I2666"/>
  <c r="I1131"/>
  <c r="K1131" s="1"/>
  <c r="I1056"/>
  <c r="I1575"/>
  <c r="I1772"/>
  <c r="K1772" s="1"/>
  <c r="I1603"/>
  <c r="K3212"/>
  <c r="I3227"/>
  <c r="K3227" s="1"/>
  <c r="I1784"/>
  <c r="K1784" s="1"/>
  <c r="K743"/>
  <c r="K749" s="1"/>
  <c r="K751" s="1"/>
  <c r="I757" s="1"/>
  <c r="K757" s="1"/>
  <c r="I2841"/>
  <c r="K995"/>
  <c r="AD1375"/>
  <c r="AB1392"/>
  <c r="AD1392" s="1"/>
  <c r="X1379"/>
  <c r="V1396"/>
  <c r="H3854"/>
  <c r="K2609"/>
  <c r="K2838"/>
  <c r="I2974"/>
  <c r="AG46"/>
  <c r="AK46"/>
  <c r="K704"/>
  <c r="I706" s="1"/>
  <c r="K706" s="1"/>
  <c r="X1390"/>
  <c r="I2865"/>
  <c r="K2865" s="1"/>
  <c r="I920"/>
  <c r="K920" s="1"/>
  <c r="I3283"/>
  <c r="I2636"/>
  <c r="I3483"/>
  <c r="K3483" s="1"/>
  <c r="I1088"/>
  <c r="K1088" s="1"/>
  <c r="I4065"/>
  <c r="V3133"/>
  <c r="X3116"/>
  <c r="I3102"/>
  <c r="K3102" s="1"/>
  <c r="P2671"/>
  <c r="K2664"/>
  <c r="P951"/>
  <c r="R951" s="1"/>
  <c r="K958"/>
  <c r="AB1353"/>
  <c r="X1355"/>
  <c r="X709"/>
  <c r="Z709" s="1"/>
  <c r="I1782"/>
  <c r="K1782" s="1"/>
  <c r="I1783"/>
  <c r="K1783" s="1"/>
  <c r="K1076"/>
  <c r="I1091"/>
  <c r="K1091" s="1"/>
  <c r="R1094"/>
  <c r="P1398"/>
  <c r="X1352"/>
  <c r="AB1350"/>
  <c r="X1353"/>
  <c r="AB1351"/>
  <c r="AD1359"/>
  <c r="AB1376"/>
  <c r="R1409"/>
  <c r="V1370"/>
  <c r="V1423"/>
  <c r="X1423" s="1"/>
  <c r="P1445"/>
  <c r="R1425"/>
  <c r="P1441"/>
  <c r="K1695"/>
  <c r="K1697"/>
  <c r="D296" i="37" s="1"/>
  <c r="H296" s="1"/>
  <c r="P871" i="39"/>
  <c r="R871" s="1"/>
  <c r="R883" s="1"/>
  <c r="K991"/>
  <c r="R1429"/>
  <c r="K1551"/>
  <c r="K1553" s="1"/>
  <c r="V881"/>
  <c r="I897"/>
  <c r="K897" s="1"/>
  <c r="I2973"/>
  <c r="K2837"/>
  <c r="X1375"/>
  <c r="V1392"/>
  <c r="V1410"/>
  <c r="X1394"/>
  <c r="R1413"/>
  <c r="P1430"/>
  <c r="V1374"/>
  <c r="P1466"/>
  <c r="R1449"/>
  <c r="R1435"/>
  <c r="P1451"/>
  <c r="I3168"/>
  <c r="K1505"/>
  <c r="P3194"/>
  <c r="R3194" s="1"/>
  <c r="R3158"/>
  <c r="AF684"/>
  <c r="AF686" s="1"/>
  <c r="R798"/>
  <c r="R800" s="1"/>
  <c r="K957"/>
  <c r="I1026"/>
  <c r="P1095"/>
  <c r="R1098"/>
  <c r="P1115"/>
  <c r="R1115" s="1"/>
  <c r="P1426"/>
  <c r="I895"/>
  <c r="K895" s="1"/>
  <c r="V879"/>
  <c r="K882"/>
  <c r="V882"/>
  <c r="K955"/>
  <c r="P948"/>
  <c r="R948" s="1"/>
  <c r="I3103"/>
  <c r="K3103" s="1"/>
  <c r="AE1064"/>
  <c r="AG1064" s="1"/>
  <c r="K1055"/>
  <c r="P1048"/>
  <c r="R1048" s="1"/>
  <c r="AE1068"/>
  <c r="AG1068" s="1"/>
  <c r="P1052"/>
  <c r="R1052" s="1"/>
  <c r="K1061"/>
  <c r="P995"/>
  <c r="R995" s="1"/>
  <c r="AE1070"/>
  <c r="AG1070" s="1"/>
  <c r="P1054"/>
  <c r="R1054" s="1"/>
  <c r="P1380"/>
  <c r="R1380" s="1"/>
  <c r="V1244"/>
  <c r="X1244" s="1"/>
  <c r="P1241"/>
  <c r="R1241" s="1"/>
  <c r="AB1390"/>
  <c r="AD1390" s="1"/>
  <c r="AD1373"/>
  <c r="AD1377"/>
  <c r="AB1394"/>
  <c r="AD1394" s="1"/>
  <c r="P1428"/>
  <c r="R1411"/>
  <c r="V1372"/>
  <c r="P1447"/>
  <c r="R1431"/>
  <c r="I898"/>
  <c r="K898" s="1"/>
  <c r="AE1194"/>
  <c r="K1538"/>
  <c r="K1540" s="1"/>
  <c r="K2836"/>
  <c r="I2972"/>
  <c r="K2840"/>
  <c r="I2976"/>
  <c r="I3747"/>
  <c r="R2433"/>
  <c r="I2574"/>
  <c r="K2539"/>
  <c r="I2696"/>
  <c r="K2696" s="1"/>
  <c r="K2681"/>
  <c r="I2682"/>
  <c r="P2858"/>
  <c r="R2858" s="1"/>
  <c r="R2825"/>
  <c r="I3074"/>
  <c r="K3074" s="1"/>
  <c r="P3062"/>
  <c r="R3062" s="1"/>
  <c r="K3055"/>
  <c r="K3150"/>
  <c r="P3157"/>
  <c r="R3157" s="1"/>
  <c r="K1024"/>
  <c r="AE1069"/>
  <c r="AG1069" s="1"/>
  <c r="AD1354"/>
  <c r="AD1355"/>
  <c r="X1373"/>
  <c r="V1378"/>
  <c r="R1394"/>
  <c r="P1410"/>
  <c r="R1416"/>
  <c r="K1807"/>
  <c r="I2975"/>
  <c r="K2839"/>
  <c r="I4007"/>
  <c r="K3991"/>
  <c r="K3992"/>
  <c r="I4008"/>
  <c r="I1602"/>
  <c r="K1602" s="1"/>
  <c r="K1587"/>
  <c r="P2156"/>
  <c r="R2156" s="1"/>
  <c r="K2149"/>
  <c r="X3570"/>
  <c r="V3585"/>
  <c r="AD1358"/>
  <c r="AD1360"/>
  <c r="V1369"/>
  <c r="AB1371"/>
  <c r="R1417"/>
  <c r="R1877"/>
  <c r="I1871"/>
  <c r="K1871" s="1"/>
  <c r="I2763"/>
  <c r="I3489"/>
  <c r="K3489" s="1"/>
  <c r="P2829"/>
  <c r="K2822"/>
  <c r="V2790"/>
  <c r="AE2794"/>
  <c r="AG2794" s="1"/>
  <c r="K2318"/>
  <c r="AE2620"/>
  <c r="AG2620" s="1"/>
  <c r="AG2651"/>
  <c r="K2778"/>
  <c r="D622" i="37" s="1"/>
  <c r="P2514" i="39"/>
  <c r="R2514" s="1"/>
  <c r="K2507"/>
  <c r="K2670"/>
  <c r="I3108"/>
  <c r="K3108" s="1"/>
  <c r="P3162"/>
  <c r="R3162" s="1"/>
  <c r="K3155"/>
  <c r="X2790"/>
  <c r="I3225"/>
  <c r="K3225" s="1"/>
  <c r="K3210"/>
  <c r="I3241"/>
  <c r="K3241" s="1"/>
  <c r="K3196"/>
  <c r="P2675"/>
  <c r="I3106"/>
  <c r="K3106" s="1"/>
  <c r="I4066"/>
  <c r="K4066" s="1"/>
  <c r="V3132"/>
  <c r="X3115"/>
  <c r="X3118"/>
  <c r="I4068"/>
  <c r="K4068" s="1"/>
  <c r="V3135"/>
  <c r="V3121"/>
  <c r="R3160"/>
  <c r="P3447"/>
  <c r="R3447" s="1"/>
  <c r="P3334"/>
  <c r="R3334" s="1"/>
  <c r="P3300"/>
  <c r="R3233"/>
  <c r="R1603"/>
  <c r="I2538"/>
  <c r="I2572"/>
  <c r="AE2622"/>
  <c r="AG2622" s="1"/>
  <c r="AE2619"/>
  <c r="AG2619" s="1"/>
  <c r="X2605"/>
  <c r="Z2603"/>
  <c r="I4072"/>
  <c r="K4072" s="1"/>
  <c r="V3139"/>
  <c r="R3268"/>
  <c r="P3335"/>
  <c r="I2508"/>
  <c r="K2537"/>
  <c r="P2677"/>
  <c r="K3148"/>
  <c r="K4065"/>
  <c r="P3445"/>
  <c r="R3445" s="1"/>
  <c r="P3332"/>
  <c r="R3332" s="1"/>
  <c r="P3298"/>
  <c r="I3608"/>
  <c r="K3430"/>
  <c r="V3575"/>
  <c r="X3559"/>
  <c r="K2466"/>
  <c r="K2468"/>
  <c r="K2509"/>
  <c r="R2826"/>
  <c r="V3120"/>
  <c r="P3155"/>
  <c r="R3155" s="1"/>
  <c r="V3159"/>
  <c r="X3159" s="1"/>
  <c r="V3161"/>
  <c r="X3161" s="1"/>
  <c r="I3524"/>
  <c r="P3329"/>
  <c r="R3329" s="1"/>
  <c r="P3262"/>
  <c r="P3442"/>
  <c r="R3442" s="1"/>
  <c r="P3295"/>
  <c r="R3230"/>
  <c r="P3444"/>
  <c r="R3444" s="1"/>
  <c r="P3331"/>
  <c r="R3331" s="1"/>
  <c r="P3297"/>
  <c r="P3299"/>
  <c r="P3446"/>
  <c r="R3446" s="1"/>
  <c r="P3333"/>
  <c r="R3333" s="1"/>
  <c r="R3325"/>
  <c r="P3362"/>
  <c r="R2827"/>
  <c r="K2971"/>
  <c r="K3153"/>
  <c r="R3234"/>
  <c r="R3263"/>
  <c r="I3323"/>
  <c r="K3525"/>
  <c r="I3541"/>
  <c r="P3529"/>
  <c r="X3558"/>
  <c r="V3574"/>
  <c r="V3545"/>
  <c r="R3199"/>
  <c r="R3533"/>
  <c r="P3296"/>
  <c r="O9" i="32"/>
  <c r="P9" s="1"/>
  <c r="P22"/>
  <c r="N48"/>
  <c r="N52"/>
  <c r="O124"/>
  <c r="P124" s="1"/>
  <c r="N202"/>
  <c r="O225"/>
  <c r="P225" s="1"/>
  <c r="N385"/>
  <c r="N407"/>
  <c r="N436"/>
  <c r="H574"/>
  <c r="O593"/>
  <c r="P593" s="1"/>
  <c r="O596"/>
  <c r="P596" s="1"/>
  <c r="H610"/>
  <c r="N662"/>
  <c r="N698"/>
  <c r="P753"/>
  <c r="N824"/>
  <c r="N827"/>
  <c r="N831"/>
  <c r="N987"/>
  <c r="N1000"/>
  <c r="N26"/>
  <c r="N29"/>
  <c r="N30"/>
  <c r="N31"/>
  <c r="N32"/>
  <c r="N33"/>
  <c r="N34"/>
  <c r="N35"/>
  <c r="N39"/>
  <c r="N45"/>
  <c r="P61"/>
  <c r="N65"/>
  <c r="N182"/>
  <c r="N267"/>
  <c r="N300"/>
  <c r="O329"/>
  <c r="P329" s="1"/>
  <c r="N337"/>
  <c r="N410"/>
  <c r="N477"/>
  <c r="P556"/>
  <c r="N622"/>
  <c r="J630"/>
  <c r="J702"/>
  <c r="N805"/>
  <c r="N808"/>
  <c r="O815"/>
  <c r="P815" s="1"/>
  <c r="N877"/>
  <c r="N905"/>
  <c r="N916"/>
  <c r="P1055"/>
  <c r="P1086"/>
  <c r="P1090"/>
  <c r="P1106"/>
  <c r="P141"/>
  <c r="P227"/>
  <c r="N240"/>
  <c r="N413"/>
  <c r="N416"/>
  <c r="P429"/>
  <c r="N482"/>
  <c r="N586"/>
  <c r="N589"/>
  <c r="H676"/>
  <c r="N890"/>
  <c r="P895"/>
  <c r="N985"/>
  <c r="N991"/>
  <c r="N992"/>
  <c r="P1020"/>
  <c r="P1031"/>
  <c r="P1033"/>
  <c r="P1035"/>
  <c r="P1051"/>
  <c r="P1066"/>
  <c r="P1070"/>
  <c r="P1098"/>
  <c r="N17"/>
  <c r="H169"/>
  <c r="H186"/>
  <c r="H227"/>
  <c r="N431"/>
  <c r="N432"/>
  <c r="N489"/>
  <c r="N491"/>
  <c r="O678"/>
  <c r="P678" s="1"/>
  <c r="O761"/>
  <c r="P761" s="1"/>
  <c r="O817"/>
  <c r="P817" s="1"/>
  <c r="O842"/>
  <c r="P842" s="1"/>
  <c r="J856"/>
  <c r="H881"/>
  <c r="F881" s="1"/>
  <c r="P898"/>
  <c r="N952"/>
  <c r="O1007"/>
  <c r="P1007" s="1"/>
  <c r="H1020"/>
  <c r="P1026"/>
  <c r="P1054"/>
  <c r="P1058"/>
  <c r="P1087"/>
  <c r="H1103"/>
  <c r="N956"/>
  <c r="H14" i="34"/>
  <c r="F14" s="1"/>
  <c r="H59"/>
  <c r="H64"/>
  <c r="H87"/>
  <c r="H116"/>
  <c r="H127"/>
  <c r="H179"/>
  <c r="H319"/>
  <c r="H377"/>
  <c r="H400"/>
  <c r="H406"/>
  <c r="H302"/>
  <c r="H497"/>
  <c r="H516"/>
  <c r="H525"/>
  <c r="H535"/>
  <c r="H564"/>
  <c r="H586"/>
  <c r="H625"/>
  <c r="H672"/>
  <c r="H700"/>
  <c r="H750"/>
  <c r="H784"/>
  <c r="H792"/>
  <c r="H819"/>
  <c r="H897"/>
  <c r="H902"/>
  <c r="H904"/>
  <c r="H913"/>
  <c r="D577"/>
  <c r="H888"/>
  <c r="O846" i="32"/>
  <c r="P846" s="1"/>
  <c r="N858"/>
  <c r="N867"/>
  <c r="N884"/>
  <c r="O982"/>
  <c r="P982" s="1"/>
  <c r="N983"/>
  <c r="N984"/>
  <c r="O848"/>
  <c r="P848" s="1"/>
  <c r="N851"/>
  <c r="N859"/>
  <c r="N862"/>
  <c r="N870"/>
  <c r="N880"/>
  <c r="O882"/>
  <c r="P882" s="1"/>
  <c r="N885"/>
  <c r="N891"/>
  <c r="N896"/>
  <c r="N901"/>
  <c r="O920"/>
  <c r="P920" s="1"/>
  <c r="O850"/>
  <c r="P850" s="1"/>
  <c r="O893"/>
  <c r="P893" s="1"/>
  <c r="N894"/>
  <c r="O912"/>
  <c r="P912" s="1"/>
  <c r="N917"/>
  <c r="N922"/>
  <c r="O978"/>
  <c r="P978" s="1"/>
  <c r="O980"/>
  <c r="P980" s="1"/>
  <c r="O994"/>
  <c r="P994" s="1"/>
  <c r="O998"/>
  <c r="P998" s="1"/>
  <c r="P866"/>
  <c r="N907"/>
  <c r="P914"/>
  <c r="O924"/>
  <c r="P924" s="1"/>
  <c r="N935"/>
  <c r="N957"/>
  <c r="N990"/>
  <c r="N1003"/>
  <c r="O710"/>
  <c r="P710" s="1"/>
  <c r="O777"/>
  <c r="P777" s="1"/>
  <c r="N719"/>
  <c r="O722"/>
  <c r="P722" s="1"/>
  <c r="N724"/>
  <c r="O725"/>
  <c r="P725" s="1"/>
  <c r="O769"/>
  <c r="P769" s="1"/>
  <c r="O825"/>
  <c r="P825" s="1"/>
  <c r="N666"/>
  <c r="O682"/>
  <c r="P682" s="1"/>
  <c r="N728"/>
  <c r="O729"/>
  <c r="P729" s="1"/>
  <c r="N750"/>
  <c r="N752"/>
  <c r="N755"/>
  <c r="N757"/>
  <c r="N830"/>
  <c r="N838"/>
  <c r="O655"/>
  <c r="P655" s="1"/>
  <c r="N658"/>
  <c r="O579"/>
  <c r="P579" s="1"/>
  <c r="N609"/>
  <c r="N608"/>
  <c r="N495"/>
  <c r="N538"/>
  <c r="N480"/>
  <c r="P479"/>
  <c r="O346"/>
  <c r="P346" s="1"/>
  <c r="N374"/>
  <c r="N404"/>
  <c r="N390"/>
  <c r="N393"/>
  <c r="N399"/>
  <c r="N150"/>
  <c r="N151"/>
  <c r="N152"/>
  <c r="N153"/>
  <c r="N154"/>
  <c r="N155"/>
  <c r="N156"/>
  <c r="N157"/>
  <c r="N158"/>
  <c r="N159"/>
  <c r="N160"/>
  <c r="N161"/>
  <c r="N162"/>
  <c r="N163"/>
  <c r="N164"/>
  <c r="N170"/>
  <c r="N180"/>
  <c r="N199"/>
  <c r="N200"/>
  <c r="N201"/>
  <c r="N222"/>
  <c r="N223"/>
  <c r="N224"/>
  <c r="N264"/>
  <c r="O273"/>
  <c r="P273" s="1"/>
  <c r="P312"/>
  <c r="N204"/>
  <c r="N117"/>
  <c r="N226"/>
  <c r="N236"/>
  <c r="O302"/>
  <c r="P302" s="1"/>
  <c r="P320"/>
  <c r="N80"/>
  <c r="N230"/>
  <c r="N250"/>
  <c r="N271"/>
  <c r="N314"/>
  <c r="H1027"/>
  <c r="J1027"/>
  <c r="J48"/>
  <c r="O58"/>
  <c r="P58" s="1"/>
  <c r="P84"/>
  <c r="H93"/>
  <c r="N103"/>
  <c r="N104"/>
  <c r="N105"/>
  <c r="N106"/>
  <c r="N107"/>
  <c r="N108"/>
  <c r="N109"/>
  <c r="N110"/>
  <c r="N111"/>
  <c r="N112"/>
  <c r="N113"/>
  <c r="N114"/>
  <c r="O122"/>
  <c r="P122" s="1"/>
  <c r="H142"/>
  <c r="O209"/>
  <c r="P209" s="1"/>
  <c r="O229"/>
  <c r="P229" s="1"/>
  <c r="N238"/>
  <c r="H241"/>
  <c r="P269"/>
  <c r="H272"/>
  <c r="N279"/>
  <c r="N280"/>
  <c r="N281"/>
  <c r="N282"/>
  <c r="N283"/>
  <c r="N285"/>
  <c r="O287"/>
  <c r="P287" s="1"/>
  <c r="N295"/>
  <c r="H297"/>
  <c r="N310"/>
  <c r="P319"/>
  <c r="N327"/>
  <c r="N331"/>
  <c r="N335"/>
  <c r="N398"/>
  <c r="O408"/>
  <c r="P408" s="1"/>
  <c r="O414"/>
  <c r="P414" s="1"/>
  <c r="N427"/>
  <c r="P441"/>
  <c r="N443"/>
  <c r="N446"/>
  <c r="P457"/>
  <c r="N459"/>
  <c r="N463"/>
  <c r="N484"/>
  <c r="N487"/>
  <c r="P495"/>
  <c r="N497"/>
  <c r="N499"/>
  <c r="N508"/>
  <c r="N512"/>
  <c r="N516"/>
  <c r="N520"/>
  <c r="N524"/>
  <c r="N531"/>
  <c r="N535"/>
  <c r="N537"/>
  <c r="H543"/>
  <c r="P563"/>
  <c r="O602"/>
  <c r="P602" s="1"/>
  <c r="N612"/>
  <c r="N674"/>
  <c r="P695"/>
  <c r="O723"/>
  <c r="P723" s="1"/>
  <c r="N730"/>
  <c r="N731"/>
  <c r="P752"/>
  <c r="O759"/>
  <c r="P759" s="1"/>
  <c r="O767"/>
  <c r="P767" s="1"/>
  <c r="O775"/>
  <c r="P775" s="1"/>
  <c r="O783"/>
  <c r="P783" s="1"/>
  <c r="N826"/>
  <c r="N833"/>
  <c r="N835"/>
  <c r="N873"/>
  <c r="O927"/>
  <c r="P927" s="1"/>
  <c r="O929"/>
  <c r="P929" s="1"/>
  <c r="O931"/>
  <c r="P931" s="1"/>
  <c r="N933"/>
  <c r="O934"/>
  <c r="P934" s="1"/>
  <c r="N936"/>
  <c r="O937"/>
  <c r="P937" s="1"/>
  <c r="N949"/>
  <c r="N964"/>
  <c r="O977"/>
  <c r="P977" s="1"/>
  <c r="O979"/>
  <c r="P979" s="1"/>
  <c r="N988"/>
  <c r="N995"/>
  <c r="O999"/>
  <c r="P999" s="1"/>
  <c r="N1001"/>
  <c r="N1002"/>
  <c r="O1004"/>
  <c r="P1004" s="1"/>
  <c r="O1006"/>
  <c r="P1006" s="1"/>
  <c r="N1008"/>
  <c r="P11"/>
  <c r="P19"/>
  <c r="P67"/>
  <c r="N149"/>
  <c r="N166"/>
  <c r="N168"/>
  <c r="N185"/>
  <c r="O211"/>
  <c r="P211" s="1"/>
  <c r="P219"/>
  <c r="N220"/>
  <c r="N221"/>
  <c r="P266"/>
  <c r="H286"/>
  <c r="O291"/>
  <c r="P291" s="1"/>
  <c r="P305"/>
  <c r="N306"/>
  <c r="P316"/>
  <c r="N381"/>
  <c r="N383"/>
  <c r="N402"/>
  <c r="N405"/>
  <c r="N420"/>
  <c r="N423"/>
  <c r="P428"/>
  <c r="H433"/>
  <c r="O449"/>
  <c r="P449" s="1"/>
  <c r="N547"/>
  <c r="P549"/>
  <c r="O557"/>
  <c r="O560"/>
  <c r="P560" s="1"/>
  <c r="N568"/>
  <c r="N569"/>
  <c r="P594"/>
  <c r="O611"/>
  <c r="P611" s="1"/>
  <c r="O615"/>
  <c r="P615" s="1"/>
  <c r="P626"/>
  <c r="N628"/>
  <c r="N639"/>
  <c r="N642"/>
  <c r="N651"/>
  <c r="N809"/>
  <c r="P813"/>
  <c r="N860"/>
  <c r="P863"/>
  <c r="P874"/>
  <c r="P878"/>
  <c r="P886"/>
  <c r="N889"/>
  <c r="N895"/>
  <c r="P897"/>
  <c r="N899"/>
  <c r="N915"/>
  <c r="P919"/>
  <c r="O938"/>
  <c r="P938" s="1"/>
  <c r="O953"/>
  <c r="P953" s="1"/>
  <c r="O956"/>
  <c r="P956" s="1"/>
  <c r="O989"/>
  <c r="P989" s="1"/>
  <c r="O993"/>
  <c r="P993" s="1"/>
  <c r="O996"/>
  <c r="P996" s="1"/>
  <c r="O6"/>
  <c r="P6" s="1"/>
  <c r="P1009" s="1"/>
  <c r="R1009" s="1"/>
  <c r="N28"/>
  <c r="P45"/>
  <c r="O47"/>
  <c r="P47" s="1"/>
  <c r="N76"/>
  <c r="N88"/>
  <c r="N94"/>
  <c r="N96"/>
  <c r="N98"/>
  <c r="N100"/>
  <c r="N115"/>
  <c r="O126"/>
  <c r="P126" s="1"/>
  <c r="N130"/>
  <c r="N145"/>
  <c r="N147"/>
  <c r="O213"/>
  <c r="P213" s="1"/>
  <c r="N234"/>
  <c r="P240"/>
  <c r="N243"/>
  <c r="N245"/>
  <c r="N247"/>
  <c r="N255"/>
  <c r="N257"/>
  <c r="N274"/>
  <c r="N296"/>
  <c r="O300"/>
  <c r="O324"/>
  <c r="P324" s="1"/>
  <c r="P326"/>
  <c r="P334"/>
  <c r="O352"/>
  <c r="P352" s="1"/>
  <c r="O365"/>
  <c r="P365" s="1"/>
  <c r="N377"/>
  <c r="J410"/>
  <c r="O422"/>
  <c r="P422" s="1"/>
  <c r="P448"/>
  <c r="H450"/>
  <c r="N455"/>
  <c r="H458"/>
  <c r="N460"/>
  <c r="N462"/>
  <c r="N473"/>
  <c r="P491"/>
  <c r="H496"/>
  <c r="N500"/>
  <c r="N525"/>
  <c r="P527"/>
  <c r="N532"/>
  <c r="P534"/>
  <c r="N564"/>
  <c r="N572"/>
  <c r="N591"/>
  <c r="N605"/>
  <c r="N621"/>
  <c r="N625"/>
  <c r="N629"/>
  <c r="N635"/>
  <c r="N640"/>
  <c r="N645"/>
  <c r="N647"/>
  <c r="O660"/>
  <c r="P660" s="1"/>
  <c r="N670"/>
  <c r="N681"/>
  <c r="N690"/>
  <c r="N697"/>
  <c r="N713"/>
  <c r="N716"/>
  <c r="N726"/>
  <c r="O727"/>
  <c r="P727" s="1"/>
  <c r="N732"/>
  <c r="N733"/>
  <c r="N734"/>
  <c r="N735"/>
  <c r="N736"/>
  <c r="N737"/>
  <c r="N738"/>
  <c r="N739"/>
  <c r="N740"/>
  <c r="N741"/>
  <c r="N742"/>
  <c r="N743"/>
  <c r="N744"/>
  <c r="N746"/>
  <c r="N748"/>
  <c r="O763"/>
  <c r="P763" s="1"/>
  <c r="O771"/>
  <c r="P771" s="1"/>
  <c r="O779"/>
  <c r="P779" s="1"/>
  <c r="O787"/>
  <c r="P787" s="1"/>
  <c r="O789"/>
  <c r="P789" s="1"/>
  <c r="O791"/>
  <c r="P791" s="1"/>
  <c r="N798"/>
  <c r="O802"/>
  <c r="P802" s="1"/>
  <c r="P808"/>
  <c r="O812"/>
  <c r="P812" s="1"/>
  <c r="O814"/>
  <c r="P814" s="1"/>
  <c r="N819"/>
  <c r="N821"/>
  <c r="O822"/>
  <c r="P822" s="1"/>
  <c r="J823"/>
  <c r="P828"/>
  <c r="H829"/>
  <c r="P836"/>
  <c r="H837"/>
  <c r="P840"/>
  <c r="O855"/>
  <c r="P855" s="1"/>
  <c r="O861"/>
  <c r="P861" s="1"/>
  <c r="N864"/>
  <c r="N868"/>
  <c r="N879"/>
  <c r="O887"/>
  <c r="P887" s="1"/>
  <c r="O892"/>
  <c r="P892" s="1"/>
  <c r="N898"/>
  <c r="N902"/>
  <c r="O909"/>
  <c r="P909" s="1"/>
  <c r="O918"/>
  <c r="P918" s="1"/>
  <c r="P921"/>
  <c r="O923"/>
  <c r="P923" s="1"/>
  <c r="O925"/>
  <c r="P925" s="1"/>
  <c r="O926"/>
  <c r="P926" s="1"/>
  <c r="O928"/>
  <c r="P928" s="1"/>
  <c r="O930"/>
  <c r="P930" s="1"/>
  <c r="O932"/>
  <c r="P932" s="1"/>
  <c r="N20"/>
  <c r="P25"/>
  <c r="N56"/>
  <c r="P60"/>
  <c r="P63"/>
  <c r="H64"/>
  <c r="N68"/>
  <c r="N74"/>
  <c r="N83"/>
  <c r="N85"/>
  <c r="N90"/>
  <c r="H101"/>
  <c r="N137"/>
  <c r="N141"/>
  <c r="H148"/>
  <c r="N171"/>
  <c r="N172"/>
  <c r="N173"/>
  <c r="N174"/>
  <c r="N175"/>
  <c r="N176"/>
  <c r="N177"/>
  <c r="N178"/>
  <c r="N190"/>
  <c r="N191"/>
  <c r="N192"/>
  <c r="N193"/>
  <c r="N194"/>
  <c r="N195"/>
  <c r="N196"/>
  <c r="N197"/>
  <c r="N198"/>
  <c r="J331"/>
  <c r="N341"/>
  <c r="N359"/>
  <c r="N388"/>
  <c r="P390"/>
  <c r="N394"/>
  <c r="N395"/>
  <c r="N401"/>
  <c r="O412"/>
  <c r="P412" s="1"/>
  <c r="P418"/>
  <c r="N430"/>
  <c r="P553"/>
  <c r="O566"/>
  <c r="P566" s="1"/>
  <c r="O571"/>
  <c r="P571" s="1"/>
  <c r="J609"/>
  <c r="H626"/>
  <c r="J661"/>
  <c r="O765"/>
  <c r="P765" s="1"/>
  <c r="O773"/>
  <c r="P773" s="1"/>
  <c r="O781"/>
  <c r="P781" s="1"/>
  <c r="O795"/>
  <c r="P795" s="1"/>
  <c r="P818"/>
  <c r="H819"/>
  <c r="P853"/>
  <c r="N865"/>
  <c r="P869"/>
  <c r="N876"/>
  <c r="P883"/>
  <c r="J905"/>
  <c r="P913"/>
  <c r="P1015"/>
  <c r="P1038"/>
  <c r="P1042"/>
  <c r="P1046"/>
  <c r="P1050"/>
  <c r="P1063"/>
  <c r="P1074"/>
  <c r="P1076"/>
  <c r="P1078"/>
  <c r="P1082"/>
  <c r="P1095"/>
  <c r="P1099"/>
  <c r="P1023"/>
  <c r="P1059"/>
  <c r="P1091"/>
  <c r="P1014"/>
  <c r="P1024"/>
  <c r="H1035"/>
  <c r="P1037"/>
  <c r="P1039"/>
  <c r="P1041"/>
  <c r="P1043"/>
  <c r="P1045"/>
  <c r="P1047"/>
  <c r="P1062"/>
  <c r="P1064"/>
  <c r="H1073"/>
  <c r="P1075"/>
  <c r="P1079"/>
  <c r="P1083"/>
  <c r="P1094"/>
  <c r="J1098"/>
  <c r="P1102"/>
  <c r="H428" i="34"/>
  <c r="H532"/>
  <c r="H619"/>
  <c r="H628"/>
  <c r="H633"/>
  <c r="D698"/>
  <c r="H328"/>
  <c r="H361"/>
  <c r="H483"/>
  <c r="H491"/>
  <c r="H571"/>
  <c r="H574"/>
  <c r="H643"/>
  <c r="H650"/>
  <c r="H655"/>
  <c r="H680"/>
  <c r="H692"/>
  <c r="H17"/>
  <c r="H22"/>
  <c r="H28"/>
  <c r="H37"/>
  <c r="H43"/>
  <c r="H48"/>
  <c r="H52"/>
  <c r="H58"/>
  <c r="H63"/>
  <c r="H68"/>
  <c r="H72"/>
  <c r="H76"/>
  <c r="H81"/>
  <c r="H85"/>
  <c r="H90"/>
  <c r="H94"/>
  <c r="H98"/>
  <c r="H115"/>
  <c r="H126"/>
  <c r="H130"/>
  <c r="H135"/>
  <c r="H139"/>
  <c r="H143"/>
  <c r="H147"/>
  <c r="H166"/>
  <c r="H178"/>
  <c r="H183"/>
  <c r="H187"/>
  <c r="H204"/>
  <c r="H215"/>
  <c r="H228"/>
  <c r="H232"/>
  <c r="H236"/>
  <c r="H241"/>
  <c r="H245"/>
  <c r="H250"/>
  <c r="H255"/>
  <c r="H260"/>
  <c r="H264"/>
  <c r="H269"/>
  <c r="H274"/>
  <c r="H283"/>
  <c r="H288"/>
  <c r="H293"/>
  <c r="H301"/>
  <c r="H374"/>
  <c r="H424"/>
  <c r="H305"/>
  <c r="H309"/>
  <c r="H313"/>
  <c r="H317"/>
  <c r="H321"/>
  <c r="H343"/>
  <c r="H379"/>
  <c r="H395"/>
  <c r="H402"/>
  <c r="H488"/>
  <c r="H547"/>
  <c r="H551"/>
  <c r="H579"/>
  <c r="H613"/>
  <c r="H699"/>
  <c r="H7"/>
  <c r="F7" s="1"/>
  <c r="H21"/>
  <c r="H27"/>
  <c r="H40"/>
  <c r="H42"/>
  <c r="H47"/>
  <c r="H51"/>
  <c r="H62"/>
  <c r="H67"/>
  <c r="H71"/>
  <c r="H75"/>
  <c r="H79"/>
  <c r="H84"/>
  <c r="H89"/>
  <c r="H93"/>
  <c r="H97"/>
  <c r="H114"/>
  <c r="H118"/>
  <c r="H129"/>
  <c r="H134"/>
  <c r="H138"/>
  <c r="H142"/>
  <c r="H146"/>
  <c r="H165"/>
  <c r="H177"/>
  <c r="H181"/>
  <c r="H186"/>
  <c r="H203"/>
  <c r="H214"/>
  <c r="H225"/>
  <c r="H231"/>
  <c r="H235"/>
  <c r="H239"/>
  <c r="H244"/>
  <c r="H249"/>
  <c r="H254"/>
  <c r="H258"/>
  <c r="H263"/>
  <c r="H268"/>
  <c r="H273"/>
  <c r="H282"/>
  <c r="H287"/>
  <c r="H292"/>
  <c r="H298"/>
  <c r="H337"/>
  <c r="D331"/>
  <c r="H335"/>
  <c r="H356"/>
  <c r="H440"/>
  <c r="H506"/>
  <c r="H527"/>
  <c r="H557"/>
  <c r="H599"/>
  <c r="H348"/>
  <c r="H369"/>
  <c r="H383"/>
  <c r="H388"/>
  <c r="H409"/>
  <c r="H443"/>
  <c r="H468"/>
  <c r="H473"/>
  <c r="H593"/>
  <c r="H329"/>
  <c r="H332"/>
  <c r="H339"/>
  <c r="H362"/>
  <c r="H371"/>
  <c r="H408"/>
  <c r="H423"/>
  <c r="H427"/>
  <c r="H482"/>
  <c r="H487"/>
  <c r="H556"/>
  <c r="D575"/>
  <c r="H573"/>
  <c r="H582"/>
  <c r="H618"/>
  <c r="H640"/>
  <c r="H667"/>
  <c r="H675"/>
  <c r="H719"/>
  <c r="H745"/>
  <c r="H800"/>
  <c r="H415"/>
  <c r="H419"/>
  <c r="H435"/>
  <c r="H464"/>
  <c r="H478"/>
  <c r="H496"/>
  <c r="H501"/>
  <c r="H539"/>
  <c r="H584"/>
  <c r="H605"/>
  <c r="H624"/>
  <c r="H638"/>
  <c r="H449"/>
  <c r="H455"/>
  <c r="H510"/>
  <c r="H514"/>
  <c r="H518"/>
  <c r="H522"/>
  <c r="H542"/>
  <c r="H561"/>
  <c r="H589"/>
  <c r="H608"/>
  <c r="H647"/>
  <c r="H687"/>
  <c r="H696"/>
  <c r="H712"/>
  <c r="H853"/>
  <c r="H882"/>
  <c r="H887"/>
  <c r="H895"/>
  <c r="H899"/>
  <c r="H903"/>
  <c r="H910"/>
  <c r="H444"/>
  <c r="H469"/>
  <c r="H474"/>
  <c r="H528"/>
  <c r="H533"/>
  <c r="H544"/>
  <c r="H548"/>
  <c r="H552"/>
  <c r="H600"/>
  <c r="H629"/>
  <c r="H634"/>
  <c r="H414"/>
  <c r="H418"/>
  <c r="H434"/>
  <c r="H438"/>
  <c r="H463"/>
  <c r="H477"/>
  <c r="H495"/>
  <c r="H500"/>
  <c r="H504"/>
  <c r="H538"/>
  <c r="H569"/>
  <c r="H577"/>
  <c r="H591"/>
  <c r="H604"/>
  <c r="H623"/>
  <c r="H637"/>
  <c r="H644"/>
  <c r="H663"/>
  <c r="H671"/>
  <c r="H707"/>
  <c r="H749"/>
  <c r="H754"/>
  <c r="H798"/>
  <c r="H838"/>
  <c r="H658"/>
  <c r="H803"/>
  <c r="H808"/>
  <c r="H815"/>
  <c r="H830"/>
  <c r="H851"/>
  <c r="H876"/>
  <c r="D576"/>
  <c r="H646"/>
  <c r="H653"/>
  <c r="H662"/>
  <c r="H666"/>
  <c r="H670"/>
  <c r="H674"/>
  <c r="H679"/>
  <c r="H686"/>
  <c r="H691"/>
  <c r="H695"/>
  <c r="H701"/>
  <c r="H706"/>
  <c r="H711"/>
  <c r="H716"/>
  <c r="H744"/>
  <c r="H748"/>
  <c r="H752"/>
  <c r="H757"/>
  <c r="H820"/>
  <c r="H826"/>
  <c r="H858"/>
  <c r="H863"/>
  <c r="H867"/>
  <c r="H871"/>
  <c r="H915"/>
  <c r="D827"/>
  <c r="F827" s="1"/>
  <c r="F916" s="1"/>
  <c r="D9" i="30" s="1"/>
  <c r="N19" i="33"/>
  <c r="N40" i="32"/>
  <c r="P66"/>
  <c r="J85"/>
  <c r="P182"/>
  <c r="P466"/>
  <c r="N519"/>
  <c r="P528"/>
  <c r="H530"/>
  <c r="J531"/>
  <c r="N533"/>
  <c r="J541"/>
  <c r="P562"/>
  <c r="P575"/>
  <c r="P585"/>
  <c r="H587"/>
  <c r="N610"/>
  <c r="P639"/>
  <c r="H745"/>
  <c r="J827"/>
  <c r="N837"/>
  <c r="H864"/>
  <c r="F864" s="1"/>
  <c r="H865"/>
  <c r="F865" s="1"/>
  <c r="J895"/>
  <c r="J898"/>
  <c r="J901"/>
  <c r="H1024"/>
  <c r="H1031"/>
  <c r="H1055"/>
  <c r="H1069"/>
  <c r="H1087"/>
  <c r="D1096"/>
  <c r="J1096" s="1"/>
  <c r="H1101"/>
  <c r="P53"/>
  <c r="P259"/>
  <c r="P260"/>
  <c r="P272"/>
  <c r="H275"/>
  <c r="J330"/>
  <c r="N349"/>
  <c r="P536"/>
  <c r="P750"/>
  <c r="N810"/>
  <c r="P865"/>
  <c r="N919"/>
  <c r="H53"/>
  <c r="H183"/>
  <c r="N260"/>
  <c r="P442"/>
  <c r="H466"/>
  <c r="J470"/>
  <c r="P487"/>
  <c r="P497"/>
  <c r="N505"/>
  <c r="J520"/>
  <c r="P529"/>
  <c r="P558"/>
  <c r="N583"/>
  <c r="H613"/>
  <c r="H623"/>
  <c r="P666"/>
  <c r="H747"/>
  <c r="J750"/>
  <c r="H810"/>
  <c r="J876"/>
  <c r="H877"/>
  <c r="F877" s="1"/>
  <c r="M943"/>
  <c r="O943" s="1"/>
  <c r="P943" s="1"/>
  <c r="H1022"/>
  <c r="H1043"/>
  <c r="H1063"/>
  <c r="H1079"/>
  <c r="H1095"/>
  <c r="P85"/>
  <c r="P258"/>
  <c r="H260"/>
  <c r="J264"/>
  <c r="P268"/>
  <c r="N284"/>
  <c r="J292"/>
  <c r="N342"/>
  <c r="J347"/>
  <c r="P348"/>
  <c r="P374"/>
  <c r="P376"/>
  <c r="H382"/>
  <c r="J385"/>
  <c r="H400"/>
  <c r="J413"/>
  <c r="P541"/>
  <c r="P667"/>
  <c r="P877"/>
  <c r="J576"/>
  <c r="H576"/>
  <c r="N89"/>
  <c r="P167"/>
  <c r="J231"/>
  <c r="N239"/>
  <c r="H284"/>
  <c r="J303"/>
  <c r="P307"/>
  <c r="P314"/>
  <c r="N370"/>
  <c r="J373"/>
  <c r="P385"/>
  <c r="P387"/>
  <c r="N403"/>
  <c r="J406"/>
  <c r="P417"/>
  <c r="J420"/>
  <c r="J424"/>
  <c r="P433"/>
  <c r="H435"/>
  <c r="J436"/>
  <c r="N439"/>
  <c r="H442"/>
  <c r="J443"/>
  <c r="P456"/>
  <c r="N490"/>
  <c r="H492"/>
  <c r="H513"/>
  <c r="J574"/>
  <c r="J580"/>
  <c r="J600"/>
  <c r="N601"/>
  <c r="H605"/>
  <c r="J624"/>
  <c r="J637"/>
  <c r="H656"/>
  <c r="N665"/>
  <c r="H667"/>
  <c r="H668"/>
  <c r="P674"/>
  <c r="P675"/>
  <c r="N679"/>
  <c r="J680"/>
  <c r="N692"/>
  <c r="H694"/>
  <c r="H695"/>
  <c r="P698"/>
  <c r="P699"/>
  <c r="N745"/>
  <c r="H753"/>
  <c r="H758"/>
  <c r="J793"/>
  <c r="N799"/>
  <c r="P805"/>
  <c r="H809"/>
  <c r="H811"/>
  <c r="N816"/>
  <c r="J821"/>
  <c r="J839"/>
  <c r="J851"/>
  <c r="P856"/>
  <c r="J860"/>
  <c r="P864"/>
  <c r="J871"/>
  <c r="P876"/>
  <c r="J896"/>
  <c r="P899"/>
  <c r="J1014"/>
  <c r="H1029"/>
  <c r="H1041"/>
  <c r="J1045"/>
  <c r="J1076"/>
  <c r="J1105"/>
  <c r="P37"/>
  <c r="P38"/>
  <c r="N64"/>
  <c r="J70"/>
  <c r="P80"/>
  <c r="P81"/>
  <c r="H89"/>
  <c r="J117"/>
  <c r="H138"/>
  <c r="P145"/>
  <c r="H167"/>
  <c r="J180"/>
  <c r="P186"/>
  <c r="H188"/>
  <c r="P205"/>
  <c r="H207"/>
  <c r="P215"/>
  <c r="N216"/>
  <c r="P232"/>
  <c r="P233"/>
  <c r="H239"/>
  <c r="J245"/>
  <c r="P254"/>
  <c r="P256"/>
  <c r="H289"/>
  <c r="H307"/>
  <c r="P311"/>
  <c r="J314"/>
  <c r="J317"/>
  <c r="J318"/>
  <c r="P322"/>
  <c r="H336"/>
  <c r="J344"/>
  <c r="J345"/>
  <c r="N347"/>
  <c r="N350"/>
  <c r="J369"/>
  <c r="H370"/>
  <c r="J374"/>
  <c r="H380"/>
  <c r="J381"/>
  <c r="N389"/>
  <c r="H391"/>
  <c r="H403"/>
  <c r="J409"/>
  <c r="P450"/>
  <c r="H452"/>
  <c r="H456"/>
  <c r="P463"/>
  <c r="P472"/>
  <c r="H478"/>
  <c r="P481"/>
  <c r="P488"/>
  <c r="J497"/>
  <c r="J511"/>
  <c r="P514"/>
  <c r="J516"/>
  <c r="N523"/>
  <c r="H528"/>
  <c r="P546"/>
  <c r="P550"/>
  <c r="P554"/>
  <c r="H557"/>
  <c r="P570"/>
  <c r="P576"/>
  <c r="N648"/>
  <c r="P656"/>
  <c r="J669"/>
  <c r="N676"/>
  <c r="J677"/>
  <c r="H679"/>
  <c r="N700"/>
  <c r="J701"/>
  <c r="N712"/>
  <c r="H714"/>
  <c r="N756"/>
  <c r="N797"/>
  <c r="H799"/>
  <c r="N800"/>
  <c r="J803"/>
  <c r="P809"/>
  <c r="H816"/>
  <c r="J831"/>
  <c r="H841"/>
  <c r="P851"/>
  <c r="H859"/>
  <c r="F859" s="1"/>
  <c r="H860"/>
  <c r="F860" s="1"/>
  <c r="P860"/>
  <c r="J862"/>
  <c r="J865"/>
  <c r="H867"/>
  <c r="F867" s="1"/>
  <c r="J868"/>
  <c r="J870"/>
  <c r="P871"/>
  <c r="J877"/>
  <c r="H879"/>
  <c r="F879" s="1"/>
  <c r="H888"/>
  <c r="F888" s="1"/>
  <c r="H889"/>
  <c r="F889" s="1"/>
  <c r="J890"/>
  <c r="P902"/>
  <c r="H1014"/>
  <c r="J1033"/>
  <c r="H1039"/>
  <c r="H1045"/>
  <c r="J1046"/>
  <c r="H1049"/>
  <c r="H1057"/>
  <c r="H1071"/>
  <c r="H1077"/>
  <c r="H1085"/>
  <c r="H1093"/>
  <c r="H1099"/>
  <c r="J1102"/>
  <c r="H1105"/>
  <c r="P39"/>
  <c r="P65"/>
  <c r="J205"/>
  <c r="J216"/>
  <c r="P217"/>
  <c r="P257"/>
  <c r="P278"/>
  <c r="J322"/>
  <c r="H389"/>
  <c r="P411"/>
  <c r="P416"/>
  <c r="H428"/>
  <c r="P434"/>
  <c r="P435"/>
  <c r="P464"/>
  <c r="J476"/>
  <c r="N498"/>
  <c r="P530"/>
  <c r="H536"/>
  <c r="J537"/>
  <c r="P542"/>
  <c r="P543"/>
  <c r="P547"/>
  <c r="H562"/>
  <c r="J570"/>
  <c r="P590"/>
  <c r="P595"/>
  <c r="N600"/>
  <c r="N613"/>
  <c r="N623"/>
  <c r="J641"/>
  <c r="H642"/>
  <c r="J647"/>
  <c r="H648"/>
  <c r="J653"/>
  <c r="P679"/>
  <c r="J683"/>
  <c r="J688"/>
  <c r="N691"/>
  <c r="P693"/>
  <c r="P694"/>
  <c r="N695"/>
  <c r="J696"/>
  <c r="H699"/>
  <c r="H700"/>
  <c r="H756"/>
  <c r="H870"/>
  <c r="F870" s="1"/>
  <c r="P870"/>
  <c r="H874"/>
  <c r="F874" s="1"/>
  <c r="H884"/>
  <c r="F884" s="1"/>
  <c r="P890"/>
  <c r="H900"/>
  <c r="F900" s="1"/>
  <c r="P905"/>
  <c r="J913"/>
  <c r="H1033"/>
  <c r="J1037"/>
  <c r="H1047"/>
  <c r="P14"/>
  <c r="J17"/>
  <c r="J28"/>
  <c r="H38"/>
  <c r="J39"/>
  <c r="J49"/>
  <c r="N61"/>
  <c r="J65"/>
  <c r="J74"/>
  <c r="J75"/>
  <c r="N79"/>
  <c r="H81"/>
  <c r="P87"/>
  <c r="H97"/>
  <c r="J130"/>
  <c r="P137"/>
  <c r="H146"/>
  <c r="P166"/>
  <c r="P187"/>
  <c r="P206"/>
  <c r="P207"/>
  <c r="J217"/>
  <c r="N231"/>
  <c r="H233"/>
  <c r="J234"/>
  <c r="H256"/>
  <c r="J257"/>
  <c r="P332"/>
  <c r="P343"/>
  <c r="N345"/>
  <c r="N364"/>
  <c r="N369"/>
  <c r="N373"/>
  <c r="P380"/>
  <c r="P381"/>
  <c r="P391"/>
  <c r="J415"/>
  <c r="J416"/>
  <c r="P420"/>
  <c r="J423"/>
  <c r="N442"/>
  <c r="P451"/>
  <c r="H464"/>
  <c r="H474"/>
  <c r="P477"/>
  <c r="H481"/>
  <c r="J482"/>
  <c r="N485"/>
  <c r="H488"/>
  <c r="J489"/>
  <c r="P496"/>
  <c r="J502"/>
  <c r="N515"/>
  <c r="J524"/>
  <c r="N526"/>
  <c r="N539"/>
  <c r="J546"/>
  <c r="J547"/>
  <c r="J550"/>
  <c r="J551"/>
  <c r="J554"/>
  <c r="H559"/>
  <c r="J572"/>
  <c r="P574"/>
  <c r="P588"/>
  <c r="H590"/>
  <c r="H595"/>
  <c r="J605"/>
  <c r="P628"/>
  <c r="N649"/>
  <c r="N656"/>
  <c r="N668"/>
  <c r="P676"/>
  <c r="P700"/>
  <c r="P714"/>
  <c r="N753"/>
  <c r="N796"/>
  <c r="P798"/>
  <c r="N801"/>
  <c r="J809"/>
  <c r="N811"/>
  <c r="P859"/>
  <c r="P879"/>
  <c r="P888"/>
  <c r="J899"/>
  <c r="H913"/>
  <c r="F913" s="1"/>
  <c r="H915"/>
  <c r="F915" s="1"/>
  <c r="J916"/>
  <c r="J1022"/>
  <c r="J1026"/>
  <c r="H1037"/>
  <c r="J1041"/>
  <c r="H1053"/>
  <c r="H1061"/>
  <c r="J1064"/>
  <c r="H1067"/>
  <c r="H1075"/>
  <c r="H1081"/>
  <c r="H1089"/>
  <c r="H1097"/>
  <c r="H1107"/>
  <c r="J515"/>
  <c r="H515"/>
  <c r="J523"/>
  <c r="H523"/>
  <c r="J539"/>
  <c r="H539"/>
  <c r="D578"/>
  <c r="J573"/>
  <c r="D577"/>
  <c r="N594"/>
  <c r="J594"/>
  <c r="P7"/>
  <c r="N10"/>
  <c r="N11"/>
  <c r="H18"/>
  <c r="H24"/>
  <c r="H40"/>
  <c r="H44"/>
  <c r="P50"/>
  <c r="P51"/>
  <c r="H66"/>
  <c r="P70"/>
  <c r="N71"/>
  <c r="H73"/>
  <c r="P76"/>
  <c r="P77"/>
  <c r="P83"/>
  <c r="H86"/>
  <c r="P90"/>
  <c r="N93"/>
  <c r="H95"/>
  <c r="J96"/>
  <c r="N97"/>
  <c r="H99"/>
  <c r="J100"/>
  <c r="N101"/>
  <c r="H118"/>
  <c r="P119"/>
  <c r="P120"/>
  <c r="H129"/>
  <c r="P130"/>
  <c r="P131"/>
  <c r="H133"/>
  <c r="H136"/>
  <c r="P139"/>
  <c r="P142"/>
  <c r="H144"/>
  <c r="J147"/>
  <c r="N148"/>
  <c r="H165"/>
  <c r="J168"/>
  <c r="N169"/>
  <c r="H179"/>
  <c r="P180"/>
  <c r="P183"/>
  <c r="P189"/>
  <c r="P203"/>
  <c r="N207"/>
  <c r="H218"/>
  <c r="N227"/>
  <c r="N233"/>
  <c r="H235"/>
  <c r="P236"/>
  <c r="P237"/>
  <c r="P243"/>
  <c r="H246"/>
  <c r="P247"/>
  <c r="P250"/>
  <c r="P251"/>
  <c r="H253"/>
  <c r="H258"/>
  <c r="P262"/>
  <c r="N263"/>
  <c r="P264"/>
  <c r="H268"/>
  <c r="N270"/>
  <c r="J274"/>
  <c r="P275"/>
  <c r="H277"/>
  <c r="J278"/>
  <c r="J285"/>
  <c r="P286"/>
  <c r="P290"/>
  <c r="P293"/>
  <c r="P294"/>
  <c r="N297"/>
  <c r="H300"/>
  <c r="P303"/>
  <c r="H311"/>
  <c r="N313"/>
  <c r="H319"/>
  <c r="N321"/>
  <c r="H332"/>
  <c r="H342"/>
  <c r="J343"/>
  <c r="J348"/>
  <c r="H349"/>
  <c r="H350"/>
  <c r="N353"/>
  <c r="P356"/>
  <c r="P357"/>
  <c r="N358"/>
  <c r="P361"/>
  <c r="N362"/>
  <c r="H364"/>
  <c r="N367"/>
  <c r="N368"/>
  <c r="P369"/>
  <c r="H378"/>
  <c r="N384"/>
  <c r="P393"/>
  <c r="N396"/>
  <c r="P407"/>
  <c r="H411"/>
  <c r="P413"/>
  <c r="H417"/>
  <c r="N419"/>
  <c r="P425"/>
  <c r="P426"/>
  <c r="P436"/>
  <c r="P437"/>
  <c r="H439"/>
  <c r="P443"/>
  <c r="P444"/>
  <c r="H446"/>
  <c r="J459"/>
  <c r="H462"/>
  <c r="J463"/>
  <c r="P468"/>
  <c r="N469"/>
  <c r="P470"/>
  <c r="P474"/>
  <c r="J477"/>
  <c r="P478"/>
  <c r="P482"/>
  <c r="N483"/>
  <c r="H485"/>
  <c r="H490"/>
  <c r="H498"/>
  <c r="P502"/>
  <c r="P503"/>
  <c r="H505"/>
  <c r="H508"/>
  <c r="J512"/>
  <c r="J521"/>
  <c r="P540"/>
  <c r="P548"/>
  <c r="P552"/>
  <c r="N540"/>
  <c r="J540"/>
  <c r="J548"/>
  <c r="H548"/>
  <c r="J552"/>
  <c r="H552"/>
  <c r="N561"/>
  <c r="J561"/>
  <c r="J581"/>
  <c r="H581"/>
  <c r="P8"/>
  <c r="P10"/>
  <c r="P13"/>
  <c r="P21"/>
  <c r="P27"/>
  <c r="N51"/>
  <c r="P69"/>
  <c r="J71"/>
  <c r="N77"/>
  <c r="P91"/>
  <c r="N116"/>
  <c r="N120"/>
  <c r="J131"/>
  <c r="N140"/>
  <c r="N181"/>
  <c r="N203"/>
  <c r="P204"/>
  <c r="P230"/>
  <c r="N237"/>
  <c r="P244"/>
  <c r="P248"/>
  <c r="J251"/>
  <c r="J263"/>
  <c r="P265"/>
  <c r="J270"/>
  <c r="P271"/>
  <c r="P288"/>
  <c r="N294"/>
  <c r="P304"/>
  <c r="P309"/>
  <c r="J313"/>
  <c r="P315"/>
  <c r="P317"/>
  <c r="J321"/>
  <c r="P323"/>
  <c r="P330"/>
  <c r="P344"/>
  <c r="N354"/>
  <c r="N357"/>
  <c r="J362"/>
  <c r="J368"/>
  <c r="J384"/>
  <c r="N386"/>
  <c r="J396"/>
  <c r="P409"/>
  <c r="P415"/>
  <c r="J419"/>
  <c r="P421"/>
  <c r="N426"/>
  <c r="P427"/>
  <c r="J437"/>
  <c r="J444"/>
  <c r="P459"/>
  <c r="J469"/>
  <c r="P471"/>
  <c r="J483"/>
  <c r="N501"/>
  <c r="J503"/>
  <c r="J519"/>
  <c r="H519"/>
  <c r="J526"/>
  <c r="H526"/>
  <c r="J533"/>
  <c r="H533"/>
  <c r="N567"/>
  <c r="J567"/>
  <c r="J592"/>
  <c r="H592"/>
  <c r="N8"/>
  <c r="J11"/>
  <c r="N13"/>
  <c r="P17"/>
  <c r="H21"/>
  <c r="H27"/>
  <c r="P28"/>
  <c r="N38"/>
  <c r="P48"/>
  <c r="P49"/>
  <c r="H51"/>
  <c r="J52"/>
  <c r="H69"/>
  <c r="P72"/>
  <c r="P74"/>
  <c r="N75"/>
  <c r="H77"/>
  <c r="J78"/>
  <c r="N81"/>
  <c r="H84"/>
  <c r="H91"/>
  <c r="P94"/>
  <c r="P95"/>
  <c r="P98"/>
  <c r="P99"/>
  <c r="P102"/>
  <c r="H116"/>
  <c r="P117"/>
  <c r="P118"/>
  <c r="H120"/>
  <c r="P128"/>
  <c r="P132"/>
  <c r="P135"/>
  <c r="P138"/>
  <c r="H140"/>
  <c r="P143"/>
  <c r="P146"/>
  <c r="P149"/>
  <c r="P170"/>
  <c r="H181"/>
  <c r="N188"/>
  <c r="H203"/>
  <c r="J204"/>
  <c r="J230"/>
  <c r="P234"/>
  <c r="N235"/>
  <c r="H237"/>
  <c r="J238"/>
  <c r="N241"/>
  <c r="H244"/>
  <c r="P245"/>
  <c r="N246"/>
  <c r="H248"/>
  <c r="P252"/>
  <c r="N256"/>
  <c r="H265"/>
  <c r="J271"/>
  <c r="P276"/>
  <c r="P277"/>
  <c r="P284"/>
  <c r="J288"/>
  <c r="P289"/>
  <c r="P292"/>
  <c r="H294"/>
  <c r="J295"/>
  <c r="P299"/>
  <c r="P300"/>
  <c r="H304"/>
  <c r="P308"/>
  <c r="N309"/>
  <c r="P310"/>
  <c r="H315"/>
  <c r="N317"/>
  <c r="P318"/>
  <c r="H323"/>
  <c r="N330"/>
  <c r="P331"/>
  <c r="D333"/>
  <c r="P333" s="1"/>
  <c r="N336"/>
  <c r="P342"/>
  <c r="N343"/>
  <c r="N344"/>
  <c r="P345"/>
  <c r="P347"/>
  <c r="N348"/>
  <c r="P350"/>
  <c r="J353"/>
  <c r="H354"/>
  <c r="H357"/>
  <c r="J358"/>
  <c r="P358"/>
  <c r="N360"/>
  <c r="P364"/>
  <c r="J367"/>
  <c r="H375"/>
  <c r="N380"/>
  <c r="H386"/>
  <c r="N391"/>
  <c r="N400"/>
  <c r="P404"/>
  <c r="N406"/>
  <c r="N409"/>
  <c r="P410"/>
  <c r="N415"/>
  <c r="H421"/>
  <c r="P423"/>
  <c r="P424"/>
  <c r="H426"/>
  <c r="J427"/>
  <c r="N435"/>
  <c r="P438"/>
  <c r="P439"/>
  <c r="P445"/>
  <c r="P446"/>
  <c r="N452"/>
  <c r="J455"/>
  <c r="N458"/>
  <c r="P462"/>
  <c r="N466"/>
  <c r="H471"/>
  <c r="P475"/>
  <c r="N476"/>
  <c r="N481"/>
  <c r="P484"/>
  <c r="P485"/>
  <c r="N488"/>
  <c r="P489"/>
  <c r="N492"/>
  <c r="H501"/>
  <c r="P504"/>
  <c r="P507"/>
  <c r="P510"/>
  <c r="N511"/>
  <c r="J517"/>
  <c r="N527"/>
  <c r="J527"/>
  <c r="N534"/>
  <c r="J534"/>
  <c r="P18"/>
  <c r="P24"/>
  <c r="N44"/>
  <c r="P52"/>
  <c r="P73"/>
  <c r="P78"/>
  <c r="N86"/>
  <c r="P96"/>
  <c r="N129"/>
  <c r="N133"/>
  <c r="N136"/>
  <c r="N144"/>
  <c r="P147"/>
  <c r="N165"/>
  <c r="P179"/>
  <c r="P218"/>
  <c r="P238"/>
  <c r="N253"/>
  <c r="P263"/>
  <c r="P274"/>
  <c r="N277"/>
  <c r="P295"/>
  <c r="P313"/>
  <c r="P321"/>
  <c r="P368"/>
  <c r="P384"/>
  <c r="P396"/>
  <c r="P419"/>
  <c r="P455"/>
  <c r="P469"/>
  <c r="P512"/>
  <c r="P513"/>
  <c r="P516"/>
  <c r="P517"/>
  <c r="P520"/>
  <c r="P521"/>
  <c r="N530"/>
  <c r="P545"/>
  <c r="N546"/>
  <c r="N554"/>
  <c r="P557"/>
  <c r="P582"/>
  <c r="P583"/>
  <c r="P598"/>
  <c r="P603"/>
  <c r="N604"/>
  <c r="H606"/>
  <c r="P608"/>
  <c r="H612"/>
  <c r="H616"/>
  <c r="H619"/>
  <c r="H620"/>
  <c r="H622"/>
  <c r="P625"/>
  <c r="P629"/>
  <c r="N630"/>
  <c r="P632"/>
  <c r="P636"/>
  <c r="N637"/>
  <c r="P640"/>
  <c r="J642"/>
  <c r="H643"/>
  <c r="P651"/>
  <c r="P652"/>
  <c r="N653"/>
  <c r="N657"/>
  <c r="N661"/>
  <c r="H663"/>
  <c r="H664"/>
  <c r="P664"/>
  <c r="N669"/>
  <c r="H671"/>
  <c r="H672"/>
  <c r="P672"/>
  <c r="N680"/>
  <c r="P684"/>
  <c r="P686"/>
  <c r="P687"/>
  <c r="N688"/>
  <c r="P697"/>
  <c r="N701"/>
  <c r="N702"/>
  <c r="N703"/>
  <c r="N705"/>
  <c r="H707"/>
  <c r="H708"/>
  <c r="J709"/>
  <c r="H711"/>
  <c r="P711"/>
  <c r="H717"/>
  <c r="H720"/>
  <c r="J721"/>
  <c r="J746"/>
  <c r="N747"/>
  <c r="H749"/>
  <c r="H751"/>
  <c r="J757"/>
  <c r="N758"/>
  <c r="H792"/>
  <c r="N794"/>
  <c r="P799"/>
  <c r="N803"/>
  <c r="N806"/>
  <c r="H813"/>
  <c r="H818"/>
  <c r="H828"/>
  <c r="H836"/>
  <c r="H840"/>
  <c r="H854"/>
  <c r="F854" s="1"/>
  <c r="N856"/>
  <c r="H857"/>
  <c r="F857" s="1"/>
  <c r="J859"/>
  <c r="H863"/>
  <c r="F863" s="1"/>
  <c r="J864"/>
  <c r="H866"/>
  <c r="F866" s="1"/>
  <c r="J867"/>
  <c r="P867"/>
  <c r="H869"/>
  <c r="F869" s="1"/>
  <c r="N872"/>
  <c r="N874"/>
  <c r="H875"/>
  <c r="F875" s="1"/>
  <c r="P875"/>
  <c r="H878"/>
  <c r="F878" s="1"/>
  <c r="J879"/>
  <c r="J881"/>
  <c r="P881"/>
  <c r="H883"/>
  <c r="F883" s="1"/>
  <c r="J884"/>
  <c r="P884"/>
  <c r="H886"/>
  <c r="F886" s="1"/>
  <c r="N888"/>
  <c r="J889"/>
  <c r="P889"/>
  <c r="H897"/>
  <c r="F897" s="1"/>
  <c r="N900"/>
  <c r="N903"/>
  <c r="H904"/>
  <c r="F904" s="1"/>
  <c r="P904"/>
  <c r="N906"/>
  <c r="N908"/>
  <c r="N911"/>
  <c r="N913"/>
  <c r="H914"/>
  <c r="F914" s="1"/>
  <c r="J915"/>
  <c r="P915"/>
  <c r="N921"/>
  <c r="P990"/>
  <c r="H1013"/>
  <c r="H1021"/>
  <c r="J1024"/>
  <c r="H1025"/>
  <c r="H1028"/>
  <c r="P1029"/>
  <c r="J1031"/>
  <c r="H1032"/>
  <c r="J1035"/>
  <c r="H1036"/>
  <c r="J1039"/>
  <c r="H1040"/>
  <c r="J1043"/>
  <c r="H1044"/>
  <c r="J1047"/>
  <c r="H1048"/>
  <c r="P1049"/>
  <c r="J1051"/>
  <c r="H1052"/>
  <c r="P1053"/>
  <c r="J1055"/>
  <c r="H1056"/>
  <c r="P1057"/>
  <c r="J1059"/>
  <c r="H1060"/>
  <c r="P1061"/>
  <c r="J1063"/>
  <c r="H1064"/>
  <c r="P1065"/>
  <c r="J1067"/>
  <c r="H1068"/>
  <c r="P1069"/>
  <c r="J1071"/>
  <c r="H1072"/>
  <c r="P1073"/>
  <c r="J1075"/>
  <c r="H1076"/>
  <c r="P1077"/>
  <c r="J1079"/>
  <c r="H1080"/>
  <c r="P1081"/>
  <c r="J1083"/>
  <c r="H1084"/>
  <c r="P1085"/>
  <c r="J1087"/>
  <c r="H1088"/>
  <c r="P1089"/>
  <c r="J1091"/>
  <c r="H1092"/>
  <c r="P1093"/>
  <c r="J1095"/>
  <c r="H1096"/>
  <c r="P1097"/>
  <c r="J1099"/>
  <c r="H1100"/>
  <c r="P1101"/>
  <c r="J1103"/>
  <c r="H1104"/>
  <c r="J1107"/>
  <c r="P612"/>
  <c r="P622"/>
  <c r="P749"/>
  <c r="P792"/>
  <c r="N813"/>
  <c r="N818"/>
  <c r="N828"/>
  <c r="N836"/>
  <c r="N840"/>
  <c r="N863"/>
  <c r="N866"/>
  <c r="N869"/>
  <c r="N875"/>
  <c r="N878"/>
  <c r="N883"/>
  <c r="N886"/>
  <c r="N897"/>
  <c r="N904"/>
  <c r="N914"/>
  <c r="P1013"/>
  <c r="J1015"/>
  <c r="P1021"/>
  <c r="P1025"/>
  <c r="P1028"/>
  <c r="J1030"/>
  <c r="P1032"/>
  <c r="J1034"/>
  <c r="P1036"/>
  <c r="J1038"/>
  <c r="P1040"/>
  <c r="J1042"/>
  <c r="P1044"/>
  <c r="P1048"/>
  <c r="J1050"/>
  <c r="P1052"/>
  <c r="J1054"/>
  <c r="P1056"/>
  <c r="J1058"/>
  <c r="P1060"/>
  <c r="J1062"/>
  <c r="J1066"/>
  <c r="P1068"/>
  <c r="J1070"/>
  <c r="P1072"/>
  <c r="J1074"/>
  <c r="J1078"/>
  <c r="P1080"/>
  <c r="J1082"/>
  <c r="P1084"/>
  <c r="J1086"/>
  <c r="P1088"/>
  <c r="J1090"/>
  <c r="P1092"/>
  <c r="J1094"/>
  <c r="P1096"/>
  <c r="P1100"/>
  <c r="P1104"/>
  <c r="J1106"/>
  <c r="P518"/>
  <c r="P522"/>
  <c r="P524"/>
  <c r="P526"/>
  <c r="P531"/>
  <c r="P533"/>
  <c r="N536"/>
  <c r="P537"/>
  <c r="P539"/>
  <c r="N543"/>
  <c r="N550"/>
  <c r="P551"/>
  <c r="J558"/>
  <c r="P559"/>
  <c r="P565"/>
  <c r="P572"/>
  <c r="N576"/>
  <c r="P580"/>
  <c r="P581"/>
  <c r="H583"/>
  <c r="P592"/>
  <c r="H604"/>
  <c r="P605"/>
  <c r="H609"/>
  <c r="N616"/>
  <c r="P619"/>
  <c r="N620"/>
  <c r="J629"/>
  <c r="H636"/>
  <c r="J638"/>
  <c r="H641"/>
  <c r="P642"/>
  <c r="N643"/>
  <c r="P645"/>
  <c r="H647"/>
  <c r="H652"/>
  <c r="N654"/>
  <c r="P658"/>
  <c r="P662"/>
  <c r="P663"/>
  <c r="N664"/>
  <c r="J665"/>
  <c r="P670"/>
  <c r="P671"/>
  <c r="N672"/>
  <c r="J673"/>
  <c r="N677"/>
  <c r="P681"/>
  <c r="N683"/>
  <c r="N685"/>
  <c r="H687"/>
  <c r="H690"/>
  <c r="N696"/>
  <c r="P704"/>
  <c r="P706"/>
  <c r="P707"/>
  <c r="N708"/>
  <c r="N711"/>
  <c r="J712"/>
  <c r="P716"/>
  <c r="P717"/>
  <c r="N720"/>
  <c r="P745"/>
  <c r="P748"/>
  <c r="N749"/>
  <c r="P756"/>
  <c r="P785"/>
  <c r="N792"/>
  <c r="N793"/>
  <c r="J796"/>
  <c r="J800"/>
  <c r="J804"/>
  <c r="H821"/>
  <c r="P821"/>
  <c r="H827"/>
  <c r="P827"/>
  <c r="H831"/>
  <c r="P831"/>
  <c r="H839"/>
  <c r="P839"/>
  <c r="H851"/>
  <c r="F851" s="1"/>
  <c r="J852"/>
  <c r="N854"/>
  <c r="N857"/>
  <c r="H862"/>
  <c r="F862" s="1"/>
  <c r="P862"/>
  <c r="H868"/>
  <c r="F868" s="1"/>
  <c r="P868"/>
  <c r="H871"/>
  <c r="F871" s="1"/>
  <c r="J872"/>
  <c r="J874"/>
  <c r="H876"/>
  <c r="F876" s="1"/>
  <c r="H885"/>
  <c r="F885" s="1"/>
  <c r="P885"/>
  <c r="H890"/>
  <c r="F890" s="1"/>
  <c r="H896"/>
  <c r="F896" s="1"/>
  <c r="P896"/>
  <c r="H899"/>
  <c r="F899" s="1"/>
  <c r="H902"/>
  <c r="F902" s="1"/>
  <c r="J903"/>
  <c r="P903"/>
  <c r="H905"/>
  <c r="F905" s="1"/>
  <c r="J906"/>
  <c r="P906"/>
  <c r="J908"/>
  <c r="P908"/>
  <c r="J911"/>
  <c r="P911"/>
  <c r="H916"/>
  <c r="F916" s="1"/>
  <c r="P916"/>
  <c r="H1015"/>
  <c r="H1023"/>
  <c r="H1030"/>
  <c r="H1034"/>
  <c r="H1038"/>
  <c r="H1042"/>
  <c r="H1046"/>
  <c r="H1050"/>
  <c r="H1054"/>
  <c r="H1058"/>
  <c r="H1062"/>
  <c r="H1066"/>
  <c r="H1070"/>
  <c r="H1074"/>
  <c r="H1078"/>
  <c r="H1082"/>
  <c r="H1086"/>
  <c r="H1090"/>
  <c r="H1094"/>
  <c r="H1098"/>
  <c r="H1102"/>
  <c r="H1106"/>
  <c r="P561"/>
  <c r="P567"/>
  <c r="P609"/>
  <c r="J612"/>
  <c r="J622"/>
  <c r="P641"/>
  <c r="P647"/>
  <c r="P690"/>
  <c r="N709"/>
  <c r="N721"/>
  <c r="P746"/>
  <c r="N751"/>
  <c r="P757"/>
  <c r="J813"/>
  <c r="J818"/>
  <c r="J828"/>
  <c r="J836"/>
  <c r="J840"/>
  <c r="N841"/>
  <c r="J863"/>
  <c r="J866"/>
  <c r="J869"/>
  <c r="P872"/>
  <c r="J878"/>
  <c r="J883"/>
  <c r="J886"/>
  <c r="J897"/>
  <c r="P900"/>
  <c r="J914"/>
  <c r="H376"/>
  <c r="J376"/>
  <c r="N382"/>
  <c r="O382"/>
  <c r="P382" s="1"/>
  <c r="N1009"/>
  <c r="N7"/>
  <c r="N12"/>
  <c r="N14"/>
  <c r="N18"/>
  <c r="H19"/>
  <c r="N21"/>
  <c r="H22"/>
  <c r="N24"/>
  <c r="H25"/>
  <c r="N27"/>
  <c r="H28"/>
  <c r="H39"/>
  <c r="J41"/>
  <c r="J42"/>
  <c r="N46"/>
  <c r="N49"/>
  <c r="H50"/>
  <c r="N53"/>
  <c r="H54"/>
  <c r="N59"/>
  <c r="H60"/>
  <c r="N62"/>
  <c r="H63"/>
  <c r="N66"/>
  <c r="H67"/>
  <c r="N69"/>
  <c r="H70"/>
  <c r="N73"/>
  <c r="H74"/>
  <c r="H78"/>
  <c r="N84"/>
  <c r="H85"/>
  <c r="N91"/>
  <c r="H92"/>
  <c r="N95"/>
  <c r="H96"/>
  <c r="N99"/>
  <c r="H100"/>
  <c r="N118"/>
  <c r="H119"/>
  <c r="N121"/>
  <c r="N123"/>
  <c r="N125"/>
  <c r="N127"/>
  <c r="H128"/>
  <c r="N131"/>
  <c r="H132"/>
  <c r="N134"/>
  <c r="H135"/>
  <c r="N138"/>
  <c r="H139"/>
  <c r="N142"/>
  <c r="H143"/>
  <c r="N146"/>
  <c r="H147"/>
  <c r="N167"/>
  <c r="H168"/>
  <c r="N179"/>
  <c r="H180"/>
  <c r="N183"/>
  <c r="N186"/>
  <c r="H187"/>
  <c r="N205"/>
  <c r="H206"/>
  <c r="N208"/>
  <c r="N210"/>
  <c r="N212"/>
  <c r="N214"/>
  <c r="H215"/>
  <c r="N218"/>
  <c r="H219"/>
  <c r="H230"/>
  <c r="H234"/>
  <c r="H238"/>
  <c r="N244"/>
  <c r="H245"/>
  <c r="N248"/>
  <c r="N251"/>
  <c r="H252"/>
  <c r="N258"/>
  <c r="H259"/>
  <c r="N261"/>
  <c r="H262"/>
  <c r="N265"/>
  <c r="H266"/>
  <c r="N268"/>
  <c r="H269"/>
  <c r="N272"/>
  <c r="N275"/>
  <c r="H276"/>
  <c r="N286"/>
  <c r="N289"/>
  <c r="H290"/>
  <c r="N292"/>
  <c r="H293"/>
  <c r="N298"/>
  <c r="H299"/>
  <c r="N301"/>
  <c r="N304"/>
  <c r="H305"/>
  <c r="N307"/>
  <c r="H308"/>
  <c r="N311"/>
  <c r="H312"/>
  <c r="N315"/>
  <c r="H316"/>
  <c r="N319"/>
  <c r="H320"/>
  <c r="N323"/>
  <c r="N325"/>
  <c r="H326"/>
  <c r="N332"/>
  <c r="H333"/>
  <c r="H334"/>
  <c r="O336"/>
  <c r="P336" s="1"/>
  <c r="N340"/>
  <c r="P353"/>
  <c r="O354"/>
  <c r="P354" s="1"/>
  <c r="O355"/>
  <c r="P355" s="1"/>
  <c r="N356"/>
  <c r="O360"/>
  <c r="P360" s="1"/>
  <c r="N361"/>
  <c r="J363"/>
  <c r="P367"/>
  <c r="J372"/>
  <c r="O373"/>
  <c r="P373" s="1"/>
  <c r="P379"/>
  <c r="N375"/>
  <c r="O375"/>
  <c r="P375" s="1"/>
  <c r="H379"/>
  <c r="J379"/>
  <c r="H578"/>
  <c r="J578"/>
  <c r="N19"/>
  <c r="N22"/>
  <c r="N25"/>
  <c r="J37"/>
  <c r="O40"/>
  <c r="P40" s="1"/>
  <c r="O44"/>
  <c r="P44" s="1"/>
  <c r="J45"/>
  <c r="N50"/>
  <c r="N54"/>
  <c r="N60"/>
  <c r="N63"/>
  <c r="O64"/>
  <c r="P64" s="1"/>
  <c r="N67"/>
  <c r="O71"/>
  <c r="P71" s="1"/>
  <c r="J72"/>
  <c r="O75"/>
  <c r="P75" s="1"/>
  <c r="J76"/>
  <c r="O79"/>
  <c r="P79" s="1"/>
  <c r="J80"/>
  <c r="O82"/>
  <c r="P82" s="1"/>
  <c r="J83"/>
  <c r="O86"/>
  <c r="P86" s="1"/>
  <c r="J87"/>
  <c r="O89"/>
  <c r="P89" s="1"/>
  <c r="J90"/>
  <c r="N92"/>
  <c r="O93"/>
  <c r="P93" s="1"/>
  <c r="J94"/>
  <c r="O97"/>
  <c r="P97" s="1"/>
  <c r="J98"/>
  <c r="O101"/>
  <c r="P101" s="1"/>
  <c r="J102"/>
  <c r="O116"/>
  <c r="P116" s="1"/>
  <c r="N119"/>
  <c r="N128"/>
  <c r="O129"/>
  <c r="P129" s="1"/>
  <c r="N132"/>
  <c r="O133"/>
  <c r="P133" s="1"/>
  <c r="N135"/>
  <c r="O136"/>
  <c r="P136" s="1"/>
  <c r="J137"/>
  <c r="N139"/>
  <c r="O140"/>
  <c r="P140" s="1"/>
  <c r="J141"/>
  <c r="N143"/>
  <c r="O144"/>
  <c r="P144" s="1"/>
  <c r="J145"/>
  <c r="O148"/>
  <c r="P148" s="1"/>
  <c r="J149"/>
  <c r="O165"/>
  <c r="P165" s="1"/>
  <c r="J166"/>
  <c r="O169"/>
  <c r="P169" s="1"/>
  <c r="J170"/>
  <c r="O181"/>
  <c r="P181" s="1"/>
  <c r="J182"/>
  <c r="O184"/>
  <c r="P184" s="1"/>
  <c r="J185"/>
  <c r="N187"/>
  <c r="O188"/>
  <c r="P188" s="1"/>
  <c r="J189"/>
  <c r="N206"/>
  <c r="N215"/>
  <c r="O216"/>
  <c r="P216" s="1"/>
  <c r="N219"/>
  <c r="O228"/>
  <c r="P228" s="1"/>
  <c r="O231"/>
  <c r="P231" s="1"/>
  <c r="J232"/>
  <c r="O235"/>
  <c r="P235" s="1"/>
  <c r="J236"/>
  <c r="O239"/>
  <c r="P239" s="1"/>
  <c r="J240"/>
  <c r="O242"/>
  <c r="P242" s="1"/>
  <c r="J243"/>
  <c r="O246"/>
  <c r="P246" s="1"/>
  <c r="J247"/>
  <c r="O249"/>
  <c r="P249" s="1"/>
  <c r="J250"/>
  <c r="N252"/>
  <c r="O253"/>
  <c r="P253" s="1"/>
  <c r="J254"/>
  <c r="N259"/>
  <c r="N262"/>
  <c r="N266"/>
  <c r="N269"/>
  <c r="O270"/>
  <c r="P270" s="1"/>
  <c r="N276"/>
  <c r="N290"/>
  <c r="N293"/>
  <c r="N299"/>
  <c r="N305"/>
  <c r="N308"/>
  <c r="N312"/>
  <c r="N316"/>
  <c r="N320"/>
  <c r="N326"/>
  <c r="N333"/>
  <c r="N334"/>
  <c r="P363"/>
  <c r="P372"/>
  <c r="N378"/>
  <c r="O378"/>
  <c r="P378" s="1"/>
  <c r="H17"/>
  <c r="H37"/>
  <c r="H45"/>
  <c r="H48"/>
  <c r="H52"/>
  <c r="H65"/>
  <c r="H72"/>
  <c r="H76"/>
  <c r="H80"/>
  <c r="H83"/>
  <c r="H87"/>
  <c r="H90"/>
  <c r="H94"/>
  <c r="H98"/>
  <c r="H102"/>
  <c r="H117"/>
  <c r="H130"/>
  <c r="H137"/>
  <c r="H141"/>
  <c r="H145"/>
  <c r="H149"/>
  <c r="H166"/>
  <c r="H170"/>
  <c r="H182"/>
  <c r="H185"/>
  <c r="H189"/>
  <c r="H204"/>
  <c r="H217"/>
  <c r="H232"/>
  <c r="H236"/>
  <c r="H240"/>
  <c r="H243"/>
  <c r="H247"/>
  <c r="H250"/>
  <c r="H254"/>
  <c r="H257"/>
  <c r="H264"/>
  <c r="H271"/>
  <c r="H274"/>
  <c r="H278"/>
  <c r="H285"/>
  <c r="H288"/>
  <c r="H295"/>
  <c r="H303"/>
  <c r="H310"/>
  <c r="H314"/>
  <c r="H318"/>
  <c r="H322"/>
  <c r="H331"/>
  <c r="J340"/>
  <c r="P340"/>
  <c r="O349"/>
  <c r="P349" s="1"/>
  <c r="J356"/>
  <c r="J361"/>
  <c r="O362"/>
  <c r="P362" s="1"/>
  <c r="N363"/>
  <c r="O370"/>
  <c r="P370" s="1"/>
  <c r="O371"/>
  <c r="P371" s="1"/>
  <c r="N372"/>
  <c r="N376"/>
  <c r="P383"/>
  <c r="H383"/>
  <c r="J383"/>
  <c r="J19"/>
  <c r="J22"/>
  <c r="J25"/>
  <c r="J63"/>
  <c r="J67"/>
  <c r="J266"/>
  <c r="J269"/>
  <c r="J312"/>
  <c r="J316"/>
  <c r="J320"/>
  <c r="J326"/>
  <c r="J333"/>
  <c r="J334"/>
  <c r="N379"/>
  <c r="P578"/>
  <c r="N606"/>
  <c r="O606"/>
  <c r="P606" s="1"/>
  <c r="H608"/>
  <c r="J608"/>
  <c r="H625"/>
  <c r="J625"/>
  <c r="H374"/>
  <c r="H381"/>
  <c r="H385"/>
  <c r="N411"/>
  <c r="N417"/>
  <c r="H418"/>
  <c r="N421"/>
  <c r="N424"/>
  <c r="H425"/>
  <c r="N428"/>
  <c r="H429"/>
  <c r="N433"/>
  <c r="H434"/>
  <c r="N437"/>
  <c r="H438"/>
  <c r="N440"/>
  <c r="H441"/>
  <c r="N444"/>
  <c r="H445"/>
  <c r="N447"/>
  <c r="H448"/>
  <c r="N450"/>
  <c r="H451"/>
  <c r="N453"/>
  <c r="N456"/>
  <c r="H457"/>
  <c r="N464"/>
  <c r="H465"/>
  <c r="N467"/>
  <c r="H468"/>
  <c r="N471"/>
  <c r="H472"/>
  <c r="N474"/>
  <c r="H475"/>
  <c r="N478"/>
  <c r="H479"/>
  <c r="H482"/>
  <c r="H489"/>
  <c r="J494"/>
  <c r="N496"/>
  <c r="H497"/>
  <c r="N503"/>
  <c r="H504"/>
  <c r="N506"/>
  <c r="H507"/>
  <c r="N509"/>
  <c r="H510"/>
  <c r="N513"/>
  <c r="H514"/>
  <c r="N517"/>
  <c r="H518"/>
  <c r="N521"/>
  <c r="H522"/>
  <c r="N528"/>
  <c r="H529"/>
  <c r="N541"/>
  <c r="H542"/>
  <c r="N544"/>
  <c r="H545"/>
  <c r="N548"/>
  <c r="H549"/>
  <c r="N552"/>
  <c r="H553"/>
  <c r="N555"/>
  <c r="H556"/>
  <c r="N559"/>
  <c r="N562"/>
  <c r="H563"/>
  <c r="N565"/>
  <c r="N570"/>
  <c r="N574"/>
  <c r="H575"/>
  <c r="N578"/>
  <c r="N581"/>
  <c r="H582"/>
  <c r="N584"/>
  <c r="H585"/>
  <c r="N587"/>
  <c r="H588"/>
  <c r="N590"/>
  <c r="N592"/>
  <c r="N595"/>
  <c r="N597"/>
  <c r="H598"/>
  <c r="O599"/>
  <c r="P599" s="1"/>
  <c r="H601"/>
  <c r="N603"/>
  <c r="P618"/>
  <c r="P635"/>
  <c r="N607"/>
  <c r="O607"/>
  <c r="P607" s="1"/>
  <c r="H618"/>
  <c r="J618"/>
  <c r="N624"/>
  <c r="O624"/>
  <c r="P624" s="1"/>
  <c r="H635"/>
  <c r="J635"/>
  <c r="O386"/>
  <c r="P386" s="1"/>
  <c r="J387"/>
  <c r="O389"/>
  <c r="P389" s="1"/>
  <c r="J390"/>
  <c r="O392"/>
  <c r="P392" s="1"/>
  <c r="J393"/>
  <c r="O397"/>
  <c r="P397" s="1"/>
  <c r="J398"/>
  <c r="P398"/>
  <c r="O400"/>
  <c r="P400" s="1"/>
  <c r="J401"/>
  <c r="P401"/>
  <c r="O403"/>
  <c r="P403" s="1"/>
  <c r="J404"/>
  <c r="O406"/>
  <c r="P406" s="1"/>
  <c r="J407"/>
  <c r="N418"/>
  <c r="N425"/>
  <c r="N429"/>
  <c r="N434"/>
  <c r="N438"/>
  <c r="N441"/>
  <c r="N445"/>
  <c r="N448"/>
  <c r="N451"/>
  <c r="O452"/>
  <c r="P452" s="1"/>
  <c r="O454"/>
  <c r="P454" s="1"/>
  <c r="N457"/>
  <c r="O458"/>
  <c r="P458" s="1"/>
  <c r="N465"/>
  <c r="N468"/>
  <c r="N472"/>
  <c r="N475"/>
  <c r="O476"/>
  <c r="P476" s="1"/>
  <c r="N479"/>
  <c r="O483"/>
  <c r="P483" s="1"/>
  <c r="J484"/>
  <c r="O486"/>
  <c r="P486" s="1"/>
  <c r="J487"/>
  <c r="O490"/>
  <c r="P490" s="1"/>
  <c r="J491"/>
  <c r="O493"/>
  <c r="P493" s="1"/>
  <c r="J495"/>
  <c r="O498"/>
  <c r="P498" s="1"/>
  <c r="J499"/>
  <c r="P499"/>
  <c r="O501"/>
  <c r="P501" s="1"/>
  <c r="N504"/>
  <c r="O505"/>
  <c r="P505" s="1"/>
  <c r="N507"/>
  <c r="O508"/>
  <c r="P508" s="1"/>
  <c r="N510"/>
  <c r="O511"/>
  <c r="P511" s="1"/>
  <c r="N514"/>
  <c r="O515"/>
  <c r="P515" s="1"/>
  <c r="N518"/>
  <c r="O519"/>
  <c r="P519" s="1"/>
  <c r="N522"/>
  <c r="O523"/>
  <c r="P523" s="1"/>
  <c r="N529"/>
  <c r="N542"/>
  <c r="N545"/>
  <c r="N549"/>
  <c r="N553"/>
  <c r="N556"/>
  <c r="N563"/>
  <c r="N575"/>
  <c r="N582"/>
  <c r="N585"/>
  <c r="N588"/>
  <c r="P591"/>
  <c r="N598"/>
  <c r="P601"/>
  <c r="N614"/>
  <c r="O614"/>
  <c r="P614" s="1"/>
  <c r="N617"/>
  <c r="O617"/>
  <c r="P617" s="1"/>
  <c r="H628"/>
  <c r="J628"/>
  <c r="H632"/>
  <c r="J632"/>
  <c r="N634"/>
  <c r="O634"/>
  <c r="P634" s="1"/>
  <c r="H639"/>
  <c r="J639"/>
  <c r="H640"/>
  <c r="J640"/>
  <c r="H645"/>
  <c r="J645"/>
  <c r="H387"/>
  <c r="H390"/>
  <c r="H393"/>
  <c r="H398"/>
  <c r="H401"/>
  <c r="H404"/>
  <c r="H407"/>
  <c r="H410"/>
  <c r="H413"/>
  <c r="H416"/>
  <c r="H420"/>
  <c r="H423"/>
  <c r="H427"/>
  <c r="H436"/>
  <c r="H443"/>
  <c r="H455"/>
  <c r="H459"/>
  <c r="H463"/>
  <c r="H470"/>
  <c r="H477"/>
  <c r="H484"/>
  <c r="H487"/>
  <c r="H491"/>
  <c r="H495"/>
  <c r="H499"/>
  <c r="H502"/>
  <c r="H512"/>
  <c r="H516"/>
  <c r="H520"/>
  <c r="H524"/>
  <c r="H527"/>
  <c r="H531"/>
  <c r="H534"/>
  <c r="H537"/>
  <c r="H540"/>
  <c r="H547"/>
  <c r="H551"/>
  <c r="H558"/>
  <c r="H561"/>
  <c r="H567"/>
  <c r="H572"/>
  <c r="H577"/>
  <c r="H580"/>
  <c r="H594"/>
  <c r="P600"/>
  <c r="J603"/>
  <c r="P604"/>
  <c r="N627"/>
  <c r="O627"/>
  <c r="P627" s="1"/>
  <c r="N631"/>
  <c r="O631"/>
  <c r="P631" s="1"/>
  <c r="N638"/>
  <c r="O638"/>
  <c r="P638" s="1"/>
  <c r="N644"/>
  <c r="O644"/>
  <c r="P644" s="1"/>
  <c r="J418"/>
  <c r="J479"/>
  <c r="J549"/>
  <c r="J553"/>
  <c r="J556"/>
  <c r="J563"/>
  <c r="N618"/>
  <c r="J607"/>
  <c r="O610"/>
  <c r="P610" s="1"/>
  <c r="O613"/>
  <c r="P613" s="1"/>
  <c r="J614"/>
  <c r="O616"/>
  <c r="P616" s="1"/>
  <c r="J617"/>
  <c r="N619"/>
  <c r="O620"/>
  <c r="P620" s="1"/>
  <c r="O623"/>
  <c r="P623" s="1"/>
  <c r="N626"/>
  <c r="O630"/>
  <c r="P630" s="1"/>
  <c r="J631"/>
  <c r="O633"/>
  <c r="P633" s="1"/>
  <c r="J634"/>
  <c r="N636"/>
  <c r="O637"/>
  <c r="P637" s="1"/>
  <c r="O643"/>
  <c r="P643" s="1"/>
  <c r="J644"/>
  <c r="O648"/>
  <c r="P648" s="1"/>
  <c r="J649"/>
  <c r="N652"/>
  <c r="O653"/>
  <c r="P653" s="1"/>
  <c r="J654"/>
  <c r="N663"/>
  <c r="N667"/>
  <c r="O668"/>
  <c r="P668" s="1"/>
  <c r="N671"/>
  <c r="N675"/>
  <c r="N687"/>
  <c r="O688"/>
  <c r="P688" s="1"/>
  <c r="O691"/>
  <c r="P691" s="1"/>
  <c r="J692"/>
  <c r="N694"/>
  <c r="N699"/>
  <c r="N707"/>
  <c r="O708"/>
  <c r="P708" s="1"/>
  <c r="N714"/>
  <c r="N717"/>
  <c r="O720"/>
  <c r="P720" s="1"/>
  <c r="H746"/>
  <c r="H750"/>
  <c r="H757"/>
  <c r="O786"/>
  <c r="P786" s="1"/>
  <c r="O788"/>
  <c r="P788" s="1"/>
  <c r="O790"/>
  <c r="P790" s="1"/>
  <c r="O793"/>
  <c r="P793" s="1"/>
  <c r="J794"/>
  <c r="O796"/>
  <c r="P796" s="1"/>
  <c r="J797"/>
  <c r="O800"/>
  <c r="P800" s="1"/>
  <c r="J801"/>
  <c r="O803"/>
  <c r="P803" s="1"/>
  <c r="O810"/>
  <c r="P810" s="1"/>
  <c r="O649"/>
  <c r="P649" s="1"/>
  <c r="J651"/>
  <c r="O654"/>
  <c r="P654" s="1"/>
  <c r="O657"/>
  <c r="P657" s="1"/>
  <c r="J658"/>
  <c r="O661"/>
  <c r="P661" s="1"/>
  <c r="J662"/>
  <c r="O665"/>
  <c r="P665" s="1"/>
  <c r="J666"/>
  <c r="O669"/>
  <c r="P669" s="1"/>
  <c r="J670"/>
  <c r="O673"/>
  <c r="P673" s="1"/>
  <c r="J674"/>
  <c r="O677"/>
  <c r="P677" s="1"/>
  <c r="O680"/>
  <c r="P680" s="1"/>
  <c r="J681"/>
  <c r="O683"/>
  <c r="P683" s="1"/>
  <c r="J684"/>
  <c r="O685"/>
  <c r="P685" s="1"/>
  <c r="J686"/>
  <c r="O692"/>
  <c r="P692" s="1"/>
  <c r="J693"/>
  <c r="O696"/>
  <c r="P696" s="1"/>
  <c r="J697"/>
  <c r="J698"/>
  <c r="O701"/>
  <c r="P701" s="1"/>
  <c r="O702"/>
  <c r="P702" s="1"/>
  <c r="O703"/>
  <c r="P703" s="1"/>
  <c r="J704"/>
  <c r="O705"/>
  <c r="P705" s="1"/>
  <c r="J706"/>
  <c r="O709"/>
  <c r="P709" s="1"/>
  <c r="O712"/>
  <c r="P712" s="1"/>
  <c r="J713"/>
  <c r="O715"/>
  <c r="P715" s="1"/>
  <c r="J716"/>
  <c r="O718"/>
  <c r="P718" s="1"/>
  <c r="O721"/>
  <c r="P721" s="1"/>
  <c r="O747"/>
  <c r="P747" s="1"/>
  <c r="J748"/>
  <c r="O751"/>
  <c r="P751" s="1"/>
  <c r="J752"/>
  <c r="O754"/>
  <c r="P754" s="1"/>
  <c r="J755"/>
  <c r="P755"/>
  <c r="O758"/>
  <c r="P758" s="1"/>
  <c r="O760"/>
  <c r="P760" s="1"/>
  <c r="O762"/>
  <c r="P762" s="1"/>
  <c r="O764"/>
  <c r="P764" s="1"/>
  <c r="O766"/>
  <c r="P766" s="1"/>
  <c r="O768"/>
  <c r="P768" s="1"/>
  <c r="O770"/>
  <c r="P770" s="1"/>
  <c r="O772"/>
  <c r="P772" s="1"/>
  <c r="O774"/>
  <c r="P774" s="1"/>
  <c r="O776"/>
  <c r="P776" s="1"/>
  <c r="O778"/>
  <c r="P778" s="1"/>
  <c r="O780"/>
  <c r="P780" s="1"/>
  <c r="O782"/>
  <c r="P782" s="1"/>
  <c r="O784"/>
  <c r="P784" s="1"/>
  <c r="J785"/>
  <c r="O794"/>
  <c r="P794" s="1"/>
  <c r="O797"/>
  <c r="P797" s="1"/>
  <c r="J798"/>
  <c r="O801"/>
  <c r="P801" s="1"/>
  <c r="O804"/>
  <c r="P804" s="1"/>
  <c r="J805"/>
  <c r="O807"/>
  <c r="P807" s="1"/>
  <c r="J808"/>
  <c r="O811"/>
  <c r="P811" s="1"/>
  <c r="O816"/>
  <c r="P816" s="1"/>
  <c r="O819"/>
  <c r="P819" s="1"/>
  <c r="J820"/>
  <c r="P820"/>
  <c r="O823"/>
  <c r="P823" s="1"/>
  <c r="J824"/>
  <c r="P824"/>
  <c r="O829"/>
  <c r="P829" s="1"/>
  <c r="J830"/>
  <c r="P830"/>
  <c r="O832"/>
  <c r="P832" s="1"/>
  <c r="O834"/>
  <c r="P834" s="1"/>
  <c r="O837"/>
  <c r="P837" s="1"/>
  <c r="J838"/>
  <c r="P838"/>
  <c r="O841"/>
  <c r="P841" s="1"/>
  <c r="O845"/>
  <c r="P845" s="1"/>
  <c r="O847"/>
  <c r="P847" s="1"/>
  <c r="O849"/>
  <c r="P849" s="1"/>
  <c r="O852"/>
  <c r="P852" s="1"/>
  <c r="N853"/>
  <c r="O854"/>
  <c r="P854" s="1"/>
  <c r="O857"/>
  <c r="P857" s="1"/>
  <c r="J858"/>
  <c r="P858"/>
  <c r="H651"/>
  <c r="H658"/>
  <c r="H662"/>
  <c r="H666"/>
  <c r="H670"/>
  <c r="H674"/>
  <c r="H681"/>
  <c r="H684"/>
  <c r="H686"/>
  <c r="H693"/>
  <c r="H697"/>
  <c r="H698"/>
  <c r="H704"/>
  <c r="H706"/>
  <c r="H713"/>
  <c r="H716"/>
  <c r="H748"/>
  <c r="H752"/>
  <c r="H755"/>
  <c r="H785"/>
  <c r="H798"/>
  <c r="H805"/>
  <c r="H808"/>
  <c r="H820"/>
  <c r="H824"/>
  <c r="H830"/>
  <c r="H838"/>
  <c r="H858"/>
  <c r="F858" s="1"/>
  <c r="N1102" i="31"/>
  <c r="N1104"/>
  <c r="H1108"/>
  <c r="L21"/>
  <c r="M154"/>
  <c r="N154" s="1"/>
  <c r="N270"/>
  <c r="N221"/>
  <c r="N1108"/>
  <c r="L189"/>
  <c r="N292"/>
  <c r="N375"/>
  <c r="M967"/>
  <c r="N967" s="1"/>
  <c r="N428"/>
  <c r="N478"/>
  <c r="L555"/>
  <c r="N324"/>
  <c r="N447"/>
  <c r="M186"/>
  <c r="N186" s="1"/>
  <c r="L296"/>
  <c r="N554"/>
  <c r="L647"/>
  <c r="N693"/>
  <c r="N830"/>
  <c r="N7"/>
  <c r="N16"/>
  <c r="H46"/>
  <c r="F85"/>
  <c r="L151"/>
  <c r="N205"/>
  <c r="L323"/>
  <c r="F348"/>
  <c r="F361"/>
  <c r="L606"/>
  <c r="F608"/>
  <c r="N611"/>
  <c r="N754"/>
  <c r="N803"/>
  <c r="L839"/>
  <c r="F1027"/>
  <c r="N1080"/>
  <c r="N1088"/>
  <c r="L24"/>
  <c r="F46"/>
  <c r="L190"/>
  <c r="L216"/>
  <c r="F271"/>
  <c r="F306"/>
  <c r="N312"/>
  <c r="N345"/>
  <c r="N584"/>
  <c r="F683"/>
  <c r="L686"/>
  <c r="F803"/>
  <c r="N821"/>
  <c r="F839"/>
  <c r="H884"/>
  <c r="L917"/>
  <c r="F290"/>
  <c r="F357"/>
  <c r="L391"/>
  <c r="H432"/>
  <c r="L432"/>
  <c r="M435"/>
  <c r="N435" s="1"/>
  <c r="N438"/>
  <c r="N451"/>
  <c r="H545"/>
  <c r="F575"/>
  <c r="N577"/>
  <c r="F606"/>
  <c r="N607"/>
  <c r="F612"/>
  <c r="N635"/>
  <c r="L667"/>
  <c r="F877"/>
  <c r="F889"/>
  <c r="H1023"/>
  <c r="H20"/>
  <c r="L20"/>
  <c r="N23"/>
  <c r="H68"/>
  <c r="K118"/>
  <c r="L143"/>
  <c r="N151"/>
  <c r="N260"/>
  <c r="H309"/>
  <c r="H317"/>
  <c r="N320"/>
  <c r="N322"/>
  <c r="N360"/>
  <c r="M362"/>
  <c r="N362" s="1"/>
  <c r="N468"/>
  <c r="N560"/>
  <c r="L616"/>
  <c r="H619"/>
  <c r="N632"/>
  <c r="M779"/>
  <c r="N779" s="1"/>
  <c r="H803"/>
  <c r="H821"/>
  <c r="M850"/>
  <c r="N850" s="1"/>
  <c r="N861"/>
  <c r="N866"/>
  <c r="L867"/>
  <c r="F909"/>
  <c r="H15"/>
  <c r="F20"/>
  <c r="L23"/>
  <c r="M24"/>
  <c r="F68"/>
  <c r="L85"/>
  <c r="L185"/>
  <c r="L212"/>
  <c r="M225"/>
  <c r="N225" s="1"/>
  <c r="L261"/>
  <c r="N279"/>
  <c r="N288"/>
  <c r="F309"/>
  <c r="F317"/>
  <c r="K343"/>
  <c r="L343" s="1"/>
  <c r="H361"/>
  <c r="N376"/>
  <c r="F379"/>
  <c r="H404"/>
  <c r="N416"/>
  <c r="N524"/>
  <c r="F540"/>
  <c r="L541"/>
  <c r="N544"/>
  <c r="H555"/>
  <c r="F560"/>
  <c r="F619"/>
  <c r="N842"/>
  <c r="L909"/>
  <c r="H1025"/>
  <c r="N130"/>
  <c r="N206"/>
  <c r="N241"/>
  <c r="N250"/>
  <c r="N255"/>
  <c r="N291"/>
  <c r="N307"/>
  <c r="N441"/>
  <c r="N520"/>
  <c r="N583"/>
  <c r="F622"/>
  <c r="F642"/>
  <c r="L642"/>
  <c r="L664"/>
  <c r="L669"/>
  <c r="N670"/>
  <c r="L670"/>
  <c r="L694"/>
  <c r="L739"/>
  <c r="M746"/>
  <c r="N746" s="1"/>
  <c r="N750"/>
  <c r="N831"/>
  <c r="N834"/>
  <c r="M835"/>
  <c r="N835" s="1"/>
  <c r="H839"/>
  <c r="L841"/>
  <c r="F862"/>
  <c r="F867"/>
  <c r="N874"/>
  <c r="M912"/>
  <c r="N912" s="1"/>
  <c r="L952"/>
  <c r="H7"/>
  <c r="F151"/>
  <c r="M152"/>
  <c r="N152" s="1"/>
  <c r="L162"/>
  <c r="N168"/>
  <c r="F169"/>
  <c r="L172"/>
  <c r="L257"/>
  <c r="N262"/>
  <c r="N271"/>
  <c r="L284"/>
  <c r="M296"/>
  <c r="N296" s="1"/>
  <c r="N316"/>
  <c r="N317"/>
  <c r="L379"/>
  <c r="L380"/>
  <c r="H387"/>
  <c r="N387"/>
  <c r="F492"/>
  <c r="H500"/>
  <c r="N511"/>
  <c r="N516"/>
  <c r="N539"/>
  <c r="F545"/>
  <c r="F591"/>
  <c r="L604"/>
  <c r="F694"/>
  <c r="L697"/>
  <c r="N802"/>
  <c r="N844"/>
  <c r="N1036"/>
  <c r="N1068"/>
  <c r="N10"/>
  <c r="F21"/>
  <c r="N24"/>
  <c r="M32"/>
  <c r="N32" s="1"/>
  <c r="N51"/>
  <c r="N55"/>
  <c r="H73"/>
  <c r="N76"/>
  <c r="L84"/>
  <c r="F98"/>
  <c r="L98"/>
  <c r="N122"/>
  <c r="N133"/>
  <c r="F143"/>
  <c r="M143"/>
  <c r="N143" s="1"/>
  <c r="M158"/>
  <c r="N158" s="1"/>
  <c r="L181"/>
  <c r="F185"/>
  <c r="H190"/>
  <c r="F209"/>
  <c r="L209"/>
  <c r="L213"/>
  <c r="M222"/>
  <c r="N222" s="1"/>
  <c r="M226"/>
  <c r="N226" s="1"/>
  <c r="N229"/>
  <c r="N233"/>
  <c r="F235"/>
  <c r="N237"/>
  <c r="F239"/>
  <c r="H242"/>
  <c r="F267"/>
  <c r="L271"/>
  <c r="L274"/>
  <c r="F276"/>
  <c r="F280"/>
  <c r="L281"/>
  <c r="L285"/>
  <c r="L297"/>
  <c r="N302"/>
  <c r="L313"/>
  <c r="L325"/>
  <c r="F333"/>
  <c r="C335"/>
  <c r="H12"/>
  <c r="N12"/>
  <c r="H19"/>
  <c r="L19"/>
  <c r="F24"/>
  <c r="N50"/>
  <c r="N54"/>
  <c r="N80"/>
  <c r="H86"/>
  <c r="H91"/>
  <c r="H99"/>
  <c r="L130"/>
  <c r="F135"/>
  <c r="H144"/>
  <c r="L147"/>
  <c r="N150"/>
  <c r="M153"/>
  <c r="N153" s="1"/>
  <c r="M155"/>
  <c r="N155" s="1"/>
  <c r="H181"/>
  <c r="F190"/>
  <c r="F191"/>
  <c r="H206"/>
  <c r="N209"/>
  <c r="L218"/>
  <c r="F242"/>
  <c r="F252"/>
  <c r="L252"/>
  <c r="N267"/>
  <c r="L276"/>
  <c r="L280"/>
  <c r="N297"/>
  <c r="N313"/>
  <c r="N325"/>
  <c r="M338"/>
  <c r="N338" s="1"/>
  <c r="L14"/>
  <c r="L15"/>
  <c r="L17"/>
  <c r="F19"/>
  <c r="L28"/>
  <c r="N42"/>
  <c r="N53"/>
  <c r="L68"/>
  <c r="N72"/>
  <c r="F76"/>
  <c r="F86"/>
  <c r="F89"/>
  <c r="F91"/>
  <c r="F99"/>
  <c r="M129"/>
  <c r="N129" s="1"/>
  <c r="H131"/>
  <c r="L139"/>
  <c r="N142"/>
  <c r="F181"/>
  <c r="F182"/>
  <c r="N184"/>
  <c r="M185"/>
  <c r="L211"/>
  <c r="L215"/>
  <c r="N218"/>
  <c r="M224"/>
  <c r="N224" s="1"/>
  <c r="M228"/>
  <c r="N228" s="1"/>
  <c r="N235"/>
  <c r="L242"/>
  <c r="N247"/>
  <c r="F256"/>
  <c r="L256"/>
  <c r="H262"/>
  <c r="L266"/>
  <c r="H267"/>
  <c r="H271"/>
  <c r="M275"/>
  <c r="N275" s="1"/>
  <c r="N280"/>
  <c r="L283"/>
  <c r="N290"/>
  <c r="F292"/>
  <c r="L293"/>
  <c r="H297"/>
  <c r="N306"/>
  <c r="L309"/>
  <c r="H313"/>
  <c r="N321"/>
  <c r="M323"/>
  <c r="N323" s="1"/>
  <c r="L324"/>
  <c r="H325"/>
  <c r="L327"/>
  <c r="N332"/>
  <c r="N333"/>
  <c r="N30"/>
  <c r="N39"/>
  <c r="N47"/>
  <c r="N52"/>
  <c r="N56"/>
  <c r="M57"/>
  <c r="N57" s="1"/>
  <c r="F67"/>
  <c r="L67"/>
  <c r="H81"/>
  <c r="L86"/>
  <c r="L91"/>
  <c r="L99"/>
  <c r="L134"/>
  <c r="L135"/>
  <c r="L210"/>
  <c r="L214"/>
  <c r="F218"/>
  <c r="M223"/>
  <c r="N223" s="1"/>
  <c r="M227"/>
  <c r="N227" s="1"/>
  <c r="L234"/>
  <c r="H235"/>
  <c r="L238"/>
  <c r="N242"/>
  <c r="N246"/>
  <c r="M251"/>
  <c r="N251" s="1"/>
  <c r="N256"/>
  <c r="F262"/>
  <c r="N265"/>
  <c r="M274"/>
  <c r="N274" s="1"/>
  <c r="H276"/>
  <c r="L279"/>
  <c r="H280"/>
  <c r="L282"/>
  <c r="M289"/>
  <c r="N289" s="1"/>
  <c r="H290"/>
  <c r="L292"/>
  <c r="F297"/>
  <c r="L298"/>
  <c r="N305"/>
  <c r="M308"/>
  <c r="N308" s="1"/>
  <c r="N309"/>
  <c r="F313"/>
  <c r="L317"/>
  <c r="H321"/>
  <c r="F325"/>
  <c r="L326"/>
  <c r="H333"/>
  <c r="L335"/>
  <c r="N337"/>
  <c r="H345"/>
  <c r="L377"/>
  <c r="N384"/>
  <c r="N386"/>
  <c r="N396"/>
  <c r="L411"/>
  <c r="L414"/>
  <c r="L447"/>
  <c r="N458"/>
  <c r="F460"/>
  <c r="L460"/>
  <c r="F469"/>
  <c r="L469"/>
  <c r="N473"/>
  <c r="F475"/>
  <c r="N479"/>
  <c r="N482"/>
  <c r="F485"/>
  <c r="N494"/>
  <c r="L502"/>
  <c r="F504"/>
  <c r="F508"/>
  <c r="N513"/>
  <c r="F517"/>
  <c r="L517"/>
  <c r="L530"/>
  <c r="N533"/>
  <c r="F536"/>
  <c r="L540"/>
  <c r="N551"/>
  <c r="N565"/>
  <c r="L584"/>
  <c r="L599"/>
  <c r="N603"/>
  <c r="L612"/>
  <c r="L620"/>
  <c r="N626"/>
  <c r="M636"/>
  <c r="N636" s="1"/>
  <c r="L637"/>
  <c r="H642"/>
  <c r="H643"/>
  <c r="H645"/>
  <c r="F656"/>
  <c r="L692"/>
  <c r="M694"/>
  <c r="F697"/>
  <c r="L727"/>
  <c r="L730"/>
  <c r="F809"/>
  <c r="L815"/>
  <c r="F821"/>
  <c r="H831"/>
  <c r="M839"/>
  <c r="M853"/>
  <c r="N853" s="1"/>
  <c r="F857"/>
  <c r="L858"/>
  <c r="H863"/>
  <c r="F871"/>
  <c r="F875"/>
  <c r="F893"/>
  <c r="H902"/>
  <c r="M920"/>
  <c r="N920" s="1"/>
  <c r="N924"/>
  <c r="L926"/>
  <c r="F1023"/>
  <c r="N1025"/>
  <c r="H1027"/>
  <c r="N1085"/>
  <c r="N1089"/>
  <c r="N1094"/>
  <c r="L349"/>
  <c r="F352"/>
  <c r="N383"/>
  <c r="H384"/>
  <c r="N409"/>
  <c r="N414"/>
  <c r="M433"/>
  <c r="N433" s="1"/>
  <c r="H438"/>
  <c r="N444"/>
  <c r="N455"/>
  <c r="N460"/>
  <c r="N469"/>
  <c r="N488"/>
  <c r="N501"/>
  <c r="N504"/>
  <c r="N517"/>
  <c r="F521"/>
  <c r="L521"/>
  <c r="N529"/>
  <c r="F531"/>
  <c r="N540"/>
  <c r="L545"/>
  <c r="M555"/>
  <c r="L622"/>
  <c r="F641"/>
  <c r="L654"/>
  <c r="L690"/>
  <c r="L698"/>
  <c r="L701"/>
  <c r="L726"/>
  <c r="L735"/>
  <c r="L737"/>
  <c r="F751"/>
  <c r="L755"/>
  <c r="F761"/>
  <c r="N809"/>
  <c r="H813"/>
  <c r="L821"/>
  <c r="F831"/>
  <c r="M845"/>
  <c r="N845" s="1"/>
  <c r="H859"/>
  <c r="F863"/>
  <c r="L871"/>
  <c r="L875"/>
  <c r="L877"/>
  <c r="L889"/>
  <c r="L893"/>
  <c r="H918"/>
  <c r="M980"/>
  <c r="N980" s="1"/>
  <c r="F1017"/>
  <c r="N1023"/>
  <c r="F1029"/>
  <c r="N1034"/>
  <c r="N1070"/>
  <c r="N1078"/>
  <c r="N1082"/>
  <c r="N1086"/>
  <c r="N1097"/>
  <c r="N339"/>
  <c r="N347"/>
  <c r="N357"/>
  <c r="L361"/>
  <c r="N364"/>
  <c r="F370"/>
  <c r="N379"/>
  <c r="N390"/>
  <c r="M395"/>
  <c r="N395" s="1"/>
  <c r="F420"/>
  <c r="L420"/>
  <c r="L425"/>
  <c r="F438"/>
  <c r="F441"/>
  <c r="L443"/>
  <c r="H445"/>
  <c r="F447"/>
  <c r="F453"/>
  <c r="N466"/>
  <c r="N484"/>
  <c r="N487"/>
  <c r="L491"/>
  <c r="F500"/>
  <c r="M503"/>
  <c r="N503" s="1"/>
  <c r="H504"/>
  <c r="N507"/>
  <c r="N508"/>
  <c r="N521"/>
  <c r="F525"/>
  <c r="L525"/>
  <c r="N531"/>
  <c r="N536"/>
  <c r="H540"/>
  <c r="N545"/>
  <c r="F552"/>
  <c r="L560"/>
  <c r="F566"/>
  <c r="F584"/>
  <c r="L591"/>
  <c r="F604"/>
  <c r="F616"/>
  <c r="N619"/>
  <c r="F627"/>
  <c r="F637"/>
  <c r="L644"/>
  <c r="L656"/>
  <c r="L660"/>
  <c r="L677"/>
  <c r="N683"/>
  <c r="H702"/>
  <c r="K702"/>
  <c r="M702" s="1"/>
  <c r="N702" s="1"/>
  <c r="L710"/>
  <c r="L761"/>
  <c r="L808"/>
  <c r="L811"/>
  <c r="F813"/>
  <c r="L823"/>
  <c r="L825"/>
  <c r="L831"/>
  <c r="M837"/>
  <c r="N837" s="1"/>
  <c r="F859"/>
  <c r="N863"/>
  <c r="N870"/>
  <c r="L885"/>
  <c r="F901"/>
  <c r="L901"/>
  <c r="F905"/>
  <c r="L929"/>
  <c r="N1017"/>
  <c r="N1029"/>
  <c r="F1093"/>
  <c r="N1101"/>
  <c r="N1103"/>
  <c r="N1105"/>
  <c r="N1107"/>
  <c r="K348"/>
  <c r="L348" s="1"/>
  <c r="L356"/>
  <c r="N361"/>
  <c r="N366"/>
  <c r="F377"/>
  <c r="F384"/>
  <c r="F392"/>
  <c r="N392"/>
  <c r="N401"/>
  <c r="L405"/>
  <c r="F414"/>
  <c r="L415"/>
  <c r="N420"/>
  <c r="N423"/>
  <c r="H428"/>
  <c r="N430"/>
  <c r="M432"/>
  <c r="M434"/>
  <c r="N434" s="1"/>
  <c r="F436"/>
  <c r="F445"/>
  <c r="L470"/>
  <c r="L474"/>
  <c r="H475"/>
  <c r="F479"/>
  <c r="L479"/>
  <c r="L483"/>
  <c r="H485"/>
  <c r="H492"/>
  <c r="N495"/>
  <c r="H497"/>
  <c r="N506"/>
  <c r="H508"/>
  <c r="F513"/>
  <c r="L513"/>
  <c r="N525"/>
  <c r="M530"/>
  <c r="H531"/>
  <c r="L534"/>
  <c r="H536"/>
  <c r="L566"/>
  <c r="C579"/>
  <c r="N594"/>
  <c r="L605"/>
  <c r="L608"/>
  <c r="M616"/>
  <c r="N623"/>
  <c r="L624"/>
  <c r="L627"/>
  <c r="L641"/>
  <c r="F665"/>
  <c r="L680"/>
  <c r="N689"/>
  <c r="K704"/>
  <c r="N714"/>
  <c r="L731"/>
  <c r="L745"/>
  <c r="L751"/>
  <c r="F755"/>
  <c r="L781"/>
  <c r="L803"/>
  <c r="L813"/>
  <c r="M836"/>
  <c r="N836" s="1"/>
  <c r="N859"/>
  <c r="N862"/>
  <c r="L905"/>
  <c r="H1017"/>
  <c r="N1027"/>
  <c r="H1029"/>
  <c r="L169"/>
  <c r="M169"/>
  <c r="N169" s="1"/>
  <c r="L170"/>
  <c r="M170"/>
  <c r="N170" s="1"/>
  <c r="H217"/>
  <c r="L8"/>
  <c r="L9"/>
  <c r="M22"/>
  <c r="N22" s="1"/>
  <c r="L26"/>
  <c r="M31"/>
  <c r="N31" s="1"/>
  <c r="M36"/>
  <c r="N36" s="1"/>
  <c r="L40"/>
  <c r="N41"/>
  <c r="K46"/>
  <c r="M49"/>
  <c r="N49" s="1"/>
  <c r="L65"/>
  <c r="N68"/>
  <c r="F73"/>
  <c r="L73"/>
  <c r="H76"/>
  <c r="F81"/>
  <c r="L81"/>
  <c r="N86"/>
  <c r="L89"/>
  <c r="N91"/>
  <c r="L94"/>
  <c r="H95"/>
  <c r="L96"/>
  <c r="N99"/>
  <c r="L102"/>
  <c r="H103"/>
  <c r="L104"/>
  <c r="M114"/>
  <c r="N114" s="1"/>
  <c r="M116"/>
  <c r="N116" s="1"/>
  <c r="H119"/>
  <c r="N121"/>
  <c r="M123"/>
  <c r="N123" s="1"/>
  <c r="M125"/>
  <c r="N125" s="1"/>
  <c r="M127"/>
  <c r="N127" s="1"/>
  <c r="F130"/>
  <c r="L132"/>
  <c r="M139"/>
  <c r="N139" s="1"/>
  <c r="H140"/>
  <c r="H143"/>
  <c r="F144"/>
  <c r="L144"/>
  <c r="M147"/>
  <c r="N147" s="1"/>
  <c r="H148"/>
  <c r="H151"/>
  <c r="L160"/>
  <c r="L166"/>
  <c r="H168"/>
  <c r="M173"/>
  <c r="N173" s="1"/>
  <c r="M175"/>
  <c r="N175" s="1"/>
  <c r="M177"/>
  <c r="N177" s="1"/>
  <c r="M179"/>
  <c r="N179" s="1"/>
  <c r="H182"/>
  <c r="L183"/>
  <c r="H185"/>
  <c r="H191"/>
  <c r="L207"/>
  <c r="F206"/>
  <c r="N9"/>
  <c r="H9"/>
  <c r="L11"/>
  <c r="L12"/>
  <c r="M15"/>
  <c r="N15" s="1"/>
  <c r="M19"/>
  <c r="N19" s="1"/>
  <c r="M20"/>
  <c r="N20" s="1"/>
  <c r="M21"/>
  <c r="N21" s="1"/>
  <c r="F23"/>
  <c r="H24"/>
  <c r="L30"/>
  <c r="M35"/>
  <c r="N35" s="1"/>
  <c r="L39"/>
  <c r="N40"/>
  <c r="H43"/>
  <c r="L48"/>
  <c r="H50"/>
  <c r="L50"/>
  <c r="H51"/>
  <c r="L51"/>
  <c r="H52"/>
  <c r="L52"/>
  <c r="H53"/>
  <c r="L53"/>
  <c r="H54"/>
  <c r="L54"/>
  <c r="H55"/>
  <c r="L55"/>
  <c r="H56"/>
  <c r="L56"/>
  <c r="H63"/>
  <c r="L64"/>
  <c r="H67"/>
  <c r="M67"/>
  <c r="N67" s="1"/>
  <c r="F72"/>
  <c r="N73"/>
  <c r="L76"/>
  <c r="H77"/>
  <c r="L78"/>
  <c r="F80"/>
  <c r="N81"/>
  <c r="H85"/>
  <c r="M85"/>
  <c r="N85" s="1"/>
  <c r="M90"/>
  <c r="N90" s="1"/>
  <c r="F95"/>
  <c r="L95"/>
  <c r="H98"/>
  <c r="M98"/>
  <c r="N98" s="1"/>
  <c r="F103"/>
  <c r="L103"/>
  <c r="L120"/>
  <c r="H130"/>
  <c r="F131"/>
  <c r="L131"/>
  <c r="M134"/>
  <c r="N134" s="1"/>
  <c r="H135"/>
  <c r="F139"/>
  <c r="L141"/>
  <c r="F147"/>
  <c r="L149"/>
  <c r="M161"/>
  <c r="N161" s="1"/>
  <c r="L168"/>
  <c r="H169"/>
  <c r="M181"/>
  <c r="N181" s="1"/>
  <c r="N182"/>
  <c r="L184"/>
  <c r="F187"/>
  <c r="M190"/>
  <c r="N190" s="1"/>
  <c r="N191"/>
  <c r="N208"/>
  <c r="F219"/>
  <c r="H23"/>
  <c r="L29"/>
  <c r="L34"/>
  <c r="L42"/>
  <c r="L47"/>
  <c r="F50"/>
  <c r="F51"/>
  <c r="F52"/>
  <c r="F53"/>
  <c r="F54"/>
  <c r="F55"/>
  <c r="F56"/>
  <c r="F63"/>
  <c r="L63"/>
  <c r="L69"/>
  <c r="H72"/>
  <c r="F77"/>
  <c r="L77"/>
  <c r="H80"/>
  <c r="L87"/>
  <c r="L92"/>
  <c r="F94"/>
  <c r="N95"/>
  <c r="L100"/>
  <c r="F102"/>
  <c r="N103"/>
  <c r="M113"/>
  <c r="N113" s="1"/>
  <c r="M115"/>
  <c r="N115" s="1"/>
  <c r="M117"/>
  <c r="N117" s="1"/>
  <c r="M124"/>
  <c r="N124" s="1"/>
  <c r="M126"/>
  <c r="N126" s="1"/>
  <c r="M128"/>
  <c r="N128" s="1"/>
  <c r="F134"/>
  <c r="H139"/>
  <c r="F140"/>
  <c r="L140"/>
  <c r="H147"/>
  <c r="F148"/>
  <c r="L148"/>
  <c r="M157"/>
  <c r="N157" s="1"/>
  <c r="L167"/>
  <c r="M172"/>
  <c r="N172" s="1"/>
  <c r="M174"/>
  <c r="N174" s="1"/>
  <c r="M176"/>
  <c r="N176" s="1"/>
  <c r="M178"/>
  <c r="N178" s="1"/>
  <c r="M180"/>
  <c r="N180" s="1"/>
  <c r="H187"/>
  <c r="L188"/>
  <c r="M189"/>
  <c r="N189" s="1"/>
  <c r="L217"/>
  <c r="M217"/>
  <c r="N217" s="1"/>
  <c r="L27"/>
  <c r="N29"/>
  <c r="L41"/>
  <c r="N63"/>
  <c r="L72"/>
  <c r="L74"/>
  <c r="N77"/>
  <c r="L80"/>
  <c r="L82"/>
  <c r="H89"/>
  <c r="N89"/>
  <c r="H94"/>
  <c r="N94"/>
  <c r="H102"/>
  <c r="N102"/>
  <c r="L122"/>
  <c r="H134"/>
  <c r="L137"/>
  <c r="N138"/>
  <c r="L145"/>
  <c r="N146"/>
  <c r="N185"/>
  <c r="N187"/>
  <c r="H209"/>
  <c r="H218"/>
  <c r="N219"/>
  <c r="L221"/>
  <c r="H229"/>
  <c r="F234"/>
  <c r="L236"/>
  <c r="H238"/>
  <c r="N239"/>
  <c r="L241"/>
  <c r="F243"/>
  <c r="L245"/>
  <c r="F248"/>
  <c r="N248"/>
  <c r="L250"/>
  <c r="N252"/>
  <c r="H253"/>
  <c r="H256"/>
  <c r="F258"/>
  <c r="N258"/>
  <c r="L260"/>
  <c r="L264"/>
  <c r="L270"/>
  <c r="F272"/>
  <c r="F277"/>
  <c r="N286"/>
  <c r="L288"/>
  <c r="N294"/>
  <c r="F299"/>
  <c r="L301"/>
  <c r="M304"/>
  <c r="N304" s="1"/>
  <c r="H305"/>
  <c r="L305"/>
  <c r="F310"/>
  <c r="N314"/>
  <c r="L316"/>
  <c r="F318"/>
  <c r="H323"/>
  <c r="F328"/>
  <c r="M331"/>
  <c r="N331" s="1"/>
  <c r="H332"/>
  <c r="L332"/>
  <c r="L334"/>
  <c r="M335"/>
  <c r="N335" s="1"/>
  <c r="F339"/>
  <c r="L339"/>
  <c r="L340"/>
  <c r="L344"/>
  <c r="F345"/>
  <c r="H346"/>
  <c r="F347"/>
  <c r="L347"/>
  <c r="F350"/>
  <c r="H353"/>
  <c r="F356"/>
  <c r="H357"/>
  <c r="L360"/>
  <c r="F363"/>
  <c r="H365"/>
  <c r="N372"/>
  <c r="H372"/>
  <c r="H379"/>
  <c r="F381"/>
  <c r="L500"/>
  <c r="M500"/>
  <c r="N500" s="1"/>
  <c r="H234"/>
  <c r="L237"/>
  <c r="H243"/>
  <c r="L246"/>
  <c r="L254"/>
  <c r="M261"/>
  <c r="N261" s="1"/>
  <c r="L265"/>
  <c r="M266"/>
  <c r="N266" s="1"/>
  <c r="H272"/>
  <c r="L273"/>
  <c r="H277"/>
  <c r="L278"/>
  <c r="H299"/>
  <c r="L302"/>
  <c r="H310"/>
  <c r="L311"/>
  <c r="H318"/>
  <c r="L319"/>
  <c r="H328"/>
  <c r="H339"/>
  <c r="H350"/>
  <c r="L351"/>
  <c r="M356"/>
  <c r="N356" s="1"/>
  <c r="H363"/>
  <c r="L364"/>
  <c r="L366"/>
  <c r="F367"/>
  <c r="L367"/>
  <c r="L372"/>
  <c r="K381"/>
  <c r="L205"/>
  <c r="L206"/>
  <c r="F229"/>
  <c r="L229"/>
  <c r="L232"/>
  <c r="F238"/>
  <c r="H239"/>
  <c r="N243"/>
  <c r="F247"/>
  <c r="H248"/>
  <c r="H252"/>
  <c r="F253"/>
  <c r="N253"/>
  <c r="H258"/>
  <c r="H261"/>
  <c r="F266"/>
  <c r="L268"/>
  <c r="N272"/>
  <c r="N276"/>
  <c r="N277"/>
  <c r="F286"/>
  <c r="L291"/>
  <c r="F294"/>
  <c r="N299"/>
  <c r="M303"/>
  <c r="N303" s="1"/>
  <c r="F305"/>
  <c r="H306"/>
  <c r="L307"/>
  <c r="N310"/>
  <c r="L312"/>
  <c r="F314"/>
  <c r="N318"/>
  <c r="L320"/>
  <c r="L322"/>
  <c r="F323"/>
  <c r="N328"/>
  <c r="F332"/>
  <c r="H336"/>
  <c r="F343"/>
  <c r="L345"/>
  <c r="F346"/>
  <c r="N350"/>
  <c r="F353"/>
  <c r="N353"/>
  <c r="M355"/>
  <c r="N355" s="1"/>
  <c r="H356"/>
  <c r="N363"/>
  <c r="F365"/>
  <c r="N365"/>
  <c r="M367"/>
  <c r="N367" s="1"/>
  <c r="N370"/>
  <c r="H370"/>
  <c r="L373"/>
  <c r="H377"/>
  <c r="H383"/>
  <c r="L383"/>
  <c r="L220"/>
  <c r="L233"/>
  <c r="N234"/>
  <c r="N238"/>
  <c r="L240"/>
  <c r="H247"/>
  <c r="L247"/>
  <c r="L249"/>
  <c r="L259"/>
  <c r="H266"/>
  <c r="H286"/>
  <c r="L287"/>
  <c r="H294"/>
  <c r="L295"/>
  <c r="H314"/>
  <c r="L315"/>
  <c r="H347"/>
  <c r="L359"/>
  <c r="H367"/>
  <c r="L370"/>
  <c r="F372"/>
  <c r="L572"/>
  <c r="M572"/>
  <c r="N572" s="1"/>
  <c r="M587"/>
  <c r="N587" s="1"/>
  <c r="L587"/>
  <c r="F613"/>
  <c r="L628"/>
  <c r="H628"/>
  <c r="F396"/>
  <c r="L396"/>
  <c r="L397"/>
  <c r="L398"/>
  <c r="L408"/>
  <c r="F409"/>
  <c r="L409"/>
  <c r="N410"/>
  <c r="H416"/>
  <c r="L416"/>
  <c r="H421"/>
  <c r="F424"/>
  <c r="N424"/>
  <c r="F428"/>
  <c r="L428"/>
  <c r="F430"/>
  <c r="L430"/>
  <c r="L431"/>
  <c r="H436"/>
  <c r="L437"/>
  <c r="F439"/>
  <c r="L441"/>
  <c r="F444"/>
  <c r="L444"/>
  <c r="H447"/>
  <c r="L451"/>
  <c r="L452"/>
  <c r="M456"/>
  <c r="N456" s="1"/>
  <c r="H460"/>
  <c r="F461"/>
  <c r="H466"/>
  <c r="H469"/>
  <c r="F471"/>
  <c r="H479"/>
  <c r="F480"/>
  <c r="F484"/>
  <c r="L484"/>
  <c r="F488"/>
  <c r="L488"/>
  <c r="L489"/>
  <c r="L490"/>
  <c r="F495"/>
  <c r="L495"/>
  <c r="L496"/>
  <c r="F507"/>
  <c r="L507"/>
  <c r="H513"/>
  <c r="F514"/>
  <c r="N514"/>
  <c r="H518"/>
  <c r="H521"/>
  <c r="F522"/>
  <c r="N522"/>
  <c r="H526"/>
  <c r="F530"/>
  <c r="L532"/>
  <c r="L539"/>
  <c r="F542"/>
  <c r="N546"/>
  <c r="F549"/>
  <c r="H552"/>
  <c r="N555"/>
  <c r="F561"/>
  <c r="L573"/>
  <c r="M574"/>
  <c r="N574" s="1"/>
  <c r="L593"/>
  <c r="F565"/>
  <c r="L571"/>
  <c r="M571"/>
  <c r="N571" s="1"/>
  <c r="H578"/>
  <c r="F585"/>
  <c r="L588"/>
  <c r="M588"/>
  <c r="N588" s="1"/>
  <c r="F598"/>
  <c r="H598"/>
  <c r="L598"/>
  <c r="M598"/>
  <c r="N598" s="1"/>
  <c r="H626"/>
  <c r="F626"/>
  <c r="F640"/>
  <c r="L659"/>
  <c r="M659"/>
  <c r="N659" s="1"/>
  <c r="F390"/>
  <c r="L390"/>
  <c r="H396"/>
  <c r="F399"/>
  <c r="L399"/>
  <c r="M402"/>
  <c r="N402" s="1"/>
  <c r="N403"/>
  <c r="H409"/>
  <c r="F410"/>
  <c r="H430"/>
  <c r="N432"/>
  <c r="H439"/>
  <c r="H444"/>
  <c r="H458"/>
  <c r="N474"/>
  <c r="H484"/>
  <c r="H488"/>
  <c r="H491"/>
  <c r="M491"/>
  <c r="N491" s="1"/>
  <c r="H495"/>
  <c r="M502"/>
  <c r="N502" s="1"/>
  <c r="H507"/>
  <c r="L510"/>
  <c r="M512"/>
  <c r="N512" s="1"/>
  <c r="L519"/>
  <c r="L527"/>
  <c r="H530"/>
  <c r="M534"/>
  <c r="N534" s="1"/>
  <c r="M535"/>
  <c r="N535" s="1"/>
  <c r="H542"/>
  <c r="L543"/>
  <c r="N559"/>
  <c r="H561"/>
  <c r="L586"/>
  <c r="L595"/>
  <c r="L564"/>
  <c r="M564"/>
  <c r="N564" s="1"/>
  <c r="L570"/>
  <c r="M570"/>
  <c r="N570" s="1"/>
  <c r="F601"/>
  <c r="F635"/>
  <c r="L704"/>
  <c r="M704"/>
  <c r="N704" s="1"/>
  <c r="H390"/>
  <c r="H399"/>
  <c r="N399"/>
  <c r="L400"/>
  <c r="F403"/>
  <c r="L403"/>
  <c r="L404"/>
  <c r="H414"/>
  <c r="F416"/>
  <c r="H420"/>
  <c r="F421"/>
  <c r="N421"/>
  <c r="H424"/>
  <c r="F432"/>
  <c r="H441"/>
  <c r="F448"/>
  <c r="H453"/>
  <c r="M457"/>
  <c r="N457" s="1"/>
  <c r="H461"/>
  <c r="H471"/>
  <c r="F474"/>
  <c r="H480"/>
  <c r="F491"/>
  <c r="F502"/>
  <c r="L505"/>
  <c r="H514"/>
  <c r="H517"/>
  <c r="F518"/>
  <c r="N518"/>
  <c r="H522"/>
  <c r="H525"/>
  <c r="F526"/>
  <c r="N526"/>
  <c r="F534"/>
  <c r="L537"/>
  <c r="N542"/>
  <c r="L544"/>
  <c r="F546"/>
  <c r="L548"/>
  <c r="L554"/>
  <c r="F556"/>
  <c r="L559"/>
  <c r="H560"/>
  <c r="L626"/>
  <c r="L629"/>
  <c r="H573"/>
  <c r="F573"/>
  <c r="K578"/>
  <c r="F590"/>
  <c r="H590"/>
  <c r="L590"/>
  <c r="M590"/>
  <c r="N590" s="1"/>
  <c r="L600"/>
  <c r="M600"/>
  <c r="N600" s="1"/>
  <c r="K631"/>
  <c r="L631" s="1"/>
  <c r="F387"/>
  <c r="H392"/>
  <c r="L392"/>
  <c r="H403"/>
  <c r="F404"/>
  <c r="N404"/>
  <c r="H410"/>
  <c r="N413"/>
  <c r="L436"/>
  <c r="M437"/>
  <c r="N437" s="1"/>
  <c r="L438"/>
  <c r="H448"/>
  <c r="L455"/>
  <c r="F458"/>
  <c r="L458"/>
  <c r="F466"/>
  <c r="L466"/>
  <c r="H474"/>
  <c r="H502"/>
  <c r="L515"/>
  <c r="L523"/>
  <c r="N530"/>
  <c r="H534"/>
  <c r="H546"/>
  <c r="H556"/>
  <c r="L562"/>
  <c r="L565"/>
  <c r="L568"/>
  <c r="N573"/>
  <c r="M579"/>
  <c r="N579" s="1"/>
  <c r="H585"/>
  <c r="F748"/>
  <c r="F760"/>
  <c r="H808"/>
  <c r="F808"/>
  <c r="L597"/>
  <c r="H609"/>
  <c r="N610"/>
  <c r="H616"/>
  <c r="N643"/>
  <c r="N645"/>
  <c r="H652"/>
  <c r="H655"/>
  <c r="N655"/>
  <c r="M669"/>
  <c r="N669" s="1"/>
  <c r="N673"/>
  <c r="F680"/>
  <c r="H682"/>
  <c r="N688"/>
  <c r="N691"/>
  <c r="F695"/>
  <c r="H701"/>
  <c r="F702"/>
  <c r="F703"/>
  <c r="H710"/>
  <c r="F711"/>
  <c r="L717"/>
  <c r="N719"/>
  <c r="L724"/>
  <c r="L725"/>
  <c r="L743"/>
  <c r="N749"/>
  <c r="M808"/>
  <c r="N808" s="1"/>
  <c r="H814"/>
  <c r="F756"/>
  <c r="L759"/>
  <c r="M759"/>
  <c r="N759" s="1"/>
  <c r="F800"/>
  <c r="F804"/>
  <c r="L807"/>
  <c r="M807"/>
  <c r="M810"/>
  <c r="N810" s="1"/>
  <c r="L810"/>
  <c r="L819"/>
  <c r="M819"/>
  <c r="L857"/>
  <c r="M857"/>
  <c r="N857" s="1"/>
  <c r="H566"/>
  <c r="H576"/>
  <c r="F577"/>
  <c r="L577"/>
  <c r="L583"/>
  <c r="H584"/>
  <c r="L585"/>
  <c r="L603"/>
  <c r="H604"/>
  <c r="H606"/>
  <c r="L607"/>
  <c r="H608"/>
  <c r="L609"/>
  <c r="N615"/>
  <c r="L633"/>
  <c r="H637"/>
  <c r="L638"/>
  <c r="N641"/>
  <c r="F644"/>
  <c r="L652"/>
  <c r="F654"/>
  <c r="L655"/>
  <c r="H656"/>
  <c r="L657"/>
  <c r="L661"/>
  <c r="F670"/>
  <c r="L672"/>
  <c r="H677"/>
  <c r="F678"/>
  <c r="L682"/>
  <c r="L689"/>
  <c r="H695"/>
  <c r="N696"/>
  <c r="H697"/>
  <c r="F698"/>
  <c r="L700"/>
  <c r="F705"/>
  <c r="H706"/>
  <c r="F707"/>
  <c r="H711"/>
  <c r="L714"/>
  <c r="H715"/>
  <c r="L716"/>
  <c r="M718"/>
  <c r="N718" s="1"/>
  <c r="L734"/>
  <c r="L738"/>
  <c r="L742"/>
  <c r="L797"/>
  <c r="H822"/>
  <c r="H826"/>
  <c r="L827"/>
  <c r="H796"/>
  <c r="F796"/>
  <c r="F814"/>
  <c r="M814"/>
  <c r="N814" s="1"/>
  <c r="L814"/>
  <c r="N640"/>
  <c r="L646"/>
  <c r="L666"/>
  <c r="L668"/>
  <c r="H670"/>
  <c r="L671"/>
  <c r="H673"/>
  <c r="H676"/>
  <c r="K676"/>
  <c r="H678"/>
  <c r="N679"/>
  <c r="H680"/>
  <c r="M681"/>
  <c r="N681" s="1"/>
  <c r="L684"/>
  <c r="L687"/>
  <c r="L693"/>
  <c r="H694"/>
  <c r="L695"/>
  <c r="H698"/>
  <c r="L699"/>
  <c r="F701"/>
  <c r="L702"/>
  <c r="H705"/>
  <c r="H707"/>
  <c r="F710"/>
  <c r="L711"/>
  <c r="F715"/>
  <c r="L715"/>
  <c r="H719"/>
  <c r="L720"/>
  <c r="F724"/>
  <c r="L729"/>
  <c r="L733"/>
  <c r="L741"/>
  <c r="M744"/>
  <c r="N744" s="1"/>
  <c r="M747"/>
  <c r="N747" s="1"/>
  <c r="H748"/>
  <c r="L760"/>
  <c r="N799"/>
  <c r="F752"/>
  <c r="L795"/>
  <c r="M795"/>
  <c r="M796"/>
  <c r="N796" s="1"/>
  <c r="L796"/>
  <c r="L820"/>
  <c r="M820"/>
  <c r="N820" s="1"/>
  <c r="F822"/>
  <c r="M822"/>
  <c r="N822" s="1"/>
  <c r="L822"/>
  <c r="F826"/>
  <c r="M826"/>
  <c r="N826" s="1"/>
  <c r="L826"/>
  <c r="L561"/>
  <c r="K575"/>
  <c r="L575" s="1"/>
  <c r="H577"/>
  <c r="M589"/>
  <c r="N589" s="1"/>
  <c r="H591"/>
  <c r="L594"/>
  <c r="M597"/>
  <c r="N597" s="1"/>
  <c r="L601"/>
  <c r="F609"/>
  <c r="L611"/>
  <c r="H612"/>
  <c r="L613"/>
  <c r="N616"/>
  <c r="H622"/>
  <c r="L623"/>
  <c r="L625"/>
  <c r="H627"/>
  <c r="M627"/>
  <c r="N627" s="1"/>
  <c r="N628"/>
  <c r="L635"/>
  <c r="N637"/>
  <c r="L640"/>
  <c r="H641"/>
  <c r="F643"/>
  <c r="L643"/>
  <c r="H644"/>
  <c r="F645"/>
  <c r="L645"/>
  <c r="K650"/>
  <c r="M650" s="1"/>
  <c r="N650" s="1"/>
  <c r="H651"/>
  <c r="F652"/>
  <c r="H654"/>
  <c r="F655"/>
  <c r="N656"/>
  <c r="F673"/>
  <c r="L674"/>
  <c r="F676"/>
  <c r="F677"/>
  <c r="L678"/>
  <c r="F682"/>
  <c r="L705"/>
  <c r="L707"/>
  <c r="L712"/>
  <c r="N715"/>
  <c r="M717"/>
  <c r="N717" s="1"/>
  <c r="F719"/>
  <c r="L719"/>
  <c r="H724"/>
  <c r="M724"/>
  <c r="N724" s="1"/>
  <c r="L728"/>
  <c r="L732"/>
  <c r="L736"/>
  <c r="L740"/>
  <c r="N753"/>
  <c r="H756"/>
  <c r="H760"/>
  <c r="H800"/>
  <c r="H804"/>
  <c r="L870"/>
  <c r="N872"/>
  <c r="H880"/>
  <c r="N880"/>
  <c r="H888"/>
  <c r="N888"/>
  <c r="L891"/>
  <c r="N898"/>
  <c r="L903"/>
  <c r="N906"/>
  <c r="N911"/>
  <c r="L919"/>
  <c r="F1024"/>
  <c r="F1026"/>
  <c r="F1028"/>
  <c r="F1030"/>
  <c r="N1032"/>
  <c r="N1038"/>
  <c r="N1040"/>
  <c r="N1042"/>
  <c r="N1044"/>
  <c r="N1046"/>
  <c r="N1048"/>
  <c r="N1050"/>
  <c r="N1052"/>
  <c r="N1054"/>
  <c r="N1056"/>
  <c r="N1058"/>
  <c r="N1060"/>
  <c r="N1062"/>
  <c r="N1064"/>
  <c r="N1066"/>
  <c r="N1072"/>
  <c r="N1074"/>
  <c r="N1076"/>
  <c r="N1083"/>
  <c r="N1090"/>
  <c r="N1091"/>
  <c r="N1095"/>
  <c r="F1097"/>
  <c r="F1101"/>
  <c r="N1110"/>
  <c r="L750"/>
  <c r="H751"/>
  <c r="L752"/>
  <c r="N758"/>
  <c r="L801"/>
  <c r="N804"/>
  <c r="L806"/>
  <c r="H809"/>
  <c r="N813"/>
  <c r="L816"/>
  <c r="L824"/>
  <c r="L830"/>
  <c r="F832"/>
  <c r="M838"/>
  <c r="N838" s="1"/>
  <c r="F840"/>
  <c r="F855"/>
  <c r="L855"/>
  <c r="F866"/>
  <c r="L869"/>
  <c r="H870"/>
  <c r="H871"/>
  <c r="M871"/>
  <c r="N871" s="1"/>
  <c r="F874"/>
  <c r="N877"/>
  <c r="L880"/>
  <c r="F884"/>
  <c r="L884"/>
  <c r="L888"/>
  <c r="H889"/>
  <c r="L890"/>
  <c r="H893"/>
  <c r="M893"/>
  <c r="N893" s="1"/>
  <c r="M895"/>
  <c r="N895" s="1"/>
  <c r="M897"/>
  <c r="N897" s="1"/>
  <c r="F902"/>
  <c r="L902"/>
  <c r="H905"/>
  <c r="M905"/>
  <c r="N905" s="1"/>
  <c r="M910"/>
  <c r="N910" s="1"/>
  <c r="F918"/>
  <c r="L918"/>
  <c r="L921"/>
  <c r="L925"/>
  <c r="H1024"/>
  <c r="N1024"/>
  <c r="H1026"/>
  <c r="N1026"/>
  <c r="H1028"/>
  <c r="N1028"/>
  <c r="H1030"/>
  <c r="N1030"/>
  <c r="N1084"/>
  <c r="H1095"/>
  <c r="N1109"/>
  <c r="H832"/>
  <c r="L833"/>
  <c r="H840"/>
  <c r="K843"/>
  <c r="N860"/>
  <c r="L866"/>
  <c r="N868"/>
  <c r="L874"/>
  <c r="L882"/>
  <c r="N884"/>
  <c r="H898"/>
  <c r="L899"/>
  <c r="N902"/>
  <c r="H906"/>
  <c r="L907"/>
  <c r="H911"/>
  <c r="N918"/>
  <c r="M923"/>
  <c r="N923" s="1"/>
  <c r="M942"/>
  <c r="N942" s="1"/>
  <c r="L986"/>
  <c r="L995"/>
  <c r="L1005"/>
  <c r="M1006"/>
  <c r="N1006" s="1"/>
  <c r="F1016"/>
  <c r="F1018"/>
  <c r="N1087"/>
  <c r="H1092"/>
  <c r="N1093"/>
  <c r="N1098"/>
  <c r="N1100"/>
  <c r="N1106"/>
  <c r="F1109"/>
  <c r="L748"/>
  <c r="L754"/>
  <c r="H755"/>
  <c r="L756"/>
  <c r="H761"/>
  <c r="N800"/>
  <c r="L802"/>
  <c r="L812"/>
  <c r="N832"/>
  <c r="L834"/>
  <c r="N839"/>
  <c r="N840"/>
  <c r="L842"/>
  <c r="F843"/>
  <c r="L844"/>
  <c r="L854"/>
  <c r="H857"/>
  <c r="H862"/>
  <c r="H867"/>
  <c r="M867"/>
  <c r="N867" s="1"/>
  <c r="L873"/>
  <c r="H875"/>
  <c r="M875"/>
  <c r="N875" s="1"/>
  <c r="H877"/>
  <c r="F880"/>
  <c r="M883"/>
  <c r="N883" s="1"/>
  <c r="F888"/>
  <c r="N889"/>
  <c r="M894"/>
  <c r="N894" s="1"/>
  <c r="M896"/>
  <c r="N896" s="1"/>
  <c r="F898"/>
  <c r="L898"/>
  <c r="H901"/>
  <c r="M901"/>
  <c r="N901" s="1"/>
  <c r="F906"/>
  <c r="L906"/>
  <c r="H909"/>
  <c r="M909"/>
  <c r="N909" s="1"/>
  <c r="F911"/>
  <c r="L911"/>
  <c r="L914"/>
  <c r="H917"/>
  <c r="M917"/>
  <c r="N917" s="1"/>
  <c r="L922"/>
  <c r="L927"/>
  <c r="M960"/>
  <c r="N960" s="1"/>
  <c r="L982"/>
  <c r="H1016"/>
  <c r="N1016"/>
  <c r="H1018"/>
  <c r="N1018"/>
  <c r="N1031"/>
  <c r="N1033"/>
  <c r="N1035"/>
  <c r="N1037"/>
  <c r="N1039"/>
  <c r="N1041"/>
  <c r="N1043"/>
  <c r="N1045"/>
  <c r="N1047"/>
  <c r="N1049"/>
  <c r="N1051"/>
  <c r="N1053"/>
  <c r="N1055"/>
  <c r="N1057"/>
  <c r="N1059"/>
  <c r="N1061"/>
  <c r="N1063"/>
  <c r="N1065"/>
  <c r="N1067"/>
  <c r="N1069"/>
  <c r="N1071"/>
  <c r="N1073"/>
  <c r="N1075"/>
  <c r="N1077"/>
  <c r="N1079"/>
  <c r="N1081"/>
  <c r="M118"/>
  <c r="N118" s="1"/>
  <c r="L118"/>
  <c r="F167"/>
  <c r="K6"/>
  <c r="L7"/>
  <c r="L16"/>
  <c r="M25"/>
  <c r="N25" s="1"/>
  <c r="F26"/>
  <c r="H26"/>
  <c r="M26"/>
  <c r="N26" s="1"/>
  <c r="F27"/>
  <c r="H27"/>
  <c r="M27"/>
  <c r="N27" s="1"/>
  <c r="M33"/>
  <c r="N33" s="1"/>
  <c r="M37"/>
  <c r="N37" s="1"/>
  <c r="M58"/>
  <c r="N58" s="1"/>
  <c r="M60"/>
  <c r="N60" s="1"/>
  <c r="M61"/>
  <c r="N61" s="1"/>
  <c r="F62"/>
  <c r="H62"/>
  <c r="K62"/>
  <c r="M65"/>
  <c r="N65" s="1"/>
  <c r="F66"/>
  <c r="H66"/>
  <c r="L66"/>
  <c r="M69"/>
  <c r="N69" s="1"/>
  <c r="M70"/>
  <c r="N70" s="1"/>
  <c r="F71"/>
  <c r="H71"/>
  <c r="L71"/>
  <c r="M74"/>
  <c r="N74" s="1"/>
  <c r="F75"/>
  <c r="H75"/>
  <c r="L75"/>
  <c r="M78"/>
  <c r="N78" s="1"/>
  <c r="F79"/>
  <c r="H79"/>
  <c r="L79"/>
  <c r="M82"/>
  <c r="N82" s="1"/>
  <c r="F83"/>
  <c r="H83"/>
  <c r="L83"/>
  <c r="M87"/>
  <c r="N87" s="1"/>
  <c r="F88"/>
  <c r="H88"/>
  <c r="L88"/>
  <c r="M92"/>
  <c r="N92" s="1"/>
  <c r="F93"/>
  <c r="H93"/>
  <c r="L93"/>
  <c r="M96"/>
  <c r="N96" s="1"/>
  <c r="F97"/>
  <c r="H97"/>
  <c r="L97"/>
  <c r="M100"/>
  <c r="N100" s="1"/>
  <c r="F101"/>
  <c r="H101"/>
  <c r="L101"/>
  <c r="M104"/>
  <c r="N104" s="1"/>
  <c r="M105"/>
  <c r="N105" s="1"/>
  <c r="M106"/>
  <c r="N106" s="1"/>
  <c r="M107"/>
  <c r="N107" s="1"/>
  <c r="M108"/>
  <c r="N108" s="1"/>
  <c r="M109"/>
  <c r="N109" s="1"/>
  <c r="M110"/>
  <c r="N110" s="1"/>
  <c r="M111"/>
  <c r="N111" s="1"/>
  <c r="M112"/>
  <c r="N112" s="1"/>
  <c r="M343"/>
  <c r="N343" s="1"/>
  <c r="L10"/>
  <c r="L13"/>
  <c r="F29"/>
  <c r="H29"/>
  <c r="F30"/>
  <c r="H30"/>
  <c r="F39"/>
  <c r="H39"/>
  <c r="F40"/>
  <c r="H40"/>
  <c r="F41"/>
  <c r="H41"/>
  <c r="F42"/>
  <c r="H42"/>
  <c r="F47"/>
  <c r="H47"/>
  <c r="F65"/>
  <c r="H65"/>
  <c r="F69"/>
  <c r="H69"/>
  <c r="F74"/>
  <c r="H74"/>
  <c r="F78"/>
  <c r="H78"/>
  <c r="F82"/>
  <c r="H82"/>
  <c r="F87"/>
  <c r="H87"/>
  <c r="F92"/>
  <c r="H92"/>
  <c r="F96"/>
  <c r="H96"/>
  <c r="F100"/>
  <c r="H100"/>
  <c r="F104"/>
  <c r="H104"/>
  <c r="F122"/>
  <c r="H122"/>
  <c r="M132"/>
  <c r="N132" s="1"/>
  <c r="F133"/>
  <c r="H133"/>
  <c r="L133"/>
  <c r="M137"/>
  <c r="N137" s="1"/>
  <c r="F138"/>
  <c r="H138"/>
  <c r="L138"/>
  <c r="M141"/>
  <c r="N141" s="1"/>
  <c r="F142"/>
  <c r="H142"/>
  <c r="L142"/>
  <c r="M145"/>
  <c r="N145" s="1"/>
  <c r="F146"/>
  <c r="H146"/>
  <c r="L146"/>
  <c r="M149"/>
  <c r="N149" s="1"/>
  <c r="F150"/>
  <c r="H150"/>
  <c r="L150"/>
  <c r="M156"/>
  <c r="N156" s="1"/>
  <c r="M164"/>
  <c r="N164" s="1"/>
  <c r="L165"/>
  <c r="H170"/>
  <c r="H6"/>
  <c r="N66"/>
  <c r="N71"/>
  <c r="N75"/>
  <c r="N79"/>
  <c r="N83"/>
  <c r="N88"/>
  <c r="N93"/>
  <c r="N97"/>
  <c r="N101"/>
  <c r="H118"/>
  <c r="K119"/>
  <c r="L119" s="1"/>
  <c r="M120"/>
  <c r="N120" s="1"/>
  <c r="F121"/>
  <c r="H121"/>
  <c r="L121"/>
  <c r="M131"/>
  <c r="N131" s="1"/>
  <c r="F132"/>
  <c r="H132"/>
  <c r="M135"/>
  <c r="N135" s="1"/>
  <c r="M136"/>
  <c r="N136" s="1"/>
  <c r="F137"/>
  <c r="H137"/>
  <c r="M140"/>
  <c r="N140" s="1"/>
  <c r="F141"/>
  <c r="H141"/>
  <c r="M144"/>
  <c r="N144" s="1"/>
  <c r="F145"/>
  <c r="H145"/>
  <c r="M148"/>
  <c r="N148" s="1"/>
  <c r="F149"/>
  <c r="H149"/>
  <c r="M159"/>
  <c r="N159" s="1"/>
  <c r="M163"/>
  <c r="N163" s="1"/>
  <c r="H167"/>
  <c r="M167"/>
  <c r="N167" s="1"/>
  <c r="M348"/>
  <c r="N348" s="1"/>
  <c r="H171"/>
  <c r="F171"/>
  <c r="F118"/>
  <c r="F120"/>
  <c r="H120"/>
  <c r="F170"/>
  <c r="L171"/>
  <c r="L382"/>
  <c r="H382"/>
  <c r="F382"/>
  <c r="H394"/>
  <c r="F394"/>
  <c r="H401"/>
  <c r="F401"/>
  <c r="L407"/>
  <c r="H407"/>
  <c r="F407"/>
  <c r="H412"/>
  <c r="F412"/>
  <c r="L422"/>
  <c r="M422"/>
  <c r="N422" s="1"/>
  <c r="L427"/>
  <c r="H427"/>
  <c r="F427"/>
  <c r="H446"/>
  <c r="F446"/>
  <c r="M471"/>
  <c r="N471" s="1"/>
  <c r="L471"/>
  <c r="M485"/>
  <c r="N485" s="1"/>
  <c r="L485"/>
  <c r="H493"/>
  <c r="F493"/>
  <c r="L499"/>
  <c r="H499"/>
  <c r="F499"/>
  <c r="L182"/>
  <c r="L187"/>
  <c r="L191"/>
  <c r="L192"/>
  <c r="L193"/>
  <c r="L194"/>
  <c r="L195"/>
  <c r="L196"/>
  <c r="L197"/>
  <c r="L198"/>
  <c r="L199"/>
  <c r="L200"/>
  <c r="L201"/>
  <c r="L202"/>
  <c r="L203"/>
  <c r="L204"/>
  <c r="L219"/>
  <c r="L230"/>
  <c r="L231"/>
  <c r="L235"/>
  <c r="L239"/>
  <c r="L243"/>
  <c r="L244"/>
  <c r="L248"/>
  <c r="L253"/>
  <c r="L258"/>
  <c r="L262"/>
  <c r="L263"/>
  <c r="L267"/>
  <c r="L272"/>
  <c r="L277"/>
  <c r="L286"/>
  <c r="L290"/>
  <c r="L294"/>
  <c r="L299"/>
  <c r="L300"/>
  <c r="L306"/>
  <c r="L310"/>
  <c r="L314"/>
  <c r="L318"/>
  <c r="L321"/>
  <c r="L328"/>
  <c r="L329"/>
  <c r="H330"/>
  <c r="L333"/>
  <c r="K346"/>
  <c r="L346" s="1"/>
  <c r="L350"/>
  <c r="H352"/>
  <c r="K352"/>
  <c r="L352" s="1"/>
  <c r="L353"/>
  <c r="L357"/>
  <c r="L358"/>
  <c r="L363"/>
  <c r="L365"/>
  <c r="L368"/>
  <c r="N382"/>
  <c r="N394"/>
  <c r="N407"/>
  <c r="L421"/>
  <c r="L424"/>
  <c r="L446"/>
  <c r="L493"/>
  <c r="N499"/>
  <c r="L389"/>
  <c r="H389"/>
  <c r="F389"/>
  <c r="H393"/>
  <c r="F393"/>
  <c r="H406"/>
  <c r="F406"/>
  <c r="L412"/>
  <c r="M412"/>
  <c r="N412" s="1"/>
  <c r="L419"/>
  <c r="H419"/>
  <c r="F419"/>
  <c r="H426"/>
  <c r="F426"/>
  <c r="L429"/>
  <c r="H429"/>
  <c r="F429"/>
  <c r="H442"/>
  <c r="F442"/>
  <c r="M445"/>
  <c r="N445" s="1"/>
  <c r="L445"/>
  <c r="H454"/>
  <c r="F454"/>
  <c r="L459"/>
  <c r="H459"/>
  <c r="F459"/>
  <c r="H462"/>
  <c r="F462"/>
  <c r="H467"/>
  <c r="F467"/>
  <c r="H481"/>
  <c r="F481"/>
  <c r="M492"/>
  <c r="N492" s="1"/>
  <c r="L492"/>
  <c r="F498"/>
  <c r="H342"/>
  <c r="M371"/>
  <c r="N371" s="1"/>
  <c r="F375"/>
  <c r="H375"/>
  <c r="L375"/>
  <c r="H386"/>
  <c r="L386"/>
  <c r="N389"/>
  <c r="L401"/>
  <c r="N419"/>
  <c r="N429"/>
  <c r="N442"/>
  <c r="L454"/>
  <c r="N459"/>
  <c r="L462"/>
  <c r="L467"/>
  <c r="L481"/>
  <c r="H498"/>
  <c r="K498"/>
  <c r="L498" s="1"/>
  <c r="L376"/>
  <c r="L378"/>
  <c r="H378"/>
  <c r="F378"/>
  <c r="L381"/>
  <c r="M381"/>
  <c r="N381" s="1"/>
  <c r="H385"/>
  <c r="F385"/>
  <c r="H388"/>
  <c r="F388"/>
  <c r="L393"/>
  <c r="M393"/>
  <c r="N393" s="1"/>
  <c r="L406"/>
  <c r="M406"/>
  <c r="N406" s="1"/>
  <c r="H418"/>
  <c r="F418"/>
  <c r="L426"/>
  <c r="M426"/>
  <c r="N426" s="1"/>
  <c r="H440"/>
  <c r="F440"/>
  <c r="H449"/>
  <c r="F449"/>
  <c r="M453"/>
  <c r="N453" s="1"/>
  <c r="L453"/>
  <c r="M461"/>
  <c r="N461" s="1"/>
  <c r="L461"/>
  <c r="L465"/>
  <c r="H465"/>
  <c r="F465"/>
  <c r="H477"/>
  <c r="F477"/>
  <c r="M480"/>
  <c r="N480" s="1"/>
  <c r="L480"/>
  <c r="M171"/>
  <c r="N171" s="1"/>
  <c r="F172"/>
  <c r="H172"/>
  <c r="M183"/>
  <c r="N183" s="1"/>
  <c r="F184"/>
  <c r="H184"/>
  <c r="M188"/>
  <c r="N188" s="1"/>
  <c r="F189"/>
  <c r="H189"/>
  <c r="F205"/>
  <c r="H205"/>
  <c r="M207"/>
  <c r="N207" s="1"/>
  <c r="F208"/>
  <c r="H208"/>
  <c r="L208"/>
  <c r="M220"/>
  <c r="N220" s="1"/>
  <c r="F221"/>
  <c r="H221"/>
  <c r="M232"/>
  <c r="N232" s="1"/>
  <c r="F233"/>
  <c r="H233"/>
  <c r="M236"/>
  <c r="N236" s="1"/>
  <c r="F237"/>
  <c r="H237"/>
  <c r="M240"/>
  <c r="N240" s="1"/>
  <c r="F241"/>
  <c r="H241"/>
  <c r="M245"/>
  <c r="N245" s="1"/>
  <c r="F246"/>
  <c r="H246"/>
  <c r="M249"/>
  <c r="N249" s="1"/>
  <c r="F250"/>
  <c r="H250"/>
  <c r="M254"/>
  <c r="N254" s="1"/>
  <c r="F255"/>
  <c r="H255"/>
  <c r="L255"/>
  <c r="M259"/>
  <c r="N259" s="1"/>
  <c r="F260"/>
  <c r="H260"/>
  <c r="M264"/>
  <c r="N264" s="1"/>
  <c r="F265"/>
  <c r="H265"/>
  <c r="M268"/>
  <c r="N268" s="1"/>
  <c r="M269"/>
  <c r="N269" s="1"/>
  <c r="F270"/>
  <c r="H270"/>
  <c r="M273"/>
  <c r="N273" s="1"/>
  <c r="F274"/>
  <c r="H274"/>
  <c r="M278"/>
  <c r="N278" s="1"/>
  <c r="F279"/>
  <c r="H279"/>
  <c r="M287"/>
  <c r="N287" s="1"/>
  <c r="F288"/>
  <c r="H288"/>
  <c r="F291"/>
  <c r="H291"/>
  <c r="M295"/>
  <c r="N295" s="1"/>
  <c r="F296"/>
  <c r="H296"/>
  <c r="M301"/>
  <c r="N301" s="1"/>
  <c r="F302"/>
  <c r="H302"/>
  <c r="F307"/>
  <c r="H307"/>
  <c r="M311"/>
  <c r="N311" s="1"/>
  <c r="F312"/>
  <c r="H312"/>
  <c r="M315"/>
  <c r="N315" s="1"/>
  <c r="F316"/>
  <c r="H316"/>
  <c r="M319"/>
  <c r="N319" s="1"/>
  <c r="F320"/>
  <c r="H320"/>
  <c r="F322"/>
  <c r="H322"/>
  <c r="F324"/>
  <c r="H324"/>
  <c r="M334"/>
  <c r="N334" s="1"/>
  <c r="F335"/>
  <c r="H335"/>
  <c r="F337"/>
  <c r="H337"/>
  <c r="L337"/>
  <c r="M351"/>
  <c r="N351" s="1"/>
  <c r="F354"/>
  <c r="M359"/>
  <c r="N359" s="1"/>
  <c r="F360"/>
  <c r="H360"/>
  <c r="F364"/>
  <c r="H364"/>
  <c r="F366"/>
  <c r="H366"/>
  <c r="F371"/>
  <c r="H371"/>
  <c r="L371"/>
  <c r="M373"/>
  <c r="N373" s="1"/>
  <c r="M374"/>
  <c r="N374" s="1"/>
  <c r="M377"/>
  <c r="N377" s="1"/>
  <c r="M378"/>
  <c r="N378" s="1"/>
  <c r="L394"/>
  <c r="H423"/>
  <c r="L423"/>
  <c r="N427"/>
  <c r="N440"/>
  <c r="L442"/>
  <c r="L449"/>
  <c r="N465"/>
  <c r="L477"/>
  <c r="L385"/>
  <c r="M385"/>
  <c r="N385" s="1"/>
  <c r="L388"/>
  <c r="M388"/>
  <c r="N388" s="1"/>
  <c r="L413"/>
  <c r="H413"/>
  <c r="F413"/>
  <c r="L418"/>
  <c r="M418"/>
  <c r="N418" s="1"/>
  <c r="H422"/>
  <c r="F422"/>
  <c r="M431"/>
  <c r="N431" s="1"/>
  <c r="M436"/>
  <c r="N436" s="1"/>
  <c r="M439"/>
  <c r="N439" s="1"/>
  <c r="L439"/>
  <c r="M448"/>
  <c r="N448" s="1"/>
  <c r="L448"/>
  <c r="H472"/>
  <c r="F472"/>
  <c r="M475"/>
  <c r="N475" s="1"/>
  <c r="L475"/>
  <c r="M476"/>
  <c r="N476" s="1"/>
  <c r="L476"/>
  <c r="H486"/>
  <c r="F486"/>
  <c r="M490"/>
  <c r="N490" s="1"/>
  <c r="F183"/>
  <c r="H183"/>
  <c r="F188"/>
  <c r="H188"/>
  <c r="F207"/>
  <c r="H207"/>
  <c r="F220"/>
  <c r="H220"/>
  <c r="F232"/>
  <c r="H232"/>
  <c r="F236"/>
  <c r="H236"/>
  <c r="F240"/>
  <c r="H240"/>
  <c r="F245"/>
  <c r="H245"/>
  <c r="F249"/>
  <c r="H249"/>
  <c r="F254"/>
  <c r="H254"/>
  <c r="F259"/>
  <c r="H259"/>
  <c r="F264"/>
  <c r="H264"/>
  <c r="F268"/>
  <c r="H268"/>
  <c r="F273"/>
  <c r="H273"/>
  <c r="F278"/>
  <c r="H278"/>
  <c r="F287"/>
  <c r="H287"/>
  <c r="F295"/>
  <c r="H295"/>
  <c r="F301"/>
  <c r="H301"/>
  <c r="F311"/>
  <c r="H311"/>
  <c r="F315"/>
  <c r="H315"/>
  <c r="F319"/>
  <c r="H319"/>
  <c r="F334"/>
  <c r="H334"/>
  <c r="F351"/>
  <c r="H351"/>
  <c r="F359"/>
  <c r="H359"/>
  <c r="F369"/>
  <c r="F373"/>
  <c r="H373"/>
  <c r="F376"/>
  <c r="H376"/>
  <c r="L384"/>
  <c r="F386"/>
  <c r="L387"/>
  <c r="L410"/>
  <c r="L417"/>
  <c r="L440"/>
  <c r="L472"/>
  <c r="L486"/>
  <c r="H464"/>
  <c r="L504"/>
  <c r="L508"/>
  <c r="L509"/>
  <c r="L514"/>
  <c r="L518"/>
  <c r="L522"/>
  <c r="L526"/>
  <c r="L531"/>
  <c r="L536"/>
  <c r="L542"/>
  <c r="L546"/>
  <c r="L547"/>
  <c r="H549"/>
  <c r="K549"/>
  <c r="L549" s="1"/>
  <c r="K550"/>
  <c r="L550" s="1"/>
  <c r="F551"/>
  <c r="N580"/>
  <c r="L580"/>
  <c r="H580"/>
  <c r="F580"/>
  <c r="H551"/>
  <c r="H553"/>
  <c r="F553"/>
  <c r="H557"/>
  <c r="F557"/>
  <c r="F437"/>
  <c r="H437"/>
  <c r="M446"/>
  <c r="N446" s="1"/>
  <c r="M449"/>
  <c r="N449" s="1"/>
  <c r="M450"/>
  <c r="N450" s="1"/>
  <c r="F451"/>
  <c r="H451"/>
  <c r="M454"/>
  <c r="N454" s="1"/>
  <c r="F455"/>
  <c r="H455"/>
  <c r="M462"/>
  <c r="N462" s="1"/>
  <c r="M463"/>
  <c r="N463" s="1"/>
  <c r="M467"/>
  <c r="N467" s="1"/>
  <c r="F468"/>
  <c r="H468"/>
  <c r="L468"/>
  <c r="M472"/>
  <c r="N472" s="1"/>
  <c r="F473"/>
  <c r="H473"/>
  <c r="L473"/>
  <c r="M477"/>
  <c r="N477" s="1"/>
  <c r="F478"/>
  <c r="H478"/>
  <c r="L478"/>
  <c r="M481"/>
  <c r="N481" s="1"/>
  <c r="F482"/>
  <c r="H482"/>
  <c r="L482"/>
  <c r="M486"/>
  <c r="N486" s="1"/>
  <c r="F487"/>
  <c r="H487"/>
  <c r="L487"/>
  <c r="M493"/>
  <c r="N493" s="1"/>
  <c r="F494"/>
  <c r="H494"/>
  <c r="L494"/>
  <c r="F501"/>
  <c r="H501"/>
  <c r="L501"/>
  <c r="M505"/>
  <c r="N505" s="1"/>
  <c r="F506"/>
  <c r="H506"/>
  <c r="L506"/>
  <c r="M510"/>
  <c r="N510" s="1"/>
  <c r="F511"/>
  <c r="H511"/>
  <c r="L511"/>
  <c r="M515"/>
  <c r="N515" s="1"/>
  <c r="F516"/>
  <c r="H516"/>
  <c r="L516"/>
  <c r="M519"/>
  <c r="N519" s="1"/>
  <c r="F520"/>
  <c r="H520"/>
  <c r="L520"/>
  <c r="M523"/>
  <c r="N523" s="1"/>
  <c r="F524"/>
  <c r="H524"/>
  <c r="L524"/>
  <c r="M527"/>
  <c r="N527" s="1"/>
  <c r="M528"/>
  <c r="N528" s="1"/>
  <c r="F529"/>
  <c r="H529"/>
  <c r="L529"/>
  <c r="M532"/>
  <c r="N532" s="1"/>
  <c r="F533"/>
  <c r="H533"/>
  <c r="L533"/>
  <c r="M537"/>
  <c r="N537" s="1"/>
  <c r="M538"/>
  <c r="N538" s="1"/>
  <c r="F539"/>
  <c r="H539"/>
  <c r="M543"/>
  <c r="N543" s="1"/>
  <c r="F544"/>
  <c r="H544"/>
  <c r="M548"/>
  <c r="N548" s="1"/>
  <c r="H550"/>
  <c r="L551"/>
  <c r="L553"/>
  <c r="L557"/>
  <c r="L552"/>
  <c r="M552"/>
  <c r="N552" s="1"/>
  <c r="L556"/>
  <c r="M556"/>
  <c r="N556" s="1"/>
  <c r="H381"/>
  <c r="F431"/>
  <c r="H431"/>
  <c r="F490"/>
  <c r="H490"/>
  <c r="F505"/>
  <c r="H505"/>
  <c r="F510"/>
  <c r="H510"/>
  <c r="F515"/>
  <c r="H515"/>
  <c r="F519"/>
  <c r="H519"/>
  <c r="F523"/>
  <c r="H523"/>
  <c r="F527"/>
  <c r="H527"/>
  <c r="F532"/>
  <c r="H532"/>
  <c r="F537"/>
  <c r="H537"/>
  <c r="F543"/>
  <c r="H543"/>
  <c r="F548"/>
  <c r="H548"/>
  <c r="M575"/>
  <c r="N575" s="1"/>
  <c r="M708"/>
  <c r="N708" s="1"/>
  <c r="L708"/>
  <c r="M553"/>
  <c r="N553" s="1"/>
  <c r="F554"/>
  <c r="H554"/>
  <c r="M557"/>
  <c r="N557" s="1"/>
  <c r="M558"/>
  <c r="N558" s="1"/>
  <c r="F559"/>
  <c r="H559"/>
  <c r="M562"/>
  <c r="N562" s="1"/>
  <c r="M563"/>
  <c r="N563" s="1"/>
  <c r="F564"/>
  <c r="H564"/>
  <c r="M568"/>
  <c r="N568" s="1"/>
  <c r="M569"/>
  <c r="N569" s="1"/>
  <c r="F570"/>
  <c r="H570"/>
  <c r="H579"/>
  <c r="C581"/>
  <c r="L581" s="1"/>
  <c r="M581"/>
  <c r="M582"/>
  <c r="N582" s="1"/>
  <c r="F583"/>
  <c r="H583"/>
  <c r="M586"/>
  <c r="N586" s="1"/>
  <c r="F588"/>
  <c r="H588"/>
  <c r="M593"/>
  <c r="N593" s="1"/>
  <c r="M595"/>
  <c r="N595" s="1"/>
  <c r="M596"/>
  <c r="N596" s="1"/>
  <c r="F597"/>
  <c r="H597"/>
  <c r="F603"/>
  <c r="H603"/>
  <c r="M606"/>
  <c r="N606" s="1"/>
  <c r="F607"/>
  <c r="H607"/>
  <c r="F611"/>
  <c r="H611"/>
  <c r="H617"/>
  <c r="L619"/>
  <c r="M620"/>
  <c r="N620" s="1"/>
  <c r="H621"/>
  <c r="N621"/>
  <c r="F623"/>
  <c r="F632"/>
  <c r="M633"/>
  <c r="N633" s="1"/>
  <c r="H634"/>
  <c r="N634"/>
  <c r="M561"/>
  <c r="N561" s="1"/>
  <c r="F562"/>
  <c r="H562"/>
  <c r="M566"/>
  <c r="N566" s="1"/>
  <c r="M567"/>
  <c r="N567" s="1"/>
  <c r="F568"/>
  <c r="H568"/>
  <c r="F579"/>
  <c r="M585"/>
  <c r="N585" s="1"/>
  <c r="F586"/>
  <c r="H586"/>
  <c r="M591"/>
  <c r="N591" s="1"/>
  <c r="M592"/>
  <c r="N592" s="1"/>
  <c r="F593"/>
  <c r="H593"/>
  <c r="F595"/>
  <c r="H595"/>
  <c r="M601"/>
  <c r="N601" s="1"/>
  <c r="M602"/>
  <c r="N602" s="1"/>
  <c r="N604"/>
  <c r="N608"/>
  <c r="M609"/>
  <c r="N609" s="1"/>
  <c r="F610"/>
  <c r="H610"/>
  <c r="L610"/>
  <c r="N612"/>
  <c r="M613"/>
  <c r="N613" s="1"/>
  <c r="M614"/>
  <c r="N614" s="1"/>
  <c r="F615"/>
  <c r="H615"/>
  <c r="L615"/>
  <c r="K617"/>
  <c r="L617" s="1"/>
  <c r="M618"/>
  <c r="N618" s="1"/>
  <c r="M625"/>
  <c r="N625" s="1"/>
  <c r="F628"/>
  <c r="M629"/>
  <c r="N629" s="1"/>
  <c r="F621"/>
  <c r="M622"/>
  <c r="N622" s="1"/>
  <c r="H623"/>
  <c r="M630"/>
  <c r="N630" s="1"/>
  <c r="H631"/>
  <c r="M631"/>
  <c r="N631" s="1"/>
  <c r="H632"/>
  <c r="F634"/>
  <c r="M664"/>
  <c r="N664" s="1"/>
  <c r="L651"/>
  <c r="M651"/>
  <c r="N651" s="1"/>
  <c r="L706"/>
  <c r="M706"/>
  <c r="N706" s="1"/>
  <c r="H788"/>
  <c r="F788"/>
  <c r="L789"/>
  <c r="M789"/>
  <c r="N789" s="1"/>
  <c r="L793"/>
  <c r="M793"/>
  <c r="N793" s="1"/>
  <c r="N639"/>
  <c r="H647"/>
  <c r="N648"/>
  <c r="H650"/>
  <c r="L650"/>
  <c r="M652"/>
  <c r="N652" s="1"/>
  <c r="M660"/>
  <c r="N660" s="1"/>
  <c r="M663"/>
  <c r="N663" s="1"/>
  <c r="K665"/>
  <c r="L665" s="1"/>
  <c r="M666"/>
  <c r="N666" s="1"/>
  <c r="M668"/>
  <c r="N668" s="1"/>
  <c r="M672"/>
  <c r="N672" s="1"/>
  <c r="L673"/>
  <c r="N675"/>
  <c r="M678"/>
  <c r="N678" s="1"/>
  <c r="F679"/>
  <c r="H679"/>
  <c r="L679"/>
  <c r="M682"/>
  <c r="N682" s="1"/>
  <c r="H683"/>
  <c r="L683"/>
  <c r="M686"/>
  <c r="N686" s="1"/>
  <c r="L688"/>
  <c r="M690"/>
  <c r="N690" s="1"/>
  <c r="F691"/>
  <c r="H691"/>
  <c r="L691"/>
  <c r="N694"/>
  <c r="M695"/>
  <c r="N695" s="1"/>
  <c r="F696"/>
  <c r="H696"/>
  <c r="L696"/>
  <c r="M698"/>
  <c r="N698" s="1"/>
  <c r="M700"/>
  <c r="N700" s="1"/>
  <c r="K703"/>
  <c r="L703" s="1"/>
  <c r="H704"/>
  <c r="M705"/>
  <c r="N705" s="1"/>
  <c r="M707"/>
  <c r="N707" s="1"/>
  <c r="M711"/>
  <c r="N711" s="1"/>
  <c r="N723"/>
  <c r="L788"/>
  <c r="M788"/>
  <c r="N788" s="1"/>
  <c r="L792"/>
  <c r="M792"/>
  <c r="N792" s="1"/>
  <c r="M642"/>
  <c r="N642" s="1"/>
  <c r="M644"/>
  <c r="N644" s="1"/>
  <c r="F647"/>
  <c r="F650"/>
  <c r="H653"/>
  <c r="M654"/>
  <c r="N654" s="1"/>
  <c r="F659"/>
  <c r="H659"/>
  <c r="F660"/>
  <c r="H660"/>
  <c r="H662"/>
  <c r="F666"/>
  <c r="H666"/>
  <c r="F668"/>
  <c r="H668"/>
  <c r="F672"/>
  <c r="H672"/>
  <c r="M677"/>
  <c r="N677" s="1"/>
  <c r="M680"/>
  <c r="N680" s="1"/>
  <c r="F686"/>
  <c r="H686"/>
  <c r="F690"/>
  <c r="H690"/>
  <c r="M697"/>
  <c r="N697" s="1"/>
  <c r="F700"/>
  <c r="H700"/>
  <c r="M701"/>
  <c r="N701" s="1"/>
  <c r="H703"/>
  <c r="F704"/>
  <c r="K709"/>
  <c r="M710"/>
  <c r="N710" s="1"/>
  <c r="F714"/>
  <c r="H714"/>
  <c r="F717"/>
  <c r="H717"/>
  <c r="F750"/>
  <c r="H750"/>
  <c r="F754"/>
  <c r="H754"/>
  <c r="F759"/>
  <c r="H759"/>
  <c r="L782"/>
  <c r="L783"/>
  <c r="L784"/>
  <c r="L785"/>
  <c r="L786"/>
  <c r="L787"/>
  <c r="L791"/>
  <c r="M791"/>
  <c r="N791" s="1"/>
  <c r="M638"/>
  <c r="N638" s="1"/>
  <c r="F639"/>
  <c r="H639"/>
  <c r="L639"/>
  <c r="M646"/>
  <c r="N646" s="1"/>
  <c r="M647"/>
  <c r="N647" s="1"/>
  <c r="F648"/>
  <c r="H648"/>
  <c r="L648"/>
  <c r="M657"/>
  <c r="N657" s="1"/>
  <c r="M658"/>
  <c r="N658" s="1"/>
  <c r="M661"/>
  <c r="N661" s="1"/>
  <c r="H664"/>
  <c r="M667"/>
  <c r="N667" s="1"/>
  <c r="H669"/>
  <c r="M671"/>
  <c r="N671" s="1"/>
  <c r="M674"/>
  <c r="N674" s="1"/>
  <c r="F675"/>
  <c r="H675"/>
  <c r="L675"/>
  <c r="M684"/>
  <c r="N684" s="1"/>
  <c r="M685"/>
  <c r="N685" s="1"/>
  <c r="M687"/>
  <c r="N687" s="1"/>
  <c r="M699"/>
  <c r="N699" s="1"/>
  <c r="M712"/>
  <c r="N712" s="1"/>
  <c r="M713"/>
  <c r="N713" s="1"/>
  <c r="M716"/>
  <c r="N716" s="1"/>
  <c r="M720"/>
  <c r="N720" s="1"/>
  <c r="M721"/>
  <c r="N721" s="1"/>
  <c r="M722"/>
  <c r="N722" s="1"/>
  <c r="F723"/>
  <c r="H723"/>
  <c r="L723"/>
  <c r="M748"/>
  <c r="N748" s="1"/>
  <c r="F749"/>
  <c r="H749"/>
  <c r="L749"/>
  <c r="N751"/>
  <c r="M752"/>
  <c r="N752" s="1"/>
  <c r="F753"/>
  <c r="H753"/>
  <c r="L753"/>
  <c r="N755"/>
  <c r="M756"/>
  <c r="N756" s="1"/>
  <c r="M757"/>
  <c r="N757" s="1"/>
  <c r="F758"/>
  <c r="H758"/>
  <c r="L758"/>
  <c r="N760"/>
  <c r="M761"/>
  <c r="N761" s="1"/>
  <c r="M762"/>
  <c r="N762" s="1"/>
  <c r="M763"/>
  <c r="N763" s="1"/>
  <c r="M764"/>
  <c r="N764" s="1"/>
  <c r="M765"/>
  <c r="N765" s="1"/>
  <c r="M766"/>
  <c r="N766" s="1"/>
  <c r="M767"/>
  <c r="N767" s="1"/>
  <c r="M768"/>
  <c r="N768" s="1"/>
  <c r="M769"/>
  <c r="N769" s="1"/>
  <c r="M770"/>
  <c r="N770" s="1"/>
  <c r="M771"/>
  <c r="N771" s="1"/>
  <c r="M772"/>
  <c r="N772" s="1"/>
  <c r="M773"/>
  <c r="N773" s="1"/>
  <c r="M774"/>
  <c r="N774" s="1"/>
  <c r="M775"/>
  <c r="N775" s="1"/>
  <c r="M776"/>
  <c r="N776" s="1"/>
  <c r="M777"/>
  <c r="N777" s="1"/>
  <c r="M778"/>
  <c r="N778" s="1"/>
  <c r="M780"/>
  <c r="N780" s="1"/>
  <c r="L790"/>
  <c r="M790"/>
  <c r="N790" s="1"/>
  <c r="F620"/>
  <c r="H620"/>
  <c r="F625"/>
  <c r="H625"/>
  <c r="F629"/>
  <c r="H629"/>
  <c r="F633"/>
  <c r="H633"/>
  <c r="F638"/>
  <c r="H638"/>
  <c r="F646"/>
  <c r="H646"/>
  <c r="F651"/>
  <c r="F657"/>
  <c r="H657"/>
  <c r="F661"/>
  <c r="H661"/>
  <c r="F664"/>
  <c r="H665"/>
  <c r="F667"/>
  <c r="H667"/>
  <c r="F669"/>
  <c r="F671"/>
  <c r="H671"/>
  <c r="F674"/>
  <c r="H674"/>
  <c r="F684"/>
  <c r="H684"/>
  <c r="F687"/>
  <c r="H687"/>
  <c r="F689"/>
  <c r="H689"/>
  <c r="F693"/>
  <c r="H693"/>
  <c r="F699"/>
  <c r="H699"/>
  <c r="F706"/>
  <c r="F709"/>
  <c r="F712"/>
  <c r="H712"/>
  <c r="F716"/>
  <c r="H716"/>
  <c r="F720"/>
  <c r="H720"/>
  <c r="H860"/>
  <c r="F860"/>
  <c r="L881"/>
  <c r="M881"/>
  <c r="N881" s="1"/>
  <c r="N795"/>
  <c r="L800"/>
  <c r="L804"/>
  <c r="L805"/>
  <c r="N807"/>
  <c r="L809"/>
  <c r="N812"/>
  <c r="N819"/>
  <c r="N824"/>
  <c r="L832"/>
  <c r="L840"/>
  <c r="L848"/>
  <c r="M854"/>
  <c r="N854" s="1"/>
  <c r="H861"/>
  <c r="L862"/>
  <c r="L865"/>
  <c r="H865"/>
  <c r="F865"/>
  <c r="L879"/>
  <c r="H879"/>
  <c r="F879"/>
  <c r="L887"/>
  <c r="H887"/>
  <c r="F887"/>
  <c r="N887"/>
  <c r="F799"/>
  <c r="H799"/>
  <c r="L799"/>
  <c r="M856"/>
  <c r="N856" s="1"/>
  <c r="L861"/>
  <c r="H868"/>
  <c r="H872"/>
  <c r="L878"/>
  <c r="M878"/>
  <c r="N878" s="1"/>
  <c r="L886"/>
  <c r="M886"/>
  <c r="N886" s="1"/>
  <c r="M794"/>
  <c r="N794" s="1"/>
  <c r="F795"/>
  <c r="H795"/>
  <c r="M797"/>
  <c r="N797" s="1"/>
  <c r="M798"/>
  <c r="N798" s="1"/>
  <c r="M801"/>
  <c r="N801" s="1"/>
  <c r="F802"/>
  <c r="H802"/>
  <c r="M806"/>
  <c r="N806" s="1"/>
  <c r="F807"/>
  <c r="H807"/>
  <c r="M811"/>
  <c r="N811" s="1"/>
  <c r="F812"/>
  <c r="H812"/>
  <c r="M816"/>
  <c r="N816" s="1"/>
  <c r="M817"/>
  <c r="N817" s="1"/>
  <c r="M818"/>
  <c r="N818" s="1"/>
  <c r="F819"/>
  <c r="H819"/>
  <c r="M823"/>
  <c r="N823" s="1"/>
  <c r="F824"/>
  <c r="H824"/>
  <c r="M827"/>
  <c r="N827" s="1"/>
  <c r="M828"/>
  <c r="N828" s="1"/>
  <c r="M829"/>
  <c r="N829" s="1"/>
  <c r="F830"/>
  <c r="H830"/>
  <c r="M833"/>
  <c r="N833" s="1"/>
  <c r="F834"/>
  <c r="H834"/>
  <c r="M841"/>
  <c r="N841" s="1"/>
  <c r="F842"/>
  <c r="H842"/>
  <c r="F844"/>
  <c r="H844"/>
  <c r="H847"/>
  <c r="M849"/>
  <c r="N849" s="1"/>
  <c r="M855"/>
  <c r="N855" s="1"/>
  <c r="L856"/>
  <c r="L859"/>
  <c r="L863"/>
  <c r="M876"/>
  <c r="N876" s="1"/>
  <c r="H854"/>
  <c r="F854"/>
  <c r="H882"/>
  <c r="F882"/>
  <c r="L932"/>
  <c r="M932"/>
  <c r="N932" s="1"/>
  <c r="L935"/>
  <c r="M935"/>
  <c r="N935" s="1"/>
  <c r="L936"/>
  <c r="M936"/>
  <c r="N936" s="1"/>
  <c r="L937"/>
  <c r="M937"/>
  <c r="N937" s="1"/>
  <c r="L938"/>
  <c r="M938"/>
  <c r="N938" s="1"/>
  <c r="L939"/>
  <c r="M939"/>
  <c r="N939" s="1"/>
  <c r="L940"/>
  <c r="M940"/>
  <c r="N940" s="1"/>
  <c r="L941"/>
  <c r="M941"/>
  <c r="N941" s="1"/>
  <c r="F797"/>
  <c r="H797"/>
  <c r="F801"/>
  <c r="H801"/>
  <c r="F806"/>
  <c r="H806"/>
  <c r="F811"/>
  <c r="H811"/>
  <c r="F816"/>
  <c r="H816"/>
  <c r="F823"/>
  <c r="H823"/>
  <c r="F827"/>
  <c r="H827"/>
  <c r="F833"/>
  <c r="H833"/>
  <c r="F841"/>
  <c r="H841"/>
  <c r="H843"/>
  <c r="H846"/>
  <c r="M851"/>
  <c r="N851" s="1"/>
  <c r="M852"/>
  <c r="N852" s="1"/>
  <c r="L860"/>
  <c r="F861"/>
  <c r="L864"/>
  <c r="M865"/>
  <c r="N865" s="1"/>
  <c r="F868"/>
  <c r="L868"/>
  <c r="M869"/>
  <c r="N869" s="1"/>
  <c r="F872"/>
  <c r="L872"/>
  <c r="M873"/>
  <c r="N873" s="1"/>
  <c r="N879"/>
  <c r="N882"/>
  <c r="M984"/>
  <c r="N984" s="1"/>
  <c r="L984"/>
  <c r="M985"/>
  <c r="N985" s="1"/>
  <c r="L985"/>
  <c r="N892"/>
  <c r="N900"/>
  <c r="N904"/>
  <c r="N908"/>
  <c r="N916"/>
  <c r="M922"/>
  <c r="N922" s="1"/>
  <c r="L924"/>
  <c r="M956"/>
  <c r="N956" s="1"/>
  <c r="L996"/>
  <c r="M996"/>
  <c r="N996" s="1"/>
  <c r="L997"/>
  <c r="M997"/>
  <c r="N997" s="1"/>
  <c r="L998"/>
  <c r="M998"/>
  <c r="N998" s="1"/>
  <c r="L999"/>
  <c r="M999"/>
  <c r="N999" s="1"/>
  <c r="L1000"/>
  <c r="M1000"/>
  <c r="N1000" s="1"/>
  <c r="L1001"/>
  <c r="M1001"/>
  <c r="N1001" s="1"/>
  <c r="L1002"/>
  <c r="M1002"/>
  <c r="N1002" s="1"/>
  <c r="L1003"/>
  <c r="M1003"/>
  <c r="N1003" s="1"/>
  <c r="L1004"/>
  <c r="M1004"/>
  <c r="N1004" s="1"/>
  <c r="L1007"/>
  <c r="M1007"/>
  <c r="N1007" s="1"/>
  <c r="K931"/>
  <c r="K934"/>
  <c r="K983"/>
  <c r="L993"/>
  <c r="M993"/>
  <c r="N993" s="1"/>
  <c r="L994"/>
  <c r="M994"/>
  <c r="N994" s="1"/>
  <c r="M891"/>
  <c r="N891" s="1"/>
  <c r="F892"/>
  <c r="H892"/>
  <c r="L892"/>
  <c r="M899"/>
  <c r="N899" s="1"/>
  <c r="F900"/>
  <c r="H900"/>
  <c r="L900"/>
  <c r="M903"/>
  <c r="N903" s="1"/>
  <c r="F904"/>
  <c r="H904"/>
  <c r="L904"/>
  <c r="M907"/>
  <c r="N907" s="1"/>
  <c r="F908"/>
  <c r="H908"/>
  <c r="L908"/>
  <c r="M914"/>
  <c r="N914" s="1"/>
  <c r="M915"/>
  <c r="N915" s="1"/>
  <c r="F916"/>
  <c r="H916"/>
  <c r="L916"/>
  <c r="M919"/>
  <c r="N919" s="1"/>
  <c r="M928"/>
  <c r="N928" s="1"/>
  <c r="M930"/>
  <c r="N930" s="1"/>
  <c r="M933"/>
  <c r="N933" s="1"/>
  <c r="F869"/>
  <c r="H869"/>
  <c r="F873"/>
  <c r="H873"/>
  <c r="F878"/>
  <c r="H878"/>
  <c r="F881"/>
  <c r="H881"/>
  <c r="F886"/>
  <c r="H886"/>
  <c r="F891"/>
  <c r="H891"/>
  <c r="F899"/>
  <c r="H899"/>
  <c r="F903"/>
  <c r="H903"/>
  <c r="F907"/>
  <c r="H907"/>
  <c r="F914"/>
  <c r="H914"/>
  <c r="F919"/>
  <c r="H919"/>
  <c r="L981"/>
  <c r="K987"/>
  <c r="K988"/>
  <c r="K989"/>
  <c r="K990"/>
  <c r="K991"/>
  <c r="K992"/>
  <c r="K1008"/>
  <c r="K1009"/>
  <c r="K1010"/>
  <c r="K1011"/>
  <c r="N1092"/>
  <c r="H1094"/>
  <c r="N1096"/>
  <c r="H1098"/>
  <c r="H1102"/>
  <c r="F1103"/>
  <c r="H1106"/>
  <c r="F1107"/>
  <c r="H1110"/>
  <c r="F1032"/>
  <c r="H1032"/>
  <c r="F1034"/>
  <c r="H1034"/>
  <c r="F1036"/>
  <c r="H1036"/>
  <c r="F1038"/>
  <c r="H1038"/>
  <c r="F1040"/>
  <c r="H1040"/>
  <c r="F1042"/>
  <c r="H1042"/>
  <c r="F1044"/>
  <c r="H1044"/>
  <c r="F1046"/>
  <c r="H1046"/>
  <c r="F1048"/>
  <c r="H1048"/>
  <c r="F1050"/>
  <c r="H1050"/>
  <c r="F1052"/>
  <c r="H1052"/>
  <c r="F1054"/>
  <c r="H1054"/>
  <c r="F1056"/>
  <c r="H1056"/>
  <c r="F1058"/>
  <c r="H1058"/>
  <c r="F1060"/>
  <c r="H1060"/>
  <c r="F1062"/>
  <c r="H1062"/>
  <c r="F1064"/>
  <c r="H1064"/>
  <c r="F1066"/>
  <c r="H1066"/>
  <c r="F1068"/>
  <c r="H1068"/>
  <c r="F1070"/>
  <c r="H1070"/>
  <c r="F1072"/>
  <c r="H1072"/>
  <c r="F1074"/>
  <c r="H1074"/>
  <c r="F1076"/>
  <c r="H1076"/>
  <c r="F1078"/>
  <c r="H1078"/>
  <c r="F1080"/>
  <c r="H1080"/>
  <c r="F1082"/>
  <c r="H1082"/>
  <c r="F1084"/>
  <c r="H1084"/>
  <c r="F1094"/>
  <c r="F1098"/>
  <c r="C1099"/>
  <c r="H1105"/>
  <c r="F1106"/>
  <c r="F1110"/>
  <c r="H1096"/>
  <c r="H1100"/>
  <c r="H1104"/>
  <c r="F1031"/>
  <c r="F1033"/>
  <c r="F1035"/>
  <c r="F1037"/>
  <c r="F1039"/>
  <c r="F1041"/>
  <c r="F1043"/>
  <c r="F1045"/>
  <c r="F1047"/>
  <c r="F1049"/>
  <c r="F1051"/>
  <c r="F1053"/>
  <c r="F1055"/>
  <c r="F1057"/>
  <c r="F1059"/>
  <c r="F1061"/>
  <c r="F1063"/>
  <c r="F1065"/>
  <c r="F1067"/>
  <c r="F1069"/>
  <c r="F1071"/>
  <c r="F1073"/>
  <c r="F1075"/>
  <c r="F1077"/>
  <c r="F1079"/>
  <c r="F1081"/>
  <c r="F1083"/>
  <c r="F1085"/>
  <c r="F1086"/>
  <c r="F1087"/>
  <c r="F1088"/>
  <c r="F1089"/>
  <c r="F1090"/>
  <c r="F1091"/>
  <c r="J63" i="24"/>
  <c r="J33"/>
  <c r="I77"/>
  <c r="I63"/>
  <c r="J60"/>
  <c r="J53"/>
  <c r="I62"/>
  <c r="I44"/>
  <c r="I33"/>
  <c r="I24"/>
  <c r="I18"/>
  <c r="I11"/>
  <c r="I167" i="29"/>
  <c r="I166"/>
  <c r="I165"/>
  <c r="I164"/>
  <c r="I163"/>
  <c r="K162"/>
  <c r="I162"/>
  <c r="I161"/>
  <c r="I169" s="1"/>
  <c r="I158"/>
  <c r="I157"/>
  <c r="I156"/>
  <c r="I152"/>
  <c r="I153" s="1"/>
  <c r="I148"/>
  <c r="I149" s="1"/>
  <c r="I144"/>
  <c r="I145" s="1"/>
  <c r="I140"/>
  <c r="I141" s="1"/>
  <c r="I135"/>
  <c r="I136" s="1"/>
  <c r="I131"/>
  <c r="I132" s="1"/>
  <c r="I126"/>
  <c r="I128" s="1"/>
  <c r="I122"/>
  <c r="I123" s="1"/>
  <c r="I118"/>
  <c r="I119" s="1"/>
  <c r="I114"/>
  <c r="I115" s="1"/>
  <c r="I110"/>
  <c r="I111" s="1"/>
  <c r="I106"/>
  <c r="I107" s="1"/>
  <c r="I101"/>
  <c r="I102" s="1"/>
  <c r="I96"/>
  <c r="I95"/>
  <c r="I94"/>
  <c r="I97" s="1"/>
  <c r="I90"/>
  <c r="I91" s="1"/>
  <c r="I89"/>
  <c r="I86"/>
  <c r="I85"/>
  <c r="I84"/>
  <c r="I80"/>
  <c r="I79"/>
  <c r="I78"/>
  <c r="I77"/>
  <c r="I81" s="1"/>
  <c r="I74"/>
  <c r="I73"/>
  <c r="I70"/>
  <c r="I69"/>
  <c r="I66"/>
  <c r="I65"/>
  <c r="I62"/>
  <c r="I61"/>
  <c r="I58"/>
  <c r="I57"/>
  <c r="I54"/>
  <c r="I53"/>
  <c r="I50"/>
  <c r="I49"/>
  <c r="I46"/>
  <c r="I45"/>
  <c r="I42"/>
  <c r="I41"/>
  <c r="I40"/>
  <c r="I36"/>
  <c r="I35"/>
  <c r="I37" s="1"/>
  <c r="I32"/>
  <c r="I31"/>
  <c r="I28"/>
  <c r="I27"/>
  <c r="F23"/>
  <c r="I23" s="1"/>
  <c r="I24" s="1"/>
  <c r="I22"/>
  <c r="I19"/>
  <c r="I18"/>
  <c r="I13"/>
  <c r="I12"/>
  <c r="I14" s="1"/>
  <c r="I8"/>
  <c r="I9" s="1"/>
  <c r="I1300" i="26"/>
  <c r="I1299"/>
  <c r="I1298"/>
  <c r="I1297"/>
  <c r="I1296"/>
  <c r="I1295"/>
  <c r="I1173"/>
  <c r="I1174"/>
  <c r="I1172"/>
  <c r="I1171"/>
  <c r="I1170"/>
  <c r="I1169"/>
  <c r="I1168"/>
  <c r="I1167"/>
  <c r="I1166"/>
  <c r="I1165"/>
  <c r="I1164"/>
  <c r="I1163"/>
  <c r="I1162"/>
  <c r="I164"/>
  <c r="K22" i="42" l="1"/>
  <c r="E26" s="1"/>
  <c r="I26" s="1"/>
  <c r="K26" s="1"/>
  <c r="E28" s="1"/>
  <c r="L724" i="41"/>
  <c r="N724"/>
  <c r="L635"/>
  <c r="N635"/>
  <c r="L601"/>
  <c r="N601"/>
  <c r="L572"/>
  <c r="N572"/>
  <c r="L507"/>
  <c r="F507"/>
  <c r="L806"/>
  <c r="N806"/>
  <c r="L623"/>
  <c r="N623"/>
  <c r="L612"/>
  <c r="N612"/>
  <c r="L584"/>
  <c r="N584"/>
  <c r="L631"/>
  <c r="N631"/>
  <c r="L589"/>
  <c r="N589"/>
  <c r="L575"/>
  <c r="N575"/>
  <c r="L593"/>
  <c r="N593"/>
  <c r="L569"/>
  <c r="N569"/>
  <c r="L48"/>
  <c r="L96"/>
  <c r="N96"/>
  <c r="L44"/>
  <c r="N44"/>
  <c r="L134"/>
  <c r="L145"/>
  <c r="N275"/>
  <c r="L275"/>
  <c r="N269"/>
  <c r="L269"/>
  <c r="L46"/>
  <c r="N46"/>
  <c r="L218"/>
  <c r="N293"/>
  <c r="L293"/>
  <c r="L31"/>
  <c r="N31"/>
  <c r="N299"/>
  <c r="L299"/>
  <c r="J42" i="40"/>
  <c r="J45"/>
  <c r="C51"/>
  <c r="H51" s="1"/>
  <c r="G52" s="1"/>
  <c r="C38"/>
  <c r="H38" s="1"/>
  <c r="G39" s="1"/>
  <c r="H35"/>
  <c r="G36" s="1"/>
  <c r="M270" i="37"/>
  <c r="M7"/>
  <c r="R511" i="39"/>
  <c r="R513" s="1"/>
  <c r="K1165"/>
  <c r="K1167" s="1"/>
  <c r="I3716"/>
  <c r="K3716" s="1"/>
  <c r="D638" i="37"/>
  <c r="H638" s="1"/>
  <c r="H28"/>
  <c r="M28"/>
  <c r="K1874" i="39"/>
  <c r="D305" i="37" s="1"/>
  <c r="K2061" i="39"/>
  <c r="K2063" s="1"/>
  <c r="K730"/>
  <c r="K732" s="1"/>
  <c r="K801" s="1"/>
  <c r="AB1388"/>
  <c r="AD1388" s="1"/>
  <c r="AD1371"/>
  <c r="M2581"/>
  <c r="O2581" s="1"/>
  <c r="O2583" s="1"/>
  <c r="O2584" s="1"/>
  <c r="P2575"/>
  <c r="R2575" s="1"/>
  <c r="K2574"/>
  <c r="V1408"/>
  <c r="X1392"/>
  <c r="P1462"/>
  <c r="R1445"/>
  <c r="I777"/>
  <c r="K777" s="1"/>
  <c r="K768"/>
  <c r="K770" s="1"/>
  <c r="I2356" s="1"/>
  <c r="I1615"/>
  <c r="P1604"/>
  <c r="R1604" s="1"/>
  <c r="K1603"/>
  <c r="P1120"/>
  <c r="R1120" s="1"/>
  <c r="R1099"/>
  <c r="I786"/>
  <c r="K786" s="1"/>
  <c r="I764"/>
  <c r="K764" s="1"/>
  <c r="K130"/>
  <c r="D19" i="37" s="1"/>
  <c r="D18"/>
  <c r="D485"/>
  <c r="X134" i="39"/>
  <c r="Z27"/>
  <c r="AC26"/>
  <c r="P364" i="37"/>
  <c r="B364"/>
  <c r="F364" s="1"/>
  <c r="N364"/>
  <c r="W562" i="39"/>
  <c r="AC562" s="1"/>
  <c r="J561"/>
  <c r="G573" i="37"/>
  <c r="H1411" i="35"/>
  <c r="H1412" s="1"/>
  <c r="M629" i="37"/>
  <c r="P640"/>
  <c r="B640"/>
  <c r="P274"/>
  <c r="B274"/>
  <c r="AQ87" i="39"/>
  <c r="AS87" s="1"/>
  <c r="AQ132"/>
  <c r="AS132" s="1"/>
  <c r="AQ107"/>
  <c r="AS107" s="1"/>
  <c r="AQ63"/>
  <c r="AS63" s="1"/>
  <c r="AQ163"/>
  <c r="AS163" s="1"/>
  <c r="N370" i="37"/>
  <c r="B370"/>
  <c r="F370" s="1"/>
  <c r="P370"/>
  <c r="P219"/>
  <c r="B219"/>
  <c r="P271"/>
  <c r="B271"/>
  <c r="M27"/>
  <c r="P585"/>
  <c r="B585"/>
  <c r="P725"/>
  <c r="B725"/>
  <c r="P771"/>
  <c r="B771"/>
  <c r="B283"/>
  <c r="P283"/>
  <c r="P99"/>
  <c r="B99"/>
  <c r="P724"/>
  <c r="B724"/>
  <c r="N603"/>
  <c r="P603"/>
  <c r="B603"/>
  <c r="F603" s="1"/>
  <c r="P570"/>
  <c r="B570"/>
  <c r="P369"/>
  <c r="B369"/>
  <c r="M386"/>
  <c r="R3301" i="39"/>
  <c r="K3492"/>
  <c r="P3545"/>
  <c r="R3545" s="1"/>
  <c r="R3529"/>
  <c r="P3400"/>
  <c r="R3400" s="1"/>
  <c r="P3366"/>
  <c r="R3366" s="1"/>
  <c r="R3297"/>
  <c r="P3364"/>
  <c r="R3364" s="1"/>
  <c r="P3398"/>
  <c r="R3398" s="1"/>
  <c r="R3295"/>
  <c r="I3540"/>
  <c r="P3528"/>
  <c r="K3524"/>
  <c r="X3575"/>
  <c r="V3590"/>
  <c r="I2573"/>
  <c r="K2538"/>
  <c r="V3160"/>
  <c r="X3160" s="1"/>
  <c r="X3135"/>
  <c r="V3157"/>
  <c r="X3157" s="1"/>
  <c r="X3132"/>
  <c r="K2763"/>
  <c r="I2764"/>
  <c r="K2764" s="1"/>
  <c r="K2975"/>
  <c r="I3060"/>
  <c r="P2982"/>
  <c r="R2982" s="1"/>
  <c r="V1395"/>
  <c r="X1378"/>
  <c r="I3061"/>
  <c r="P2983"/>
  <c r="R2983" s="1"/>
  <c r="K2976"/>
  <c r="P1464"/>
  <c r="R1447"/>
  <c r="I1063"/>
  <c r="K1026"/>
  <c r="P1468"/>
  <c r="R1451"/>
  <c r="V1391"/>
  <c r="X1374"/>
  <c r="AB1408"/>
  <c r="X1410"/>
  <c r="P2980"/>
  <c r="R2980" s="1"/>
  <c r="K2973"/>
  <c r="I3058"/>
  <c r="AB1370"/>
  <c r="AD1353"/>
  <c r="V3251"/>
  <c r="X3251" s="1"/>
  <c r="K3283"/>
  <c r="I2977"/>
  <c r="I2823"/>
  <c r="K2841"/>
  <c r="K2843" s="1"/>
  <c r="K2845" s="1"/>
  <c r="AE1065"/>
  <c r="AG1065" s="1"/>
  <c r="K1056"/>
  <c r="P1067"/>
  <c r="R1067" s="1"/>
  <c r="P1049"/>
  <c r="R1049" s="1"/>
  <c r="P990"/>
  <c r="R990" s="1"/>
  <c r="P3397"/>
  <c r="R3397" s="1"/>
  <c r="R3294"/>
  <c r="I3660"/>
  <c r="R431"/>
  <c r="K1969"/>
  <c r="P1969"/>
  <c r="R1969" s="1"/>
  <c r="P1860"/>
  <c r="K1844"/>
  <c r="P1419"/>
  <c r="V1363"/>
  <c r="R1402"/>
  <c r="I2900"/>
  <c r="K2900" s="1"/>
  <c r="K506"/>
  <c r="V680"/>
  <c r="X680" s="1"/>
  <c r="X710"/>
  <c r="Z710" s="1"/>
  <c r="V1281"/>
  <c r="X1281" s="1"/>
  <c r="K1252"/>
  <c r="K1973"/>
  <c r="P1973"/>
  <c r="R1973" s="1"/>
  <c r="I687"/>
  <c r="K687" s="1"/>
  <c r="D199" i="37"/>
  <c r="I3459" i="39"/>
  <c r="J3045"/>
  <c r="K3045" s="1"/>
  <c r="K3046" s="1"/>
  <c r="D620" i="37" s="1"/>
  <c r="I2791" i="39"/>
  <c r="K2791" s="1"/>
  <c r="L2757" s="1"/>
  <c r="I2686"/>
  <c r="K2686" s="1"/>
  <c r="I2994"/>
  <c r="K2994" s="1"/>
  <c r="I2739"/>
  <c r="K2739" s="1"/>
  <c r="I2428"/>
  <c r="I2369"/>
  <c r="P2337"/>
  <c r="R2337" s="1"/>
  <c r="I2165"/>
  <c r="K2165" s="1"/>
  <c r="K2167" s="1"/>
  <c r="K2169" s="1"/>
  <c r="D334" i="37" s="1"/>
  <c r="I2031" i="39"/>
  <c r="I1810"/>
  <c r="K1810" s="1"/>
  <c r="I2713"/>
  <c r="I2399"/>
  <c r="I2322"/>
  <c r="K2322" s="1"/>
  <c r="I1974"/>
  <c r="I1944"/>
  <c r="I1828"/>
  <c r="K1828" s="1"/>
  <c r="I1507"/>
  <c r="I1492"/>
  <c r="K1492" s="1"/>
  <c r="I2178"/>
  <c r="K2178" s="1"/>
  <c r="K2180" s="1"/>
  <c r="K2182" s="1"/>
  <c r="K2184" s="1"/>
  <c r="D335" i="37" s="1"/>
  <c r="I2152" i="39"/>
  <c r="I2132"/>
  <c r="K2132" s="1"/>
  <c r="I2107"/>
  <c r="K2107" s="1"/>
  <c r="I1995"/>
  <c r="I1912"/>
  <c r="K1912" s="1"/>
  <c r="I2335"/>
  <c r="K2335" s="1"/>
  <c r="I2012"/>
  <c r="I1846"/>
  <c r="P1523"/>
  <c r="R1523" s="1"/>
  <c r="R1527" s="1"/>
  <c r="R1529" s="1"/>
  <c r="I1455"/>
  <c r="K1455" s="1"/>
  <c r="I1420"/>
  <c r="K1420" s="1"/>
  <c r="P1360"/>
  <c r="R1360" s="1"/>
  <c r="R1363" s="1"/>
  <c r="R1365" s="1"/>
  <c r="I1708"/>
  <c r="K1708" s="1"/>
  <c r="I1480"/>
  <c r="K1480" s="1"/>
  <c r="I1467"/>
  <c r="K1467" s="1"/>
  <c r="I1435"/>
  <c r="K1435" s="1"/>
  <c r="I1258"/>
  <c r="I1224"/>
  <c r="I900"/>
  <c r="K900" s="1"/>
  <c r="I763"/>
  <c r="K763" s="1"/>
  <c r="I2079"/>
  <c r="K2079" s="1"/>
  <c r="K2085" s="1"/>
  <c r="K2087" s="1"/>
  <c r="I1647"/>
  <c r="I1381"/>
  <c r="K1381" s="1"/>
  <c r="I1338"/>
  <c r="K1338" s="1"/>
  <c r="I1273"/>
  <c r="I785"/>
  <c r="K785" s="1"/>
  <c r="I1306"/>
  <c r="I1253"/>
  <c r="I1149"/>
  <c r="K1149" s="1"/>
  <c r="K1152" s="1"/>
  <c r="K1154" s="1"/>
  <c r="D913" i="37" s="1"/>
  <c r="N913" s="1"/>
  <c r="I811" i="39"/>
  <c r="I652"/>
  <c r="K652" s="1"/>
  <c r="I2055"/>
  <c r="K2055" s="1"/>
  <c r="I1359"/>
  <c r="K1359" s="1"/>
  <c r="I1324"/>
  <c r="K1324" s="1"/>
  <c r="I1228"/>
  <c r="K1228" s="1"/>
  <c r="P1146"/>
  <c r="V646"/>
  <c r="I622"/>
  <c r="K622" s="1"/>
  <c r="V530"/>
  <c r="I507"/>
  <c r="I414"/>
  <c r="K414" s="1"/>
  <c r="I1519"/>
  <c r="K1519" s="1"/>
  <c r="I1162"/>
  <c r="K1162" s="1"/>
  <c r="I884"/>
  <c r="I866"/>
  <c r="V711"/>
  <c r="I606"/>
  <c r="K606" s="1"/>
  <c r="I584"/>
  <c r="I552"/>
  <c r="K552" s="1"/>
  <c r="P551"/>
  <c r="R551" s="1"/>
  <c r="I528"/>
  <c r="K528" s="1"/>
  <c r="P891"/>
  <c r="R891" s="1"/>
  <c r="P523"/>
  <c r="R523" s="1"/>
  <c r="I315"/>
  <c r="I274"/>
  <c r="K274" s="1"/>
  <c r="I213"/>
  <c r="K213" s="1"/>
  <c r="P83"/>
  <c r="R83" s="1"/>
  <c r="I2349"/>
  <c r="I1202"/>
  <c r="K1202" s="1"/>
  <c r="P505"/>
  <c r="R505" s="1"/>
  <c r="I383"/>
  <c r="P378"/>
  <c r="R378" s="1"/>
  <c r="I359"/>
  <c r="P350"/>
  <c r="R350" s="1"/>
  <c r="P53"/>
  <c r="R53" s="1"/>
  <c r="I1407"/>
  <c r="K1407" s="1"/>
  <c r="I1394"/>
  <c r="K1394" s="1"/>
  <c r="I727"/>
  <c r="K727" s="1"/>
  <c r="I448"/>
  <c r="K448" s="1"/>
  <c r="P392"/>
  <c r="R392" s="1"/>
  <c r="I339"/>
  <c r="I300"/>
  <c r="K300" s="1"/>
  <c r="P298"/>
  <c r="R298" s="1"/>
  <c r="I228"/>
  <c r="I198"/>
  <c r="P338"/>
  <c r="R338" s="1"/>
  <c r="I490"/>
  <c r="K490" s="1"/>
  <c r="P364"/>
  <c r="R364" s="1"/>
  <c r="P309"/>
  <c r="R309" s="1"/>
  <c r="P286"/>
  <c r="R286" s="1"/>
  <c r="P68"/>
  <c r="R68" s="1"/>
  <c r="P321"/>
  <c r="R321" s="1"/>
  <c r="V479"/>
  <c r="K3341"/>
  <c r="K3346" s="1"/>
  <c r="K3348" s="1"/>
  <c r="D630" i="37" s="1"/>
  <c r="I3367" i="39"/>
  <c r="AB1334"/>
  <c r="AC1334" s="1"/>
  <c r="X1336"/>
  <c r="S2321"/>
  <c r="R2361"/>
  <c r="R2363" s="1"/>
  <c r="R2365" s="1"/>
  <c r="K358"/>
  <c r="V358"/>
  <c r="K102"/>
  <c r="K104"/>
  <c r="B868" i="37"/>
  <c r="F868" s="1"/>
  <c r="N868"/>
  <c r="X119" i="39"/>
  <c r="D484" i="37"/>
  <c r="P2153" i="39"/>
  <c r="R2153" s="1"/>
  <c r="K2146"/>
  <c r="V807"/>
  <c r="R1148"/>
  <c r="P1179" s="1"/>
  <c r="R1179" s="1"/>
  <c r="E12" i="38"/>
  <c r="Z9" i="39" s="1"/>
  <c r="E11" i="38"/>
  <c r="Z16" i="39" s="1"/>
  <c r="E10" i="38"/>
  <c r="Z11" i="39" s="1"/>
  <c r="E6" i="38"/>
  <c r="P2012" i="39"/>
  <c r="R2012" s="1"/>
  <c r="K2011"/>
  <c r="Z24"/>
  <c r="AC24" s="1"/>
  <c r="C86" s="1"/>
  <c r="AC25"/>
  <c r="C87" s="1"/>
  <c r="N12" i="37"/>
  <c r="H12"/>
  <c r="I3461" i="39"/>
  <c r="I2296"/>
  <c r="K2296" s="1"/>
  <c r="K2302" s="1"/>
  <c r="K2304" s="1"/>
  <c r="D369" i="37" s="1"/>
  <c r="H369" s="1"/>
  <c r="P1379" i="39"/>
  <c r="R1379" s="1"/>
  <c r="C67"/>
  <c r="N594" i="37"/>
  <c r="P594"/>
  <c r="B594"/>
  <c r="F594" s="1"/>
  <c r="G150" i="35"/>
  <c r="H149"/>
  <c r="AC1203" i="39"/>
  <c r="AJ1202"/>
  <c r="V413"/>
  <c r="X413" s="1"/>
  <c r="AE391"/>
  <c r="X382"/>
  <c r="M272" i="37"/>
  <c r="P49"/>
  <c r="B49"/>
  <c r="P596"/>
  <c r="B596"/>
  <c r="F596" s="1"/>
  <c r="N596"/>
  <c r="P428"/>
  <c r="B428"/>
  <c r="P504"/>
  <c r="B504"/>
  <c r="P296"/>
  <c r="B296"/>
  <c r="F296" s="1"/>
  <c r="N296"/>
  <c r="N236"/>
  <c r="P236"/>
  <c r="B236"/>
  <c r="F236" s="1"/>
  <c r="P545"/>
  <c r="B545"/>
  <c r="B380"/>
  <c r="F380" s="1"/>
  <c r="P380"/>
  <c r="N380"/>
  <c r="P304"/>
  <c r="B304"/>
  <c r="P275"/>
  <c r="B275"/>
  <c r="G206" i="35"/>
  <c r="H206" s="1"/>
  <c r="H205"/>
  <c r="H240" s="1"/>
  <c r="H241" s="1"/>
  <c r="G427" i="37" s="1"/>
  <c r="P606"/>
  <c r="B606"/>
  <c r="F606" s="1"/>
  <c r="N606"/>
  <c r="N351"/>
  <c r="P351"/>
  <c r="B351"/>
  <c r="F351" s="1"/>
  <c r="N250"/>
  <c r="P250"/>
  <c r="B250"/>
  <c r="F250" s="1"/>
  <c r="P134"/>
  <c r="B134"/>
  <c r="P592"/>
  <c r="B592"/>
  <c r="F592" s="1"/>
  <c r="N592"/>
  <c r="K2996" i="39"/>
  <c r="R487"/>
  <c r="R489" s="1"/>
  <c r="X3675"/>
  <c r="L2759"/>
  <c r="K2793" s="1"/>
  <c r="R893"/>
  <c r="R895" s="1"/>
  <c r="K2323"/>
  <c r="K2324" s="1"/>
  <c r="I2329" s="1"/>
  <c r="K2329" s="1"/>
  <c r="K2330" s="1"/>
  <c r="K2331" s="1"/>
  <c r="D800" i="37" s="1"/>
  <c r="F199"/>
  <c r="R154" i="39"/>
  <c r="D476" i="37" s="1"/>
  <c r="X3545" i="39"/>
  <c r="V3561"/>
  <c r="V3164"/>
  <c r="X3164" s="1"/>
  <c r="X3139"/>
  <c r="X3585"/>
  <c r="V3602"/>
  <c r="X3602" s="1"/>
  <c r="V895"/>
  <c r="X895" s="1"/>
  <c r="X879"/>
  <c r="I3987"/>
  <c r="I3781"/>
  <c r="AB1367"/>
  <c r="AD1350"/>
  <c r="K227"/>
  <c r="P233"/>
  <c r="R233" s="1"/>
  <c r="I3271"/>
  <c r="K3271" s="1"/>
  <c r="K3172"/>
  <c r="I3185"/>
  <c r="D961" i="37"/>
  <c r="N961" s="1"/>
  <c r="I3759" i="39"/>
  <c r="K3759" s="1"/>
  <c r="K3735"/>
  <c r="K3737" s="1"/>
  <c r="K3738" s="1"/>
  <c r="D829" i="37" s="1"/>
  <c r="X1335" i="39"/>
  <c r="AB1333"/>
  <c r="AC1333" s="1"/>
  <c r="B864" i="37"/>
  <c r="F864" s="1"/>
  <c r="N864"/>
  <c r="I3004" i="39"/>
  <c r="K3004" s="1"/>
  <c r="K3006" s="1"/>
  <c r="C141"/>
  <c r="I244"/>
  <c r="K244" s="1"/>
  <c r="C35"/>
  <c r="P140"/>
  <c r="R140" s="1"/>
  <c r="I3564"/>
  <c r="K3564" s="1"/>
  <c r="K1943"/>
  <c r="P1943"/>
  <c r="Q1943" s="1"/>
  <c r="P1117"/>
  <c r="R1117" s="1"/>
  <c r="R1096"/>
  <c r="AC32"/>
  <c r="C139" s="1"/>
  <c r="Z33"/>
  <c r="AC33" s="1"/>
  <c r="B857" i="37"/>
  <c r="F857" s="1"/>
  <c r="N857"/>
  <c r="J663" i="39"/>
  <c r="W487"/>
  <c r="AC487" s="1"/>
  <c r="P779" i="37"/>
  <c r="B779"/>
  <c r="N368"/>
  <c r="P368"/>
  <c r="B368"/>
  <c r="F368" s="1"/>
  <c r="P768"/>
  <c r="N768"/>
  <c r="B768"/>
  <c r="F768" s="1"/>
  <c r="P45"/>
  <c r="B45"/>
  <c r="P135"/>
  <c r="B135"/>
  <c r="B637"/>
  <c r="P637"/>
  <c r="P387"/>
  <c r="B387"/>
  <c r="H1591" i="35"/>
  <c r="H1592" s="1"/>
  <c r="G598" i="37" s="1"/>
  <c r="H895" i="35"/>
  <c r="G357" i="37" s="1"/>
  <c r="H898" i="35"/>
  <c r="H899" s="1"/>
  <c r="G360" i="37" s="1"/>
  <c r="I3392" i="39"/>
  <c r="K3323"/>
  <c r="P3396"/>
  <c r="R3396" s="1"/>
  <c r="R3362"/>
  <c r="R3299"/>
  <c r="P3402"/>
  <c r="R3402" s="1"/>
  <c r="P3368"/>
  <c r="R3368" s="1"/>
  <c r="P3401"/>
  <c r="R3401" s="1"/>
  <c r="R3298"/>
  <c r="P3367"/>
  <c r="R3367" s="1"/>
  <c r="P3370"/>
  <c r="R3335"/>
  <c r="I2607"/>
  <c r="K2572"/>
  <c r="P2573"/>
  <c r="R2573" s="1"/>
  <c r="P3403"/>
  <c r="P3369"/>
  <c r="R3369" s="1"/>
  <c r="R3300"/>
  <c r="I4071"/>
  <c r="K4071" s="1"/>
  <c r="V3138"/>
  <c r="X3121"/>
  <c r="L3191"/>
  <c r="H622" i="37"/>
  <c r="N622"/>
  <c r="F622"/>
  <c r="I4023" i="39"/>
  <c r="K4008"/>
  <c r="K3747"/>
  <c r="I3644"/>
  <c r="P1444"/>
  <c r="R1428"/>
  <c r="V898"/>
  <c r="X898" s="1"/>
  <c r="X882"/>
  <c r="R1426"/>
  <c r="P1442"/>
  <c r="R1095"/>
  <c r="P1116"/>
  <c r="R1116" s="1"/>
  <c r="AF688"/>
  <c r="AF690"/>
  <c r="AF687"/>
  <c r="I3181"/>
  <c r="K3181" s="1"/>
  <c r="K3168"/>
  <c r="P1497"/>
  <c r="R1466"/>
  <c r="R1441"/>
  <c r="P1458"/>
  <c r="V1387"/>
  <c r="X1370"/>
  <c r="AB1368"/>
  <c r="AD1351"/>
  <c r="P1415"/>
  <c r="V1359"/>
  <c r="R1398"/>
  <c r="R1404" s="1"/>
  <c r="D239" i="37" s="1"/>
  <c r="V3158" i="39"/>
  <c r="X3158" s="1"/>
  <c r="X3133"/>
  <c r="I3423"/>
  <c r="K3423" s="1"/>
  <c r="V2604"/>
  <c r="P2643"/>
  <c r="R2643" s="1"/>
  <c r="K2636"/>
  <c r="I707"/>
  <c r="K707" s="1"/>
  <c r="D205" i="37"/>
  <c r="I3059" i="39"/>
  <c r="P2981"/>
  <c r="R2981" s="1"/>
  <c r="K2974"/>
  <c r="V1412"/>
  <c r="X1396"/>
  <c r="K1575"/>
  <c r="I1588"/>
  <c r="K1588" s="1"/>
  <c r="K3149"/>
  <c r="P3156"/>
  <c r="R3156" s="1"/>
  <c r="AB1421"/>
  <c r="AD1421" s="1"/>
  <c r="AD1404"/>
  <c r="P1218"/>
  <c r="K1223"/>
  <c r="AQ3105"/>
  <c r="AS3105" s="1"/>
  <c r="AH3105"/>
  <c r="AH3109" s="1"/>
  <c r="K197"/>
  <c r="P165"/>
  <c r="R165" s="1"/>
  <c r="P197"/>
  <c r="X645"/>
  <c r="AD645"/>
  <c r="AF645" s="1"/>
  <c r="P1176"/>
  <c r="R1176" s="1"/>
  <c r="R1145"/>
  <c r="V1286"/>
  <c r="X1286" s="1"/>
  <c r="K1257"/>
  <c r="P2434"/>
  <c r="R2434" s="1"/>
  <c r="K2427"/>
  <c r="K3458"/>
  <c r="P3464"/>
  <c r="R3464" s="1"/>
  <c r="I3825"/>
  <c r="K3825" s="1"/>
  <c r="I3463"/>
  <c r="I2714"/>
  <c r="I3460"/>
  <c r="I2740"/>
  <c r="K2740" s="1"/>
  <c r="I2699"/>
  <c r="K2699" s="1"/>
  <c r="I2385"/>
  <c r="K2385" s="1"/>
  <c r="I2133"/>
  <c r="K2133" s="1"/>
  <c r="I2108"/>
  <c r="K2108" s="1"/>
  <c r="I2028"/>
  <c r="I1847"/>
  <c r="I1709"/>
  <c r="K1709" s="1"/>
  <c r="I1508"/>
  <c r="I2687"/>
  <c r="K2687" s="1"/>
  <c r="I2429"/>
  <c r="I1913"/>
  <c r="K1913" s="1"/>
  <c r="I1648"/>
  <c r="I2153"/>
  <c r="I1829"/>
  <c r="K1829" s="1"/>
  <c r="I1436"/>
  <c r="K1436" s="1"/>
  <c r="I1395"/>
  <c r="K1395" s="1"/>
  <c r="I1811"/>
  <c r="K1811" s="1"/>
  <c r="I1520"/>
  <c r="K1520" s="1"/>
  <c r="K1524" s="1"/>
  <c r="K1526" s="1"/>
  <c r="I1235"/>
  <c r="K1235" s="1"/>
  <c r="I2009"/>
  <c r="I1408"/>
  <c r="K1408" s="1"/>
  <c r="I1360"/>
  <c r="K1360" s="1"/>
  <c r="I1325"/>
  <c r="K1325" s="1"/>
  <c r="I1307"/>
  <c r="I1259"/>
  <c r="I1225"/>
  <c r="I812"/>
  <c r="I1229"/>
  <c r="K1229" s="1"/>
  <c r="I886"/>
  <c r="I868"/>
  <c r="P552"/>
  <c r="R552" s="1"/>
  <c r="P1524"/>
  <c r="R1524" s="1"/>
  <c r="I1421"/>
  <c r="K1421" s="1"/>
  <c r="P1147"/>
  <c r="I902"/>
  <c r="K902" s="1"/>
  <c r="P506"/>
  <c r="R506" s="1"/>
  <c r="I491"/>
  <c r="K491" s="1"/>
  <c r="I1493"/>
  <c r="K1493" s="1"/>
  <c r="K1496" s="1"/>
  <c r="K1498" s="1"/>
  <c r="D277" i="37" s="1"/>
  <c r="H277" s="1"/>
  <c r="I1382" i="39"/>
  <c r="K1382" s="1"/>
  <c r="I1339"/>
  <c r="K1339" s="1"/>
  <c r="I1203"/>
  <c r="K1203" s="1"/>
  <c r="V647"/>
  <c r="I508"/>
  <c r="I415"/>
  <c r="K415" s="1"/>
  <c r="V712"/>
  <c r="P366"/>
  <c r="R366" s="1"/>
  <c r="P351"/>
  <c r="R351" s="1"/>
  <c r="P339"/>
  <c r="R339" s="1"/>
  <c r="P322"/>
  <c r="R322" s="1"/>
  <c r="I316"/>
  <c r="I229"/>
  <c r="P54"/>
  <c r="R54" s="1"/>
  <c r="I1254"/>
  <c r="I449"/>
  <c r="K449" s="1"/>
  <c r="P379"/>
  <c r="R379" s="1"/>
  <c r="R382" s="1"/>
  <c r="R384" s="1"/>
  <c r="I301"/>
  <c r="K301" s="1"/>
  <c r="I275"/>
  <c r="K275" s="1"/>
  <c r="P69"/>
  <c r="R69" s="1"/>
  <c r="I384"/>
  <c r="P310"/>
  <c r="R310" s="1"/>
  <c r="I214"/>
  <c r="K214" s="1"/>
  <c r="P393"/>
  <c r="R393" s="1"/>
  <c r="R396" s="1"/>
  <c r="R398" s="1"/>
  <c r="I340"/>
  <c r="P84"/>
  <c r="R84" s="1"/>
  <c r="I360"/>
  <c r="P287"/>
  <c r="R287" s="1"/>
  <c r="P299"/>
  <c r="R299" s="1"/>
  <c r="P524"/>
  <c r="R524" s="1"/>
  <c r="I199"/>
  <c r="P3507"/>
  <c r="R3507" s="1"/>
  <c r="R3509" s="1"/>
  <c r="R3510" s="1"/>
  <c r="R3515"/>
  <c r="I3809"/>
  <c r="K3809" s="1"/>
  <c r="K3795"/>
  <c r="W405"/>
  <c r="W406" s="1"/>
  <c r="W404"/>
  <c r="B856" i="37"/>
  <c r="F856" s="1"/>
  <c r="N856"/>
  <c r="I2817" i="39"/>
  <c r="P3192"/>
  <c r="K954"/>
  <c r="P947"/>
  <c r="R947" s="1"/>
  <c r="I3661"/>
  <c r="R432"/>
  <c r="K1970"/>
  <c r="P1970"/>
  <c r="R1970" s="1"/>
  <c r="P2374"/>
  <c r="R2374" s="1"/>
  <c r="K2368"/>
  <c r="I1322"/>
  <c r="K1322" s="1"/>
  <c r="P23"/>
  <c r="P9"/>
  <c r="R9" s="1"/>
  <c r="N627" i="37"/>
  <c r="B627"/>
  <c r="F627" s="1"/>
  <c r="P627"/>
  <c r="N616"/>
  <c r="P616"/>
  <c r="B616"/>
  <c r="F616" s="1"/>
  <c r="V3555" i="39"/>
  <c r="R3527"/>
  <c r="K2008"/>
  <c r="P2009"/>
  <c r="R2009" s="1"/>
  <c r="K1972"/>
  <c r="P1972"/>
  <c r="R1972" s="1"/>
  <c r="K2030"/>
  <c r="P2030"/>
  <c r="R2030" s="1"/>
  <c r="K3121"/>
  <c r="K3123" s="1"/>
  <c r="P3121"/>
  <c r="R3121" s="1"/>
  <c r="R3123" s="1"/>
  <c r="P636" i="37"/>
  <c r="B636"/>
  <c r="H60" i="35"/>
  <c r="F60"/>
  <c r="P638" i="37"/>
  <c r="B638"/>
  <c r="F638" s="1"/>
  <c r="N638"/>
  <c r="N623"/>
  <c r="P623"/>
  <c r="B623"/>
  <c r="F623" s="1"/>
  <c r="K3748" i="39"/>
  <c r="I3808"/>
  <c r="K3808" s="1"/>
  <c r="B861" i="37"/>
  <c r="F861" s="1"/>
  <c r="N861"/>
  <c r="P292"/>
  <c r="B292"/>
  <c r="P643"/>
  <c r="B643"/>
  <c r="P613"/>
  <c r="B613"/>
  <c r="P534"/>
  <c r="B534"/>
  <c r="P377"/>
  <c r="B377"/>
  <c r="F377" s="1"/>
  <c r="N377"/>
  <c r="P298"/>
  <c r="B298"/>
  <c r="M277"/>
  <c r="P259"/>
  <c r="B259"/>
  <c r="M393"/>
  <c r="V311" i="39"/>
  <c r="X311" s="1"/>
  <c r="P79"/>
  <c r="R79" s="1"/>
  <c r="V355"/>
  <c r="X355" s="1"/>
  <c r="V335"/>
  <c r="X335" s="1"/>
  <c r="V379"/>
  <c r="P300" i="37"/>
  <c r="B300"/>
  <c r="P759"/>
  <c r="B759"/>
  <c r="N329"/>
  <c r="P329"/>
  <c r="B329"/>
  <c r="F329" s="1"/>
  <c r="B266"/>
  <c r="P266"/>
  <c r="P220"/>
  <c r="B220"/>
  <c r="M503"/>
  <c r="P586"/>
  <c r="B586"/>
  <c r="P276"/>
  <c r="B276"/>
  <c r="N591"/>
  <c r="P591"/>
  <c r="B591"/>
  <c r="F591" s="1"/>
  <c r="P295"/>
  <c r="N295"/>
  <c r="B295"/>
  <c r="F295" s="1"/>
  <c r="N602"/>
  <c r="P602"/>
  <c r="B602"/>
  <c r="F602" s="1"/>
  <c r="N595"/>
  <c r="P595"/>
  <c r="B595"/>
  <c r="F595" s="1"/>
  <c r="N590"/>
  <c r="P590"/>
  <c r="B590"/>
  <c r="F590" s="1"/>
  <c r="P505"/>
  <c r="B505"/>
  <c r="N281"/>
  <c r="B281"/>
  <c r="F281" s="1"/>
  <c r="P281"/>
  <c r="B252"/>
  <c r="P252"/>
  <c r="K2542" i="39"/>
  <c r="K2545" s="1"/>
  <c r="R2338"/>
  <c r="R2339" s="1"/>
  <c r="F18" i="37"/>
  <c r="R588" i="39"/>
  <c r="R590" s="1"/>
  <c r="K3725"/>
  <c r="I3717" s="1"/>
  <c r="K3717" s="1"/>
  <c r="K114"/>
  <c r="K116" s="1"/>
  <c r="V3541"/>
  <c r="AE3541"/>
  <c r="AG3541" s="1"/>
  <c r="K3541"/>
  <c r="L3207"/>
  <c r="K2682"/>
  <c r="I2683"/>
  <c r="K2683" s="1"/>
  <c r="V1389"/>
  <c r="X1372"/>
  <c r="R1430"/>
  <c r="P1446"/>
  <c r="AB1393"/>
  <c r="AD1393" s="1"/>
  <c r="AD1376"/>
  <c r="P2152"/>
  <c r="R2152" s="1"/>
  <c r="K2145"/>
  <c r="K314"/>
  <c r="V314"/>
  <c r="I1771"/>
  <c r="K1771" s="1"/>
  <c r="I1179"/>
  <c r="K1179" s="1"/>
  <c r="K1183" s="1"/>
  <c r="K1185" s="1"/>
  <c r="N624" i="37"/>
  <c r="P624"/>
  <c r="B624"/>
  <c r="F624" s="1"/>
  <c r="N294"/>
  <c r="P294"/>
  <c r="B294"/>
  <c r="F294" s="1"/>
  <c r="P3399" i="39"/>
  <c r="R3399" s="1"/>
  <c r="R3296"/>
  <c r="P3365"/>
  <c r="R3365" s="1"/>
  <c r="V3589"/>
  <c r="X3574"/>
  <c r="I3322"/>
  <c r="R3262"/>
  <c r="I4070"/>
  <c r="K4070" s="1"/>
  <c r="V3137"/>
  <c r="X3120"/>
  <c r="K3608"/>
  <c r="I3629"/>
  <c r="K3629" s="1"/>
  <c r="K3631" s="1"/>
  <c r="K3633" s="1"/>
  <c r="P2515"/>
  <c r="R2515" s="1"/>
  <c r="R2519" s="1"/>
  <c r="R2521" s="1"/>
  <c r="K2508"/>
  <c r="K2512" s="1"/>
  <c r="K2515" s="1"/>
  <c r="D877" i="37" s="1"/>
  <c r="D756" s="1"/>
  <c r="L3176" i="39"/>
  <c r="P2862"/>
  <c r="R2862" s="1"/>
  <c r="R2829"/>
  <c r="V1386"/>
  <c r="X1369"/>
  <c r="I4022"/>
  <c r="K4007"/>
  <c r="P1427"/>
  <c r="V1371"/>
  <c r="R1410"/>
  <c r="I3057"/>
  <c r="P2979"/>
  <c r="R2979" s="1"/>
  <c r="K2972"/>
  <c r="I3547"/>
  <c r="I3109"/>
  <c r="K3109" s="1"/>
  <c r="D282" i="37"/>
  <c r="H282" s="1"/>
  <c r="X881" i="39"/>
  <c r="V897"/>
  <c r="X897" s="1"/>
  <c r="I3490"/>
  <c r="K3490" s="1"/>
  <c r="D283" i="37"/>
  <c r="H283" s="1"/>
  <c r="H3875" i="39"/>
  <c r="J3875" s="1"/>
  <c r="J3854"/>
  <c r="I3104"/>
  <c r="K3104" s="1"/>
  <c r="P2673"/>
  <c r="K2666"/>
  <c r="K82"/>
  <c r="K86" s="1"/>
  <c r="K88" s="1"/>
  <c r="L82"/>
  <c r="I3169"/>
  <c r="K1506"/>
  <c r="V338"/>
  <c r="K338"/>
  <c r="K810"/>
  <c r="V804"/>
  <c r="P1994"/>
  <c r="R1994" s="1"/>
  <c r="K1994"/>
  <c r="I2336"/>
  <c r="K2336" s="1"/>
  <c r="K2337" s="1"/>
  <c r="K2338" s="1"/>
  <c r="I2342" s="1"/>
  <c r="K2342" s="1"/>
  <c r="K2151"/>
  <c r="P2158"/>
  <c r="R2158" s="1"/>
  <c r="P1321"/>
  <c r="R1321" s="1"/>
  <c r="R1324" s="1"/>
  <c r="R1326" s="1"/>
  <c r="R1302"/>
  <c r="AB1335"/>
  <c r="AC1335" s="1"/>
  <c r="X1337"/>
  <c r="AH3106"/>
  <c r="AQ3106"/>
  <c r="AS3106" s="1"/>
  <c r="B860" i="37"/>
  <c r="F860" s="1"/>
  <c r="N860"/>
  <c r="R1450" i="39"/>
  <c r="P1467"/>
  <c r="P1093"/>
  <c r="K1019"/>
  <c r="R141"/>
  <c r="P126"/>
  <c r="R126" s="1"/>
  <c r="X715"/>
  <c r="V685"/>
  <c r="X685" s="1"/>
  <c r="N293" i="37"/>
  <c r="P293"/>
  <c r="B293"/>
  <c r="F293" s="1"/>
  <c r="F61" i="35"/>
  <c r="H61" s="1"/>
  <c r="W594" i="39"/>
  <c r="R24"/>
  <c r="B869" i="37"/>
  <c r="F869" s="1"/>
  <c r="N869"/>
  <c r="P1633" i="39"/>
  <c r="R1633" s="1"/>
  <c r="R1637" s="1"/>
  <c r="K1631"/>
  <c r="K1635" s="1"/>
  <c r="K1638" s="1"/>
  <c r="P1993"/>
  <c r="R1993" s="1"/>
  <c r="K1993"/>
  <c r="K2027"/>
  <c r="P2027"/>
  <c r="R2027" s="1"/>
  <c r="G312" i="35"/>
  <c r="H311"/>
  <c r="B865" i="37"/>
  <c r="F865" s="1"/>
  <c r="N865"/>
  <c r="N632"/>
  <c r="B632"/>
  <c r="F632" s="1"/>
  <c r="P632"/>
  <c r="P580"/>
  <c r="B580"/>
  <c r="J539" i="39"/>
  <c r="W538"/>
  <c r="AC538" s="1"/>
  <c r="I3457"/>
  <c r="I2698"/>
  <c r="K2698" s="1"/>
  <c r="K2701" s="1"/>
  <c r="K2702" s="1"/>
  <c r="K2703" s="1"/>
  <c r="D615" i="37" s="1"/>
  <c r="I2026" i="39"/>
  <c r="I1911"/>
  <c r="K1911" s="1"/>
  <c r="I1845"/>
  <c r="I2150"/>
  <c r="I2007"/>
  <c r="I2738"/>
  <c r="K2738" s="1"/>
  <c r="I2384"/>
  <c r="I2130"/>
  <c r="K2130" s="1"/>
  <c r="K2134" s="1"/>
  <c r="I1945"/>
  <c r="I1646"/>
  <c r="I1466"/>
  <c r="K1466" s="1"/>
  <c r="I1479"/>
  <c r="K1479" s="1"/>
  <c r="I1419"/>
  <c r="K1419" s="1"/>
  <c r="I1251"/>
  <c r="I1222"/>
  <c r="I883"/>
  <c r="I1827"/>
  <c r="K1827" s="1"/>
  <c r="K1834" s="1"/>
  <c r="K1836" s="1"/>
  <c r="I1880" s="1"/>
  <c r="K1880" s="1"/>
  <c r="K1882" s="1"/>
  <c r="I1434"/>
  <c r="K1434" s="1"/>
  <c r="I1393"/>
  <c r="K1393" s="1"/>
  <c r="I1305"/>
  <c r="I1272"/>
  <c r="I865"/>
  <c r="I1357"/>
  <c r="K1357" s="1"/>
  <c r="I1201"/>
  <c r="K1201" s="1"/>
  <c r="I551"/>
  <c r="K551" s="1"/>
  <c r="P550"/>
  <c r="R550" s="1"/>
  <c r="R557" s="1"/>
  <c r="R559" s="1"/>
  <c r="I651"/>
  <c r="K651" s="1"/>
  <c r="I621"/>
  <c r="K621" s="1"/>
  <c r="P504"/>
  <c r="R504" s="1"/>
  <c r="V478"/>
  <c r="I1379"/>
  <c r="K1379" s="1"/>
  <c r="I1323"/>
  <c r="K1323" s="1"/>
  <c r="I605"/>
  <c r="K605" s="1"/>
  <c r="K610" s="1"/>
  <c r="I527"/>
  <c r="K527" s="1"/>
  <c r="I488"/>
  <c r="K488" s="1"/>
  <c r="I1809"/>
  <c r="K1809" s="1"/>
  <c r="K1816" s="1"/>
  <c r="K1818" s="1"/>
  <c r="I1872" s="1"/>
  <c r="K1872" s="1"/>
  <c r="I1454"/>
  <c r="K1454" s="1"/>
  <c r="I583"/>
  <c r="I427"/>
  <c r="K427" s="1"/>
  <c r="I337"/>
  <c r="P308"/>
  <c r="R308" s="1"/>
  <c r="I298"/>
  <c r="K298" s="1"/>
  <c r="P522"/>
  <c r="R522" s="1"/>
  <c r="R529" s="1"/>
  <c r="R531" s="1"/>
  <c r="I460"/>
  <c r="K460" s="1"/>
  <c r="I395"/>
  <c r="I381"/>
  <c r="I357"/>
  <c r="I313"/>
  <c r="P297"/>
  <c r="R297" s="1"/>
  <c r="I899"/>
  <c r="K899" s="1"/>
  <c r="V529"/>
  <c r="I446"/>
  <c r="K446" s="1"/>
  <c r="P365"/>
  <c r="R365" s="1"/>
  <c r="P337"/>
  <c r="R337" s="1"/>
  <c r="P268"/>
  <c r="R268" s="1"/>
  <c r="I412"/>
  <c r="K412" s="1"/>
  <c r="P363"/>
  <c r="R363" s="1"/>
  <c r="P81"/>
  <c r="R81" s="1"/>
  <c r="P349"/>
  <c r="R349" s="1"/>
  <c r="P320"/>
  <c r="R320" s="1"/>
  <c r="I1406"/>
  <c r="K1406" s="1"/>
  <c r="P181"/>
  <c r="R181" s="1"/>
  <c r="Z20"/>
  <c r="AC20" s="1"/>
  <c r="AC19"/>
  <c r="N587" i="37"/>
  <c r="P587"/>
  <c r="B587"/>
  <c r="F587" s="1"/>
  <c r="P576"/>
  <c r="B576"/>
  <c r="B751"/>
  <c r="P751"/>
  <c r="P514"/>
  <c r="B514"/>
  <c r="N251"/>
  <c r="P251"/>
  <c r="B251"/>
  <c r="F251" s="1"/>
  <c r="P98"/>
  <c r="B98"/>
  <c r="AE388" i="39"/>
  <c r="AE364"/>
  <c r="AG364" s="1"/>
  <c r="AE335"/>
  <c r="AG335" s="1"/>
  <c r="AE311"/>
  <c r="AG311" s="1"/>
  <c r="N544" i="37"/>
  <c r="P544"/>
  <c r="B544"/>
  <c r="F544" s="1"/>
  <c r="P394"/>
  <c r="B394"/>
  <c r="G282" i="35"/>
  <c r="H282" s="1"/>
  <c r="H281"/>
  <c r="H285" s="1"/>
  <c r="H286" s="1"/>
  <c r="G47" i="37" s="1"/>
  <c r="P568"/>
  <c r="B568"/>
  <c r="N282"/>
  <c r="P282"/>
  <c r="B282"/>
  <c r="F282" s="1"/>
  <c r="P146"/>
  <c r="B146"/>
  <c r="M425"/>
  <c r="H593"/>
  <c r="M593"/>
  <c r="P265"/>
  <c r="B265"/>
  <c r="P97"/>
  <c r="B97"/>
  <c r="P850"/>
  <c r="B850"/>
  <c r="F850" s="1"/>
  <c r="N850"/>
  <c r="P147"/>
  <c r="B147"/>
  <c r="P807"/>
  <c r="B807"/>
  <c r="R3518" i="39"/>
  <c r="R3519" s="1"/>
  <c r="I3506" s="1"/>
  <c r="K3506" s="1"/>
  <c r="K2471"/>
  <c r="K2473" s="1"/>
  <c r="K3799"/>
  <c r="I3789" s="1"/>
  <c r="X86"/>
  <c r="X88" s="1"/>
  <c r="R129"/>
  <c r="F12" i="37"/>
  <c r="N943" i="32"/>
  <c r="H331" i="34"/>
  <c r="H827"/>
  <c r="H576"/>
  <c r="H575"/>
  <c r="H698"/>
  <c r="H19" i="33"/>
  <c r="J19"/>
  <c r="N577" i="32"/>
  <c r="J577"/>
  <c r="P577"/>
  <c r="P1011"/>
  <c r="P1012" s="1"/>
  <c r="N1011"/>
  <c r="L579" i="31"/>
  <c r="N581"/>
  <c r="L578"/>
  <c r="M578"/>
  <c r="N578" s="1"/>
  <c r="L843"/>
  <c r="M843"/>
  <c r="N843" s="1"/>
  <c r="M46"/>
  <c r="N46" s="1"/>
  <c r="L46"/>
  <c r="M676"/>
  <c r="N676" s="1"/>
  <c r="L676"/>
  <c r="H1099"/>
  <c r="F1099"/>
  <c r="L1010"/>
  <c r="M1010"/>
  <c r="N1010" s="1"/>
  <c r="L1008"/>
  <c r="M1008"/>
  <c r="N1008" s="1"/>
  <c r="L989"/>
  <c r="M989"/>
  <c r="N989" s="1"/>
  <c r="L983"/>
  <c r="M983"/>
  <c r="N983" s="1"/>
  <c r="H581"/>
  <c r="F581"/>
  <c r="L6"/>
  <c r="M6"/>
  <c r="N6" s="1"/>
  <c r="M665"/>
  <c r="N665" s="1"/>
  <c r="M498"/>
  <c r="N498" s="1"/>
  <c r="M352"/>
  <c r="N352" s="1"/>
  <c r="L1009"/>
  <c r="M1009"/>
  <c r="N1009" s="1"/>
  <c r="L990"/>
  <c r="M990"/>
  <c r="N990" s="1"/>
  <c r="M931"/>
  <c r="N931" s="1"/>
  <c r="L931"/>
  <c r="L62"/>
  <c r="M62"/>
  <c r="N62" s="1"/>
  <c r="N1099"/>
  <c r="M617"/>
  <c r="N617" s="1"/>
  <c r="L987"/>
  <c r="M987"/>
  <c r="N987" s="1"/>
  <c r="M119"/>
  <c r="N119" s="1"/>
  <c r="L991"/>
  <c r="M991"/>
  <c r="N991" s="1"/>
  <c r="L1011"/>
  <c r="M1011"/>
  <c r="N1011" s="1"/>
  <c r="L992"/>
  <c r="M992"/>
  <c r="N992" s="1"/>
  <c r="L988"/>
  <c r="M988"/>
  <c r="N988" s="1"/>
  <c r="M934"/>
  <c r="N934" s="1"/>
  <c r="L934"/>
  <c r="M709"/>
  <c r="N709" s="1"/>
  <c r="L709"/>
  <c r="M703"/>
  <c r="N703" s="1"/>
  <c r="M550"/>
  <c r="N550" s="1"/>
  <c r="M549"/>
  <c r="N549" s="1"/>
  <c r="M346"/>
  <c r="N346" s="1"/>
  <c r="I163" i="26"/>
  <c r="I162"/>
  <c r="I161"/>
  <c r="I160"/>
  <c r="I159"/>
  <c r="I158"/>
  <c r="I157"/>
  <c r="I156"/>
  <c r="I155"/>
  <c r="I154"/>
  <c r="I152"/>
  <c r="I151"/>
  <c r="I150"/>
  <c r="I149"/>
  <c r="I148"/>
  <c r="I147"/>
  <c r="I35"/>
  <c r="M34"/>
  <c r="I34"/>
  <c r="M33"/>
  <c r="I33"/>
  <c r="P403" i="39" l="1"/>
  <c r="R403" s="1"/>
  <c r="P402"/>
  <c r="R402" s="1"/>
  <c r="D960" i="37"/>
  <c r="N960" s="1"/>
  <c r="D572"/>
  <c r="D280"/>
  <c r="M427"/>
  <c r="H335"/>
  <c r="N335"/>
  <c r="F335"/>
  <c r="H615"/>
  <c r="F615"/>
  <c r="N615"/>
  <c r="P413" i="39"/>
  <c r="R413" s="1"/>
  <c r="D958" i="37"/>
  <c r="H239"/>
  <c r="N239"/>
  <c r="F239"/>
  <c r="P2354" i="39"/>
  <c r="R2354" s="1"/>
  <c r="D767" i="37"/>
  <c r="D586"/>
  <c r="D321"/>
  <c r="H334"/>
  <c r="N334"/>
  <c r="F334"/>
  <c r="D525"/>
  <c r="D907"/>
  <c r="N907" s="1"/>
  <c r="D803"/>
  <c r="D304"/>
  <c r="P595" i="39"/>
  <c r="R595" s="1"/>
  <c r="P608"/>
  <c r="R608" s="1"/>
  <c r="K90"/>
  <c r="K89"/>
  <c r="D7" i="37"/>
  <c r="H7" s="1"/>
  <c r="H756"/>
  <c r="N756"/>
  <c r="F756"/>
  <c r="I225" i="39"/>
  <c r="K225" s="1"/>
  <c r="C82"/>
  <c r="I1321" s="1"/>
  <c r="K1321" s="1"/>
  <c r="K1328" s="1"/>
  <c r="K1330" s="1"/>
  <c r="C166"/>
  <c r="D30" i="37" s="1"/>
  <c r="X529" i="39"/>
  <c r="AB529"/>
  <c r="V553"/>
  <c r="X553" s="1"/>
  <c r="P1861"/>
  <c r="K1845"/>
  <c r="I3824"/>
  <c r="K3824" s="1"/>
  <c r="P3463"/>
  <c r="R3463" s="1"/>
  <c r="K3457"/>
  <c r="H312" i="35"/>
  <c r="G313"/>
  <c r="I3076" i="39"/>
  <c r="K3076" s="1"/>
  <c r="P3064"/>
  <c r="R3064" s="1"/>
  <c r="K3057"/>
  <c r="I3391"/>
  <c r="K3322"/>
  <c r="K118"/>
  <c r="K119" s="1"/>
  <c r="L116"/>
  <c r="P393" i="37"/>
  <c r="B393"/>
  <c r="R1147" i="39"/>
  <c r="P1178"/>
  <c r="R1178" s="1"/>
  <c r="P1863"/>
  <c r="K1847"/>
  <c r="I2720"/>
  <c r="K2720" s="1"/>
  <c r="K2714"/>
  <c r="AF3113"/>
  <c r="AF3114" s="1"/>
  <c r="AF3115" s="1"/>
  <c r="D806" i="37" s="1"/>
  <c r="AG3113" i="39"/>
  <c r="AG3114" s="1"/>
  <c r="AG3115" s="1"/>
  <c r="AH3113"/>
  <c r="AH3114" s="1"/>
  <c r="AH3115" s="1"/>
  <c r="D807" i="37" s="1"/>
  <c r="I708" i="39"/>
  <c r="K708" s="1"/>
  <c r="D206" i="37"/>
  <c r="H3852" i="39"/>
  <c r="K2607"/>
  <c r="H829" i="37"/>
  <c r="N829"/>
  <c r="I3828" i="39"/>
  <c r="K3828" s="1"/>
  <c r="K3461"/>
  <c r="P3467"/>
  <c r="R3467" s="1"/>
  <c r="V2781"/>
  <c r="I2242"/>
  <c r="K2242" s="1"/>
  <c r="K2252" s="1"/>
  <c r="P1046"/>
  <c r="P750"/>
  <c r="R750" s="1"/>
  <c r="R759" s="1"/>
  <c r="R761" s="1"/>
  <c r="P719"/>
  <c r="R719" s="1"/>
  <c r="R728" s="1"/>
  <c r="R730" s="1"/>
  <c r="P943"/>
  <c r="P734"/>
  <c r="R734" s="1"/>
  <c r="R743" s="1"/>
  <c r="R745" s="1"/>
  <c r="K383"/>
  <c r="V383"/>
  <c r="I3306"/>
  <c r="K3306" s="1"/>
  <c r="I3927"/>
  <c r="V866"/>
  <c r="X866" s="1"/>
  <c r="P859"/>
  <c r="R859" s="1"/>
  <c r="K866"/>
  <c r="X646"/>
  <c r="AD646"/>
  <c r="AF646" s="1"/>
  <c r="I1287"/>
  <c r="K1287" s="1"/>
  <c r="AB1266"/>
  <c r="AD1266" s="1"/>
  <c r="K1273"/>
  <c r="K1258"/>
  <c r="V1287"/>
  <c r="X1287" s="1"/>
  <c r="K2152"/>
  <c r="P2159"/>
  <c r="R2159" s="1"/>
  <c r="I2411"/>
  <c r="K2411" s="1"/>
  <c r="K2399"/>
  <c r="P1891"/>
  <c r="R1891" s="1"/>
  <c r="R1860"/>
  <c r="K3660"/>
  <c r="K3675" s="1"/>
  <c r="K3677" s="1"/>
  <c r="D771" i="37" s="1"/>
  <c r="I3681" i="39"/>
  <c r="K3681" s="1"/>
  <c r="X3590"/>
  <c r="V3607"/>
  <c r="P386" i="37"/>
  <c r="B386"/>
  <c r="Z28" i="39"/>
  <c r="AC28" s="1"/>
  <c r="AC27"/>
  <c r="I2358"/>
  <c r="I2354"/>
  <c r="I2360"/>
  <c r="D506" i="37" s="1"/>
  <c r="D504"/>
  <c r="C81" i="39"/>
  <c r="C165"/>
  <c r="D29" i="37" s="1"/>
  <c r="V313" i="39"/>
  <c r="K313"/>
  <c r="V337"/>
  <c r="K337"/>
  <c r="P1334"/>
  <c r="K1305"/>
  <c r="K883"/>
  <c r="V883"/>
  <c r="P2157"/>
  <c r="R2157" s="1"/>
  <c r="K2150"/>
  <c r="S1326"/>
  <c r="D629" i="37"/>
  <c r="H629" s="1"/>
  <c r="I3182" i="39"/>
  <c r="K3169"/>
  <c r="P1443"/>
  <c r="R1427"/>
  <c r="V1402"/>
  <c r="X1386"/>
  <c r="V1405"/>
  <c r="X1389"/>
  <c r="K2548"/>
  <c r="D751" i="37"/>
  <c r="V410" i="39"/>
  <c r="X410" s="1"/>
  <c r="X379"/>
  <c r="R3192"/>
  <c r="P3261"/>
  <c r="K340"/>
  <c r="V340"/>
  <c r="V384"/>
  <c r="K384"/>
  <c r="P235"/>
  <c r="R235" s="1"/>
  <c r="K229"/>
  <c r="I2902"/>
  <c r="K2902" s="1"/>
  <c r="K508"/>
  <c r="V806"/>
  <c r="K812"/>
  <c r="P3466"/>
  <c r="R3466" s="1"/>
  <c r="K3460"/>
  <c r="I3827"/>
  <c r="K3827" s="1"/>
  <c r="I3465"/>
  <c r="P1223"/>
  <c r="R1218"/>
  <c r="T1218" s="1"/>
  <c r="P1260"/>
  <c r="X1412"/>
  <c r="AB1410"/>
  <c r="N205" i="37"/>
  <c r="F205"/>
  <c r="H205"/>
  <c r="Z2602" i="39"/>
  <c r="AE2652"/>
  <c r="AG2652" s="1"/>
  <c r="AE2618"/>
  <c r="AG2618" s="1"/>
  <c r="X2604"/>
  <c r="AB1385"/>
  <c r="AD1385" s="1"/>
  <c r="AD1368"/>
  <c r="P3468"/>
  <c r="R3468" s="1"/>
  <c r="K3644"/>
  <c r="H598" i="37"/>
  <c r="M598"/>
  <c r="K3185" i="39"/>
  <c r="I3368"/>
  <c r="I4018"/>
  <c r="I4006"/>
  <c r="K4006" s="1"/>
  <c r="K3987"/>
  <c r="I3988"/>
  <c r="N800" i="37"/>
  <c r="H800"/>
  <c r="F800"/>
  <c r="AC1204" i="39"/>
  <c r="AJ1203"/>
  <c r="V2783"/>
  <c r="X2783" s="1"/>
  <c r="I2243"/>
  <c r="K2243" s="1"/>
  <c r="P945"/>
  <c r="R945" s="1"/>
  <c r="H484" i="37"/>
  <c r="F484"/>
  <c r="N484"/>
  <c r="K105" i="39"/>
  <c r="D16" i="37" s="1"/>
  <c r="D15"/>
  <c r="P234" i="39"/>
  <c r="R234" s="1"/>
  <c r="K228"/>
  <c r="I3578"/>
  <c r="K2349"/>
  <c r="K2351" s="1"/>
  <c r="K2352" s="1"/>
  <c r="K315"/>
  <c r="V315"/>
  <c r="V681"/>
  <c r="X681" s="1"/>
  <c r="X711"/>
  <c r="Z711" s="1"/>
  <c r="K811"/>
  <c r="V805"/>
  <c r="I3642"/>
  <c r="K3642" s="1"/>
  <c r="K1647"/>
  <c r="K1224"/>
  <c r="P1219"/>
  <c r="I3170"/>
  <c r="K1507"/>
  <c r="K2031"/>
  <c r="P2031"/>
  <c r="R2031" s="1"/>
  <c r="P2435"/>
  <c r="R2435" s="1"/>
  <c r="K2428"/>
  <c r="I688"/>
  <c r="K688" s="1"/>
  <c r="D200" i="37"/>
  <c r="I3077" i="39"/>
  <c r="K3077" s="1"/>
  <c r="P3065"/>
  <c r="R3065" s="1"/>
  <c r="K3058"/>
  <c r="AD1408"/>
  <c r="AB1425"/>
  <c r="AD1425" s="1"/>
  <c r="P1499"/>
  <c r="R1468"/>
  <c r="P1495"/>
  <c r="R1464"/>
  <c r="V1425"/>
  <c r="X1425" s="1"/>
  <c r="I2608"/>
  <c r="K2573"/>
  <c r="P2574"/>
  <c r="R2574" s="1"/>
  <c r="R2578" s="1"/>
  <c r="R2580" s="1"/>
  <c r="D878" i="37" s="1"/>
  <c r="P3544" i="39"/>
  <c r="R3544" s="1"/>
  <c r="R3528"/>
  <c r="AU163"/>
  <c r="AV163" s="1"/>
  <c r="N629" i="37"/>
  <c r="P629"/>
  <c r="B629"/>
  <c r="F629" s="1"/>
  <c r="I3318" i="39"/>
  <c r="K3318" s="1"/>
  <c r="P3188"/>
  <c r="I2813"/>
  <c r="I3146"/>
  <c r="I2662"/>
  <c r="I2633"/>
  <c r="C88"/>
  <c r="H18" i="37"/>
  <c r="N18"/>
  <c r="P1616" i="39"/>
  <c r="R1616" s="1"/>
  <c r="K1615"/>
  <c r="P1493"/>
  <c r="R1462"/>
  <c r="P1476"/>
  <c r="D585" i="37"/>
  <c r="D320"/>
  <c r="R2986" i="39"/>
  <c r="R2988" s="1"/>
  <c r="D908" i="37" s="1"/>
  <c r="N908" s="1"/>
  <c r="F586"/>
  <c r="K2577" i="39"/>
  <c r="K2580" s="1"/>
  <c r="K2583" s="1"/>
  <c r="R144"/>
  <c r="D478" i="37" s="1"/>
  <c r="R444" i="39"/>
  <c r="R446" s="1"/>
  <c r="N369" i="37"/>
  <c r="K3718" i="39"/>
  <c r="K3719" s="1"/>
  <c r="AE424"/>
  <c r="AG424" s="1"/>
  <c r="AG388"/>
  <c r="K357"/>
  <c r="V357"/>
  <c r="I2398"/>
  <c r="K2384"/>
  <c r="D235" i="37"/>
  <c r="D545"/>
  <c r="P1463" i="39"/>
  <c r="R1446"/>
  <c r="K3661"/>
  <c r="I3682"/>
  <c r="K3682" s="1"/>
  <c r="P2824"/>
  <c r="K2817"/>
  <c r="V2785"/>
  <c r="X2785" s="1"/>
  <c r="AE2789"/>
  <c r="AG2789" s="1"/>
  <c r="K316"/>
  <c r="V316"/>
  <c r="AD647"/>
  <c r="AF647" s="1"/>
  <c r="X647"/>
  <c r="I3929"/>
  <c r="I3308"/>
  <c r="K3308" s="1"/>
  <c r="K868"/>
  <c r="V868"/>
  <c r="X868" s="1"/>
  <c r="P861"/>
  <c r="R861" s="1"/>
  <c r="H476" i="37"/>
  <c r="F476"/>
  <c r="N476"/>
  <c r="Z44" i="39"/>
  <c r="AC44" s="1"/>
  <c r="AB1331" s="1"/>
  <c r="AC1331" s="1"/>
  <c r="Z37"/>
  <c r="AC37" s="1"/>
  <c r="I242" s="1"/>
  <c r="K242" s="1"/>
  <c r="K247" s="1"/>
  <c r="K249" s="1"/>
  <c r="D36" i="37" s="1"/>
  <c r="AC11" i="39"/>
  <c r="Z36"/>
  <c r="AC36" s="1"/>
  <c r="I243" s="1"/>
  <c r="K243" s="1"/>
  <c r="Z35"/>
  <c r="AC35" s="1"/>
  <c r="I254" s="1"/>
  <c r="K254" s="1"/>
  <c r="Z12"/>
  <c r="X807"/>
  <c r="V822"/>
  <c r="X822" s="1"/>
  <c r="I3354"/>
  <c r="K3354" s="1"/>
  <c r="K3367"/>
  <c r="H620" i="37"/>
  <c r="F620"/>
  <c r="N620"/>
  <c r="X1395" i="39"/>
  <c r="V1411"/>
  <c r="AE3540"/>
  <c r="AG3540" s="1"/>
  <c r="K3540"/>
  <c r="V3540"/>
  <c r="H19" i="37"/>
  <c r="N19"/>
  <c r="N305"/>
  <c r="F305"/>
  <c r="H305"/>
  <c r="N28"/>
  <c r="B28"/>
  <c r="F28" s="1"/>
  <c r="P28"/>
  <c r="P270"/>
  <c r="B270"/>
  <c r="X89" i="39"/>
  <c r="X90"/>
  <c r="X91" s="1"/>
  <c r="D483" i="37"/>
  <c r="P425"/>
  <c r="B425"/>
  <c r="K395" i="39"/>
  <c r="V395"/>
  <c r="K612"/>
  <c r="I612"/>
  <c r="I1286"/>
  <c r="K1286" s="1"/>
  <c r="AB1265"/>
  <c r="AD1265" s="1"/>
  <c r="K1272"/>
  <c r="I3566"/>
  <c r="K3566" s="1"/>
  <c r="P1945"/>
  <c r="Q1945" s="1"/>
  <c r="K1945"/>
  <c r="P2008"/>
  <c r="R2008" s="1"/>
  <c r="R2018" s="1"/>
  <c r="D781" i="37" s="1"/>
  <c r="K2007" i="39"/>
  <c r="K2026"/>
  <c r="K2034" s="1"/>
  <c r="D318" i="37" s="1"/>
  <c r="P2026" i="39"/>
  <c r="R2026" s="1"/>
  <c r="J540"/>
  <c r="W539"/>
  <c r="AC539" s="1"/>
  <c r="R1640"/>
  <c r="D799" i="37" s="1"/>
  <c r="T1640" i="39"/>
  <c r="P1498"/>
  <c r="R1467"/>
  <c r="V819"/>
  <c r="X819" s="1"/>
  <c r="X804"/>
  <c r="V1388"/>
  <c r="X1371"/>
  <c r="X3589"/>
  <c r="V3606"/>
  <c r="X314"/>
  <c r="AQ66"/>
  <c r="AE314"/>
  <c r="AG314" s="1"/>
  <c r="V3557"/>
  <c r="X3541"/>
  <c r="P503" i="37"/>
  <c r="B503"/>
  <c r="N277"/>
  <c r="B277"/>
  <c r="F277" s="1"/>
  <c r="P277"/>
  <c r="K1307" i="39"/>
  <c r="P1305"/>
  <c r="K2009"/>
  <c r="P2010"/>
  <c r="R2010" s="1"/>
  <c r="I3643"/>
  <c r="K3643" s="1"/>
  <c r="K1648"/>
  <c r="K1508"/>
  <c r="I3171"/>
  <c r="I3078"/>
  <c r="K3078" s="1"/>
  <c r="K3059"/>
  <c r="P3066"/>
  <c r="R3066" s="1"/>
  <c r="P1475"/>
  <c r="R1458"/>
  <c r="P1489"/>
  <c r="V1419"/>
  <c r="X1419" s="1"/>
  <c r="R1444"/>
  <c r="P1461"/>
  <c r="K4023"/>
  <c r="I4034"/>
  <c r="K4034" s="1"/>
  <c r="R3370"/>
  <c r="P3404"/>
  <c r="H357" i="37"/>
  <c r="M357"/>
  <c r="V3653" i="39"/>
  <c r="K3781"/>
  <c r="K3791" s="1"/>
  <c r="K3792" s="1"/>
  <c r="D830" i="37" s="1"/>
  <c r="V3577" i="39"/>
  <c r="X3561"/>
  <c r="V3659"/>
  <c r="V3707"/>
  <c r="AC9"/>
  <c r="C68" s="1"/>
  <c r="I295" s="1"/>
  <c r="K295" s="1"/>
  <c r="Z10"/>
  <c r="AC10" s="1"/>
  <c r="C69" s="1"/>
  <c r="I296" s="1"/>
  <c r="K296" s="1"/>
  <c r="X479"/>
  <c r="AB479"/>
  <c r="AD479" s="1"/>
  <c r="P198"/>
  <c r="K198"/>
  <c r="P166"/>
  <c r="R166" s="1"/>
  <c r="V339"/>
  <c r="K339"/>
  <c r="K359"/>
  <c r="V359"/>
  <c r="V554"/>
  <c r="X554" s="1"/>
  <c r="X530"/>
  <c r="AB530"/>
  <c r="K1306"/>
  <c r="P1335"/>
  <c r="P1304"/>
  <c r="R1304" s="1"/>
  <c r="K2012"/>
  <c r="P2013"/>
  <c r="R2013" s="1"/>
  <c r="K1974"/>
  <c r="P1974"/>
  <c r="R1974" s="1"/>
  <c r="P2375"/>
  <c r="R2375" s="1"/>
  <c r="K2369"/>
  <c r="K2372" s="1"/>
  <c r="K2374" s="1"/>
  <c r="H199" i="37"/>
  <c r="N199"/>
  <c r="R1419" i="39"/>
  <c r="R1421" s="1"/>
  <c r="D241" i="37" s="1"/>
  <c r="P1436" i="39"/>
  <c r="V1380"/>
  <c r="K2977"/>
  <c r="K2979" s="1"/>
  <c r="K2981" s="1"/>
  <c r="I3062"/>
  <c r="P2984"/>
  <c r="R2984" s="1"/>
  <c r="AB1387"/>
  <c r="AD1387" s="1"/>
  <c r="AD1370"/>
  <c r="I3080"/>
  <c r="K3080" s="1"/>
  <c r="K3061"/>
  <c r="P3068"/>
  <c r="R3068" s="1"/>
  <c r="P3067"/>
  <c r="R3067" s="1"/>
  <c r="K3060"/>
  <c r="I3079"/>
  <c r="K3079" s="1"/>
  <c r="AU132"/>
  <c r="AV132" s="1"/>
  <c r="W563"/>
  <c r="AC563" s="1"/>
  <c r="J562"/>
  <c r="H485" i="37"/>
  <c r="F485"/>
  <c r="N485"/>
  <c r="H74" i="35"/>
  <c r="H75" s="1"/>
  <c r="R2379" i="39"/>
  <c r="R2381" s="1"/>
  <c r="Q1947"/>
  <c r="F545" i="37"/>
  <c r="F807"/>
  <c r="F304"/>
  <c r="N283"/>
  <c r="F585"/>
  <c r="N593"/>
  <c r="P593"/>
  <c r="B593"/>
  <c r="F593" s="1"/>
  <c r="K1222" i="39"/>
  <c r="P1217"/>
  <c r="T3123"/>
  <c r="R3124"/>
  <c r="D636" i="37"/>
  <c r="P1220" i="39"/>
  <c r="K1225"/>
  <c r="P2436"/>
  <c r="R2436" s="1"/>
  <c r="K2429"/>
  <c r="I3994"/>
  <c r="AB1357"/>
  <c r="X1359"/>
  <c r="C140"/>
  <c r="C138"/>
  <c r="I1752"/>
  <c r="K1752" s="1"/>
  <c r="I184"/>
  <c r="K184" s="1"/>
  <c r="K189" s="1"/>
  <c r="D31" i="37" s="1"/>
  <c r="I154" i="39"/>
  <c r="K154" s="1"/>
  <c r="AG391"/>
  <c r="AE427"/>
  <c r="AG427" s="1"/>
  <c r="I3491"/>
  <c r="K3491" s="1"/>
  <c r="I2872"/>
  <c r="K2872" s="1"/>
  <c r="I2671"/>
  <c r="I1136"/>
  <c r="D914" i="37"/>
  <c r="N914" s="1"/>
  <c r="M47"/>
  <c r="K381" i="39"/>
  <c r="V381"/>
  <c r="K583"/>
  <c r="V583"/>
  <c r="X583" s="1"/>
  <c r="X587" s="1"/>
  <c r="X589" s="1"/>
  <c r="X590" s="1"/>
  <c r="X478"/>
  <c r="AB478"/>
  <c r="AD478" s="1"/>
  <c r="I3305"/>
  <c r="K3305" s="1"/>
  <c r="I3926"/>
  <c r="P858"/>
  <c r="R858" s="1"/>
  <c r="V865"/>
  <c r="X865" s="1"/>
  <c r="K865"/>
  <c r="V1280"/>
  <c r="X1280" s="1"/>
  <c r="K1251"/>
  <c r="I3641"/>
  <c r="K3641" s="1"/>
  <c r="K1646"/>
  <c r="D290" i="37"/>
  <c r="D576"/>
  <c r="R1093" i="39"/>
  <c r="P1114"/>
  <c r="R1114" s="1"/>
  <c r="X338"/>
  <c r="AE338"/>
  <c r="AG338" s="1"/>
  <c r="V3547"/>
  <c r="V3563" s="1"/>
  <c r="AE3547"/>
  <c r="K4022"/>
  <c r="I4035"/>
  <c r="K4035" s="1"/>
  <c r="V3162"/>
  <c r="X3162" s="1"/>
  <c r="X3137"/>
  <c r="V3571"/>
  <c r="X3555"/>
  <c r="W593"/>
  <c r="W592"/>
  <c r="W591"/>
  <c r="R23"/>
  <c r="K199"/>
  <c r="P199"/>
  <c r="P167"/>
  <c r="R167" s="1"/>
  <c r="K360"/>
  <c r="V360"/>
  <c r="K1254"/>
  <c r="V1283"/>
  <c r="X1283" s="1"/>
  <c r="X712"/>
  <c r="Z712" s="1"/>
  <c r="V682"/>
  <c r="X682" s="1"/>
  <c r="K886"/>
  <c r="V886"/>
  <c r="V1288"/>
  <c r="X1288" s="1"/>
  <c r="K1259"/>
  <c r="P2160"/>
  <c r="R2160" s="1"/>
  <c r="K2153"/>
  <c r="K2028"/>
  <c r="P2028"/>
  <c r="R2028" s="1"/>
  <c r="I3830"/>
  <c r="K3830" s="1"/>
  <c r="K3463"/>
  <c r="P3469"/>
  <c r="R3469" s="1"/>
  <c r="R197"/>
  <c r="V197"/>
  <c r="X197" s="1"/>
  <c r="P1432"/>
  <c r="V1376"/>
  <c r="R1415"/>
  <c r="V1403"/>
  <c r="X1387"/>
  <c r="R1497"/>
  <c r="V1458"/>
  <c r="P1459"/>
  <c r="R1442"/>
  <c r="X3138"/>
  <c r="V3163"/>
  <c r="X3163" s="1"/>
  <c r="I3530"/>
  <c r="R3403"/>
  <c r="M360" i="37"/>
  <c r="H360"/>
  <c r="W488" i="39"/>
  <c r="AC488" s="1"/>
  <c r="J664"/>
  <c r="I1601"/>
  <c r="I1573"/>
  <c r="K1573" s="1"/>
  <c r="K1580" s="1"/>
  <c r="K1582" s="1"/>
  <c r="K3760"/>
  <c r="K3772" s="1"/>
  <c r="K3774" s="1"/>
  <c r="AB1384"/>
  <c r="AD1384" s="1"/>
  <c r="AD1367"/>
  <c r="P272" i="37"/>
  <c r="B272"/>
  <c r="H150" i="35"/>
  <c r="G151"/>
  <c r="I2127" i="39"/>
  <c r="K2127" s="1"/>
  <c r="I1645"/>
  <c r="I1589"/>
  <c r="K1589" s="1"/>
  <c r="I2425"/>
  <c r="I2147"/>
  <c r="I1576"/>
  <c r="K1576" s="1"/>
  <c r="I808"/>
  <c r="I1284"/>
  <c r="K1284" s="1"/>
  <c r="I1226"/>
  <c r="I1304"/>
  <c r="K1304" s="1"/>
  <c r="I1255"/>
  <c r="I35"/>
  <c r="K35" s="1"/>
  <c r="I504"/>
  <c r="I271"/>
  <c r="K271" s="1"/>
  <c r="I44"/>
  <c r="K44" s="1"/>
  <c r="I27"/>
  <c r="K27" s="1"/>
  <c r="I1561"/>
  <c r="K1561" s="1"/>
  <c r="K1567" s="1"/>
  <c r="D383" i="37" s="1"/>
  <c r="I53" i="39"/>
  <c r="K53" s="1"/>
  <c r="I9"/>
  <c r="I72"/>
  <c r="K72" s="1"/>
  <c r="I63"/>
  <c r="K63" s="1"/>
  <c r="I18"/>
  <c r="K18" s="1"/>
  <c r="Z17"/>
  <c r="AC17" s="1"/>
  <c r="AC16"/>
  <c r="AE367"/>
  <c r="AG367" s="1"/>
  <c r="X358"/>
  <c r="V584"/>
  <c r="X584" s="1"/>
  <c r="K584"/>
  <c r="V884"/>
  <c r="K884"/>
  <c r="I2901"/>
  <c r="K2901" s="1"/>
  <c r="K507"/>
  <c r="P1177"/>
  <c r="R1177" s="1"/>
  <c r="R1146"/>
  <c r="K1253"/>
  <c r="V1282"/>
  <c r="X1282" s="1"/>
  <c r="K1846"/>
  <c r="K1852" s="1"/>
  <c r="K1854" s="1"/>
  <c r="I1888" s="1"/>
  <c r="P1862"/>
  <c r="P1995"/>
  <c r="R1995" s="1"/>
  <c r="K1995"/>
  <c r="I3565"/>
  <c r="K3565" s="1"/>
  <c r="K3569" s="1"/>
  <c r="D580" i="37" s="1"/>
  <c r="P1944" i="39"/>
  <c r="Q1944" s="1"/>
  <c r="K1944"/>
  <c r="K1948" s="1"/>
  <c r="D307" i="37" s="1"/>
  <c r="K2713" i="39"/>
  <c r="I2719"/>
  <c r="K2719" s="1"/>
  <c r="K2723" s="1"/>
  <c r="K2725" s="1"/>
  <c r="I3826"/>
  <c r="K3826" s="1"/>
  <c r="P3465"/>
  <c r="R3465" s="1"/>
  <c r="K3459"/>
  <c r="I3464"/>
  <c r="AB1361"/>
  <c r="X1363"/>
  <c r="I3488"/>
  <c r="K3488" s="1"/>
  <c r="AE2795"/>
  <c r="AG2795" s="1"/>
  <c r="K2823"/>
  <c r="P2830"/>
  <c r="I2642"/>
  <c r="V2791"/>
  <c r="X2791" s="1"/>
  <c r="V1407"/>
  <c r="X1391"/>
  <c r="AE1072"/>
  <c r="AG1072" s="1"/>
  <c r="P997"/>
  <c r="R997" s="1"/>
  <c r="I1078"/>
  <c r="K1063"/>
  <c r="P27" i="37"/>
  <c r="B27"/>
  <c r="AU107" i="39"/>
  <c r="AV107"/>
  <c r="G630" i="37"/>
  <c r="M573"/>
  <c r="AB1406" i="39"/>
  <c r="X1408"/>
  <c r="P7" i="37"/>
  <c r="B7"/>
  <c r="F7" s="1"/>
  <c r="N7"/>
  <c r="F576"/>
  <c r="K2745" i="39"/>
  <c r="K2747" s="1"/>
  <c r="I2765" s="1"/>
  <c r="K2765" s="1"/>
  <c r="K1915"/>
  <c r="K1917" s="1"/>
  <c r="I1924" s="1"/>
  <c r="K1924" s="1"/>
  <c r="K1927" s="1"/>
  <c r="D306" i="37" s="1"/>
  <c r="K2689" i="39"/>
  <c r="K2690" s="1"/>
  <c r="D621" i="37" s="1"/>
  <c r="F829"/>
  <c r="F636"/>
  <c r="AS3109" i="39"/>
  <c r="F19" i="37"/>
  <c r="F504"/>
  <c r="K2767" i="39"/>
  <c r="F369" i="37"/>
  <c r="F283"/>
  <c r="K792" i="39"/>
  <c r="K794" s="1"/>
  <c r="N1012" i="31"/>
  <c r="L1012"/>
  <c r="L1014" s="1"/>
  <c r="I36" i="26"/>
  <c r="I118" i="28"/>
  <c r="I117"/>
  <c r="I120" s="1"/>
  <c r="I112"/>
  <c r="I111"/>
  <c r="I79"/>
  <c r="I78"/>
  <c r="I77"/>
  <c r="I76"/>
  <c r="I75"/>
  <c r="E69"/>
  <c r="E70" s="1"/>
  <c r="I70" s="1"/>
  <c r="I72"/>
  <c r="I71"/>
  <c r="I66"/>
  <c r="K35"/>
  <c r="I35" s="1"/>
  <c r="I34"/>
  <c r="I33"/>
  <c r="I44"/>
  <c r="E46"/>
  <c r="I46" s="1"/>
  <c r="I45"/>
  <c r="I43"/>
  <c r="I105"/>
  <c r="I104"/>
  <c r="H580" i="37" l="1"/>
  <c r="N580"/>
  <c r="F580"/>
  <c r="I1897" i="39"/>
  <c r="K1897" s="1"/>
  <c r="K1899" s="1"/>
  <c r="K1888"/>
  <c r="K1890" s="1"/>
  <c r="H307" i="37"/>
  <c r="F307"/>
  <c r="N307"/>
  <c r="D906"/>
  <c r="N906" s="1"/>
  <c r="D526"/>
  <c r="N878"/>
  <c r="D757"/>
  <c r="H241"/>
  <c r="N241"/>
  <c r="F241"/>
  <c r="AD1406" i="39"/>
  <c r="AB1423"/>
  <c r="AD1423" s="1"/>
  <c r="K3464"/>
  <c r="I3831"/>
  <c r="K3831" s="1"/>
  <c r="P3470"/>
  <c r="R3470" s="1"/>
  <c r="X884"/>
  <c r="V900"/>
  <c r="X900" s="1"/>
  <c r="P1448"/>
  <c r="R1432"/>
  <c r="V902"/>
  <c r="X902" s="1"/>
  <c r="X886"/>
  <c r="H290" i="37"/>
  <c r="N290"/>
  <c r="F290"/>
  <c r="I3944" i="39"/>
  <c r="K3926"/>
  <c r="P47" i="37"/>
  <c r="B47"/>
  <c r="I1586" i="39"/>
  <c r="K1586" s="1"/>
  <c r="K1593" s="1"/>
  <c r="K1595" s="1"/>
  <c r="D286" i="37" s="1"/>
  <c r="I1613" i="39"/>
  <c r="I4010"/>
  <c r="K3994"/>
  <c r="R1305"/>
  <c r="R1309" s="1"/>
  <c r="R1311" s="1"/>
  <c r="V1303"/>
  <c r="X1388"/>
  <c r="V1404"/>
  <c r="W540"/>
  <c r="AC540" s="1"/>
  <c r="J541"/>
  <c r="I613"/>
  <c r="K613"/>
  <c r="D563" i="37"/>
  <c r="D187"/>
  <c r="V3556" i="39"/>
  <c r="X3540"/>
  <c r="AC12"/>
  <c r="Z13"/>
  <c r="H320" i="37"/>
  <c r="N320"/>
  <c r="F320"/>
  <c r="K3146" i="39"/>
  <c r="P3153"/>
  <c r="R3153" s="1"/>
  <c r="I3587"/>
  <c r="K3587" s="1"/>
  <c r="K3589" s="1"/>
  <c r="K3590" s="1"/>
  <c r="J3592" s="1"/>
  <c r="J3593" s="1"/>
  <c r="J3594" s="1"/>
  <c r="J3595" s="1"/>
  <c r="K3578"/>
  <c r="K3580" s="1"/>
  <c r="K3581" s="1"/>
  <c r="K3591" s="1"/>
  <c r="I3592" s="1"/>
  <c r="K3592" s="1"/>
  <c r="I3593" s="1"/>
  <c r="K3593" s="1"/>
  <c r="I3594" s="1"/>
  <c r="K3594" s="1"/>
  <c r="I3595" s="1"/>
  <c r="K3595" s="1"/>
  <c r="N16" i="37"/>
  <c r="H16"/>
  <c r="F16"/>
  <c r="AC1205" i="39"/>
  <c r="AJ1204"/>
  <c r="K3988"/>
  <c r="I3989"/>
  <c r="K3368"/>
  <c r="I3355"/>
  <c r="K3355" s="1"/>
  <c r="K3357" s="1"/>
  <c r="N598" i="37"/>
  <c r="P598"/>
  <c r="B598"/>
  <c r="F598" s="1"/>
  <c r="I3321" i="39"/>
  <c r="K3321" s="1"/>
  <c r="K3329" s="1"/>
  <c r="K3331" s="1"/>
  <c r="D895" i="37" s="1"/>
  <c r="N895" s="1"/>
  <c r="R3261" i="39"/>
  <c r="H751" i="37"/>
  <c r="N751"/>
  <c r="D509"/>
  <c r="D508"/>
  <c r="H504"/>
  <c r="N504"/>
  <c r="P3189" i="39"/>
  <c r="I3319"/>
  <c r="K3319" s="1"/>
  <c r="I3147"/>
  <c r="I2663"/>
  <c r="I2634"/>
  <c r="I2814"/>
  <c r="C89"/>
  <c r="H771" i="37"/>
  <c r="N771"/>
  <c r="I709" i="39"/>
  <c r="K709" s="1"/>
  <c r="D207" i="37"/>
  <c r="G314" i="35"/>
  <c r="H314" s="1"/>
  <c r="H313"/>
  <c r="H323" s="1"/>
  <c r="H324" s="1"/>
  <c r="G48" i="37" s="1"/>
  <c r="AB553" i="39"/>
  <c r="AD553" s="1"/>
  <c r="AD529"/>
  <c r="I1767"/>
  <c r="K1767" s="1"/>
  <c r="K1775" s="1"/>
  <c r="D299" i="37" s="1"/>
  <c r="P2344" i="39"/>
  <c r="R2344" s="1"/>
  <c r="K91"/>
  <c r="H803" i="37"/>
  <c r="N803"/>
  <c r="F803"/>
  <c r="H767"/>
  <c r="F767"/>
  <c r="N767"/>
  <c r="H280"/>
  <c r="F280"/>
  <c r="N280"/>
  <c r="P1074" i="39"/>
  <c r="K1078"/>
  <c r="I1093"/>
  <c r="AB1405"/>
  <c r="X1407"/>
  <c r="I3996"/>
  <c r="AB1378"/>
  <c r="AD1361"/>
  <c r="P1893"/>
  <c r="R1893" s="1"/>
  <c r="R1862"/>
  <c r="R1868" s="1"/>
  <c r="R1870" s="1"/>
  <c r="P1879" s="1"/>
  <c r="R1879" s="1"/>
  <c r="R1881" s="1"/>
  <c r="I3640"/>
  <c r="K3640" s="1"/>
  <c r="K3647" s="1"/>
  <c r="K3648" s="1"/>
  <c r="D805" i="37" s="1"/>
  <c r="K1645" i="39"/>
  <c r="K1601"/>
  <c r="K1606" s="1"/>
  <c r="K1608" s="1"/>
  <c r="P1602"/>
  <c r="R1602" s="1"/>
  <c r="R1607" s="1"/>
  <c r="R1609" s="1"/>
  <c r="N360" i="37"/>
  <c r="B360"/>
  <c r="F360" s="1"/>
  <c r="P360"/>
  <c r="X1376" i="39"/>
  <c r="X1382" s="1"/>
  <c r="D244" i="37" s="1"/>
  <c r="V1393" i="39"/>
  <c r="H576" i="37"/>
  <c r="N576"/>
  <c r="I3531" i="39"/>
  <c r="K1136"/>
  <c r="AB1374"/>
  <c r="AD1357"/>
  <c r="AD1363" s="1"/>
  <c r="D245" i="37" s="1"/>
  <c r="P3069" i="39"/>
  <c r="R3069" s="1"/>
  <c r="R3071" s="1"/>
  <c r="R3073" s="1"/>
  <c r="D911" i="37" s="1"/>
  <c r="N911" s="1"/>
  <c r="K3062" i="39"/>
  <c r="I3081"/>
  <c r="K3081" s="1"/>
  <c r="AD530"/>
  <c r="AB554"/>
  <c r="AD554" s="1"/>
  <c r="N357" i="37"/>
  <c r="P357"/>
  <c r="B357"/>
  <c r="F357" s="1"/>
  <c r="AQ90" i="39"/>
  <c r="AS66"/>
  <c r="X1411"/>
  <c r="AB1409"/>
  <c r="V642"/>
  <c r="C70"/>
  <c r="H235" i="37"/>
  <c r="N235"/>
  <c r="F235"/>
  <c r="I3100" i="39"/>
  <c r="K3100" s="1"/>
  <c r="P2669"/>
  <c r="K2662"/>
  <c r="R1499"/>
  <c r="V1460"/>
  <c r="K2353"/>
  <c r="D729" i="37" s="1"/>
  <c r="L2318" i="39"/>
  <c r="N15" i="37"/>
  <c r="H15"/>
  <c r="F15"/>
  <c r="K4018" i="39"/>
  <c r="I4033"/>
  <c r="K4033" s="1"/>
  <c r="I4019"/>
  <c r="V1301"/>
  <c r="P1237"/>
  <c r="R1237" s="1"/>
  <c r="V1240"/>
  <c r="R1260"/>
  <c r="X806"/>
  <c r="V821"/>
  <c r="X821" s="1"/>
  <c r="AB1403"/>
  <c r="X1405"/>
  <c r="R1443"/>
  <c r="P1460"/>
  <c r="X337"/>
  <c r="AE337"/>
  <c r="AG337" s="1"/>
  <c r="P641"/>
  <c r="R641" s="1"/>
  <c r="R645" s="1"/>
  <c r="P50"/>
  <c r="R50" s="1"/>
  <c r="I2929"/>
  <c r="I2938"/>
  <c r="K2938" s="1"/>
  <c r="D505" i="37"/>
  <c r="V414" i="39"/>
  <c r="X414" s="1"/>
  <c r="AE392"/>
  <c r="X383"/>
  <c r="V2782"/>
  <c r="X2782" s="1"/>
  <c r="X2781"/>
  <c r="H206" i="37"/>
  <c r="N206"/>
  <c r="F206"/>
  <c r="H806"/>
  <c r="N806"/>
  <c r="F806"/>
  <c r="P1894" i="39"/>
  <c r="R1894" s="1"/>
  <c r="R1863"/>
  <c r="I1987"/>
  <c r="D266" i="37"/>
  <c r="H304"/>
  <c r="N304"/>
  <c r="H586"/>
  <c r="N586"/>
  <c r="B427"/>
  <c r="P427"/>
  <c r="Q427" s="1"/>
  <c r="K3370" i="39"/>
  <c r="K3371" s="1"/>
  <c r="K2154"/>
  <c r="K2015"/>
  <c r="D317" i="37" s="1"/>
  <c r="F771"/>
  <c r="K1511" i="39"/>
  <c r="K1513" s="1"/>
  <c r="D279" i="37" s="1"/>
  <c r="K3695" i="39"/>
  <c r="K3697" s="1"/>
  <c r="D772" i="37" s="1"/>
  <c r="K3083" i="39"/>
  <c r="K3085" s="1"/>
  <c r="D909" i="37" s="1"/>
  <c r="N909" s="1"/>
  <c r="R405" i="39"/>
  <c r="R407" s="1"/>
  <c r="P414" s="1"/>
  <c r="R414" s="1"/>
  <c r="R416" s="1"/>
  <c r="R418" s="1"/>
  <c r="AQ3114"/>
  <c r="AQ3115" s="1"/>
  <c r="AQ3116" s="1"/>
  <c r="D764" i="37" s="1"/>
  <c r="AR3114" i="39"/>
  <c r="AR3115" s="1"/>
  <c r="AR3116" s="1"/>
  <c r="D765" i="37" s="1"/>
  <c r="D571"/>
  <c r="P1221" i="39"/>
  <c r="K1226"/>
  <c r="J665"/>
  <c r="W489"/>
  <c r="AC489" s="1"/>
  <c r="X3571"/>
  <c r="V3586"/>
  <c r="P2678"/>
  <c r="K2671"/>
  <c r="P1262"/>
  <c r="R1220"/>
  <c r="T1220" s="1"/>
  <c r="P1225"/>
  <c r="V1450"/>
  <c r="R1489"/>
  <c r="P1535"/>
  <c r="R1535" s="1"/>
  <c r="R1498"/>
  <c r="V1459"/>
  <c r="P1536"/>
  <c r="R1536" s="1"/>
  <c r="R1493"/>
  <c r="V1454"/>
  <c r="D804" i="37"/>
  <c r="D578"/>
  <c r="P1144" i="39"/>
  <c r="K808"/>
  <c r="V643"/>
  <c r="V803"/>
  <c r="AE369"/>
  <c r="AG369" s="1"/>
  <c r="X360"/>
  <c r="P1452"/>
  <c r="R1436"/>
  <c r="R1438" s="1"/>
  <c r="D247" i="37" s="1"/>
  <c r="AE368" i="39"/>
  <c r="AG368" s="1"/>
  <c r="X359"/>
  <c r="X3659"/>
  <c r="V3689"/>
  <c r="X3689" s="1"/>
  <c r="V3683"/>
  <c r="X3653"/>
  <c r="V1436"/>
  <c r="P1482"/>
  <c r="R1475"/>
  <c r="I3184"/>
  <c r="K3171"/>
  <c r="K3174" s="1"/>
  <c r="K3175" s="1"/>
  <c r="D965" i="37" s="1"/>
  <c r="N965" s="1"/>
  <c r="H799"/>
  <c r="N799"/>
  <c r="F799"/>
  <c r="H318"/>
  <c r="N318"/>
  <c r="F318"/>
  <c r="H483"/>
  <c r="F483"/>
  <c r="N483"/>
  <c r="H545"/>
  <c r="N545"/>
  <c r="X357" i="39"/>
  <c r="AE366"/>
  <c r="AG366" s="1"/>
  <c r="P1483"/>
  <c r="R1476"/>
  <c r="V1437"/>
  <c r="I3420"/>
  <c r="K3420" s="1"/>
  <c r="K2633"/>
  <c r="V2601"/>
  <c r="P2640"/>
  <c r="R2640" s="1"/>
  <c r="R3188"/>
  <c r="P3291"/>
  <c r="P3221"/>
  <c r="P3257"/>
  <c r="R3257" s="1"/>
  <c r="H3853"/>
  <c r="K2608"/>
  <c r="I689"/>
  <c r="K689" s="1"/>
  <c r="D201" i="37"/>
  <c r="I3832" i="39"/>
  <c r="K3832" s="1"/>
  <c r="P3471"/>
  <c r="R3471" s="1"/>
  <c r="K3465"/>
  <c r="X340"/>
  <c r="AE340"/>
  <c r="AG340" s="1"/>
  <c r="X883"/>
  <c r="V899"/>
  <c r="X899" s="1"/>
  <c r="H29" i="37"/>
  <c r="N29"/>
  <c r="F29"/>
  <c r="I2386" i="39"/>
  <c r="K2386" s="1"/>
  <c r="D503" i="37"/>
  <c r="R943" i="39"/>
  <c r="R955" s="1"/>
  <c r="R957" s="1"/>
  <c r="P944"/>
  <c r="R944" s="1"/>
  <c r="L2221"/>
  <c r="K2255"/>
  <c r="K2288" s="1"/>
  <c r="D375" i="37" s="1"/>
  <c r="M2256" i="39"/>
  <c r="H3873"/>
  <c r="J3873" s="1"/>
  <c r="J3852"/>
  <c r="K120"/>
  <c r="D8" i="37"/>
  <c r="P1892" i="39"/>
  <c r="R1892" s="1"/>
  <c r="R1861"/>
  <c r="H30" i="37"/>
  <c r="N30"/>
  <c r="F30"/>
  <c r="N525"/>
  <c r="F525"/>
  <c r="H525"/>
  <c r="H321"/>
  <c r="N321"/>
  <c r="F321"/>
  <c r="X1365" i="39"/>
  <c r="D240" i="37" s="1"/>
  <c r="F503"/>
  <c r="F751"/>
  <c r="R1899" i="39"/>
  <c r="R1901" s="1"/>
  <c r="P1910" s="1"/>
  <c r="R1910" s="1"/>
  <c r="R1912" s="1"/>
  <c r="D619" i="37" s="1"/>
  <c r="H621"/>
  <c r="N621"/>
  <c r="F621"/>
  <c r="H383"/>
  <c r="N383"/>
  <c r="F383"/>
  <c r="I2898" i="39"/>
  <c r="K2898" s="1"/>
  <c r="K504"/>
  <c r="K2147"/>
  <c r="P2154"/>
  <c r="R2154" s="1"/>
  <c r="X591"/>
  <c r="D558" i="37"/>
  <c r="R1217" i="39"/>
  <c r="T1217" s="1"/>
  <c r="P1259"/>
  <c r="R198"/>
  <c r="V198"/>
  <c r="X198" s="1"/>
  <c r="X3577"/>
  <c r="V3592"/>
  <c r="H781" i="37"/>
  <c r="N781"/>
  <c r="F781"/>
  <c r="H36"/>
  <c r="N36"/>
  <c r="F36"/>
  <c r="AE316" i="39"/>
  <c r="AG316" s="1"/>
  <c r="AQ68"/>
  <c r="X316"/>
  <c r="K3170"/>
  <c r="I3183"/>
  <c r="N306" i="37"/>
  <c r="F306"/>
  <c r="H306"/>
  <c r="M630"/>
  <c r="H630"/>
  <c r="P2863" i="39"/>
  <c r="R2863" s="1"/>
  <c r="R2830"/>
  <c r="I255"/>
  <c r="K255" s="1"/>
  <c r="C79"/>
  <c r="I3746"/>
  <c r="K3746" s="1"/>
  <c r="K3752" s="1"/>
  <c r="K3753" s="1"/>
  <c r="K9"/>
  <c r="V1284"/>
  <c r="X1284" s="1"/>
  <c r="K1255"/>
  <c r="I2937"/>
  <c r="K2937" s="1"/>
  <c r="I2928"/>
  <c r="D574" i="37"/>
  <c r="D285"/>
  <c r="X1458" i="39"/>
  <c r="AB1456"/>
  <c r="AD1456" s="1"/>
  <c r="X3563"/>
  <c r="V3579"/>
  <c r="X3579" s="1"/>
  <c r="X381"/>
  <c r="V412"/>
  <c r="X412" s="1"/>
  <c r="AE390"/>
  <c r="H31" i="37"/>
  <c r="N31"/>
  <c r="F31"/>
  <c r="G32"/>
  <c r="H412" i="35"/>
  <c r="H414" s="1"/>
  <c r="H415" s="1"/>
  <c r="P573" i="37"/>
  <c r="B573"/>
  <c r="P2649" i="39"/>
  <c r="R2649" s="1"/>
  <c r="K2642"/>
  <c r="V2610"/>
  <c r="I3504"/>
  <c r="K3504" s="1"/>
  <c r="K3514" s="1"/>
  <c r="K3515" s="1"/>
  <c r="C78"/>
  <c r="I36"/>
  <c r="P2432"/>
  <c r="R2432" s="1"/>
  <c r="K2425"/>
  <c r="G152" i="35"/>
  <c r="H151"/>
  <c r="K3530" i="39"/>
  <c r="I3546"/>
  <c r="P3534"/>
  <c r="P1490"/>
  <c r="V1420"/>
  <c r="X1420" s="1"/>
  <c r="R1459"/>
  <c r="AB1401"/>
  <c r="X1403"/>
  <c r="R199"/>
  <c r="V199"/>
  <c r="X199" s="1"/>
  <c r="H636" i="37"/>
  <c r="N636"/>
  <c r="J563" i="39"/>
  <c r="W564"/>
  <c r="AC564" s="1"/>
  <c r="V1397"/>
  <c r="X1380"/>
  <c r="V1302"/>
  <c r="AB1191"/>
  <c r="R1335"/>
  <c r="AE339"/>
  <c r="AG339" s="1"/>
  <c r="X339"/>
  <c r="X3707"/>
  <c r="V3721"/>
  <c r="X3721" s="1"/>
  <c r="H830" i="37"/>
  <c r="N830"/>
  <c r="F830"/>
  <c r="P3448" i="39"/>
  <c r="R3404"/>
  <c r="R1461"/>
  <c r="P1492"/>
  <c r="V1422"/>
  <c r="X1422" s="1"/>
  <c r="V3573"/>
  <c r="X3557"/>
  <c r="X3606"/>
  <c r="V3621"/>
  <c r="X3622" s="1"/>
  <c r="V427"/>
  <c r="X427" s="1"/>
  <c r="X395"/>
  <c r="I3947"/>
  <c r="K3929"/>
  <c r="R2824"/>
  <c r="P2857"/>
  <c r="R2857" s="1"/>
  <c r="P1494"/>
  <c r="R1463"/>
  <c r="V1424"/>
  <c r="X1424" s="1"/>
  <c r="I2410"/>
  <c r="K2398"/>
  <c r="K2403" s="1"/>
  <c r="D313" i="37" s="1"/>
  <c r="H585"/>
  <c r="N585"/>
  <c r="I3387" i="39"/>
  <c r="I3477" s="1"/>
  <c r="K3477" s="1"/>
  <c r="I1127"/>
  <c r="K1127" s="1"/>
  <c r="I921"/>
  <c r="K921" s="1"/>
  <c r="K923" s="1"/>
  <c r="D219" i="37" s="1"/>
  <c r="I985" i="39"/>
  <c r="K985" s="1"/>
  <c r="I1015"/>
  <c r="K1015" s="1"/>
  <c r="I950"/>
  <c r="K950" s="1"/>
  <c r="P210"/>
  <c r="R210" s="1"/>
  <c r="I1053"/>
  <c r="P2820"/>
  <c r="K2813"/>
  <c r="I2863"/>
  <c r="K2863" s="1"/>
  <c r="AE2786"/>
  <c r="AG2786" s="1"/>
  <c r="R1495"/>
  <c r="V1456"/>
  <c r="H200" i="37"/>
  <c r="N200"/>
  <c r="F200"/>
  <c r="P1261" i="39"/>
  <c r="R1219"/>
  <c r="T1219" s="1"/>
  <c r="P1224"/>
  <c r="X805"/>
  <c r="V820"/>
  <c r="X820" s="1"/>
  <c r="X315"/>
  <c r="AE315"/>
  <c r="AG315" s="1"/>
  <c r="AQ67"/>
  <c r="AB1427"/>
  <c r="AD1427" s="1"/>
  <c r="AD1410"/>
  <c r="P1265"/>
  <c r="R1223"/>
  <c r="T1223" s="1"/>
  <c r="V415"/>
  <c r="X415" s="1"/>
  <c r="AE393"/>
  <c r="X384"/>
  <c r="X1402"/>
  <c r="AB1400"/>
  <c r="K3182"/>
  <c r="I3197"/>
  <c r="AB1190"/>
  <c r="V1300"/>
  <c r="R1334"/>
  <c r="X313"/>
  <c r="AE313"/>
  <c r="AG313" s="1"/>
  <c r="AQ65"/>
  <c r="N506" i="37"/>
  <c r="H506"/>
  <c r="F506"/>
  <c r="I3282" i="39"/>
  <c r="P3259"/>
  <c r="R3259" s="1"/>
  <c r="I2815"/>
  <c r="C90"/>
  <c r="V3622"/>
  <c r="X3607"/>
  <c r="K3927"/>
  <c r="I3945"/>
  <c r="P1047"/>
  <c r="R1047" s="1"/>
  <c r="R1046"/>
  <c r="R1057" s="1"/>
  <c r="R1059" s="1"/>
  <c r="H807" i="37"/>
  <c r="N807"/>
  <c r="D959"/>
  <c r="N959" s="1"/>
  <c r="N958"/>
  <c r="N572"/>
  <c r="H572"/>
  <c r="F572"/>
  <c r="K2715" i="39"/>
  <c r="K2716" s="1"/>
  <c r="D573" i="37" s="1"/>
  <c r="H573" s="1"/>
  <c r="K587" i="39"/>
  <c r="K589" s="1"/>
  <c r="I590" s="1"/>
  <c r="K590" s="1"/>
  <c r="R2037"/>
  <c r="D782" i="37" s="1"/>
  <c r="K259" i="39"/>
  <c r="K261" s="1"/>
  <c r="D37" i="37" s="1"/>
  <c r="K2612" i="39"/>
  <c r="K2615" s="1"/>
  <c r="M2615" s="1"/>
  <c r="K3064"/>
  <c r="K3066" s="1"/>
  <c r="D910" i="37" s="1"/>
  <c r="N910" s="1"/>
  <c r="N1014" i="31"/>
  <c r="N1015" s="1"/>
  <c r="I114" i="28"/>
  <c r="I69"/>
  <c r="I107"/>
  <c r="I108" s="1"/>
  <c r="H247" i="37" l="1"/>
  <c r="N247"/>
  <c r="F247"/>
  <c r="I3360" i="39"/>
  <c r="K3358"/>
  <c r="AB1418"/>
  <c r="AD1418" s="1"/>
  <c r="AD1401"/>
  <c r="I3479"/>
  <c r="K3479" s="1"/>
  <c r="K3494" s="1"/>
  <c r="P2822"/>
  <c r="K2815"/>
  <c r="K3197"/>
  <c r="K3200" s="1"/>
  <c r="K3202" s="1"/>
  <c r="D966" i="37" s="1"/>
  <c r="N966" s="1"/>
  <c r="I3211" i="39"/>
  <c r="I3242"/>
  <c r="P1381"/>
  <c r="R1381" s="1"/>
  <c r="R1265"/>
  <c r="V1245"/>
  <c r="P1242"/>
  <c r="R1242" s="1"/>
  <c r="P1266"/>
  <c r="R1224"/>
  <c r="T1224" s="1"/>
  <c r="K1053"/>
  <c r="P1089"/>
  <c r="P987"/>
  <c r="R987" s="1"/>
  <c r="P1064"/>
  <c r="R1064" s="1"/>
  <c r="AE1062"/>
  <c r="AG1062" s="1"/>
  <c r="V3588"/>
  <c r="X3573"/>
  <c r="R1490"/>
  <c r="V1451"/>
  <c r="K36"/>
  <c r="K40" s="1"/>
  <c r="I19"/>
  <c r="K19" s="1"/>
  <c r="K23" s="1"/>
  <c r="I140"/>
  <c r="I45"/>
  <c r="K45" s="1"/>
  <c r="K49" s="1"/>
  <c r="X592"/>
  <c r="D559" i="37"/>
  <c r="H8"/>
  <c r="N8"/>
  <c r="F8"/>
  <c r="H3874" i="39"/>
  <c r="J3874" s="1"/>
  <c r="J3853"/>
  <c r="R1482"/>
  <c r="V1443"/>
  <c r="V818"/>
  <c r="X818" s="1"/>
  <c r="X803"/>
  <c r="H578" i="37"/>
  <c r="N578"/>
  <c r="F578"/>
  <c r="V1242" i="39"/>
  <c r="P1239"/>
  <c r="R1239" s="1"/>
  <c r="R1262"/>
  <c r="R1221"/>
  <c r="T1221" s="1"/>
  <c r="P1263"/>
  <c r="H764" i="37"/>
  <c r="F764"/>
  <c r="N764"/>
  <c r="H772"/>
  <c r="F772"/>
  <c r="N772"/>
  <c r="H266"/>
  <c r="N266"/>
  <c r="F266"/>
  <c r="K4019" i="39"/>
  <c r="I4020"/>
  <c r="X1460"/>
  <c r="AB1458"/>
  <c r="AD1458" s="1"/>
  <c r="I1644"/>
  <c r="K1644" s="1"/>
  <c r="K1651" s="1"/>
  <c r="K1653" s="1"/>
  <c r="D292" i="37" s="1"/>
  <c r="I1303" i="39"/>
  <c r="K1303" s="1"/>
  <c r="K1310" s="1"/>
  <c r="K1312" s="1"/>
  <c r="D265" i="37" s="1"/>
  <c r="I503" i="39"/>
  <c r="V1409"/>
  <c r="X1393"/>
  <c r="H805" i="37"/>
  <c r="N805"/>
  <c r="F805"/>
  <c r="AB1395" i="39"/>
  <c r="AD1395" s="1"/>
  <c r="AD1378"/>
  <c r="K1093"/>
  <c r="I1108"/>
  <c r="K1108" s="1"/>
  <c r="I710"/>
  <c r="K710" s="1"/>
  <c r="D209" i="37" s="1"/>
  <c r="D208"/>
  <c r="I3600" i="39"/>
  <c r="K3600" s="1"/>
  <c r="K3610" s="1"/>
  <c r="K3612" s="1"/>
  <c r="K2814"/>
  <c r="AE2787"/>
  <c r="AG2787" s="1"/>
  <c r="P2821"/>
  <c r="I2864"/>
  <c r="K2864" s="1"/>
  <c r="N508" i="37"/>
  <c r="H508"/>
  <c r="F508"/>
  <c r="V3572" i="39"/>
  <c r="X3556"/>
  <c r="I4025"/>
  <c r="K4010"/>
  <c r="P1539"/>
  <c r="R1539" s="1"/>
  <c r="D802" i="37"/>
  <c r="D303"/>
  <c r="K2875" i="39"/>
  <c r="K2877" s="1"/>
  <c r="I591"/>
  <c r="K591" s="1"/>
  <c r="D553" i="37"/>
  <c r="D181"/>
  <c r="AE429" i="39"/>
  <c r="AG429" s="1"/>
  <c r="AG393"/>
  <c r="H219" i="37"/>
  <c r="N219"/>
  <c r="F219"/>
  <c r="P3550" i="39"/>
  <c r="R3550" s="1"/>
  <c r="R3534"/>
  <c r="G153" i="35"/>
  <c r="H152"/>
  <c r="I1753" i="39"/>
  <c r="K1753" s="1"/>
  <c r="K1760" s="1"/>
  <c r="K1762" s="1"/>
  <c r="D298" i="37" s="1"/>
  <c r="I2148" i="39"/>
  <c r="I2128"/>
  <c r="K2128" s="1"/>
  <c r="K2136" s="1"/>
  <c r="K2138" s="1"/>
  <c r="D331" i="37" s="1"/>
  <c r="P1143" i="39"/>
  <c r="I809"/>
  <c r="I505"/>
  <c r="I272"/>
  <c r="K272" s="1"/>
  <c r="I64"/>
  <c r="K64" s="1"/>
  <c r="K68" s="1"/>
  <c r="I28"/>
  <c r="K28" s="1"/>
  <c r="K32" s="1"/>
  <c r="I54"/>
  <c r="K54" s="1"/>
  <c r="K58" s="1"/>
  <c r="P10"/>
  <c r="R10" s="1"/>
  <c r="R14" s="1"/>
  <c r="I73"/>
  <c r="K73" s="1"/>
  <c r="K77" s="1"/>
  <c r="I10"/>
  <c r="K10" s="1"/>
  <c r="H285" i="37"/>
  <c r="N285"/>
  <c r="F285"/>
  <c r="P627" i="39"/>
  <c r="R627" s="1"/>
  <c r="I152"/>
  <c r="K152" s="1"/>
  <c r="K161" s="1"/>
  <c r="P22"/>
  <c r="AQ92"/>
  <c r="AS68"/>
  <c r="V3609"/>
  <c r="X3592"/>
  <c r="R1259"/>
  <c r="V1239"/>
  <c r="P1236"/>
  <c r="R1236" s="1"/>
  <c r="N375" i="37"/>
  <c r="H375"/>
  <c r="F375"/>
  <c r="H201"/>
  <c r="N201"/>
  <c r="F201"/>
  <c r="V708" i="39"/>
  <c r="X643"/>
  <c r="AD643"/>
  <c r="AF643" s="1"/>
  <c r="X1459"/>
  <c r="AB1457"/>
  <c r="AD1457" s="1"/>
  <c r="K2929"/>
  <c r="I2948"/>
  <c r="AS90"/>
  <c r="AQ110"/>
  <c r="M48" i="37"/>
  <c r="I3421" i="39"/>
  <c r="K3421" s="1"/>
  <c r="K3432" s="1"/>
  <c r="K3434" s="1"/>
  <c r="K2634"/>
  <c r="V2602"/>
  <c r="P2641"/>
  <c r="R2641" s="1"/>
  <c r="N509" i="37"/>
  <c r="H509"/>
  <c r="F509"/>
  <c r="AC13" i="39"/>
  <c r="C72" s="1"/>
  <c r="Z14"/>
  <c r="J542"/>
  <c r="W541"/>
  <c r="AC541" s="1"/>
  <c r="V1323"/>
  <c r="X1323" s="1"/>
  <c r="X1303"/>
  <c r="H757" i="37"/>
  <c r="N757"/>
  <c r="F757"/>
  <c r="H37"/>
  <c r="N37"/>
  <c r="F37"/>
  <c r="H782"/>
  <c r="N782"/>
  <c r="F782"/>
  <c r="K3945" i="39"/>
  <c r="I3961"/>
  <c r="I987"/>
  <c r="K987" s="1"/>
  <c r="K998" s="1"/>
  <c r="K1000" s="1"/>
  <c r="I952"/>
  <c r="K952" s="1"/>
  <c r="I1017"/>
  <c r="AD1190"/>
  <c r="AI1190"/>
  <c r="AK1190" s="1"/>
  <c r="AQ91"/>
  <c r="AS67"/>
  <c r="P2853"/>
  <c r="R2853" s="1"/>
  <c r="R2820"/>
  <c r="I2443"/>
  <c r="K2443" s="1"/>
  <c r="K2410"/>
  <c r="K2415" s="1"/>
  <c r="D314" i="37" s="1"/>
  <c r="V1322" i="39"/>
  <c r="X1322" s="1"/>
  <c r="X1302"/>
  <c r="J564"/>
  <c r="J565" s="1"/>
  <c r="J566" s="1"/>
  <c r="J567" s="1"/>
  <c r="J568" s="1"/>
  <c r="J569" s="1"/>
  <c r="J570" s="1"/>
  <c r="J571" s="1"/>
  <c r="W565"/>
  <c r="AC565" s="1"/>
  <c r="Z2608"/>
  <c r="AE2658"/>
  <c r="AG2658" s="1"/>
  <c r="X2610"/>
  <c r="AE2624"/>
  <c r="AG2624" s="1"/>
  <c r="I2947"/>
  <c r="K2928"/>
  <c r="K14"/>
  <c r="N14"/>
  <c r="H558" i="37"/>
  <c r="F558"/>
  <c r="N558"/>
  <c r="H619"/>
  <c r="N619"/>
  <c r="F619"/>
  <c r="P3394" i="39"/>
  <c r="R3394" s="1"/>
  <c r="P3360"/>
  <c r="R3360" s="1"/>
  <c r="V3247"/>
  <c r="X3247" s="1"/>
  <c r="R3291"/>
  <c r="R1483"/>
  <c r="V1444"/>
  <c r="V3701"/>
  <c r="X3683"/>
  <c r="X3695" s="1"/>
  <c r="X3696" s="1"/>
  <c r="D832" i="37" s="1"/>
  <c r="P1175" i="39"/>
  <c r="R1175" s="1"/>
  <c r="R1144"/>
  <c r="X3586"/>
  <c r="V3603"/>
  <c r="X3603" s="1"/>
  <c r="H765" i="37"/>
  <c r="F765"/>
  <c r="N765"/>
  <c r="H317"/>
  <c r="N317"/>
  <c r="F317"/>
  <c r="D507"/>
  <c r="H505"/>
  <c r="N505"/>
  <c r="F505"/>
  <c r="X1301" i="39"/>
  <c r="V1321"/>
  <c r="X1321" s="1"/>
  <c r="H729" i="37"/>
  <c r="N729"/>
  <c r="F729"/>
  <c r="AD1374" i="39"/>
  <c r="AD1380" s="1"/>
  <c r="D243" i="37" s="1"/>
  <c r="AB1391" i="39"/>
  <c r="AD1391" s="1"/>
  <c r="AD1397" s="1"/>
  <c r="D246" i="37" s="1"/>
  <c r="AB1422" i="39"/>
  <c r="AD1422" s="1"/>
  <c r="AD1405"/>
  <c r="H207" i="37"/>
  <c r="N207"/>
  <c r="F207"/>
  <c r="I3388" i="39"/>
  <c r="I3478" s="1"/>
  <c r="K3478" s="1"/>
  <c r="I1128"/>
  <c r="K1128" s="1"/>
  <c r="I1102"/>
  <c r="I1086"/>
  <c r="K1086" s="1"/>
  <c r="K1095" s="1"/>
  <c r="K1097" s="1"/>
  <c r="I986"/>
  <c r="K986" s="1"/>
  <c r="I928"/>
  <c r="K928" s="1"/>
  <c r="K930" s="1"/>
  <c r="D220" i="37" s="1"/>
  <c r="I1071" i="39"/>
  <c r="K1071" s="1"/>
  <c r="K1079" s="1"/>
  <c r="K1081" s="1"/>
  <c r="I1054"/>
  <c r="I951"/>
  <c r="K951" s="1"/>
  <c r="I1016"/>
  <c r="K1016" s="1"/>
  <c r="P211"/>
  <c r="R211" s="1"/>
  <c r="P3154"/>
  <c r="K3147"/>
  <c r="K3989"/>
  <c r="K3998" s="1"/>
  <c r="K3999" s="1"/>
  <c r="D684" i="37" s="1"/>
  <c r="I3990" i="39"/>
  <c r="K3990" s="1"/>
  <c r="I614"/>
  <c r="K614"/>
  <c r="D564" i="37"/>
  <c r="D188"/>
  <c r="AB1402" i="39"/>
  <c r="X1404"/>
  <c r="I3960"/>
  <c r="K3944"/>
  <c r="H526" i="37"/>
  <c r="F526"/>
  <c r="N526"/>
  <c r="R2652" i="39"/>
  <c r="R2654" s="1"/>
  <c r="K3157"/>
  <c r="K3159" s="1"/>
  <c r="F573" i="37"/>
  <c r="J3878" i="39"/>
  <c r="J3880" s="1"/>
  <c r="D759" i="37" s="1"/>
  <c r="I3528" i="39"/>
  <c r="R3448"/>
  <c r="V1413"/>
  <c r="X1397"/>
  <c r="H949" i="35"/>
  <c r="H950" s="1"/>
  <c r="H951" s="1"/>
  <c r="G478" i="37" s="1"/>
  <c r="G158"/>
  <c r="K121" i="39"/>
  <c r="D10" i="37" s="1"/>
  <c r="D9"/>
  <c r="H503"/>
  <c r="N503"/>
  <c r="X1437" i="39"/>
  <c r="AB1435"/>
  <c r="AD1435" s="1"/>
  <c r="X1436"/>
  <c r="AB1434"/>
  <c r="AD1434" s="1"/>
  <c r="P1469"/>
  <c r="R1452"/>
  <c r="R1454" s="1"/>
  <c r="R1455" s="1"/>
  <c r="D674" i="37" s="1"/>
  <c r="H804"/>
  <c r="F804"/>
  <c r="N804"/>
  <c r="X1450" i="39"/>
  <c r="AB1448"/>
  <c r="AD1448" s="1"/>
  <c r="H571" i="37"/>
  <c r="N571"/>
  <c r="F571"/>
  <c r="K1987" i="39"/>
  <c r="P1987"/>
  <c r="R1987" s="1"/>
  <c r="AE428"/>
  <c r="AG428" s="1"/>
  <c r="AG392"/>
  <c r="AB1420"/>
  <c r="AD1420" s="1"/>
  <c r="AD1403"/>
  <c r="AB1245"/>
  <c r="X1240"/>
  <c r="X642"/>
  <c r="AD642"/>
  <c r="AF642" s="1"/>
  <c r="P3535"/>
  <c r="K3531"/>
  <c r="H244" i="37"/>
  <c r="N244"/>
  <c r="F244"/>
  <c r="C878" i="39"/>
  <c r="D798" i="37"/>
  <c r="I4012" i="39"/>
  <c r="K3996"/>
  <c r="P3258"/>
  <c r="R3258" s="1"/>
  <c r="P3222"/>
  <c r="R3189"/>
  <c r="R3201" s="1"/>
  <c r="R3203" s="1"/>
  <c r="D893" i="37" s="1"/>
  <c r="N893" s="1"/>
  <c r="P3292" i="39"/>
  <c r="H187" i="37"/>
  <c r="F187"/>
  <c r="N187"/>
  <c r="P1614" i="39"/>
  <c r="R1614" s="1"/>
  <c r="R1619" s="1"/>
  <c r="R1621" s="1"/>
  <c r="K1613"/>
  <c r="K1618" s="1"/>
  <c r="K1620" s="1"/>
  <c r="D289" i="37" s="1"/>
  <c r="K3282" i="39"/>
  <c r="V3250"/>
  <c r="X3250" s="1"/>
  <c r="AQ89"/>
  <c r="AS65"/>
  <c r="X1300"/>
  <c r="V1320"/>
  <c r="X1320" s="1"/>
  <c r="AD1400"/>
  <c r="AB1417"/>
  <c r="AD1417" s="1"/>
  <c r="P1238"/>
  <c r="R1238" s="1"/>
  <c r="R1261"/>
  <c r="V1241"/>
  <c r="X1456"/>
  <c r="AB1454"/>
  <c r="AD1454" s="1"/>
  <c r="H313" i="37"/>
  <c r="F313"/>
  <c r="N313"/>
  <c r="P1537" i="39"/>
  <c r="R1537" s="1"/>
  <c r="R1543" s="1"/>
  <c r="R1545" s="1"/>
  <c r="S1545" s="1"/>
  <c r="R1494"/>
  <c r="V1455"/>
  <c r="I3963"/>
  <c r="K3947"/>
  <c r="R1492"/>
  <c r="V1453"/>
  <c r="AI1191"/>
  <c r="AK1191" s="1"/>
  <c r="AD1191"/>
  <c r="AE3546"/>
  <c r="AG3546" s="1"/>
  <c r="V3546"/>
  <c r="K3546"/>
  <c r="M32" i="37"/>
  <c r="AE404" i="39"/>
  <c r="AG404" s="1"/>
  <c r="AG390"/>
  <c r="AE426"/>
  <c r="H574" i="37"/>
  <c r="F574"/>
  <c r="N574"/>
  <c r="N630"/>
  <c r="P630"/>
  <c r="B630"/>
  <c r="F630" s="1"/>
  <c r="K3183" i="39"/>
  <c r="K3187" s="1"/>
  <c r="K3188" s="1"/>
  <c r="D964" i="37" s="1"/>
  <c r="N964" s="1"/>
  <c r="I3268" i="39"/>
  <c r="K3268" s="1"/>
  <c r="L3234" s="1"/>
  <c r="I3254"/>
  <c r="K3254" s="1"/>
  <c r="H240" i="37"/>
  <c r="N240"/>
  <c r="F240"/>
  <c r="I690" i="39"/>
  <c r="K690" s="1"/>
  <c r="D203" i="37" s="1"/>
  <c r="D202"/>
  <c r="P3435" i="39"/>
  <c r="R3435" s="1"/>
  <c r="R3221"/>
  <c r="P3323"/>
  <c r="R3323" s="1"/>
  <c r="AE2649"/>
  <c r="AG2649" s="1"/>
  <c r="AE2615"/>
  <c r="AG2615" s="1"/>
  <c r="X2601"/>
  <c r="Z2599"/>
  <c r="I3269"/>
  <c r="K3269" s="1"/>
  <c r="L3235" s="1"/>
  <c r="I3255"/>
  <c r="K3255" s="1"/>
  <c r="K3184"/>
  <c r="X1454"/>
  <c r="AB1452"/>
  <c r="AD1452" s="1"/>
  <c r="P1267"/>
  <c r="R1225"/>
  <c r="T1225" s="1"/>
  <c r="W490"/>
  <c r="AC490" s="1"/>
  <c r="J666"/>
  <c r="J667" s="1"/>
  <c r="J668" s="1"/>
  <c r="J669" s="1"/>
  <c r="J670" s="1"/>
  <c r="H279" i="37"/>
  <c r="F279"/>
  <c r="N279"/>
  <c r="P1491" i="39"/>
  <c r="V1421"/>
  <c r="X1421" s="1"/>
  <c r="R1460"/>
  <c r="AD1409"/>
  <c r="AB1426"/>
  <c r="AD1426" s="1"/>
  <c r="H245" i="37"/>
  <c r="N245"/>
  <c r="F245"/>
  <c r="I3921" i="39"/>
  <c r="P2042"/>
  <c r="R2042" s="1"/>
  <c r="I878"/>
  <c r="D575" i="37"/>
  <c r="D288"/>
  <c r="P1100" i="39"/>
  <c r="R1074"/>
  <c r="N299" i="37"/>
  <c r="H299"/>
  <c r="F299"/>
  <c r="I3101" i="39"/>
  <c r="K3101" s="1"/>
  <c r="K3112" s="1"/>
  <c r="K3114" s="1"/>
  <c r="D523" i="37" s="1"/>
  <c r="P2670" i="39"/>
  <c r="K2663"/>
  <c r="AC1206"/>
  <c r="AJ1205"/>
  <c r="V801"/>
  <c r="V706"/>
  <c r="C71"/>
  <c r="P1142" s="1"/>
  <c r="H563" i="37"/>
  <c r="F563"/>
  <c r="N563"/>
  <c r="H286"/>
  <c r="N286"/>
  <c r="F286"/>
  <c r="P1465" i="39"/>
  <c r="R1448"/>
  <c r="R221"/>
  <c r="R224" s="1"/>
  <c r="R3270"/>
  <c r="R3272" s="1"/>
  <c r="D894" i="37" s="1"/>
  <c r="N894" s="1"/>
  <c r="K962" i="39"/>
  <c r="K964" s="1"/>
  <c r="D223" i="37" s="1"/>
  <c r="K1139" i="39"/>
  <c r="K1141" s="1"/>
  <c r="N573" i="37"/>
  <c r="J3857" i="39"/>
  <c r="J3859" s="1"/>
  <c r="D758" i="37" s="1"/>
  <c r="X3667" i="39"/>
  <c r="X3668" s="1"/>
  <c r="D831" i="37" s="1"/>
  <c r="L2691" i="39"/>
  <c r="K2674"/>
  <c r="K2676" s="1"/>
  <c r="I96" i="28"/>
  <c r="I95"/>
  <c r="I87"/>
  <c r="I88"/>
  <c r="F86"/>
  <c r="F94" s="1"/>
  <c r="I94" s="1"/>
  <c r="F85"/>
  <c r="F93" s="1"/>
  <c r="I93" s="1"/>
  <c r="I62"/>
  <c r="I61"/>
  <c r="I21"/>
  <c r="I20"/>
  <c r="F15"/>
  <c r="F27" s="1"/>
  <c r="F14"/>
  <c r="F26" s="1"/>
  <c r="I26" s="1"/>
  <c r="M6"/>
  <c r="I85"/>
  <c r="I32"/>
  <c r="I8"/>
  <c r="H523" i="37" l="1"/>
  <c r="N523"/>
  <c r="F523"/>
  <c r="H674"/>
  <c r="N674"/>
  <c r="F674"/>
  <c r="D898"/>
  <c r="N898" s="1"/>
  <c r="D536"/>
  <c r="K1028" i="39"/>
  <c r="K1030" s="1"/>
  <c r="D225" i="37" s="1"/>
  <c r="D532"/>
  <c r="D224"/>
  <c r="H831"/>
  <c r="N831"/>
  <c r="F831"/>
  <c r="P1173" i="39"/>
  <c r="R1173" s="1"/>
  <c r="R1142"/>
  <c r="R1100"/>
  <c r="P1121"/>
  <c r="P1383"/>
  <c r="R1383" s="1"/>
  <c r="R1267"/>
  <c r="V1247"/>
  <c r="P1244"/>
  <c r="R1244" s="1"/>
  <c r="K3963"/>
  <c r="I3980"/>
  <c r="K3980" s="1"/>
  <c r="H9" i="37"/>
  <c r="N9"/>
  <c r="F9"/>
  <c r="H759"/>
  <c r="N759"/>
  <c r="F759"/>
  <c r="H564"/>
  <c r="N564"/>
  <c r="F564"/>
  <c r="H684"/>
  <c r="N684"/>
  <c r="F684"/>
  <c r="H243"/>
  <c r="N243"/>
  <c r="F243"/>
  <c r="H832"/>
  <c r="N832"/>
  <c r="F832"/>
  <c r="P51" i="39"/>
  <c r="R51" s="1"/>
  <c r="R57" s="1"/>
  <c r="R60" s="1"/>
  <c r="I226"/>
  <c r="K226" s="1"/>
  <c r="K232" s="1"/>
  <c r="K234" s="1"/>
  <c r="D33" i="37" s="1"/>
  <c r="X1409" i="39"/>
  <c r="AB1407"/>
  <c r="X1451"/>
  <c r="AB1449"/>
  <c r="AD1449" s="1"/>
  <c r="AB1250"/>
  <c r="X1245"/>
  <c r="I3226"/>
  <c r="K3226" s="1"/>
  <c r="K3211"/>
  <c r="I894"/>
  <c r="K894" s="1"/>
  <c r="K878"/>
  <c r="V878"/>
  <c r="I860"/>
  <c r="AG426"/>
  <c r="AE441"/>
  <c r="AG441" s="1"/>
  <c r="P32" i="37"/>
  <c r="B32"/>
  <c r="R3222" i="39"/>
  <c r="P3436"/>
  <c r="R3436" s="1"/>
  <c r="R3450" s="1"/>
  <c r="R3452" s="1"/>
  <c r="D897" i="37" s="1"/>
  <c r="N897" s="1"/>
  <c r="P3324" i="39"/>
  <c r="R3324" s="1"/>
  <c r="R3337" s="1"/>
  <c r="R3339" s="1"/>
  <c r="H798" i="37"/>
  <c r="N798"/>
  <c r="F798"/>
  <c r="M478"/>
  <c r="H478"/>
  <c r="P3532" i="39"/>
  <c r="K3528"/>
  <c r="K3532" s="1"/>
  <c r="K3533" s="1"/>
  <c r="I3544"/>
  <c r="D891" i="37"/>
  <c r="N891" s="1"/>
  <c r="D537"/>
  <c r="D828"/>
  <c r="H188"/>
  <c r="F188"/>
  <c r="N188"/>
  <c r="D516"/>
  <c r="D228"/>
  <c r="I3280" i="39"/>
  <c r="K1102"/>
  <c r="K1110" s="1"/>
  <c r="K1112" s="1"/>
  <c r="H246" i="37"/>
  <c r="N246"/>
  <c r="F246"/>
  <c r="AQ111" i="39"/>
  <c r="AS91"/>
  <c r="J543"/>
  <c r="W542"/>
  <c r="AC542" s="1"/>
  <c r="AS110"/>
  <c r="AQ135"/>
  <c r="X708"/>
  <c r="Z708" s="1"/>
  <c r="V678"/>
  <c r="X678" s="1"/>
  <c r="X1239"/>
  <c r="AB1244"/>
  <c r="I3455"/>
  <c r="I2424"/>
  <c r="I1433"/>
  <c r="K1433" s="1"/>
  <c r="I1376"/>
  <c r="K1376" s="1"/>
  <c r="I1354"/>
  <c r="K1354" s="1"/>
  <c r="I1336"/>
  <c r="K1336" s="1"/>
  <c r="K1342" s="1"/>
  <c r="K1344" s="1"/>
  <c r="I1418"/>
  <c r="K1418" s="1"/>
  <c r="K1424" s="1"/>
  <c r="K1426" s="1"/>
  <c r="D272" i="37" s="1"/>
  <c r="I1706" i="39"/>
  <c r="K1706" s="1"/>
  <c r="P1333"/>
  <c r="I1249"/>
  <c r="I620"/>
  <c r="K620" s="1"/>
  <c r="K625" s="1"/>
  <c r="K627" s="1"/>
  <c r="I628" s="1"/>
  <c r="K628" s="1"/>
  <c r="P348"/>
  <c r="R348" s="1"/>
  <c r="R354" s="1"/>
  <c r="R356" s="1"/>
  <c r="P296"/>
  <c r="R296" s="1"/>
  <c r="R302" s="1"/>
  <c r="R304" s="1"/>
  <c r="I1220"/>
  <c r="P196"/>
  <c r="V802"/>
  <c r="K809"/>
  <c r="V644"/>
  <c r="H298" i="37"/>
  <c r="N298"/>
  <c r="F298"/>
  <c r="I592" i="39"/>
  <c r="K592" s="1"/>
  <c r="D554" i="37"/>
  <c r="D182"/>
  <c r="N303"/>
  <c r="H303"/>
  <c r="F303"/>
  <c r="K4025" i="39"/>
  <c r="I4036"/>
  <c r="K4036" s="1"/>
  <c r="N209" i="37"/>
  <c r="F209"/>
  <c r="H209"/>
  <c r="H292"/>
  <c r="N292"/>
  <c r="F292"/>
  <c r="V1467" i="39"/>
  <c r="X1467" s="1"/>
  <c r="X1443"/>
  <c r="X593"/>
  <c r="D560" i="37"/>
  <c r="I1200" i="39"/>
  <c r="K1200" s="1"/>
  <c r="K1211" s="1"/>
  <c r="K1213" s="1"/>
  <c r="I1405"/>
  <c r="K1405" s="1"/>
  <c r="K1412" s="1"/>
  <c r="K1414" s="1"/>
  <c r="D271" i="37" s="1"/>
  <c r="I411" i="39"/>
  <c r="K411" s="1"/>
  <c r="K418" s="1"/>
  <c r="K420" s="1"/>
  <c r="I487"/>
  <c r="K487" s="1"/>
  <c r="K495" s="1"/>
  <c r="K497" s="1"/>
  <c r="I445"/>
  <c r="K445" s="1"/>
  <c r="K452" s="1"/>
  <c r="K454" s="1"/>
  <c r="I459" s="1"/>
  <c r="K459" s="1"/>
  <c r="K463" s="1"/>
  <c r="K465" s="1"/>
  <c r="K467" s="1"/>
  <c r="P232"/>
  <c r="R232" s="1"/>
  <c r="AQ133"/>
  <c r="P362"/>
  <c r="R362" s="1"/>
  <c r="R370" s="1"/>
  <c r="R372" s="1"/>
  <c r="I356"/>
  <c r="AQ108"/>
  <c r="AS108" s="1"/>
  <c r="P164"/>
  <c r="R164" s="1"/>
  <c r="I380"/>
  <c r="V3605"/>
  <c r="X3588"/>
  <c r="P1111"/>
  <c r="R1111" s="1"/>
  <c r="R1089"/>
  <c r="K3242"/>
  <c r="I3267"/>
  <c r="K3267" s="1"/>
  <c r="P2855"/>
  <c r="R2855" s="1"/>
  <c r="R2822"/>
  <c r="R3236"/>
  <c r="R3238" s="1"/>
  <c r="X1399"/>
  <c r="D238" i="37" s="1"/>
  <c r="V816" i="39"/>
  <c r="X816" s="1"/>
  <c r="X801"/>
  <c r="H203" i="37"/>
  <c r="N203"/>
  <c r="F203"/>
  <c r="K4012" i="39"/>
  <c r="I4027"/>
  <c r="M158" i="37"/>
  <c r="H158"/>
  <c r="AB1419" i="39"/>
  <c r="AD1419" s="1"/>
  <c r="AD1402"/>
  <c r="V3114"/>
  <c r="R3154"/>
  <c r="K1054"/>
  <c r="K1064" s="1"/>
  <c r="K1066" s="1"/>
  <c r="P988"/>
  <c r="R988" s="1"/>
  <c r="P1065"/>
  <c r="R1065" s="1"/>
  <c r="P1090"/>
  <c r="AE1063"/>
  <c r="AG1063" s="1"/>
  <c r="AG1073" s="1"/>
  <c r="AG1075" s="1"/>
  <c r="D518" i="37"/>
  <c r="D230"/>
  <c r="X1444" i="39"/>
  <c r="V1468"/>
  <c r="X1468" s="1"/>
  <c r="H314" i="37"/>
  <c r="F314"/>
  <c r="N314"/>
  <c r="P1091" i="39"/>
  <c r="K1017"/>
  <c r="AE2650"/>
  <c r="AG2650" s="1"/>
  <c r="AE2616"/>
  <c r="AG2616" s="1"/>
  <c r="AG2627" s="1"/>
  <c r="AG2629" s="1"/>
  <c r="D538" i="37" s="1"/>
  <c r="Z2600" i="39"/>
  <c r="Z2610" s="1"/>
  <c r="Z2611" s="1"/>
  <c r="X2602"/>
  <c r="V3624"/>
  <c r="X3625" s="1"/>
  <c r="X3609"/>
  <c r="P180"/>
  <c r="R180" s="1"/>
  <c r="I336"/>
  <c r="AQ88"/>
  <c r="AS88" s="1"/>
  <c r="I2899"/>
  <c r="K2899" s="1"/>
  <c r="K505"/>
  <c r="P2155"/>
  <c r="R2155" s="1"/>
  <c r="R2163" s="1"/>
  <c r="R2165" s="1"/>
  <c r="K2148"/>
  <c r="K2156" s="1"/>
  <c r="K2158" s="1"/>
  <c r="D332" i="37" s="1"/>
  <c r="H553"/>
  <c r="F553"/>
  <c r="N553"/>
  <c r="D912"/>
  <c r="N912" s="1"/>
  <c r="D521"/>
  <c r="P2854" i="39"/>
  <c r="R2854" s="1"/>
  <c r="R2821"/>
  <c r="N208" i="37"/>
  <c r="F208"/>
  <c r="H208"/>
  <c r="H265"/>
  <c r="N265"/>
  <c r="F265"/>
  <c r="K4020" i="39"/>
  <c r="I4021"/>
  <c r="K4021" s="1"/>
  <c r="H559" i="37"/>
  <c r="N559"/>
  <c r="F559"/>
  <c r="I3807" i="39"/>
  <c r="K3807" s="1"/>
  <c r="K3812" s="1"/>
  <c r="K3814" s="1"/>
  <c r="D834" i="37" s="1"/>
  <c r="I1271" i="39"/>
  <c r="AB1332"/>
  <c r="AC1332" s="1"/>
  <c r="AC1336" s="1"/>
  <c r="AC1337" s="1"/>
  <c r="I211"/>
  <c r="K211" s="1"/>
  <c r="P307"/>
  <c r="R307" s="1"/>
  <c r="R313" s="1"/>
  <c r="R315" s="1"/>
  <c r="P319"/>
  <c r="R319" s="1"/>
  <c r="R325" s="1"/>
  <c r="R327" s="1"/>
  <c r="P66"/>
  <c r="R66" s="1"/>
  <c r="P1382"/>
  <c r="R1382" s="1"/>
  <c r="V1246"/>
  <c r="R1266"/>
  <c r="P1243"/>
  <c r="R1243" s="1"/>
  <c r="K4014"/>
  <c r="K4015" s="1"/>
  <c r="D685" i="37" s="1"/>
  <c r="R998" i="39"/>
  <c r="R1000" s="1"/>
  <c r="D540" i="37" s="1"/>
  <c r="AC1207" i="39"/>
  <c r="AC1208" s="1"/>
  <c r="AJ1206"/>
  <c r="H289" i="37"/>
  <c r="N289"/>
  <c r="F289"/>
  <c r="K3960" i="39"/>
  <c r="I3977"/>
  <c r="K3977" s="1"/>
  <c r="H220" i="37"/>
  <c r="N220"/>
  <c r="F220"/>
  <c r="Z15" i="39"/>
  <c r="AC15" s="1"/>
  <c r="AC14"/>
  <c r="AS92"/>
  <c r="AQ112"/>
  <c r="P1174"/>
  <c r="R1174" s="1"/>
  <c r="R1143"/>
  <c r="H802" i="37"/>
  <c r="N802"/>
  <c r="F802"/>
  <c r="I3252" i="39"/>
  <c r="K3252" s="1"/>
  <c r="K3258" s="1"/>
  <c r="K3260" s="1"/>
  <c r="I1453"/>
  <c r="K1453" s="1"/>
  <c r="K1458" s="1"/>
  <c r="K1460" s="1"/>
  <c r="D274" i="37" s="1"/>
  <c r="I1478" i="39"/>
  <c r="K1478" s="1"/>
  <c r="K1483" s="1"/>
  <c r="K1485" s="1"/>
  <c r="D276" i="37" s="1"/>
  <c r="I1392" i="39"/>
  <c r="K1392" s="1"/>
  <c r="K1398" s="1"/>
  <c r="K1400" s="1"/>
  <c r="I1465"/>
  <c r="K1465" s="1"/>
  <c r="K1470" s="1"/>
  <c r="K1472" s="1"/>
  <c r="D275" i="37" s="1"/>
  <c r="P336" i="39"/>
  <c r="R336" s="1"/>
  <c r="R342" s="1"/>
  <c r="R344" s="1"/>
  <c r="V312"/>
  <c r="X312" s="1"/>
  <c r="X319" s="1"/>
  <c r="X321" s="1"/>
  <c r="I196"/>
  <c r="K196" s="1"/>
  <c r="P80"/>
  <c r="R80" s="1"/>
  <c r="R87" s="1"/>
  <c r="R89" s="1"/>
  <c r="AE312"/>
  <c r="AG312" s="1"/>
  <c r="AG319" s="1"/>
  <c r="AG321" s="1"/>
  <c r="I312"/>
  <c r="K312" s="1"/>
  <c r="K319" s="1"/>
  <c r="K321" s="1"/>
  <c r="I297"/>
  <c r="K297" s="1"/>
  <c r="K304" s="1"/>
  <c r="K306" s="1"/>
  <c r="D40" i="37" s="1"/>
  <c r="AQ64" i="39"/>
  <c r="AS64" s="1"/>
  <c r="AS71" s="1"/>
  <c r="AS73" s="1"/>
  <c r="AS75" s="1"/>
  <c r="AS76" s="1"/>
  <c r="AS77" s="1"/>
  <c r="AS78" s="1"/>
  <c r="AS79" s="1"/>
  <c r="H758" i="37"/>
  <c r="N758"/>
  <c r="F758"/>
  <c r="H223"/>
  <c r="F223"/>
  <c r="N223"/>
  <c r="P1496" i="39"/>
  <c r="V1426"/>
  <c r="X1426" s="1"/>
  <c r="R1465"/>
  <c r="R1471" s="1"/>
  <c r="V676"/>
  <c r="X676" s="1"/>
  <c r="X706"/>
  <c r="Z706" s="1"/>
  <c r="H288" i="37"/>
  <c r="N288"/>
  <c r="F288"/>
  <c r="K3921" i="39"/>
  <c r="I3939"/>
  <c r="R1491"/>
  <c r="V1452"/>
  <c r="H202" i="37"/>
  <c r="N202"/>
  <c r="F202"/>
  <c r="V3562" i="39"/>
  <c r="X3546"/>
  <c r="AB1451"/>
  <c r="AD1451" s="1"/>
  <c r="X1453"/>
  <c r="X1455"/>
  <c r="AB1453"/>
  <c r="AD1453" s="1"/>
  <c r="X1241"/>
  <c r="AB1246"/>
  <c r="AQ109"/>
  <c r="AS89"/>
  <c r="R3292"/>
  <c r="R3303" s="1"/>
  <c r="R3305" s="1"/>
  <c r="D901" i="37" s="1"/>
  <c r="N901" s="1"/>
  <c r="P3361" i="39"/>
  <c r="R3361" s="1"/>
  <c r="R3372" s="1"/>
  <c r="R3374" s="1"/>
  <c r="D899" i="37" s="1"/>
  <c r="N899" s="1"/>
  <c r="P3395" i="39"/>
  <c r="R3395" s="1"/>
  <c r="R3406" s="1"/>
  <c r="R3408" s="1"/>
  <c r="D900" i="37" s="1"/>
  <c r="N900" s="1"/>
  <c r="R3535" i="39"/>
  <c r="P3551"/>
  <c r="R3551" s="1"/>
  <c r="AD1245"/>
  <c r="AB1217"/>
  <c r="P1500"/>
  <c r="V1430"/>
  <c r="X1430" s="1"/>
  <c r="P1477"/>
  <c r="R1469"/>
  <c r="H10" i="37"/>
  <c r="N10"/>
  <c r="F10"/>
  <c r="AB1411" i="39"/>
  <c r="X1413"/>
  <c r="K615"/>
  <c r="I615"/>
  <c r="D565" i="37"/>
  <c r="D189"/>
  <c r="N507"/>
  <c r="H507"/>
  <c r="F507"/>
  <c r="V3715" i="39"/>
  <c r="X3715" s="1"/>
  <c r="X3723" s="1"/>
  <c r="X3724" s="1"/>
  <c r="X3701"/>
  <c r="X3709" s="1"/>
  <c r="X3710" s="1"/>
  <c r="I2956"/>
  <c r="K2956" s="1"/>
  <c r="K2947"/>
  <c r="I3978"/>
  <c r="K3978" s="1"/>
  <c r="K3961"/>
  <c r="P48" i="37"/>
  <c r="B48"/>
  <c r="K2948" i="39"/>
  <c r="I2957"/>
  <c r="K2957" s="1"/>
  <c r="W590"/>
  <c r="R22"/>
  <c r="R28" s="1"/>
  <c r="R30" s="1"/>
  <c r="H331" i="37"/>
  <c r="F331"/>
  <c r="N331"/>
  <c r="K152" i="35"/>
  <c r="H153"/>
  <c r="H197" s="1"/>
  <c r="H198" s="1"/>
  <c r="H181" i="37"/>
  <c r="N181"/>
  <c r="F181"/>
  <c r="X3572" i="39"/>
  <c r="V3587"/>
  <c r="I2897"/>
  <c r="K2897" s="1"/>
  <c r="K503"/>
  <c r="K511" s="1"/>
  <c r="K513" s="1"/>
  <c r="R1263"/>
  <c r="V1243"/>
  <c r="P1240"/>
  <c r="R1240" s="1"/>
  <c r="AB1247"/>
  <c r="X1242"/>
  <c r="P2348"/>
  <c r="R2348" s="1"/>
  <c r="K140"/>
  <c r="K144" s="1"/>
  <c r="X1432"/>
  <c r="R1075"/>
  <c r="R1077" s="1"/>
  <c r="D541" i="37" s="1"/>
  <c r="I86" i="28"/>
  <c r="I90" s="1"/>
  <c r="I14"/>
  <c r="I63"/>
  <c r="I15"/>
  <c r="I27"/>
  <c r="I29" s="1"/>
  <c r="F41"/>
  <c r="F40"/>
  <c r="F42" s="1"/>
  <c r="I42" s="1"/>
  <c r="I98"/>
  <c r="I23"/>
  <c r="I37"/>
  <c r="D902" i="37" l="1"/>
  <c r="N902" s="1"/>
  <c r="D896"/>
  <c r="N896" s="1"/>
  <c r="D234"/>
  <c r="D539"/>
  <c r="H538"/>
  <c r="N538"/>
  <c r="F538"/>
  <c r="H225"/>
  <c r="N225"/>
  <c r="F225"/>
  <c r="G426"/>
  <c r="E1436" i="35"/>
  <c r="H1436" s="1"/>
  <c r="H1439" s="1"/>
  <c r="E1440" s="1"/>
  <c r="H1440" s="1"/>
  <c r="H1441" s="1"/>
  <c r="G575" i="37" s="1"/>
  <c r="K616" i="39"/>
  <c r="I616"/>
  <c r="D566" i="37"/>
  <c r="D190"/>
  <c r="K3939" i="39"/>
  <c r="I3955"/>
  <c r="P597"/>
  <c r="R597" s="1"/>
  <c r="P654"/>
  <c r="R654" s="1"/>
  <c r="P611"/>
  <c r="R611" s="1"/>
  <c r="H275" i="37"/>
  <c r="N275"/>
  <c r="F275"/>
  <c r="V800" i="39"/>
  <c r="V705"/>
  <c r="C73"/>
  <c r="I175"/>
  <c r="K175" s="1"/>
  <c r="K179" s="1"/>
  <c r="H540" i="37"/>
  <c r="N540"/>
  <c r="F540"/>
  <c r="P1113" i="39"/>
  <c r="R1113" s="1"/>
  <c r="R1091"/>
  <c r="L3233"/>
  <c r="L3239" s="1"/>
  <c r="L3241" s="1"/>
  <c r="K3273"/>
  <c r="K3275" s="1"/>
  <c r="D970" i="37" s="1"/>
  <c r="N970" s="1"/>
  <c r="AU108" i="39"/>
  <c r="AV108"/>
  <c r="H271" i="37"/>
  <c r="N271"/>
  <c r="F271"/>
  <c r="P655" i="39"/>
  <c r="R655" s="1"/>
  <c r="P598"/>
  <c r="R598" s="1"/>
  <c r="P612"/>
  <c r="R612" s="1"/>
  <c r="V1332"/>
  <c r="X1332" s="1"/>
  <c r="X1345" s="1"/>
  <c r="X1347" s="1"/>
  <c r="P1373"/>
  <c r="R1373" s="1"/>
  <c r="R1386" s="1"/>
  <c r="R1388" s="1"/>
  <c r="R1333"/>
  <c r="R1338" s="1"/>
  <c r="R1340" s="1"/>
  <c r="R1341" s="1"/>
  <c r="R1342" s="1"/>
  <c r="R1343" s="1"/>
  <c r="R1344" s="1"/>
  <c r="R1345" s="1"/>
  <c r="Q1341" s="1"/>
  <c r="Q1342" s="1"/>
  <c r="V1299"/>
  <c r="AB1189"/>
  <c r="K3455"/>
  <c r="K3468" s="1"/>
  <c r="K3470" s="1"/>
  <c r="P3461"/>
  <c r="R3461" s="1"/>
  <c r="R3474" s="1"/>
  <c r="R3476" s="1"/>
  <c r="I3822"/>
  <c r="K3822" s="1"/>
  <c r="K3835" s="1"/>
  <c r="K3837" s="1"/>
  <c r="D833" i="37" s="1"/>
  <c r="W543" i="39"/>
  <c r="AC543" s="1"/>
  <c r="J544"/>
  <c r="H228" i="37"/>
  <c r="N228"/>
  <c r="F228"/>
  <c r="AE3544" i="39"/>
  <c r="AG3544" s="1"/>
  <c r="AG3548" s="1"/>
  <c r="AG3549" s="1"/>
  <c r="D725" i="37" s="1"/>
  <c r="V3544" i="39"/>
  <c r="K3544"/>
  <c r="K3548" s="1"/>
  <c r="K3549" s="1"/>
  <c r="D722" i="37" s="1"/>
  <c r="N478"/>
  <c r="P478"/>
  <c r="B478"/>
  <c r="F478" s="1"/>
  <c r="I3300" i="39"/>
  <c r="K3300" s="1"/>
  <c r="P853"/>
  <c r="R853" s="1"/>
  <c r="K860"/>
  <c r="V860"/>
  <c r="X860" s="1"/>
  <c r="L3177"/>
  <c r="L3180" s="1"/>
  <c r="L3182" s="1"/>
  <c r="K3214"/>
  <c r="K3216" s="1"/>
  <c r="D968" i="37" s="1"/>
  <c r="N968" s="1"/>
  <c r="N33"/>
  <c r="H33"/>
  <c r="F33"/>
  <c r="H532"/>
  <c r="N532"/>
  <c r="F532"/>
  <c r="K4029" i="39"/>
  <c r="K4030" s="1"/>
  <c r="D686" i="37" s="1"/>
  <c r="AD1247" i="39"/>
  <c r="AB1219"/>
  <c r="AD1219" s="1"/>
  <c r="R1500"/>
  <c r="V1461"/>
  <c r="H40" i="37"/>
  <c r="N40"/>
  <c r="F40"/>
  <c r="H521"/>
  <c r="N521"/>
  <c r="F521"/>
  <c r="P1112" i="39"/>
  <c r="R1112" s="1"/>
  <c r="R1090"/>
  <c r="L3208"/>
  <c r="L3211" s="1"/>
  <c r="K3245"/>
  <c r="K3247" s="1"/>
  <c r="D967" i="37" s="1"/>
  <c r="N967" s="1"/>
  <c r="X3605" i="39"/>
  <c r="V3620"/>
  <c r="X3621" s="1"/>
  <c r="V356"/>
  <c r="K356"/>
  <c r="K363" s="1"/>
  <c r="K365" s="1"/>
  <c r="K367" s="1"/>
  <c r="I2441"/>
  <c r="K2441" s="1"/>
  <c r="K2446" s="1"/>
  <c r="K2448" s="1"/>
  <c r="D259" i="37"/>
  <c r="N182"/>
  <c r="F182"/>
  <c r="H182"/>
  <c r="X802" i="39"/>
  <c r="V817"/>
  <c r="X817" s="1"/>
  <c r="AQ166"/>
  <c r="AS166" s="1"/>
  <c r="AS135"/>
  <c r="H516" i="37"/>
  <c r="F516"/>
  <c r="N516"/>
  <c r="H828"/>
  <c r="N828"/>
  <c r="F828"/>
  <c r="I1971" i="39"/>
  <c r="I2105"/>
  <c r="K2105" s="1"/>
  <c r="K2111" s="1"/>
  <c r="I1991"/>
  <c r="P610"/>
  <c r="R610" s="1"/>
  <c r="P596"/>
  <c r="R596" s="1"/>
  <c r="P623"/>
  <c r="R623" s="1"/>
  <c r="H541" i="37"/>
  <c r="N541"/>
  <c r="F541"/>
  <c r="AB1248" i="39"/>
  <c r="X1243"/>
  <c r="X3587"/>
  <c r="V3604"/>
  <c r="V1438"/>
  <c r="R1477"/>
  <c r="R1478" s="1"/>
  <c r="R1479" s="1"/>
  <c r="P1484"/>
  <c r="AD1246"/>
  <c r="AB1218"/>
  <c r="AG323"/>
  <c r="D42" i="37"/>
  <c r="H274"/>
  <c r="N274"/>
  <c r="F274"/>
  <c r="X1246" i="39"/>
  <c r="AB1251"/>
  <c r="H834" i="37"/>
  <c r="N834"/>
  <c r="F834"/>
  <c r="V336" i="39"/>
  <c r="K336"/>
  <c r="K343" s="1"/>
  <c r="K345" s="1"/>
  <c r="K347" s="1"/>
  <c r="H518" i="37"/>
  <c r="F518"/>
  <c r="N518"/>
  <c r="K4027" i="39"/>
  <c r="I4039"/>
  <c r="K4039" s="1"/>
  <c r="K4041" s="1"/>
  <c r="K4042" s="1"/>
  <c r="D687" i="37" s="1"/>
  <c r="AS133" i="39"/>
  <c r="AQ164"/>
  <c r="AS164" s="1"/>
  <c r="I426"/>
  <c r="K426" s="1"/>
  <c r="K430" s="1"/>
  <c r="K432" s="1"/>
  <c r="K434" s="1"/>
  <c r="P267"/>
  <c r="R267" s="1"/>
  <c r="R271" s="1"/>
  <c r="R273" s="1"/>
  <c r="R275" s="1"/>
  <c r="R276" s="1"/>
  <c r="R277" s="1"/>
  <c r="R278" s="1"/>
  <c r="X594"/>
  <c r="X595" s="1"/>
  <c r="D561" i="37"/>
  <c r="I593" i="39"/>
  <c r="K593" s="1"/>
  <c r="D555" i="37"/>
  <c r="D183"/>
  <c r="AD644" i="39"/>
  <c r="AF644" s="1"/>
  <c r="AF650" s="1"/>
  <c r="AF652" s="1"/>
  <c r="AF654" s="1"/>
  <c r="V707"/>
  <c r="X644"/>
  <c r="X650" s="1"/>
  <c r="X652" s="1"/>
  <c r="X654" s="1"/>
  <c r="P1216"/>
  <c r="K1220"/>
  <c r="K1238" s="1"/>
  <c r="K1241" s="1"/>
  <c r="K1249"/>
  <c r="K1262" s="1"/>
  <c r="K1264" s="1"/>
  <c r="V1278"/>
  <c r="X1278" s="1"/>
  <c r="X1291" s="1"/>
  <c r="X1293" s="1"/>
  <c r="D649" i="37" s="1"/>
  <c r="I1377" i="39"/>
  <c r="K1377" s="1"/>
  <c r="K1385" s="1"/>
  <c r="K1387" s="1"/>
  <c r="V1333"/>
  <c r="X1333" s="1"/>
  <c r="I1355"/>
  <c r="K1355" s="1"/>
  <c r="P2431"/>
  <c r="R2431" s="1"/>
  <c r="R2440" s="1"/>
  <c r="R2442" s="1"/>
  <c r="D887" i="37" s="1"/>
  <c r="N887" s="1"/>
  <c r="K2424" i="39"/>
  <c r="K2433" s="1"/>
  <c r="K2435" s="1"/>
  <c r="D884" i="37" s="1"/>
  <c r="N884" s="1"/>
  <c r="K3280" i="39"/>
  <c r="K3291" s="1"/>
  <c r="K3293" s="1"/>
  <c r="V3248"/>
  <c r="X3248" s="1"/>
  <c r="X3259" s="1"/>
  <c r="X3261" s="1"/>
  <c r="AB1222"/>
  <c r="AD1222" s="1"/>
  <c r="AD1250"/>
  <c r="AB1252"/>
  <c r="X1247"/>
  <c r="H224" i="37"/>
  <c r="N224"/>
  <c r="F224"/>
  <c r="R1122" i="39"/>
  <c r="R1124" s="1"/>
  <c r="D892" i="37" s="1"/>
  <c r="N892" s="1"/>
  <c r="X1415" i="39"/>
  <c r="I550"/>
  <c r="K550" s="1"/>
  <c r="K555" s="1"/>
  <c r="K557" s="1"/>
  <c r="I526"/>
  <c r="K526" s="1"/>
  <c r="K531" s="1"/>
  <c r="K533" s="1"/>
  <c r="I535" s="1"/>
  <c r="K535" s="1"/>
  <c r="K517"/>
  <c r="K519" s="1"/>
  <c r="H189" i="37"/>
  <c r="F189"/>
  <c r="N189"/>
  <c r="R1496" i="39"/>
  <c r="R1502" s="1"/>
  <c r="V1457"/>
  <c r="P628"/>
  <c r="R628" s="1"/>
  <c r="D270" i="37"/>
  <c r="P2346" i="39"/>
  <c r="I167"/>
  <c r="K167" s="1"/>
  <c r="K171" s="1"/>
  <c r="P231"/>
  <c r="R231" s="1"/>
  <c r="R238" s="1"/>
  <c r="R240" s="1"/>
  <c r="C74"/>
  <c r="H685" i="37"/>
  <c r="F685"/>
  <c r="N685"/>
  <c r="P657" i="39"/>
  <c r="R657" s="1"/>
  <c r="K468"/>
  <c r="D146" i="37"/>
  <c r="AD1244" i="39"/>
  <c r="AB1216"/>
  <c r="X878"/>
  <c r="V894"/>
  <c r="X894" s="1"/>
  <c r="L3192"/>
  <c r="L3195" s="1"/>
  <c r="L3197" s="1"/>
  <c r="K3229"/>
  <c r="K3231" s="1"/>
  <c r="D969" i="37" s="1"/>
  <c r="N969" s="1"/>
  <c r="AS1223" i="39"/>
  <c r="AU1223" s="1"/>
  <c r="D27" i="37"/>
  <c r="H565"/>
  <c r="F565"/>
  <c r="N565"/>
  <c r="AD1411" i="39"/>
  <c r="AB1428"/>
  <c r="AD1428" s="1"/>
  <c r="AS1220"/>
  <c r="AU1220" s="1"/>
  <c r="AD1217"/>
  <c r="AS109"/>
  <c r="AS115" s="1"/>
  <c r="AQ134"/>
  <c r="V3578"/>
  <c r="X3562"/>
  <c r="X1452"/>
  <c r="AB1450"/>
  <c r="AD1450" s="1"/>
  <c r="P625"/>
  <c r="R625" s="1"/>
  <c r="P624"/>
  <c r="R624" s="1"/>
  <c r="K323"/>
  <c r="D45" i="37"/>
  <c r="X323" i="39"/>
  <c r="D41" i="37"/>
  <c r="H276"/>
  <c r="N276"/>
  <c r="F276"/>
  <c r="AS112" i="39"/>
  <c r="AQ137"/>
  <c r="AB1264"/>
  <c r="AD1264" s="1"/>
  <c r="AD1269" s="1"/>
  <c r="AD1271" s="1"/>
  <c r="I1285"/>
  <c r="K1285" s="1"/>
  <c r="K1290" s="1"/>
  <c r="K1292" s="1"/>
  <c r="D650" i="37" s="1"/>
  <c r="K1271" i="39"/>
  <c r="K1276" s="1"/>
  <c r="K1278" s="1"/>
  <c r="H332" i="37"/>
  <c r="F332"/>
  <c r="N332"/>
  <c r="H230"/>
  <c r="N230"/>
  <c r="F230"/>
  <c r="I4064" i="39"/>
  <c r="K4064" s="1"/>
  <c r="K4074" s="1"/>
  <c r="K4076" s="1"/>
  <c r="X3114"/>
  <c r="X3124" s="1"/>
  <c r="X3126" s="1"/>
  <c r="D741" i="37" s="1"/>
  <c r="V3131" i="39"/>
  <c r="P158" i="37"/>
  <c r="B158"/>
  <c r="F158" s="1"/>
  <c r="N158"/>
  <c r="H238"/>
  <c r="N238"/>
  <c r="F238"/>
  <c r="K380" i="39"/>
  <c r="K387" s="1"/>
  <c r="K389" s="1"/>
  <c r="I394" s="1"/>
  <c r="K394" s="1"/>
  <c r="K398" s="1"/>
  <c r="K400" s="1"/>
  <c r="V380"/>
  <c r="H560" i="37"/>
  <c r="F560"/>
  <c r="N560"/>
  <c r="H554"/>
  <c r="N554"/>
  <c r="F554"/>
  <c r="V196" i="39"/>
  <c r="X196" s="1"/>
  <c r="R196"/>
  <c r="I629"/>
  <c r="K629" s="1"/>
  <c r="D547" i="37"/>
  <c r="H272"/>
  <c r="N272"/>
  <c r="F272"/>
  <c r="L1412" i="39"/>
  <c r="K1440"/>
  <c r="K1442" s="1"/>
  <c r="AU110"/>
  <c r="AV110"/>
  <c r="AS111"/>
  <c r="AQ136"/>
  <c r="D519" i="37"/>
  <c r="D231"/>
  <c r="H537"/>
  <c r="N537"/>
  <c r="F537"/>
  <c r="P3548" i="39"/>
  <c r="R3548" s="1"/>
  <c r="R3552" s="1"/>
  <c r="R3553" s="1"/>
  <c r="R3532"/>
  <c r="R3536" s="1"/>
  <c r="R3537" s="1"/>
  <c r="AB1424"/>
  <c r="AD1424" s="1"/>
  <c r="AD1430" s="1"/>
  <c r="AD1407"/>
  <c r="AD1413" s="1"/>
  <c r="P2831"/>
  <c r="I2824"/>
  <c r="K2824" s="1"/>
  <c r="K2825" s="1"/>
  <c r="K2827" s="1"/>
  <c r="D529" i="37" s="1"/>
  <c r="R1121" i="39"/>
  <c r="H536" i="37"/>
  <c r="N536"/>
  <c r="F536"/>
  <c r="K2905" i="39"/>
  <c r="K2907" s="1"/>
  <c r="K2911" s="1"/>
  <c r="AS95"/>
  <c r="AS97" s="1"/>
  <c r="AS99" s="1"/>
  <c r="R1101"/>
  <c r="R1103" s="1"/>
  <c r="I17" i="28"/>
  <c r="I40"/>
  <c r="F56"/>
  <c r="I41"/>
  <c r="F57"/>
  <c r="AS117" i="39" l="1"/>
  <c r="AV115"/>
  <c r="AU115"/>
  <c r="N687" i="37"/>
  <c r="H687"/>
  <c r="F687"/>
  <c r="AU111" i="39"/>
  <c r="AV111"/>
  <c r="I536"/>
  <c r="K536" s="1"/>
  <c r="D161" i="37"/>
  <c r="AQ167" i="39"/>
  <c r="AS167" s="1"/>
  <c r="AS136"/>
  <c r="I1989"/>
  <c r="D889" i="37"/>
  <c r="N889" s="1"/>
  <c r="D477"/>
  <c r="K402" i="39"/>
  <c r="D96" i="37"/>
  <c r="H741"/>
  <c r="N741"/>
  <c r="F741"/>
  <c r="D568"/>
  <c r="D263"/>
  <c r="AU112" i="39"/>
  <c r="AV112"/>
  <c r="H41" i="37"/>
  <c r="N41"/>
  <c r="F41"/>
  <c r="K469" i="39"/>
  <c r="D147" i="37"/>
  <c r="P2355" i="39"/>
  <c r="R2355" s="1"/>
  <c r="R2357" s="1"/>
  <c r="D613" i="37" s="1"/>
  <c r="R2346" i="39"/>
  <c r="K520"/>
  <c r="K521" s="1"/>
  <c r="K522" s="1"/>
  <c r="L519"/>
  <c r="AD1252"/>
  <c r="AB1224"/>
  <c r="AD1224" s="1"/>
  <c r="P284"/>
  <c r="R284" s="1"/>
  <c r="R289" s="1"/>
  <c r="R291" s="1"/>
  <c r="D261" i="37"/>
  <c r="AF657" i="39"/>
  <c r="AF655"/>
  <c r="H561" i="37"/>
  <c r="N561"/>
  <c r="F561"/>
  <c r="AU164" i="39"/>
  <c r="AV164"/>
  <c r="AE336"/>
  <c r="AG336" s="1"/>
  <c r="AG343" s="1"/>
  <c r="AG345" s="1"/>
  <c r="AG347" s="1"/>
  <c r="AG348" s="1"/>
  <c r="AG349" s="1"/>
  <c r="AG350" s="1"/>
  <c r="AG351" s="1"/>
  <c r="AG352" s="1"/>
  <c r="X336"/>
  <c r="X343" s="1"/>
  <c r="X345" s="1"/>
  <c r="X347" s="1"/>
  <c r="X348" s="1"/>
  <c r="X349" s="1"/>
  <c r="X350" s="1"/>
  <c r="X351" s="1"/>
  <c r="AB1223"/>
  <c r="AD1223" s="1"/>
  <c r="AD1251"/>
  <c r="V3619"/>
  <c r="X3620" s="1"/>
  <c r="X3604"/>
  <c r="K1971"/>
  <c r="K1977" s="1"/>
  <c r="P1971"/>
  <c r="R1971" s="1"/>
  <c r="R1978" s="1"/>
  <c r="D779" i="37" s="1"/>
  <c r="AU166" i="39"/>
  <c r="AV166" s="1"/>
  <c r="K368"/>
  <c r="L368" s="1"/>
  <c r="J367"/>
  <c r="H725" i="37"/>
  <c r="N725"/>
  <c r="F725"/>
  <c r="W544" i="39"/>
  <c r="AC544" s="1"/>
  <c r="J545"/>
  <c r="V675"/>
  <c r="X675" s="1"/>
  <c r="X705"/>
  <c r="I3972"/>
  <c r="K3972" s="1"/>
  <c r="K3955"/>
  <c r="H529" i="37"/>
  <c r="N529"/>
  <c r="F529"/>
  <c r="H547"/>
  <c r="N547"/>
  <c r="F547"/>
  <c r="H650"/>
  <c r="N650"/>
  <c r="F650"/>
  <c r="I195" i="39"/>
  <c r="V195"/>
  <c r="X195" s="1"/>
  <c r="X202" s="1"/>
  <c r="X204" s="1"/>
  <c r="P1258"/>
  <c r="R1216"/>
  <c r="AV133"/>
  <c r="AU133"/>
  <c r="AS140"/>
  <c r="R1484"/>
  <c r="R1485" s="1"/>
  <c r="V1445"/>
  <c r="N686" i="37"/>
  <c r="H686"/>
  <c r="F686"/>
  <c r="AD1189" i="39"/>
  <c r="AD1194" s="1"/>
  <c r="AD1196" s="1"/>
  <c r="AI1189"/>
  <c r="AK1189" s="1"/>
  <c r="AK1194" s="1"/>
  <c r="AK1196" s="1"/>
  <c r="AK1197" s="1"/>
  <c r="K2913"/>
  <c r="D487" i="37"/>
  <c r="H519"/>
  <c r="N519"/>
  <c r="F519"/>
  <c r="AE389" i="39"/>
  <c r="V411"/>
  <c r="X411" s="1"/>
  <c r="X418" s="1"/>
  <c r="X420" s="1"/>
  <c r="V426" s="1"/>
  <c r="X426" s="1"/>
  <c r="X430" s="1"/>
  <c r="X432" s="1"/>
  <c r="X434" s="1"/>
  <c r="X380"/>
  <c r="X387" s="1"/>
  <c r="X389" s="1"/>
  <c r="V394" s="1"/>
  <c r="X394" s="1"/>
  <c r="X398" s="1"/>
  <c r="X400" s="1"/>
  <c r="V3156"/>
  <c r="X3156" s="1"/>
  <c r="X3166" s="1"/>
  <c r="X3168" s="1"/>
  <c r="D744" i="37" s="1"/>
  <c r="X3131" i="39"/>
  <c r="X3141" s="1"/>
  <c r="X3143" s="1"/>
  <c r="D788" i="37" s="1"/>
  <c r="AS137" i="39"/>
  <c r="AQ168"/>
  <c r="AS168" s="1"/>
  <c r="L323"/>
  <c r="K324"/>
  <c r="AU109"/>
  <c r="AV109" s="1"/>
  <c r="H27" i="37"/>
  <c r="N27"/>
  <c r="F27"/>
  <c r="H146"/>
  <c r="N146"/>
  <c r="F146"/>
  <c r="AB1455" i="39"/>
  <c r="AD1455" s="1"/>
  <c r="X1457"/>
  <c r="L1337"/>
  <c r="L1335"/>
  <c r="D569" i="37"/>
  <c r="D262"/>
  <c r="D570"/>
  <c r="V677" i="39"/>
  <c r="X677" s="1"/>
  <c r="X707"/>
  <c r="Z707" s="1"/>
  <c r="I594"/>
  <c r="K594" s="1"/>
  <c r="D556" i="37"/>
  <c r="D184"/>
  <c r="K435" i="39"/>
  <c r="D134" i="37"/>
  <c r="K348" i="39"/>
  <c r="L347"/>
  <c r="D47" i="37"/>
  <c r="AD1218" i="39"/>
  <c r="AS1221"/>
  <c r="AU1221" s="1"/>
  <c r="X1438"/>
  <c r="X1439" s="1"/>
  <c r="X1440" s="1"/>
  <c r="AB1436"/>
  <c r="AD1436" s="1"/>
  <c r="AD1437" s="1"/>
  <c r="AD1438" s="1"/>
  <c r="AD1248"/>
  <c r="AB1220"/>
  <c r="AD1220" s="1"/>
  <c r="D327" i="37"/>
  <c r="D324"/>
  <c r="AU135" i="39"/>
  <c r="AV135"/>
  <c r="D915" i="37"/>
  <c r="N915" s="1"/>
  <c r="D501"/>
  <c r="V3560" i="39"/>
  <c r="X3544"/>
  <c r="X3548" s="1"/>
  <c r="X3549" s="1"/>
  <c r="D724" i="37" s="1"/>
  <c r="I1705" i="39"/>
  <c r="K1705" s="1"/>
  <c r="K1711" s="1"/>
  <c r="K1713" s="1"/>
  <c r="P1141"/>
  <c r="P626"/>
  <c r="R626" s="1"/>
  <c r="P65"/>
  <c r="R65" s="1"/>
  <c r="R72" s="1"/>
  <c r="R74" s="1"/>
  <c r="P653" s="1"/>
  <c r="R653" s="1"/>
  <c r="P195"/>
  <c r="R195" s="1"/>
  <c r="R202" s="1"/>
  <c r="R204" s="1"/>
  <c r="D635" i="37" s="1"/>
  <c r="I807" i="39"/>
  <c r="K807" s="1"/>
  <c r="K815" s="1"/>
  <c r="K817" s="1"/>
  <c r="I270"/>
  <c r="K270" s="1"/>
  <c r="K278" s="1"/>
  <c r="K280" s="1"/>
  <c r="I210"/>
  <c r="K210" s="1"/>
  <c r="K217" s="1"/>
  <c r="K219" s="1"/>
  <c r="H566" i="37"/>
  <c r="F566"/>
  <c r="N566"/>
  <c r="M426"/>
  <c r="H234"/>
  <c r="F234"/>
  <c r="N234"/>
  <c r="X324" i="39"/>
  <c r="Y323"/>
  <c r="V3593"/>
  <c r="X3578"/>
  <c r="AS1219"/>
  <c r="AU1219" s="1"/>
  <c r="AD1216"/>
  <c r="H270" i="37"/>
  <c r="N270"/>
  <c r="F270"/>
  <c r="N183"/>
  <c r="F183"/>
  <c r="H183"/>
  <c r="H42"/>
  <c r="N42"/>
  <c r="F42"/>
  <c r="AE365" i="39"/>
  <c r="AG365" s="1"/>
  <c r="AG372" s="1"/>
  <c r="AG374" s="1"/>
  <c r="AG376" s="1"/>
  <c r="X356"/>
  <c r="X363" s="1"/>
  <c r="X365" s="1"/>
  <c r="X800"/>
  <c r="X811" s="1"/>
  <c r="V815"/>
  <c r="X815" s="1"/>
  <c r="X826" s="1"/>
  <c r="Z815" s="1"/>
  <c r="Z816" s="1"/>
  <c r="Z817" s="1"/>
  <c r="Z818" s="1"/>
  <c r="Z819" s="1"/>
  <c r="Z820" s="1"/>
  <c r="Z821" s="1"/>
  <c r="Z822" s="1"/>
  <c r="Z823" s="1"/>
  <c r="Z824" s="1"/>
  <c r="D567" i="37"/>
  <c r="D191"/>
  <c r="AS100" i="39"/>
  <c r="AU99"/>
  <c r="AV99" s="1"/>
  <c r="P2864"/>
  <c r="V2792"/>
  <c r="R2831"/>
  <c r="R2832" s="1"/>
  <c r="R2834" s="1"/>
  <c r="D226" i="37" s="1"/>
  <c r="I2643" i="39"/>
  <c r="H231" i="37"/>
  <c r="N231"/>
  <c r="F231"/>
  <c r="I630" i="39"/>
  <c r="K630" s="1"/>
  <c r="D548" i="37"/>
  <c r="H45"/>
  <c r="N45"/>
  <c r="F45"/>
  <c r="AS134" i="39"/>
  <c r="AQ165"/>
  <c r="AQ148"/>
  <c r="AS148" s="1"/>
  <c r="I559"/>
  <c r="K559" s="1"/>
  <c r="D174" i="37"/>
  <c r="H649"/>
  <c r="F649"/>
  <c r="N649"/>
  <c r="X655" i="39"/>
  <c r="X657"/>
  <c r="H555" i="37"/>
  <c r="N555"/>
  <c r="F555"/>
  <c r="AH323" i="39"/>
  <c r="AG324"/>
  <c r="D749" i="37"/>
  <c r="D746"/>
  <c r="D248"/>
  <c r="P1991" i="39"/>
  <c r="R1991" s="1"/>
  <c r="K1991"/>
  <c r="H259" i="37"/>
  <c r="N259"/>
  <c r="F259"/>
  <c r="X1461" i="39"/>
  <c r="X1463" s="1"/>
  <c r="D242" i="37" s="1"/>
  <c r="AB1459" i="39"/>
  <c r="AD1459" s="1"/>
  <c r="N722" i="37"/>
  <c r="H722"/>
  <c r="F722"/>
  <c r="H833"/>
  <c r="N833"/>
  <c r="F833"/>
  <c r="X1299" i="39"/>
  <c r="X1306" s="1"/>
  <c r="X1308" s="1"/>
  <c r="X1309" s="1"/>
  <c r="X1310" s="1"/>
  <c r="X1311" s="1"/>
  <c r="X1312" s="1"/>
  <c r="X1313" s="1"/>
  <c r="W1309" s="1"/>
  <c r="W1310" s="1"/>
  <c r="V1319"/>
  <c r="X1319" s="1"/>
  <c r="X1326" s="1"/>
  <c r="X1328" s="1"/>
  <c r="H190" i="37"/>
  <c r="N190"/>
  <c r="F190"/>
  <c r="H575"/>
  <c r="M575"/>
  <c r="H539"/>
  <c r="N539"/>
  <c r="F539"/>
  <c r="AD1461" i="39"/>
  <c r="K1363"/>
  <c r="K1365" s="1"/>
  <c r="D268" i="37" s="1"/>
  <c r="J51" i="28"/>
  <c r="F51"/>
  <c r="I51" s="1"/>
  <c r="I57"/>
  <c r="F73"/>
  <c r="I56"/>
  <c r="F65"/>
  <c r="I48"/>
  <c r="H242" i="37" l="1"/>
  <c r="N242"/>
  <c r="F242"/>
  <c r="AG325" i="39"/>
  <c r="AG326" s="1"/>
  <c r="AG327" s="1"/>
  <c r="AH325"/>
  <c r="AH324"/>
  <c r="AU148"/>
  <c r="AV148" s="1"/>
  <c r="H226" i="37"/>
  <c r="N226"/>
  <c r="F226"/>
  <c r="X3593" i="39"/>
  <c r="V3610"/>
  <c r="H635" i="37"/>
  <c r="N635"/>
  <c r="F635"/>
  <c r="I2383" i="39"/>
  <c r="K2383" s="1"/>
  <c r="K2390" s="1"/>
  <c r="K2392" s="1"/>
  <c r="D577" i="37" s="1"/>
  <c r="I1720" i="39"/>
  <c r="K1720" s="1"/>
  <c r="K1725" s="1"/>
  <c r="K1727" s="1"/>
  <c r="I1731"/>
  <c r="K1731" s="1"/>
  <c r="K1734" s="1"/>
  <c r="K1736" s="1"/>
  <c r="I1741" s="1"/>
  <c r="K1741" s="1"/>
  <c r="K1744" s="1"/>
  <c r="K1746" s="1"/>
  <c r="H327" i="37"/>
  <c r="N327"/>
  <c r="F327"/>
  <c r="D747"/>
  <c r="D249"/>
  <c r="H184"/>
  <c r="N184"/>
  <c r="F184"/>
  <c r="K325" i="39"/>
  <c r="L324"/>
  <c r="H788" i="37"/>
  <c r="F788"/>
  <c r="N788"/>
  <c r="AE425" i="39"/>
  <c r="AG425" s="1"/>
  <c r="AG432" s="1"/>
  <c r="AG434" s="1"/>
  <c r="AE440" s="1"/>
  <c r="AG440" s="1"/>
  <c r="AG444" s="1"/>
  <c r="AG446" s="1"/>
  <c r="AG448" s="1"/>
  <c r="AG389"/>
  <c r="AG396" s="1"/>
  <c r="AG398" s="1"/>
  <c r="AE403" s="1"/>
  <c r="AG403" s="1"/>
  <c r="AG407" s="1"/>
  <c r="AG409" s="1"/>
  <c r="H487" i="37"/>
  <c r="F487"/>
  <c r="N487"/>
  <c r="R1486" i="39"/>
  <c r="S1446"/>
  <c r="T1216"/>
  <c r="T1228" s="1"/>
  <c r="T1230" s="1"/>
  <c r="R1228"/>
  <c r="R1230" s="1"/>
  <c r="H779" i="37"/>
  <c r="N779"/>
  <c r="F779"/>
  <c r="H261"/>
  <c r="N261"/>
  <c r="F261"/>
  <c r="H147"/>
  <c r="N147"/>
  <c r="F147"/>
  <c r="H568"/>
  <c r="N568"/>
  <c r="F568"/>
  <c r="H96"/>
  <c r="N96"/>
  <c r="F96"/>
  <c r="K1989" i="39"/>
  <c r="K1998" s="1"/>
  <c r="P1989"/>
  <c r="R1989" s="1"/>
  <c r="R1999" s="1"/>
  <c r="D780" i="37" s="1"/>
  <c r="I537" i="39"/>
  <c r="K537" s="1"/>
  <c r="D162" i="37"/>
  <c r="H248"/>
  <c r="N248"/>
  <c r="F248"/>
  <c r="V528" i="39"/>
  <c r="X659"/>
  <c r="X660" s="1"/>
  <c r="X661" s="1"/>
  <c r="X662" s="1"/>
  <c r="X663" s="1"/>
  <c r="X664" s="1"/>
  <c r="AQ180"/>
  <c r="AS180" s="1"/>
  <c r="AS165"/>
  <c r="AE2796"/>
  <c r="AG2796" s="1"/>
  <c r="AG2797" s="1"/>
  <c r="AG2799" s="1"/>
  <c r="X2792"/>
  <c r="X2793" s="1"/>
  <c r="X2795" s="1"/>
  <c r="AS101"/>
  <c r="AU100"/>
  <c r="AV100"/>
  <c r="P426" i="37"/>
  <c r="B426"/>
  <c r="H570"/>
  <c r="N570"/>
  <c r="F570"/>
  <c r="AS142" i="39"/>
  <c r="AU140"/>
  <c r="AV140" s="1"/>
  <c r="D315" i="37"/>
  <c r="D582"/>
  <c r="K470" i="39"/>
  <c r="D148" i="37"/>
  <c r="AU136" i="39"/>
  <c r="AV136" s="1"/>
  <c r="N268" i="37"/>
  <c r="H268"/>
  <c r="F268"/>
  <c r="H749"/>
  <c r="N749"/>
  <c r="F749"/>
  <c r="I560" i="39"/>
  <c r="K560" s="1"/>
  <c r="D175" i="37"/>
  <c r="I631" i="39"/>
  <c r="K631" s="1"/>
  <c r="D549" i="37"/>
  <c r="K2643" i="39"/>
  <c r="K2645" s="1"/>
  <c r="K2647" s="1"/>
  <c r="D535" i="37" s="1"/>
  <c r="V2612" i="39"/>
  <c r="H567" i="37"/>
  <c r="N567"/>
  <c r="F567"/>
  <c r="AG377" i="39"/>
  <c r="I2992"/>
  <c r="K821"/>
  <c r="R1141"/>
  <c r="R1152" s="1"/>
  <c r="R1156" s="1"/>
  <c r="P1172"/>
  <c r="R1172" s="1"/>
  <c r="R1183" s="1"/>
  <c r="H501" i="37"/>
  <c r="N501"/>
  <c r="F501"/>
  <c r="H324"/>
  <c r="N324"/>
  <c r="F324"/>
  <c r="H47"/>
  <c r="N47"/>
  <c r="F47"/>
  <c r="K436" i="39"/>
  <c r="D135" i="37"/>
  <c r="H569"/>
  <c r="N569"/>
  <c r="F569"/>
  <c r="AU137" i="39"/>
  <c r="AV137" s="1"/>
  <c r="X435"/>
  <c r="D110" i="37"/>
  <c r="AD1197" i="39"/>
  <c r="AD1198" s="1"/>
  <c r="D731" i="37"/>
  <c r="X1445" i="39"/>
  <c r="X1446" s="1"/>
  <c r="X1447" s="1"/>
  <c r="D748" i="37" s="1"/>
  <c r="V1469" i="39"/>
  <c r="X1469" s="1"/>
  <c r="X1470" s="1"/>
  <c r="X1471" s="1"/>
  <c r="K195"/>
  <c r="K202" s="1"/>
  <c r="K204" s="1"/>
  <c r="P163"/>
  <c r="R163" s="1"/>
  <c r="R170" s="1"/>
  <c r="R172" s="1"/>
  <c r="J546"/>
  <c r="W545"/>
  <c r="AC545" s="1"/>
  <c r="AG353"/>
  <c r="D457" i="37"/>
  <c r="AB528" i="39"/>
  <c r="AF659"/>
  <c r="AF660" s="1"/>
  <c r="AF661" s="1"/>
  <c r="AF662" s="1"/>
  <c r="AF663" s="1"/>
  <c r="AF664" s="1"/>
  <c r="H613" i="37"/>
  <c r="N613"/>
  <c r="F613"/>
  <c r="H263"/>
  <c r="N263"/>
  <c r="F263"/>
  <c r="H161"/>
  <c r="N161"/>
  <c r="F161"/>
  <c r="N575"/>
  <c r="P575"/>
  <c r="B575"/>
  <c r="F575" s="1"/>
  <c r="H724"/>
  <c r="N724"/>
  <c r="F724"/>
  <c r="K349" i="39"/>
  <c r="L348"/>
  <c r="D48" i="37"/>
  <c r="H556"/>
  <c r="F556"/>
  <c r="N556"/>
  <c r="H744"/>
  <c r="F744"/>
  <c r="N744"/>
  <c r="K2914" i="39"/>
  <c r="I2927"/>
  <c r="K2927" s="1"/>
  <c r="K2930" s="1"/>
  <c r="K2931" s="1"/>
  <c r="D492" i="37" s="1"/>
  <c r="D488"/>
  <c r="R1258" i="39"/>
  <c r="R1270" s="1"/>
  <c r="R1272" s="1"/>
  <c r="V1238"/>
  <c r="P1235"/>
  <c r="R1235" s="1"/>
  <c r="R1247" s="1"/>
  <c r="R1249" s="1"/>
  <c r="D641" i="37" s="1"/>
  <c r="X713" i="39"/>
  <c r="Z705"/>
  <c r="K369"/>
  <c r="J368"/>
  <c r="D479" i="37"/>
  <c r="K403" i="39"/>
  <c r="J402"/>
  <c r="D97" i="37"/>
  <c r="AV117" i="39"/>
  <c r="AS119"/>
  <c r="AU117"/>
  <c r="H746" i="37"/>
  <c r="N746"/>
  <c r="F746"/>
  <c r="H174"/>
  <c r="N174"/>
  <c r="F174"/>
  <c r="AU134" i="39"/>
  <c r="AV134" s="1"/>
  <c r="H548" i="37"/>
  <c r="N548"/>
  <c r="F548"/>
  <c r="P3163" i="39"/>
  <c r="R3163" s="1"/>
  <c r="R3164" s="1"/>
  <c r="R3166" s="1"/>
  <c r="D543" i="37" s="1"/>
  <c r="R2864" i="39"/>
  <c r="R2865" s="1"/>
  <c r="R2867" s="1"/>
  <c r="D531" i="37" s="1"/>
  <c r="H191"/>
  <c r="N191"/>
  <c r="F191"/>
  <c r="X367" i="39"/>
  <c r="X325"/>
  <c r="X326" s="1"/>
  <c r="X327" s="1"/>
  <c r="Y324"/>
  <c r="I637"/>
  <c r="K637" s="1"/>
  <c r="K641" s="1"/>
  <c r="K643" s="1"/>
  <c r="P656"/>
  <c r="R656" s="1"/>
  <c r="R672" s="1"/>
  <c r="K285"/>
  <c r="V3576"/>
  <c r="X3560"/>
  <c r="X3564" s="1"/>
  <c r="X3565" s="1"/>
  <c r="H134" i="37"/>
  <c r="N134"/>
  <c r="F134"/>
  <c r="K602" i="39"/>
  <c r="I595"/>
  <c r="K595" s="1"/>
  <c r="I596" s="1"/>
  <c r="K596" s="1"/>
  <c r="I597" s="1"/>
  <c r="K597" s="1"/>
  <c r="I598" s="1"/>
  <c r="K598" s="1"/>
  <c r="I599" s="1"/>
  <c r="K599" s="1"/>
  <c r="D557" i="37"/>
  <c r="D185"/>
  <c r="H262"/>
  <c r="N262"/>
  <c r="D264"/>
  <c r="F262"/>
  <c r="AU168" i="39"/>
  <c r="AV168" s="1"/>
  <c r="X402"/>
  <c r="D59" i="37"/>
  <c r="AK1198" i="39"/>
  <c r="D736" i="37"/>
  <c r="H477"/>
  <c r="F477"/>
  <c r="N477"/>
  <c r="AU167" i="39"/>
  <c r="AV167" s="1"/>
  <c r="AU1224"/>
  <c r="AU1225" s="1"/>
  <c r="X683"/>
  <c r="X684" s="1"/>
  <c r="J372"/>
  <c r="I52" i="28"/>
  <c r="F74"/>
  <c r="I74" s="1"/>
  <c r="I73"/>
  <c r="F67"/>
  <c r="I65"/>
  <c r="I59"/>
  <c r="Y367" i="39" l="1"/>
  <c r="Z367" s="1"/>
  <c r="H736" i="37"/>
  <c r="N736"/>
  <c r="F736"/>
  <c r="H479"/>
  <c r="F479"/>
  <c r="N479"/>
  <c r="Z713" i="39"/>
  <c r="X714"/>
  <c r="H488" i="37"/>
  <c r="F488"/>
  <c r="N488"/>
  <c r="H457"/>
  <c r="F457"/>
  <c r="N457"/>
  <c r="H731"/>
  <c r="N731"/>
  <c r="F731"/>
  <c r="R1184" i="39"/>
  <c r="D438" i="37"/>
  <c r="H549"/>
  <c r="N549"/>
  <c r="F549"/>
  <c r="H148"/>
  <c r="N148"/>
  <c r="F148"/>
  <c r="H780"/>
  <c r="F780"/>
  <c r="N780"/>
  <c r="AG411" i="39"/>
  <c r="D66" i="37"/>
  <c r="P613" i="39"/>
  <c r="R613" s="1"/>
  <c r="R617" s="1"/>
  <c r="P630"/>
  <c r="R630" s="1"/>
  <c r="R634" s="1"/>
  <c r="I649"/>
  <c r="K649" s="1"/>
  <c r="K655" s="1"/>
  <c r="K657" s="1"/>
  <c r="I659" s="1"/>
  <c r="K659" s="1"/>
  <c r="P599"/>
  <c r="R599" s="1"/>
  <c r="R603" s="1"/>
  <c r="Y369"/>
  <c r="X372"/>
  <c r="X368"/>
  <c r="X369" s="1"/>
  <c r="X370" s="1"/>
  <c r="X371" s="1"/>
  <c r="H97" i="37"/>
  <c r="N97"/>
  <c r="F97"/>
  <c r="H492"/>
  <c r="N492"/>
  <c r="F492"/>
  <c r="AG354" i="39"/>
  <c r="D458" i="37"/>
  <c r="AD1199" i="39"/>
  <c r="D732" i="37"/>
  <c r="H135"/>
  <c r="N135"/>
  <c r="F135"/>
  <c r="AH368" i="39"/>
  <c r="AG378"/>
  <c r="AG379" s="1"/>
  <c r="AG380" s="1"/>
  <c r="I632"/>
  <c r="K632" s="1"/>
  <c r="D551" i="37" s="1"/>
  <c r="D550"/>
  <c r="L470" i="39"/>
  <c r="K471"/>
  <c r="D149" i="37"/>
  <c r="X528" i="39"/>
  <c r="X533" s="1"/>
  <c r="X535" s="1"/>
  <c r="V537" s="1"/>
  <c r="X537" s="1"/>
  <c r="V552"/>
  <c r="X552" s="1"/>
  <c r="X557" s="1"/>
  <c r="X559" s="1"/>
  <c r="S1230"/>
  <c r="D885" i="37"/>
  <c r="N885" s="1"/>
  <c r="D643"/>
  <c r="D642"/>
  <c r="H577"/>
  <c r="N577"/>
  <c r="F577"/>
  <c r="X403" i="39"/>
  <c r="D60" i="37"/>
  <c r="H264"/>
  <c r="N264"/>
  <c r="F264"/>
  <c r="H557"/>
  <c r="N557"/>
  <c r="F557"/>
  <c r="K287" i="39"/>
  <c r="K288" s="1"/>
  <c r="K289" s="1"/>
  <c r="K290" s="1"/>
  <c r="K291" s="1"/>
  <c r="D38" i="37"/>
  <c r="AS120" i="39"/>
  <c r="AT119"/>
  <c r="AU119"/>
  <c r="AV119" s="1"/>
  <c r="K404"/>
  <c r="J403"/>
  <c r="D98" i="37"/>
  <c r="D886"/>
  <c r="N886" s="1"/>
  <c r="D640"/>
  <c r="K350" i="39"/>
  <c r="L349"/>
  <c r="D49" i="37"/>
  <c r="AB552" i="39"/>
  <c r="AD552" s="1"/>
  <c r="AD557" s="1"/>
  <c r="AD559" s="1"/>
  <c r="AD528"/>
  <c r="AD533" s="1"/>
  <c r="AD535" s="1"/>
  <c r="AB537" s="1"/>
  <c r="AD537" s="1"/>
  <c r="J547"/>
  <c r="W547" s="1"/>
  <c r="AC547" s="1"/>
  <c r="W546"/>
  <c r="AC546" s="1"/>
  <c r="H748" i="37"/>
  <c r="F748"/>
  <c r="N748"/>
  <c r="X436" i="39"/>
  <c r="D111" i="37"/>
  <c r="I2789" i="39"/>
  <c r="K2789" s="1"/>
  <c r="K2796" s="1"/>
  <c r="K2798" s="1"/>
  <c r="D916" i="37" s="1"/>
  <c r="N916" s="1"/>
  <c r="K2992" i="39"/>
  <c r="K2999" s="1"/>
  <c r="K3001" s="1"/>
  <c r="H535" i="37"/>
  <c r="N535"/>
  <c r="F535"/>
  <c r="I561" i="39"/>
  <c r="K561" s="1"/>
  <c r="D176" i="37"/>
  <c r="H315"/>
  <c r="N315"/>
  <c r="F315"/>
  <c r="AS102" i="39"/>
  <c r="AU101"/>
  <c r="AV101" s="1"/>
  <c r="AU180"/>
  <c r="AV180" s="1"/>
  <c r="I538"/>
  <c r="K538" s="1"/>
  <c r="D163" i="37"/>
  <c r="H747"/>
  <c r="F747"/>
  <c r="N747"/>
  <c r="Y684" i="39"/>
  <c r="Y686" s="1"/>
  <c r="X686"/>
  <c r="AK1199"/>
  <c r="D737" i="37"/>
  <c r="H531"/>
  <c r="N531"/>
  <c r="F531"/>
  <c r="H641"/>
  <c r="N641"/>
  <c r="F641"/>
  <c r="H48"/>
  <c r="N48"/>
  <c r="F48"/>
  <c r="I1781" i="39"/>
  <c r="K1781" s="1"/>
  <c r="K1790" s="1"/>
  <c r="D300" i="37" s="1"/>
  <c r="D252"/>
  <c r="D32"/>
  <c r="S1159" i="39"/>
  <c r="R1158"/>
  <c r="D441" i="37"/>
  <c r="D316"/>
  <c r="D583"/>
  <c r="AG449" i="39"/>
  <c r="D116" i="37"/>
  <c r="V3625" i="39"/>
  <c r="X3626" s="1"/>
  <c r="X3610"/>
  <c r="H59" i="37"/>
  <c r="N59"/>
  <c r="F59"/>
  <c r="H185"/>
  <c r="N185"/>
  <c r="F185"/>
  <c r="X3576" i="39"/>
  <c r="X3580" s="1"/>
  <c r="X3581" s="1"/>
  <c r="D726" i="37" s="1"/>
  <c r="V3591" i="39"/>
  <c r="H543" i="37"/>
  <c r="N543"/>
  <c r="F543"/>
  <c r="J369" i="39"/>
  <c r="K370"/>
  <c r="D480" i="37"/>
  <c r="L369" i="39"/>
  <c r="X1238"/>
  <c r="X1250" s="1"/>
  <c r="X1252" s="1"/>
  <c r="AB1242"/>
  <c r="K2915"/>
  <c r="I2936"/>
  <c r="K2936" s="1"/>
  <c r="K2939" s="1"/>
  <c r="K2940" s="1"/>
  <c r="D493" i="37" s="1"/>
  <c r="D489"/>
  <c r="H110"/>
  <c r="N110"/>
  <c r="F110"/>
  <c r="K437" i="39"/>
  <c r="D136" i="37"/>
  <c r="I3920" i="39"/>
  <c r="K823"/>
  <c r="K824" s="1"/>
  <c r="K825" s="1"/>
  <c r="K826" s="1"/>
  <c r="K827" s="1"/>
  <c r="K828" s="1"/>
  <c r="K829" s="1"/>
  <c r="K830" s="1"/>
  <c r="K831" s="1"/>
  <c r="K832" s="1"/>
  <c r="K833" s="1"/>
  <c r="K834" s="1"/>
  <c r="K835" s="1"/>
  <c r="D39" i="37"/>
  <c r="X2612" i="39"/>
  <c r="X2613" s="1"/>
  <c r="X2615" s="1"/>
  <c r="AE2660"/>
  <c r="AG2660" s="1"/>
  <c r="AG2661" s="1"/>
  <c r="AG2663" s="1"/>
  <c r="D534" i="37" s="1"/>
  <c r="H175"/>
  <c r="N175"/>
  <c r="F175"/>
  <c r="H582"/>
  <c r="N582"/>
  <c r="F582"/>
  <c r="AQ147" i="39"/>
  <c r="AU142"/>
  <c r="AV142"/>
  <c r="AU165"/>
  <c r="AV165" s="1"/>
  <c r="AS171"/>
  <c r="H162" i="37"/>
  <c r="N162"/>
  <c r="F162"/>
  <c r="K326" i="39"/>
  <c r="K327" s="1"/>
  <c r="M325"/>
  <c r="H249" i="37"/>
  <c r="N249"/>
  <c r="F249"/>
  <c r="AG381" i="39"/>
  <c r="D254" i="37" s="1"/>
  <c r="I67" i="28"/>
  <c r="F68"/>
  <c r="I68" s="1"/>
  <c r="H726" i="37" l="1"/>
  <c r="N726"/>
  <c r="F726"/>
  <c r="H316"/>
  <c r="F316"/>
  <c r="N316"/>
  <c r="H737"/>
  <c r="F737"/>
  <c r="N737"/>
  <c r="AB561" i="39"/>
  <c r="AD561" s="1"/>
  <c r="D405" i="37"/>
  <c r="K405" i="39"/>
  <c r="D99" i="37"/>
  <c r="V538" i="39"/>
  <c r="X538" s="1"/>
  <c r="D386" i="37"/>
  <c r="AD1200" i="39"/>
  <c r="D733" i="37"/>
  <c r="H39"/>
  <c r="N39"/>
  <c r="F39"/>
  <c r="K438" i="39"/>
  <c r="D138" i="37" s="1"/>
  <c r="D137"/>
  <c r="H489"/>
  <c r="F489"/>
  <c r="N489"/>
  <c r="V3608" i="39"/>
  <c r="X3591"/>
  <c r="X3595" s="1"/>
  <c r="X3596" s="1"/>
  <c r="D727" i="37" s="1"/>
  <c r="H583"/>
  <c r="N583"/>
  <c r="F583"/>
  <c r="Y687" i="39"/>
  <c r="Y688" s="1"/>
  <c r="H163" i="37"/>
  <c r="N163"/>
  <c r="F163"/>
  <c r="AB538" i="39"/>
  <c r="AD538" s="1"/>
  <c r="D399" i="37"/>
  <c r="K351" i="39"/>
  <c r="D50" i="37"/>
  <c r="X404" i="39"/>
  <c r="D61" i="37"/>
  <c r="H642"/>
  <c r="N642"/>
  <c r="F642"/>
  <c r="P2347" i="39"/>
  <c r="R2347" s="1"/>
  <c r="R2350" s="1"/>
  <c r="D612" i="37" s="1"/>
  <c r="V561" i="39"/>
  <c r="X561" s="1"/>
  <c r="D392" i="37"/>
  <c r="H732"/>
  <c r="N732"/>
  <c r="F732"/>
  <c r="X716" i="39"/>
  <c r="Z714"/>
  <c r="Z716" s="1"/>
  <c r="AH369"/>
  <c r="N254" i="37"/>
  <c r="F254"/>
  <c r="H254"/>
  <c r="H493"/>
  <c r="N493"/>
  <c r="F493"/>
  <c r="H32"/>
  <c r="N32"/>
  <c r="F32"/>
  <c r="I539" i="39"/>
  <c r="K539" s="1"/>
  <c r="D164" i="37"/>
  <c r="H111"/>
  <c r="F111"/>
  <c r="N111"/>
  <c r="H640"/>
  <c r="N640"/>
  <c r="F640"/>
  <c r="AS121" i="39"/>
  <c r="AT120"/>
  <c r="AU120"/>
  <c r="AV120" s="1"/>
  <c r="H643" i="37"/>
  <c r="N643"/>
  <c r="F643"/>
  <c r="H550"/>
  <c r="N550"/>
  <c r="F550"/>
  <c r="N438"/>
  <c r="F438"/>
  <c r="H438"/>
  <c r="AQ179" i="39"/>
  <c r="AS179" s="1"/>
  <c r="AS147"/>
  <c r="H136" i="37"/>
  <c r="F136"/>
  <c r="N136"/>
  <c r="AD1242" i="39"/>
  <c r="AD1255" s="1"/>
  <c r="AD1257" s="1"/>
  <c r="D888" i="37" s="1"/>
  <c r="AB1214" i="39"/>
  <c r="AD1214" s="1"/>
  <c r="AD1227" s="1"/>
  <c r="AD1229" s="1"/>
  <c r="D809" i="37" s="1"/>
  <c r="J370" i="39"/>
  <c r="D481" i="37"/>
  <c r="K371" i="39"/>
  <c r="K372"/>
  <c r="D257" i="37" s="1"/>
  <c r="AG450" i="39"/>
  <c r="D117" i="37"/>
  <c r="R1159" i="39"/>
  <c r="D442" i="37"/>
  <c r="H300"/>
  <c r="N300"/>
  <c r="F300"/>
  <c r="X688" i="39"/>
  <c r="X687"/>
  <c r="I562"/>
  <c r="K562" s="1"/>
  <c r="D177" i="37"/>
  <c r="H98"/>
  <c r="N98"/>
  <c r="F98"/>
  <c r="H38"/>
  <c r="N38"/>
  <c r="F38"/>
  <c r="H60"/>
  <c r="N60"/>
  <c r="F60"/>
  <c r="L471" i="39"/>
  <c r="K472"/>
  <c r="D150" i="37"/>
  <c r="AG355" i="39"/>
  <c r="D459" i="37"/>
  <c r="I660" i="39"/>
  <c r="K660" s="1"/>
  <c r="D193" i="37"/>
  <c r="AG412" i="39"/>
  <c r="D67" i="37"/>
  <c r="AU171" i="39"/>
  <c r="AV171" s="1"/>
  <c r="AS173"/>
  <c r="H534" i="37"/>
  <c r="N534"/>
  <c r="F534"/>
  <c r="I3938" i="39"/>
  <c r="K3920"/>
  <c r="K3932" s="1"/>
  <c r="D844" i="37" s="1"/>
  <c r="I2946" i="39"/>
  <c r="K2946" s="1"/>
  <c r="K2949" s="1"/>
  <c r="K2950" s="1"/>
  <c r="D494" i="37" s="1"/>
  <c r="K2916" i="39"/>
  <c r="I2955" s="1"/>
  <c r="K2955" s="1"/>
  <c r="K2958" s="1"/>
  <c r="K2959" s="1"/>
  <c r="D490" i="37"/>
  <c r="H480"/>
  <c r="N480"/>
  <c r="F480"/>
  <c r="H116"/>
  <c r="N116"/>
  <c r="F116"/>
  <c r="H441"/>
  <c r="F441"/>
  <c r="N441"/>
  <c r="H252"/>
  <c r="N252"/>
  <c r="F252"/>
  <c r="AK1200" i="39"/>
  <c r="D738" i="37"/>
  <c r="AS103" i="39"/>
  <c r="AV102"/>
  <c r="AU102"/>
  <c r="H176" i="37"/>
  <c r="N176"/>
  <c r="F176"/>
  <c r="X437" i="39"/>
  <c r="D112" i="37"/>
  <c r="H49"/>
  <c r="N49"/>
  <c r="F49"/>
  <c r="H149"/>
  <c r="N149"/>
  <c r="F149"/>
  <c r="H551"/>
  <c r="N551"/>
  <c r="F551"/>
  <c r="H458"/>
  <c r="N458"/>
  <c r="F458"/>
  <c r="H66"/>
  <c r="F66"/>
  <c r="N66"/>
  <c r="R1185" i="39"/>
  <c r="D439" i="37"/>
  <c r="Y368" i="39"/>
  <c r="D253" i="37" s="1"/>
  <c r="I81" i="28"/>
  <c r="I2341" i="39" l="1"/>
  <c r="K2341" s="1"/>
  <c r="K2343" s="1"/>
  <c r="C877"/>
  <c r="AB464"/>
  <c r="AD464" s="1"/>
  <c r="AD468" s="1"/>
  <c r="AD470" s="1"/>
  <c r="AB476" s="1"/>
  <c r="AD476" s="1"/>
  <c r="AD482" s="1"/>
  <c r="AD484" s="1"/>
  <c r="AB486" s="1"/>
  <c r="AD486" s="1"/>
  <c r="N439" i="37"/>
  <c r="F439"/>
  <c r="H439"/>
  <c r="AU103" i="39"/>
  <c r="AV103" s="1"/>
  <c r="AV173"/>
  <c r="AU173"/>
  <c r="H193" i="37"/>
  <c r="N193"/>
  <c r="F193"/>
  <c r="H150"/>
  <c r="N150"/>
  <c r="F150"/>
  <c r="H177"/>
  <c r="N177"/>
  <c r="F177"/>
  <c r="R1160" i="39"/>
  <c r="D443" i="37"/>
  <c r="J371" i="39"/>
  <c r="D482" i="37"/>
  <c r="D637"/>
  <c r="N888"/>
  <c r="AU147" i="39"/>
  <c r="AV147" s="1"/>
  <c r="AS151"/>
  <c r="V562"/>
  <c r="X562" s="1"/>
  <c r="D393" i="37"/>
  <c r="L352" i="39"/>
  <c r="L353" s="1"/>
  <c r="L351"/>
  <c r="D51" i="37"/>
  <c r="V3623" i="39"/>
  <c r="X3608"/>
  <c r="X3612" s="1"/>
  <c r="X3613" s="1"/>
  <c r="D728" i="37" s="1"/>
  <c r="H137"/>
  <c r="N137"/>
  <c r="F137"/>
  <c r="V539" i="39"/>
  <c r="X539" s="1"/>
  <c r="D387" i="37"/>
  <c r="AB562" i="39"/>
  <c r="AD562" s="1"/>
  <c r="D406" i="37"/>
  <c r="H112"/>
  <c r="F112"/>
  <c r="N112"/>
  <c r="H738"/>
  <c r="N738"/>
  <c r="F738"/>
  <c r="I661" i="39"/>
  <c r="K661" s="1"/>
  <c r="D194" i="37"/>
  <c r="H117"/>
  <c r="N117"/>
  <c r="F117"/>
  <c r="AS183" i="39"/>
  <c r="AV179"/>
  <c r="AU179"/>
  <c r="H164" i="37"/>
  <c r="N164"/>
  <c r="F164"/>
  <c r="N612"/>
  <c r="F612"/>
  <c r="H612"/>
  <c r="H399"/>
  <c r="N399"/>
  <c r="F399"/>
  <c r="H138"/>
  <c r="F138"/>
  <c r="N138"/>
  <c r="H733"/>
  <c r="N733"/>
  <c r="F733"/>
  <c r="H490"/>
  <c r="N490"/>
  <c r="F490"/>
  <c r="K3938" i="39"/>
  <c r="K3950" s="1"/>
  <c r="I3954"/>
  <c r="AG413"/>
  <c r="D68" i="37"/>
  <c r="AG356" i="39"/>
  <c r="D460" i="37"/>
  <c r="X690" i="39"/>
  <c r="D432" i="37"/>
  <c r="H442"/>
  <c r="N442"/>
  <c r="F442"/>
  <c r="H257"/>
  <c r="N257"/>
  <c r="F257"/>
  <c r="H809"/>
  <c r="N809"/>
  <c r="F809"/>
  <c r="X717" i="39"/>
  <c r="X718" s="1"/>
  <c r="N392" i="37"/>
  <c r="F392"/>
  <c r="H392"/>
  <c r="H50"/>
  <c r="N50"/>
  <c r="F50"/>
  <c r="H727"/>
  <c r="N727"/>
  <c r="F727"/>
  <c r="H386"/>
  <c r="N386"/>
  <c r="F386"/>
  <c r="N405"/>
  <c r="H405"/>
  <c r="F405"/>
  <c r="H494"/>
  <c r="N494"/>
  <c r="F494"/>
  <c r="K473" i="39"/>
  <c r="L472"/>
  <c r="I563"/>
  <c r="K563" s="1"/>
  <c r="D178" i="37"/>
  <c r="H481"/>
  <c r="N481"/>
  <c r="F481"/>
  <c r="N61"/>
  <c r="F61"/>
  <c r="H61"/>
  <c r="H99"/>
  <c r="N99"/>
  <c r="F99"/>
  <c r="N253"/>
  <c r="F253"/>
  <c r="H253"/>
  <c r="X438" i="39"/>
  <c r="D114" i="37" s="1"/>
  <c r="D113"/>
  <c r="AK1201" i="39"/>
  <c r="AK1202" s="1"/>
  <c r="AK1203" s="1"/>
  <c r="AK1204" s="1"/>
  <c r="AK1205" s="1"/>
  <c r="AK1206" s="1"/>
  <c r="D739" i="37"/>
  <c r="H844"/>
  <c r="N844"/>
  <c r="F844"/>
  <c r="H67"/>
  <c r="F67"/>
  <c r="N67"/>
  <c r="H459"/>
  <c r="N459"/>
  <c r="F459"/>
  <c r="AG451" i="39"/>
  <c r="D118" i="37"/>
  <c r="AS122" i="39"/>
  <c r="AU121"/>
  <c r="AV121"/>
  <c r="I540"/>
  <c r="K540" s="1"/>
  <c r="D165" i="37"/>
  <c r="Z717" i="39"/>
  <c r="Z718"/>
  <c r="X405"/>
  <c r="D62" i="37"/>
  <c r="AB539" i="39"/>
  <c r="AD539" s="1"/>
  <c r="D400" i="37"/>
  <c r="AD1201" i="39"/>
  <c r="AD1202" s="1"/>
  <c r="AD1203" s="1"/>
  <c r="AD1204" s="1"/>
  <c r="AD1205" s="1"/>
  <c r="AD1206" s="1"/>
  <c r="AD1207" s="1"/>
  <c r="AD1208" s="1"/>
  <c r="D734" i="37"/>
  <c r="K406" i="39"/>
  <c r="D100" i="37"/>
  <c r="I101" i="28"/>
  <c r="X720" i="39" l="1"/>
  <c r="D425" i="37"/>
  <c r="H400"/>
  <c r="N400"/>
  <c r="F400"/>
  <c r="AG452" i="39"/>
  <c r="D119" i="37"/>
  <c r="AG414" i="39"/>
  <c r="D69" i="37"/>
  <c r="H51"/>
  <c r="F51"/>
  <c r="N51"/>
  <c r="X406" i="39"/>
  <c r="D64" i="37" s="1"/>
  <c r="D63"/>
  <c r="I541" i="39"/>
  <c r="K541" s="1"/>
  <c r="D166" i="37"/>
  <c r="H118"/>
  <c r="N118"/>
  <c r="F118"/>
  <c r="I564" i="39"/>
  <c r="K564" s="1"/>
  <c r="I565" s="1"/>
  <c r="K565" s="1"/>
  <c r="I566" s="1"/>
  <c r="K566" s="1"/>
  <c r="I567" s="1"/>
  <c r="K567" s="1"/>
  <c r="I568" s="1"/>
  <c r="K568" s="1"/>
  <c r="I569" s="1"/>
  <c r="K569" s="1"/>
  <c r="I570" s="1"/>
  <c r="K570" s="1"/>
  <c r="I571" s="1"/>
  <c r="K571" s="1"/>
  <c r="D179" i="37"/>
  <c r="H432"/>
  <c r="N432"/>
  <c r="F432"/>
  <c r="H68"/>
  <c r="N68"/>
  <c r="F68"/>
  <c r="AS185" i="39"/>
  <c r="AU183"/>
  <c r="AV183" s="1"/>
  <c r="H194" i="37"/>
  <c r="N194"/>
  <c r="F194"/>
  <c r="H406"/>
  <c r="N406"/>
  <c r="F406"/>
  <c r="X3623" i="39"/>
  <c r="X3627" s="1"/>
  <c r="X3628" s="1"/>
  <c r="D721" i="37" s="1"/>
  <c r="X3624" i="39"/>
  <c r="H393" i="37"/>
  <c r="N393"/>
  <c r="F393"/>
  <c r="H734"/>
  <c r="F734"/>
  <c r="N734"/>
  <c r="N62"/>
  <c r="F62"/>
  <c r="H62"/>
  <c r="H165"/>
  <c r="N165"/>
  <c r="F165"/>
  <c r="AU122" i="39"/>
  <c r="AV122"/>
  <c r="AS123"/>
  <c r="AS124"/>
  <c r="H739" i="37"/>
  <c r="N739"/>
  <c r="F739"/>
  <c r="H178"/>
  <c r="N178"/>
  <c r="F178"/>
  <c r="AG357" i="39"/>
  <c r="D461" i="37"/>
  <c r="L3950" i="39"/>
  <c r="D841" i="37"/>
  <c r="V540" i="39"/>
  <c r="X540" s="1"/>
  <c r="D388" i="37"/>
  <c r="H728"/>
  <c r="F728"/>
  <c r="N728"/>
  <c r="H482"/>
  <c r="N482"/>
  <c r="F482"/>
  <c r="AB487" i="39"/>
  <c r="AD487" s="1"/>
  <c r="D412" i="37"/>
  <c r="H100"/>
  <c r="F100"/>
  <c r="N100"/>
  <c r="P2041" i="39"/>
  <c r="R2041" s="1"/>
  <c r="R2044" s="1"/>
  <c r="D614" i="37" s="1"/>
  <c r="I877" i="39"/>
  <c r="V464"/>
  <c r="X464" s="1"/>
  <c r="X468" s="1"/>
  <c r="X470" s="1"/>
  <c r="V476" s="1"/>
  <c r="X476" s="1"/>
  <c r="X482" s="1"/>
  <c r="X484" s="1"/>
  <c r="V486" s="1"/>
  <c r="X486" s="1"/>
  <c r="H113" i="37"/>
  <c r="N113"/>
  <c r="F113"/>
  <c r="X691" i="39"/>
  <c r="D433" i="37"/>
  <c r="I662" i="39"/>
  <c r="K662" s="1"/>
  <c r="D195" i="37"/>
  <c r="AB563" i="39"/>
  <c r="AD563" s="1"/>
  <c r="D407" i="37"/>
  <c r="V563" i="39"/>
  <c r="X563" s="1"/>
  <c r="D394" i="37"/>
  <c r="H443"/>
  <c r="F443"/>
  <c r="N443"/>
  <c r="L406" i="39"/>
  <c r="L407" s="1"/>
  <c r="D101" i="37"/>
  <c r="AB540" i="39"/>
  <c r="AD540" s="1"/>
  <c r="D401" i="37"/>
  <c r="N114"/>
  <c r="H114"/>
  <c r="F114"/>
  <c r="L473" i="39"/>
  <c r="K474"/>
  <c r="H460" i="37"/>
  <c r="F460"/>
  <c r="N460"/>
  <c r="K3954" i="39"/>
  <c r="K3966" s="1"/>
  <c r="D843" i="37" s="1"/>
  <c r="I3971" i="39"/>
  <c r="K3971" s="1"/>
  <c r="K3983" s="1"/>
  <c r="D842" i="37" s="1"/>
  <c r="H387"/>
  <c r="N387"/>
  <c r="F387"/>
  <c r="AV151" i="39"/>
  <c r="AU151"/>
  <c r="AS153"/>
  <c r="H637" i="37"/>
  <c r="N637"/>
  <c r="F637"/>
  <c r="R1161" i="39"/>
  <c r="D444" i="37"/>
  <c r="H12" i="21"/>
  <c r="G14" s="1"/>
  <c r="H101" i="37" l="1"/>
  <c r="F101"/>
  <c r="N101"/>
  <c r="N407"/>
  <c r="F407"/>
  <c r="H407"/>
  <c r="AB488" i="39"/>
  <c r="AD488" s="1"/>
  <c r="D413" i="37"/>
  <c r="V541" i="39"/>
  <c r="X541" s="1"/>
  <c r="D389" i="37"/>
  <c r="AG358" i="39"/>
  <c r="AG359" s="1"/>
  <c r="AG360" s="1"/>
  <c r="D462" i="37"/>
  <c r="AU123" i="39"/>
  <c r="AV123" s="1"/>
  <c r="H179" i="37"/>
  <c r="N179"/>
  <c r="F179"/>
  <c r="X721" i="39"/>
  <c r="D426" i="37"/>
  <c r="AB541" i="39"/>
  <c r="AD541" s="1"/>
  <c r="D402" i="37"/>
  <c r="V564" i="39"/>
  <c r="X564" s="1"/>
  <c r="D395" i="37"/>
  <c r="I663" i="39"/>
  <c r="K663" s="1"/>
  <c r="D196" i="37"/>
  <c r="H614"/>
  <c r="N614"/>
  <c r="F614"/>
  <c r="H412"/>
  <c r="F412"/>
  <c r="N412"/>
  <c r="H388"/>
  <c r="N388"/>
  <c r="F388"/>
  <c r="H461"/>
  <c r="F461"/>
  <c r="N461"/>
  <c r="AU124" i="39"/>
  <c r="AV124" s="1"/>
  <c r="H63" i="37"/>
  <c r="N63"/>
  <c r="F63"/>
  <c r="AG453" i="39"/>
  <c r="D120" i="37"/>
  <c r="H425"/>
  <c r="N425"/>
  <c r="F425"/>
  <c r="H842"/>
  <c r="N842"/>
  <c r="F842"/>
  <c r="H433"/>
  <c r="N433"/>
  <c r="F433"/>
  <c r="N721"/>
  <c r="H721"/>
  <c r="F721"/>
  <c r="H64"/>
  <c r="N64"/>
  <c r="F64"/>
  <c r="R1162" i="39"/>
  <c r="D445" i="37"/>
  <c r="AU153" i="39"/>
  <c r="AV153" s="1"/>
  <c r="AS155"/>
  <c r="H401" i="37"/>
  <c r="N401"/>
  <c r="F401"/>
  <c r="H394"/>
  <c r="N394"/>
  <c r="F394"/>
  <c r="H195"/>
  <c r="N195"/>
  <c r="F195"/>
  <c r="V877" i="39"/>
  <c r="K877"/>
  <c r="K889" s="1"/>
  <c r="I859"/>
  <c r="I893"/>
  <c r="K893" s="1"/>
  <c r="K905" s="1"/>
  <c r="I542"/>
  <c r="K542" s="1"/>
  <c r="D167" i="37"/>
  <c r="H119"/>
  <c r="N119"/>
  <c r="F119"/>
  <c r="H69"/>
  <c r="N69"/>
  <c r="F69"/>
  <c r="H444"/>
  <c r="N444"/>
  <c r="F444"/>
  <c r="H843"/>
  <c r="N843"/>
  <c r="F843"/>
  <c r="K475" i="39"/>
  <c r="L474"/>
  <c r="AB564"/>
  <c r="AD564" s="1"/>
  <c r="D408" i="37"/>
  <c r="X692" i="39"/>
  <c r="D434" i="37"/>
  <c r="V487" i="39"/>
  <c r="X487" s="1"/>
  <c r="D418" i="37"/>
  <c r="H841"/>
  <c r="N841"/>
  <c r="F841"/>
  <c r="AS187" i="39"/>
  <c r="AU185"/>
  <c r="AV185" s="1"/>
  <c r="H166" i="37"/>
  <c r="N166"/>
  <c r="F166"/>
  <c r="AG415" i="39"/>
  <c r="D70" i="37"/>
  <c r="H105" i="21"/>
  <c r="G106" s="1"/>
  <c r="H111"/>
  <c r="H43"/>
  <c r="G44" s="1"/>
  <c r="V542" i="39" l="1"/>
  <c r="X542" s="1"/>
  <c r="V543" s="1"/>
  <c r="X543" s="1"/>
  <c r="V544" s="1"/>
  <c r="X544" s="1"/>
  <c r="V545" s="1"/>
  <c r="X545" s="1"/>
  <c r="V546" s="1"/>
  <c r="X546" s="1"/>
  <c r="V547" s="1"/>
  <c r="X547" s="1"/>
  <c r="V548" s="1"/>
  <c r="X548" s="1"/>
  <c r="V549" s="1"/>
  <c r="X549" s="1"/>
  <c r="D390" i="37"/>
  <c r="AG416" i="39"/>
  <c r="D71" i="37"/>
  <c r="H434"/>
  <c r="N434"/>
  <c r="F434"/>
  <c r="D513"/>
  <c r="D216"/>
  <c r="V565" i="39"/>
  <c r="X565" s="1"/>
  <c r="D397" i="37" s="1"/>
  <c r="D396"/>
  <c r="X722" i="39"/>
  <c r="D427" i="37"/>
  <c r="N389"/>
  <c r="F389"/>
  <c r="H389"/>
  <c r="L475" i="39"/>
  <c r="K476"/>
  <c r="AU155"/>
  <c r="AS156"/>
  <c r="AV155"/>
  <c r="AR155"/>
  <c r="H402" i="37"/>
  <c r="N402"/>
  <c r="F402"/>
  <c r="H70"/>
  <c r="F70"/>
  <c r="N70"/>
  <c r="V488" i="39"/>
  <c r="X488" s="1"/>
  <c r="D419" i="37"/>
  <c r="AB565" i="39"/>
  <c r="AD565" s="1"/>
  <c r="D409" i="37"/>
  <c r="I543" i="39"/>
  <c r="K543" s="1"/>
  <c r="D168" i="37"/>
  <c r="V893" i="39"/>
  <c r="X893" s="1"/>
  <c r="X905" s="1"/>
  <c r="X877"/>
  <c r="X889" s="1"/>
  <c r="AG454"/>
  <c r="AE453"/>
  <c r="H395" i="37"/>
  <c r="F395"/>
  <c r="N395"/>
  <c r="H426"/>
  <c r="N426"/>
  <c r="F426"/>
  <c r="AB489" i="39"/>
  <c r="AD489" s="1"/>
  <c r="D414" i="37"/>
  <c r="X693" i="39"/>
  <c r="D435" i="37"/>
  <c r="I3299" i="39"/>
  <c r="K3299" s="1"/>
  <c r="K3311" s="1"/>
  <c r="K859"/>
  <c r="K871" s="1"/>
  <c r="V859"/>
  <c r="X859" s="1"/>
  <c r="X871" s="1"/>
  <c r="P852"/>
  <c r="R852" s="1"/>
  <c r="R864" s="1"/>
  <c r="D512" i="37" s="1"/>
  <c r="H445"/>
  <c r="N445"/>
  <c r="F445"/>
  <c r="H196"/>
  <c r="N196"/>
  <c r="F196"/>
  <c r="AR187" i="39"/>
  <c r="AS188"/>
  <c r="AU187"/>
  <c r="AV187" s="1"/>
  <c r="H418" i="37"/>
  <c r="N418"/>
  <c r="F418"/>
  <c r="N408"/>
  <c r="F408"/>
  <c r="H408"/>
  <c r="H167"/>
  <c r="N167"/>
  <c r="F167"/>
  <c r="K891" i="39"/>
  <c r="L889"/>
  <c r="D215" i="37"/>
  <c r="D511"/>
  <c r="R1163" i="39"/>
  <c r="D446" i="37"/>
  <c r="H120"/>
  <c r="N120"/>
  <c r="F120"/>
  <c r="I664" i="39"/>
  <c r="K664" s="1"/>
  <c r="I665" s="1"/>
  <c r="K665" s="1"/>
  <c r="I666" s="1"/>
  <c r="K666" s="1"/>
  <c r="I667" s="1"/>
  <c r="K667" s="1"/>
  <c r="I668" s="1"/>
  <c r="K668" s="1"/>
  <c r="I669" s="1"/>
  <c r="K669" s="1"/>
  <c r="I670" s="1"/>
  <c r="K670" s="1"/>
  <c r="D197" i="37"/>
  <c r="AB542" i="39"/>
  <c r="AD542" s="1"/>
  <c r="AB543" s="1"/>
  <c r="AD543" s="1"/>
  <c r="AB544" s="1"/>
  <c r="AD544" s="1"/>
  <c r="AB545" s="1"/>
  <c r="AD545" s="1"/>
  <c r="AB546" s="1"/>
  <c r="AD546" s="1"/>
  <c r="AB547" s="1"/>
  <c r="AD547" s="1"/>
  <c r="AB548" s="1"/>
  <c r="AD548" s="1"/>
  <c r="AB549" s="1"/>
  <c r="AD549" s="1"/>
  <c r="D403" i="37"/>
  <c r="H462"/>
  <c r="F462"/>
  <c r="N462"/>
  <c r="H413"/>
  <c r="N413"/>
  <c r="F413"/>
  <c r="AT155" i="39"/>
  <c r="H108" i="21"/>
  <c r="G109" s="1"/>
  <c r="B165" i="22"/>
  <c r="A36" i="21"/>
  <c r="A39" s="1"/>
  <c r="H45" i="27"/>
  <c r="H15"/>
  <c r="K19"/>
  <c r="I19" s="1"/>
  <c r="E22"/>
  <c r="H9"/>
  <c r="N216" i="37" l="1"/>
  <c r="H216"/>
  <c r="F216"/>
  <c r="H197"/>
  <c r="N197"/>
  <c r="F197"/>
  <c r="N215"/>
  <c r="H215"/>
  <c r="F215"/>
  <c r="D514"/>
  <c r="D217"/>
  <c r="H414"/>
  <c r="N414"/>
  <c r="F414"/>
  <c r="H168"/>
  <c r="N168"/>
  <c r="F168"/>
  <c r="H419"/>
  <c r="F419"/>
  <c r="N419"/>
  <c r="K477" i="39"/>
  <c r="L476"/>
  <c r="H397" i="37"/>
  <c r="F397"/>
  <c r="N397"/>
  <c r="N390"/>
  <c r="F390"/>
  <c r="H390"/>
  <c r="H446"/>
  <c r="N446"/>
  <c r="F446"/>
  <c r="AB490" i="39"/>
  <c r="AD490" s="1"/>
  <c r="D416" i="37" s="1"/>
  <c r="D415"/>
  <c r="AG455" i="39"/>
  <c r="AE454"/>
  <c r="N511" i="37"/>
  <c r="H511"/>
  <c r="F511"/>
  <c r="X694" i="39"/>
  <c r="D436" i="37"/>
  <c r="AB566" i="39"/>
  <c r="AD566" s="1"/>
  <c r="D410" i="37"/>
  <c r="H396"/>
  <c r="N396"/>
  <c r="F396"/>
  <c r="AG417" i="39"/>
  <c r="D464" i="37"/>
  <c r="D72"/>
  <c r="I544" i="39"/>
  <c r="K544" s="1"/>
  <c r="D169" i="37"/>
  <c r="V489" i="39"/>
  <c r="X489" s="1"/>
  <c r="D420" i="37"/>
  <c r="H427"/>
  <c r="N427"/>
  <c r="F427"/>
  <c r="H403"/>
  <c r="N403"/>
  <c r="F403"/>
  <c r="R1164" i="39"/>
  <c r="D447" i="37"/>
  <c r="AR188" i="39"/>
  <c r="AU188"/>
  <c r="AV188" s="1"/>
  <c r="AS189"/>
  <c r="H512" i="37"/>
  <c r="F512"/>
  <c r="N512"/>
  <c r="H435"/>
  <c r="N435"/>
  <c r="F435"/>
  <c r="H409"/>
  <c r="N409"/>
  <c r="F409"/>
  <c r="AS157" i="39"/>
  <c r="AR156"/>
  <c r="AU156"/>
  <c r="AV156" s="1"/>
  <c r="AT156"/>
  <c r="X723"/>
  <c r="D428" i="37"/>
  <c r="H513"/>
  <c r="F513"/>
  <c r="N513"/>
  <c r="H71"/>
  <c r="F71"/>
  <c r="N71"/>
  <c r="H10" i="27"/>
  <c r="H22"/>
  <c r="H24" s="1"/>
  <c r="G25" s="1"/>
  <c r="E28"/>
  <c r="H17"/>
  <c r="G18" s="1"/>
  <c r="AS158" i="39" l="1"/>
  <c r="AU157"/>
  <c r="AV157" s="1"/>
  <c r="AR157"/>
  <c r="H169" i="37"/>
  <c r="N169"/>
  <c r="F169"/>
  <c r="AG418" i="39"/>
  <c r="D73" i="37"/>
  <c r="D465"/>
  <c r="H410"/>
  <c r="N410"/>
  <c r="F410"/>
  <c r="AG456" i="39"/>
  <c r="AE455"/>
  <c r="D470" i="37"/>
  <c r="H514"/>
  <c r="N514"/>
  <c r="F514"/>
  <c r="I545" i="39"/>
  <c r="K545" s="1"/>
  <c r="D170" i="37"/>
  <c r="H415"/>
  <c r="N415"/>
  <c r="F415"/>
  <c r="X724" i="39"/>
  <c r="D430" i="37" s="1"/>
  <c r="D429"/>
  <c r="R1165" i="39"/>
  <c r="D448" i="37"/>
  <c r="V490" i="39"/>
  <c r="X490" s="1"/>
  <c r="D422" i="37" s="1"/>
  <c r="D421"/>
  <c r="H464"/>
  <c r="N464"/>
  <c r="F464"/>
  <c r="N217"/>
  <c r="H217"/>
  <c r="F217"/>
  <c r="L477" i="39"/>
  <c r="K478"/>
  <c r="H428" i="37"/>
  <c r="N428"/>
  <c r="F428"/>
  <c r="AR189" i="39"/>
  <c r="AS190"/>
  <c r="AU189"/>
  <c r="AV189" s="1"/>
  <c r="H447" i="37"/>
  <c r="F447"/>
  <c r="N447"/>
  <c r="H420"/>
  <c r="N420"/>
  <c r="F420"/>
  <c r="H72"/>
  <c r="F72"/>
  <c r="N72"/>
  <c r="H436"/>
  <c r="N436"/>
  <c r="F436"/>
  <c r="H416"/>
  <c r="N416"/>
  <c r="F416"/>
  <c r="G18" i="31"/>
  <c r="I16" i="32"/>
  <c r="G16" i="34"/>
  <c r="H16" s="1"/>
  <c r="G59" i="31"/>
  <c r="G55" i="34"/>
  <c r="H55" s="1"/>
  <c r="I57" i="32"/>
  <c r="G45" i="31"/>
  <c r="H45" s="1"/>
  <c r="G41" i="34"/>
  <c r="H41" s="1"/>
  <c r="I43" i="32"/>
  <c r="E33" i="27"/>
  <c r="H28"/>
  <c r="H29" s="1"/>
  <c r="G30" s="1"/>
  <c r="H73" i="37" l="1"/>
  <c r="N73"/>
  <c r="F73"/>
  <c r="K479" i="39"/>
  <c r="L479" s="1"/>
  <c r="L478"/>
  <c r="H421" i="37"/>
  <c r="F421"/>
  <c r="N421"/>
  <c r="H429"/>
  <c r="N429"/>
  <c r="F429"/>
  <c r="AG457" i="39"/>
  <c r="AE456"/>
  <c r="D471" i="37"/>
  <c r="H465"/>
  <c r="N465"/>
  <c r="F465"/>
  <c r="H422"/>
  <c r="N422"/>
  <c r="F422"/>
  <c r="H430"/>
  <c r="N430"/>
  <c r="F430"/>
  <c r="R1166" i="39"/>
  <c r="D449" i="37"/>
  <c r="H170"/>
  <c r="N170"/>
  <c r="F170"/>
  <c r="AS159" i="39"/>
  <c r="AU158"/>
  <c r="AV158" s="1"/>
  <c r="AR158"/>
  <c r="AV190"/>
  <c r="AR190"/>
  <c r="AU190"/>
  <c r="AS191"/>
  <c r="H448" i="37"/>
  <c r="F448"/>
  <c r="N448"/>
  <c r="I546" i="39"/>
  <c r="K546" s="1"/>
  <c r="D171" i="37"/>
  <c r="H470"/>
  <c r="F470"/>
  <c r="N470"/>
  <c r="AG419" i="39"/>
  <c r="D74" i="37"/>
  <c r="H59" i="31"/>
  <c r="J57" i="32"/>
  <c r="J16"/>
  <c r="H18" i="31"/>
  <c r="G369"/>
  <c r="H369" s="1"/>
  <c r="G365" i="34"/>
  <c r="H365" s="1"/>
  <c r="I366" i="32"/>
  <c r="J43"/>
  <c r="H44" i="27"/>
  <c r="H33"/>
  <c r="H34" s="1"/>
  <c r="G35" s="1"/>
  <c r="H74" i="37" l="1"/>
  <c r="F74"/>
  <c r="N74"/>
  <c r="H471"/>
  <c r="N471"/>
  <c r="F471"/>
  <c r="H171"/>
  <c r="N171"/>
  <c r="F171"/>
  <c r="H449"/>
  <c r="N449"/>
  <c r="F449"/>
  <c r="AG420" i="39"/>
  <c r="D467" i="37"/>
  <c r="D75"/>
  <c r="AU159" i="39"/>
  <c r="AV159"/>
  <c r="AR159"/>
  <c r="I547"/>
  <c r="K547" s="1"/>
  <c r="D172" i="37"/>
  <c r="AV191" i="39"/>
  <c r="AR191"/>
  <c r="AU191"/>
  <c r="R1167"/>
  <c r="D450" i="37"/>
  <c r="AG458" i="39"/>
  <c r="AE457"/>
  <c r="D472" i="37"/>
  <c r="K369" i="31"/>
  <c r="M369" s="1"/>
  <c r="N369" s="1"/>
  <c r="M366" i="32"/>
  <c r="J366"/>
  <c r="G354" i="31"/>
  <c r="K354" s="1"/>
  <c r="G350" i="34"/>
  <c r="H350" s="1"/>
  <c r="I351" i="32"/>
  <c r="H354" i="31"/>
  <c r="H38" i="27"/>
  <c r="G41" s="1"/>
  <c r="AG459" i="39" l="1"/>
  <c r="AE458"/>
  <c r="D473" i="37"/>
  <c r="H467"/>
  <c r="N467"/>
  <c r="F467"/>
  <c r="H450"/>
  <c r="N450"/>
  <c r="F450"/>
  <c r="H75"/>
  <c r="F75"/>
  <c r="N75"/>
  <c r="AG421" i="39"/>
  <c r="D468" i="37"/>
  <c r="D76"/>
  <c r="H472"/>
  <c r="N472"/>
  <c r="F472"/>
  <c r="R1168" i="39"/>
  <c r="D451" i="37"/>
  <c r="H172"/>
  <c r="N172"/>
  <c r="F172"/>
  <c r="L369" i="31"/>
  <c r="G38"/>
  <c r="G36" i="34"/>
  <c r="H36" s="1"/>
  <c r="I36" i="32"/>
  <c r="O366"/>
  <c r="P366" s="1"/>
  <c r="N366"/>
  <c r="M351"/>
  <c r="J351"/>
  <c r="L354" i="31"/>
  <c r="M354"/>
  <c r="N354" s="1"/>
  <c r="N468" i="37" l="1"/>
  <c r="F468"/>
  <c r="H468"/>
  <c r="AG422" i="39"/>
  <c r="D77" i="37"/>
  <c r="R1169" i="39"/>
  <c r="D452" i="37"/>
  <c r="H76"/>
  <c r="N76"/>
  <c r="F76"/>
  <c r="H473"/>
  <c r="N473"/>
  <c r="F473"/>
  <c r="AE459" i="39"/>
  <c r="D474" i="37"/>
  <c r="AG460" i="39"/>
  <c r="H451" i="37"/>
  <c r="F451"/>
  <c r="N451"/>
  <c r="O351" i="32"/>
  <c r="P351" s="1"/>
  <c r="N351"/>
  <c r="J36"/>
  <c r="H38" i="31"/>
  <c r="H47" i="27"/>
  <c r="G48" s="1"/>
  <c r="R1170" i="39" l="1"/>
  <c r="D453" i="37"/>
  <c r="H77"/>
  <c r="N77"/>
  <c r="F77"/>
  <c r="H474"/>
  <c r="N474"/>
  <c r="F474"/>
  <c r="H452"/>
  <c r="N452"/>
  <c r="F452"/>
  <c r="AG461" i="39"/>
  <c r="AE460"/>
  <c r="AI422"/>
  <c r="D78" i="37"/>
  <c r="G913" i="31"/>
  <c r="H913" s="1"/>
  <c r="H1012" s="1"/>
  <c r="I910" i="32"/>
  <c r="G909" i="34"/>
  <c r="H909" s="1"/>
  <c r="I1588" i="26"/>
  <c r="I1589" s="1"/>
  <c r="I1585"/>
  <c r="I1577"/>
  <c r="I1576"/>
  <c r="I1575"/>
  <c r="I1574"/>
  <c r="I1573"/>
  <c r="I1572"/>
  <c r="I1571"/>
  <c r="I1570"/>
  <c r="I1569"/>
  <c r="I1568"/>
  <c r="I1567"/>
  <c r="K1560"/>
  <c r="I1558"/>
  <c r="I1555"/>
  <c r="I1553"/>
  <c r="I1552"/>
  <c r="I1549"/>
  <c r="I1548"/>
  <c r="I1546"/>
  <c r="I1545"/>
  <c r="I1542"/>
  <c r="I1540"/>
  <c r="I1536"/>
  <c r="I1534"/>
  <c r="I1532"/>
  <c r="I1526"/>
  <c r="I1525"/>
  <c r="I1523"/>
  <c r="I1520"/>
  <c r="B1520"/>
  <c r="I1519"/>
  <c r="B1519"/>
  <c r="I1517"/>
  <c r="I1515"/>
  <c r="B1513"/>
  <c r="I1513" s="1"/>
  <c r="I1511"/>
  <c r="I1510"/>
  <c r="I1507"/>
  <c r="I1506"/>
  <c r="I1491"/>
  <c r="I1490"/>
  <c r="I1489"/>
  <c r="I1488"/>
  <c r="I1487"/>
  <c r="I1486"/>
  <c r="I1485"/>
  <c r="I1482"/>
  <c r="I1478"/>
  <c r="I1477"/>
  <c r="I1475"/>
  <c r="I1471"/>
  <c r="I1470"/>
  <c r="I1465"/>
  <c r="I1464"/>
  <c r="I1438"/>
  <c r="I1437"/>
  <c r="I1435"/>
  <c r="I1434"/>
  <c r="I1429"/>
  <c r="I1428"/>
  <c r="I1427"/>
  <c r="I1426"/>
  <c r="I1425"/>
  <c r="I1424"/>
  <c r="I1423"/>
  <c r="I1422"/>
  <c r="I1421"/>
  <c r="I1420"/>
  <c r="I1419"/>
  <c r="I1418"/>
  <c r="I1412"/>
  <c r="I1411"/>
  <c r="I1410"/>
  <c r="I1409"/>
  <c r="I1408"/>
  <c r="I1407"/>
  <c r="I1406"/>
  <c r="I1405"/>
  <c r="I1404"/>
  <c r="I1402"/>
  <c r="I1401"/>
  <c r="I1400"/>
  <c r="I1399"/>
  <c r="I1398"/>
  <c r="I1397"/>
  <c r="I1396"/>
  <c r="I1395"/>
  <c r="I1394"/>
  <c r="I1393"/>
  <c r="J1390"/>
  <c r="H1390"/>
  <c r="I1388"/>
  <c r="I1387"/>
  <c r="I1386"/>
  <c r="I1385"/>
  <c r="I1384"/>
  <c r="I1383"/>
  <c r="I1382"/>
  <c r="I1381"/>
  <c r="I1380"/>
  <c r="I1379"/>
  <c r="I1378"/>
  <c r="I1372"/>
  <c r="I1374" s="1"/>
  <c r="I1375" s="1"/>
  <c r="IG1369"/>
  <c r="IF1369"/>
  <c r="IE1369"/>
  <c r="ID1369"/>
  <c r="IC1369"/>
  <c r="IB1369"/>
  <c r="IA1369"/>
  <c r="HZ1369"/>
  <c r="HY1369"/>
  <c r="HX1369"/>
  <c r="HW1369"/>
  <c r="HV1369"/>
  <c r="HU1369"/>
  <c r="HT1369"/>
  <c r="HS1369"/>
  <c r="HR1369"/>
  <c r="HQ1369"/>
  <c r="HP1369"/>
  <c r="HO1369"/>
  <c r="HN1369"/>
  <c r="HM1369"/>
  <c r="HL1369"/>
  <c r="HK1369"/>
  <c r="HJ1369"/>
  <c r="HI1369"/>
  <c r="HH1369"/>
  <c r="HG1369"/>
  <c r="HF1369"/>
  <c r="HE1369"/>
  <c r="HD1369"/>
  <c r="HC1369"/>
  <c r="HB1369"/>
  <c r="HA1369"/>
  <c r="GZ1369"/>
  <c r="GY1369"/>
  <c r="GX1369"/>
  <c r="GW1369"/>
  <c r="GV1369"/>
  <c r="GU1369"/>
  <c r="GT1369"/>
  <c r="GS1369"/>
  <c r="GR1369"/>
  <c r="GQ1369"/>
  <c r="GP1369"/>
  <c r="GO1369"/>
  <c r="GN1369"/>
  <c r="GM1369"/>
  <c r="GL1369"/>
  <c r="GK1369"/>
  <c r="GJ1369"/>
  <c r="GI1369"/>
  <c r="GH1369"/>
  <c r="GG1369"/>
  <c r="GF1369"/>
  <c r="GE1369"/>
  <c r="GD1369"/>
  <c r="GC1369"/>
  <c r="GB1369"/>
  <c r="GA1369"/>
  <c r="FZ1369"/>
  <c r="FY1369"/>
  <c r="FX1369"/>
  <c r="FW1369"/>
  <c r="FV1369"/>
  <c r="FU1369"/>
  <c r="FT1369"/>
  <c r="FS1369"/>
  <c r="FR1369"/>
  <c r="FQ1369"/>
  <c r="FP1369"/>
  <c r="FO1369"/>
  <c r="FN1369"/>
  <c r="FM1369"/>
  <c r="FL1369"/>
  <c r="FK1369"/>
  <c r="FJ1369"/>
  <c r="FI1369"/>
  <c r="FH1369"/>
  <c r="FG1369"/>
  <c r="FF1369"/>
  <c r="FE1369"/>
  <c r="FD1369"/>
  <c r="FC1369"/>
  <c r="FB1369"/>
  <c r="FA1369"/>
  <c r="EZ1369"/>
  <c r="EY1369"/>
  <c r="EX1369"/>
  <c r="EW1369"/>
  <c r="EV1369"/>
  <c r="EU1369"/>
  <c r="ET1369"/>
  <c r="ES1369"/>
  <c r="ER1369"/>
  <c r="EQ1369"/>
  <c r="EP1369"/>
  <c r="EO1369"/>
  <c r="EN1369"/>
  <c r="EM1369"/>
  <c r="EL1369"/>
  <c r="EK1369"/>
  <c r="EJ1369"/>
  <c r="EI1369"/>
  <c r="EH1369"/>
  <c r="EG1369"/>
  <c r="EF1369"/>
  <c r="EE1369"/>
  <c r="ED1369"/>
  <c r="EC1369"/>
  <c r="EB1369"/>
  <c r="EA1369"/>
  <c r="DZ1369"/>
  <c r="DY1369"/>
  <c r="DX1369"/>
  <c r="DW1369"/>
  <c r="DV1369"/>
  <c r="DU1369"/>
  <c r="DT1369"/>
  <c r="DS1369"/>
  <c r="DR1369"/>
  <c r="DQ1369"/>
  <c r="DP1369"/>
  <c r="DO1369"/>
  <c r="DN1369"/>
  <c r="DM1369"/>
  <c r="DL1369"/>
  <c r="DK1369"/>
  <c r="DJ1369"/>
  <c r="DI1369"/>
  <c r="DH1369"/>
  <c r="DG1369"/>
  <c r="DF1369"/>
  <c r="DE1369"/>
  <c r="DD1369"/>
  <c r="DC1369"/>
  <c r="DB1369"/>
  <c r="DA1369"/>
  <c r="CZ1369"/>
  <c r="CY1369"/>
  <c r="CX1369"/>
  <c r="CW1369"/>
  <c r="CV1369"/>
  <c r="CU1369"/>
  <c r="CT1369"/>
  <c r="CS1369"/>
  <c r="CR1369"/>
  <c r="CQ1369"/>
  <c r="CP1369"/>
  <c r="CO1369"/>
  <c r="CN1369"/>
  <c r="CM1369"/>
  <c r="CL1369"/>
  <c r="CK1369"/>
  <c r="CJ1369"/>
  <c r="CI1369"/>
  <c r="CH1369"/>
  <c r="CG1369"/>
  <c r="CF1369"/>
  <c r="CE1369"/>
  <c r="CD1369"/>
  <c r="CC1369"/>
  <c r="CB1369"/>
  <c r="CA1369"/>
  <c r="BZ1369"/>
  <c r="BY1369"/>
  <c r="BX1369"/>
  <c r="BW1369"/>
  <c r="BV1369"/>
  <c r="BU1369"/>
  <c r="BT1369"/>
  <c r="BS1369"/>
  <c r="BR1369"/>
  <c r="BQ1369"/>
  <c r="BP1369"/>
  <c r="BO1369"/>
  <c r="BN1369"/>
  <c r="BM1369"/>
  <c r="BL1369"/>
  <c r="BK1369"/>
  <c r="BJ1369"/>
  <c r="BI1369"/>
  <c r="BH1369"/>
  <c r="BG1369"/>
  <c r="BF1369"/>
  <c r="BE1369"/>
  <c r="BD1369"/>
  <c r="BC1369"/>
  <c r="BB1369"/>
  <c r="BA1369"/>
  <c r="AZ1369"/>
  <c r="AY1369"/>
  <c r="AX1369"/>
  <c r="AW1369"/>
  <c r="AV1369"/>
  <c r="AU1369"/>
  <c r="AT1369"/>
  <c r="AS1369"/>
  <c r="AR1369"/>
  <c r="AQ1369"/>
  <c r="AP1369"/>
  <c r="AO1369"/>
  <c r="AN1369"/>
  <c r="AM1369"/>
  <c r="AL1369"/>
  <c r="AK1369"/>
  <c r="AJ1369"/>
  <c r="AI1369"/>
  <c r="AH1369"/>
  <c r="AG1369"/>
  <c r="AF1369"/>
  <c r="AE1369"/>
  <c r="AD1369"/>
  <c r="AC1369"/>
  <c r="AB1369"/>
  <c r="I1368"/>
  <c r="I1370" s="1"/>
  <c r="I1371" s="1"/>
  <c r="I1363"/>
  <c r="I1364" s="1"/>
  <c r="I1361"/>
  <c r="I1362" s="1"/>
  <c r="I1358"/>
  <c r="I1359" s="1"/>
  <c r="I1354"/>
  <c r="I1353"/>
  <c r="I1352"/>
  <c r="I1351"/>
  <c r="I1347"/>
  <c r="I1346"/>
  <c r="I1343"/>
  <c r="I1344" s="1"/>
  <c r="I1338"/>
  <c r="I1337"/>
  <c r="I1336"/>
  <c r="I1335"/>
  <c r="I1334"/>
  <c r="I1333"/>
  <c r="I1332"/>
  <c r="I1331"/>
  <c r="I1330"/>
  <c r="I1328"/>
  <c r="I1327"/>
  <c r="I1326"/>
  <c r="I1324"/>
  <c r="I1323"/>
  <c r="I1322"/>
  <c r="I1321"/>
  <c r="I1320"/>
  <c r="I1319"/>
  <c r="I1318"/>
  <c r="I1317"/>
  <c r="I1316"/>
  <c r="I1315"/>
  <c r="I1314"/>
  <c r="I1313"/>
  <c r="I1312"/>
  <c r="I1311"/>
  <c r="I1309"/>
  <c r="I1308"/>
  <c r="I1307"/>
  <c r="I1306"/>
  <c r="I1305"/>
  <c r="I1304"/>
  <c r="I1303"/>
  <c r="I1293"/>
  <c r="I1292"/>
  <c r="I1291"/>
  <c r="I1290"/>
  <c r="I1289"/>
  <c r="I1288"/>
  <c r="I1285"/>
  <c r="I1284"/>
  <c r="I1283"/>
  <c r="I1282"/>
  <c r="H1286"/>
  <c r="I1286" s="1"/>
  <c r="I1275"/>
  <c r="I1274"/>
  <c r="I1272"/>
  <c r="I1271"/>
  <c r="F1270"/>
  <c r="I1270" s="1"/>
  <c r="I1268"/>
  <c r="I1267"/>
  <c r="I1266"/>
  <c r="I1265"/>
  <c r="I1264"/>
  <c r="I1263"/>
  <c r="I1262"/>
  <c r="I1260"/>
  <c r="I1259"/>
  <c r="I1258"/>
  <c r="I1257"/>
  <c r="F1256"/>
  <c r="I1256" s="1"/>
  <c r="I1255"/>
  <c r="I1254"/>
  <c r="I1253"/>
  <c r="I1252"/>
  <c r="I1251"/>
  <c r="I1250"/>
  <c r="I1249"/>
  <c r="I1247"/>
  <c r="I1246"/>
  <c r="I1245"/>
  <c r="I1244"/>
  <c r="I1243"/>
  <c r="I1242"/>
  <c r="I1241"/>
  <c r="I1240"/>
  <c r="I1238"/>
  <c r="I1237"/>
  <c r="I1236"/>
  <c r="I1235"/>
  <c r="I1234"/>
  <c r="I1233"/>
  <c r="I1232"/>
  <c r="I1231"/>
  <c r="I1230"/>
  <c r="I1229"/>
  <c r="I1228"/>
  <c r="I1227"/>
  <c r="I1226"/>
  <c r="I1225"/>
  <c r="I1224"/>
  <c r="I1223"/>
  <c r="I1222"/>
  <c r="I1221"/>
  <c r="I1220"/>
  <c r="I1219"/>
  <c r="I1218"/>
  <c r="I1217"/>
  <c r="I1216"/>
  <c r="I1215"/>
  <c r="I1214"/>
  <c r="I1213"/>
  <c r="I1212"/>
  <c r="I1211"/>
  <c r="I1210"/>
  <c r="I1209"/>
  <c r="I1207"/>
  <c r="I1206"/>
  <c r="I1205"/>
  <c r="I1204"/>
  <c r="I1203"/>
  <c r="I1202"/>
  <c r="I1201"/>
  <c r="I1200"/>
  <c r="I1199"/>
  <c r="I1198"/>
  <c r="I1197"/>
  <c r="I1196"/>
  <c r="I1195"/>
  <c r="I1194"/>
  <c r="I1193"/>
  <c r="I1192"/>
  <c r="I1191"/>
  <c r="I1190"/>
  <c r="I1188"/>
  <c r="I1187"/>
  <c r="I1186"/>
  <c r="I1185"/>
  <c r="I1184"/>
  <c r="I1183"/>
  <c r="I1182"/>
  <c r="I1181"/>
  <c r="I1180"/>
  <c r="B1178"/>
  <c r="I1160"/>
  <c r="I1159"/>
  <c r="I1158"/>
  <c r="I1157"/>
  <c r="I1156"/>
  <c r="I1155"/>
  <c r="I1154"/>
  <c r="I1153"/>
  <c r="I1152"/>
  <c r="I1151"/>
  <c r="I1150"/>
  <c r="I1148"/>
  <c r="I1147"/>
  <c r="I1146"/>
  <c r="I1145"/>
  <c r="I1144"/>
  <c r="I1143"/>
  <c r="I1142"/>
  <c r="I1141"/>
  <c r="I1140"/>
  <c r="I1139"/>
  <c r="I1138"/>
  <c r="I1137"/>
  <c r="I1136"/>
  <c r="I1135"/>
  <c r="I1134"/>
  <c r="I1133"/>
  <c r="I1132"/>
  <c r="I1131"/>
  <c r="I1128"/>
  <c r="I1127"/>
  <c r="I1126"/>
  <c r="I1125"/>
  <c r="I1119"/>
  <c r="I1118"/>
  <c r="I1117"/>
  <c r="I1113"/>
  <c r="I1112"/>
  <c r="I1111"/>
  <c r="I1110"/>
  <c r="I1109"/>
  <c r="I1108"/>
  <c r="M1105"/>
  <c r="N1105" s="1"/>
  <c r="I1105"/>
  <c r="I1106" s="1"/>
  <c r="F1454" s="1"/>
  <c r="I1454" s="1"/>
  <c r="M1104"/>
  <c r="N1104" s="1"/>
  <c r="M1103"/>
  <c r="N1103" s="1"/>
  <c r="M1102"/>
  <c r="N1102" s="1"/>
  <c r="I1100"/>
  <c r="I1099"/>
  <c r="I1098"/>
  <c r="I1094"/>
  <c r="I1093"/>
  <c r="I1092"/>
  <c r="I1091"/>
  <c r="I1090"/>
  <c r="I1089"/>
  <c r="I1085"/>
  <c r="I1079"/>
  <c r="I1077"/>
  <c r="I1078" s="1"/>
  <c r="I1074"/>
  <c r="I1075" s="1"/>
  <c r="I1073"/>
  <c r="I1070"/>
  <c r="I1069"/>
  <c r="I1066"/>
  <c r="I1065"/>
  <c r="I1063"/>
  <c r="I1061"/>
  <c r="I1050"/>
  <c r="I1038"/>
  <c r="I1034"/>
  <c r="I1033"/>
  <c r="I1032"/>
  <c r="I1031"/>
  <c r="I1030"/>
  <c r="I1029"/>
  <c r="I1028"/>
  <c r="I1027"/>
  <c r="I1026"/>
  <c r="I1025"/>
  <c r="I1024"/>
  <c r="I1023"/>
  <c r="I1022"/>
  <c r="I1021"/>
  <c r="I1020"/>
  <c r="I1012"/>
  <c r="I1011"/>
  <c r="I1006"/>
  <c r="I997"/>
  <c r="I986"/>
  <c r="I983"/>
  <c r="I982"/>
  <c r="I981"/>
  <c r="I980"/>
  <c r="I979"/>
  <c r="I978"/>
  <c r="I977"/>
  <c r="I976"/>
  <c r="I975"/>
  <c r="I969"/>
  <c r="I968"/>
  <c r="I967"/>
  <c r="I966"/>
  <c r="I965"/>
  <c r="I964"/>
  <c r="I963"/>
  <c r="I962"/>
  <c r="I961"/>
  <c r="I960"/>
  <c r="I959"/>
  <c r="I958"/>
  <c r="I955"/>
  <c r="I954"/>
  <c r="I953"/>
  <c r="I952"/>
  <c r="I951"/>
  <c r="I950"/>
  <c r="I949"/>
  <c r="I948"/>
  <c r="I947"/>
  <c r="I946"/>
  <c r="I945"/>
  <c r="I944"/>
  <c r="I943"/>
  <c r="I942"/>
  <c r="I941"/>
  <c r="I940"/>
  <c r="I936"/>
  <c r="I933"/>
  <c r="I930"/>
  <c r="I931" s="1"/>
  <c r="I927"/>
  <c r="I928" s="1"/>
  <c r="H909" s="1"/>
  <c r="I909" s="1"/>
  <c r="I924"/>
  <c r="I925" s="1"/>
  <c r="H908" s="1"/>
  <c r="I908" s="1"/>
  <c r="I921"/>
  <c r="E920"/>
  <c r="I920" s="1"/>
  <c r="I919"/>
  <c r="I918"/>
  <c r="I916"/>
  <c r="I915"/>
  <c r="I914"/>
  <c r="I885"/>
  <c r="I884"/>
  <c r="I879"/>
  <c r="I880" s="1"/>
  <c r="G881" s="1"/>
  <c r="I881" s="1"/>
  <c r="I855"/>
  <c r="I854"/>
  <c r="I853"/>
  <c r="I852"/>
  <c r="I851"/>
  <c r="F838"/>
  <c r="F843" s="1"/>
  <c r="F837"/>
  <c r="I837" s="1"/>
  <c r="I833"/>
  <c r="I838" s="1"/>
  <c r="I843" s="1"/>
  <c r="I832"/>
  <c r="F826"/>
  <c r="I826" s="1"/>
  <c r="I825"/>
  <c r="I820"/>
  <c r="I819"/>
  <c r="I818"/>
  <c r="I817"/>
  <c r="I816"/>
  <c r="I815"/>
  <c r="I814"/>
  <c r="I813"/>
  <c r="I812"/>
  <c r="I811"/>
  <c r="I810"/>
  <c r="I809"/>
  <c r="I808"/>
  <c r="I807"/>
  <c r="I806"/>
  <c r="F805"/>
  <c r="I805" s="1"/>
  <c r="I804"/>
  <c r="I803"/>
  <c r="I802"/>
  <c r="I801"/>
  <c r="I800"/>
  <c r="I799"/>
  <c r="I798"/>
  <c r="I797"/>
  <c r="I796"/>
  <c r="I795"/>
  <c r="I794"/>
  <c r="I793"/>
  <c r="I792"/>
  <c r="I790"/>
  <c r="I789"/>
  <c r="I788"/>
  <c r="I787"/>
  <c r="I786"/>
  <c r="I785"/>
  <c r="I784"/>
  <c r="I783"/>
  <c r="I782"/>
  <c r="I781"/>
  <c r="I780"/>
  <c r="I779"/>
  <c r="I778"/>
  <c r="I777"/>
  <c r="I776"/>
  <c r="I775"/>
  <c r="I774"/>
  <c r="I773"/>
  <c r="I772"/>
  <c r="I771"/>
  <c r="I765"/>
  <c r="I764"/>
  <c r="I763"/>
  <c r="I754"/>
  <c r="I753"/>
  <c r="I752"/>
  <c r="I751"/>
  <c r="I750"/>
  <c r="I749"/>
  <c r="I748"/>
  <c r="I747"/>
  <c r="I746"/>
  <c r="I745"/>
  <c r="I744"/>
  <c r="I743"/>
  <c r="I742"/>
  <c r="I741"/>
  <c r="I740"/>
  <c r="I739"/>
  <c r="I738"/>
  <c r="I737"/>
  <c r="I736"/>
  <c r="I735"/>
  <c r="I734"/>
  <c r="I733"/>
  <c r="I732"/>
  <c r="I731"/>
  <c r="I730"/>
  <c r="I729"/>
  <c r="I728"/>
  <c r="I727"/>
  <c r="I725"/>
  <c r="I724"/>
  <c r="I723"/>
  <c r="I722"/>
  <c r="I721"/>
  <c r="I720"/>
  <c r="I719"/>
  <c r="I718"/>
  <c r="I717"/>
  <c r="I716"/>
  <c r="I715"/>
  <c r="I714"/>
  <c r="I713"/>
  <c r="I712"/>
  <c r="I711"/>
  <c r="I710"/>
  <c r="I709"/>
  <c r="I708"/>
  <c r="I707"/>
  <c r="I706"/>
  <c r="I705"/>
  <c r="I704"/>
  <c r="I703"/>
  <c r="I702"/>
  <c r="I701"/>
  <c r="I700"/>
  <c r="I699"/>
  <c r="I698"/>
  <c r="I696"/>
  <c r="I695"/>
  <c r="I694"/>
  <c r="I693"/>
  <c r="I692"/>
  <c r="I691"/>
  <c r="I689"/>
  <c r="I688"/>
  <c r="I687"/>
  <c r="I686"/>
  <c r="I685"/>
  <c r="I684"/>
  <c r="I683"/>
  <c r="I682"/>
  <c r="I681"/>
  <c r="I680"/>
  <c r="I679"/>
  <c r="I678"/>
  <c r="I677"/>
  <c r="I676"/>
  <c r="I675"/>
  <c r="I674"/>
  <c r="I672"/>
  <c r="I671"/>
  <c r="I670"/>
  <c r="I669"/>
  <c r="I668"/>
  <c r="I667"/>
  <c r="I666"/>
  <c r="I665"/>
  <c r="I664"/>
  <c r="I663"/>
  <c r="I662"/>
  <c r="I661"/>
  <c r="I660"/>
  <c r="I659"/>
  <c r="I658"/>
  <c r="I657"/>
  <c r="I656"/>
  <c r="I655"/>
  <c r="I654"/>
  <c r="I653"/>
  <c r="I648"/>
  <c r="I646"/>
  <c r="I645"/>
  <c r="I644"/>
  <c r="I643"/>
  <c r="I642"/>
  <c r="I641"/>
  <c r="I640"/>
  <c r="I639"/>
  <c r="I638"/>
  <c r="I637"/>
  <c r="I636"/>
  <c r="I634"/>
  <c r="I633"/>
  <c r="I632"/>
  <c r="I631"/>
  <c r="I630"/>
  <c r="I629"/>
  <c r="I628"/>
  <c r="I627"/>
  <c r="I626"/>
  <c r="I625"/>
  <c r="I624"/>
  <c r="I622"/>
  <c r="I621"/>
  <c r="I620"/>
  <c r="I619"/>
  <c r="I618"/>
  <c r="I617"/>
  <c r="I616"/>
  <c r="I615"/>
  <c r="I614"/>
  <c r="I613"/>
  <c r="I607"/>
  <c r="I609" s="1"/>
  <c r="I603"/>
  <c r="I604" s="1"/>
  <c r="I605" s="1"/>
  <c r="I599"/>
  <c r="I598"/>
  <c r="I597"/>
  <c r="I596"/>
  <c r="C595"/>
  <c r="I595" s="1"/>
  <c r="I594"/>
  <c r="I593"/>
  <c r="G592"/>
  <c r="I592" s="1"/>
  <c r="I588"/>
  <c r="I587"/>
  <c r="G586"/>
  <c r="I586" s="1"/>
  <c r="I585"/>
  <c r="I584"/>
  <c r="I583"/>
  <c r="I582"/>
  <c r="I581"/>
  <c r="I580"/>
  <c r="I579"/>
  <c r="I578"/>
  <c r="I577"/>
  <c r="I576"/>
  <c r="I575"/>
  <c r="I574"/>
  <c r="I571"/>
  <c r="I572" s="1"/>
  <c r="B571"/>
  <c r="I568"/>
  <c r="I569" s="1"/>
  <c r="I564"/>
  <c r="I563"/>
  <c r="I559"/>
  <c r="I558"/>
  <c r="I552"/>
  <c r="I551"/>
  <c r="C550"/>
  <c r="I550" s="1"/>
  <c r="I546"/>
  <c r="I545"/>
  <c r="I544"/>
  <c r="I543"/>
  <c r="I536"/>
  <c r="I535"/>
  <c r="I534"/>
  <c r="I533"/>
  <c r="I532"/>
  <c r="I531"/>
  <c r="I530"/>
  <c r="I529"/>
  <c r="I528"/>
  <c r="I525"/>
  <c r="I524"/>
  <c r="I523"/>
  <c r="I522"/>
  <c r="H526"/>
  <c r="I526" s="1"/>
  <c r="I519"/>
  <c r="I518"/>
  <c r="I517"/>
  <c r="I516"/>
  <c r="I514"/>
  <c r="I513"/>
  <c r="I512"/>
  <c r="I511"/>
  <c r="I510"/>
  <c r="I509"/>
  <c r="I508"/>
  <c r="I507"/>
  <c r="I506"/>
  <c r="I504"/>
  <c r="I503"/>
  <c r="I502"/>
  <c r="M501"/>
  <c r="I501"/>
  <c r="L501" s="1"/>
  <c r="I498"/>
  <c r="I499" s="1"/>
  <c r="I495"/>
  <c r="I496" s="1"/>
  <c r="I489"/>
  <c r="I488"/>
  <c r="I484"/>
  <c r="I483"/>
  <c r="I482"/>
  <c r="I481"/>
  <c r="I475"/>
  <c r="I476" s="1"/>
  <c r="I471"/>
  <c r="I470"/>
  <c r="I469"/>
  <c r="I468"/>
  <c r="I467"/>
  <c r="I466"/>
  <c r="I465"/>
  <c r="I461"/>
  <c r="I460"/>
  <c r="I459"/>
  <c r="I458"/>
  <c r="I457"/>
  <c r="I456"/>
  <c r="I455"/>
  <c r="I454"/>
  <c r="I453"/>
  <c r="I452"/>
  <c r="I451"/>
  <c r="I446"/>
  <c r="I444"/>
  <c r="I443"/>
  <c r="I442"/>
  <c r="I441"/>
  <c r="I440"/>
  <c r="I439"/>
  <c r="I435"/>
  <c r="I434"/>
  <c r="I433"/>
  <c r="I432"/>
  <c r="I431"/>
  <c r="I430"/>
  <c r="I429"/>
  <c r="I428"/>
  <c r="I427"/>
  <c r="I426"/>
  <c r="I425"/>
  <c r="I424"/>
  <c r="I423"/>
  <c r="I422"/>
  <c r="I421"/>
  <c r="I420"/>
  <c r="I419"/>
  <c r="I418"/>
  <c r="I417"/>
  <c r="I416"/>
  <c r="I415"/>
  <c r="I414"/>
  <c r="I413"/>
  <c r="I412"/>
  <c r="I411"/>
  <c r="I410"/>
  <c r="I409"/>
  <c r="I408"/>
  <c r="I407"/>
  <c r="I406"/>
  <c r="I405"/>
  <c r="I404"/>
  <c r="I403"/>
  <c r="I402"/>
  <c r="I401"/>
  <c r="I400"/>
  <c r="I399"/>
  <c r="I398"/>
  <c r="I397"/>
  <c r="I396"/>
  <c r="I395"/>
  <c r="I394"/>
  <c r="I390"/>
  <c r="I389"/>
  <c r="I388"/>
  <c r="I387"/>
  <c r="I386"/>
  <c r="I385"/>
  <c r="I384"/>
  <c r="I383"/>
  <c r="I382"/>
  <c r="I381"/>
  <c r="I380"/>
  <c r="I379"/>
  <c r="I378"/>
  <c r="I377"/>
  <c r="I376"/>
  <c r="I375"/>
  <c r="I374"/>
  <c r="I373"/>
  <c r="I372"/>
  <c r="I371"/>
  <c r="I370"/>
  <c r="I369"/>
  <c r="I368"/>
  <c r="I367"/>
  <c r="I365"/>
  <c r="I364"/>
  <c r="I363"/>
  <c r="I362"/>
  <c r="I361"/>
  <c r="I360"/>
  <c r="I359"/>
  <c r="I358"/>
  <c r="I357"/>
  <c r="I356"/>
  <c r="I355"/>
  <c r="I354"/>
  <c r="I353"/>
  <c r="I352"/>
  <c r="I351"/>
  <c r="I350"/>
  <c r="I349"/>
  <c r="I348"/>
  <c r="I347"/>
  <c r="I346"/>
  <c r="I345"/>
  <c r="I344"/>
  <c r="I343"/>
  <c r="I342"/>
  <c r="I341"/>
  <c r="I340"/>
  <c r="Q339"/>
  <c r="I339"/>
  <c r="I338"/>
  <c r="I337"/>
  <c r="I336"/>
  <c r="I335"/>
  <c r="I330"/>
  <c r="I329"/>
  <c r="G328"/>
  <c r="I328" s="1"/>
  <c r="F327"/>
  <c r="I327" s="1"/>
  <c r="I326"/>
  <c r="I325"/>
  <c r="I324"/>
  <c r="I323"/>
  <c r="I322"/>
  <c r="I321"/>
  <c r="I320"/>
  <c r="I316"/>
  <c r="I315"/>
  <c r="I314"/>
  <c r="I313"/>
  <c r="I312"/>
  <c r="I311"/>
  <c r="I310"/>
  <c r="I309"/>
  <c r="I308"/>
  <c r="I307"/>
  <c r="I306"/>
  <c r="I305"/>
  <c r="I304"/>
  <c r="I303"/>
  <c r="I302"/>
  <c r="I301"/>
  <c r="I300"/>
  <c r="I299"/>
  <c r="I298"/>
  <c r="I297"/>
  <c r="I296"/>
  <c r="I295"/>
  <c r="I294"/>
  <c r="I293"/>
  <c r="I292"/>
  <c r="I291"/>
  <c r="I290"/>
  <c r="I289"/>
  <c r="I288"/>
  <c r="I287"/>
  <c r="I286"/>
  <c r="I285"/>
  <c r="I284"/>
  <c r="F283"/>
  <c r="I283" s="1"/>
  <c r="I282"/>
  <c r="I281"/>
  <c r="I280"/>
  <c r="I279"/>
  <c r="I278"/>
  <c r="I277"/>
  <c r="G276"/>
  <c r="I276" s="1"/>
  <c r="I274"/>
  <c r="I273"/>
  <c r="F272"/>
  <c r="I272" s="1"/>
  <c r="I271"/>
  <c r="I269"/>
  <c r="I268"/>
  <c r="I267"/>
  <c r="I266"/>
  <c r="I265"/>
  <c r="I264"/>
  <c r="I263"/>
  <c r="I261"/>
  <c r="I260"/>
  <c r="I259"/>
  <c r="I258"/>
  <c r="I257"/>
  <c r="I256"/>
  <c r="I255"/>
  <c r="I254"/>
  <c r="I249"/>
  <c r="I248"/>
  <c r="I247"/>
  <c r="I246"/>
  <c r="I245"/>
  <c r="I244"/>
  <c r="I243"/>
  <c r="I242"/>
  <c r="I241"/>
  <c r="I240"/>
  <c r="I238"/>
  <c r="I237"/>
  <c r="I236"/>
  <c r="I235"/>
  <c r="I234"/>
  <c r="I233"/>
  <c r="I232"/>
  <c r="I231"/>
  <c r="I230"/>
  <c r="I229"/>
  <c r="I228"/>
  <c r="I227"/>
  <c r="I225"/>
  <c r="I224"/>
  <c r="I223"/>
  <c r="I222"/>
  <c r="I221"/>
  <c r="I220"/>
  <c r="I219"/>
  <c r="G218"/>
  <c r="I218" s="1"/>
  <c r="F216"/>
  <c r="I216" s="1"/>
  <c r="I215"/>
  <c r="I213"/>
  <c r="I212"/>
  <c r="I211"/>
  <c r="I210"/>
  <c r="I209"/>
  <c r="I208"/>
  <c r="I207"/>
  <c r="I206"/>
  <c r="I205"/>
  <c r="I203"/>
  <c r="I202"/>
  <c r="E201"/>
  <c r="I201" s="1"/>
  <c r="E200"/>
  <c r="I200" s="1"/>
  <c r="I199"/>
  <c r="I198"/>
  <c r="E197"/>
  <c r="I197" s="1"/>
  <c r="I191"/>
  <c r="I190"/>
  <c r="I189"/>
  <c r="I188"/>
  <c r="I187"/>
  <c r="I186"/>
  <c r="I184"/>
  <c r="I183"/>
  <c r="I182"/>
  <c r="I181"/>
  <c r="I180"/>
  <c r="I179"/>
  <c r="I178"/>
  <c r="P177"/>
  <c r="I177"/>
  <c r="I176"/>
  <c r="I175"/>
  <c r="I174"/>
  <c r="I173"/>
  <c r="M172"/>
  <c r="I167"/>
  <c r="I166"/>
  <c r="I165"/>
  <c r="I145"/>
  <c r="I144"/>
  <c r="I143"/>
  <c r="I142"/>
  <c r="I141"/>
  <c r="I140"/>
  <c r="I139"/>
  <c r="I138"/>
  <c r="I137"/>
  <c r="I136"/>
  <c r="I135"/>
  <c r="I133"/>
  <c r="I132"/>
  <c r="I131"/>
  <c r="I130"/>
  <c r="I129"/>
  <c r="I128"/>
  <c r="I126"/>
  <c r="I125"/>
  <c r="I124"/>
  <c r="I123"/>
  <c r="I122"/>
  <c r="I121"/>
  <c r="I120"/>
  <c r="I119"/>
  <c r="I118"/>
  <c r="I117"/>
  <c r="I114"/>
  <c r="I113"/>
  <c r="I112"/>
  <c r="I111"/>
  <c r="I110"/>
  <c r="I115"/>
  <c r="I108"/>
  <c r="I107"/>
  <c r="I106"/>
  <c r="I105"/>
  <c r="I98"/>
  <c r="I97"/>
  <c r="I96"/>
  <c r="I95"/>
  <c r="I94"/>
  <c r="I93"/>
  <c r="I91"/>
  <c r="I90"/>
  <c r="I89"/>
  <c r="I88"/>
  <c r="I87"/>
  <c r="I86"/>
  <c r="I85"/>
  <c r="I84"/>
  <c r="I83"/>
  <c r="I82"/>
  <c r="I81"/>
  <c r="I80"/>
  <c r="L80" s="1"/>
  <c r="I78"/>
  <c r="I77"/>
  <c r="M76"/>
  <c r="I76"/>
  <c r="I69"/>
  <c r="G68"/>
  <c r="I68" s="1"/>
  <c r="I67"/>
  <c r="I66"/>
  <c r="I65"/>
  <c r="I64"/>
  <c r="I63"/>
  <c r="I62"/>
  <c r="I61"/>
  <c r="I60"/>
  <c r="L59"/>
  <c r="I59"/>
  <c r="I58"/>
  <c r="I57"/>
  <c r="I56"/>
  <c r="G52"/>
  <c r="I52" s="1"/>
  <c r="I51"/>
  <c r="I50"/>
  <c r="I49"/>
  <c r="I48"/>
  <c r="I47"/>
  <c r="I46"/>
  <c r="I45"/>
  <c r="I44"/>
  <c r="I43"/>
  <c r="I42"/>
  <c r="I41"/>
  <c r="I40"/>
  <c r="I28"/>
  <c r="I27"/>
  <c r="I26"/>
  <c r="I24"/>
  <c r="I23"/>
  <c r="I22"/>
  <c r="I21"/>
  <c r="P20"/>
  <c r="I20"/>
  <c r="I19"/>
  <c r="I18"/>
  <c r="I17"/>
  <c r="I16"/>
  <c r="I15"/>
  <c r="I14"/>
  <c r="I13"/>
  <c r="I11"/>
  <c r="M10"/>
  <c r="I10"/>
  <c r="M9"/>
  <c r="I9"/>
  <c r="H28" i="21"/>
  <c r="H56" i="23"/>
  <c r="H58" s="1"/>
  <c r="H52"/>
  <c r="H51"/>
  <c r="H43"/>
  <c r="H44" s="1"/>
  <c r="R1171" i="39" l="1"/>
  <c r="D455" i="37" s="1"/>
  <c r="D454"/>
  <c r="AI423" i="39"/>
  <c r="D80" i="37" s="1"/>
  <c r="D79"/>
  <c r="H453"/>
  <c r="N453"/>
  <c r="F453"/>
  <c r="H78"/>
  <c r="F78"/>
  <c r="N78"/>
  <c r="AG462" i="39"/>
  <c r="AE461"/>
  <c r="K913" i="31"/>
  <c r="L913" s="1"/>
  <c r="H916" i="34"/>
  <c r="J910" i="32"/>
  <c r="J1009" s="1"/>
  <c r="M910"/>
  <c r="M913" i="31"/>
  <c r="N913" s="1"/>
  <c r="I1466" i="26"/>
  <c r="I1467" s="1"/>
  <c r="L506"/>
  <c r="I956"/>
  <c r="I970"/>
  <c r="I984"/>
  <c r="I1015"/>
  <c r="I1101"/>
  <c r="I1102" s="1"/>
  <c r="F1453" s="1"/>
  <c r="I1453" s="1"/>
  <c r="I1355"/>
  <c r="I1356" s="1"/>
  <c r="I1348"/>
  <c r="I1349" s="1"/>
  <c r="I1472"/>
  <c r="I560"/>
  <c r="I561" s="1"/>
  <c r="I766"/>
  <c r="I767" s="1"/>
  <c r="I834"/>
  <c r="I835" s="1"/>
  <c r="I1071"/>
  <c r="I1120"/>
  <c r="I1121" s="1"/>
  <c r="F1456" s="1"/>
  <c r="I1456" s="1"/>
  <c r="I1479"/>
  <c r="I1480" s="1"/>
  <c r="I1578"/>
  <c r="I1579" s="1"/>
  <c r="I53"/>
  <c r="I54" s="1"/>
  <c r="I391"/>
  <c r="I392" s="1"/>
  <c r="I447"/>
  <c r="I448" s="1"/>
  <c r="I472"/>
  <c r="I473" s="1"/>
  <c r="I485"/>
  <c r="I486" s="1"/>
  <c r="I490"/>
  <c r="I491" s="1"/>
  <c r="F842"/>
  <c r="I842" s="1"/>
  <c r="I844" s="1"/>
  <c r="I845" s="1"/>
  <c r="I565"/>
  <c r="I566" s="1"/>
  <c r="I886"/>
  <c r="I887" s="1"/>
  <c r="I1067"/>
  <c r="I1528"/>
  <c r="I169"/>
  <c r="I170" s="1"/>
  <c r="F1448" s="1"/>
  <c r="I1448" s="1"/>
  <c r="I649"/>
  <c r="I650" s="1"/>
  <c r="I759" s="1"/>
  <c r="I1446" s="1"/>
  <c r="I827"/>
  <c r="I828" s="1"/>
  <c r="I839"/>
  <c r="I840" s="1"/>
  <c r="I856"/>
  <c r="I857" s="1"/>
  <c r="G858" s="1"/>
  <c r="I858" s="1"/>
  <c r="I859" s="1"/>
  <c r="I192"/>
  <c r="I193" s="1"/>
  <c r="I1413"/>
  <c r="I1414" s="1"/>
  <c r="I547"/>
  <c r="I548" s="1"/>
  <c r="F1457" s="1"/>
  <c r="I1457" s="1"/>
  <c r="I553"/>
  <c r="I554" s="1"/>
  <c r="F1458" s="1"/>
  <c r="I1458" s="1"/>
  <c r="I589"/>
  <c r="I590" s="1"/>
  <c r="I600"/>
  <c r="I601" s="1"/>
  <c r="I1095"/>
  <c r="I1096" s="1"/>
  <c r="F1452" s="1"/>
  <c r="I1452" s="1"/>
  <c r="I1175"/>
  <c r="I1176" s="1"/>
  <c r="I1389"/>
  <c r="I1390" s="1"/>
  <c r="I1430"/>
  <c r="I1431" s="1"/>
  <c r="I1439"/>
  <c r="I1440" s="1"/>
  <c r="I1492"/>
  <c r="I1493" s="1"/>
  <c r="I436"/>
  <c r="I437" s="1"/>
  <c r="I462"/>
  <c r="I463" s="1"/>
  <c r="I755"/>
  <c r="I756" s="1"/>
  <c r="I758" s="1"/>
  <c r="I1035"/>
  <c r="I1114"/>
  <c r="I1115" s="1"/>
  <c r="F1455" s="1"/>
  <c r="I1455" s="1"/>
  <c r="I99"/>
  <c r="I100" s="1"/>
  <c r="I29"/>
  <c r="I30" s="1"/>
  <c r="F1442"/>
  <c r="I1442" s="1"/>
  <c r="I1443" s="1"/>
  <c r="I1444" s="1"/>
  <c r="I250"/>
  <c r="I251" s="1"/>
  <c r="F1449" s="1"/>
  <c r="I1449" s="1"/>
  <c r="I910"/>
  <c r="I317"/>
  <c r="I318" s="1"/>
  <c r="F1450" s="1"/>
  <c r="I1450" s="1"/>
  <c r="I331"/>
  <c r="I332" s="1"/>
  <c r="F1451" s="1"/>
  <c r="I1451" s="1"/>
  <c r="I821"/>
  <c r="I822" s="1"/>
  <c r="F848" s="1"/>
  <c r="I848" s="1"/>
  <c r="L76"/>
  <c r="I521"/>
  <c r="I537" s="1"/>
  <c r="I538" s="1"/>
  <c r="F1273"/>
  <c r="I1273" s="1"/>
  <c r="I1276" s="1"/>
  <c r="I1281"/>
  <c r="I1340" s="1"/>
  <c r="I1341" s="1"/>
  <c r="K32" i="18"/>
  <c r="K27"/>
  <c r="I39"/>
  <c r="I38"/>
  <c r="I26"/>
  <c r="I11"/>
  <c r="H75" i="1"/>
  <c r="I60" i="24"/>
  <c r="I59"/>
  <c r="I58"/>
  <c r="I57"/>
  <c r="I31"/>
  <c r="I32"/>
  <c r="I43"/>
  <c r="I17"/>
  <c r="I10"/>
  <c r="F15"/>
  <c r="F16" s="1"/>
  <c r="F39" s="1"/>
  <c r="I26" i="19"/>
  <c r="H77" i="17"/>
  <c r="H22"/>
  <c r="H21"/>
  <c r="H76"/>
  <c r="H83" i="1"/>
  <c r="G51"/>
  <c r="H70" i="23"/>
  <c r="H69"/>
  <c r="H54"/>
  <c r="F15"/>
  <c r="E15"/>
  <c r="I27" i="18"/>
  <c r="H871" i="37" l="1"/>
  <c r="H454"/>
  <c r="N454"/>
  <c r="F454"/>
  <c r="H80"/>
  <c r="F80"/>
  <c r="N80"/>
  <c r="H455"/>
  <c r="F455"/>
  <c r="N455"/>
  <c r="AG463" i="39"/>
  <c r="AE463" s="1"/>
  <c r="AE462"/>
  <c r="H79" i="37"/>
  <c r="F79"/>
  <c r="N79"/>
  <c r="G338" i="32"/>
  <c r="E341" i="31"/>
  <c r="N910" i="32"/>
  <c r="O910"/>
  <c r="P910" s="1"/>
  <c r="J955" i="31"/>
  <c r="K955"/>
  <c r="I70" i="26"/>
  <c r="I72" s="1"/>
  <c r="I73" s="1"/>
  <c r="I1277"/>
  <c r="I911"/>
  <c r="F1562"/>
  <c r="I1562" s="1"/>
  <c r="I1563" s="1"/>
  <c r="I1564" s="1"/>
  <c r="I760"/>
  <c r="H72" i="23"/>
  <c r="F29" i="24"/>
  <c r="F30" s="1"/>
  <c r="N871" i="37" l="1"/>
  <c r="H873"/>
  <c r="H874" s="1"/>
  <c r="H338" i="32"/>
  <c r="B338"/>
  <c r="F338" s="1"/>
  <c r="M338"/>
  <c r="K341" i="31"/>
  <c r="F341"/>
  <c r="L955"/>
  <c r="M955"/>
  <c r="N955" s="1"/>
  <c r="F41" i="24"/>
  <c r="F50" s="1"/>
  <c r="F52" s="1"/>
  <c r="I52" s="1"/>
  <c r="I1459" i="26"/>
  <c r="F1460" s="1"/>
  <c r="I1460" s="1"/>
  <c r="I1461" s="1"/>
  <c r="H172" i="16"/>
  <c r="G173" s="1"/>
  <c r="H168"/>
  <c r="G169" s="1"/>
  <c r="H116"/>
  <c r="H115"/>
  <c r="H87"/>
  <c r="H82"/>
  <c r="G48"/>
  <c r="H46"/>
  <c r="B33" i="8"/>
  <c r="A2"/>
  <c r="A2" i="4" s="1"/>
  <c r="A1" i="8"/>
  <c r="A1" i="4" s="1"/>
  <c r="I76" i="24"/>
  <c r="I79" s="1"/>
  <c r="I72"/>
  <c r="I73" s="1"/>
  <c r="H74" s="1"/>
  <c r="I56"/>
  <c r="I55"/>
  <c r="I54"/>
  <c r="I51"/>
  <c r="I42"/>
  <c r="I40"/>
  <c r="I39"/>
  <c r="I30"/>
  <c r="I29"/>
  <c r="I16"/>
  <c r="I9"/>
  <c r="H53"/>
  <c r="A48"/>
  <c r="A67" s="1"/>
  <c r="A71" s="1"/>
  <c r="I23"/>
  <c r="I26" s="1"/>
  <c r="G15"/>
  <c r="I15" s="1"/>
  <c r="A14"/>
  <c r="M346" i="23"/>
  <c r="H66"/>
  <c r="H67" s="1"/>
  <c r="H63"/>
  <c r="H64" s="1"/>
  <c r="H47"/>
  <c r="H49" s="1"/>
  <c r="H39"/>
  <c r="H35"/>
  <c r="H34"/>
  <c r="H36" s="1"/>
  <c r="H29"/>
  <c r="H28"/>
  <c r="H27"/>
  <c r="H26"/>
  <c r="H25"/>
  <c r="H24"/>
  <c r="F19"/>
  <c r="E19"/>
  <c r="H11"/>
  <c r="H13" s="1"/>
  <c r="H228" i="22"/>
  <c r="G229" s="1"/>
  <c r="H225"/>
  <c r="G226" s="1"/>
  <c r="H220"/>
  <c r="H222" s="1"/>
  <c r="G223" s="1"/>
  <c r="H217"/>
  <c r="G218" s="1"/>
  <c r="H214"/>
  <c r="G215" s="1"/>
  <c r="H210"/>
  <c r="G211" s="1"/>
  <c r="H207"/>
  <c r="G208" s="1"/>
  <c r="H204"/>
  <c r="G205" s="1"/>
  <c r="H201"/>
  <c r="G202" s="1"/>
  <c r="H198"/>
  <c r="G199" s="1"/>
  <c r="H194"/>
  <c r="H193"/>
  <c r="H189"/>
  <c r="H188"/>
  <c r="H190" s="1"/>
  <c r="G191" s="1"/>
  <c r="H182"/>
  <c r="H181"/>
  <c r="H180"/>
  <c r="H174"/>
  <c r="H173"/>
  <c r="H168"/>
  <c r="H167"/>
  <c r="B163"/>
  <c r="H153"/>
  <c r="H152"/>
  <c r="H151"/>
  <c r="G149"/>
  <c r="H149" s="1"/>
  <c r="G148"/>
  <c r="H148" s="1"/>
  <c r="G147"/>
  <c r="H147" s="1"/>
  <c r="H146"/>
  <c r="E143"/>
  <c r="H143" s="1"/>
  <c r="H139"/>
  <c r="H138"/>
  <c r="H137"/>
  <c r="E135"/>
  <c r="H135" s="1"/>
  <c r="E134"/>
  <c r="H134" s="1"/>
  <c r="E133"/>
  <c r="H133" s="1"/>
  <c r="G132"/>
  <c r="E132"/>
  <c r="E145" s="1"/>
  <c r="H145" s="1"/>
  <c r="E126"/>
  <c r="H126" s="1"/>
  <c r="H125"/>
  <c r="E124"/>
  <c r="H124" s="1"/>
  <c r="E123"/>
  <c r="H123" s="1"/>
  <c r="E116"/>
  <c r="H116" s="1"/>
  <c r="H115"/>
  <c r="H114"/>
  <c r="F113"/>
  <c r="F121" s="1"/>
  <c r="E113"/>
  <c r="E121" s="1"/>
  <c r="H108"/>
  <c r="H110" s="1"/>
  <c r="G111" s="1"/>
  <c r="E99"/>
  <c r="E100" s="1"/>
  <c r="H100" s="1"/>
  <c r="E94"/>
  <c r="H94" s="1"/>
  <c r="E93"/>
  <c r="H93" s="1"/>
  <c r="H92"/>
  <c r="E91"/>
  <c r="H91" s="1"/>
  <c r="H89"/>
  <c r="E88"/>
  <c r="H88" s="1"/>
  <c r="H87"/>
  <c r="H81"/>
  <c r="E80"/>
  <c r="H80" s="1"/>
  <c r="E79"/>
  <c r="H79" s="1"/>
  <c r="H73"/>
  <c r="H72"/>
  <c r="H71"/>
  <c r="G68"/>
  <c r="G67"/>
  <c r="E62"/>
  <c r="H62" s="1"/>
  <c r="H61"/>
  <c r="H59"/>
  <c r="H51"/>
  <c r="G49"/>
  <c r="D49"/>
  <c r="F43"/>
  <c r="F50" s="1"/>
  <c r="E43"/>
  <c r="G37"/>
  <c r="G36"/>
  <c r="G35"/>
  <c r="G33"/>
  <c r="G38" s="1"/>
  <c r="G28"/>
  <c r="E27"/>
  <c r="E33" s="1"/>
  <c r="H19"/>
  <c r="F18"/>
  <c r="F49" s="1"/>
  <c r="E18"/>
  <c r="E49" s="1"/>
  <c r="F17"/>
  <c r="F48" s="1"/>
  <c r="E17"/>
  <c r="E48" s="1"/>
  <c r="D17"/>
  <c r="D48" s="1"/>
  <c r="A16"/>
  <c r="A23" s="1"/>
  <c r="A32" s="1"/>
  <c r="A42" s="1"/>
  <c r="A47" s="1"/>
  <c r="A55" s="1"/>
  <c r="A66" s="1"/>
  <c r="A77" s="1"/>
  <c r="A104" s="1"/>
  <c r="A107" s="1"/>
  <c r="A112" s="1"/>
  <c r="A120" s="1"/>
  <c r="A130" s="1"/>
  <c r="A157" s="1"/>
  <c r="A159" s="1"/>
  <c r="A162" s="1"/>
  <c r="A164" s="1"/>
  <c r="A166" s="1"/>
  <c r="A172" s="1"/>
  <c r="A179" s="1"/>
  <c r="A186" s="1"/>
  <c r="A197" s="1"/>
  <c r="A200" s="1"/>
  <c r="A203" s="1"/>
  <c r="A206" s="1"/>
  <c r="A209" s="1"/>
  <c r="A212" s="1"/>
  <c r="A216" s="1"/>
  <c r="A219" s="1"/>
  <c r="A224" s="1"/>
  <c r="L15"/>
  <c r="H12"/>
  <c r="H11"/>
  <c r="H10"/>
  <c r="G112" i="21"/>
  <c r="H102"/>
  <c r="G103" s="1"/>
  <c r="H99"/>
  <c r="G100" s="1"/>
  <c r="H96"/>
  <c r="G97" s="1"/>
  <c r="A98"/>
  <c r="A101" s="1"/>
  <c r="A104" s="1"/>
  <c r="A107" s="1"/>
  <c r="A110" s="1"/>
  <c r="H92"/>
  <c r="H91"/>
  <c r="H87"/>
  <c r="H86"/>
  <c r="H85"/>
  <c r="H81"/>
  <c r="H80"/>
  <c r="H79"/>
  <c r="H73"/>
  <c r="H72"/>
  <c r="H71"/>
  <c r="H70"/>
  <c r="H69"/>
  <c r="H68"/>
  <c r="H64"/>
  <c r="H63"/>
  <c r="H62"/>
  <c r="H61"/>
  <c r="H60"/>
  <c r="H58"/>
  <c r="H55"/>
  <c r="G56" s="1"/>
  <c r="A50"/>
  <c r="A53" s="1"/>
  <c r="A49"/>
  <c r="A52" s="1"/>
  <c r="A48"/>
  <c r="A51" s="1"/>
  <c r="I47"/>
  <c r="C40"/>
  <c r="H40" s="1"/>
  <c r="G41" s="1"/>
  <c r="H37"/>
  <c r="G38" s="1"/>
  <c r="H33"/>
  <c r="H27"/>
  <c r="H22"/>
  <c r="H23" s="1"/>
  <c r="G24" s="1"/>
  <c r="H18"/>
  <c r="H17"/>
  <c r="I14"/>
  <c r="L12"/>
  <c r="H10"/>
  <c r="H9"/>
  <c r="K8"/>
  <c r="L8" s="1"/>
  <c r="M8" s="1"/>
  <c r="H8"/>
  <c r="N873" i="37" l="1"/>
  <c r="N872"/>
  <c r="H876"/>
  <c r="H875"/>
  <c r="O338" i="32"/>
  <c r="P338" s="1"/>
  <c r="N338"/>
  <c r="M341" i="31"/>
  <c r="N341" s="1"/>
  <c r="L341"/>
  <c r="H195" i="22"/>
  <c r="G196" s="1"/>
  <c r="H48"/>
  <c r="H43"/>
  <c r="H45" s="1"/>
  <c r="G46" s="1"/>
  <c r="I50" i="24"/>
  <c r="I20"/>
  <c r="H21" s="1"/>
  <c r="I41"/>
  <c r="I46" s="1"/>
  <c r="H47" s="1"/>
  <c r="I12"/>
  <c r="H13" s="1"/>
  <c r="H99" i="22"/>
  <c r="H184"/>
  <c r="G185" s="1"/>
  <c r="H83"/>
  <c r="G84" s="1"/>
  <c r="H132"/>
  <c r="H141" s="1"/>
  <c r="H160" s="1"/>
  <c r="G161" s="1"/>
  <c r="G163" s="1"/>
  <c r="I57" i="21"/>
  <c r="I66"/>
  <c r="H34"/>
  <c r="G35" s="1"/>
  <c r="H46" s="1"/>
  <c r="G47" s="1"/>
  <c r="H65"/>
  <c r="G66" s="1"/>
  <c r="H88"/>
  <c r="G89" s="1"/>
  <c r="H11"/>
  <c r="I12" s="1"/>
  <c r="H29"/>
  <c r="G30" s="1"/>
  <c r="I53"/>
  <c r="H93"/>
  <c r="G94" s="1"/>
  <c r="H74"/>
  <c r="G75" s="1"/>
  <c r="H82"/>
  <c r="G83" s="1"/>
  <c r="H14" i="22"/>
  <c r="G15" s="1"/>
  <c r="H17"/>
  <c r="D25"/>
  <c r="H25" s="1"/>
  <c r="H96"/>
  <c r="G97" s="1"/>
  <c r="H121"/>
  <c r="H128" s="1"/>
  <c r="G129" s="1"/>
  <c r="G158" s="1"/>
  <c r="H176"/>
  <c r="C177" s="1"/>
  <c r="H177" s="1"/>
  <c r="G178" s="1"/>
  <c r="H49"/>
  <c r="H102"/>
  <c r="G103" s="1"/>
  <c r="H170"/>
  <c r="G171" s="1"/>
  <c r="H19" i="21"/>
  <c r="G20" s="1"/>
  <c r="H37" i="23"/>
  <c r="H31"/>
  <c r="E60" s="1"/>
  <c r="H60" s="1"/>
  <c r="H61" s="1"/>
  <c r="H40"/>
  <c r="H41" s="1"/>
  <c r="I53" i="24"/>
  <c r="H19" i="23"/>
  <c r="H21" s="1"/>
  <c r="H27" i="24"/>
  <c r="H80"/>
  <c r="H15" i="23"/>
  <c r="H17" s="1"/>
  <c r="E58" i="22"/>
  <c r="H58" s="1"/>
  <c r="E67"/>
  <c r="H33"/>
  <c r="H18"/>
  <c r="E34"/>
  <c r="E50"/>
  <c r="H50" s="1"/>
  <c r="H53" s="1"/>
  <c r="G54" s="1"/>
  <c r="D26"/>
  <c r="H26" s="1"/>
  <c r="D28"/>
  <c r="D57"/>
  <c r="H57" s="1"/>
  <c r="H113"/>
  <c r="H118" s="1"/>
  <c r="G119" s="1"/>
  <c r="H27"/>
  <c r="H36" i="20"/>
  <c r="G37" s="1"/>
  <c r="H32"/>
  <c r="G33" s="1"/>
  <c r="H29"/>
  <c r="G30" s="1"/>
  <c r="A28"/>
  <c r="H26"/>
  <c r="G27" s="1"/>
  <c r="H22"/>
  <c r="H23" s="1"/>
  <c r="G24" s="1"/>
  <c r="H19"/>
  <c r="G20" s="1"/>
  <c r="I946" i="31"/>
  <c r="H16" i="20"/>
  <c r="G17" s="1"/>
  <c r="H13"/>
  <c r="G14" s="1"/>
  <c r="H9"/>
  <c r="H8"/>
  <c r="A943" i="31"/>
  <c r="H877" i="37" l="1"/>
  <c r="H878" s="1"/>
  <c r="H880" s="1"/>
  <c r="H881" s="1"/>
  <c r="N876"/>
  <c r="N877" s="1"/>
  <c r="N875"/>
  <c r="N874"/>
  <c r="I950" i="31"/>
  <c r="J950" s="1"/>
  <c r="K947" i="32"/>
  <c r="K13" i="33"/>
  <c r="I961" i="31"/>
  <c r="K958" i="32"/>
  <c r="I965" i="31"/>
  <c r="K965" s="1"/>
  <c r="K962" i="32"/>
  <c r="I970" i="31"/>
  <c r="K967" i="32"/>
  <c r="I974" i="31"/>
  <c r="K974" s="1"/>
  <c r="K971" i="32"/>
  <c r="I978" i="31"/>
  <c r="K975" i="32"/>
  <c r="A950" i="31"/>
  <c r="A947" i="32"/>
  <c r="A13" i="33"/>
  <c r="K16"/>
  <c r="K951" i="32"/>
  <c r="I964" i="31"/>
  <c r="K961" i="32"/>
  <c r="I969" i="31"/>
  <c r="K966" i="32"/>
  <c r="I977" i="31"/>
  <c r="K974" i="32"/>
  <c r="I947" i="31"/>
  <c r="K947" s="1"/>
  <c r="K10" i="33"/>
  <c r="K944" i="32"/>
  <c r="I945" i="31"/>
  <c r="K945" s="1"/>
  <c r="K9" i="33"/>
  <c r="K942" i="32"/>
  <c r="I949" i="31"/>
  <c r="K12" i="33"/>
  <c r="K946" i="32"/>
  <c r="I963" i="31"/>
  <c r="K960" i="32"/>
  <c r="I968" i="31"/>
  <c r="J968" s="1"/>
  <c r="K965" i="32"/>
  <c r="I976" i="31"/>
  <c r="K973" i="32"/>
  <c r="I944" i="31"/>
  <c r="K8" i="33"/>
  <c r="K941" i="32"/>
  <c r="I948" i="31"/>
  <c r="K11" i="33"/>
  <c r="K945" i="32"/>
  <c r="I951" i="31"/>
  <c r="K951" s="1"/>
  <c r="K948" i="32"/>
  <c r="K14" i="33"/>
  <c r="I962" i="31"/>
  <c r="K959" i="32"/>
  <c r="I966" i="31"/>
  <c r="K963" i="32"/>
  <c r="I971" i="31"/>
  <c r="J971" s="1"/>
  <c r="K968" i="32"/>
  <c r="I975" i="31"/>
  <c r="K972" i="32"/>
  <c r="I979" i="31"/>
  <c r="K976" i="32"/>
  <c r="J961" i="31"/>
  <c r="K961"/>
  <c r="K970"/>
  <c r="J970"/>
  <c r="K978"/>
  <c r="J978"/>
  <c r="J946"/>
  <c r="K946"/>
  <c r="H39" i="20"/>
  <c r="G40" s="1"/>
  <c r="I954" i="31"/>
  <c r="J964"/>
  <c r="K964"/>
  <c r="J969"/>
  <c r="K969"/>
  <c r="K977"/>
  <c r="J977"/>
  <c r="J945"/>
  <c r="K963"/>
  <c r="J963"/>
  <c r="K968"/>
  <c r="K976"/>
  <c r="J976"/>
  <c r="K944"/>
  <c r="J944"/>
  <c r="J951"/>
  <c r="K962"/>
  <c r="J962"/>
  <c r="J966"/>
  <c r="K966"/>
  <c r="J975"/>
  <c r="K975"/>
  <c r="K979"/>
  <c r="J979"/>
  <c r="K950"/>
  <c r="K949"/>
  <c r="J949"/>
  <c r="K948"/>
  <c r="J948"/>
  <c r="I65" i="24"/>
  <c r="H66" s="1"/>
  <c r="H21" i="22"/>
  <c r="G22" s="1"/>
  <c r="H64"/>
  <c r="G65" s="1"/>
  <c r="K31" i="23"/>
  <c r="A31" i="20"/>
  <c r="A12"/>
  <c r="H10"/>
  <c r="G11" s="1"/>
  <c r="F68" i="24"/>
  <c r="I68" s="1"/>
  <c r="I69" s="1"/>
  <c r="H70" s="1"/>
  <c r="H28" i="22"/>
  <c r="D38"/>
  <c r="H38" s="1"/>
  <c r="H34"/>
  <c r="E35"/>
  <c r="E68"/>
  <c r="H68" s="1"/>
  <c r="E144"/>
  <c r="H144" s="1"/>
  <c r="H154" s="1"/>
  <c r="H155" s="1"/>
  <c r="E70"/>
  <c r="H70" s="1"/>
  <c r="H67"/>
  <c r="I25" i="19"/>
  <c r="I27" s="1"/>
  <c r="I21"/>
  <c r="I22" s="1"/>
  <c r="I17"/>
  <c r="I18" s="1"/>
  <c r="I13"/>
  <c r="I14" s="1"/>
  <c r="I9"/>
  <c r="I10" s="1"/>
  <c r="K971" i="31" l="1"/>
  <c r="J974"/>
  <c r="J965"/>
  <c r="J947"/>
  <c r="A951"/>
  <c r="A948" i="32"/>
  <c r="A14" i="33"/>
  <c r="I958" i="31"/>
  <c r="K18" i="33"/>
  <c r="K955" i="32"/>
  <c r="L963"/>
  <c r="M963"/>
  <c r="L959"/>
  <c r="M959"/>
  <c r="L941"/>
  <c r="M941"/>
  <c r="M946"/>
  <c r="L946"/>
  <c r="B9" i="33"/>
  <c r="L9"/>
  <c r="F9" s="1"/>
  <c r="L962" i="32"/>
  <c r="M962"/>
  <c r="L958"/>
  <c r="M958"/>
  <c r="I943" i="31"/>
  <c r="K7" i="33"/>
  <c r="K940" i="32"/>
  <c r="A944" i="31"/>
  <c r="A8" i="33"/>
  <c r="A941" i="32"/>
  <c r="L976"/>
  <c r="M976"/>
  <c r="M948"/>
  <c r="L948"/>
  <c r="M973"/>
  <c r="L973"/>
  <c r="L942"/>
  <c r="M942"/>
  <c r="B10" i="33"/>
  <c r="L10"/>
  <c r="F10" s="1"/>
  <c r="L961" i="32"/>
  <c r="M961"/>
  <c r="B16" i="33"/>
  <c r="L16"/>
  <c r="F16" s="1"/>
  <c r="L975" i="32"/>
  <c r="M975"/>
  <c r="M947"/>
  <c r="L947"/>
  <c r="K950"/>
  <c r="L972"/>
  <c r="M972"/>
  <c r="L14" i="33"/>
  <c r="F14" s="1"/>
  <c r="B14"/>
  <c r="B11"/>
  <c r="L11"/>
  <c r="F11" s="1"/>
  <c r="M965" i="32"/>
  <c r="L965"/>
  <c r="L960"/>
  <c r="M960"/>
  <c r="L944"/>
  <c r="M944"/>
  <c r="M974"/>
  <c r="L974"/>
  <c r="M951"/>
  <c r="L951"/>
  <c r="L971"/>
  <c r="M971"/>
  <c r="L13" i="33"/>
  <c r="F13" s="1"/>
  <c r="B13"/>
  <c r="I973" i="31"/>
  <c r="K970" i="32"/>
  <c r="I972" i="31"/>
  <c r="K969" i="32"/>
  <c r="M968"/>
  <c r="L968"/>
  <c r="L945"/>
  <c r="M945"/>
  <c r="L8" i="33"/>
  <c r="F8" s="1"/>
  <c r="B8"/>
  <c r="B12"/>
  <c r="L12"/>
  <c r="F12" s="1"/>
  <c r="M966" i="32"/>
  <c r="L966"/>
  <c r="M967"/>
  <c r="L967"/>
  <c r="M951" i="31"/>
  <c r="N951" s="1"/>
  <c r="L951"/>
  <c r="M976"/>
  <c r="N976" s="1"/>
  <c r="L976"/>
  <c r="M963"/>
  <c r="N963" s="1"/>
  <c r="L963"/>
  <c r="L977"/>
  <c r="M977"/>
  <c r="N977" s="1"/>
  <c r="M974"/>
  <c r="N974" s="1"/>
  <c r="L974"/>
  <c r="L965"/>
  <c r="M965"/>
  <c r="N965" s="1"/>
  <c r="M975"/>
  <c r="N975" s="1"/>
  <c r="L975"/>
  <c r="M966"/>
  <c r="N966" s="1"/>
  <c r="L966"/>
  <c r="M964"/>
  <c r="N964" s="1"/>
  <c r="L964"/>
  <c r="L946"/>
  <c r="M946"/>
  <c r="N946" s="1"/>
  <c r="M947"/>
  <c r="N947" s="1"/>
  <c r="L947"/>
  <c r="M979"/>
  <c r="N979" s="1"/>
  <c r="L979"/>
  <c r="L962"/>
  <c r="M962"/>
  <c r="N962" s="1"/>
  <c r="M944"/>
  <c r="N944" s="1"/>
  <c r="L944"/>
  <c r="M968"/>
  <c r="N968" s="1"/>
  <c r="L968"/>
  <c r="M945"/>
  <c r="N945" s="1"/>
  <c r="L945"/>
  <c r="K958"/>
  <c r="J958"/>
  <c r="M978"/>
  <c r="N978" s="1"/>
  <c r="L978"/>
  <c r="M970"/>
  <c r="N970" s="1"/>
  <c r="L970"/>
  <c r="J943"/>
  <c r="K943"/>
  <c r="K972"/>
  <c r="J972"/>
  <c r="K973"/>
  <c r="J973"/>
  <c r="K959"/>
  <c r="J959"/>
  <c r="M971"/>
  <c r="N971" s="1"/>
  <c r="L971"/>
  <c r="M969"/>
  <c r="N969" s="1"/>
  <c r="L969"/>
  <c r="K954"/>
  <c r="J954"/>
  <c r="M961"/>
  <c r="N961" s="1"/>
  <c r="L961"/>
  <c r="I953"/>
  <c r="L950"/>
  <c r="M950"/>
  <c r="N950" s="1"/>
  <c r="M949"/>
  <c r="N949" s="1"/>
  <c r="L949"/>
  <c r="M948"/>
  <c r="N948" s="1"/>
  <c r="L948"/>
  <c r="H30" i="22"/>
  <c r="G31" s="1"/>
  <c r="E105" s="1"/>
  <c r="H105" s="1"/>
  <c r="G106" s="1"/>
  <c r="A34" i="20"/>
  <c r="A15"/>
  <c r="E36" i="22"/>
  <c r="H35"/>
  <c r="H75"/>
  <c r="G76" s="1"/>
  <c r="G165"/>
  <c r="G156"/>
  <c r="G19" i="18"/>
  <c r="F16"/>
  <c r="I13"/>
  <c r="H150" i="17"/>
  <c r="H151" s="1"/>
  <c r="H152" s="1"/>
  <c r="H147"/>
  <c r="H148" s="1"/>
  <c r="H143"/>
  <c r="H142"/>
  <c r="H141"/>
  <c r="H140"/>
  <c r="H139"/>
  <c r="H138"/>
  <c r="H137"/>
  <c r="H136"/>
  <c r="H135"/>
  <c r="H134"/>
  <c r="H133"/>
  <c r="H132"/>
  <c r="H131"/>
  <c r="H130"/>
  <c r="H129"/>
  <c r="H128"/>
  <c r="A126"/>
  <c r="A146" s="1"/>
  <c r="A149" s="1"/>
  <c r="H123"/>
  <c r="H122"/>
  <c r="H121"/>
  <c r="H120"/>
  <c r="B118"/>
  <c r="B114"/>
  <c r="B109"/>
  <c r="H106"/>
  <c r="H107" s="1"/>
  <c r="H108" s="1"/>
  <c r="E115" s="1"/>
  <c r="H115" s="1"/>
  <c r="H116" s="1"/>
  <c r="H117" s="1"/>
  <c r="H102"/>
  <c r="H101"/>
  <c r="H100"/>
  <c r="H99"/>
  <c r="H97"/>
  <c r="H96"/>
  <c r="H95"/>
  <c r="H94"/>
  <c r="H93"/>
  <c r="H92"/>
  <c r="H91"/>
  <c r="H90"/>
  <c r="H89"/>
  <c r="H88"/>
  <c r="H87"/>
  <c r="H86"/>
  <c r="H85"/>
  <c r="H84"/>
  <c r="H83"/>
  <c r="H82"/>
  <c r="H75"/>
  <c r="H78" s="1"/>
  <c r="H79" s="1"/>
  <c r="E110" s="1"/>
  <c r="H110" s="1"/>
  <c r="H111" s="1"/>
  <c r="H112" s="1"/>
  <c r="H113" s="1"/>
  <c r="H70"/>
  <c r="H69"/>
  <c r="A68"/>
  <c r="A73" s="1"/>
  <c r="A80" s="1"/>
  <c r="A105" s="1"/>
  <c r="A109" s="1"/>
  <c r="H65"/>
  <c r="H64"/>
  <c r="H66" s="1"/>
  <c r="H67" s="1"/>
  <c r="H60"/>
  <c r="H61" s="1"/>
  <c r="H62" s="1"/>
  <c r="H59"/>
  <c r="H55"/>
  <c r="H56" s="1"/>
  <c r="H57" s="1"/>
  <c r="H51"/>
  <c r="H52" s="1"/>
  <c r="H53" s="1"/>
  <c r="H47"/>
  <c r="H46"/>
  <c r="H45"/>
  <c r="H44"/>
  <c r="H43"/>
  <c r="H42"/>
  <c r="H41"/>
  <c r="H40"/>
  <c r="H39"/>
  <c r="H38"/>
  <c r="H37"/>
  <c r="H36"/>
  <c r="H35"/>
  <c r="H30"/>
  <c r="H32" s="1"/>
  <c r="A29"/>
  <c r="A33" s="1"/>
  <c r="A50" s="1"/>
  <c r="A54" s="1"/>
  <c r="A58" s="1"/>
  <c r="H26"/>
  <c r="H27" s="1"/>
  <c r="H28" s="1"/>
  <c r="H25"/>
  <c r="B24"/>
  <c r="H20"/>
  <c r="H19"/>
  <c r="H14"/>
  <c r="H15" s="1"/>
  <c r="H16" s="1"/>
  <c r="H9"/>
  <c r="H8"/>
  <c r="H48" i="16"/>
  <c r="H47"/>
  <c r="H39"/>
  <c r="H38"/>
  <c r="H33"/>
  <c r="H29"/>
  <c r="H189"/>
  <c r="G190" s="1"/>
  <c r="H186"/>
  <c r="G187" s="1"/>
  <c r="H183"/>
  <c r="G184" s="1"/>
  <c r="H179"/>
  <c r="G180" s="1"/>
  <c r="H176"/>
  <c r="G177" s="1"/>
  <c r="H165"/>
  <c r="G166" s="1"/>
  <c r="H157"/>
  <c r="H162"/>
  <c r="G163" s="1"/>
  <c r="H158"/>
  <c r="H156"/>
  <c r="H138"/>
  <c r="H137"/>
  <c r="H136"/>
  <c r="H135"/>
  <c r="H134"/>
  <c r="H133"/>
  <c r="H132"/>
  <c r="H131"/>
  <c r="H125"/>
  <c r="H124"/>
  <c r="H121"/>
  <c r="G122" s="1"/>
  <c r="H110"/>
  <c r="H109"/>
  <c r="H108"/>
  <c r="H107"/>
  <c r="H106"/>
  <c r="H105"/>
  <c r="H104"/>
  <c r="H103"/>
  <c r="H101"/>
  <c r="H100"/>
  <c r="H99"/>
  <c r="H98"/>
  <c r="H97"/>
  <c r="H91"/>
  <c r="E90"/>
  <c r="H90" s="1"/>
  <c r="H89"/>
  <c r="H88"/>
  <c r="H84"/>
  <c r="G85" s="1"/>
  <c r="H77"/>
  <c r="H76"/>
  <c r="F75"/>
  <c r="H75" s="1"/>
  <c r="J71"/>
  <c r="H70"/>
  <c r="H72" s="1"/>
  <c r="G73" s="1"/>
  <c r="J65"/>
  <c r="H65"/>
  <c r="H64"/>
  <c r="H55"/>
  <c r="E54"/>
  <c r="H54" s="1"/>
  <c r="H53"/>
  <c r="H52"/>
  <c r="H51"/>
  <c r="H50"/>
  <c r="H49"/>
  <c r="H41"/>
  <c r="E40"/>
  <c r="H40" s="1"/>
  <c r="H32"/>
  <c r="J31"/>
  <c r="H31"/>
  <c r="H30"/>
  <c r="H24"/>
  <c r="H23"/>
  <c r="H18"/>
  <c r="H20" s="1"/>
  <c r="G21" s="1"/>
  <c r="H13"/>
  <c r="H15" s="1"/>
  <c r="G16" s="1"/>
  <c r="A12"/>
  <c r="A17" s="1"/>
  <c r="A22" s="1"/>
  <c r="A28" s="1"/>
  <c r="A37" s="1"/>
  <c r="A45" s="1"/>
  <c r="H8"/>
  <c r="H10" s="1"/>
  <c r="G11" s="1"/>
  <c r="H38" i="15"/>
  <c r="H35"/>
  <c r="H32"/>
  <c r="H29"/>
  <c r="H26"/>
  <c r="E23"/>
  <c r="H23" s="1"/>
  <c r="H20"/>
  <c r="H17"/>
  <c r="H13"/>
  <c r="H10"/>
  <c r="H10" i="17" l="1"/>
  <c r="H11" s="1"/>
  <c r="H71"/>
  <c r="H72" s="1"/>
  <c r="A945" i="31"/>
  <c r="A9" i="33"/>
  <c r="A942" i="32"/>
  <c r="N967"/>
  <c r="O967"/>
  <c r="P967" s="1"/>
  <c r="O968"/>
  <c r="P968" s="1"/>
  <c r="N968"/>
  <c r="O974"/>
  <c r="P974" s="1"/>
  <c r="N974"/>
  <c r="O973"/>
  <c r="P973" s="1"/>
  <c r="N973"/>
  <c r="M940"/>
  <c r="L940"/>
  <c r="L1009" s="1"/>
  <c r="N946"/>
  <c r="O946"/>
  <c r="P946" s="1"/>
  <c r="B18" i="33"/>
  <c r="L18"/>
  <c r="F18" s="1"/>
  <c r="O945" i="32"/>
  <c r="P945" s="1"/>
  <c r="N945"/>
  <c r="N971"/>
  <c r="O971"/>
  <c r="P971" s="1"/>
  <c r="N960"/>
  <c r="O960"/>
  <c r="P960" s="1"/>
  <c r="M950"/>
  <c r="L950"/>
  <c r="N975"/>
  <c r="O975"/>
  <c r="P975" s="1"/>
  <c r="O961"/>
  <c r="P961" s="1"/>
  <c r="N961"/>
  <c r="O942"/>
  <c r="P942" s="1"/>
  <c r="N942"/>
  <c r="O976"/>
  <c r="P976" s="1"/>
  <c r="N976"/>
  <c r="N958"/>
  <c r="O958"/>
  <c r="P958" s="1"/>
  <c r="O941"/>
  <c r="P941" s="1"/>
  <c r="N941"/>
  <c r="O963"/>
  <c r="P963" s="1"/>
  <c r="N963"/>
  <c r="M955"/>
  <c r="L955"/>
  <c r="I957" i="31"/>
  <c r="K954" i="32"/>
  <c r="N966"/>
  <c r="O966"/>
  <c r="P966" s="1"/>
  <c r="O951"/>
  <c r="P951" s="1"/>
  <c r="N951"/>
  <c r="O965"/>
  <c r="P965" s="1"/>
  <c r="N965"/>
  <c r="N947"/>
  <c r="O947"/>
  <c r="P947" s="1"/>
  <c r="N948"/>
  <c r="O948"/>
  <c r="P948" s="1"/>
  <c r="A952" i="31"/>
  <c r="A949" i="32"/>
  <c r="A15" i="33"/>
  <c r="M969" i="32"/>
  <c r="L969"/>
  <c r="M970"/>
  <c r="L970"/>
  <c r="N944"/>
  <c r="O944"/>
  <c r="P944" s="1"/>
  <c r="O972"/>
  <c r="P972" s="1"/>
  <c r="N972"/>
  <c r="B7" i="33"/>
  <c r="L7"/>
  <c r="O962" i="32"/>
  <c r="P962" s="1"/>
  <c r="N962"/>
  <c r="O959"/>
  <c r="P959" s="1"/>
  <c r="N959"/>
  <c r="M954" i="31"/>
  <c r="N954" s="1"/>
  <c r="L954"/>
  <c r="L973"/>
  <c r="M973"/>
  <c r="N973" s="1"/>
  <c r="M943"/>
  <c r="N943" s="1"/>
  <c r="L943"/>
  <c r="M959"/>
  <c r="N959" s="1"/>
  <c r="L959"/>
  <c r="M972"/>
  <c r="N972" s="1"/>
  <c r="L972"/>
  <c r="M958"/>
  <c r="N958" s="1"/>
  <c r="L958"/>
  <c r="K953"/>
  <c r="J953"/>
  <c r="J1012" s="1"/>
  <c r="K957"/>
  <c r="J957"/>
  <c r="H124" i="17"/>
  <c r="H125" s="1"/>
  <c r="H23"/>
  <c r="A38" i="20"/>
  <c r="A946" i="31"/>
  <c r="F19" i="18"/>
  <c r="I19" s="1"/>
  <c r="I21" s="1"/>
  <c r="I16"/>
  <c r="I17" s="1"/>
  <c r="H103" i="17"/>
  <c r="H104" s="1"/>
  <c r="H144"/>
  <c r="H145" s="1"/>
  <c r="H48"/>
  <c r="H49" s="1"/>
  <c r="I40" i="18"/>
  <c r="A59" i="16"/>
  <c r="A63" s="1"/>
  <c r="A69" s="1"/>
  <c r="A74" s="1"/>
  <c r="A81" s="1"/>
  <c r="A86" s="1"/>
  <c r="A95" s="1"/>
  <c r="A114" s="1"/>
  <c r="A120" s="1"/>
  <c r="A123" s="1"/>
  <c r="A129" s="1"/>
  <c r="A142" s="1"/>
  <c r="A144" s="1"/>
  <c r="A149" s="1"/>
  <c r="A154" s="1"/>
  <c r="A164" s="1"/>
  <c r="H127"/>
  <c r="G128" s="1"/>
  <c r="H67"/>
  <c r="G68" s="1"/>
  <c r="H140"/>
  <c r="G141" s="1"/>
  <c r="H159"/>
  <c r="G160" s="1"/>
  <c r="H43"/>
  <c r="G44" s="1"/>
  <c r="C60" s="1"/>
  <c r="G60" s="1"/>
  <c r="H35"/>
  <c r="G36" s="1"/>
  <c r="H79"/>
  <c r="G80" s="1"/>
  <c r="H112"/>
  <c r="H150" s="1"/>
  <c r="H118"/>
  <c r="G119" s="1"/>
  <c r="H26"/>
  <c r="G27" s="1"/>
  <c r="H36" i="22"/>
  <c r="E37"/>
  <c r="H37" s="1"/>
  <c r="F24" i="18"/>
  <c r="H57" i="16"/>
  <c r="G58" s="1"/>
  <c r="H93"/>
  <c r="G94" s="1"/>
  <c r="H35" i="1"/>
  <c r="H34"/>
  <c r="H33"/>
  <c r="H32"/>
  <c r="H31"/>
  <c r="F7" i="33" l="1"/>
  <c r="O970" i="32"/>
  <c r="P970" s="1"/>
  <c r="N970"/>
  <c r="A953"/>
  <c r="A17" i="33"/>
  <c r="O969" i="32"/>
  <c r="P969" s="1"/>
  <c r="N969"/>
  <c r="M954"/>
  <c r="L954"/>
  <c r="O955"/>
  <c r="P955" s="1"/>
  <c r="N955"/>
  <c r="O950"/>
  <c r="P950" s="1"/>
  <c r="N950"/>
  <c r="O940"/>
  <c r="P940" s="1"/>
  <c r="N940"/>
  <c r="A956" i="31"/>
  <c r="M953"/>
  <c r="N953" s="1"/>
  <c r="L953"/>
  <c r="L957"/>
  <c r="M957"/>
  <c r="N957" s="1"/>
  <c r="F9" i="30"/>
  <c r="H40" i="22"/>
  <c r="G41" s="1"/>
  <c r="F25" i="18"/>
  <c r="I25" s="1"/>
  <c r="I24"/>
  <c r="F35"/>
  <c r="I35" s="1"/>
  <c r="I36" s="1"/>
  <c r="H37" i="1"/>
  <c r="A175" i="16"/>
  <c r="A178" s="1"/>
  <c r="A181" s="1"/>
  <c r="A188" s="1"/>
  <c r="A167"/>
  <c r="A171" s="1"/>
  <c r="C61"/>
  <c r="H61" s="1"/>
  <c r="G62" s="1"/>
  <c r="H145"/>
  <c r="G113"/>
  <c r="H146"/>
  <c r="G143"/>
  <c r="H151"/>
  <c r="H152" s="1"/>
  <c r="G153" s="1"/>
  <c r="F31" i="18"/>
  <c r="G57" i="32" l="1"/>
  <c r="E59" i="31"/>
  <c r="L19" i="33"/>
  <c r="F19" s="1"/>
  <c r="D8" i="30" s="1"/>
  <c r="A960" i="31"/>
  <c r="A957" i="32"/>
  <c r="O954"/>
  <c r="P954" s="1"/>
  <c r="N954"/>
  <c r="A947" i="31"/>
  <c r="A944" i="32"/>
  <c r="A10" i="33"/>
  <c r="A21" i="20"/>
  <c r="F32" i="18"/>
  <c r="I32" s="1"/>
  <c r="I31"/>
  <c r="I29"/>
  <c r="H147" i="16"/>
  <c r="G148" s="1"/>
  <c r="B57" i="32" l="1"/>
  <c r="F57" s="1"/>
  <c r="H57"/>
  <c r="M57"/>
  <c r="F59" i="31"/>
  <c r="K59"/>
  <c r="F8" i="30"/>
  <c r="A948" i="31"/>
  <c r="A945" i="32"/>
  <c r="A11" i="33"/>
  <c r="I33" i="18"/>
  <c r="B163" i="7"/>
  <c r="L59" i="31" l="1"/>
  <c r="M59"/>
  <c r="N59" s="1"/>
  <c r="O57" i="32"/>
  <c r="P57" s="1"/>
  <c r="N57"/>
  <c r="H63" i="1"/>
  <c r="H65" s="1"/>
  <c r="H22"/>
  <c r="G23" s="1"/>
  <c r="H19"/>
  <c r="G20" s="1"/>
  <c r="H16"/>
  <c r="H17" s="1"/>
  <c r="G42" i="32" l="1"/>
  <c r="E44" i="31"/>
  <c r="G36" i="32"/>
  <c r="E38" i="31"/>
  <c r="E43"/>
  <c r="G41" i="32"/>
  <c r="E336" i="31"/>
  <c r="E330"/>
  <c r="G328" i="32"/>
  <c r="A967" i="31"/>
  <c r="A964" i="32"/>
  <c r="B14" i="5"/>
  <c r="B20" s="1"/>
  <c r="B32" s="1"/>
  <c r="G14"/>
  <c r="G20" s="1"/>
  <c r="G26" s="1"/>
  <c r="F14"/>
  <c r="F20" s="1"/>
  <c r="F26" s="1"/>
  <c r="G13"/>
  <c r="G19" s="1"/>
  <c r="F13"/>
  <c r="F19" s="1"/>
  <c r="I8"/>
  <c r="K43" i="31" l="1"/>
  <c r="F43"/>
  <c r="B328" i="32"/>
  <c r="F328" s="1"/>
  <c r="M328"/>
  <c r="H328"/>
  <c r="H42"/>
  <c r="B42"/>
  <c r="F42" s="1"/>
  <c r="M42"/>
  <c r="B41"/>
  <c r="F41" s="1"/>
  <c r="M41"/>
  <c r="H41"/>
  <c r="K44" i="31"/>
  <c r="F44"/>
  <c r="F336"/>
  <c r="K336"/>
  <c r="B36" i="32"/>
  <c r="F36" s="1"/>
  <c r="H36"/>
  <c r="M36"/>
  <c r="K330" i="31"/>
  <c r="F330"/>
  <c r="F38"/>
  <c r="K38"/>
  <c r="I26" i="5"/>
  <c r="I19"/>
  <c r="F32"/>
  <c r="I32" s="1"/>
  <c r="I20"/>
  <c r="H249" i="7"/>
  <c r="I44" i="8"/>
  <c r="I45" s="1"/>
  <c r="I40"/>
  <c r="I41" s="1"/>
  <c r="B39"/>
  <c r="B42" s="1"/>
  <c r="F49"/>
  <c r="I49" s="1"/>
  <c r="I43" i="5"/>
  <c r="I37"/>
  <c r="B13"/>
  <c r="B19" s="1"/>
  <c r="B25" s="1"/>
  <c r="B31" s="1"/>
  <c r="B42" s="1"/>
  <c r="I14"/>
  <c r="I58" i="8"/>
  <c r="I54"/>
  <c r="I48"/>
  <c r="I34"/>
  <c r="I36" s="1"/>
  <c r="I29"/>
  <c r="I30" s="1"/>
  <c r="I21"/>
  <c r="I22"/>
  <c r="I24"/>
  <c r="I25"/>
  <c r="I10"/>
  <c r="I13"/>
  <c r="I14"/>
  <c r="F20"/>
  <c r="I20" s="1"/>
  <c r="L25"/>
  <c r="G12"/>
  <c r="I12" s="1"/>
  <c r="F11"/>
  <c r="I11" s="1"/>
  <c r="L13"/>
  <c r="B63"/>
  <c r="L43" i="31" l="1"/>
  <c r="M43"/>
  <c r="N43" s="1"/>
  <c r="N36" i="32"/>
  <c r="O36"/>
  <c r="P36" s="1"/>
  <c r="N41"/>
  <c r="O41"/>
  <c r="P41" s="1"/>
  <c r="L330" i="31"/>
  <c r="M330"/>
  <c r="N330" s="1"/>
  <c r="M336"/>
  <c r="N336" s="1"/>
  <c r="L336"/>
  <c r="M38"/>
  <c r="N38" s="1"/>
  <c r="L38"/>
  <c r="L44"/>
  <c r="M44"/>
  <c r="N44" s="1"/>
  <c r="N42" i="32"/>
  <c r="O42"/>
  <c r="P42" s="1"/>
  <c r="N328"/>
  <c r="O328"/>
  <c r="P328" s="1"/>
  <c r="I22" i="5"/>
  <c r="I16" i="8"/>
  <c r="I59"/>
  <c r="B36" i="5"/>
  <c r="I56" i="8"/>
  <c r="I51"/>
  <c r="F23"/>
  <c r="I23" s="1"/>
  <c r="I27" s="1"/>
  <c r="F64" l="1"/>
  <c r="I61"/>
  <c r="I64" l="1"/>
  <c r="I62"/>
  <c r="I65" l="1"/>
  <c r="H117" i="7"/>
  <c r="B22"/>
  <c r="B56" s="1"/>
  <c r="H240"/>
  <c r="G241" s="1"/>
  <c r="B239"/>
  <c r="H237"/>
  <c r="G238" s="1"/>
  <c r="H235"/>
  <c r="B234"/>
  <c r="H233"/>
  <c r="H231"/>
  <c r="H228"/>
  <c r="G229" s="1"/>
  <c r="H225"/>
  <c r="G226" s="1"/>
  <c r="H221"/>
  <c r="G222" s="1"/>
  <c r="H217"/>
  <c r="H218" s="1"/>
  <c r="G219" s="1"/>
  <c r="H214"/>
  <c r="G215" s="1"/>
  <c r="H212"/>
  <c r="H209"/>
  <c r="G210" s="1"/>
  <c r="H205"/>
  <c r="H204"/>
  <c r="H200"/>
  <c r="H199"/>
  <c r="H192"/>
  <c r="H191"/>
  <c r="H190"/>
  <c r="H193" s="1"/>
  <c r="H195" s="1"/>
  <c r="H184"/>
  <c r="H183"/>
  <c r="H178"/>
  <c r="H177"/>
  <c r="B175"/>
  <c r="B173"/>
  <c r="H161"/>
  <c r="H160"/>
  <c r="H159"/>
  <c r="G157"/>
  <c r="H157" s="1"/>
  <c r="G156"/>
  <c r="H156" s="1"/>
  <c r="G155"/>
  <c r="H155" s="1"/>
  <c r="H154"/>
  <c r="E151"/>
  <c r="H151" s="1"/>
  <c r="H147"/>
  <c r="H146"/>
  <c r="H145"/>
  <c r="E143"/>
  <c r="H143" s="1"/>
  <c r="E142"/>
  <c r="H142" s="1"/>
  <c r="E141"/>
  <c r="H141" s="1"/>
  <c r="G140"/>
  <c r="E140"/>
  <c r="E135"/>
  <c r="H135" s="1"/>
  <c r="H134"/>
  <c r="E133"/>
  <c r="H133" s="1"/>
  <c r="E132"/>
  <c r="H132" s="1"/>
  <c r="H124"/>
  <c r="F123"/>
  <c r="F130" s="1"/>
  <c r="E123"/>
  <c r="E130" s="1"/>
  <c r="H116"/>
  <c r="H118" s="1"/>
  <c r="H120" s="1"/>
  <c r="G121" s="1"/>
  <c r="E103"/>
  <c r="H103" s="1"/>
  <c r="E97"/>
  <c r="H97" s="1"/>
  <c r="E96"/>
  <c r="H96" s="1"/>
  <c r="H95"/>
  <c r="E94"/>
  <c r="H94" s="1"/>
  <c r="H92"/>
  <c r="E91"/>
  <c r="H91" s="1"/>
  <c r="H90"/>
  <c r="H83"/>
  <c r="E82"/>
  <c r="H82" s="1"/>
  <c r="E81"/>
  <c r="H81" s="1"/>
  <c r="H75"/>
  <c r="H74"/>
  <c r="H73"/>
  <c r="G70"/>
  <c r="G69"/>
  <c r="E63"/>
  <c r="H63" s="1"/>
  <c r="H62"/>
  <c r="H60"/>
  <c r="H51"/>
  <c r="G49"/>
  <c r="D49"/>
  <c r="F43"/>
  <c r="F50" s="1"/>
  <c r="E43"/>
  <c r="E50" s="1"/>
  <c r="G36"/>
  <c r="G35"/>
  <c r="G34"/>
  <c r="G32"/>
  <c r="G37" s="1"/>
  <c r="G26"/>
  <c r="E25"/>
  <c r="E32" s="1"/>
  <c r="H19"/>
  <c r="F18"/>
  <c r="F49" s="1"/>
  <c r="E18"/>
  <c r="E49" s="1"/>
  <c r="F17"/>
  <c r="F48" s="1"/>
  <c r="E17"/>
  <c r="E48" s="1"/>
  <c r="D17"/>
  <c r="D23" s="1"/>
  <c r="A16"/>
  <c r="A22" s="1"/>
  <c r="A31" s="1"/>
  <c r="A42" s="1"/>
  <c r="A47" s="1"/>
  <c r="A56" s="1"/>
  <c r="A68" s="1"/>
  <c r="A79" s="1"/>
  <c r="A109" s="1"/>
  <c r="A115" s="1"/>
  <c r="A122" s="1"/>
  <c r="A129" s="1"/>
  <c r="A138" s="1"/>
  <c r="A167" s="1"/>
  <c r="A169" s="1"/>
  <c r="A172" s="1"/>
  <c r="A174" s="1"/>
  <c r="A176" s="1"/>
  <c r="A182" s="1"/>
  <c r="A189" s="1"/>
  <c r="A197" s="1"/>
  <c r="A208" s="1"/>
  <c r="H11"/>
  <c r="H10"/>
  <c r="H9"/>
  <c r="H98" l="1"/>
  <c r="H100" s="1"/>
  <c r="H105"/>
  <c r="H107" s="1"/>
  <c r="H84"/>
  <c r="H86" s="1"/>
  <c r="H12"/>
  <c r="H14" s="1"/>
  <c r="G15" s="1"/>
  <c r="H180"/>
  <c r="G181" s="1"/>
  <c r="H201"/>
  <c r="G202" s="1"/>
  <c r="A211"/>
  <c r="A213" s="1"/>
  <c r="A216" s="1"/>
  <c r="A220" s="1"/>
  <c r="A223" s="1"/>
  <c r="A227" s="1"/>
  <c r="A230" s="1"/>
  <c r="A232" s="1"/>
  <c r="A234" s="1"/>
  <c r="A236" s="1"/>
  <c r="A239" s="1"/>
  <c r="H140"/>
  <c r="H148" s="1"/>
  <c r="H149" s="1"/>
  <c r="H163" s="1"/>
  <c r="H186"/>
  <c r="C187" s="1"/>
  <c r="H187" s="1"/>
  <c r="G188" s="1"/>
  <c r="H246" s="1"/>
  <c r="H247" s="1"/>
  <c r="G248" s="1"/>
  <c r="D48"/>
  <c r="H48" s="1"/>
  <c r="E153"/>
  <c r="H153" s="1"/>
  <c r="H50"/>
  <c r="G87"/>
  <c r="G101"/>
  <c r="G196"/>
  <c r="H206"/>
  <c r="G207" s="1"/>
  <c r="H25"/>
  <c r="H43"/>
  <c r="H45" s="1"/>
  <c r="G46" s="1"/>
  <c r="E104"/>
  <c r="H104" s="1"/>
  <c r="H130"/>
  <c r="H136" s="1"/>
  <c r="G137" s="1"/>
  <c r="G168" s="1"/>
  <c r="H49"/>
  <c r="E59"/>
  <c r="H59" s="1"/>
  <c r="E69"/>
  <c r="H32"/>
  <c r="D24"/>
  <c r="H24" s="1"/>
  <c r="H23"/>
  <c r="D26"/>
  <c r="H17"/>
  <c r="H18"/>
  <c r="E33"/>
  <c r="H123"/>
  <c r="G25" i="5"/>
  <c r="I13"/>
  <c r="I16" s="1"/>
  <c r="I7"/>
  <c r="I10" s="1"/>
  <c r="I35" i="4"/>
  <c r="I37" s="1"/>
  <c r="I28"/>
  <c r="I30" s="1"/>
  <c r="F16"/>
  <c r="B15"/>
  <c r="B21" s="1"/>
  <c r="B27" s="1"/>
  <c r="B34" s="1"/>
  <c r="B40" s="1"/>
  <c r="B46" s="1"/>
  <c r="I11"/>
  <c r="I12" s="1"/>
  <c r="H103" i="1"/>
  <c r="G104" s="1"/>
  <c r="H99"/>
  <c r="H98"/>
  <c r="H97"/>
  <c r="H87"/>
  <c r="G88" s="1"/>
  <c r="H82"/>
  <c r="H81"/>
  <c r="H58"/>
  <c r="I59" s="1"/>
  <c r="I60" s="1"/>
  <c r="H59" s="1"/>
  <c r="H60" s="1"/>
  <c r="G61" s="1"/>
  <c r="H55"/>
  <c r="G56" s="1"/>
  <c r="H51"/>
  <c r="E50"/>
  <c r="H50" s="1"/>
  <c r="H49"/>
  <c r="J48"/>
  <c r="I48"/>
  <c r="H47"/>
  <c r="H41"/>
  <c r="H40"/>
  <c r="H26"/>
  <c r="H25"/>
  <c r="H12"/>
  <c r="H11"/>
  <c r="H10"/>
  <c r="C91" l="1"/>
  <c r="G91" s="1"/>
  <c r="G461" i="32"/>
  <c r="E464" i="31"/>
  <c r="G650" i="32"/>
  <c r="E653" i="31"/>
  <c r="G659" i="32"/>
  <c r="E662" i="31"/>
  <c r="E847"/>
  <c r="G844" i="32"/>
  <c r="H28" i="1"/>
  <c r="H14"/>
  <c r="H85"/>
  <c r="G128" i="7"/>
  <c r="H125"/>
  <c r="H127" s="1"/>
  <c r="G108"/>
  <c r="H52"/>
  <c r="H54" s="1"/>
  <c r="H20"/>
  <c r="G21" s="1"/>
  <c r="I43" i="1"/>
  <c r="F22" i="4"/>
  <c r="I22" s="1"/>
  <c r="I24" s="1"/>
  <c r="I16"/>
  <c r="I18" s="1"/>
  <c r="I36" i="1"/>
  <c r="I37" s="1"/>
  <c r="F25" i="5"/>
  <c r="F31" s="1"/>
  <c r="I31" s="1"/>
  <c r="I33" s="1"/>
  <c r="D58" i="7"/>
  <c r="H58" s="1"/>
  <c r="H170"/>
  <c r="G171" s="1"/>
  <c r="G173" s="1"/>
  <c r="G55"/>
  <c r="H33"/>
  <c r="E34"/>
  <c r="D37"/>
  <c r="H37" s="1"/>
  <c r="H26"/>
  <c r="E152"/>
  <c r="H152" s="1"/>
  <c r="H162" s="1"/>
  <c r="H164" s="1"/>
  <c r="H166" s="1"/>
  <c r="E72"/>
  <c r="H72" s="1"/>
  <c r="H69"/>
  <c r="E70"/>
  <c r="H70" s="1"/>
  <c r="H48" i="1"/>
  <c r="H53" s="1"/>
  <c r="I100"/>
  <c r="H100" s="1"/>
  <c r="G101" s="1"/>
  <c r="H39"/>
  <c r="M844" i="32" l="1"/>
  <c r="H844"/>
  <c r="B844"/>
  <c r="F844" s="1"/>
  <c r="K653" i="31"/>
  <c r="F653"/>
  <c r="XFD28" i="1"/>
  <c r="E45" i="31"/>
  <c r="G43" i="32"/>
  <c r="B461"/>
  <c r="F461" s="1"/>
  <c r="M461"/>
  <c r="H461"/>
  <c r="G843"/>
  <c r="E846" i="31"/>
  <c r="E18"/>
  <c r="G16" i="32"/>
  <c r="K662" i="31"/>
  <c r="F662"/>
  <c r="F464"/>
  <c r="K464"/>
  <c r="B659" i="32"/>
  <c r="F659" s="1"/>
  <c r="H659"/>
  <c r="M659"/>
  <c r="E342" i="31"/>
  <c r="G339" i="32"/>
  <c r="F847" i="31"/>
  <c r="K847"/>
  <c r="B650" i="32"/>
  <c r="F650" s="1"/>
  <c r="H650"/>
  <c r="M650"/>
  <c r="G54" i="1"/>
  <c r="H43"/>
  <c r="G44" s="1"/>
  <c r="H64" i="7"/>
  <c r="H66" s="1"/>
  <c r="G67" s="1"/>
  <c r="H111" s="1"/>
  <c r="H76"/>
  <c r="H27"/>
  <c r="H29" s="1"/>
  <c r="G30" s="1"/>
  <c r="H110" s="1"/>
  <c r="I25" i="5"/>
  <c r="I28" s="1"/>
  <c r="I42"/>
  <c r="I45" s="1"/>
  <c r="F41" i="4"/>
  <c r="I41" s="1"/>
  <c r="I43" s="1"/>
  <c r="I36" i="5"/>
  <c r="I39" s="1"/>
  <c r="G175" i="7"/>
  <c r="H34"/>
  <c r="E35"/>
  <c r="F846" i="31" l="1"/>
  <c r="K846"/>
  <c r="N844" i="32"/>
  <c r="O844"/>
  <c r="P844" s="1"/>
  <c r="M847" i="31"/>
  <c r="N847" s="1"/>
  <c r="L847"/>
  <c r="O461" i="32"/>
  <c r="P461" s="1"/>
  <c r="N461"/>
  <c r="N659"/>
  <c r="O659"/>
  <c r="P659" s="1"/>
  <c r="G494"/>
  <c r="E497" i="31"/>
  <c r="K342"/>
  <c r="F342"/>
  <c r="L464"/>
  <c r="M464"/>
  <c r="N464" s="1"/>
  <c r="B16" i="32"/>
  <c r="F16" s="1"/>
  <c r="H16"/>
  <c r="M16"/>
  <c r="F45" i="31"/>
  <c r="K45"/>
  <c r="N650" i="32"/>
  <c r="O650"/>
  <c r="P650" s="1"/>
  <c r="E576" i="31"/>
  <c r="G573" i="32"/>
  <c r="F18" i="31"/>
  <c r="K18"/>
  <c r="H339" i="32"/>
  <c r="B339"/>
  <c r="F339" s="1"/>
  <c r="M339"/>
  <c r="M662" i="31"/>
  <c r="N662" s="1"/>
  <c r="L662"/>
  <c r="M843" i="32"/>
  <c r="H843"/>
  <c r="B843"/>
  <c r="F843" s="1"/>
  <c r="B43"/>
  <c r="F43" s="1"/>
  <c r="H43"/>
  <c r="M43"/>
  <c r="L653" i="31"/>
  <c r="M653"/>
  <c r="N653" s="1"/>
  <c r="C90" i="1"/>
  <c r="G90" s="1"/>
  <c r="G92" s="1"/>
  <c r="C93" s="1"/>
  <c r="H93" s="1"/>
  <c r="G94" s="1"/>
  <c r="XFD44"/>
  <c r="H77" i="7"/>
  <c r="G78" s="1"/>
  <c r="H112"/>
  <c r="C113" s="1"/>
  <c r="H113" s="1"/>
  <c r="G114" s="1"/>
  <c r="H243" s="1"/>
  <c r="G244" s="1"/>
  <c r="F47" i="4"/>
  <c r="I47" s="1"/>
  <c r="I48" s="1"/>
  <c r="E36" i="7"/>
  <c r="H36" s="1"/>
  <c r="H35"/>
  <c r="O843" i="32" l="1"/>
  <c r="P843" s="1"/>
  <c r="N843"/>
  <c r="B573"/>
  <c r="F573" s="1"/>
  <c r="M573"/>
  <c r="H573"/>
  <c r="L45" i="31"/>
  <c r="M45"/>
  <c r="N45" s="1"/>
  <c r="L342"/>
  <c r="M342"/>
  <c r="N342" s="1"/>
  <c r="L846"/>
  <c r="M846"/>
  <c r="N846" s="1"/>
  <c r="E649"/>
  <c r="G646" i="32"/>
  <c r="N16"/>
  <c r="O16"/>
  <c r="P16" s="1"/>
  <c r="B494"/>
  <c r="F494" s="1"/>
  <c r="M494"/>
  <c r="H494"/>
  <c r="O43"/>
  <c r="P43" s="1"/>
  <c r="N43"/>
  <c r="N339"/>
  <c r="O339"/>
  <c r="P339" s="1"/>
  <c r="L18" i="31"/>
  <c r="M18"/>
  <c r="N18" s="1"/>
  <c r="F576"/>
  <c r="K576"/>
  <c r="K497"/>
  <c r="F497"/>
  <c r="H38" i="7"/>
  <c r="H40" s="1"/>
  <c r="G41" s="1"/>
  <c r="L497" i="31" l="1"/>
  <c r="M497"/>
  <c r="N497" s="1"/>
  <c r="M576"/>
  <c r="N576" s="1"/>
  <c r="L576"/>
  <c r="F649"/>
  <c r="F1012" s="1"/>
  <c r="K649"/>
  <c r="N494" i="32"/>
  <c r="O494"/>
  <c r="P494" s="1"/>
  <c r="B646"/>
  <c r="F646" s="1"/>
  <c r="M646"/>
  <c r="H646"/>
  <c r="N573"/>
  <c r="O573"/>
  <c r="P573" s="1"/>
  <c r="I37" i="26"/>
  <c r="N646" i="32" l="1"/>
  <c r="O646"/>
  <c r="P646" s="1"/>
  <c r="L649" i="31"/>
  <c r="M649"/>
  <c r="N649" s="1"/>
  <c r="F1009" i="32"/>
  <c r="D7" i="30" s="1"/>
  <c r="H7" s="1"/>
  <c r="I7" s="1"/>
  <c r="H1009" i="32"/>
  <c r="I35" i="24"/>
  <c r="H36" s="1"/>
  <c r="F7" i="30" l="1"/>
  <c r="F10" s="1"/>
  <c r="F11" s="1"/>
  <c r="F12" s="1"/>
  <c r="F13" s="1"/>
  <c r="A1" i="26"/>
  <c r="F14" i="30" l="1"/>
  <c r="F15" s="1"/>
  <c r="F19" s="1"/>
  <c r="A3" i="21"/>
  <c r="A3" i="20"/>
  <c r="A3" i="22"/>
  <c r="A2" i="17"/>
  <c r="A3" i="19"/>
  <c r="A3" i="29"/>
  <c r="A4" i="23"/>
  <c r="A2" i="27"/>
  <c r="A3" i="24"/>
  <c r="A3" i="18"/>
  <c r="A3" i="28"/>
  <c r="A6" i="4"/>
  <c r="A6" i="8"/>
  <c r="A3" i="16"/>
  <c r="A1" i="5"/>
  <c r="A4" i="7" s="1"/>
  <c r="K18" i="30" l="1"/>
  <c r="J20"/>
  <c r="O1012" i="31"/>
  <c r="P1012" s="1"/>
  <c r="E20" i="30"/>
  <c r="H19"/>
  <c r="H23"/>
  <c r="E6" i="41" l="1"/>
  <c r="C521" l="1"/>
  <c r="K6"/>
  <c r="F6"/>
  <c r="N6" l="1"/>
  <c r="L6"/>
  <c r="F521"/>
  <c r="F870" s="1"/>
  <c r="L521"/>
  <c r="F871" i="37"/>
  <c r="F872" i="41" l="1"/>
  <c r="F873" s="1"/>
  <c r="L870"/>
  <c r="D5" i="36"/>
  <c r="F5" s="1"/>
  <c r="F6" s="1"/>
  <c r="F8" s="1"/>
  <c r="F9" s="1"/>
  <c r="F10" s="1"/>
  <c r="F875" i="41" l="1"/>
  <c r="F874"/>
  <c r="L871"/>
  <c r="L872" s="1"/>
  <c r="F11" i="36"/>
  <c r="F13" s="1"/>
  <c r="F17" s="1"/>
  <c r="F12"/>
  <c r="F876" i="41" l="1"/>
  <c r="F877" s="1"/>
  <c r="F879" s="1"/>
  <c r="F880" s="1"/>
  <c r="L873"/>
  <c r="L874"/>
  <c r="E18" i="36"/>
  <c r="H17"/>
  <c r="L875" i="41" l="1"/>
  <c r="L876" s="1"/>
</calcChain>
</file>

<file path=xl/sharedStrings.xml><?xml version="1.0" encoding="utf-8"?>
<sst xmlns="http://schemas.openxmlformats.org/spreadsheetml/2006/main" count="32177" uniqueCount="5692">
  <si>
    <t>TAMILNADU POLICE HOUSING CORPORATION LIMITED</t>
  </si>
  <si>
    <t>TRICHY DIVISION</t>
  </si>
  <si>
    <t>SI.
No</t>
  </si>
  <si>
    <t>Description of work</t>
  </si>
  <si>
    <t>Nos</t>
  </si>
  <si>
    <t>Length</t>
  </si>
  <si>
    <t>Breath</t>
  </si>
  <si>
    <t>Depth</t>
  </si>
  <si>
    <t>Qty</t>
  </si>
  <si>
    <t>Earth work excavation for open foundation (excluding refilling)</t>
  </si>
  <si>
    <t xml:space="preserve">For Septic tank </t>
  </si>
  <si>
    <t>Inlet and Outlet</t>
  </si>
  <si>
    <t>For Dispersion Trench</t>
  </si>
  <si>
    <t>Septic tank</t>
  </si>
  <si>
    <t>Add sundries</t>
  </si>
  <si>
    <t>Say</t>
  </si>
  <si>
    <t>Cum</t>
  </si>
  <si>
    <t>Supplying and filling sand</t>
  </si>
  <si>
    <t>For Trench</t>
  </si>
  <si>
    <t>Supply and filling of 40 mm Brick jelly</t>
  </si>
  <si>
    <t>Supply and filling of 20 mm Brick jelly</t>
  </si>
  <si>
    <t>P.C.C.1:5:10 for Foundation &amp; Basement</t>
  </si>
  <si>
    <t xml:space="preserve">Brick Work in CM 1:5, using kiln burnt country bricks of size 22x11x7cm in Foundation and Basement </t>
  </si>
  <si>
    <t>For Septic tank</t>
  </si>
  <si>
    <t xml:space="preserve">I st Footing </t>
  </si>
  <si>
    <t xml:space="preserve">II nd Footing </t>
  </si>
  <si>
    <t xml:space="preserve">III rd Footing </t>
  </si>
  <si>
    <t>Baffle wall -2 Nos</t>
  </si>
  <si>
    <t>For Septic tank base slab</t>
  </si>
  <si>
    <t>For Spetic tank cover slab</t>
  </si>
  <si>
    <t>Form work and centering for RCC Works</t>
  </si>
  <si>
    <t>b.Plain surfaces such as Roof slab,floorslab,Beams,lintels,lofts,sill slab,staircase,portico slab and other similar works</t>
  </si>
  <si>
    <t>For Spetic tank cover slab bottom</t>
  </si>
  <si>
    <t>Septic tank sides</t>
  </si>
  <si>
    <t>Manhole sides</t>
  </si>
  <si>
    <t>Baffle wall beam 3 sides</t>
  </si>
  <si>
    <t>-</t>
  </si>
  <si>
    <t>Sqm</t>
  </si>
  <si>
    <t xml:space="preserve">S&amp;F of C.I Manhole cover 60 x 60 cm (50kg weight ) </t>
  </si>
  <si>
    <t>14.II</t>
  </si>
  <si>
    <t>Precast Concrete cover slab  40mm tk
a) In foundation and basement</t>
  </si>
  <si>
    <t>For Inlet and Outlet</t>
  </si>
  <si>
    <t xml:space="preserve">Plastering in CM1:4, 20 mm tk </t>
  </si>
  <si>
    <t xml:space="preserve">Plastering in CM1:5, 12mm tk </t>
  </si>
  <si>
    <t>For Septic tank Outlet</t>
  </si>
  <si>
    <t>I st Footing offset</t>
  </si>
  <si>
    <t>II nd Footing offset</t>
  </si>
  <si>
    <t>Inlet and Outlet &amp; IC</t>
  </si>
  <si>
    <t xml:space="preserve">Plastering in CM1:4, 12mm tk </t>
  </si>
  <si>
    <t>For SepticTank Inner</t>
  </si>
  <si>
    <t xml:space="preserve">Baffle wall </t>
  </si>
  <si>
    <t>Top</t>
  </si>
  <si>
    <t>Septic tank bottom</t>
  </si>
  <si>
    <t>Supplying and fixing of PVC 110 mm dia ventilator shaft with cowl</t>
  </si>
  <si>
    <t>No</t>
  </si>
  <si>
    <t>Fabrication of Mild steel / RTS grills
(with cement slurry wash)</t>
  </si>
  <si>
    <t>x</t>
  </si>
  <si>
    <t>Total</t>
  </si>
  <si>
    <t>MT</t>
  </si>
  <si>
    <t>Supplying and fixing of SN8 Pipe</t>
  </si>
  <si>
    <t>Inspection Chamber</t>
  </si>
  <si>
    <t>Rmt</t>
  </si>
  <si>
    <t xml:space="preserve">b) 160 mm dia </t>
  </si>
  <si>
    <t>a. 0 to 2 mt.</t>
  </si>
  <si>
    <t xml:space="preserve"> Plinth Protection </t>
  </si>
  <si>
    <t>Earth work excavation in all soils for foundation (Including refilling)</t>
  </si>
  <si>
    <t>Allround Plinth protection wall</t>
  </si>
  <si>
    <t>Supplying and filling of sand</t>
  </si>
  <si>
    <t>C.C.1:5:10 for Foundation &amp; Basement using 40 mm HBG metal</t>
  </si>
  <si>
    <t>Brick work in C.M. 1:5 (F&amp; B) using Kiln Burnt Country bricks of size 22 x 11 x 7 cm (8 3/4" x 4 1/4" x 2 3/4")</t>
  </si>
  <si>
    <t>Brick partition work in C.M. 1:4 Kiln Burnt Country bricks of size 22 x 11 x 7 cm (8 3/4" x 4 1/4" x 2 3/4") 110 mm tk (B.P.)</t>
  </si>
  <si>
    <t>Precast slab 50 mm tk.in C.C. 1:3:6 with fibre</t>
  </si>
  <si>
    <t>DETAILED ESTIMATE</t>
  </si>
  <si>
    <t>FORMATION OF CEMENT CONCRETE ROAD</t>
  </si>
  <si>
    <t>L</t>
  </si>
  <si>
    <t>B</t>
  </si>
  <si>
    <t>D</t>
  </si>
  <si>
    <t>Quantity</t>
  </si>
  <si>
    <t xml:space="preserve">Earth work excavation for foundation and depositing on bank with initial lead of 10m and initial lift of 2m. </t>
  </si>
  <si>
    <t xml:space="preserve">Supply and filling sand </t>
  </si>
  <si>
    <t xml:space="preserve">CC in CC 1:5:10 </t>
  </si>
  <si>
    <t xml:space="preserve">Plain cement Concrete 1:2:4 using 20mm HBG for pipe laying sloping portion for smooth run of sewage.  </t>
  </si>
  <si>
    <t>Precast Kerb stone</t>
  </si>
  <si>
    <t>Providing expansion joint bitumnuous pad</t>
  </si>
  <si>
    <t>Painting New Iron work</t>
  </si>
  <si>
    <t>SENTRY ROOM</t>
  </si>
  <si>
    <t>Detailed Estimate</t>
  </si>
  <si>
    <t>Sl.No</t>
  </si>
  <si>
    <t xml:space="preserve">Description of work </t>
  </si>
  <si>
    <t xml:space="preserve">Measurement in Mtrs </t>
  </si>
  <si>
    <t>Contents</t>
  </si>
  <si>
    <t xml:space="preserve">Length </t>
  </si>
  <si>
    <t>Earth work excavation in all soils (including refilling) a. 0 to 2 mt.</t>
  </si>
  <si>
    <t>Sentry room column footing</t>
  </si>
  <si>
    <t>Steps</t>
  </si>
  <si>
    <t>Grade beam</t>
  </si>
  <si>
    <t xml:space="preserve">Say </t>
  </si>
  <si>
    <t xml:space="preserve">Sentry room </t>
  </si>
  <si>
    <t>Column</t>
  </si>
  <si>
    <t>Brick work in CM 1:5 country bricks of size 22x11x7 cm in F &amp; B</t>
  </si>
  <si>
    <t>Sentry room alround</t>
  </si>
  <si>
    <t>Steps 1</t>
  </si>
  <si>
    <t>Steps 2</t>
  </si>
  <si>
    <t>Steps 3</t>
  </si>
  <si>
    <t>Steps 4</t>
  </si>
  <si>
    <t>Deduction for Column</t>
  </si>
  <si>
    <t>Filling in foundation and basement with filling gravel</t>
  </si>
  <si>
    <t>Sentry room</t>
  </si>
  <si>
    <t xml:space="preserve">C.C.1:5:10 using 40 mm HBG metal in Foundation &amp; Basement </t>
  </si>
  <si>
    <t>Sentry room flooring</t>
  </si>
  <si>
    <t>For CC Road</t>
  </si>
  <si>
    <t>a) In Ground Floor</t>
  </si>
  <si>
    <t>Sentry room column</t>
  </si>
  <si>
    <t>Lintel concrete</t>
  </si>
  <si>
    <t>Roof slab</t>
  </si>
  <si>
    <t>Sunshade:</t>
  </si>
  <si>
    <t>GD and W1</t>
  </si>
  <si>
    <t>W</t>
  </si>
  <si>
    <t>Brick work in C.M. 1:6  using Kiln Burnt Country bricks of size 22 x 11 x 7 cm in GF</t>
  </si>
  <si>
    <t>Parapet wall</t>
  </si>
  <si>
    <t>Deductions:</t>
  </si>
  <si>
    <t>GD</t>
  </si>
  <si>
    <t>W1</t>
  </si>
  <si>
    <t xml:space="preserve">Providing form work and centering </t>
  </si>
  <si>
    <t>a.For Column footings,plinth beam,Grade beam,Raftbeam,Raft slab etc.,</t>
  </si>
  <si>
    <t>b.Plain surfaces such as Roof slab,floorslab, Beams, lintels,lofts,sill slab,staircase,portico slab and other similar works</t>
  </si>
  <si>
    <t>Roof slab side</t>
  </si>
  <si>
    <t>Roof slab bottom</t>
  </si>
  <si>
    <t>GD and W1 side</t>
  </si>
  <si>
    <t>Bottom</t>
  </si>
  <si>
    <t>W side</t>
  </si>
  <si>
    <t>c.For Square and rectangular columns and small quantities</t>
  </si>
  <si>
    <t>Column F and B</t>
  </si>
  <si>
    <t>Qty of Item No:3</t>
  </si>
  <si>
    <t>Qty of Item No:7 a)</t>
  </si>
  <si>
    <t>Kg/m³</t>
  </si>
  <si>
    <t>Finshing the top of Terrace floor with one course of solar reflective Ceramic tiles</t>
  </si>
  <si>
    <t>Floor ceramic tiles (Anti-skid) using Grout (Tile Joint Filler).</t>
  </si>
  <si>
    <t>GD jambs bottom</t>
  </si>
  <si>
    <t>Spl. Ceiling plastering in C.M.1:3, 10mm tk.</t>
  </si>
  <si>
    <t>W top and bottom</t>
  </si>
  <si>
    <t>Side</t>
  </si>
  <si>
    <t>GD top and bottom</t>
  </si>
  <si>
    <t>Inner:</t>
  </si>
  <si>
    <t>GD jambs</t>
  </si>
  <si>
    <t>W jambs</t>
  </si>
  <si>
    <t>W1 jambs</t>
  </si>
  <si>
    <t>Deduction:</t>
  </si>
  <si>
    <t>Inner plastering qty</t>
  </si>
  <si>
    <t>Outer:</t>
  </si>
  <si>
    <t>Outer wall</t>
  </si>
  <si>
    <t xml:space="preserve">Parapet wall top </t>
  </si>
  <si>
    <t>Parapet wall inner</t>
  </si>
  <si>
    <t>Step sides1</t>
  </si>
  <si>
    <t>Step sides2</t>
  </si>
  <si>
    <t>Step sides3</t>
  </si>
  <si>
    <t>Step sides4</t>
  </si>
  <si>
    <t>Outer plastering qty</t>
  </si>
  <si>
    <t>White washing 3 coats  (slaked)</t>
  </si>
  <si>
    <t>Qty of Item No:14</t>
  </si>
  <si>
    <t>One coat white cement for new walls and other similar works.</t>
  </si>
  <si>
    <t>As per inner plastering qty</t>
  </si>
  <si>
    <t>Two coat of OBD over one coat white cement</t>
  </si>
  <si>
    <t>Steel grills for windows and ventilators with suitable ledges including priming coat</t>
  </si>
  <si>
    <t>Kg/m²</t>
  </si>
  <si>
    <t>Kg</t>
  </si>
  <si>
    <t>Painting two coat - New "iron work"</t>
  </si>
  <si>
    <t>Electrical arrangements</t>
  </si>
  <si>
    <t>a. Light point with ceiling rose</t>
  </si>
  <si>
    <t>Street light</t>
  </si>
  <si>
    <t>b. Light point without ceiling rose</t>
  </si>
  <si>
    <t>Sentry room front side</t>
  </si>
  <si>
    <t>Wiring with 1.5 sqmm PVC insulated single core multi strand fire retardant flexible copper cable with ISI mark confirming IS: 694:1990 for 5 amps 5 pin plug socket point @ Switch Board Itself.</t>
  </si>
  <si>
    <t>Wiring with 1.5 sqmm PVC insulated single core multi strand fire retardant flexible copper cable with ISI mark confirming IS: 694:1990 for 5 amps 5 pin plug socket point @ Convenient Places.</t>
  </si>
  <si>
    <t>Wiring with 1.5 sqmm PVC insulated single core multi strand fire retardant flexible copper cable with ISI mark confirming IS: 694:1990 for Fan point.</t>
  </si>
  <si>
    <t>Box type Fibre Fan hook</t>
  </si>
  <si>
    <t>Charges for fixing of "Fan"</t>
  </si>
  <si>
    <t>Supply and delivery of Fan with ISI mark with Eletronic Dimmer</t>
  </si>
  <si>
    <t xml:space="preserve"> a. 48" (1200 mm)</t>
  </si>
  <si>
    <t>Run off mains with 2 wires of 4 Sqmm copper PVC insulated unsheathed single core 1.1KV cable wire for EB Service connection</t>
  </si>
  <si>
    <t xml:space="preserve">Supplying and fixing of 32 amps double pole main switch with fuse and neutral link </t>
  </si>
  <si>
    <t>Earthing Station IS3043 (Type I)</t>
  </si>
  <si>
    <t>Supplying  and fixing UPVC (Un plasticied  polyvinile chloride ) windows of casement  type (open ) from  the profile  the size of  outer  frame 60 x 58 mm and shutter profile  are reinforcement   with GI / 1 mm  125  GSM  and 100 %  corrosion  free . the profiles  are multi chammbered  section with wall tk  2 mm the EPDM  rubber (block colour ) covered  with over all the edges  of frame  and shutter the shutter will be  provided  with espag multi shutter point  locks also  it operates as handle . the corners and joints  should be welded  and cleaned . radians  free pin  headed plain  or brown  colour  glass  4 mm tk  etc  all  completed</t>
  </si>
  <si>
    <t>Skirtting</t>
  </si>
  <si>
    <t>Providing Colour Marble chips of size 10mm and below using 70.20Kgs of cement and 15 cum of Colour Marble chips for every 10 sqm over the existing plastered surface  ( For coastal area)</t>
  </si>
  <si>
    <t xml:space="preserve"> OVER HEAD TANK (Detailed)</t>
  </si>
  <si>
    <t xml:space="preserve">For cover slab </t>
  </si>
  <si>
    <t>For Base slab and cover slab Bottom</t>
  </si>
  <si>
    <t>d) Vertical wall</t>
  </si>
  <si>
    <t>Plastering 1:3, 12mm thick with water proof compound etc all complete</t>
  </si>
  <si>
    <t>Bottom for Base slab and cover slab</t>
  </si>
  <si>
    <t>Supplying and Fixing of C.I manhole Cover slab etc all complete</t>
  </si>
  <si>
    <t>One coat primer using white cement  for the  surface of  plastered  area  etc  all complete</t>
  </si>
  <si>
    <t>For  Fire Station</t>
  </si>
  <si>
    <t>Firemen  Quarters</t>
  </si>
  <si>
    <t>Applying  one  coat  of   Anti coorosive  Treatment  for  steel  Reinforcement  rods</t>
  </si>
  <si>
    <t>As per item  No 10</t>
  </si>
  <si>
    <t>M.T</t>
  </si>
  <si>
    <t>Bricks 1:6  using kiln burnt country  Brick of Size (22cmx11cmx7cm) for super structure etc all complete</t>
  </si>
  <si>
    <t>Applying  one  coat  of   Anti coorosive  Treatment  for  steel  grills windows</t>
  </si>
  <si>
    <t xml:space="preserve">As per item  No </t>
  </si>
  <si>
    <t>Supply and fixing of 32ATriple pole Main switch</t>
  </si>
  <si>
    <t>Supplying  and  Fixing  of  ElCB</t>
  </si>
  <si>
    <t>say</t>
  </si>
  <si>
    <t>cum</t>
  </si>
  <si>
    <t>Breadth</t>
  </si>
  <si>
    <t>SAY</t>
  </si>
  <si>
    <t>Haunch portion</t>
  </si>
  <si>
    <t>Wiring with 1.5 sqmm PVC insulated single core multi strand fire retardant flexible copper cable with ISI mark confirming IS: 694:1990.</t>
  </si>
  <si>
    <t>a) 0 to 2m depth</t>
  </si>
  <si>
    <t>NAME OF WORK:</t>
  </si>
  <si>
    <t>Item No.</t>
  </si>
  <si>
    <t>Description of works or Materials</t>
  </si>
  <si>
    <t>Nos.</t>
  </si>
  <si>
    <t>Qty.</t>
  </si>
  <si>
    <t>Unit</t>
  </si>
  <si>
    <t>Drilling of Borewell any where in Tamilnadu including transportation from one place to another with in Tamilnadu in alluvial soil sedimentary strator etc., all complete.</t>
  </si>
  <si>
    <t>a) Up to 60mt. depth ending below ground level.</t>
  </si>
  <si>
    <t xml:space="preserve">Bore well </t>
  </si>
  <si>
    <t>b) From 60mt.up to 90mt. depth ending from ground level.</t>
  </si>
  <si>
    <t xml:space="preserve"> </t>
  </si>
  <si>
    <t>Reaming from 140/150mm dia. pilot bore to 300mm dia. bore as direct by the TNPHC officers.</t>
  </si>
  <si>
    <t>Labour charges for inserting 150mm PVC casing pipes assembly in the drilled hole including jointing the pipes etc., all complete.</t>
  </si>
  <si>
    <t>Bore well</t>
  </si>
  <si>
    <r>
      <t xml:space="preserve">Supplying and delivery of 150mm dia PVC casing pipe </t>
    </r>
    <r>
      <rPr>
        <b/>
        <sz val="11"/>
        <color indexed="8"/>
        <rFont val="Calibri"/>
        <family val="2"/>
      </rPr>
      <t>wih ribs</t>
    </r>
    <r>
      <rPr>
        <sz val="11"/>
        <rFont val="Calibri"/>
        <family val="2"/>
      </rPr>
      <t xml:space="preserve"> of PVC casing pipe suitable for medium with in 3m length all complete with ribs (R.S) up to 250m. (7.5 to 8.5mm wall thick)</t>
    </r>
  </si>
  <si>
    <r>
      <t xml:space="preserve">Supplying and delivery of 150mm dia PVC casing pipe PVC </t>
    </r>
    <r>
      <rPr>
        <b/>
        <sz val="11"/>
        <color indexed="8"/>
        <rFont val="Calibri"/>
        <family val="2"/>
      </rPr>
      <t>plain</t>
    </r>
    <r>
      <rPr>
        <sz val="11"/>
        <rFont val="Calibri"/>
        <family val="2"/>
      </rPr>
      <t xml:space="preserve"> casing pipe suitable for medium with in 3m length etc., Casing medium above 80m.(7.5mm to 8.5mm wall thick.</t>
    </r>
  </si>
  <si>
    <t>Charges for developing of bore well with air compressor of 600 CFM capacity (minimum 8 hours) including etc., all complete for existing bore.</t>
  </si>
  <si>
    <t>Hrs.</t>
  </si>
  <si>
    <t>Supply and delivery of PVC end cap suitable for 150 PVC casing pipe of approved quality etc., all complete.</t>
  </si>
  <si>
    <t>Supplying and fixing of MS bore well clamp set etc., all complete.</t>
  </si>
  <si>
    <t>TAMILNADU POLICE HOUSING CORPORATION LIMITED.,</t>
  </si>
  <si>
    <t>TRICHY DIVISION, TRICHY.</t>
  </si>
  <si>
    <t>Earth work excavation in all soils for foundation (Including refilling) a) 0 to 2 mt.</t>
  </si>
  <si>
    <t>Pump Room steps</t>
  </si>
  <si>
    <t>Sundries</t>
  </si>
  <si>
    <t>Cum.</t>
  </si>
  <si>
    <t xml:space="preserve">Supplying and filling in foundation and basement with filling sand in layers of 150 mm thickness </t>
  </si>
  <si>
    <t>Pump Room Steps</t>
  </si>
  <si>
    <t xml:space="preserve">Plain Cement Concrete 1:5:10 for foundation using 40mm gauge hard broken stone jelly </t>
  </si>
  <si>
    <t>Brick work in C.M. 1:5  using Kiln Burnt Country bricks of size 22 x 11 x 7 cm ( 8 3/4" x 4 1/4" x 2 3/4") In foundation &amp; basement</t>
  </si>
  <si>
    <t>Pump Room Ist Step</t>
  </si>
  <si>
    <t>2nd Step</t>
  </si>
  <si>
    <t xml:space="preserve">Brick work in C.M. 1:6  using Kiln Burnt Country bricks of size 22 x 11 x 7 cm ( 8 3/4" x 4 1/4" x 2 3/4") a) In Ground Floor </t>
  </si>
  <si>
    <t>Pump Room allround</t>
  </si>
  <si>
    <t>D/F - Sill slab</t>
  </si>
  <si>
    <t>D/F - D</t>
  </si>
  <si>
    <t>D/F - W</t>
  </si>
  <si>
    <t>Pump Room allround parapet</t>
  </si>
  <si>
    <t xml:space="preserve">Standardised concrete Mix M20 Grade Concrete in Ground floor </t>
  </si>
  <si>
    <t xml:space="preserve">For pump Room Roof slab </t>
  </si>
  <si>
    <t>Allround beam</t>
  </si>
  <si>
    <t xml:space="preserve">Door sunshade </t>
  </si>
  <si>
    <t>Window sunshade</t>
  </si>
  <si>
    <t>Formwork using M.S.Sheet for plain surfaces such as Roof slab, Floor slab, Beams, Lintels, Lofts, Sill slab, Staircase, Portico slab and other similar works.</t>
  </si>
  <si>
    <t>For Roof slab bottom</t>
  </si>
  <si>
    <t>For Roof slab side</t>
  </si>
  <si>
    <t>Allround beam sides</t>
  </si>
  <si>
    <t>Sill slab two sides</t>
  </si>
  <si>
    <t>Door lintel bottom</t>
  </si>
  <si>
    <t>Window Lintel bottom</t>
  </si>
  <si>
    <t>Window sunshade bottom</t>
  </si>
  <si>
    <t>Window sunshade 3 sides</t>
  </si>
  <si>
    <t>Door sunshade bottom</t>
  </si>
  <si>
    <t>Door sunshade 3 sides</t>
  </si>
  <si>
    <t>Sqm.</t>
  </si>
  <si>
    <t>Supplying, fabrication of Mild steel / RTS grills (without cement slurry wash) for all sizes of rods.</t>
  </si>
  <si>
    <t>X</t>
  </si>
  <si>
    <r>
      <t>Kg/m</t>
    </r>
    <r>
      <rPr>
        <vertAlign val="superscript"/>
        <sz val="13"/>
        <rFont val="Arial Narrow"/>
        <family val="2"/>
      </rPr>
      <t>3</t>
    </r>
  </si>
  <si>
    <t>Supplying and fixing of MS Grill for verandah enclosure</t>
  </si>
  <si>
    <t>For pump Room Window</t>
  </si>
  <si>
    <t>For Pump Room Steel door</t>
  </si>
  <si>
    <t>Kg.</t>
  </si>
  <si>
    <t>Supplying and fixing of 4mm thick pin headed Glass panels with Aluminium beedings</t>
  </si>
  <si>
    <t>For pump Room window</t>
  </si>
  <si>
    <t xml:space="preserve">Finishing the top flooring in CM 1:4, 20mm tk </t>
  </si>
  <si>
    <t>Sides</t>
  </si>
  <si>
    <t>Finishing the top of flooring with C.M 1:3, 20mm thick  (no sand) using granite chips of 10mm &amp; below (Ellispattern)</t>
  </si>
  <si>
    <t>Pump Room floor</t>
  </si>
  <si>
    <t xml:space="preserve">Special Ceiling Plastering 1:3, 10mm thick </t>
  </si>
  <si>
    <t>Pump Room ceiling</t>
  </si>
  <si>
    <t xml:space="preserve">Plastering with CM 1:5, 12mm thick finished with neat cement </t>
  </si>
  <si>
    <t>INNER</t>
  </si>
  <si>
    <t>For Pump Room</t>
  </si>
  <si>
    <t>D/f - Door</t>
  </si>
  <si>
    <t>D/f - Window</t>
  </si>
  <si>
    <t>Add for Jams</t>
  </si>
  <si>
    <t>Add for Window</t>
  </si>
  <si>
    <t>OUTER</t>
  </si>
  <si>
    <t>Outer alround</t>
  </si>
  <si>
    <t>Sunshade top - Window</t>
  </si>
  <si>
    <t>Sunshade top - Door</t>
  </si>
  <si>
    <t>Parapet top</t>
  </si>
  <si>
    <t>Parapet inner</t>
  </si>
  <si>
    <t>Add for Jams - Wnidow</t>
  </si>
  <si>
    <t>For Pump Room ceiling</t>
  </si>
  <si>
    <t>Slope tiles</t>
  </si>
  <si>
    <t>Supplying and laying of  PVC SWR 110 mm dia with ISI mark type - A for Rain water down fall pipe</t>
  </si>
  <si>
    <t xml:space="preserve">For Pump Room </t>
  </si>
  <si>
    <t>Rmt.</t>
  </si>
  <si>
    <t>Painting the new iron work and other similar works such as PVC/ASTM pipes, kerb stone and grills with two coats of approved first class synthetic enamel ready mixed paint.</t>
  </si>
  <si>
    <t>For Window</t>
  </si>
  <si>
    <t>Door</t>
  </si>
  <si>
    <t>Plastic Emulsion PAINT including primer</t>
  </si>
  <si>
    <t>White washing three coats using clean shell lime slaked including cost of lime, gum, blue, brushes including scaffolding etc., all complete in all respects.</t>
  </si>
  <si>
    <t xml:space="preserve">As per ceiling area </t>
  </si>
  <si>
    <t>As per plastering area</t>
  </si>
  <si>
    <t>D/F - Outer plastering area</t>
  </si>
  <si>
    <t>a) Light point with ceiling rose</t>
  </si>
  <si>
    <t xml:space="preserve">Street light </t>
  </si>
  <si>
    <t>b) Light point without ceiling rose</t>
  </si>
  <si>
    <t>Pump Room inner</t>
  </si>
  <si>
    <t>Pump Room (Bulkhead fiiting)</t>
  </si>
  <si>
    <t>Wiring with 1.5 sqmm PVC insulated single core multi strand fire retardant flexible copper cable  for 5 amps 5 pin plug socket point @ Switch Board Itself.</t>
  </si>
  <si>
    <t>Pump Room</t>
  </si>
  <si>
    <t>No.</t>
  </si>
  <si>
    <t>Supplying and fixing of Tube light fitting  (patty type) with Electronic ballast and 36 W slim tube light</t>
  </si>
  <si>
    <t>Supplying and fixing of Street lights</t>
  </si>
  <si>
    <t>Pump Room outer</t>
  </si>
  <si>
    <t>Supplying and fixing of the following Compact Fluoresent Lamp (CFL)</t>
  </si>
  <si>
    <t>a. 14 watts CFL bulb</t>
  </si>
  <si>
    <t>b. 18 watts bulb for Bulk Head fittings</t>
  </si>
  <si>
    <t>Pump Room (Bulkhead fitting)</t>
  </si>
  <si>
    <t>Supplying and fixing of Bulk head fitting suitable for CFL</t>
  </si>
  <si>
    <t>Pump Room front</t>
  </si>
  <si>
    <t>3.14 X 4.03</t>
  </si>
  <si>
    <t>3.14 X 4.26 X 4.26</t>
  </si>
  <si>
    <t>S.No</t>
  </si>
  <si>
    <t>Description of Works</t>
  </si>
  <si>
    <t>Measurement in Meters</t>
  </si>
  <si>
    <t>For Drying Yard</t>
  </si>
  <si>
    <t>Drying Yard</t>
  </si>
  <si>
    <t>Drying Yard Outer Alround</t>
  </si>
  <si>
    <t>Drying Yard Inner Alround</t>
  </si>
  <si>
    <t>Hose Drying Rack Bottom</t>
  </si>
  <si>
    <t>Hose Drying Rack Side</t>
  </si>
  <si>
    <t>P.C.C. 1:3:6 for Foundation &amp; Basement and other similar works</t>
  </si>
  <si>
    <t>Drying Yard Pillar Ist Pillar</t>
  </si>
  <si>
    <t>Drying Yard Pillar IInd Pillar</t>
  </si>
  <si>
    <t>Drying Yard Pillar IIIrd Pillar</t>
  </si>
  <si>
    <t>Drying Yard Pillar IVth Pillar</t>
  </si>
  <si>
    <t>Drying Yard Pillar Vth Pillar</t>
  </si>
  <si>
    <t>Drying Yard Pillar VIth Pillar</t>
  </si>
  <si>
    <t>Drying Yard Pillar VIIth Pillar</t>
  </si>
  <si>
    <t>Drying Yard Pillar VIIIth Pillar</t>
  </si>
  <si>
    <t>Drying Yard Pillar IXth Pillar</t>
  </si>
  <si>
    <t>Drying Yard Pillar Xth Pillar</t>
  </si>
  <si>
    <t>Drying Yard Pillar XIth Pillar</t>
  </si>
  <si>
    <t>Drying Yard Pillar XIIth Pillar</t>
  </si>
  <si>
    <t>Drying Yard Pillar Middle Pillar</t>
  </si>
  <si>
    <t>Hose Drying Rack Wall</t>
  </si>
  <si>
    <t>Hose Drying Rack Bed</t>
  </si>
  <si>
    <t>Sitting Slab</t>
  </si>
  <si>
    <t>D/F open O</t>
  </si>
  <si>
    <t xml:space="preserve">b) Ground floor </t>
  </si>
  <si>
    <t xml:space="preserve">Hose Drying Rack </t>
  </si>
  <si>
    <t>Drying Yard Top Alround</t>
  </si>
  <si>
    <t>For Hose Drying Rack</t>
  </si>
  <si>
    <t>Hose Drying Rack Top Portion</t>
  </si>
  <si>
    <t>Hose Drying Rack Front Side</t>
  </si>
  <si>
    <t>Qty As Per Item No - 13 (b)</t>
  </si>
  <si>
    <t>1Cum = 100Kg</t>
  </si>
  <si>
    <t>Qty As Per Item No - 15</t>
  </si>
  <si>
    <t>Hose Drying Rack Front</t>
  </si>
  <si>
    <t>Drying Yard Pillar Joint GI Pipe</t>
  </si>
  <si>
    <t>Details of Work</t>
  </si>
  <si>
    <t>Number</t>
  </si>
  <si>
    <t>Measurement</t>
  </si>
  <si>
    <t>Total quantity of each item</t>
  </si>
  <si>
    <t>Height/ Depth</t>
  </si>
  <si>
    <t>Providing Numbering &amp; Lettering and Additional works of Fire Service Station building at Pattukottai in Thanjavur District.</t>
  </si>
  <si>
    <t>Supplying &amp; fixing of bevelled edge mirror of approved quality and brand of size 600x450x5.5mm  shelf type mounted in the pvc/fibre glass framed with necessary hard board backing including labour for fixing in position etc., complete and as directed by the departmental officers.</t>
  </si>
  <si>
    <t>SOT &amp; Rest Room 2</t>
  </si>
  <si>
    <t xml:space="preserve"> -</t>
  </si>
  <si>
    <t>Supplying and fixing of Aluminium plate with six pins for coat stand including cost of plugs, nails, screws and labour for fixing in position etc., all complete and as directed by the departmental officers.</t>
  </si>
  <si>
    <t>SFO &amp; SOT Room</t>
  </si>
  <si>
    <t>Rest Room 2</t>
  </si>
  <si>
    <t>Supplying and fixing of 110mm dia PVC SWR pipe with ISI mark confirming to IS 13952:1992- type 'A' etc., all complete.</t>
  </si>
  <si>
    <t>(a) 110mm dia PVC SWR pipe.</t>
  </si>
  <si>
    <t>Service pit to building outer</t>
  </si>
  <si>
    <t>Supplying and fixing Mild steel Grills as per the design approved to verandah enclosure or gate including one coat of primer and labour for fixing in position etc., all complete.</t>
  </si>
  <si>
    <t>Service pit cover</t>
  </si>
  <si>
    <r>
      <t>Kg/m</t>
    </r>
    <r>
      <rPr>
        <vertAlign val="superscript"/>
        <sz val="11"/>
        <color indexed="8"/>
        <rFont val="Calibri"/>
        <family val="2"/>
      </rPr>
      <t>2</t>
    </r>
  </si>
  <si>
    <t>Supplying and fixing of 50mm UPVC Ball valve etc., all complete.</t>
  </si>
  <si>
    <t>For Garrage</t>
  </si>
  <si>
    <t>Supplying and delivery of 32mm dia UPVC Pipe etc., all complete.</t>
  </si>
  <si>
    <t>Hose Drying yard</t>
  </si>
  <si>
    <t xml:space="preserve">Supplying and delivery of the 25mm dia. of the 'C' Class G.I pipes with ISI mark etc., all complete. </t>
  </si>
  <si>
    <t>Diesel Motor to Pump Room outer</t>
  </si>
  <si>
    <t>Welding charges for laying of  25mm G.I  'C' Class pipe including tools and plants hire charges, electricity and all labour charges etc., all complete.</t>
  </si>
  <si>
    <t>Supplying and fixing of 32mm dia. CI clamp etc., all omplete.</t>
  </si>
  <si>
    <t>Supply of GI pipe of 40mm dia ‘B’ class etc., all complete.</t>
  </si>
  <si>
    <t>Flag post</t>
  </si>
  <si>
    <t>Supplying and fixing of flange GI 150mm size etc., all complete.</t>
  </si>
  <si>
    <t>Supplying and fixing of Aluminium manhole 60cm x 60cm etc., all complete.</t>
  </si>
  <si>
    <t>Pump Room manhole</t>
  </si>
  <si>
    <t>Supplying and fixing of 4 pole main switch isolator etc., all complete.</t>
  </si>
  <si>
    <t>Pump Room &amp; Garrage</t>
  </si>
  <si>
    <t>4 x 4  Sq mm copper PVC insulated unsheathed single core cable for 3 phase EB service connection</t>
  </si>
  <si>
    <t>EB  main to Pump Room</t>
  </si>
  <si>
    <t>Supplying and fixing of Gana flex hose 50mm size etc., all complete.</t>
  </si>
  <si>
    <t>Garrage</t>
  </si>
  <si>
    <t>PVC Screw Down Tap Heavy Type 15mm dia etc., all complete.</t>
  </si>
  <si>
    <t>OTS area, Rest Room rear side</t>
  </si>
  <si>
    <t>Wiring with 1.5 Sqm.m PVC insulated single core multi strand fire retardant flexible copper cable with ISI mark confirming IS: 694:1990 for 5 amps 5 pin plug socket point @ Switch Board Itself.</t>
  </si>
  <si>
    <t>SOT Room</t>
  </si>
  <si>
    <t xml:space="preserve">Rest Room 1 </t>
  </si>
  <si>
    <t>SFO Room</t>
  </si>
  <si>
    <t>Supplying and fixing the 75mm dia PVC (SWR) pipe with ISI mark confirming to IS etc., all complete.</t>
  </si>
  <si>
    <t>Common Toilet 1 to Drainage</t>
  </si>
  <si>
    <t>Common Toilet 2 to Drainage</t>
  </si>
  <si>
    <t>Labour charges for 75mm type B PVC pipe with earth work etc., all complete.</t>
  </si>
  <si>
    <t>Run of 4 Wires of 10 Sqm.m PVC insulated single core multi strand etc., all complete.</t>
  </si>
  <si>
    <t>Buzbar to Meter</t>
  </si>
  <si>
    <t>Meter to Fuse unit</t>
  </si>
  <si>
    <t>Fuse unit to Main switch</t>
  </si>
  <si>
    <t>UPVC Pipe (Un-Plasticized Polyvinyl Chloride) UPVC used for residential and home applications, water pressure in residential areas do not normally exceed the maximum tolerance. (Schedule-40)</t>
  </si>
  <si>
    <t>f) 50mm dia.</t>
  </si>
  <si>
    <t>Tank to Garrage middle</t>
  </si>
  <si>
    <t>Supplying, laying and fixing of following dia. GI specials of best approved quality including cost of specials and labour charges for fixing etc., all complete.</t>
  </si>
  <si>
    <t>i) 40mm dia. G.I Coupling</t>
  </si>
  <si>
    <t>Monoblock to Tank inlet pipe</t>
  </si>
  <si>
    <t>ii) 40mm dia. G.I Elbow</t>
  </si>
  <si>
    <t>Monoblock inter connection</t>
  </si>
  <si>
    <t>iii) 25mm dia. G.M Gate valve</t>
  </si>
  <si>
    <t>Borewell</t>
  </si>
  <si>
    <t>iv) 75mm dia. G.I Coupling</t>
  </si>
  <si>
    <t>Diesel Motor to Sump inner</t>
  </si>
  <si>
    <t>v) 32mm dia. G.M. Non Return Valve</t>
  </si>
  <si>
    <t>vi) 25mm dia. G.I Coupling</t>
  </si>
  <si>
    <t>vii) 25mm dia. G.I Bend</t>
  </si>
  <si>
    <t>viii) 25mm dia. G.I Hex Nipple</t>
  </si>
  <si>
    <t xml:space="preserve">Supplying and fixing of following size aluminium die casting lettering and numbering material and labour charges for firing with necesssary Scaffolding concrengs etc., all complete and as directed by the departmental officers. </t>
  </si>
  <si>
    <t>a) 30cm Letters (12")</t>
  </si>
  <si>
    <t xml:space="preserve">jPaizg;G kw;Wk; kPl;Gg;gzpfs; epiyak; </t>
  </si>
  <si>
    <t>b) 23cm Letters (9")</t>
  </si>
  <si>
    <t>Supplying and fixing of  60 cm TNPHCL Logo</t>
  </si>
  <si>
    <t xml:space="preserve">Supplying and fixing Foam name board with labour charges etc., </t>
  </si>
  <si>
    <t>Sq. Inch</t>
  </si>
  <si>
    <t>Finishing with smooth surface in the concrete by using the power trowel maching including labour cost etc., all complete.</t>
  </si>
  <si>
    <t>For C.C. Road</t>
  </si>
  <si>
    <t>Splay</t>
  </si>
  <si>
    <t>(15.60 + 9.50)/2</t>
  </si>
  <si>
    <t>Splay entry</t>
  </si>
  <si>
    <t>Garrage flooring</t>
  </si>
  <si>
    <t>D/f - Column</t>
  </si>
  <si>
    <t>D/f - Duct portion</t>
  </si>
  <si>
    <t>D/f - Service pit area</t>
  </si>
  <si>
    <t>Standby</t>
  </si>
  <si>
    <t xml:space="preserve">Supplying and delivery of single phase 2.0 HP submersible pumpset etc.,all complete </t>
  </si>
  <si>
    <t>Supplying and delivery of wall mount type Control panel board for single phase 2.0 HP openwell submersible pumpset etc.,all complete</t>
  </si>
  <si>
    <t>Openwell submersible - Pump Room</t>
  </si>
  <si>
    <t>Supplying and delivery of wall mount type Control panel board for single phase 2.0 HP submersible pumpset etc.,all complete</t>
  </si>
  <si>
    <t>For 2.0 HP submersible bore</t>
  </si>
  <si>
    <t>Labour charges for erection of submersible pumpset etc., all complete</t>
  </si>
  <si>
    <t>For Bore</t>
  </si>
  <si>
    <t>Supply of 3 core 4 sqmm PVC insulated flat cable for submersible pumpset etc.,all complete</t>
  </si>
  <si>
    <t>Supplying of 14mm dia. of Nylon rope etc., all complete.</t>
  </si>
  <si>
    <t>Supplying and laying of the 32mm UPVC pipe etc., all complete. (Below Ground Level)</t>
  </si>
  <si>
    <t>For Bore inner</t>
  </si>
  <si>
    <t>Supplying of 32mm dia. Cast Iron Adopter</t>
  </si>
  <si>
    <t>Supplying and delivery of following dia. PVC and GI Pipes</t>
  </si>
  <si>
    <t>Labour charges for following dia. of PVC/GI pipes (Below Ground level)</t>
  </si>
  <si>
    <t>Supplying and fixing of MS angle of size 50 x 50 x 5 mm MS angle to hold LTUG cable in OH portion etc., all complete</t>
  </si>
  <si>
    <t>Cable length</t>
  </si>
  <si>
    <t>Supplying of 50 mm dia  GI pipe (Above Ground Level) approved quality</t>
  </si>
  <si>
    <t>Fire station</t>
  </si>
  <si>
    <t>b) 50 mm dia  GI Bend ( PWD 51)</t>
  </si>
  <si>
    <t>GI Bend</t>
  </si>
  <si>
    <t xml:space="preserve">Run of 4 Wires of 4 sqmm PVC insulated single core multi strand fire retardant flexible copper cable with ISI mark confirming IS: 694:1990.
</t>
  </si>
  <si>
    <t>Fire  Station</t>
  </si>
  <si>
    <t>63 Amps</t>
  </si>
  <si>
    <t>a) above  Ground Level</t>
  </si>
  <si>
    <t xml:space="preserve">Supply and fixing of Brass cable gland suitable for 3.5 core 50 sqmm PVC armoured ALTUG cable( CER NO : 371/18-19)     
</t>
  </si>
  <si>
    <t xml:space="preserve">Supplying and fixing of 3 Nos. of 100 amps 500 volts grade porcelain fuse unit on suitable teakwood plank varnished to be fixed on the top of pole/EB street pole with necessary clamps including cost of materials etc., all complete.( CER NO : 371/18-19)  </t>
  </si>
  <si>
    <t>Fire Station</t>
  </si>
  <si>
    <t xml:space="preserve">Labour charges for laying of  3.5 core 50 sqmm PVC armoured ALTUG Cable
a) Above Ground Level( CER NO : 371/18-19)  </t>
  </si>
  <si>
    <t xml:space="preserve">Supplying and fixing of single pole 6 Amps to 32 Amps MCB( CER NO : 371/18-19)  </t>
  </si>
  <si>
    <t>SFO</t>
  </si>
  <si>
    <t xml:space="preserve">Supplying and fixing of 4' 18 W LED Tube light fittings etc.,( CER NO : 371/18-19)  </t>
  </si>
  <si>
    <t>Garage</t>
  </si>
  <si>
    <t xml:space="preserve">Office </t>
  </si>
  <si>
    <t xml:space="preserve">Store </t>
  </si>
  <si>
    <t xml:space="preserve">Supplying and fixing of 12 w LED Bulb etc., all complete.( CER NO : 371/18-19)  </t>
  </si>
  <si>
    <t>Fire station front and rear</t>
  </si>
  <si>
    <t>Office</t>
  </si>
  <si>
    <t>Store</t>
  </si>
  <si>
    <t>Rest room</t>
  </si>
  <si>
    <t xml:space="preserve">Supplying and fixing of Following watt LED Lamp etc., all complete.( CER NO : 371/18-19)  </t>
  </si>
  <si>
    <t>a) 9W LED Bulb</t>
  </si>
  <si>
    <t xml:space="preserve">Fire Station </t>
  </si>
  <si>
    <t>Wash Basin Mirror point</t>
  </si>
  <si>
    <t>Toilet</t>
  </si>
  <si>
    <t>Urinals</t>
  </si>
  <si>
    <t xml:space="preserve">Supplying and fixing of BulkHead Fittings suitable for 12 w LED Bulb etc., all complete.( CER NO : 371/18-19)  </t>
  </si>
  <si>
    <t xml:space="preserve">Supply and fixing of 25w LED street light  fitting including all labour charges for LED street light  fittings etc.all complete </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</si>
  <si>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</si>
  <si>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Supplying &amp; fixing of 500 watt Focus light fittings etc., all complete.</t>
  </si>
  <si>
    <t xml:space="preserve">Fire Station Building Outer side </t>
  </si>
  <si>
    <t>Supplying and fixing of 250 watt sodium vapour fitting and lamp etc., all complete.</t>
  </si>
  <si>
    <t>For Focus Fire station</t>
  </si>
  <si>
    <t>Supplying &amp; fixing  of  12" dome light fittings and 9watts led bulb etc., all complete.</t>
  </si>
  <si>
    <t>Supplying &amp; fixing of spot light fittings and led bulb etc., all complete.</t>
  </si>
  <si>
    <t>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t>
  </si>
  <si>
    <t>For Fire station</t>
  </si>
  <si>
    <t>Description of works</t>
  </si>
  <si>
    <t>Steps rise</t>
  </si>
  <si>
    <t xml:space="preserve">Plastic Emulsion PAINT including primer for outer </t>
  </si>
  <si>
    <t>4mm thick pin headed Glass panels with Aluminium beedings</t>
  </si>
  <si>
    <t>Sump</t>
  </si>
  <si>
    <t>Filling sand</t>
  </si>
  <si>
    <t xml:space="preserve">Alround vertical wall </t>
  </si>
  <si>
    <t>Middle cross wall</t>
  </si>
  <si>
    <t>Sump cover slab</t>
  </si>
  <si>
    <t xml:space="preserve">D/F manhole </t>
  </si>
  <si>
    <t>a) In foundation basement</t>
  </si>
  <si>
    <t>Sump inside wall alround</t>
  </si>
  <si>
    <t>Sump outside wall alround</t>
  </si>
  <si>
    <t>Sump outer wall</t>
  </si>
  <si>
    <t>e) Circular surface</t>
  </si>
  <si>
    <t>Cover slab side outer side</t>
  </si>
  <si>
    <t>Supplying fixing of CI steps</t>
  </si>
  <si>
    <t>For sump</t>
  </si>
  <si>
    <t>Each</t>
  </si>
  <si>
    <t>Side wall</t>
  </si>
  <si>
    <t xml:space="preserve">Cement Concrete PCC (1:4:8) Using 40 mm metal </t>
  </si>
  <si>
    <t xml:space="preserve">Bed flooring </t>
  </si>
  <si>
    <t>P.C.C. 1:2:4  20 mm metal for Foundation &amp; Basement and other similar works</t>
  </si>
  <si>
    <t>P.C.C. 1:3:6  40 mm metal for Foundation &amp; Basement and other similar works</t>
  </si>
  <si>
    <t>Side wall 1st footing</t>
  </si>
  <si>
    <t>Side wall 2nd footing</t>
  </si>
  <si>
    <t>Side wall footing</t>
  </si>
  <si>
    <t>Side wall Bed Block</t>
  </si>
  <si>
    <t>Deck slab</t>
  </si>
  <si>
    <t>(a) For column footings, plinth beam, grade beam, raft beam, raft slab etc.,</t>
  </si>
  <si>
    <t>Side wall upto G.L</t>
  </si>
  <si>
    <t>Side wall above G.L</t>
  </si>
  <si>
    <t>Bed block alround</t>
  </si>
  <si>
    <t>Deck slab alround sides</t>
  </si>
  <si>
    <t>Deck slab inner botttom</t>
  </si>
  <si>
    <t>M-20 Concrete Qty</t>
  </si>
  <si>
    <t>kg/Cum</t>
  </si>
  <si>
    <t>Supplying and filling in foundation and basement with gravel in layers of  150 mm thickness well watered, rammed and consolidated complying with relevant standard specification including cost of gravel etc., all complete and as directed by the departmental officers.</t>
  </si>
  <si>
    <t>Supply and fixing of Bituminous filler pad, 20 mm tk. for expansion joint</t>
  </si>
  <si>
    <t>TRICHY DIVISION, TRICHY</t>
  </si>
  <si>
    <t>Sl. No.</t>
  </si>
  <si>
    <t xml:space="preserve"> Septic Tank (Detail for 1 No.)</t>
  </si>
  <si>
    <t xml:space="preserve">Providing 1 No. of 150mm dia. Deep Borewell for the Construction of Fire Service Station Building with development works at Thiruvaiyaru in Thanjavur Ditrict.                                                                              </t>
  </si>
  <si>
    <t>Standardised concrete Mix M20 Grade Concrete</t>
  </si>
  <si>
    <t>d) In Second Floor</t>
  </si>
  <si>
    <t>Formwork using M.S.Sheet</t>
  </si>
  <si>
    <t>b) Plain surfaces such as Roof slab, floorslab, Beams, lintels, lofts, sill slab, staircase, portico slab and other similar works</t>
  </si>
  <si>
    <t>a) In First Floor</t>
  </si>
  <si>
    <t>Support wall</t>
  </si>
  <si>
    <t>b) In First Floor</t>
  </si>
  <si>
    <t>c) In Second Floor</t>
  </si>
  <si>
    <t>For base slab Fire Service Station</t>
  </si>
  <si>
    <t>Cross beam</t>
  </si>
  <si>
    <t>D /F - Manhole cover</t>
  </si>
  <si>
    <t>Vertical wall</t>
  </si>
  <si>
    <t>For Fire Station</t>
  </si>
  <si>
    <t>Cross beam bottom</t>
  </si>
  <si>
    <t>Cross beam side inner</t>
  </si>
  <si>
    <t>Cross beam side outer</t>
  </si>
  <si>
    <t>Base slab alround sides</t>
  </si>
  <si>
    <t>Fire Station inner</t>
  </si>
  <si>
    <t>Oueter wall alround</t>
  </si>
  <si>
    <t>Tank wall alround</t>
  </si>
  <si>
    <t>Tank wall alround Fire Station</t>
  </si>
  <si>
    <t>Cross wall for tank partition</t>
  </si>
  <si>
    <t>Plastering 1:5, 12mm thick with neat cement mortor including band cornice  etc  all complete</t>
  </si>
  <si>
    <t>As per item No. 32</t>
  </si>
  <si>
    <t>For Fire Service Station</t>
  </si>
  <si>
    <t>Alround Plinth protection wall</t>
  </si>
  <si>
    <t>a) In Foundation and basement</t>
  </si>
  <si>
    <t>Scheme main road</t>
  </si>
  <si>
    <t>Fire Station road</t>
  </si>
  <si>
    <t>Sl.No.</t>
  </si>
  <si>
    <r>
      <t>Kg/m</t>
    </r>
    <r>
      <rPr>
        <vertAlign val="superscript"/>
        <sz val="11"/>
        <rFont val="Calibri"/>
        <family val="2"/>
        <scheme val="minor"/>
      </rPr>
      <t>3</t>
    </r>
  </si>
  <si>
    <t>SI.
No.</t>
  </si>
  <si>
    <t>Fabrication of Mild steel / RTS grills (with cement slurry wash)</t>
  </si>
  <si>
    <t>3.14 X 3.80 X 3.80</t>
  </si>
  <si>
    <t>3.14 X 4.26</t>
  </si>
  <si>
    <t xml:space="preserve">3.14 X 4.26 </t>
  </si>
  <si>
    <t>3.14 X 3.80 X 0.23</t>
  </si>
  <si>
    <t>40 mm dia GI pipe "B"class</t>
  </si>
  <si>
    <t>jpUitahW - jQ;rht+h; khtl;lk;</t>
  </si>
  <si>
    <t>Alround three sides</t>
  </si>
  <si>
    <t>Alround three sides upto G.L</t>
  </si>
  <si>
    <t>Alround three sides above G.L</t>
  </si>
  <si>
    <t>(1.20+0.23)/2</t>
  </si>
  <si>
    <t>Raft sides</t>
  </si>
  <si>
    <t>Side wall sides</t>
  </si>
  <si>
    <t>Kg/Cum</t>
  </si>
  <si>
    <t>Weep holes for retaining wall</t>
  </si>
  <si>
    <t>(1.20 + 0.23)/2</t>
  </si>
  <si>
    <r>
      <t>m</t>
    </r>
    <r>
      <rPr>
        <b/>
        <vertAlign val="superscript"/>
        <sz val="11"/>
        <color theme="1"/>
        <rFont val="Calibri"/>
        <family val="2"/>
        <scheme val="minor"/>
      </rPr>
      <t>3</t>
    </r>
  </si>
  <si>
    <r>
      <t>m</t>
    </r>
    <r>
      <rPr>
        <b/>
        <vertAlign val="superscript"/>
        <sz val="11"/>
        <color theme="1"/>
        <rFont val="Calibri"/>
        <family val="2"/>
        <scheme val="minor"/>
      </rPr>
      <t>2</t>
    </r>
  </si>
  <si>
    <t>RETAINING WALL (DETAILED)</t>
  </si>
  <si>
    <t>a) In Foundation &amp; Basement</t>
  </si>
  <si>
    <t>Sump cover slab inner</t>
  </si>
  <si>
    <t>D/f - Manhole</t>
  </si>
  <si>
    <t>Ellis pattern flooring</t>
  </si>
  <si>
    <t>Baffle wall Beam</t>
  </si>
  <si>
    <t>For I/C inner</t>
  </si>
  <si>
    <t>Inlet and outlet sides</t>
  </si>
  <si>
    <t>a) 110mm dia.</t>
  </si>
  <si>
    <t>Inspection Chamber to inlet</t>
  </si>
  <si>
    <t>Drying Yard Outer Alround beam</t>
  </si>
  <si>
    <t>Drying Yard Inner Alround beam</t>
  </si>
  <si>
    <t>Hose Drying Yard beam</t>
  </si>
  <si>
    <t>Hose Drying Yard skin concrete</t>
  </si>
  <si>
    <t>G.F &amp; F.F Room</t>
  </si>
  <si>
    <t>For Rain water harvesting</t>
  </si>
  <si>
    <t>Wing wall</t>
  </si>
  <si>
    <t>Wing wall footing</t>
  </si>
  <si>
    <t>Wing wall 1st footing</t>
  </si>
  <si>
    <t>Wing wall 2nd footing</t>
  </si>
  <si>
    <t>Wing wall upto G.L</t>
  </si>
  <si>
    <t>Wing wall above G.L</t>
  </si>
  <si>
    <t>Earth work  excavation  for  foundation in all soils and sub-soils and to the required depth etc., all complete. (Including Refilling)</t>
  </si>
  <si>
    <t>a) 0 to 2m Depth</t>
  </si>
  <si>
    <t>Providing and laying in position, Standardised Concrete Mix M-20 Grade in accordance with IS etc., all complete.</t>
  </si>
  <si>
    <t>Plain Cement Concrete 1:5:10 for foundation using 40mm gauge hard broken stone jelly inclusive of shoring etc., all complete. (Foundation and Basement)</t>
  </si>
  <si>
    <t>Providing form work and centering for reinforced  cement concrete works including  supports  and  strutting etc., all complete.</t>
  </si>
  <si>
    <t>a) For Column Footings, Plinth beam, Grade beam, Raft beam, Raft slab etc.,</t>
  </si>
  <si>
    <t>Supplying, fabricating and placing in position of Mild Steel Grills/Ribbed Tor Steels etc., all complete. (Without Cement Slurry)</t>
  </si>
  <si>
    <t>Plain Cement Concrete 1:3:6 for foundation using 40mm gauge hard broken stone jelly inclusive of shoring etc., all complete. (Foundation and Basement)</t>
  </si>
  <si>
    <t>Supply and fixing of PVC 110mm dia. SWR pipe etc., all complete in all respects and complying with relevant standard specifications.</t>
  </si>
  <si>
    <t>D/F - Manhole Cover</t>
  </si>
  <si>
    <t>Plastering  in CM 1:5, 12 mm tk</t>
  </si>
  <si>
    <t>Plastering with CM 1:3, 12mm with WPC</t>
  </si>
  <si>
    <t>) For Column Footings, Plinth beam, Grade beam, Raft beam, Raft slab etc.,</t>
  </si>
  <si>
    <t>For Submersible pumpset</t>
  </si>
  <si>
    <t xml:space="preserve">Earth work excavation for foundation in all soils and sub soils including refilling </t>
  </si>
  <si>
    <t>a) 0m to 2m depth</t>
  </si>
  <si>
    <t>Footing</t>
  </si>
  <si>
    <t>C1F1 C6F6</t>
  </si>
  <si>
    <t>C2F2</t>
  </si>
  <si>
    <t>C3F3,C4F4,C5F5</t>
  </si>
  <si>
    <t>station wall allround</t>
  </si>
  <si>
    <t>vertical beams on corridor</t>
  </si>
  <si>
    <t>beam btwn waiting &amp; watcher</t>
  </si>
  <si>
    <t>stair area horizontal beams</t>
  </si>
  <si>
    <t>store, SFO horizontal walls</t>
  </si>
  <si>
    <t>horiz wall waiting, watcher</t>
  </si>
  <si>
    <t>Garage vertical</t>
  </si>
  <si>
    <t>Garage horiz beam</t>
  </si>
  <si>
    <t>Inspection chamber building side</t>
  </si>
  <si>
    <t>Inspection chamber to septic tank line</t>
  </si>
  <si>
    <t>ded:</t>
  </si>
  <si>
    <t xml:space="preserve">C1F1 </t>
  </si>
  <si>
    <t>C3F3</t>
  </si>
  <si>
    <t xml:space="preserve">Supplying and filling in foundation and basement with filling sand </t>
  </si>
  <si>
    <t>portico</t>
  </si>
  <si>
    <t>entrance verandah</t>
  </si>
  <si>
    <t>lobby and staircase</t>
  </si>
  <si>
    <t>toilet block</t>
  </si>
  <si>
    <t>bath area</t>
  </si>
  <si>
    <t>corridor-1</t>
  </si>
  <si>
    <t>waiting room</t>
  </si>
  <si>
    <t>watcher room</t>
  </si>
  <si>
    <t>sfo room</t>
  </si>
  <si>
    <t>corridor 2</t>
  </si>
  <si>
    <t>rear verandah</t>
  </si>
  <si>
    <t>store/office</t>
  </si>
  <si>
    <t>garage</t>
  </si>
  <si>
    <t>2.1.1</t>
  </si>
  <si>
    <t>Supplying and filling in foundation and basement with Gravel</t>
  </si>
  <si>
    <t>Deduction for Service pit</t>
  </si>
  <si>
    <t xml:space="preserve">3.1 PCC </t>
  </si>
  <si>
    <t xml:space="preserve">4.1.1RCC </t>
  </si>
  <si>
    <t>P C C 1:5:10 for foundation</t>
  </si>
  <si>
    <t xml:space="preserve">Grade beam </t>
  </si>
  <si>
    <t xml:space="preserve">d/F coloumn </t>
  </si>
  <si>
    <t>C1 ,</t>
  </si>
  <si>
    <t>C2</t>
  </si>
  <si>
    <t>C3,</t>
  </si>
  <si>
    <t>C4</t>
  </si>
  <si>
    <t>C5</t>
  </si>
  <si>
    <t>C6</t>
  </si>
  <si>
    <t>Standard Design Mix  M20 grade Concrete for RCC Works</t>
  </si>
  <si>
    <t>a) In foundation and basement</t>
  </si>
  <si>
    <t>C1 ,C6</t>
  </si>
  <si>
    <t>C3,C5</t>
  </si>
  <si>
    <t>Footing   to Grade beam  bottom</t>
  </si>
  <si>
    <t>for partition walls</t>
  </si>
  <si>
    <t>Service pit bott matt</t>
  </si>
  <si>
    <t>Service pit alround</t>
  </si>
  <si>
    <t>Brick work in cm 1:5 using burnt country bricks and size 22x11x7 CM</t>
  </si>
  <si>
    <t>(1.33+0.12 = 1.45                                         Brick on edge)</t>
  </si>
  <si>
    <t>rear side corridor vertical</t>
  </si>
  <si>
    <t>Inspection chamber</t>
  </si>
  <si>
    <t>C1</t>
  </si>
  <si>
    <t>C3</t>
  </si>
  <si>
    <t>Column upto Roof Beam Bottom</t>
  </si>
  <si>
    <t>LintelBeam</t>
  </si>
  <si>
    <t>Roof Slab</t>
  </si>
  <si>
    <t>office area</t>
  </si>
  <si>
    <t>add projection front</t>
  </si>
  <si>
    <t>Roof Beam</t>
  </si>
  <si>
    <t>portico beam front</t>
  </si>
  <si>
    <t>Loft</t>
  </si>
  <si>
    <t>watch room</t>
  </si>
  <si>
    <t>Sill slab window w1</t>
  </si>
  <si>
    <t>w2</t>
  </si>
  <si>
    <t>w3</t>
  </si>
  <si>
    <t>fw1</t>
  </si>
  <si>
    <t>ws</t>
  </si>
  <si>
    <t>sw</t>
  </si>
  <si>
    <t>sw1</t>
  </si>
  <si>
    <t>fw/rw</t>
  </si>
  <si>
    <t>self for boots and dresses</t>
  </si>
  <si>
    <t>SunShade Slab</t>
  </si>
  <si>
    <t>w1</t>
  </si>
  <si>
    <t>Window2</t>
  </si>
  <si>
    <t xml:space="preserve">s/c first flight </t>
  </si>
  <si>
    <t>mid landing</t>
  </si>
  <si>
    <t>2nd flight</t>
  </si>
  <si>
    <t>steps</t>
  </si>
  <si>
    <t>toe beam and mid beam</t>
  </si>
  <si>
    <t>rest room horiz walls</t>
  </si>
  <si>
    <t>horiz wall driver/mechanic</t>
  </si>
  <si>
    <t>Roof beam</t>
  </si>
  <si>
    <t>ded: garage beam</t>
  </si>
  <si>
    <t>sot balcony beam</t>
  </si>
  <si>
    <t>garage vertical beams</t>
  </si>
  <si>
    <t>garage horiz beams</t>
  </si>
  <si>
    <t>LOFT  sot room</t>
  </si>
  <si>
    <t>restroom</t>
  </si>
  <si>
    <t>restroom2</t>
  </si>
  <si>
    <t>driver</t>
  </si>
  <si>
    <t>w4</t>
  </si>
  <si>
    <t>fw/rb</t>
  </si>
  <si>
    <t>sunshade  w</t>
  </si>
  <si>
    <t>parapet column c1</t>
  </si>
  <si>
    <t>c2</t>
  </si>
  <si>
    <t>c3</t>
  </si>
  <si>
    <t>c4</t>
  </si>
  <si>
    <t>c5</t>
  </si>
  <si>
    <t>c6</t>
  </si>
  <si>
    <t xml:space="preserve">s/c 3rd  flight </t>
  </si>
  <si>
    <t>4th flight</t>
  </si>
  <si>
    <t>mid beam</t>
  </si>
  <si>
    <t>c)second floor s/c  col c2</t>
  </si>
  <si>
    <t>beam alround</t>
  </si>
  <si>
    <t>slab</t>
  </si>
  <si>
    <t>sunshade</t>
  </si>
  <si>
    <t>For base  slab  Fire service  Station</t>
  </si>
  <si>
    <t>cross beam</t>
  </si>
  <si>
    <t>D /F Manhole cover</t>
  </si>
  <si>
    <t>vertical wall</t>
  </si>
  <si>
    <t>Brick work in cm 1:6 using burnt country bricks and size 22x11x7 CM</t>
  </si>
  <si>
    <t>a)Ground floor</t>
  </si>
  <si>
    <t>Garage side wall</t>
  </si>
  <si>
    <t>d/f m.door</t>
  </si>
  <si>
    <t>fw</t>
  </si>
  <si>
    <t>rv</t>
  </si>
  <si>
    <t>d1</t>
  </si>
  <si>
    <t>d</t>
  </si>
  <si>
    <t>d1a</t>
  </si>
  <si>
    <t>d2</t>
  </si>
  <si>
    <t>do</t>
  </si>
  <si>
    <t>td1</t>
  </si>
  <si>
    <t>d/f lintel</t>
  </si>
  <si>
    <t xml:space="preserve">b)first floor </t>
  </si>
  <si>
    <t>Wall allround</t>
  </si>
  <si>
    <t>staircase &amp; SOT vertical wall near corridor</t>
  </si>
  <si>
    <t>rest room vertical wall</t>
  </si>
  <si>
    <t>rest room horiz wall</t>
  </si>
  <si>
    <t>toilet, stair &amp; SOT horiz wall</t>
  </si>
  <si>
    <t>office area parapet</t>
  </si>
  <si>
    <t>ded: head room wall</t>
  </si>
  <si>
    <t>garage parapet 3 side</t>
  </si>
  <si>
    <t>d/f d1</t>
  </si>
  <si>
    <t>w</t>
  </si>
  <si>
    <t>d/f coloumn c1</t>
  </si>
  <si>
    <t>c)second floor  headroom alround</t>
  </si>
  <si>
    <t>parapet</t>
  </si>
  <si>
    <t>d/f s/c  col c2</t>
  </si>
  <si>
    <t>door open</t>
  </si>
  <si>
    <t>OHT</t>
  </si>
  <si>
    <t>support wall</t>
  </si>
  <si>
    <t>Brick work in cm 1:4 using burnt country bricks and size 22x11x7 CM 110 mm thick</t>
  </si>
  <si>
    <t>b)ground floor</t>
  </si>
  <si>
    <t>ladies toilet hori</t>
  </si>
  <si>
    <t>in b/w bath &amp; wc</t>
  </si>
  <si>
    <t>vert.cross wall</t>
  </si>
  <si>
    <t>gents toilet hori wall for bath</t>
  </si>
  <si>
    <t>hori cross wall for wc</t>
  </si>
  <si>
    <t>in b/w ladies and gents toil wash basin</t>
  </si>
  <si>
    <t>vert.cross wall b/w gents toilt bath</t>
  </si>
  <si>
    <t>vert.cross wall b/w behind wash basin</t>
  </si>
  <si>
    <t>d/f td</t>
  </si>
  <si>
    <t>c)first floor</t>
  </si>
  <si>
    <t>wash basin wall</t>
  </si>
  <si>
    <t>gents toilet hori wall for wc</t>
  </si>
  <si>
    <t>vertical wall gents toi</t>
  </si>
  <si>
    <t>urinal wall</t>
  </si>
  <si>
    <t>c) in S.F</t>
  </si>
  <si>
    <t>Tank wall alround   Fire station</t>
  </si>
  <si>
    <t>B.W Partition wall 70mm tk</t>
  </si>
  <si>
    <t>a) Ground floor</t>
  </si>
  <si>
    <t>sfo</t>
  </si>
  <si>
    <t>b)first floor</t>
  </si>
  <si>
    <t>sot</t>
  </si>
  <si>
    <t>rest room 1,2,3</t>
  </si>
  <si>
    <t>B.W Partition wall 50mm tk</t>
  </si>
  <si>
    <t xml:space="preserve">a) Ground floor  </t>
  </si>
  <si>
    <t xml:space="preserve">  s/c hand rails</t>
  </si>
  <si>
    <t>Filling with Excavated Earth</t>
  </si>
  <si>
    <t>Column footing</t>
  </si>
  <si>
    <t>Column up to grade beam</t>
  </si>
  <si>
    <t>Precast jally ventilator 50mm thick</t>
  </si>
  <si>
    <t>Ground floor</t>
  </si>
  <si>
    <t>ventilator rv</t>
  </si>
  <si>
    <t>vo</t>
  </si>
  <si>
    <t>ventilator v</t>
  </si>
  <si>
    <t>First floor</t>
  </si>
  <si>
    <t>Teak Wood Wrought &amp; Put Up</t>
  </si>
  <si>
    <t>A) Tea Wood Over 2M &amp; Below 3M</t>
  </si>
  <si>
    <t>For Entrance Door Frame</t>
  </si>
  <si>
    <t>sfo,sot</t>
  </si>
  <si>
    <t xml:space="preserve">B) Teak Wood Below 2M Length </t>
  </si>
  <si>
    <t xml:space="preserve">sot,sfo </t>
  </si>
  <si>
    <t>S &amp; F Magnetic Door Catches</t>
  </si>
  <si>
    <t>Entrance Door &amp; Store,sot,sfo,watcroom</t>
  </si>
  <si>
    <t xml:space="preserve">MS Hold Fast GF </t>
  </si>
  <si>
    <t>P.C.C 1:5:10 Ground floor</t>
  </si>
  <si>
    <t>Floor Plastering In Cm 1:4, 20Mm Thick</t>
  </si>
  <si>
    <t>Ramp</t>
  </si>
  <si>
    <t>For chamber</t>
  </si>
  <si>
    <t>midlanding</t>
  </si>
  <si>
    <t>LOBBY</t>
  </si>
  <si>
    <t>sqm</t>
  </si>
  <si>
    <t>Ellispattern</t>
  </si>
  <si>
    <t>Store room</t>
  </si>
  <si>
    <t>Weathering Course</t>
  </si>
  <si>
    <t>bath depression - IWC</t>
  </si>
  <si>
    <t xml:space="preserve">Plastering 1 : 5 12 Mm Tk </t>
  </si>
  <si>
    <t>Outer plastering</t>
  </si>
  <si>
    <t>basement outer wall inner plastering</t>
  </si>
  <si>
    <t>office area all round + basement outer</t>
  </si>
  <si>
    <t>office area parapet allround</t>
  </si>
  <si>
    <t>parapet top</t>
  </si>
  <si>
    <t>garage parapet outer wall</t>
  </si>
  <si>
    <t>parapet inner</t>
  </si>
  <si>
    <t xml:space="preserve">head room outer </t>
  </si>
  <si>
    <t>Deductions</t>
  </si>
  <si>
    <t>D1A</t>
  </si>
  <si>
    <t>FW</t>
  </si>
  <si>
    <t>RV</t>
  </si>
  <si>
    <t>W3</t>
  </si>
  <si>
    <t>W4</t>
  </si>
  <si>
    <t>V</t>
  </si>
  <si>
    <t>VO</t>
  </si>
  <si>
    <t>Head room door</t>
  </si>
  <si>
    <t>A/F jams</t>
  </si>
  <si>
    <t>Garage  outer wall</t>
  </si>
  <si>
    <t>oueter wall Alround</t>
  </si>
  <si>
    <t>Inner plastering</t>
  </si>
  <si>
    <t>ded: open</t>
  </si>
  <si>
    <t>entrance 3 side wall</t>
  </si>
  <si>
    <t>SFO toilet inner</t>
  </si>
  <si>
    <t>corrider 1 side wall</t>
  </si>
  <si>
    <t>corrider 2</t>
  </si>
  <si>
    <t>rear side corridor 3 side wall</t>
  </si>
  <si>
    <t>store 1</t>
  </si>
  <si>
    <t>stair room inner area</t>
  </si>
  <si>
    <t>ladies toilet inner area</t>
  </si>
  <si>
    <t>wash bashin side wall</t>
  </si>
  <si>
    <t>wc</t>
  </si>
  <si>
    <t xml:space="preserve">ladies toilet </t>
  </si>
  <si>
    <t>gents toilet inner area</t>
  </si>
  <si>
    <t>bath</t>
  </si>
  <si>
    <t>WC</t>
  </si>
  <si>
    <t>sot room</t>
  </si>
  <si>
    <t>SOT balcony wall</t>
  </si>
  <si>
    <t>driver mechanic</t>
  </si>
  <si>
    <t xml:space="preserve">rest room </t>
  </si>
  <si>
    <t>rest room 1</t>
  </si>
  <si>
    <t>corrider 1</t>
  </si>
  <si>
    <t>ladies toilet</t>
  </si>
  <si>
    <t>gents toilet center area</t>
  </si>
  <si>
    <t>gents toilet bath</t>
  </si>
  <si>
    <t>gents WC</t>
  </si>
  <si>
    <t>garage side wall</t>
  </si>
  <si>
    <t>Cupboard walls</t>
  </si>
  <si>
    <t>M.D</t>
  </si>
  <si>
    <t>FW1</t>
  </si>
  <si>
    <t>D1</t>
  </si>
  <si>
    <t>D2</t>
  </si>
  <si>
    <t>DO</t>
  </si>
  <si>
    <t>TD1</t>
  </si>
  <si>
    <t>TD</t>
  </si>
  <si>
    <t>W2</t>
  </si>
  <si>
    <t>WS</t>
  </si>
  <si>
    <t>SW</t>
  </si>
  <si>
    <t>SW1</t>
  </si>
  <si>
    <t>V.VO,RV</t>
  </si>
  <si>
    <t>Add Jams</t>
  </si>
  <si>
    <t>outer plastering</t>
  </si>
  <si>
    <t>Plastering  in CM 1 : 4 12 mm</t>
  </si>
  <si>
    <t>For Service station</t>
  </si>
  <si>
    <t>Special Ceiling Plastering in cm 1:3,10mm tk.</t>
  </si>
  <si>
    <t>ground floor</t>
  </si>
  <si>
    <t xml:space="preserve">Watch Room </t>
  </si>
  <si>
    <t>Waiting room</t>
  </si>
  <si>
    <t>Entrance / verandha</t>
  </si>
  <si>
    <t>Sfo room</t>
  </si>
  <si>
    <t xml:space="preserve">stair slab </t>
  </si>
  <si>
    <t>rear verandha</t>
  </si>
  <si>
    <t>Store 1</t>
  </si>
  <si>
    <t>Gents /Ladies Toilet</t>
  </si>
  <si>
    <t xml:space="preserve">S/C 1st flight </t>
  </si>
  <si>
    <t xml:space="preserve">S/C 2nd flight </t>
  </si>
  <si>
    <t>s/c lobby</t>
  </si>
  <si>
    <t>Watch Room loft</t>
  </si>
  <si>
    <t>Sfo room loft</t>
  </si>
  <si>
    <t>store loft</t>
  </si>
  <si>
    <t>G.f.garage side shelf</t>
  </si>
  <si>
    <t>SOT balcony</t>
  </si>
  <si>
    <t>sitout</t>
  </si>
  <si>
    <t>corrider</t>
  </si>
  <si>
    <t>rest room 2</t>
  </si>
  <si>
    <t>sot laft</t>
  </si>
  <si>
    <t>rest room laft 1</t>
  </si>
  <si>
    <t>rest room laft 2</t>
  </si>
  <si>
    <t>s/c 3rd flight</t>
  </si>
  <si>
    <t>s/c 4th flight</t>
  </si>
  <si>
    <t>rear sitout</t>
  </si>
  <si>
    <t xml:space="preserve">garage ceiling </t>
  </si>
  <si>
    <t xml:space="preserve">head room ceiling </t>
  </si>
  <si>
    <t>sunshade w</t>
  </si>
  <si>
    <t>tank wall alround</t>
  </si>
  <si>
    <t xml:space="preserve">Plastering in CM 1 : 5 12mm Borders </t>
  </si>
  <si>
    <t xml:space="preserve">a) 150mm Wide </t>
  </si>
  <si>
    <t>For fire station +office area</t>
  </si>
  <si>
    <t>For L/S building area only</t>
  </si>
  <si>
    <t>b) 75 mm Wide</t>
  </si>
  <si>
    <t>For L/S</t>
  </si>
  <si>
    <t xml:space="preserve">c) 50mm Wide </t>
  </si>
  <si>
    <t>For fire station</t>
  </si>
  <si>
    <t xml:space="preserve">White Washing 3 Coats </t>
  </si>
  <si>
    <t xml:space="preserve">Qty as per Ceiling Plastering </t>
  </si>
  <si>
    <t>Item No: 35</t>
  </si>
  <si>
    <t>Supplying and fixing  of Ms Grills for varandah encloser</t>
  </si>
  <si>
    <t>Ladder 1</t>
  </si>
  <si>
    <t>Ladder 2</t>
  </si>
  <si>
    <t>head room door</t>
  </si>
  <si>
    <t>pump room door</t>
  </si>
  <si>
    <t>flag post</t>
  </si>
  <si>
    <t>35Kg/ sq.m</t>
  </si>
  <si>
    <t>S &amp; F of steel windows</t>
  </si>
  <si>
    <t xml:space="preserve">window </t>
  </si>
  <si>
    <t>Painting New Wood work</t>
  </si>
  <si>
    <t>flush door</t>
  </si>
  <si>
    <t>Co-Efficient=2.6</t>
  </si>
  <si>
    <t xml:space="preserve">Painting New Iron Work </t>
  </si>
  <si>
    <t>Astm Pipe 32Mm Dia</t>
  </si>
  <si>
    <t>Astm Pipe 25Mm Dia</t>
  </si>
  <si>
    <t xml:space="preserve">S &amp; F 20mm Aluminium Hanger rod </t>
  </si>
  <si>
    <t>Aluminium Towel Rail</t>
  </si>
  <si>
    <t>5 pin Coat Stand</t>
  </si>
  <si>
    <t xml:space="preserve">S &amp; F of Chromium Plated 8 Guage Picture Hooks </t>
  </si>
  <si>
    <t xml:space="preserve">In Ground Floor &amp; first floor </t>
  </si>
  <si>
    <t>Supply and Planting avenue Trees</t>
  </si>
  <si>
    <t>Providing Tree Guard</t>
  </si>
  <si>
    <t>Supplying. Fabricating and erection of M.S Scheme Name board</t>
  </si>
  <si>
    <t>PVC water supply ASTM Pipe</t>
  </si>
  <si>
    <t>a)32mm Dia</t>
  </si>
  <si>
    <t>Sump to Over Head Tank</t>
  </si>
  <si>
    <t>b)25mm Dia</t>
  </si>
  <si>
    <t>Over Head Tank To Buildings</t>
  </si>
  <si>
    <t>c) 20 mm dia</t>
  </si>
  <si>
    <t xml:space="preserve">Ground Floor Toilet+ First floor </t>
  </si>
  <si>
    <t>20mm dia Hot water GI pipe</t>
  </si>
  <si>
    <t>SFO Room Attached Toilet</t>
  </si>
  <si>
    <t>PVC Nahani Trap(4way/2way)</t>
  </si>
  <si>
    <t>Ground Floor</t>
  </si>
  <si>
    <t>Electrical Arrangements</t>
  </si>
  <si>
    <t>64.1.1</t>
  </si>
  <si>
    <t>Carage</t>
  </si>
  <si>
    <t>Spot light</t>
  </si>
  <si>
    <t>entrance</t>
  </si>
  <si>
    <t>staircase</t>
  </si>
  <si>
    <t>store</t>
  </si>
  <si>
    <t>Name board focus light</t>
  </si>
  <si>
    <t>corridor</t>
  </si>
  <si>
    <t>gents and ladies toilet gf +ff</t>
  </si>
  <si>
    <t>rest room</t>
  </si>
  <si>
    <t>driver mech.room</t>
  </si>
  <si>
    <t xml:space="preserve">head room </t>
  </si>
  <si>
    <t>each</t>
  </si>
  <si>
    <t>c) Calling bell Point</t>
  </si>
  <si>
    <t>65.1.1</t>
  </si>
  <si>
    <t>watch room G.F.</t>
  </si>
  <si>
    <t>lobby</t>
  </si>
  <si>
    <t>sot room F.F</t>
  </si>
  <si>
    <t>Staircase light point</t>
  </si>
  <si>
    <t>67.1.2</t>
  </si>
  <si>
    <t>68.2.1</t>
  </si>
  <si>
    <t xml:space="preserve">15 Amps 3 pin Plug </t>
  </si>
  <si>
    <t>ladies and gents toilets</t>
  </si>
  <si>
    <t xml:space="preserve">carage </t>
  </si>
  <si>
    <t xml:space="preserve">sot </t>
  </si>
  <si>
    <t>Bulk head fitting</t>
  </si>
  <si>
    <t>S &amp; F tube light fitting</t>
  </si>
  <si>
    <t>watcher</t>
  </si>
  <si>
    <t>waiting</t>
  </si>
  <si>
    <t>entrance &amp; stair area</t>
  </si>
  <si>
    <t>SFO room</t>
  </si>
  <si>
    <t>FF-driver</t>
  </si>
  <si>
    <t>cooridor</t>
  </si>
  <si>
    <t>in toilet blocks</t>
  </si>
  <si>
    <t>Supplying and fixing of 32 AMPS double pole main switch</t>
  </si>
  <si>
    <t xml:space="preserve">S &amp; F Fibre Box with Fan Hook </t>
  </si>
  <si>
    <t>S &amp; F OF 4 way DB</t>
  </si>
  <si>
    <t xml:space="preserve">Charges for Fixing Fan </t>
  </si>
  <si>
    <t>S &amp; Laying 8 SWG GI wire</t>
  </si>
  <si>
    <t>S&amp;F of TV/Telephone line socket</t>
  </si>
  <si>
    <t>sfo &amp; sot</t>
  </si>
  <si>
    <t>S &amp; Laying 20mmDia PVC pipe for TV/ Telephone line</t>
  </si>
  <si>
    <t>In Ground Floor</t>
  </si>
  <si>
    <t>first floor</t>
  </si>
  <si>
    <t xml:space="preserve">Earthing Station </t>
  </si>
  <si>
    <t>S &amp; F Country Wood Metre C/B</t>
  </si>
  <si>
    <t>Antitermite Treatment</t>
  </si>
  <si>
    <t>Plinth Area</t>
  </si>
  <si>
    <t xml:space="preserve">S &amp; F Three Phase  ELCB </t>
  </si>
  <si>
    <t>S &amp; F of Exhaust Fan 225mm dia</t>
  </si>
  <si>
    <t>G.F. LADIES AND GENTS TOILET</t>
  </si>
  <si>
    <t>F.F. LADIES AND GENTS TOILET</t>
  </si>
  <si>
    <t>NO'S</t>
  </si>
  <si>
    <t>Annexure</t>
  </si>
  <si>
    <t xml:space="preserve">Precast Slab 20mm Tk </t>
  </si>
  <si>
    <t>Rest Room ( 2.00 x 3.00 x 4.00)</t>
  </si>
  <si>
    <t xml:space="preserve">Precast Slab 40mm Tk </t>
  </si>
  <si>
    <t>a)</t>
  </si>
  <si>
    <t>In foundation &amp; basement</t>
  </si>
  <si>
    <t>IC</t>
  </si>
  <si>
    <t>b)</t>
  </si>
  <si>
    <t>In ground floor shelf top slab</t>
  </si>
  <si>
    <t>a) For Column footings,plinth beam,Grade beam,Raftbeam,Raft slab etc.,</t>
  </si>
  <si>
    <t>C1F1,C6f6</t>
  </si>
  <si>
    <t>C3F3,C5F5</t>
  </si>
  <si>
    <t>C4F4</t>
  </si>
  <si>
    <t>station outer alround</t>
  </si>
  <si>
    <t>toilet inner</t>
  </si>
  <si>
    <t>stair area</t>
  </si>
  <si>
    <t>stair front area</t>
  </si>
  <si>
    <t>entrace and portico</t>
  </si>
  <si>
    <t>cooridor 1</t>
  </si>
  <si>
    <t>Watcher room</t>
  </si>
  <si>
    <t>garage outer beam outer</t>
  </si>
  <si>
    <t>garage inner area</t>
  </si>
  <si>
    <t>b) Plain surfaces such as Roof slab,floorslab,Beams,lintels,lofts,sill slab,staircase,portico slab and other similar works</t>
  </si>
  <si>
    <t>store long</t>
  </si>
  <si>
    <t>shelf for boots and dresses</t>
  </si>
  <si>
    <t>G.F. Roof Beam</t>
  </si>
  <si>
    <t xml:space="preserve">First floor roof beam </t>
  </si>
  <si>
    <t>C1F1</t>
  </si>
  <si>
    <t>SF roof beam outer</t>
  </si>
  <si>
    <t>beam inner</t>
  </si>
  <si>
    <t>C5F5</t>
  </si>
  <si>
    <t>Roof Slab and beam bottom GF + FF</t>
  </si>
  <si>
    <t>GF office area</t>
  </si>
  <si>
    <t>FF area</t>
  </si>
  <si>
    <t>portico projection</t>
  </si>
  <si>
    <t>balcony projection</t>
  </si>
  <si>
    <t>add projection rear side</t>
  </si>
  <si>
    <t>Head room roof</t>
  </si>
  <si>
    <t>cross beam bottom</t>
  </si>
  <si>
    <t>cross beam side inner</t>
  </si>
  <si>
    <t>cross beam side outer</t>
  </si>
  <si>
    <t>Base  slab alround sides</t>
  </si>
  <si>
    <t>c) For Square and rectangular columns and small quantities</t>
  </si>
  <si>
    <t>Column to upto  grade  bott</t>
  </si>
  <si>
    <t>Column upto G.F.Roof Beam Bottom</t>
  </si>
  <si>
    <t>Column upto F.F.Roof Beam Bottom</t>
  </si>
  <si>
    <t>S/C HEAD ROOM COL</t>
  </si>
  <si>
    <t xml:space="preserve"> c2</t>
  </si>
  <si>
    <t>Sunshades</t>
  </si>
  <si>
    <t>Window W bottom</t>
  </si>
  <si>
    <t>SIDES FOR WINDOWS</t>
  </si>
  <si>
    <t>OHT  inner</t>
  </si>
  <si>
    <t>g) DOUBLE Stage centering</t>
  </si>
  <si>
    <t>Garage bottom upto 3.6 m height</t>
  </si>
  <si>
    <t>Garage bottom upto 6.75 m height</t>
  </si>
  <si>
    <t>22.3.3</t>
  </si>
  <si>
    <t xml:space="preserve">T.W Double Leaf Door shutters for c/b  GF </t>
  </si>
  <si>
    <t xml:space="preserve">sfo </t>
  </si>
  <si>
    <t>For store</t>
  </si>
  <si>
    <t>TW panelled door shutter with brass fittings.</t>
  </si>
  <si>
    <t>a. 1200X2400mm.(Single leaf) D</t>
  </si>
  <si>
    <t>b)1800X2400MM</t>
  </si>
  <si>
    <t>21.5.2</t>
  </si>
  <si>
    <t>S &amp; F solid uPVC door shutter with frame</t>
  </si>
  <si>
    <t xml:space="preserve">Supplying  and  Fixing  of  Solid  Core  Flush  Door </t>
  </si>
  <si>
    <t xml:space="preserve">a) T.W Flush door </t>
  </si>
  <si>
    <t xml:space="preserve">b) Door 2 </t>
  </si>
  <si>
    <t>23.2.1</t>
  </si>
  <si>
    <t>4mm thick pin headed glass panels with Alu.beedings</t>
  </si>
  <si>
    <t xml:space="preserve">Supplying and Fixing of vitrified tiles </t>
  </si>
  <si>
    <t>door openings</t>
  </si>
  <si>
    <t>skirting</t>
  </si>
  <si>
    <t>First Floor</t>
  </si>
  <si>
    <t>29.8.1</t>
  </si>
  <si>
    <t xml:space="preserve">Supplying and fixing of glazed tiles </t>
  </si>
  <si>
    <t>29.9.1</t>
  </si>
  <si>
    <t>Floor Ceramics Anti skid</t>
  </si>
  <si>
    <t>Qty as per item No: 33 (Inner only)</t>
  </si>
  <si>
    <t>Emulsion paint</t>
  </si>
  <si>
    <t>As per outer plastering area</t>
  </si>
  <si>
    <t>44.6.1</t>
  </si>
  <si>
    <t>PVC Rain water Pipe type A</t>
  </si>
  <si>
    <t>Garage top to Ground Floor Top</t>
  </si>
  <si>
    <t>G.F to G.L</t>
  </si>
  <si>
    <t>Wash hand basin of size 550mmx 400mm</t>
  </si>
  <si>
    <t>GF</t>
  </si>
  <si>
    <t>FF</t>
  </si>
  <si>
    <t>PVC SWR Pipe type 'B'</t>
  </si>
  <si>
    <t xml:space="preserve">a) 110 mm pipe </t>
  </si>
  <si>
    <t>b) 75mm pipe</t>
  </si>
  <si>
    <t>Bath outlet</t>
  </si>
  <si>
    <t>passage wash basin</t>
  </si>
  <si>
    <t>Supplying , Laying &amp; Concealing the 50 mm dia PVC (SWR) pipe with ISI maek type - 'B' with relevant.</t>
  </si>
  <si>
    <t>For waste water line</t>
  </si>
  <si>
    <t>Endura/Eurocon tiles for staircase</t>
  </si>
  <si>
    <t>front area</t>
  </si>
  <si>
    <t>GF-FF sstair</t>
  </si>
  <si>
    <t>FF-SF stair</t>
  </si>
  <si>
    <t>headroom landing</t>
  </si>
  <si>
    <t>75.1.2</t>
  </si>
  <si>
    <t>a. 48" (1200 mm)</t>
  </si>
  <si>
    <t>Run of 2 Wires of 2.5 sqmm PVC insulated single core multi strand fire retardant flexible copper cable with ISI mark confirming IS: 694:1990.</t>
  </si>
  <si>
    <t>44.2.1</t>
  </si>
  <si>
    <t>Rain water harvestying using defunt bore well and providing slab</t>
  </si>
  <si>
    <t>a. providind pit</t>
  </si>
  <si>
    <t>b. Augaring 30 cm Dia</t>
  </si>
  <si>
    <t>S&amp;F of Bevelled edge mirror 500 x 400 x 5.5mm</t>
  </si>
  <si>
    <t>S &amp; F of tripe pole main switch</t>
  </si>
  <si>
    <t xml:space="preserve">Providing PVC Tee with end cap </t>
  </si>
  <si>
    <t>Wash basin</t>
  </si>
  <si>
    <t>Melamen polish for main door</t>
  </si>
  <si>
    <t xml:space="preserve">Entrance door, SFO,SOT </t>
  </si>
  <si>
    <t>Street lights</t>
  </si>
  <si>
    <t>54.1.2</t>
  </si>
  <si>
    <t>Supplying  and  Fixing  of  CP long body tap</t>
  </si>
  <si>
    <t>Attach &amp; Common toilet</t>
  </si>
  <si>
    <t>54.2.2</t>
  </si>
  <si>
    <t>Supplying  and  Fixing  of CP Short body tap</t>
  </si>
  <si>
    <t>Flat back urinal</t>
  </si>
  <si>
    <t>61.1.1</t>
  </si>
  <si>
    <t>SN 8 pipe</t>
  </si>
  <si>
    <t xml:space="preserve">a) 110 mm Dia </t>
  </si>
  <si>
    <t xml:space="preserve">For chamber line </t>
  </si>
  <si>
    <t xml:space="preserve">b) 160 mm </t>
  </si>
  <si>
    <t>For chamber line and building to septic tank</t>
  </si>
  <si>
    <t>62.1.1</t>
  </si>
  <si>
    <t>PVC Bend</t>
  </si>
  <si>
    <t>a) 110 mm dia</t>
  </si>
  <si>
    <t>b) 160 mm dia</t>
  </si>
  <si>
    <t>62.2.1</t>
  </si>
  <si>
    <t>PVC  Tee</t>
  </si>
  <si>
    <t>a. 110 mm dia</t>
  </si>
  <si>
    <t>a. 160 mm dia</t>
  </si>
  <si>
    <t>56.3.2</t>
  </si>
  <si>
    <t xml:space="preserve">S &amp; F of Indian Water closet white glazed (Oriya type) of size 580 x 440mm  - in G.F.  </t>
  </si>
  <si>
    <t>b)other than G.F</t>
  </si>
  <si>
    <t>S &amp; F EWC White  ground floor  sfo room</t>
  </si>
  <si>
    <t>12watts LED bulb</t>
  </si>
  <si>
    <t>for toilets</t>
  </si>
  <si>
    <t>38.4.1</t>
  </si>
  <si>
    <t>Painting two coats over new plasterd surface with OBD</t>
  </si>
  <si>
    <t>follw as agt item no 33(Building inner plastering)</t>
  </si>
  <si>
    <t>32.1.3</t>
  </si>
  <si>
    <t>Supplying and laying of Cooling tiles</t>
  </si>
  <si>
    <t>d/f duct</t>
  </si>
  <si>
    <t>carage</t>
  </si>
  <si>
    <t>staircase head room slab</t>
  </si>
  <si>
    <t>s&amp;F of rcc precast exhaust fan collor</t>
  </si>
  <si>
    <t>Supplying and fixing of 32 AMPS Triple pole main switch</t>
  </si>
  <si>
    <t>HOSE DRYING YARD AND RACK ARRANGEMENTS</t>
  </si>
  <si>
    <t>TAMILNADU POLICE HOUSING CORPORATION LIMITED, TRICHY DIVISION, TRICHY.</t>
  </si>
  <si>
    <t>Sl. No</t>
  </si>
  <si>
    <t>Earth work excavation for Open foundation (excluding refilling) a.0-2m depth</t>
  </si>
  <si>
    <t>Road  work</t>
  </si>
  <si>
    <t>Kerb Stone</t>
  </si>
  <si>
    <t xml:space="preserve">P.C.C.1:5:10 using 40mm for Foundation &amp; Basement </t>
  </si>
  <si>
    <t>Kerb Stone Bottom</t>
  </si>
  <si>
    <t xml:space="preserve">Providing precast Kerb stone in C.C. 1:3:6,  450 x 300 x 150 mm </t>
  </si>
  <si>
    <t>Painting new iron work in two coats using synthetic enamel paint</t>
  </si>
  <si>
    <t>Supplying and filling in foundation and basement with filling CS sand in layers of 150 mm thickness well watered, rammed and consolidated complying with  relevant standard specification including cost of supplying filling sand.</t>
  </si>
  <si>
    <t xml:space="preserve">Supplying of Rubber Moulded Hydraulic pressed  PAVER BLOCK 83mm thick  etc.,                                    </t>
  </si>
  <si>
    <t>Building Left side</t>
  </si>
  <si>
    <t>Supplying and fixing Tamil Nadu Emblem (45cm)</t>
  </si>
  <si>
    <t>For Dispersion trench</t>
  </si>
  <si>
    <t>M-20 Qty.</t>
  </si>
  <si>
    <t>Precast Slab 40mm tk. Qty.</t>
  </si>
  <si>
    <t>External Water Supply (Detailed)</t>
  </si>
  <si>
    <t>b) 32mm dia. G.I pipe (B class)</t>
  </si>
  <si>
    <t>Pump Room (Detailed)</t>
  </si>
  <si>
    <t>Numbering &amp; Lettering (DETAILED)</t>
  </si>
  <si>
    <t>Paver Road (Detailed)</t>
  </si>
  <si>
    <t>RCC Culvert (Detailed)</t>
  </si>
  <si>
    <t>Sump (Detailed)</t>
  </si>
  <si>
    <t>Earth work excavation for open foundation for (Excluding reffilling)</t>
  </si>
  <si>
    <t>SENTRY ROOM (DETAILED)</t>
  </si>
  <si>
    <t>As per Sl. No:13</t>
  </si>
  <si>
    <t>Earth work excavation in all soils (including refilling) a) 0 to 2 mt.</t>
  </si>
  <si>
    <t xml:space="preserve"> a) 48" (1200 mm)</t>
  </si>
  <si>
    <t>Step sides 1</t>
  </si>
  <si>
    <t>Step sides 2</t>
  </si>
  <si>
    <t>Step sides 3</t>
  </si>
  <si>
    <t>Step sides 4</t>
  </si>
  <si>
    <t>Steps thread</t>
  </si>
  <si>
    <t>a) For Column footings, plinth beam, Grade beam, Raftbeam, Raft slab etc.,</t>
  </si>
  <si>
    <t>External Electrical (Detailed)</t>
  </si>
  <si>
    <t>a) 50 mm dia  GI pipe (Above Ground Level)</t>
  </si>
  <si>
    <t>fire service  station - Street light</t>
  </si>
  <si>
    <t>Pump room</t>
  </si>
  <si>
    <t>Rest Room 2 Nos.</t>
  </si>
  <si>
    <t>Garage ceiling</t>
  </si>
  <si>
    <t>From pole 1 to Fire Station</t>
  </si>
  <si>
    <t>Buzbar to DB box in Ground floor Left side</t>
  </si>
  <si>
    <t xml:space="preserve">From Pole 1 - to Fire station </t>
  </si>
  <si>
    <t>From Pole -3 to Pump room</t>
  </si>
  <si>
    <t>Add for cross bar</t>
  </si>
  <si>
    <t>50x 50x 5mm unit weight 2.31/Kg/m (steel table)</t>
  </si>
  <si>
    <t>66.00 x2.31=152.46 kg</t>
  </si>
  <si>
    <t>TOTAL  LENGTH =</t>
  </si>
  <si>
    <t>Description</t>
  </si>
  <si>
    <t>B.W in C.M (1:5) using kiln burnt country bricks of size 9 3/4"x4 1/4:x2 3/4" including cost of scaffolding curing etc., and as directed (Foundation &amp; Basement)</t>
  </si>
  <si>
    <t>B.W in C.M (1:6) using kiln burnt country bricks of size 9 3/4"x4 1/4"x2 3/4" including cost of scaffolding curing etc., and as directed (Ground floor)</t>
  </si>
  <si>
    <t>B.W in C.M(1:4) 110mm thick partition wall using kiln burnt country bricks of size 8 3/4"x4 1/4"x2 3/4" including cost of scaffolding curing etc., and as directed (Ground floor)</t>
  </si>
  <si>
    <t>S/F of MS/RTS Grills for reinforcement including cost of binding wire, labour for cutting, bending and laying in position etc., complete and as directed by the departmental officers</t>
  </si>
  <si>
    <t>Providing Form wok for all RCC works including cost of materials and all labour charges etc., all complete.</t>
  </si>
  <si>
    <r>
      <t xml:space="preserve">a) </t>
    </r>
    <r>
      <rPr>
        <sz val="11"/>
        <rFont val="Calibri"/>
        <family val="2"/>
        <scheme val="minor"/>
      </rPr>
      <t>Column footings, Plinth beam, Grade beam, Raft beam, Raft slab etc.,</t>
    </r>
  </si>
  <si>
    <t>Plastering in C.M 1:5, 12mm thick including cost of scaffolding, curing, finishng etc., complete and as directed  by the departmental officers.</t>
  </si>
  <si>
    <t>Plastering in C.M 1:5, 12mm thick for border finish including cost of scaffolding, curing , finishng etc., complete and as directed by the departmental officers.</t>
  </si>
  <si>
    <t>a) 150mm border</t>
  </si>
  <si>
    <t xml:space="preserve">Sundries </t>
  </si>
  <si>
    <t>b) 75 mm border</t>
  </si>
  <si>
    <t>Painting the new walls with two coats Emulsion paint to one coat of approved etc., all complete.</t>
  </si>
  <si>
    <t>FRONT &amp; SOUTH SIDE LENGTH  =</t>
  </si>
  <si>
    <t>EAST, WEST &amp; NORTH SIDE LENGTH  =</t>
  </si>
  <si>
    <t>S</t>
  </si>
  <si>
    <t>Plinth beam - South</t>
  </si>
  <si>
    <t>Plinth beam - East, West &amp; North</t>
  </si>
  <si>
    <t>a)  In Foundation &amp; Basement</t>
  </si>
  <si>
    <t>M-20 Grade Concete mixture using 20mm HBSJ including cost of all works excluding the cost of fabrication and form work including curing etc., all complete.</t>
  </si>
  <si>
    <t>a)  In Ground Floor</t>
  </si>
  <si>
    <t>Gate 1 Column</t>
  </si>
  <si>
    <t>Gate 2 column</t>
  </si>
  <si>
    <t>Brick pillar - East, West &amp; North</t>
  </si>
  <si>
    <t>Front - South Side</t>
  </si>
  <si>
    <t>East, West &amp; North side</t>
  </si>
  <si>
    <t>D/f - Gate 1</t>
  </si>
  <si>
    <t>D/f - Gate 2</t>
  </si>
  <si>
    <t>Supplying and fixing of M.S Grill Gate as per the design and as directed by the departmental officers</t>
  </si>
  <si>
    <t>Gate 2</t>
  </si>
  <si>
    <r>
      <t>At the rate of 40Kg/m</t>
    </r>
    <r>
      <rPr>
        <vertAlign val="superscript"/>
        <sz val="11"/>
        <rFont val="Calibri"/>
        <family val="2"/>
        <scheme val="minor"/>
      </rPr>
      <t xml:space="preserve">2 </t>
    </r>
    <r>
      <rPr>
        <sz val="11"/>
        <rFont val="Calibri"/>
        <family val="2"/>
        <scheme val="minor"/>
      </rPr>
      <t xml:space="preserve"> = 25.70 X 40</t>
    </r>
  </si>
  <si>
    <t>Compound wall Front side</t>
  </si>
  <si>
    <t>D/F - Elevation pillar</t>
  </si>
  <si>
    <t>D/F - Above arch</t>
  </si>
  <si>
    <t>D/F - Gate 1</t>
  </si>
  <si>
    <t>D/F - Gate 2</t>
  </si>
  <si>
    <t>Front elevation pillar</t>
  </si>
  <si>
    <t>D/F - Groove</t>
  </si>
  <si>
    <t>D/F - Arch portion</t>
  </si>
  <si>
    <t>(∏x0.34)x0.12</t>
  </si>
  <si>
    <t>Compound wall - Inner &amp; Outer</t>
  </si>
  <si>
    <t xml:space="preserve">Elevated portion sides </t>
  </si>
  <si>
    <t>Pillar top of bays and basement top</t>
  </si>
  <si>
    <t xml:space="preserve">Basement outer &amp; inner  </t>
  </si>
  <si>
    <t>Pillar outer jamps</t>
  </si>
  <si>
    <t>Pillar inner jamps</t>
  </si>
  <si>
    <t>Pillar jamps</t>
  </si>
  <si>
    <t>Gate coumn top</t>
  </si>
  <si>
    <t xml:space="preserve">Gate 1 </t>
  </si>
  <si>
    <t xml:space="preserve">Qty. as per Sl. No: 1 (a) + (b)                                               </t>
  </si>
  <si>
    <t>East, West, South &amp; North side</t>
  </si>
  <si>
    <r>
      <rPr>
        <b/>
        <sz val="11"/>
        <color indexed="8"/>
        <rFont val="Calibri"/>
        <family val="2"/>
        <scheme val="minor"/>
      </rPr>
      <t>c)</t>
    </r>
    <r>
      <rPr>
        <sz val="11"/>
        <color indexed="8"/>
        <rFont val="Calibri"/>
        <family val="2"/>
        <scheme val="minor"/>
      </rPr>
      <t xml:space="preserve"> Square and Rectangular columns and small quantities.</t>
    </r>
  </si>
  <si>
    <t>SECURITY PERIPHERY WALL (DETAILED)</t>
  </si>
  <si>
    <t>As per Plastering qty.</t>
  </si>
  <si>
    <t>As per M-20 concrete qty.</t>
  </si>
  <si>
    <t>As per M-20 oncrete qty.</t>
  </si>
  <si>
    <t xml:space="preserve">Supplying of 3.5 core of 50 sqmm PVC armoued ALTUG cable ncluding cost of all materials etc all complete complying with relevant standard specifications and as directed by the departmental officers      (CER NO : 371/18-19)     </t>
  </si>
  <si>
    <t xml:space="preserve">Supply and providing cable end termination of 3 1/2 x 50 sqmm PVC LTUG Aluminium armoured cable with necessary aluminium cable sockets by crimping etc. with electrical connection complete(CER NO : 371/18-19)     
</t>
  </si>
  <si>
    <t xml:space="preserve">b) 32mm dia. G.I pipe </t>
  </si>
  <si>
    <t>As per M-20 Concrete qty.</t>
  </si>
  <si>
    <r>
      <t xml:space="preserve">Earth work excavation in all soils </t>
    </r>
    <r>
      <rPr>
        <b/>
        <sz val="11"/>
        <rFont val="Calibri"/>
        <family val="2"/>
        <scheme val="minor"/>
      </rPr>
      <t>(including refilling) a. 0 to 2 mt.</t>
    </r>
  </si>
  <si>
    <t>b) 2m to 3m depth</t>
  </si>
  <si>
    <t>Column to upto G.B to Tie beam bottom</t>
  </si>
  <si>
    <t xml:space="preserve">Tie beam </t>
  </si>
  <si>
    <t>Footing to Grade beam  bottom</t>
  </si>
  <si>
    <t>Tie beam to Floor slab beam bottom</t>
  </si>
  <si>
    <t>Floor slab beam</t>
  </si>
  <si>
    <t>Garage floor</t>
  </si>
  <si>
    <t>Office floor matt</t>
  </si>
  <si>
    <t>Tie beam</t>
  </si>
  <si>
    <t>Floor slab outer - Office Room 3 sides</t>
  </si>
  <si>
    <t>Floor slab outer - Garage 3 sides</t>
  </si>
  <si>
    <t>Column to upto Tie beam bottom</t>
  </si>
  <si>
    <t>Column Raising Tie beam to Floor slab beam bottom</t>
  </si>
  <si>
    <t>Fabrication of Mild steel / RTS grills (without cement slurry) for all sizes of rods.</t>
  </si>
  <si>
    <t>As per qty. Item No.8.1 b)</t>
  </si>
  <si>
    <t>As per qty. Item No. 8.1 c)</t>
  </si>
  <si>
    <t>As per qty. Item No. 14.1 a)</t>
  </si>
  <si>
    <t>As per qty. Item No. 14.II a)</t>
  </si>
  <si>
    <t>As per qty. Item No. 14.II b)</t>
  </si>
  <si>
    <t>As per qty. Item No. 16.I a)</t>
  </si>
  <si>
    <t>As per qty. Item No. 8.1 d)</t>
  </si>
  <si>
    <t>As per qty. Item No. 4.1.1 a)</t>
  </si>
  <si>
    <t>As per qty. Item No. 14.1 b)</t>
  </si>
  <si>
    <t>As per qty. Item No. 14.II c)</t>
  </si>
  <si>
    <t>As per qty. Item No. 16.I b)</t>
  </si>
  <si>
    <t>As per item No. 8.1 (c) qty.</t>
  </si>
  <si>
    <t>Formwork using M.S.Sheet                                                                                                                                                a.For Column footings,plinth beam,Grade beam,Raftbeam,Raft slab etc.,</t>
  </si>
  <si>
    <t>Brick work in C.M. 1:6  using Kiln Burnt Country bricks of size 22 x 11 x 7 cm ( 8 3/4" x 4 1/4" x 2 3/4") a. In Ground Floor</t>
  </si>
  <si>
    <t>Cuddappa slab 40mm tk for C/B slab a) In Ground floor</t>
  </si>
  <si>
    <t xml:space="preserve">Standardised concrete Mix M20 grade concrete etc…complete                                                                                    a) Foundation and basement                                                 </t>
  </si>
  <si>
    <t>Spl. Ceiling plastering in C.M. 1:3, 10 mm tk.</t>
  </si>
  <si>
    <t xml:space="preserve">Supplying and delivery of the following Dia of the B class GI pipes with ISI mark etc all complete. A) 50mm Dia                                                                          </t>
  </si>
  <si>
    <r>
      <rPr>
        <b/>
        <sz val="11"/>
        <rFont val="Calibri"/>
        <family val="2"/>
        <scheme val="minor"/>
      </rPr>
      <t>Sill slab window</t>
    </r>
    <r>
      <rPr>
        <sz val="11"/>
        <rFont val="Calibri"/>
        <family val="2"/>
        <scheme val="minor"/>
      </rPr>
      <t xml:space="preserve"> w</t>
    </r>
  </si>
  <si>
    <r>
      <rPr>
        <b/>
        <sz val="11"/>
        <rFont val="Calibri"/>
        <family val="2"/>
        <scheme val="minor"/>
      </rPr>
      <t xml:space="preserve"> Ground floor</t>
    </r>
    <r>
      <rPr>
        <sz val="11"/>
        <rFont val="Calibri"/>
        <family val="2"/>
        <scheme val="minor"/>
      </rPr>
      <t xml:space="preserve"> </t>
    </r>
  </si>
  <si>
    <t>Fire Service  Station - Detailed Estimate</t>
  </si>
  <si>
    <t>For Storm Water Drain</t>
  </si>
  <si>
    <t>Bed Flooring - Storm water drain</t>
  </si>
  <si>
    <t>Bed Flooring - Culvert</t>
  </si>
  <si>
    <t>Storm water drain</t>
  </si>
  <si>
    <t>(0.90+0.45)//2</t>
  </si>
  <si>
    <t>Floor plastering in C.M. 1:4, 20 mm tk.</t>
  </si>
  <si>
    <t>For Storm Water Drain top</t>
  </si>
  <si>
    <t>For Storm Water Drain floor</t>
  </si>
  <si>
    <t xml:space="preserve">Building Front </t>
  </si>
  <si>
    <t>(0.90 + 0.23) / 2</t>
  </si>
  <si>
    <t>(0.90+0.23)//2</t>
  </si>
  <si>
    <t>GENERAL ABSTRACT</t>
  </si>
  <si>
    <t>Rate</t>
  </si>
  <si>
    <t>Amount</t>
  </si>
  <si>
    <t>BUILDING WORKS</t>
  </si>
  <si>
    <t>AS PER PWD SR 2021 - 2022</t>
  </si>
  <si>
    <t>1 Unit</t>
  </si>
  <si>
    <t>SUB - TOTAL - I Rs.</t>
  </si>
  <si>
    <t>SUB - TOTAL - II Rs.</t>
  </si>
  <si>
    <t>GST at  12.0% ( SGST at 6% + CGST at 6%)</t>
  </si>
  <si>
    <t>SUB - TOTAL - IV Rs.</t>
  </si>
  <si>
    <t>LS</t>
  </si>
  <si>
    <t>Labour Welfare Fund @ 1.00%</t>
  </si>
  <si>
    <t>Supervision charges @ 7.50%</t>
  </si>
  <si>
    <t>SUB - TOTAL - V Rs.</t>
  </si>
  <si>
    <t xml:space="preserve">Provision for Soil Investigation </t>
  </si>
  <si>
    <t xml:space="preserve">Provision for EB Deposits </t>
  </si>
  <si>
    <t>Structural Design / Consultancy charges</t>
  </si>
  <si>
    <t>GRAND  TOTAL Rs.</t>
  </si>
  <si>
    <t>Lakhs</t>
  </si>
  <si>
    <t>Septic Tank</t>
  </si>
  <si>
    <t>Paver Road</t>
  </si>
  <si>
    <t>External Water Supply arrangements</t>
  </si>
  <si>
    <t>Total Dev. Qty.</t>
  </si>
  <si>
    <t>Total Qty.
(Buildg.+ Dev.)</t>
  </si>
  <si>
    <r>
      <t xml:space="preserve">Earth work excavation in all soils </t>
    </r>
    <r>
      <rPr>
        <b/>
        <sz val="18"/>
        <rFont val="Arial"/>
        <family val="2"/>
      </rPr>
      <t>(including refilling)</t>
    </r>
  </si>
  <si>
    <t>*</t>
  </si>
  <si>
    <t>b. 2 to 3 mt.</t>
  </si>
  <si>
    <r>
      <t xml:space="preserve">Earth work excavation in all soils </t>
    </r>
    <r>
      <rPr>
        <b/>
        <sz val="18"/>
        <rFont val="Arial"/>
        <family val="2"/>
      </rPr>
      <t>(excluding refilling)</t>
    </r>
  </si>
  <si>
    <r>
      <t xml:space="preserve">Earth work excavation in </t>
    </r>
    <r>
      <rPr>
        <b/>
        <sz val="20"/>
        <rFont val="Arial"/>
        <family val="2"/>
      </rPr>
      <t>Soft disintegrated rock  (including refilling)</t>
    </r>
  </si>
  <si>
    <r>
      <t xml:space="preserve">Earth work excavation for Open foundation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</si>
  <si>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</si>
  <si>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t>c. 3 to 4 mt.</t>
  </si>
  <si>
    <t>d. 4 to 5 mt.</t>
  </si>
  <si>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</si>
  <si>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</si>
  <si>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</si>
  <si>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t>Providing Driven PILES</t>
  </si>
  <si>
    <t>a.300mm dia</t>
  </si>
  <si>
    <t>b.330mm dia</t>
  </si>
  <si>
    <t>c.375mm dia</t>
  </si>
  <si>
    <t>d.400mm dia</t>
  </si>
  <si>
    <t>e.450mm dia</t>
  </si>
  <si>
    <t>f.500mm dia</t>
  </si>
  <si>
    <t>Sand Gravel Mix</t>
  </si>
  <si>
    <t>Gravel soling</t>
  </si>
  <si>
    <t>Supply and filling of 40 mm HBSJ</t>
  </si>
  <si>
    <t>Supply and filling of 20 mm HBSJ</t>
  </si>
  <si>
    <t>C.C.1:5:10 for Foundation &amp; Basement</t>
  </si>
  <si>
    <t>P.C.C. 1:2:4 for Foundation &amp; Basement and other similar works</t>
  </si>
  <si>
    <t>P.C.C. 1:8:16 using 20 mm broken brick jelly</t>
  </si>
  <si>
    <t>Providing  WBM 125  mm consolidated thick with gravel blindage</t>
  </si>
  <si>
    <t>Surface dressing over WBM  25 mm thick</t>
  </si>
  <si>
    <t>Providing  WBM 125  mm consolidated thick with gravel blindage
(IRC 63 to 45mm for 75mm thick and 37.5 to 26.5mm for 50.mm thick)</t>
  </si>
  <si>
    <t>Surface dressing over WBM  25 mm tk.
with pre-coated chips using 11.2mm size IRC</t>
  </si>
  <si>
    <r>
      <t xml:space="preserve">R.C.C. 1:2:4 </t>
    </r>
    <r>
      <rPr>
        <sz val="18"/>
        <rFont val="Arial"/>
        <family val="2"/>
      </rPr>
      <t>Foundation and Basement</t>
    </r>
  </si>
  <si>
    <r>
      <t xml:space="preserve">R.C.C. 1: 11/2: 3 </t>
    </r>
    <r>
      <rPr>
        <sz val="18"/>
        <rFont val="Arial"/>
        <family val="2"/>
      </rPr>
      <t>Foundation and Basement</t>
    </r>
  </si>
  <si>
    <t>R.R. masonry in C.M. 1:5 Foundation and Basment</t>
  </si>
  <si>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</si>
  <si>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</si>
  <si>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</si>
  <si>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</si>
  <si>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</si>
  <si>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</si>
  <si>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</si>
  <si>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Supply and fixing of</t>
    </r>
    <r>
      <rPr>
        <b/>
        <sz val="18"/>
        <rFont val="Arial"/>
        <family val="2"/>
      </rPr>
      <t xml:space="preserve"> Bituminous filler pad,</t>
    </r>
    <r>
      <rPr>
        <sz val="18"/>
        <rFont val="Arial"/>
        <family val="2"/>
      </rPr>
      <t xml:space="preserve"> 20 mm tk. for expansion joint</t>
    </r>
  </si>
  <si>
    <r>
      <t xml:space="preserve">Damp Proof Course </t>
    </r>
    <r>
      <rPr>
        <sz val="18"/>
        <rFont val="Arial"/>
        <family val="2"/>
      </rPr>
      <t>in C.M. 1:4, 12 MM thick mixed with Water proofing compound</t>
    </r>
  </si>
  <si>
    <t>R.C.C.1:2:4</t>
  </si>
  <si>
    <t>a. In Ground floor</t>
  </si>
  <si>
    <t>b. In First floor</t>
  </si>
  <si>
    <t>c. In Second floor</t>
  </si>
  <si>
    <t>d. In Third floor</t>
  </si>
  <si>
    <t>e.  In Fourth floor</t>
  </si>
  <si>
    <t>R.C.C.1: 1 1/2 :3</t>
  </si>
  <si>
    <t>f.  In Fifth floor</t>
  </si>
  <si>
    <t>g.  In sixth floor</t>
  </si>
  <si>
    <t>h.  In seventh floor</t>
  </si>
  <si>
    <t>i.  In eighth floor</t>
  </si>
  <si>
    <t>j.  In Ninth floor</t>
  </si>
  <si>
    <t>k.  In Tenth floor</t>
  </si>
  <si>
    <t>l.  In Eleventh floor</t>
  </si>
  <si>
    <t>m.  In Twelth floor</t>
  </si>
  <si>
    <t>Brick work in C.M. 1:6  using Chamber Burnt brick of size 23 x 11.2 x 7 cm (9" x 4 3/8" x 2 3/4")</t>
  </si>
  <si>
    <t>a. In Ground Floor</t>
  </si>
  <si>
    <t>b. In First Floor</t>
  </si>
  <si>
    <t>c. In Second Floor</t>
  </si>
  <si>
    <t>d. In Third Floor</t>
  </si>
  <si>
    <t>e. In Fourth Floor</t>
  </si>
  <si>
    <r>
      <t>Brick work in C.M. 1:6</t>
    </r>
    <r>
      <rPr>
        <sz val="18"/>
        <rFont val="Arial"/>
        <family val="2"/>
      </rPr>
      <t xml:space="preserve"> using chamber Burnt bricks of size 23 x 11.4 x 7.5 cm (9" x 4 1/2"x 3")</t>
    </r>
  </si>
  <si>
    <t>a. In Ground Floor/Stilt floor</t>
  </si>
  <si>
    <t>n. In thirteen floor</t>
  </si>
  <si>
    <t>Brick work in C.M. 1:6  using Chamber Burnt brick of size 23 x 11 x 7 cm (9" x 4 1/4" x 2 3/4")</t>
  </si>
  <si>
    <r>
      <t>Brick work in C.M. 1:6</t>
    </r>
    <r>
      <rPr>
        <b/>
        <sz val="18"/>
        <rFont val="Arial"/>
        <family val="2"/>
      </rPr>
      <t xml:space="preserve"> </t>
    </r>
    <r>
      <rPr>
        <sz val="18"/>
        <rFont val="Arial"/>
        <family val="2"/>
      </rPr>
      <t xml:space="preserve"> using Chamber Burnt brick of size 22 x 11 x 7 cm (8 3/4" x 4 1/4" x 2 3/4")</t>
    </r>
  </si>
  <si>
    <t>Brick work in C.M. 1:6  using Kiln Burnt Country bricks of size 22 x 11 x 7 cm ( 8 3/4" x 4 1/4" x 2 3/4")</t>
  </si>
  <si>
    <t>Brick work in C.M. 1:6  using Kiln Burnt Country bricks of size 22 x 11 x 5.7 cm (8 3/4" x 4 1/4" x 2 1/4")</t>
  </si>
  <si>
    <r>
      <t xml:space="preserve">Brick partition work in C.M. 1:4 </t>
    </r>
    <r>
      <rPr>
        <sz val="18"/>
        <rFont val="Arial"/>
        <family val="2"/>
      </rPr>
      <t xml:space="preserve">
Chamber Burnt brick of size 23 x 11.2 x 7 cm (9" x 4 3/8" x 2 3/4")</t>
    </r>
    <r>
      <rPr>
        <b/>
        <sz val="18"/>
        <rFont val="Arial"/>
        <family val="2"/>
      </rPr>
      <t>112 mm tk (B.P.)</t>
    </r>
  </si>
  <si>
    <t>a. In Foundation and basement</t>
  </si>
  <si>
    <t>b. In Ground Floor</t>
  </si>
  <si>
    <t>c. In First Floor</t>
  </si>
  <si>
    <t>d. In Second Floor</t>
  </si>
  <si>
    <t>e. In Third Floor</t>
  </si>
  <si>
    <t>f. In Fourth Floor</t>
  </si>
  <si>
    <r>
      <t xml:space="preserve">Brick partition work in C.M. 1:4 </t>
    </r>
    <r>
      <rPr>
        <sz val="18"/>
        <rFont val="Arial"/>
        <family val="2"/>
      </rPr>
      <t xml:space="preserve">using chamber Burnt bricks of size 23 x 11.4 x 7.5 cm (9" x 4 1/2"x 3") </t>
    </r>
    <r>
      <rPr>
        <b/>
        <sz val="18"/>
        <rFont val="Arial"/>
        <family val="2"/>
      </rPr>
      <t>114 mm tk (B.P.)</t>
    </r>
  </si>
  <si>
    <t>b. In Ground Floor/stilt floor</t>
  </si>
  <si>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</si>
  <si>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</si>
  <si>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</si>
  <si>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</si>
  <si>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</si>
  <si>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</si>
  <si>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</si>
  <si>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</si>
  <si>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</si>
  <si>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</si>
  <si>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t>Brick partition in C.M. 1:4 using country bricks of size 22 x11x5cm 50 mm thick</t>
  </si>
  <si>
    <t xml:space="preserve">Brick partition in C.M. 1:4 50 mm tk. (B.P.)
Kiln Burnt Country brick: 23 x 11 x 5 cm 
(9" x 4 1/4" x 2") </t>
  </si>
  <si>
    <t>Filling with Excavated Earth Mixed with lime in the proporation 1:4 (one of lime &amp; four of earth)</t>
  </si>
  <si>
    <t>14.I</t>
  </si>
  <si>
    <t>Precast Cupboard slab 20 mm tk.</t>
  </si>
  <si>
    <t>Precast cupboard slab 40 mm tk.</t>
  </si>
  <si>
    <t>a. In Foundation &amp; basement</t>
  </si>
  <si>
    <t>b. In Ground floor</t>
  </si>
  <si>
    <t>c. In First floor</t>
  </si>
  <si>
    <t>d. In Second floor</t>
  </si>
  <si>
    <t>e. In Third floor</t>
  </si>
  <si>
    <t>f.  In Fourth floor</t>
  </si>
  <si>
    <t>Cuddappa slab 20 mm tk.</t>
  </si>
  <si>
    <t>Cuddappa slab 40 mm tk.</t>
  </si>
  <si>
    <r>
      <t xml:space="preserve">Precast </t>
    </r>
    <r>
      <rPr>
        <b/>
        <sz val="18"/>
        <rFont val="Arial"/>
        <family val="2"/>
      </rPr>
      <t>Jally ventilator 50mm tk.</t>
    </r>
  </si>
  <si>
    <t>Supplying &amp; fixing of Terra cotta jolly (not less than 50mm)</t>
  </si>
  <si>
    <t>Supplying &amp; fixing of Terra cotta jolly (more than  50mm  upto 110 mm)</t>
  </si>
  <si>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</si>
  <si>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</si>
  <si>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</si>
  <si>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t>Form work - Plinth beam (C.W. planks)</t>
  </si>
  <si>
    <t>R.C.C.Door frame</t>
  </si>
  <si>
    <t>a. 900 x 2100 mm</t>
  </si>
  <si>
    <t>b. 700 x 2100 mm</t>
  </si>
  <si>
    <t>c. 1000 x 2100 mm</t>
  </si>
  <si>
    <t>Teak wood Wrought &amp; Put up</t>
  </si>
  <si>
    <t>a. T.W. over 2 m &amp; below 3 m</t>
  </si>
  <si>
    <t>b. T.W. below 2 m length.</t>
  </si>
  <si>
    <t xml:space="preserve">PVC Door frame &amp; shutter  
</t>
  </si>
  <si>
    <t>Teak wood panelled door shutters</t>
  </si>
  <si>
    <t>a. 1000 x 2100 mm</t>
  </si>
  <si>
    <t>b. 900 x 2100 mm</t>
  </si>
  <si>
    <t>c. 700 x 2100 mm</t>
  </si>
  <si>
    <t>d. 1200 x 2100 mm (Single) annexure item</t>
  </si>
  <si>
    <t>Teak wood "Window" &amp;  Ventilator Shutter</t>
  </si>
  <si>
    <t>a. Window: 135 cm ht.</t>
  </si>
  <si>
    <t>b. Window: 120 cm ht.</t>
  </si>
  <si>
    <t>c. Window: 105 cm ht.</t>
  </si>
  <si>
    <t>d. Ventilator: (90 x 60 cm)</t>
  </si>
  <si>
    <t>T.W. double leaf shutters for cup board/ ward robes</t>
  </si>
  <si>
    <t>T.W. single leaf  Door shutters using    9 mm tk. phynol bonded BWR plywood</t>
  </si>
  <si>
    <t>Glass panels with Aluminium beedings</t>
  </si>
  <si>
    <t>S&amp;F of Magnetic door catches</t>
  </si>
  <si>
    <t xml:space="preserve">Supply and fixing of Aluminium window with 3mm thick Glass </t>
  </si>
  <si>
    <t>a. 1.8 x 1.35 mt.window</t>
  </si>
  <si>
    <t>b. 1.35 x 1.35 mt.window</t>
  </si>
  <si>
    <t>c. 1.35 x  1.05 mt window</t>
  </si>
  <si>
    <t>d. 1.2 x 1.35 mt window</t>
  </si>
  <si>
    <t>e. 1.2 x 1.05 mt window</t>
  </si>
  <si>
    <t>f. 1.05 x 1.35 mt window</t>
  </si>
  <si>
    <t>g. 0.9 x 1.35 mt window</t>
  </si>
  <si>
    <t>h. 0.9 x 1.05 mt window</t>
  </si>
  <si>
    <t>i. 0.5 x 1.35 mt window</t>
  </si>
  <si>
    <t>j. 0.45 x 1.35 mt window</t>
  </si>
  <si>
    <t>k.0.90 x 0.60 mt.Ventilator</t>
  </si>
  <si>
    <t>l. 0.60 x 0.60 mt.Ventilator</t>
  </si>
  <si>
    <t>Manufacturing &amp; supply of steel windows (Weight basis)</t>
  </si>
  <si>
    <t>M.S.Holdfast</t>
  </si>
  <si>
    <t>Flooring in C.C.1:5:10</t>
  </si>
  <si>
    <t>B.w. in C.M. 1:4 for staircase steps Chamber
 burnt bricks 23 x 11.2 x 7 cm.</t>
  </si>
  <si>
    <t>B.w. in C.M. 1:4 for staircase steps Chamber
 burnt bricks 23 x 11.4 x 7.5 cm.</t>
  </si>
  <si>
    <t>B.w. in C.M. 1:4 for staircase steps Chamber 
burnt bricks  23 x 11 x 7 cm.</t>
  </si>
  <si>
    <t>B.w. in C.M. 1:4 for staircase steps Chamber
 burnt bricks 22 x 11 x 7 cm.</t>
  </si>
  <si>
    <t>B.w. in C.M. 1:4 for staircase steps Kiln burnt country bricks 22 x 11 x 7 cm.</t>
  </si>
  <si>
    <t>B.w. in C.M. 1:4 for staircase steps Kiln burnt country bricks 22 x 11 x 5.7 cm.</t>
  </si>
  <si>
    <r>
      <t>Floor plastering</t>
    </r>
    <r>
      <rPr>
        <sz val="18"/>
        <rFont val="Arial"/>
        <family val="2"/>
      </rPr>
      <t xml:space="preserve"> in C.M. 1:4, 20 mm tk.</t>
    </r>
  </si>
  <si>
    <r>
      <t xml:space="preserve">Mosaic tiles </t>
    </r>
    <r>
      <rPr>
        <sz val="18"/>
        <rFont val="Arial"/>
        <family val="2"/>
      </rPr>
      <t>20 cm x 20 cm x 2 cm.</t>
    </r>
  </si>
  <si>
    <r>
      <t xml:space="preserve">Mosaic tiles </t>
    </r>
    <r>
      <rPr>
        <sz val="18"/>
        <rFont val="Arial"/>
        <family val="2"/>
      </rPr>
      <t>25 cm x 25 cm x 2 cm.</t>
    </r>
  </si>
  <si>
    <t>Floor ceramic tiles</t>
  </si>
  <si>
    <t>Glazed tiles</t>
  </si>
  <si>
    <t>Floor ceramic tiles (Anti-skid)</t>
  </si>
  <si>
    <t>Weathering course</t>
  </si>
  <si>
    <t>Pressed tiles (23cmx23cmx20mm) mixed with Crude oil</t>
  </si>
  <si>
    <t>Pressed tiles (23cmx23cmx20mm) mixed with Water proofing compound</t>
  </si>
  <si>
    <t>Pressed tiles (23cmx23cmx18mm) mixed with Water proofing compound</t>
  </si>
  <si>
    <t>Plastering in C.M. 1:5, 12 mm tk.</t>
  </si>
  <si>
    <t>Plastering in C.M. 1:4, 12 mm tk.</t>
  </si>
  <si>
    <t>Spl. Ceiling plastering in C.M. 1:3,
 10 mm tk.</t>
  </si>
  <si>
    <t>Cement mortar Border in  C.M. 1:5, 12 mm tk.</t>
  </si>
  <si>
    <t>a. 150 mm wide</t>
  </si>
  <si>
    <t>b. 75 mm wide</t>
  </si>
  <si>
    <t>c. 50 mm wide</t>
  </si>
  <si>
    <r>
      <t>White washing 3 coats</t>
    </r>
    <r>
      <rPr>
        <b/>
        <sz val="18"/>
        <rFont val="Arial"/>
        <family val="2"/>
      </rPr>
      <t xml:space="preserve">  (slaked)</t>
    </r>
  </si>
  <si>
    <r>
      <t>Colour washing</t>
    </r>
    <r>
      <rPr>
        <b/>
        <sz val="18"/>
        <rFont val="Arial"/>
        <family val="2"/>
      </rPr>
      <t xml:space="preserve">  ( slaked)</t>
    </r>
  </si>
  <si>
    <t>Cement paint</t>
  </si>
  <si>
    <t>Matt paint</t>
  </si>
  <si>
    <t>M.s Grills</t>
  </si>
  <si>
    <t>Painting - New "wood work"</t>
  </si>
  <si>
    <t>Painting - New "iron work"</t>
  </si>
  <si>
    <r>
      <t xml:space="preserve">Fabrication of </t>
    </r>
    <r>
      <rPr>
        <b/>
        <sz val="18"/>
        <rFont val="Arial"/>
        <family val="2"/>
      </rPr>
      <t xml:space="preserve">Mild steel / RTS grills
</t>
    </r>
    <r>
      <rPr>
        <sz val="18"/>
        <rFont val="Arial"/>
        <family val="2"/>
      </rPr>
      <t>(with cement slurry wash)</t>
    </r>
  </si>
  <si>
    <t>a. upto 16mm dia rods</t>
  </si>
  <si>
    <t>b. above 16mm dia rods</t>
  </si>
  <si>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</si>
  <si>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</si>
  <si>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t>Rain Water Harvesting using Defunct borewell method</t>
  </si>
  <si>
    <r>
      <t>Stucco</t>
    </r>
    <r>
      <rPr>
        <sz val="20"/>
        <rFont val="Arial"/>
        <family val="2"/>
      </rPr>
      <t xml:space="preserve"> plastering 12 mm tk.</t>
    </r>
  </si>
  <si>
    <t>S &amp; F 20 mm dia Alu. Hanger Rod</t>
  </si>
  <si>
    <t>S &amp; F Alu  Towel rail 75 cm long</t>
  </si>
  <si>
    <t>S &amp; F 5 pin Coat stand</t>
  </si>
  <si>
    <t>S &amp; F chromium plated 8 guage Picture Hook</t>
  </si>
  <si>
    <t>Precast slab 50 mm tk.in C.C. 1:3:6</t>
  </si>
  <si>
    <t>Supply and planting avenue trees</t>
  </si>
  <si>
    <t>Providing Tree guard</t>
  </si>
  <si>
    <t>HDPE water tank 700 lit capacity with ISI mark</t>
  </si>
  <si>
    <t>PVC Water supply (ASTM)</t>
  </si>
  <si>
    <t xml:space="preserve">a. 32 mm dia </t>
  </si>
  <si>
    <t xml:space="preserve">b. 25 mm dia </t>
  </si>
  <si>
    <t xml:space="preserve">c. 20 mm dia </t>
  </si>
  <si>
    <t>G.I Pipe 20mm dia for Hot water line (Fully Concealed in walls)</t>
  </si>
  <si>
    <t>S &amp; F  of  C.I. Manhole cover 45 x 45 cm
 (20 kg. weight)</t>
  </si>
  <si>
    <t>C.I. Steps ( 5 kg)</t>
  </si>
  <si>
    <t>Brass tap (with ISI mark)</t>
  </si>
  <si>
    <t xml:space="preserve">C.P tap long body </t>
  </si>
  <si>
    <t xml:space="preserve">C.P tap short body </t>
  </si>
  <si>
    <t>Squat Urinal</t>
  </si>
  <si>
    <t>Flat Back Urinal</t>
  </si>
  <si>
    <t xml:space="preserve">S &amp; F of Orissapan  - in G.F.  </t>
  </si>
  <si>
    <t xml:space="preserve">S &amp; F of Orissapan - other than G.F. </t>
  </si>
  <si>
    <t>S &amp; F of E.W.C.(white)</t>
  </si>
  <si>
    <t>S &amp; F of E.W.C.(colour)</t>
  </si>
  <si>
    <t>PVC SWR pipe (Soil line)</t>
  </si>
  <si>
    <t>a. 110 mm dia.</t>
  </si>
  <si>
    <t>b. 75 mm dia.</t>
  </si>
  <si>
    <t>PVC Ventilating shaft with cowl</t>
  </si>
  <si>
    <t>Gully Trap using Chamber burnt bricks 23 x 11.2 x 7 cm.</t>
  </si>
  <si>
    <t>Gully Trap using chamber burnt bricks of size 23x11.4x7.5cm</t>
  </si>
  <si>
    <t>Gully Trap using Chamber burnt bricks 23 x 11 x 7 cm.</t>
  </si>
  <si>
    <t>Gully Trap using Chamber burnt bricks 22 x 11 x 7 cm.</t>
  </si>
  <si>
    <t>Gully Trap using Kiln burnt country bricks 22 x 11 x 7 cm.</t>
  </si>
  <si>
    <t>Gully Trap using Kiln burnt country bricks 22 x 11 x 5.7 cm.</t>
  </si>
  <si>
    <t>PVC Nahani trap (4way/2way)</t>
  </si>
  <si>
    <t>Stoneware pipe</t>
  </si>
  <si>
    <t>a. 100 mm S.W. pipe</t>
  </si>
  <si>
    <t>b. 150 mm S.W. pipe</t>
  </si>
  <si>
    <t>Stoneware pipe dry condition</t>
  </si>
  <si>
    <t>a. 100 mm dia</t>
  </si>
  <si>
    <t>b. 150 mm dia</t>
  </si>
  <si>
    <t>Stoneware bend</t>
  </si>
  <si>
    <t>Stoneware Tee</t>
  </si>
  <si>
    <t>32 mm dia PVC waste pipe</t>
  </si>
  <si>
    <t>c. Calling bell point with Buzzer/Calling bell</t>
  </si>
  <si>
    <t xml:space="preserve">Fan point </t>
  </si>
  <si>
    <t>5 amps 5 pin Plug point (Switch board itself)</t>
  </si>
  <si>
    <t>5 amps 5 pin Plug point (Convenient places)</t>
  </si>
  <si>
    <t>15 Amp. Power plug</t>
  </si>
  <si>
    <t>S &amp; F of Tube light with fittings</t>
  </si>
  <si>
    <t>S &amp; F of 40/ 60 w bulb</t>
  </si>
  <si>
    <t>S &amp; F of plastic  shade</t>
  </si>
  <si>
    <t>Double pole main switch</t>
  </si>
  <si>
    <t>6 way - D.B.</t>
  </si>
  <si>
    <t>4 way - D.B.</t>
  </si>
  <si>
    <t>Supply and delivery of Fan</t>
  </si>
  <si>
    <t>b. 42" (1050 mm)</t>
  </si>
  <si>
    <t>8 SWG wire</t>
  </si>
  <si>
    <t>Run of main 2 wires of 1.50 Sqmm.</t>
  </si>
  <si>
    <t>Run of 2 wires of 4 sqmm with continuous earth by means of 2.5sqmm</t>
  </si>
  <si>
    <t>S &amp; F of A/C metal clad switch</t>
  </si>
  <si>
    <t>S&amp;F of TV/Telephone line Socket</t>
  </si>
  <si>
    <t>S&amp;F of 20mm dia PVC pipe for TV/Telephone line</t>
  </si>
  <si>
    <t>Earthing Station (Type II)</t>
  </si>
  <si>
    <t>1 No.of 30Amps - Fuse Unit</t>
  </si>
  <si>
    <t>3 Nos.of 30Amps - Fuse Unit</t>
  </si>
  <si>
    <t>375 x 300 x 20 mm T.W. plank</t>
  </si>
  <si>
    <t>Meter cupboard</t>
  </si>
  <si>
    <t>M.S Angle</t>
  </si>
  <si>
    <t>Run of 2 wires of 4 sqmm</t>
  </si>
  <si>
    <t>Supply of G.I pipe 25mm dia</t>
  </si>
  <si>
    <t>Anti termite treatment</t>
  </si>
  <si>
    <t>ELCB Single phase</t>
  </si>
  <si>
    <t>S &amp; F of Exsaust Fan 300 mm dia</t>
  </si>
  <si>
    <r>
      <t xml:space="preserve">Anticorrosive treatment for </t>
    </r>
    <r>
      <rPr>
        <b/>
        <sz val="18"/>
        <rFont val="Arial"/>
        <family val="2"/>
      </rPr>
      <t>steel grills</t>
    </r>
  </si>
  <si>
    <t>ANNEXURE</t>
  </si>
  <si>
    <t>Precast Cupboard slab 20 mm tk.using standardised concrete mix M20 (annexure)</t>
  </si>
  <si>
    <t>Precast cupboard slab 40 mm tkusing standardised concrete mix M20 (annexure)</t>
  </si>
  <si>
    <t>Precast Cupboard slab 20 mm tk.using standardised concrete mix M30 (annexure)</t>
  </si>
  <si>
    <t>Precast cupboard slab 40 mm tkusing standardised concrete mix M30 (annexure)</t>
  </si>
  <si>
    <r>
      <t xml:space="preserve">Precast </t>
    </r>
    <r>
      <rPr>
        <b/>
        <sz val="16"/>
        <rFont val="Arial"/>
        <family val="2"/>
      </rPr>
      <t>Jally ventilator 50mm tk.using standardised concrete mix M30 (annexure) without vibrating charges</t>
    </r>
  </si>
  <si>
    <t xml:space="preserve">a. In Ground floor </t>
  </si>
  <si>
    <r>
      <t xml:space="preserve">Precast </t>
    </r>
    <r>
      <rPr>
        <b/>
        <sz val="18"/>
        <rFont val="Arial"/>
        <family val="2"/>
      </rPr>
      <t>Jally ventilator 50mm tk.using standardised concrete mix M20 (annexure) without vibrating charges</t>
    </r>
  </si>
  <si>
    <t>b. Ground Floor</t>
  </si>
  <si>
    <t>f.In fourth floor</t>
  </si>
  <si>
    <t>4.1.1</t>
  </si>
  <si>
    <t>Standardised concrete Mix M30 Grade Concrete</t>
  </si>
  <si>
    <t>RCC M30 mix using hard broken stone jelly for foundation and basement</t>
  </si>
  <si>
    <t>a. Foundation &amp; basement</t>
  </si>
  <si>
    <t>b.Stilt floor</t>
  </si>
  <si>
    <t>Cement Concrete using desing mix of grade M25 concrete</t>
  </si>
  <si>
    <t>b. In Stilt /Ground Floor</t>
  </si>
  <si>
    <t>g. In Fifth Floor</t>
  </si>
  <si>
    <t>h. In Sixth Floor</t>
  </si>
  <si>
    <t>i. In Seventh Floor</t>
  </si>
  <si>
    <t>j.in Eighth floor</t>
  </si>
  <si>
    <t>k.in Ninth floor</t>
  </si>
  <si>
    <t>l.in Tenth floor</t>
  </si>
  <si>
    <t>n. In Thirteen floor</t>
  </si>
  <si>
    <t>j. In Eighth floor</t>
  </si>
  <si>
    <t xml:space="preserve">Supply and laying of Hard core layer 200mm </t>
  </si>
  <si>
    <t>Supplying and filling stonedust</t>
  </si>
  <si>
    <t xml:space="preserve">Supplying and filling with gravel </t>
  </si>
  <si>
    <t>B.W in CM 1:4 in Superstructure in First floor</t>
  </si>
  <si>
    <t>B.W in CM 1:4 in Superstructure in second  floor</t>
  </si>
  <si>
    <t>B.W in CM 1:4 in Superstructure for OHT
d) In Third  floor</t>
  </si>
  <si>
    <t>B.W in CM 1:4 in Superstructure for OHT
e) In fourth  floor</t>
  </si>
  <si>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</si>
  <si>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</si>
  <si>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</si>
  <si>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t>Providing earth quake resistant for Corner walls</t>
  </si>
  <si>
    <t>c. First Floor</t>
  </si>
  <si>
    <t>d. Second Floor</t>
  </si>
  <si>
    <t>Providing earth quake resistant for Door/window Jambs</t>
  </si>
  <si>
    <t>a. Ground Floor</t>
  </si>
  <si>
    <t>b. First Floor</t>
  </si>
  <si>
    <t>c. Second Floor</t>
  </si>
  <si>
    <t>1.9.3.1</t>
  </si>
  <si>
    <t>Providing Bored pile using design mix M20</t>
  </si>
  <si>
    <t>a.450mm dia</t>
  </si>
  <si>
    <t>Chipping of RCC pile head to the required cut of level and clearing way debries with an average lead of 3 km entirely with city limits</t>
  </si>
  <si>
    <t xml:space="preserve">450mm dia pile </t>
  </si>
  <si>
    <t>Conducting routine vertical compression load test CER No.328/2014-15</t>
  </si>
  <si>
    <t>Mobilization charges including transporting to site CER No.328/2014-15</t>
  </si>
  <si>
    <t>Set</t>
  </si>
  <si>
    <t xml:space="preserve">Red oxide plastering in CM 1:4 </t>
  </si>
  <si>
    <t>d.Vertical wall</t>
  </si>
  <si>
    <t>e.Circular column</t>
  </si>
  <si>
    <t>f.Curved surface</t>
  </si>
  <si>
    <t>g.Double centering portico area</t>
  </si>
  <si>
    <t>R.C.C.Door frames of size 100 x 75mm with one edge grooves size 't' x 20 mm using M20 grade ( with out vibrating charges)</t>
  </si>
  <si>
    <t>c. 1200 x 2100 mm</t>
  </si>
  <si>
    <t>d. 750 x 2100 mm</t>
  </si>
  <si>
    <t>Teak wood "Window" &amp;  Ventilator Shutter with 4mm thick pin headed glasses</t>
  </si>
  <si>
    <t>d. Ventilator: (75 x 75 cm)</t>
  </si>
  <si>
    <t>22.3.2</t>
  </si>
  <si>
    <t xml:space="preserve"> MDF board (18mm thick) double leaf shutters with TW frame for cup board/ ward robes.</t>
  </si>
  <si>
    <t>Providing T.W double leaf shutter with 18mm thick BWR Plywood for Cupboard / ward robes shutters (Rest room) 4000x2100mm</t>
  </si>
  <si>
    <t>T.W. frame &amp; TW styles &amp; rails with BWR double leaf shutters for cup board/ ward robes including two coat enamel paint &amp; one coat primer.</t>
  </si>
  <si>
    <t>MDF board door shutters (35mm thick) exterior grade both side laminated with external lipping.</t>
  </si>
  <si>
    <t>a. 1000X2100mm.</t>
  </si>
  <si>
    <t>b. 900X2100mm.</t>
  </si>
  <si>
    <t>c.1200X2100mm.</t>
  </si>
  <si>
    <t>a. 1000X2100mm.(Single leaf)</t>
  </si>
  <si>
    <t>b.1200x2400mm</t>
  </si>
  <si>
    <t xml:space="preserve">a. 1200X2100mm.(Single leaf) 
</t>
  </si>
  <si>
    <t>b. 900X2100mm (over all size 900X2400mm.).</t>
  </si>
  <si>
    <t>c.1800X2400mm.</t>
  </si>
  <si>
    <t xml:space="preserve">TW double leaves shutter of size  with brass fittings
a.1800 x 2100mm </t>
  </si>
  <si>
    <t>a. 1500X2100mm.(Double leaves) with Brass fittings</t>
  </si>
  <si>
    <t>2000X2400mm.(Double leaves) with Brass fittings</t>
  </si>
  <si>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1200X2100mm.( Crime &amp; Traffic)</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</si>
  <si>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2000X2100mm.</t>
    </r>
  </si>
  <si>
    <t>TW styles &amp; rails with 9mm thick BWR single leaf shutters  with brass screws size of 900x2100 mm</t>
  </si>
  <si>
    <t>TW styles &amp; rails with 9mm thick BWR single leaf shutters  with brass screws size of 750x2100 mm</t>
  </si>
  <si>
    <t>TW styles &amp; rails with 9mm thick BWR single leaf shutters  with brass screws size of 1000 x 2100 mm</t>
  </si>
  <si>
    <t>TW styles &amp; rails with 9mm thick BWR Double leaves shutters  with brass screws size of 1500x2100 mm</t>
  </si>
  <si>
    <t>TW styles &amp; rails with 9mm thick BWR single leaf shutters  with brass screws size of 1200x2100</t>
  </si>
  <si>
    <t>Supply and Fixing Soild PVC door Shutter with frame</t>
  </si>
  <si>
    <t>Cuddappa slab 20 mm tk.for kitchen hearth slab.</t>
  </si>
  <si>
    <t>Cuddappa slab 20 mm tk.for C/B  slab.</t>
  </si>
  <si>
    <t>a. Ground floor</t>
  </si>
  <si>
    <t>Cuddappa slab 40 mm tk.for C/B  slab.</t>
  </si>
  <si>
    <t>Cuddappa slab 40 mm tk.for Sunshade.</t>
  </si>
  <si>
    <t>Glazed tiles using Grout (Tile Joint Filler)</t>
  </si>
  <si>
    <t>Floor ceramic tiles  using Grout (Tile Joint Filler).</t>
  </si>
  <si>
    <t>Two coat of cement paint over one coat white cement</t>
  </si>
  <si>
    <r>
      <t xml:space="preserve">Fabrication of </t>
    </r>
    <r>
      <rPr>
        <b/>
        <sz val="18"/>
        <rFont val="Arial"/>
        <family val="2"/>
      </rPr>
      <t xml:space="preserve">Mild steel / RTS grills
</t>
    </r>
    <r>
      <rPr>
        <sz val="18"/>
        <rFont val="Arial"/>
        <family val="2"/>
      </rPr>
      <t>(with cement slurry wash) for all sizes of rods.</t>
    </r>
  </si>
  <si>
    <r>
      <t xml:space="preserve">Fabrication of </t>
    </r>
    <r>
      <rPr>
        <b/>
        <sz val="18"/>
        <rFont val="Arial"/>
        <family val="2"/>
      </rPr>
      <t>Mild steel / RTS grills (without cement slurry) for all sizes of rods.</t>
    </r>
    <r>
      <rPr>
        <sz val="18"/>
        <rFont val="Arial"/>
        <family val="2"/>
      </rPr>
      <t xml:space="preserve">
</t>
    </r>
  </si>
  <si>
    <r>
      <t xml:space="preserve">PVC SWR 110 mm dia with ISI mark type- A for </t>
    </r>
    <r>
      <rPr>
        <b/>
        <sz val="18"/>
        <rFont val="Arial"/>
        <family val="2"/>
      </rPr>
      <t>Rain water down fall pipe</t>
    </r>
  </si>
  <si>
    <t>20mm dia PVC water supply ASTM pipe (fully consealed in walls)</t>
  </si>
  <si>
    <t>Wash Hand  Basin of size 550 x 400 mm</t>
  </si>
  <si>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</si>
  <si>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t xml:space="preserve">S &amp; F of Indian Water closet white glazed (Oriya type) of size 580 x 440mm  - Other than  G.F.  </t>
  </si>
  <si>
    <t>PVC SWR pipe (Soil line) with ISI mark - type 'B'.</t>
  </si>
  <si>
    <t>Supplying, Laying &amp; Concealing the 50mm dia PVC ( SWR) pipe with ISI mark type - 'B' with relevant specials.</t>
  </si>
  <si>
    <t>PVC(SWR) pipe with ISI mark - type 'A' for Ventilating shaft with cowl</t>
  </si>
  <si>
    <t>Wiring with 1.5 sqmm PVC insulated single core multi strand fire retardant flexible copper cable with ISI mark confirming IS: 694:1990.( Ordinary)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</si>
  <si>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</si>
  <si>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</si>
  <si>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</si>
  <si>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t>
    </r>
  </si>
  <si>
    <t>S &amp; F of Tube light fitting  (patty  type ) with Electronic ballast and 36 W slim tube light</t>
  </si>
  <si>
    <r>
      <t xml:space="preserve">Supply and delivery of  </t>
    </r>
    <r>
      <rPr>
        <b/>
        <sz val="18"/>
        <rFont val="Arial"/>
        <family val="2"/>
      </rPr>
      <t xml:space="preserve">48" (1200 mm) Fan </t>
    </r>
    <r>
      <rPr>
        <sz val="18"/>
        <rFont val="Arial"/>
        <family val="2"/>
      </rPr>
      <t>with ISI mark with Eletronic Dimmer</t>
    </r>
  </si>
  <si>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</si>
  <si>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</si>
  <si>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 xml:space="preserve">Run of 4 Wires of 6 sqmm PVC insulated single core multi strand </t>
  </si>
  <si>
    <t xml:space="preserve">Run of 4 Wires of 10 sqmm PVC insulated single core multi strand </t>
  </si>
  <si>
    <t>S &amp; F of Exsaust Fan 225mm dia</t>
  </si>
  <si>
    <t>Compact Fluoresent Lamp (CFL)</t>
  </si>
  <si>
    <t>a. 14W bulb for Bath &amp; WC</t>
  </si>
  <si>
    <t>b. 18w bulb for Bulk Head fittings</t>
  </si>
  <si>
    <t>S &amp; F of Bulk head fitting suitable for CFL</t>
  </si>
  <si>
    <t>Rain water harvesting using defunct borewell and providing perforated cover slab</t>
  </si>
  <si>
    <t>a). Providing pit</t>
  </si>
  <si>
    <t>b) Augering 30cm dia</t>
  </si>
  <si>
    <t>Providing Rain water Harvesting well ring of Circular shape of 90mm dia, 60cm depth using Standardised Mix design M20</t>
  </si>
  <si>
    <t>S&amp;F of M.S. Angle of size 35x35x5mm for staircase steps</t>
  </si>
  <si>
    <t>S&amp;F of Cuddapah sink 600 x 600 x 200mm</t>
  </si>
  <si>
    <t>Providing nosing to the edges of Granite slab</t>
  </si>
  <si>
    <t>Supply and fixing of PVC water supply (ASTM)
a.50mm dia</t>
  </si>
  <si>
    <t>S&amp;F of PVC flushing cistern</t>
  </si>
  <si>
    <t>S&amp;F of cloth drying arrangement</t>
  </si>
  <si>
    <r>
      <t>Anticorrosive treatment for window</t>
    </r>
    <r>
      <rPr>
        <b/>
        <sz val="18"/>
        <rFont val="Arial"/>
        <family val="2"/>
      </rPr>
      <t xml:space="preserve"> grills</t>
    </r>
  </si>
  <si>
    <t>450 x 375 x 20 mm   thick TW plank</t>
  </si>
  <si>
    <t>3 Nos.of 32Amps - Fuse Unit</t>
  </si>
  <si>
    <t>1 Nos.of 32Amps - Fuse Unit</t>
  </si>
  <si>
    <t>Supply of G.I pipe 40mm dia 'B' Class</t>
  </si>
  <si>
    <t>Plastic Emulsion PAINT including primer for outer walls</t>
  </si>
  <si>
    <t xml:space="preserve">Two coat of OBD over one coat white cement for inner walls </t>
  </si>
  <si>
    <t>1 No.of 32 Amps - Fuse Unit</t>
  </si>
  <si>
    <t>50mm dia GI pipe "B" class</t>
  </si>
  <si>
    <t>P. C.C. 1:3:6 for foundation &amp; basement using 40mm metal</t>
  </si>
  <si>
    <r>
      <t>Granite Tiles flooring (</t>
    </r>
    <r>
      <rPr>
        <b/>
        <sz val="18"/>
        <rFont val="Arial"/>
        <family val="2"/>
      </rPr>
      <t>Ruby red)</t>
    </r>
  </si>
  <si>
    <r>
      <t xml:space="preserve">Providing wooden </t>
    </r>
    <r>
      <rPr>
        <b/>
        <sz val="18"/>
        <rFont val="Arial"/>
        <family val="2"/>
      </rPr>
      <t>Melamine</t>
    </r>
    <r>
      <rPr>
        <sz val="18"/>
        <rFont val="Arial"/>
        <family val="2"/>
      </rPr>
      <t xml:space="preserve"> polish for new wood work</t>
    </r>
  </si>
  <si>
    <t>Supplying and fixing of staineless steel hand rails</t>
  </si>
  <si>
    <t>Vitrified Tiles flooring (ivory)</t>
  </si>
  <si>
    <t xml:space="preserve">Vitrified Tiles flooring </t>
  </si>
  <si>
    <t>s</t>
  </si>
  <si>
    <t>Concrete designer tiles flooring</t>
  </si>
  <si>
    <t xml:space="preserve">Eurocon Tiles flooring </t>
  </si>
  <si>
    <t>Supplying and fixing of Aluminium sliding window</t>
  </si>
  <si>
    <t>a.1.80 x 1.35 (Three track)</t>
  </si>
  <si>
    <t>b.1.35 x 1.35 (three track)</t>
  </si>
  <si>
    <t>a) size 1800x1350         SW1</t>
  </si>
  <si>
    <t>b)1200x1350                     SW2</t>
  </si>
  <si>
    <t>supplying and fixing of colour matt finish floor tiles of size 12"x12" ( for officers)</t>
  </si>
  <si>
    <t>supplying and fixing of colour matt finish floor tiles of size 12"x12" ( for wall tiles)</t>
  </si>
  <si>
    <r>
      <t xml:space="preserve">Supplying and fixing of </t>
    </r>
    <r>
      <rPr>
        <b/>
        <sz val="18"/>
        <rFont val="Arial"/>
        <family val="2"/>
      </rPr>
      <t xml:space="preserve"> wall panneling</t>
    </r>
    <r>
      <rPr>
        <sz val="18"/>
        <rFont val="Arial"/>
        <family val="2"/>
      </rPr>
      <t xml:space="preserve"> using Aluminium frame with MDF board</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</si>
  <si>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</si>
  <si>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</si>
  <si>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t>Supplying and fixing of 100mm dia GI pipe</t>
  </si>
  <si>
    <t>Supplying and fixing of Geyser (Data -SD 103)</t>
  </si>
  <si>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</si>
  <si>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</si>
  <si>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t>Supplying  and fixing of GM wheel valves ISI mark</t>
  </si>
  <si>
    <t>a.100mm  GM Gate valves</t>
  </si>
  <si>
    <t>b.50mm GM Gate valves</t>
  </si>
  <si>
    <t>c.32mm GM Gate valves</t>
  </si>
  <si>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</si>
  <si>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</si>
  <si>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</si>
  <si>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t>Supplying and laying of 3.5 core 70 sq.mm PVC armoured LTUG cable (below GL)</t>
  </si>
  <si>
    <t>RMT</t>
  </si>
  <si>
    <t>S&amp;F 3.5 X 70mm LTUG CABLE Above GL</t>
  </si>
  <si>
    <t>S&amp;F 3.5 X 35mm LTUG CABLE Above GL</t>
  </si>
  <si>
    <t>S&amp;F 3.5 X 25mm LTUG CABLE Above GL</t>
  </si>
  <si>
    <t>S&amp;F 2X6 Sq.mm LTUG CABLE</t>
  </si>
  <si>
    <r>
      <t xml:space="preserve">Supplying and fixing of </t>
    </r>
    <r>
      <rPr>
        <b/>
        <sz val="18"/>
        <rFont val="Arial"/>
        <family val="2"/>
      </rPr>
      <t>brass cable gland</t>
    </r>
    <r>
      <rPr>
        <sz val="18"/>
        <rFont val="Arial"/>
        <family val="2"/>
      </rPr>
      <t xml:space="preserve"> suitable for 3.5 core 70 Sqmm PVC armoured LTUG cable  SD 189</t>
    </r>
  </si>
  <si>
    <t xml:space="preserve">Supply &amp; Fixing of Aluminium openable windows of size 
</t>
  </si>
  <si>
    <t>FW 1.80 x 1.65 m</t>
  </si>
  <si>
    <t>W 1.50 x 1.35 m</t>
  </si>
  <si>
    <t>W 1.20 x 1.35 m</t>
  </si>
  <si>
    <t>KW 1.20 x 1.05 m</t>
  </si>
  <si>
    <t>W 2  .0.75  x 1.35 m</t>
  </si>
  <si>
    <t>a. 1.50 x 1.35 mt.window</t>
  </si>
  <si>
    <t xml:space="preserve">b. 1.35 x 1.35 mt.window </t>
  </si>
  <si>
    <t xml:space="preserve">c 1.20 x 1.35 mt.window  </t>
  </si>
  <si>
    <t xml:space="preserve">d. 0.75 x 1.35 mt.window  </t>
  </si>
  <si>
    <t xml:space="preserve">Cochin House </t>
  </si>
  <si>
    <t>a. 1.80 x 1.35 mt.window Three leaves</t>
  </si>
  <si>
    <t>Aluminium window openable 1.35x1.05m (Two leaves)</t>
  </si>
  <si>
    <t>Aluminium window openable 1.35x1.35m (Two leaves)</t>
  </si>
  <si>
    <t>Aluminium window openable 1.2x1.35m (Two leaves)</t>
  </si>
  <si>
    <t>Supply and fixing of 100 amps TPN sheet double break switch with HRC fuse and neutral on suitable angle iron frame work with MS cable entry boxes and PWD earthing(SR-14-15(p-65)</t>
  </si>
  <si>
    <t>Supply and fixing of 200 amps fuse unit 
SRP-66</t>
  </si>
  <si>
    <t>Supply and fixing of 200 amps TPN switch with HRC fuses sheet steel double break
SRP-65, 3 ©</t>
  </si>
  <si>
    <t>Supply and fixing of 250 amps cubical type panel board</t>
  </si>
  <si>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</si>
  <si>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</si>
  <si>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</si>
  <si>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</si>
  <si>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t>S&amp;F TPN 12 way DB encloser (SR-p-80)</t>
  </si>
  <si>
    <t>S&amp;F TPN 8 way DB encloser 
CER No.178/2013-14</t>
  </si>
  <si>
    <t>S&amp;F TPN 6 way DB encloser
CER No.178/2013-14</t>
  </si>
  <si>
    <t>S&amp;F TPN 4 way DB encloser
CER No.178/2013-14</t>
  </si>
  <si>
    <r>
      <t xml:space="preserve">Supply and fixing of </t>
    </r>
    <r>
      <rPr>
        <b/>
        <sz val="18"/>
        <rFont val="Arial"/>
        <family val="2"/>
      </rPr>
      <t xml:space="preserve">spot light </t>
    </r>
    <r>
      <rPr>
        <sz val="18"/>
        <rFont val="Arial"/>
        <family val="2"/>
      </rPr>
      <t>of approved make and company with ISI CFL bulb  CER No.178/13-14</t>
    </r>
  </si>
  <si>
    <t>S&amp;F OF UPVC Windows</t>
  </si>
  <si>
    <t>a) FW 900 X 2100</t>
  </si>
  <si>
    <t>b) W 1800 X 1650</t>
  </si>
  <si>
    <t>c) W1 1500 X 1650</t>
  </si>
  <si>
    <t>d) W0 2400 X 1650</t>
  </si>
  <si>
    <t>e) W2 1200 X 1650</t>
  </si>
  <si>
    <t>f) SW 4800 X 1650</t>
  </si>
  <si>
    <t>g) FW1 4800 X 2300</t>
  </si>
  <si>
    <t>h) FW2 4200 X 2300</t>
  </si>
  <si>
    <t>Supply &amp; Fixing of MS door  shutter</t>
  </si>
  <si>
    <t>a)D1200 X 2400mm</t>
  </si>
  <si>
    <t xml:space="preserve">Supply &amp; Fixing of MS ventilator of size 
</t>
  </si>
  <si>
    <t>b) V1 900 X 600mm</t>
  </si>
  <si>
    <t>S &amp; F of sodium vapour lamp with fitting 250watts</t>
  </si>
  <si>
    <t xml:space="preserve">Each </t>
  </si>
  <si>
    <t>Supplying and fixing in position of UPVC Ventilator louvered ventilator  type for all sizes 
Revised SR 2018-19 p-57 it-192</t>
  </si>
  <si>
    <t>Supplying and fixing in position of UPVC window of casement type( open) for all sizes Revised SR 2018-19 p-57 it-191</t>
  </si>
  <si>
    <t>Supply and fixing of colour wash basin oval shape CER No.178/2013-14</t>
  </si>
  <si>
    <t>Supplying and Fixing of Rolling shutters of all sizes (Gear Operated)(  from 8m2  to 12m2 )Annex-Vi-P-45  rev SR 18-19 item -102-A-b</t>
  </si>
  <si>
    <t>Supplying and fixing of solid core flush door shutter of thickness 35mm</t>
  </si>
  <si>
    <t>a. door size 1.200m x 2.100 (Double leaf)</t>
  </si>
  <si>
    <t>b. door size 1.200 m x 2.400 (double Leaf)</t>
  </si>
  <si>
    <t>c.  door size 1.000 m x 2.100 (Single Leaf)</t>
  </si>
  <si>
    <t>d.  door size 0.900 m x 2.100 (Single Leaf)</t>
  </si>
  <si>
    <t>e.  door size 1.00 m x 2.400 (Single Leaf)</t>
  </si>
  <si>
    <t>f.  door size 1.50 m x 2.100 (Double leaf)</t>
  </si>
  <si>
    <t>g door size 1.50 m x 2.40 (Double leaf)</t>
  </si>
  <si>
    <t>h door size 1.80 m x 2.40 (Double leaf)</t>
  </si>
  <si>
    <t>h door size 1.80 m x 2.10 (Double leaf)</t>
  </si>
  <si>
    <t>Providing additional strutting to centering of plain surface.</t>
  </si>
  <si>
    <t>S &amp; F of Granite slab of size 4'x2', 18 to 20mm Thick For kitchen arrangements (jet black)</t>
  </si>
  <si>
    <t>S &amp; F of Granite tile of size 2'x 1', 10mm Thick For kitchen arrangements (jet black)</t>
  </si>
  <si>
    <t>c. In Third floor</t>
  </si>
  <si>
    <t xml:space="preserve">French window </t>
  </si>
  <si>
    <t>b) 3.08 x 2.1m</t>
  </si>
  <si>
    <t xml:space="preserve">b. 1.35 x 2.10 mt.window </t>
  </si>
  <si>
    <t xml:space="preserve">b. 1.35 x 1.35 mt.window  </t>
  </si>
  <si>
    <t xml:space="preserve">b. 1.50 x 2.00 mt.window  sankar nagar DSP </t>
  </si>
  <si>
    <t>Aluminum Louvered ventilators</t>
  </si>
  <si>
    <t>a. 0.90 x 0.60 mt ventilators</t>
  </si>
  <si>
    <t>b. 0.60 x 0.60 mt ventilators</t>
  </si>
  <si>
    <t>c. 0.75 x 0.60 mt ventilators</t>
  </si>
  <si>
    <t>d. 1.0 x 0.60 mt ventilators</t>
  </si>
  <si>
    <t>MS door of Size 1000 x 2100mm</t>
  </si>
  <si>
    <t>MS door of Size 750 x 1350mm</t>
  </si>
  <si>
    <t xml:space="preserve">Supply &amp; Fixing of MS ventilator of size 
( lockup)
</t>
  </si>
  <si>
    <t>MS Ventilator of Size 1350 x 600mm</t>
  </si>
  <si>
    <t>MS Ventilator of Size 900 x 600mm</t>
  </si>
  <si>
    <t>MS Ventilator of Size 600 x 600mm</t>
  </si>
  <si>
    <t>MS Ventilator of Size 1285 x 600mm</t>
  </si>
  <si>
    <t xml:space="preserve">Supply &amp; Fixing of MS ventilator of size  1200 x 800 mm
</t>
  </si>
  <si>
    <t xml:space="preserve"> MS ventilator of size  1000 x 800 mm
</t>
  </si>
  <si>
    <t>Supply and fixing of 19mm dia steam pipe for down rod of fan (SD 106)</t>
  </si>
  <si>
    <t>Supply and fixing of  SS Towel rail (75cm length) CER No.178/13-14</t>
  </si>
  <si>
    <t>Supply and fixing of weld mesh of size 7.5x2.5cmx10gauge</t>
  </si>
  <si>
    <t>Supply and fixing of Chicken mesh</t>
  </si>
  <si>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</si>
  <si>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</si>
  <si>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t xml:space="preserve">S &amp; F of CFL road way lighting luminaries suitable for fixing 36w CFL lamp </t>
  </si>
  <si>
    <t>Augering  30 cm dia for compound wall</t>
  </si>
  <si>
    <t>Finshing the top of Terrace floor with one course of solar reflective Ceramic tiles without base concrete</t>
  </si>
  <si>
    <t>51. 1</t>
  </si>
  <si>
    <t>HDPE water tank 200 lit capacity with ISI mark</t>
  </si>
  <si>
    <t>UPVC Non Pressure  pipe of SN8 SDR 34
( S 16.5) as per IS 15328/2003</t>
  </si>
  <si>
    <t>a. 110 mm UPVC Non Pressure  pipe</t>
  </si>
  <si>
    <t>b. 160 mm UPVC Non Pressure  pipe</t>
  </si>
  <si>
    <t>PVC Specials  as per IS 10124/1982 Part II</t>
  </si>
  <si>
    <t>a. 110 mm dia PVC bend (TWAD SR 18-19  P-19 S.No-4 )</t>
  </si>
  <si>
    <t>b. 160 mm dia PVC bend (TWAD SR 18-19 P-19 it-1.5, S.No-4 )</t>
  </si>
  <si>
    <t xml:space="preserve">PVC Equal Tee  as per  BIS 7834/1975 </t>
  </si>
  <si>
    <t>a. 110 mm dia PVC Equal tee(TWAD SR 18-19 P-19 S.No-9 )</t>
  </si>
  <si>
    <t>b. 160 mm dia PVC Equal tee(TWAD SR 18-19 P-19 S.No-9 )</t>
  </si>
  <si>
    <r>
      <t>S &amp; F of Indian Water closet white glazed (Oriya type) of size 580 x 440mm</t>
    </r>
    <r>
      <rPr>
        <b/>
        <sz val="18"/>
        <rFont val="Arial"/>
        <family val="2"/>
      </rPr>
      <t xml:space="preserve"> with PVC SWR grade ' P' or "S' trap   - in G.F.  </t>
    </r>
  </si>
  <si>
    <r>
      <t xml:space="preserve">S &amp; F of Indian Water closet white glazed (Oriya type) of size 580 x 440mm </t>
    </r>
    <r>
      <rPr>
        <b/>
        <sz val="18"/>
        <rFont val="Arial"/>
        <family val="2"/>
      </rPr>
      <t xml:space="preserve"> with PVC SWR grade ' P' or "S' trap</t>
    </r>
    <r>
      <rPr>
        <sz val="18"/>
        <rFont val="Arial"/>
        <family val="2"/>
      </rPr>
      <t xml:space="preserve">- Other than  G.F.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</si>
  <si>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</si>
  <si>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E.W.C.(colour) 500 mm </t>
    </r>
    <r>
      <rPr>
        <b/>
        <sz val="18"/>
        <rFont val="Arial"/>
        <family val="2"/>
      </rPr>
      <t xml:space="preserve">with PVC SWR grade "P" or "S" TRAP </t>
    </r>
  </si>
  <si>
    <t xml:space="preserve">a. FW  (2.1 x 2.0 m ) 3 bay openable </t>
  </si>
  <si>
    <t xml:space="preserve">b.FW 1 (1.80 x 2.0 m )3 bay openable </t>
  </si>
  <si>
    <t xml:space="preserve">c. FW 2  (1.20 x 2.0 m ) 2 bay openable </t>
  </si>
  <si>
    <t xml:space="preserve">d.FW 3 (0.75 x 2.0 m ) Single  bay openable </t>
  </si>
  <si>
    <t xml:space="preserve">e. FW  (1.07 x 2.10 m ) 2 bay openable </t>
  </si>
  <si>
    <t>Wiring with 1.5 sqmm PVC insulated single core multi strand fire retardant flexible copper cable with ISI mark confirming IS: 694:1990.
( PVC Box , Fire Retarded Box) For Coastal only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</si>
  <si>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</si>
  <si>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</si>
  <si>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</si>
  <si>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</si>
  <si>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</si>
  <si>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</si>
  <si>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t>Supply and fixing in posistion of 6 rows of 10 guage GI barbed wire 20 guage</t>
  </si>
  <si>
    <t xml:space="preserve">Supply ,laying &amp; jointing the following pipes as per ASTM D 1785 of schedule 40 with  UPVC Specials </t>
  </si>
  <si>
    <t>c. 20mm dia PVC water supply ASTM pipe (fully consealed in walls)</t>
  </si>
  <si>
    <t>S &amp; F of 15mm dia half turn CP long body tap</t>
  </si>
  <si>
    <t>S &amp; F of 15mm dia half turn CP short body tap</t>
  </si>
  <si>
    <t xml:space="preserve">S &amp; F of MS angle of size 50x 50x 5mm </t>
  </si>
  <si>
    <t>Granite Tiles flooring in cm1:3,20mm thk sathali steel/ grey</t>
  </si>
  <si>
    <t>Bored cast sit piles installation of vertical cast in Situ Bored piles of following dia using Standardised concrete  mix M30 Grade) as per nagapattinam data</t>
  </si>
  <si>
    <t>a.500mm dia pile</t>
  </si>
  <si>
    <t>b.450mm dia pile</t>
  </si>
  <si>
    <t>c.400mm dia pile</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</si>
  <si>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</si>
  <si>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</si>
  <si>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</si>
  <si>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</si>
  <si>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r>
      <t>False ceiling with plain gybsum board</t>
    </r>
    <r>
      <rPr>
        <b/>
        <sz val="13"/>
        <rFont val="Arial"/>
        <family val="2"/>
      </rPr>
      <t xml:space="preserve"> (as per PWD SR. rate 2017-18, Anx- VI -It- 154 -a)</t>
    </r>
  </si>
  <si>
    <t>Wiring with 1.5 sqmm PVC insulated single core multi strand fire retardant flexible copper cable with ISI mark confirming IS: 694:1990. (Open wiring)</t>
  </si>
  <si>
    <r>
      <t xml:space="preserve">Wiring with 1.5 sqmm PVC insulated single core multi strand fire retardant flexible copper cable with ISI mark confirming IS: 694:1990 for </t>
    </r>
    <r>
      <rPr>
        <b/>
        <sz val="17"/>
        <rFont val="Arial"/>
        <family val="2"/>
      </rPr>
      <t>5 amps 5 pin  plug socket point @ Convenient Places</t>
    </r>
    <r>
      <rPr>
        <sz val="17"/>
        <rFont val="Arial"/>
        <family val="2"/>
      </rPr>
      <t>.(Open wiring)</t>
    </r>
  </si>
  <si>
    <r>
      <t xml:space="preserve">Wiring with 1.5 sqmm PVC insulated single core multi strand fire retardant flexible copper cable with ISI mark confirming IS: 694:1990 for </t>
    </r>
    <r>
      <rPr>
        <b/>
        <sz val="17"/>
        <rFont val="Arial"/>
        <family val="2"/>
      </rPr>
      <t>5 amps 5 pin  plug socket point @ Switch Board Itself</t>
    </r>
    <r>
      <rPr>
        <sz val="17"/>
        <rFont val="Arial"/>
        <family val="2"/>
      </rPr>
      <t>.(Open wiring)</t>
    </r>
  </si>
  <si>
    <r>
      <t>Wiring with 1.5 sqmm PVC insulated single core multi strand fire retardant flexible copper cable with ISI mark confirming IS: 694:1990 for Fan</t>
    </r>
    <r>
      <rPr>
        <b/>
        <sz val="17"/>
        <rFont val="Arial"/>
        <family val="2"/>
      </rPr>
      <t xml:space="preserve"> point </t>
    </r>
    <r>
      <rPr>
        <sz val="17"/>
        <rFont val="Arial"/>
        <family val="2"/>
      </rPr>
      <t>.(Open wiring)</t>
    </r>
  </si>
  <si>
    <r>
      <t xml:space="preserve">TW panelled door </t>
    </r>
    <r>
      <rPr>
        <b/>
        <sz val="17"/>
        <rFont val="Arial"/>
        <family val="2"/>
      </rPr>
      <t>double leaves</t>
    </r>
    <r>
      <rPr>
        <sz val="17"/>
        <rFont val="Arial"/>
        <family val="2"/>
      </rPr>
      <t xml:space="preserve"> shutter with </t>
    </r>
    <r>
      <rPr>
        <b/>
        <sz val="17"/>
        <rFont val="Arial"/>
        <family val="2"/>
      </rPr>
      <t>brass fittings</t>
    </r>
    <r>
      <rPr>
        <sz val="17"/>
        <rFont val="Arial"/>
        <family val="2"/>
      </rPr>
      <t xml:space="preserve"> of size . 1200X2100mm.</t>
    </r>
  </si>
  <si>
    <t xml:space="preserve">Providing putty to the wall </t>
  </si>
  <si>
    <t>Aluminium Partition wall 1/3 5.5mm thick glass &amp; 2/3 Novapan sheet 12mm thick outer top and bottom</t>
  </si>
  <si>
    <t>Supply and fixing of colour matt finish door 15 microns double leaf door ( 1500 x 2100 mm)</t>
  </si>
  <si>
    <t>Supply and fixing of colour matt finish door 15 microns double leaf door ( 1000 x 2100 mm)</t>
  </si>
  <si>
    <t>supplying and fixing of colour matt finish floor tiles of size 12"x12" floor tiles</t>
  </si>
  <si>
    <t>supplying and fixing of colour matt finish floor tiles of size 12"x18" for wall tiles</t>
  </si>
  <si>
    <t>Supply and fixing of 20 Amps DP plug and socket in sheet enclosure with 32 A DP MCB  in Flush with wall with earth connection ( For AC Plug ) Legrand ( MDS) / Hager( L&amp; T) Equivalent/ Superior variety  
Ele SD -140 /2018-19</t>
  </si>
  <si>
    <t>Supplying nd laying of 1000 x 1000 x 300mm size ms 16 swg powder coated cable terminal box with two compartment with necessary bus bar connected with TNEB etc.,</t>
  </si>
  <si>
    <t>Supplying and fixing of 200 Amps metal clad switch with rewirable fuse units, (Revised PWD SR 17-18/Pg.no.80 it-J Part c)</t>
  </si>
  <si>
    <t>Supply and Laying Rubber Moulded Hyraulic Pressed Paver Block 83 mm thick including labour charges for laying etc ( as per DB/1469/2018)</t>
  </si>
  <si>
    <t>Supplying and fixing of 250 Watts Metal halide Flood light etc.,</t>
  </si>
  <si>
    <t>R.C.C.Door frames of size 100 x 75mm with one edge grooves size 't' x 20 mm  ( with out  M20 or M30 grade old  data )</t>
  </si>
  <si>
    <t xml:space="preserve">9 watts  LED bulb </t>
  </si>
  <si>
    <t>Supply and fixing of 12 watts  LED bulb  (qtn)</t>
  </si>
  <si>
    <t>18 watts  LED  Tube Light</t>
  </si>
  <si>
    <t xml:space="preserve"> Bulk Head fitting for  LED Bulb</t>
  </si>
  <si>
    <t>Supply, fixing of 25W LED street light</t>
  </si>
  <si>
    <t>ABS /PVC door framed shutter (Plain pre-laminated door)</t>
  </si>
  <si>
    <t>ABS inner doors  (Design pre-laminated door)</t>
  </si>
  <si>
    <t>Providing of Granular Sub Base using Grade-I</t>
  </si>
  <si>
    <t>Providing and layin, spreading and compacting graded stone aggregate to Wet Mix Macadam (WMM)</t>
  </si>
  <si>
    <t>Borewwell</t>
  </si>
  <si>
    <t>External Water Supply Arrangements</t>
  </si>
  <si>
    <t>External Electrical Arrangements</t>
  </si>
  <si>
    <t>Numbering and Lettering</t>
  </si>
  <si>
    <t>TW double leaves shutter of size 1800 x 2100mm</t>
  </si>
  <si>
    <t>Ornamental TW double leaves panelled shutter of size 1800 x 2100mm</t>
  </si>
  <si>
    <t>Ornamental TW double leaves panelled shutter of size 1800 x 2400mm</t>
  </si>
  <si>
    <t>1500 liters capacity of HDPE Water Tank</t>
  </si>
  <si>
    <t>Providing shahabad stone flooring</t>
  </si>
  <si>
    <t xml:space="preserve">Vetrified Tiles flooring </t>
  </si>
  <si>
    <t xml:space="preserve">kota stone  flooring </t>
  </si>
  <si>
    <t xml:space="preserve">Granite Tiles flooring </t>
  </si>
  <si>
    <t>Plastering with ccccm 1:3, 12mm mixed with WPC</t>
  </si>
  <si>
    <t>HDPE water tank 5000 lit capacity</t>
  </si>
  <si>
    <t>TW Panelled Door 1500 X 2100MM (Double leaves)</t>
  </si>
  <si>
    <t>TW Panelled Door 1500 X 2400MM (Double leaves)</t>
  </si>
  <si>
    <t>TW Panelled Door 1200 X 2400MM (Double leaves)</t>
  </si>
  <si>
    <t>TW Panelled Door 1800 X 2400MM (Double leaves)</t>
  </si>
  <si>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</si>
  <si>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</si>
  <si>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t>T.W DOOR SHUTTER TWO LEAVES(2000 X 2400 mm) WITH BRASS FITINGS</t>
  </si>
  <si>
    <t>BWR door 900 x 2400   single leaf</t>
  </si>
  <si>
    <t>BWR door 1050 x 2400   single leaf</t>
  </si>
  <si>
    <t>BWR door 1200 x 2400   double leaves</t>
  </si>
  <si>
    <t>BWR door 1500 x 2400   double leaves</t>
  </si>
  <si>
    <t>450 x 375 x 20 m   thick TW plank</t>
  </si>
  <si>
    <t>Supplying and fixing of Three phase ELCB</t>
  </si>
  <si>
    <t>MDF 900 x 2100 single</t>
  </si>
  <si>
    <t>MDF 1000 x 2100</t>
  </si>
  <si>
    <t>MDF 1200 x 2100</t>
  </si>
  <si>
    <t>MDF 1500 X 2100MM (Double Leaf)</t>
  </si>
  <si>
    <t>MDF 1200 X 2100MM (Double Leaf)</t>
  </si>
  <si>
    <t>MDF 1500 X 2400MM (Double Leaf)</t>
  </si>
  <si>
    <t>MDF  double leaf shutter with TW alround frame for ward robe / cup board</t>
  </si>
  <si>
    <t>Varnishing one coat</t>
  </si>
  <si>
    <t>Varnishing two coat</t>
  </si>
  <si>
    <t>Red oxide plastering in CM 1:4</t>
  </si>
  <si>
    <t>Under reamed pile (Single)</t>
  </si>
  <si>
    <r>
      <t xml:space="preserve">LIGHT POINT WITH CEILING ROSE FOR </t>
    </r>
    <r>
      <rPr>
        <b/>
        <sz val="18"/>
        <rFont val="Arial"/>
        <family val="2"/>
      </rPr>
      <t>ADMINISTRATIVE BLOCKS A</t>
    </r>
    <r>
      <rPr>
        <sz val="18"/>
        <rFont val="Arial"/>
        <family val="2"/>
      </rPr>
      <t>ND COMMUNITY CENTRE</t>
    </r>
  </si>
  <si>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</si>
  <si>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</si>
  <si>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</si>
  <si>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2 X 2.5 Sq mm in fully concealed PVC conduit</t>
  </si>
  <si>
    <t>2 X 4 Sq mm in fully concealed PVC conduit</t>
  </si>
  <si>
    <t>4 X 4 Sq mm in fully concealed PVC conduit</t>
  </si>
  <si>
    <t>32 AMPS DOUBLE POLE MAIN SWITCH ON TEAK WOOD BOARD TOP MES SERVICE CONNECTION / MOTOR PUMP( SINGLE PHASE ) SET</t>
  </si>
  <si>
    <t>Supply and fixing 4 way 250 volt single phase with neutral link metalic distribution board on suitable Teak wood board etc., all complete including connections.</t>
  </si>
  <si>
    <t>16 AMPS TPIC ON TEAK WOOD BOARD FOR 3 PHASE MES SERVICE CONNECTION AND 3 PHASE MOTOR PUMPSETS</t>
  </si>
  <si>
    <t>Supplying and fixing of 32 amps triple pole main switch with fuse and neutral link on a suitable well varnished teak wood board</t>
  </si>
  <si>
    <t>THREE PHASE DISTRIBUTION BOARD WITH 6 WAY PHASE AND 30 AMPS / WAY WITH FUSE AND NEUTRAL LINK ON SUITABLE TW PLANK TOP MES CONNECTION BOARD (FOR 12 IN 1 BLOCKS)</t>
  </si>
  <si>
    <t>THREE PHASE DISTRIBUTION BOARD WITH 4 WAY PHASE AND 3 AMPS/WAY FUSE AND NEUTRAL LINK FOR MES SERVICE CONNECTION ( 6 IN 1  BLOCKS )</t>
  </si>
  <si>
    <t>FIXING OF TUBE LIGHT FITTINGS ON WALL / CEILING</t>
  </si>
  <si>
    <t>FIXING OF TUBE FITTINGS SUSPENDED FROM CEILING</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</si>
  <si>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</si>
  <si>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</si>
  <si>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</si>
  <si>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</si>
  <si>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Supplying and delivery of Single phase ELCB/RCCB</t>
  </si>
  <si>
    <t>Supplying and delivery of Three phase ELCB/RCCB</t>
  </si>
  <si>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</si>
  <si>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</si>
  <si>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t xml:space="preserve">Supply of 40 mm dia GI pipe "B"class </t>
  </si>
  <si>
    <t>Laying of U.G. Cable below Ground Level</t>
  </si>
  <si>
    <t>Fixing of UG cables on Walls / Ceiling</t>
  </si>
  <si>
    <t>Fixing of Tube light street light fitting</t>
  </si>
  <si>
    <t>Charges for fixing Mercury, Sodium Vapour lamp street light fittings ( all types ) in the existing pole with required GI pipes 'B' class and accessories ( Street light fittings alone will be supplied departmentally at free of cost ).</t>
  </si>
  <si>
    <t>S &amp; F TNEB Meter Board made up of MS box 600 x 225 mm with door and lock and key arrangements</t>
  </si>
  <si>
    <t>25 mm dia PVC pipe Heavy duty with ISI mark for TV/ Telephone line</t>
  </si>
  <si>
    <t xml:space="preserve">TV/Telephone line junction </t>
  </si>
  <si>
    <t xml:space="preserve">Supply and erection of Tubular lamp, using 65 mm dia GI pipe 'B' class pipe with ISI mark of 6 mt length and 20 mm dia GI pipe 'B' class upto 2 mt with. </t>
  </si>
  <si>
    <t>Tube light -  Box type</t>
  </si>
  <si>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</si>
  <si>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</si>
  <si>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</si>
  <si>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</si>
  <si>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</si>
  <si>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</si>
  <si>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</si>
  <si>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</si>
  <si>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whitewashing one coat</t>
  </si>
  <si>
    <t>whitewashing one coat for old wall</t>
  </si>
  <si>
    <t>whitewashing two coat for old wall</t>
  </si>
  <si>
    <t>Thorough scrapping the old wall</t>
  </si>
  <si>
    <t>Thorough scrapping the old iron work</t>
  </si>
  <si>
    <t>Thorough scrapping the old wood work</t>
  </si>
  <si>
    <t>Cement paint one coat for old wall</t>
  </si>
  <si>
    <t>Cement paint two coat for old wall</t>
  </si>
  <si>
    <t>painting one coat for old iron work</t>
  </si>
  <si>
    <t>painting two coat for old iron work</t>
  </si>
  <si>
    <t>painting one coat for old wood work</t>
  </si>
  <si>
    <t>painting two coat for old wood work</t>
  </si>
  <si>
    <t>Matt paint one coat for old wall</t>
  </si>
  <si>
    <t>Ex.Water supply arrangements</t>
  </si>
  <si>
    <t>CONSTRUCTION OF NEW POLICE STATION BUILDING WITH DEVELOPMENT WORK IN  REGUNATHAPURAM IN PUDUKKOTTAI DISRICT.</t>
  </si>
  <si>
    <t>Name of work: CONSTRUCTION OF NEW POLICE STATION BUILDING WITH DEVELOPMENT WORK IN  REGUNATHAPURAM IN PUDUKKOTTAI DISRICT.</t>
  </si>
  <si>
    <t>Name of work:CONSTRUCTION OF NEW POLICE STATION BUILDING WITH DEVELOPMENT WORK IN  REGUNATHAPURAM IN PUDUKKOTTAI DISRICT.</t>
  </si>
  <si>
    <t>Abstract-Septic Tank</t>
  </si>
  <si>
    <t>Abstract-Ex.Water Supply</t>
  </si>
  <si>
    <t>Abstract-Paver</t>
  </si>
  <si>
    <t>TAMILNADU  POLICE  HOUSING  CORPORATION LIMITED</t>
  </si>
  <si>
    <r>
      <rPr>
        <b/>
        <u val="double"/>
        <sz val="12"/>
        <rFont val="Times New Roman"/>
        <family val="1"/>
      </rPr>
      <t>NAME OF WORK</t>
    </r>
    <r>
      <rPr>
        <b/>
        <sz val="12"/>
        <rFont val="Times New Roman"/>
        <family val="1"/>
      </rPr>
      <t xml:space="preserve">:   </t>
    </r>
  </si>
  <si>
    <t>CONSTRUCTION OF RURAL POLICE STATION BUILDING WITH DEVELOPMENT WORK AT REGUNATHAPURAM IN PUDUKKOTTAI DISRICT.</t>
  </si>
  <si>
    <t>Measurements</t>
  </si>
  <si>
    <t xml:space="preserve">Earth work excavation for foundation in all soils and sub-soils and to the required depth.  (Including Refilling) </t>
  </si>
  <si>
    <t>a</t>
  </si>
  <si>
    <t>0 to 2.00 metre Depth</t>
  </si>
  <si>
    <t>For  F1 Footing</t>
  </si>
  <si>
    <t>For  F2 Footing</t>
  </si>
  <si>
    <t>For  F3 Footing</t>
  </si>
  <si>
    <r>
      <rPr>
        <b/>
        <sz val="12"/>
        <rFont val="Calibri"/>
        <family val="2"/>
      </rPr>
      <t>Grade beam</t>
    </r>
    <r>
      <rPr>
        <sz val="12"/>
        <rFont val="Calibri"/>
        <family val="2"/>
      </rPr>
      <t xml:space="preserve"> Main Wall alround A</t>
    </r>
  </si>
  <si>
    <t>Portico 3 sides B</t>
  </si>
  <si>
    <t>C/W between CCTNS and Entrance lobby/Reception</t>
  </si>
  <si>
    <t>C/W between INS and Entrance lobby/Reception</t>
  </si>
  <si>
    <t>In front of Lock - up (Women) &amp; Arms &amp; Ammunition and Station Writer</t>
  </si>
  <si>
    <t>C/W between C1D1 to C8D8</t>
  </si>
  <si>
    <t>C/W between C1 to C9</t>
  </si>
  <si>
    <t>Ramp Two Sides</t>
  </si>
  <si>
    <t>Three Sides of Wall at Rear sides Toilet</t>
  </si>
  <si>
    <t>C/W Between Rear Side Toilet @ women and men lock up</t>
  </si>
  <si>
    <t>C/W Between vertical in Toilet @ women and men lock up</t>
  </si>
  <si>
    <t>Inspection chambers</t>
  </si>
  <si>
    <r>
      <t>m</t>
    </r>
    <r>
      <rPr>
        <b/>
        <vertAlign val="superscript"/>
        <sz val="12"/>
        <rFont val="Calibri"/>
        <family val="2"/>
      </rPr>
      <t>3</t>
    </r>
  </si>
  <si>
    <t>Supplying and Filling in Foundation and Basement with Filling LIME.</t>
  </si>
  <si>
    <t>Supplying and Filling in Foundation and Basement with Filling sand.</t>
  </si>
  <si>
    <t>CCTNS</t>
  </si>
  <si>
    <t>Reception</t>
  </si>
  <si>
    <t>INS</t>
  </si>
  <si>
    <t>Lock up, Arms &amp; Toilet</t>
  </si>
  <si>
    <t>Stair area</t>
  </si>
  <si>
    <t>Station Writer</t>
  </si>
  <si>
    <t>Portico</t>
  </si>
  <si>
    <t>C/W between C1D1 to C9D9</t>
  </si>
  <si>
    <t>C/W Between Rear Side Toilet</t>
  </si>
  <si>
    <t>Plain Cement Concrete 1:5:10 using 40 mm HBSJ.</t>
  </si>
  <si>
    <t>Standardised concrete Mix M20 Grade Concrete in Foundation and Basement.</t>
  </si>
  <si>
    <t>Column upto grade beam bottom</t>
  </si>
  <si>
    <t>C1a</t>
  </si>
  <si>
    <t>C4a</t>
  </si>
  <si>
    <t>Column upto grade beam above</t>
  </si>
  <si>
    <r>
      <rPr>
        <b/>
        <sz val="12"/>
        <rFont val="Calibri"/>
        <family val="2"/>
      </rPr>
      <t>Plinth beam</t>
    </r>
    <r>
      <rPr>
        <sz val="12"/>
        <rFont val="Calibri"/>
        <family val="2"/>
      </rPr>
      <t xml:space="preserve"> Main Wall alround A</t>
    </r>
  </si>
  <si>
    <t>Brickwork in Cement Morter 1:5 in Foundation and Basement.</t>
  </si>
  <si>
    <t>Main Wall alround A</t>
  </si>
  <si>
    <t>In front of Lock - up (Women) &amp; Arms &amp; Ammunition</t>
  </si>
  <si>
    <t>C/W between S/C &amp; Station Writer</t>
  </si>
  <si>
    <t>In front of Lock - up (Men) &amp; Ins Toilet</t>
  </si>
  <si>
    <t>Harizandel Reception &amp; Station Writer</t>
  </si>
  <si>
    <t>C/W between Verandah &amp; Portico</t>
  </si>
  <si>
    <t>C/W between Rear Toilet</t>
  </si>
  <si>
    <t>Ramp side wall</t>
  </si>
  <si>
    <t>Entrance Step 1</t>
  </si>
  <si>
    <t>Entrance Step 2</t>
  </si>
  <si>
    <t>Entrance Step 3</t>
  </si>
  <si>
    <t>Lock-up, Arms &amp; INS. Room</t>
  </si>
  <si>
    <t>Rear Toilet Horizontal</t>
  </si>
  <si>
    <t>Rear Toilet Vertical</t>
  </si>
  <si>
    <t>Sill slab  Window -W1</t>
  </si>
  <si>
    <t xml:space="preserve">                           SW1</t>
  </si>
  <si>
    <t>Lintel Main wall alround</t>
  </si>
  <si>
    <t>D/F stair room</t>
  </si>
  <si>
    <t>INS room</t>
  </si>
  <si>
    <t>CCTV</t>
  </si>
  <si>
    <t>Lockup men</t>
  </si>
  <si>
    <t>Lockup women</t>
  </si>
  <si>
    <t>Loft - INS room</t>
  </si>
  <si>
    <t>CCTN lintel</t>
  </si>
  <si>
    <t>lintel beam for windows W1</t>
  </si>
  <si>
    <t>sunshade for windows W1</t>
  </si>
  <si>
    <t xml:space="preserve">sunshade for ventilator - lock up </t>
  </si>
  <si>
    <t>lintel beam for ventilator V</t>
  </si>
  <si>
    <t>lintel beam for ventilator V1</t>
  </si>
  <si>
    <t>Landing slab</t>
  </si>
  <si>
    <t>Waist slab</t>
  </si>
  <si>
    <t>Staircase steps</t>
  </si>
  <si>
    <t>Landing side beam</t>
  </si>
  <si>
    <t>Landing rear beam</t>
  </si>
  <si>
    <t>Loft @ INS</t>
  </si>
  <si>
    <r>
      <rPr>
        <b/>
        <sz val="12"/>
        <rFont val="Calibri"/>
        <family val="2"/>
      </rPr>
      <t>Roof beam.</t>
    </r>
    <r>
      <rPr>
        <sz val="12"/>
        <rFont val="Calibri"/>
        <family val="2"/>
      </rPr>
      <t xml:space="preserve"> Front and left</t>
    </r>
  </si>
  <si>
    <t>rear &amp; right</t>
  </si>
  <si>
    <t>Add MD, FG beam extra tk</t>
  </si>
  <si>
    <t>Horizandel Reception &amp; Station Writer</t>
  </si>
  <si>
    <t>Horizandel CCTV</t>
  </si>
  <si>
    <t>C/W between Rear stair</t>
  </si>
  <si>
    <t>Portico 3 sides</t>
  </si>
  <si>
    <r>
      <rPr>
        <b/>
        <sz val="12"/>
        <rFont val="Calibri"/>
        <family val="2"/>
      </rPr>
      <t>G.Floor Slab.</t>
    </r>
    <r>
      <rPr>
        <sz val="12"/>
        <rFont val="Calibri"/>
        <family val="2"/>
      </rPr>
      <t xml:space="preserve">  CCTNS Room </t>
    </r>
  </si>
  <si>
    <t>Lock up (Women) &amp; Arms and Lock up (Men) &amp; Toilet</t>
  </si>
  <si>
    <t>Staircase front landing</t>
  </si>
  <si>
    <t>II Waist slab</t>
  </si>
  <si>
    <t>Portico slab</t>
  </si>
  <si>
    <t>b</t>
  </si>
  <si>
    <t xml:space="preserve">Sill slab - W1 </t>
  </si>
  <si>
    <t xml:space="preserve">             FW1</t>
  </si>
  <si>
    <t>S/S at Window W1</t>
  </si>
  <si>
    <t>Sunshade -  W1 &amp; D1</t>
  </si>
  <si>
    <t>Toilet front</t>
  </si>
  <si>
    <t>SI front</t>
  </si>
  <si>
    <t>Interrogation &amp; Property room front</t>
  </si>
  <si>
    <t>Store room front</t>
  </si>
  <si>
    <t>Rest room (Men)</t>
  </si>
  <si>
    <t>Rest room (Women)</t>
  </si>
  <si>
    <t>IIIrd Waist slab</t>
  </si>
  <si>
    <t>Landing beam</t>
  </si>
  <si>
    <t>Loft @ Rest room</t>
  </si>
  <si>
    <r>
      <rPr>
        <b/>
        <sz val="12"/>
        <rFont val="Calibri"/>
        <family val="2"/>
      </rPr>
      <t>Roof beam.</t>
    </r>
    <r>
      <rPr>
        <sz val="12"/>
        <rFont val="Calibri"/>
        <family val="2"/>
      </rPr>
      <t xml:space="preserve"> Alround Main wall</t>
    </r>
  </si>
  <si>
    <t>D/d Stair beam</t>
  </si>
  <si>
    <t>In between Rest room (Men) &amp; Interrogation</t>
  </si>
  <si>
    <t>In between SI,Property room &amp; Interrogation</t>
  </si>
  <si>
    <t>In between Toilet &amp; SI</t>
  </si>
  <si>
    <t>In between S/C &amp; Rest room men and Women</t>
  </si>
  <si>
    <r>
      <rPr>
        <b/>
        <sz val="12"/>
        <rFont val="Calibri"/>
        <family val="2"/>
      </rPr>
      <t>F.Floor Slab.</t>
    </r>
    <r>
      <rPr>
        <sz val="12"/>
        <rFont val="Calibri"/>
        <family val="2"/>
      </rPr>
      <t xml:space="preserve"> Toilet</t>
    </r>
  </si>
  <si>
    <t>SI 3 Nos</t>
  </si>
  <si>
    <t>Store &amp; Property room</t>
  </si>
  <si>
    <t>Interrogation &amp; Rest room (Men)</t>
  </si>
  <si>
    <t>Rest room (w)</t>
  </si>
  <si>
    <t>Staircase</t>
  </si>
  <si>
    <t>IVth Waist slab</t>
  </si>
  <si>
    <t>c</t>
  </si>
  <si>
    <t>Second Floor</t>
  </si>
  <si>
    <t>Head room slab</t>
  </si>
  <si>
    <t>Beams alround</t>
  </si>
  <si>
    <t>D1 sunshade</t>
  </si>
  <si>
    <t>Lintel</t>
  </si>
  <si>
    <t>Head room column C1</t>
  </si>
  <si>
    <t>Head room column C3 &amp; C4</t>
  </si>
  <si>
    <t>Brickwork in Cement Morter 1:6 using Kiln Burnt Country Bricks of size 22x11x7 mm in the following floors</t>
  </si>
  <si>
    <t xml:space="preserve">Building Alround  </t>
  </si>
  <si>
    <t>D/F Main door MD</t>
  </si>
  <si>
    <t>D/F French Window</t>
  </si>
  <si>
    <t>D/F Window W1</t>
  </si>
  <si>
    <t>D/F Window W2</t>
  </si>
  <si>
    <t>D/F Window SW1</t>
  </si>
  <si>
    <t>D/F Ventilator V</t>
  </si>
  <si>
    <t>D/F Ventilator V1</t>
  </si>
  <si>
    <t>Rear toilet</t>
  </si>
  <si>
    <t>D/F Door D4</t>
  </si>
  <si>
    <t>In between Reception &amp; INS</t>
  </si>
  <si>
    <t>D/F Door D1</t>
  </si>
  <si>
    <t>In between Reception &amp; Station writer</t>
  </si>
  <si>
    <t>D/F Open</t>
  </si>
  <si>
    <t>Inbetween stair and Ins</t>
  </si>
  <si>
    <t>Lock up front wall</t>
  </si>
  <si>
    <t>D/F Door D2</t>
  </si>
  <si>
    <t>D/F Door D5</t>
  </si>
  <si>
    <t>In between Lock up &amp; Arms and Lock up &amp; Toilet</t>
  </si>
  <si>
    <t>Inbet S/C and Station writer</t>
  </si>
  <si>
    <t>Toilet &amp; Arms room above lintel</t>
  </si>
  <si>
    <t>CCTNS front wall above lintel</t>
  </si>
  <si>
    <t>Main wall alround</t>
  </si>
  <si>
    <t>D/F Door D5 A</t>
  </si>
  <si>
    <t>D/F Window W</t>
  </si>
  <si>
    <t>D/F Window W3</t>
  </si>
  <si>
    <t>D/F Window W4</t>
  </si>
  <si>
    <t>D/F Window SW</t>
  </si>
  <si>
    <t>D/F Ventilator V0</t>
  </si>
  <si>
    <t>D/F Ventilator RV</t>
  </si>
  <si>
    <t>Toilet Side wall</t>
  </si>
  <si>
    <t>In between SI 3 Nos &amp; Property front passage</t>
  </si>
  <si>
    <t>SI 3 Nos front wall</t>
  </si>
  <si>
    <t>In between S/C &amp; Rest room</t>
  </si>
  <si>
    <t>D/F Passage</t>
  </si>
  <si>
    <t>Inbet toilets</t>
  </si>
  <si>
    <t>Tank wall 3sides</t>
  </si>
  <si>
    <t>Parapet pillars(portico)</t>
  </si>
  <si>
    <t>Toilet front wall</t>
  </si>
  <si>
    <t>In between store &amp; Property</t>
  </si>
  <si>
    <t>Wall between Property &amp; Interrogation</t>
  </si>
  <si>
    <t>In front of Property &amp; Interrogation</t>
  </si>
  <si>
    <t>In between Interrogation &amp; Rest room</t>
  </si>
  <si>
    <t>Rest room Toilet</t>
  </si>
  <si>
    <t>C</t>
  </si>
  <si>
    <t>Head room alround</t>
  </si>
  <si>
    <t>Head room Parapret Pillar</t>
  </si>
  <si>
    <t>D/d Door - D1</t>
  </si>
  <si>
    <t>Head room column C3</t>
  </si>
  <si>
    <t>Parapet pillars(Terrace)</t>
  </si>
  <si>
    <t>Brick Partition wall of 110 mm thick  in cement morter 1:4 using Kiln Burnt Country Bricks of size 22x11x7 mm  in the following floors</t>
  </si>
  <si>
    <t>In beet CCTNS &amp; Reception</t>
  </si>
  <si>
    <t>S/C Toilet</t>
  </si>
  <si>
    <t>Lock up WC</t>
  </si>
  <si>
    <t>D/F Door - D3</t>
  </si>
  <si>
    <t>D/F Door - D4</t>
  </si>
  <si>
    <r>
      <t>m</t>
    </r>
    <r>
      <rPr>
        <b/>
        <vertAlign val="superscript"/>
        <sz val="12"/>
        <rFont val="Calibri"/>
        <family val="2"/>
      </rPr>
      <t>2</t>
    </r>
  </si>
  <si>
    <t>c.</t>
  </si>
  <si>
    <t>Horizontal</t>
  </si>
  <si>
    <t>Toilet wall</t>
  </si>
  <si>
    <t>Store room wall</t>
  </si>
  <si>
    <t>B/w property &amp; interrogation room</t>
  </si>
  <si>
    <t>B/w interrogation &amp; rest room men</t>
  </si>
  <si>
    <t xml:space="preserve">rest room men toilet wall </t>
  </si>
  <si>
    <t>Vertical</t>
  </si>
  <si>
    <t xml:space="preserve">property, interrogation room </t>
  </si>
  <si>
    <t>D/f door D1</t>
  </si>
  <si>
    <t>D/f door D2</t>
  </si>
  <si>
    <t>D/f door D4</t>
  </si>
  <si>
    <t>D/f door D5</t>
  </si>
  <si>
    <t>D/f door D5 A</t>
  </si>
  <si>
    <t xml:space="preserve">d/f Walls for pillers </t>
  </si>
  <si>
    <t>Portico Parapet alround</t>
  </si>
  <si>
    <t>D/F  for Pillars</t>
  </si>
  <si>
    <t>D/F head room wall</t>
  </si>
  <si>
    <t>Head room parapet alround</t>
  </si>
  <si>
    <t>D/d  for Pillars</t>
  </si>
  <si>
    <t>Terrace Parapet alround</t>
  </si>
  <si>
    <t>D/F Tank wall</t>
  </si>
  <si>
    <t>Brick Partition wall of 70 mm thick  in cement morter 1:4 using Kiln Burnt Country Bricks of size 22x11x7 mm  in the following floors</t>
  </si>
  <si>
    <t>Station Writter</t>
  </si>
  <si>
    <t>Inspector Room</t>
  </si>
  <si>
    <t>Arms C/B Wall</t>
  </si>
  <si>
    <t>Property room</t>
  </si>
  <si>
    <t>Sub Inspector Crime</t>
  </si>
  <si>
    <t>Rest Room ( M)</t>
  </si>
  <si>
    <t>Rest Room ( W)</t>
  </si>
  <si>
    <t>Srote room</t>
  </si>
  <si>
    <t>Brick Partition wall of 50 mm thick  in cement morter 1:4 using Kiln Burnt Country Bricks    in the following floors</t>
  </si>
  <si>
    <t xml:space="preserve">  Ground Floor</t>
  </si>
  <si>
    <t>Staircase hand rails</t>
  </si>
  <si>
    <t>Terrace landing</t>
  </si>
  <si>
    <t xml:space="preserve">Filling with exacavated earth </t>
  </si>
  <si>
    <t>Item No: 3.1</t>
  </si>
  <si>
    <t>Item No: 4.1</t>
  </si>
  <si>
    <t xml:space="preserve">Precast Cupboard slab 20 mm tk.using standardised concrete mix M20 </t>
  </si>
  <si>
    <t>Sub - Inspector</t>
  </si>
  <si>
    <t xml:space="preserve">Precast Cupboard slab 40 mm tk.using standardised concrete mix M20 </t>
  </si>
  <si>
    <t>In Foundation &amp; Basement</t>
  </si>
  <si>
    <t xml:space="preserve">IC </t>
  </si>
  <si>
    <t xml:space="preserve">In Ground floor </t>
  </si>
  <si>
    <t xml:space="preserve">Sub Inspector </t>
  </si>
  <si>
    <t>Rest Room (Men &amp; Women)</t>
  </si>
  <si>
    <t>Teak wood wrought and put up for doors and window frames.</t>
  </si>
  <si>
    <t>Scantling Over 2.00 m and Below 3.00 m</t>
  </si>
  <si>
    <t>Main Door Vertical &amp;D5A</t>
  </si>
  <si>
    <t>Scantling Below 2.00 m.</t>
  </si>
  <si>
    <t>Main Door Top</t>
  </si>
  <si>
    <t>Main Door Thresh hold plate</t>
  </si>
  <si>
    <t>D5A Top</t>
  </si>
  <si>
    <t>D5A Bottam</t>
  </si>
  <si>
    <t xml:space="preserve">S &amp; F Magnetic Door Catches </t>
  </si>
  <si>
    <t>Main enterance Door</t>
  </si>
  <si>
    <t>SI, Inspector, Arms &amp; S.writer</t>
  </si>
  <si>
    <t>SI,Rest Room Men &amp; women, Communication, store &amp; property</t>
  </si>
  <si>
    <t>Supplying and fixing in position of steel windows.</t>
  </si>
  <si>
    <t>Window - W. 1.50 x 1.35 m</t>
  </si>
  <si>
    <t>Window - W1. 1.65 x 1.35 m</t>
  </si>
  <si>
    <t>Window - W2. 1.2 x 1.35 m</t>
  </si>
  <si>
    <t>Window - W3. .85 x 1.35 m</t>
  </si>
  <si>
    <t>Window - W4. 0.75 x 1.35 m</t>
  </si>
  <si>
    <t>Window - SW. 1.8x 1.35 m</t>
  </si>
  <si>
    <t>Window - SW1. 0.90x 1.35 m</t>
  </si>
  <si>
    <t>Window - FW  1.00 x 2.00 m</t>
  </si>
  <si>
    <t>Ventilator -V1 .0.95x 0.75 m</t>
  </si>
  <si>
    <t>Supplying and Fixing in position of MS Hold Fast with suitable Screws</t>
  </si>
  <si>
    <t>Inspector, Arms &amp; CCTNS</t>
  </si>
  <si>
    <t>SI,Rest Room Men &amp; women, Interrogation, store &amp; property</t>
  </si>
  <si>
    <t>Flooring 1:5:10 using 40 mm hard broken ston jelly .</t>
  </si>
  <si>
    <t>Floor plastering with cement morter 1:4,       20 mm thick .</t>
  </si>
  <si>
    <t>Toilet depression area</t>
  </si>
  <si>
    <t>Toilet depression area at rest room men</t>
  </si>
  <si>
    <t>INS C/B wall</t>
  </si>
  <si>
    <t>CCTNS C/B wall</t>
  </si>
  <si>
    <t>arms &amp; ammunition C/B wall</t>
  </si>
  <si>
    <t>Station writer C/B wall</t>
  </si>
  <si>
    <t>SI room C/B wall</t>
  </si>
  <si>
    <t>Record room C/B wall</t>
  </si>
  <si>
    <t xml:space="preserve">rest room men C/B wall </t>
  </si>
  <si>
    <t xml:space="preserve">rest room women C/B wall </t>
  </si>
  <si>
    <t>Inspection chamber bottom</t>
  </si>
  <si>
    <t>Ellis Pattern with cement concrete 1:3 , 12 mm thick .</t>
  </si>
  <si>
    <t xml:space="preserve">At Lock up room for men </t>
  </si>
  <si>
    <t>A/f jambs</t>
  </si>
  <si>
    <t xml:space="preserve">At Lock up room for Women </t>
  </si>
  <si>
    <t xml:space="preserve">At Arms room </t>
  </si>
  <si>
    <t>Weathering Course using brick jelly 20 mm size with slaked lime.</t>
  </si>
  <si>
    <t>Rest room (Women) &amp; SI Toilet sunken portion</t>
  </si>
  <si>
    <t>Roof area</t>
  </si>
  <si>
    <t>D/F stair portion</t>
  </si>
  <si>
    <t>Head room roof area</t>
  </si>
  <si>
    <t>Open terrace</t>
  </si>
  <si>
    <t>Flashing tiles</t>
  </si>
  <si>
    <t>Flashing tiles portico alround</t>
  </si>
  <si>
    <t>Plastering with cement morter  1 : 5 12 mm thick etc all complete.</t>
  </si>
  <si>
    <t>Ground Floor :</t>
  </si>
  <si>
    <r>
      <rPr>
        <b/>
        <sz val="12"/>
        <rFont val="Calibri"/>
        <family val="2"/>
      </rPr>
      <t>Inner</t>
    </r>
    <r>
      <rPr>
        <sz val="12"/>
        <rFont val="Calibri"/>
        <family val="2"/>
      </rPr>
      <t xml:space="preserve"> G.F CCTNS alround</t>
    </r>
  </si>
  <si>
    <t>A/F Jams</t>
  </si>
  <si>
    <t>C/B Wall two side</t>
  </si>
  <si>
    <t>Recepttion</t>
  </si>
  <si>
    <t>D/F Main Door Md</t>
  </si>
  <si>
    <t>D/F Window FW</t>
  </si>
  <si>
    <t>INS alround</t>
  </si>
  <si>
    <t>D/F Door D3</t>
  </si>
  <si>
    <t>Arms &amp; Ammunition and Toilet</t>
  </si>
  <si>
    <t>Lock up alround</t>
  </si>
  <si>
    <t>Toilet Wall two side</t>
  </si>
  <si>
    <t>Station Writer and Passage alround</t>
  </si>
  <si>
    <t>C/B Wall two sides</t>
  </si>
  <si>
    <t>S/C toilet</t>
  </si>
  <si>
    <t>Rear Toilet</t>
  </si>
  <si>
    <r>
      <rPr>
        <b/>
        <sz val="12"/>
        <rFont val="Calibri"/>
        <family val="2"/>
      </rPr>
      <t>F.F</t>
    </r>
    <r>
      <rPr>
        <sz val="12"/>
        <rFont val="Calibri"/>
        <family val="2"/>
      </rPr>
      <t xml:space="preserve"> SI 3 Nos</t>
    </r>
  </si>
  <si>
    <t>C/B wall two side</t>
  </si>
  <si>
    <t>Toilet alround</t>
  </si>
  <si>
    <t>Rest room (W)</t>
  </si>
  <si>
    <t>Rest room (M)</t>
  </si>
  <si>
    <t>Interrogation alround</t>
  </si>
  <si>
    <t>Property room alround</t>
  </si>
  <si>
    <t>Store Room Alround</t>
  </si>
  <si>
    <t>S/C And Corridor alround</t>
  </si>
  <si>
    <t>D/F Window FW1</t>
  </si>
  <si>
    <t xml:space="preserve">Outter alround </t>
  </si>
  <si>
    <t>Portico Outer 3 side</t>
  </si>
  <si>
    <t>Portico Inner 3 side</t>
  </si>
  <si>
    <t>Piller sides</t>
  </si>
  <si>
    <t>Head room Outer alround</t>
  </si>
  <si>
    <t>S/S @ Window W1 (Top)</t>
  </si>
  <si>
    <t>S/S @ Window SW1 (Top)</t>
  </si>
  <si>
    <t>S/S @ Ventilator V (Top)</t>
  </si>
  <si>
    <t>Door D1 (Top)</t>
  </si>
  <si>
    <t>S/S @ Window FW1 (Top)</t>
  </si>
  <si>
    <t>`</t>
  </si>
  <si>
    <t>Plastering  in CM 1 : 4, 12 mm thick.</t>
  </si>
  <si>
    <t>SC Handrails inner</t>
  </si>
  <si>
    <t>SC Handrails Outer</t>
  </si>
  <si>
    <t xml:space="preserve">Special Ceiling Plastering  with cement morter 1:3 , 10 mm thick </t>
  </si>
  <si>
    <t>Ground Floor:</t>
  </si>
  <si>
    <t>Roof beem alround</t>
  </si>
  <si>
    <t>Arms</t>
  </si>
  <si>
    <t>Lock up</t>
  </si>
  <si>
    <t>S/C Landing</t>
  </si>
  <si>
    <t>S/C Flight Bottom</t>
  </si>
  <si>
    <t>Passage</t>
  </si>
  <si>
    <t>Interrogation</t>
  </si>
  <si>
    <t>Corridor</t>
  </si>
  <si>
    <t>Flight</t>
  </si>
  <si>
    <t>Head room</t>
  </si>
  <si>
    <t>S/S @ Window W (Bottom)</t>
  </si>
  <si>
    <t>S/S @ Window SLW (Bottom)</t>
  </si>
  <si>
    <t>S/S @ Window W2 (Bottom)</t>
  </si>
  <si>
    <t>S/S @ Window W1 (Bottom)</t>
  </si>
  <si>
    <t>S/S @ Window W3 (Bottom)</t>
  </si>
  <si>
    <t>S/S @ Window W4 (Bottom)</t>
  </si>
  <si>
    <t>S/S @ Ventilator V (Bottom)</t>
  </si>
  <si>
    <t>S/S @ Window SW (Bottom)</t>
  </si>
  <si>
    <t>S/S @ Window SW1 (Bottom)</t>
  </si>
  <si>
    <t>Door D5A (Bottom)</t>
  </si>
  <si>
    <t>S/S @ Window RV (Bottom)</t>
  </si>
  <si>
    <t xml:space="preserve">150mm wide </t>
  </si>
  <si>
    <t xml:space="preserve">Alround Building </t>
  </si>
  <si>
    <t xml:space="preserve">Headroom alround </t>
  </si>
  <si>
    <t>Portico alround</t>
  </si>
  <si>
    <t>m</t>
  </si>
  <si>
    <t xml:space="preserve"> 75 mm wide</t>
  </si>
  <si>
    <t>Alround building</t>
  </si>
  <si>
    <t>frond elevation</t>
  </si>
  <si>
    <t>50 mm wide</t>
  </si>
  <si>
    <t xml:space="preserve">Parapet Alround </t>
  </si>
  <si>
    <t>Sl.No.(35) Ceiling plastering area</t>
  </si>
  <si>
    <t xml:space="preserve">Supplying and fixing in position of M.S Grills </t>
  </si>
  <si>
    <t>Ramp Hand Rail</t>
  </si>
  <si>
    <t>Head room door and Station writter</t>
  </si>
  <si>
    <t>Station writter frame</t>
  </si>
  <si>
    <t>S.W</t>
  </si>
  <si>
    <t>x 30 Kg /Sqm</t>
  </si>
  <si>
    <t>First Floor     D5</t>
  </si>
  <si>
    <t>T.W DSA</t>
  </si>
  <si>
    <t>Providing Wooden (Melamine) polish for new wood</t>
  </si>
  <si>
    <t>Main door (1.8X2.10)</t>
  </si>
  <si>
    <t>Painting New Iron  work</t>
  </si>
  <si>
    <t>Ventilator -V1 .0.90x 0.75 m</t>
  </si>
  <si>
    <t>Ventilator -RV .1.00x 0.60 m</t>
  </si>
  <si>
    <t>Rain Water Pipe 110 mm dia</t>
  </si>
  <si>
    <t>Soil Line 110 mm dia</t>
  </si>
  <si>
    <t>Soil Line 75 mm dia</t>
  </si>
  <si>
    <t>Water line 32 mm dia</t>
  </si>
  <si>
    <t>Water line 25 mm dia</t>
  </si>
  <si>
    <t>GF - Ins &amp; SI</t>
  </si>
  <si>
    <t>FF - SI</t>
  </si>
  <si>
    <t>Aluminium Towel rail 75 cm long</t>
  </si>
  <si>
    <t>GF - Ins</t>
  </si>
  <si>
    <t>Rest Room (M) &amp; (W)</t>
  </si>
  <si>
    <t>S&amp;F of 5 pin coat stand</t>
  </si>
  <si>
    <t xml:space="preserve">Toilet </t>
  </si>
  <si>
    <t>Toilet &amp;WC</t>
  </si>
  <si>
    <t>S&amp;F planting Avenue tree</t>
  </si>
  <si>
    <t>Providing tree guard</t>
  </si>
  <si>
    <t>Supplying fabricating and errection of MS Scheme Name Board</t>
  </si>
  <si>
    <t>Supplying and laying in position of ASTM Pipes .</t>
  </si>
  <si>
    <t>32mm Dia</t>
  </si>
  <si>
    <t xml:space="preserve">Bore  to OHT </t>
  </si>
  <si>
    <t>25mm Dia</t>
  </si>
  <si>
    <t>OHT to GF Toilet</t>
  </si>
  <si>
    <t>OHT to FF Toilet</t>
  </si>
  <si>
    <t>Air vent</t>
  </si>
  <si>
    <t>Over flow</t>
  </si>
  <si>
    <t>Supplying and fixing of half turn CP long body Tap of 15mm dia of best approved quality.</t>
  </si>
  <si>
    <t>GF - Toilets</t>
  </si>
  <si>
    <t>FF - Toilets</t>
  </si>
  <si>
    <t>Supplying and fixing of half turn CP Short body Tap of 15mm dia of best approved quality.</t>
  </si>
  <si>
    <t>Lockup toilets</t>
  </si>
  <si>
    <t>S &amp; F EWC ( White )</t>
  </si>
  <si>
    <t>GF -Inspector</t>
  </si>
  <si>
    <t>FF - SI toilets, Men &amp; Women rest room Toilet</t>
  </si>
  <si>
    <t>PVC Nahani trap</t>
  </si>
  <si>
    <t>GF Toilet &amp; WB</t>
  </si>
  <si>
    <t>FF Toilet &amp; WB</t>
  </si>
  <si>
    <t>UPVC Non Pressure  pipe of SN8 SDR 34 ( S 16.5) as per IS 15328/2003</t>
  </si>
  <si>
    <t>110mm Dia pipe</t>
  </si>
  <si>
    <t>GF Toilet to Inspection Chamber</t>
  </si>
  <si>
    <t>FF Toilet  Bend to Inspection Chamber</t>
  </si>
  <si>
    <t>Between Inspection Chambers</t>
  </si>
  <si>
    <t>Inspection Chamber to Septic Tank</t>
  </si>
  <si>
    <t>Gully Chamber to Sullage Drain</t>
  </si>
  <si>
    <t>PVC Specials  as per IS 10124/1982 Part II a. 110 mm dia PVC bend (TWAD SR 17-18  P-19 S.No-4 )</t>
  </si>
  <si>
    <t>FF Toilet soil line bottom</t>
  </si>
  <si>
    <t>Sub - Inspector Room</t>
  </si>
  <si>
    <t>Inspector</t>
  </si>
  <si>
    <t>S &amp; F Fibre box with fan hook</t>
  </si>
  <si>
    <t>As per Sl.No. (65) Fan point qty</t>
  </si>
  <si>
    <t xml:space="preserve">Labour Charges for Fixing fan </t>
  </si>
  <si>
    <t>Earthing connection</t>
  </si>
  <si>
    <t>S &amp; F T.W box For TV/Telephone line socket point.</t>
  </si>
  <si>
    <t>SI &amp; Ins</t>
  </si>
  <si>
    <t>Station writter</t>
  </si>
  <si>
    <t>S &amp; Laying 20 mm Dia PVC pipe for telephone line</t>
  </si>
  <si>
    <t>SI &amp; Station Writter</t>
  </si>
  <si>
    <t xml:space="preserve">Earthing station </t>
  </si>
  <si>
    <t>S &amp; F Country wood Meter Cupboard.</t>
  </si>
  <si>
    <t>S &amp; F of MS angle of size 25 x 25 x 5 mm .</t>
  </si>
  <si>
    <t>For EB Service</t>
  </si>
  <si>
    <t>Plinth Area of the building</t>
  </si>
  <si>
    <t>Stair projection</t>
  </si>
  <si>
    <t>Portico portion</t>
  </si>
  <si>
    <t xml:space="preserve">Supplying and filling with Well Gravel </t>
  </si>
  <si>
    <t xml:space="preserve">Road front </t>
  </si>
  <si>
    <t>Deduction for filling with excavated earth</t>
  </si>
  <si>
    <t>18.1.a</t>
  </si>
  <si>
    <t>Formwork using MS Sheet  for column footing , plinth beam , raft beam and raft slab etc,</t>
  </si>
  <si>
    <t xml:space="preserve"> P.Beams  lockup(m) wall</t>
  </si>
  <si>
    <t xml:space="preserve"> lockup(w) wall</t>
  </si>
  <si>
    <t>toilet wc's cross wall</t>
  </si>
  <si>
    <r>
      <t>m</t>
    </r>
    <r>
      <rPr>
        <vertAlign val="superscript"/>
        <sz val="12"/>
        <rFont val="Calibri"/>
        <family val="2"/>
      </rPr>
      <t>2</t>
    </r>
  </si>
  <si>
    <t>18.1.b</t>
  </si>
  <si>
    <t>Form work for Plain surfaces such as Roof slab, Floor slab, Beams , Lintels, Lofts Staircase waist and landing slabs and other similar works etc., .</t>
  </si>
  <si>
    <t>Sill Slab</t>
  </si>
  <si>
    <t xml:space="preserve">Lintel </t>
  </si>
  <si>
    <t>Window - W. 1.50 x 1.35 m Sides</t>
  </si>
  <si>
    <t>Window - W1. 1.65 x 1.35 m Sides</t>
  </si>
  <si>
    <t>Window - W2. 1.2 x 1.35 m Sides</t>
  </si>
  <si>
    <t>Window - W3. .85 x 1.35 m Sides</t>
  </si>
  <si>
    <t>Window - W4. 0.75 x 1.35 m Sides</t>
  </si>
  <si>
    <t>Window - SW. 1.8x 1.35 m Sides</t>
  </si>
  <si>
    <t>Window - SW1. 0.90x 1.35 m Sides</t>
  </si>
  <si>
    <t>Window - FW  1.00 x 2.00 m Sides</t>
  </si>
  <si>
    <t>FW &amp; MD lintel side</t>
  </si>
  <si>
    <t>FW1lintel side</t>
  </si>
  <si>
    <t>Door D1 lintel side</t>
  </si>
  <si>
    <t>Door D2 lintel side</t>
  </si>
  <si>
    <t>Door D4 lintel side</t>
  </si>
  <si>
    <t>Door D5 lintel side</t>
  </si>
  <si>
    <t>Door D5A lintel side</t>
  </si>
  <si>
    <t>G.F ROOF</t>
  </si>
  <si>
    <t>Beam bottom alround</t>
  </si>
  <si>
    <t>Portico beam bottom(H)</t>
  </si>
  <si>
    <t>Midlanding beam bottom(H)</t>
  </si>
  <si>
    <t>B/W toilet &amp; CCTNS</t>
  </si>
  <si>
    <t>Portico(V)</t>
  </si>
  <si>
    <t>Beam b/w CCTN,INS,lobby</t>
  </si>
  <si>
    <t>Stair adjacent sides</t>
  </si>
  <si>
    <t>Portico inner alround three sides</t>
  </si>
  <si>
    <t>Entrance lobby inner</t>
  </si>
  <si>
    <t>Ins room</t>
  </si>
  <si>
    <t>CCTN</t>
  </si>
  <si>
    <t>Common toilet</t>
  </si>
  <si>
    <t>writter room</t>
  </si>
  <si>
    <t>Stair inner</t>
  </si>
  <si>
    <t xml:space="preserve">Roof slab </t>
  </si>
  <si>
    <t>IInd flight bottom</t>
  </si>
  <si>
    <t>Waist slab sides</t>
  </si>
  <si>
    <t xml:space="preserve">Midlanding </t>
  </si>
  <si>
    <t>Beam outer alround</t>
  </si>
  <si>
    <t>Portico outer sides</t>
  </si>
  <si>
    <t>Staircase three sides</t>
  </si>
  <si>
    <t>F.F ROOF</t>
  </si>
  <si>
    <t xml:space="preserve">Beam b/w rest room(w&amp;m)              ,lobby                      </t>
  </si>
  <si>
    <t xml:space="preserve">CCTN </t>
  </si>
  <si>
    <t>I&amp;III waist slab bottom</t>
  </si>
  <si>
    <t>Toe beam</t>
  </si>
  <si>
    <t xml:space="preserve">Midlanding  slab bottom </t>
  </si>
  <si>
    <t xml:space="preserve">Midlanding  beam inner </t>
  </si>
  <si>
    <t xml:space="preserve">Midlanding  beam outer </t>
  </si>
  <si>
    <t>Midlanding  beam bottom</t>
  </si>
  <si>
    <t>Steps sides</t>
  </si>
  <si>
    <t>Lintel bottom</t>
  </si>
  <si>
    <t>Lintel sides</t>
  </si>
  <si>
    <t>Beam inner alround</t>
  </si>
  <si>
    <t>Tank base slab</t>
  </si>
  <si>
    <t>Slab sides</t>
  </si>
  <si>
    <t>Form work for column sides and Small Quantities</t>
  </si>
  <si>
    <t>Column upto grade beam avove</t>
  </si>
  <si>
    <t xml:space="preserve">Column upto GF roof beam </t>
  </si>
  <si>
    <t>Column upto FF roof beam</t>
  </si>
  <si>
    <t>S/S at Window SW1 (B)</t>
  </si>
  <si>
    <t>S/S at Window SW1 (S)</t>
  </si>
  <si>
    <t>S/S at Window FW1 (B)</t>
  </si>
  <si>
    <t>S/S at Window FW1 (S)</t>
  </si>
  <si>
    <t>R.C.C.Door frames of size 100 x 75mm with one edge grooves size 't' x 20 mm</t>
  </si>
  <si>
    <t xml:space="preserve">Arms,Record, Store </t>
  </si>
  <si>
    <t>c. 1000 x 2100 mm D1</t>
  </si>
  <si>
    <t xml:space="preserve"> Inspector, &amp; CCTNS</t>
  </si>
  <si>
    <t>SI,Rest Room Men &amp; Women and Interrogation.</t>
  </si>
  <si>
    <t xml:space="preserve"> T.W. frame &amp; TW styles &amp; rails with BWR double leaf shutters for cup board/ ward robes including two coat enamel paint &amp; one coat primer.</t>
  </si>
  <si>
    <t>GF. Ins, CCTNS</t>
  </si>
  <si>
    <t>FF. SI 3 Nos</t>
  </si>
  <si>
    <t>Rest room Men &amp; Women</t>
  </si>
  <si>
    <t>TW double leaves shutter of size 1800 x 2100mm with Brass fittings</t>
  </si>
  <si>
    <t xml:space="preserve">Main Door  1.80 m x 2.10 m </t>
  </si>
  <si>
    <t>23.1.6</t>
  </si>
  <si>
    <t xml:space="preserve"> Inspector, &amp; CCTNS Arms,Record, Store  </t>
  </si>
  <si>
    <t xml:space="preserve">  </t>
  </si>
  <si>
    <t>a. 900X2100mm.(Single leaf)</t>
  </si>
  <si>
    <t xml:space="preserve">Arms,Record, Store  </t>
  </si>
  <si>
    <t>Toilet door- D4</t>
  </si>
  <si>
    <t>Toilet door-D3 Lock up</t>
  </si>
  <si>
    <t>Glass Panels 4mm thick with Aluminium beedings.</t>
  </si>
  <si>
    <t>Glazed tiles in CM 1:2- 12 mm thick.</t>
  </si>
  <si>
    <t>lockup men &amp; women WC alround</t>
  </si>
  <si>
    <t>INS room toilet</t>
  </si>
  <si>
    <t>A/f depression</t>
  </si>
  <si>
    <t>D/f door D3</t>
  </si>
  <si>
    <t>toilet below staircase</t>
  </si>
  <si>
    <t>Entrance lobby skirting tiles</t>
  </si>
  <si>
    <t>INS room skirting tiles</t>
  </si>
  <si>
    <t>Station writer skirting tiles</t>
  </si>
  <si>
    <t>Arms &amp; ammunition room skirting tiles</t>
  </si>
  <si>
    <t>infront of arms &amp; ammunition room skirting tiles</t>
  </si>
  <si>
    <t>below staircase skirting tiles</t>
  </si>
  <si>
    <t>CCTNS skirting tiles</t>
  </si>
  <si>
    <t>SI room &amp; rest room women toilet</t>
  </si>
  <si>
    <t>Rest room men toilet</t>
  </si>
  <si>
    <t>SI room skirting tiles</t>
  </si>
  <si>
    <t>SI room passage skirting tiles</t>
  </si>
  <si>
    <t>Store room skirting tiles</t>
  </si>
  <si>
    <t>Property room skirting tiles</t>
  </si>
  <si>
    <t>Interrogation room skirting tiles</t>
  </si>
  <si>
    <t xml:space="preserve">rest room men toilet passage </t>
  </si>
  <si>
    <t>Interrogation room corridor skirting tiles</t>
  </si>
  <si>
    <t>infront of SI room skirting tiles</t>
  </si>
  <si>
    <t>infront of staircase</t>
  </si>
  <si>
    <t>Rest room skirting tiles</t>
  </si>
  <si>
    <t>Head room landing skirting tiles</t>
  </si>
  <si>
    <r>
      <t xml:space="preserve">Supplying laying of </t>
    </r>
    <r>
      <rPr>
        <b/>
        <sz val="12"/>
        <rFont val="Calibri"/>
        <family val="2"/>
      </rPr>
      <t>Floor Ceramics Tiles (Anti skid)</t>
    </r>
    <r>
      <rPr>
        <sz val="12"/>
        <rFont val="Calibri"/>
        <family val="2"/>
      </rPr>
      <t xml:space="preserve"> in cm 1:3, 20mm tk. .</t>
    </r>
  </si>
  <si>
    <t>INS toilet</t>
  </si>
  <si>
    <t xml:space="preserve">Add door jambs </t>
  </si>
  <si>
    <t>Lock up men &amp; women WC</t>
  </si>
  <si>
    <t>rear side toilet</t>
  </si>
  <si>
    <t xml:space="preserve">Women rest room &amp; SI room toilet </t>
  </si>
  <si>
    <t xml:space="preserve">Mens  rest room toilet </t>
  </si>
  <si>
    <t>Supplying laying of Granite tile flooring (Super fine polished with machine cutt edges of size 2'x1',10mm tk).</t>
  </si>
  <si>
    <t>Entrance lobby</t>
  </si>
  <si>
    <t>Station writer room</t>
  </si>
  <si>
    <t>Infront of arms &amp; ammunition</t>
  </si>
  <si>
    <t>Infront of toilet</t>
  </si>
  <si>
    <t>A/f open jambs</t>
  </si>
  <si>
    <t>Property room corridor</t>
  </si>
  <si>
    <t>Infront of SI room</t>
  </si>
  <si>
    <t xml:space="preserve">infront of Staircase </t>
  </si>
  <si>
    <t>Landing Projection</t>
  </si>
  <si>
    <t>Vetrified Tiles flooring (Ivory)</t>
  </si>
  <si>
    <t>GF.   Inspector room</t>
  </si>
  <si>
    <t>Door D1 bot</t>
  </si>
  <si>
    <t>FF.   SI</t>
  </si>
  <si>
    <t>Rest Room (Women)</t>
  </si>
  <si>
    <t>door D1 bot</t>
  </si>
  <si>
    <t>Sl.No.(38.6) Painting one coat of white cement area</t>
  </si>
  <si>
    <t xml:space="preserve">Outer alround </t>
  </si>
  <si>
    <t>Supplying fabricating placing in RTS &amp; MS rod for reinforcemen for RCC works [with out cement slurry]</t>
  </si>
  <si>
    <t>As per concrete qty</t>
  </si>
  <si>
    <t>Precaste 40mm qty item no.14.11</t>
  </si>
  <si>
    <t>Precaste 20mm qty item no.14.1</t>
  </si>
  <si>
    <t>Rain water harvesting using defunct borewell and providing perforatedcover slab.</t>
  </si>
  <si>
    <t>a.) Providing pit</t>
  </si>
  <si>
    <t>b.) Augering 30cm dia</t>
  </si>
  <si>
    <t>Rain water down fall pipe 110 mm dia.</t>
  </si>
  <si>
    <t>Rain water pipe</t>
  </si>
  <si>
    <t>Head Room</t>
  </si>
  <si>
    <t xml:space="preserve"> Toilet inside in GF</t>
  </si>
  <si>
    <t xml:space="preserve"> Toilet inside in Lock up</t>
  </si>
  <si>
    <t xml:space="preserve"> Toilet inside SI &amp; Rest Rooms </t>
  </si>
  <si>
    <t>GF - Inspector, S/C Bottom Toilet</t>
  </si>
  <si>
    <t>FF -  SI 3 Nos, Rest room Toilet</t>
  </si>
  <si>
    <t xml:space="preserve">S &amp; F of Indian Water closet white glazed (Oriya type) of size 580 x 440mm  - in Ground floor.  </t>
  </si>
  <si>
    <t>S/C Bottom &amp; Rear toilet and Lock ups</t>
  </si>
  <si>
    <t xml:space="preserve">Supplying and laying in position of PVC SWR Pipe </t>
  </si>
  <si>
    <t xml:space="preserve"> 110 mm pipe </t>
  </si>
  <si>
    <t xml:space="preserve">GF Ins, S/C Bottom &amp; rear toilet to Inspection Chamber </t>
  </si>
  <si>
    <t>Lock up Toilet to IC</t>
  </si>
  <si>
    <t xml:space="preserve">FF  Toilet to IC </t>
  </si>
  <si>
    <t xml:space="preserve"> 75mm pipe</t>
  </si>
  <si>
    <t xml:space="preserve">GF   Toilet </t>
  </si>
  <si>
    <t xml:space="preserve">GF  Washbasin </t>
  </si>
  <si>
    <t>FF Toilet Waste water line</t>
  </si>
  <si>
    <t>Vent Pipe</t>
  </si>
  <si>
    <t>Supplying and laying of concealing 50mm PVC SWR pipe.</t>
  </si>
  <si>
    <t>64.1.a</t>
  </si>
  <si>
    <t xml:space="preserve"> Light pt with ceiling rose</t>
  </si>
  <si>
    <t xml:space="preserve">Energy saver Tube light </t>
  </si>
  <si>
    <t>In Ground Fllor</t>
  </si>
  <si>
    <t>Verantha</t>
  </si>
  <si>
    <t>Stair room</t>
  </si>
  <si>
    <t>Rest Room (M&amp;W)</t>
  </si>
  <si>
    <t>Intrrogation</t>
  </si>
  <si>
    <t>Bulk head</t>
  </si>
  <si>
    <t>Lock up Room (M) &amp; ( W)</t>
  </si>
  <si>
    <t>Terrace infront of SI</t>
  </si>
  <si>
    <t>Midlanding</t>
  </si>
  <si>
    <t>Ramp portion</t>
  </si>
  <si>
    <t>Excast fan</t>
  </si>
  <si>
    <t>GF Property, Ins, SI Toilets &amp; Rest room</t>
  </si>
  <si>
    <t>64.1.b</t>
  </si>
  <si>
    <t xml:space="preserve"> Light pt with Battern Holder</t>
  </si>
  <si>
    <t>Verandha</t>
  </si>
  <si>
    <t>Reseption</t>
  </si>
  <si>
    <t>Stair Bottom Toilet</t>
  </si>
  <si>
    <t>S/C Front Corridor</t>
  </si>
  <si>
    <t>S/C Rear toilet</t>
  </si>
  <si>
    <t>INS Toilet</t>
  </si>
  <si>
    <t>Property</t>
  </si>
  <si>
    <t>SI toilet</t>
  </si>
  <si>
    <t>Rest room (W&amp;M)</t>
  </si>
  <si>
    <t>Stair Carridor</t>
  </si>
  <si>
    <t>Rest room (W&amp;M) toilet</t>
  </si>
  <si>
    <t>64.1.c</t>
  </si>
  <si>
    <t>Calling bell Point</t>
  </si>
  <si>
    <t>Inspector, SI and Writer</t>
  </si>
  <si>
    <t xml:space="preserve">Fan point wiring </t>
  </si>
  <si>
    <t>Ground Fllor</t>
  </si>
  <si>
    <t>Hall</t>
  </si>
  <si>
    <t xml:space="preserve">Station Writter </t>
  </si>
  <si>
    <t>Rest Room(M)</t>
  </si>
  <si>
    <t>Rest Room(W)</t>
  </si>
  <si>
    <t>At Stair</t>
  </si>
  <si>
    <t>5 Amps 5 pin Switch Board  itself</t>
  </si>
  <si>
    <t>Station writer</t>
  </si>
  <si>
    <t>Rest Room</t>
  </si>
  <si>
    <t xml:space="preserve">5 Amps 5 pin Convenient places </t>
  </si>
  <si>
    <t>Rest Room(M&amp;W)</t>
  </si>
  <si>
    <t>S &amp; F 48" Ceiling fan with ISI make .</t>
  </si>
  <si>
    <t xml:space="preserve">Run Off 2 wires 2.5 Sqm </t>
  </si>
  <si>
    <t>Main board to Power Plug</t>
  </si>
  <si>
    <t>Main board to switch boards</t>
  </si>
  <si>
    <t>Main Board to Communication Room</t>
  </si>
  <si>
    <t xml:space="preserve">Main Board  to Power plug </t>
  </si>
  <si>
    <t>Run Off 4 wires 4.0 Sqm for EB service connection.</t>
  </si>
  <si>
    <t xml:space="preserve">EB pole to Main board </t>
  </si>
  <si>
    <t>Supplying and fixing of Bevelled edge mirror 500 x 400 x 5.5mm</t>
  </si>
  <si>
    <t>GF - Inspector, S/C Bottom toilet</t>
  </si>
  <si>
    <t>FF -  SI &amp; Rest room Toilet</t>
  </si>
  <si>
    <t xml:space="preserve">Service </t>
  </si>
  <si>
    <t>S &amp; F TW Plank of size  450 x 375 x 20 mm</t>
  </si>
  <si>
    <t>For Service</t>
  </si>
  <si>
    <t>Supplying and fixing of 3 Nos.of 32Amps - Fuse Unit</t>
  </si>
  <si>
    <t>EB supply at Pole</t>
  </si>
  <si>
    <t xml:space="preserve">S &amp; F 40Amps 3 Phase ELCB </t>
  </si>
  <si>
    <t xml:space="preserve">Supplying and fixing of 40 mm dia GI pipe </t>
  </si>
  <si>
    <t xml:space="preserve">Service Connection </t>
  </si>
  <si>
    <t>S &amp; F Exaust fan 225 mm</t>
  </si>
  <si>
    <t>S &amp; L of Eurocan tiles in CM 1;3 , 20 mm Thick</t>
  </si>
  <si>
    <t>Ramp Portion</t>
  </si>
  <si>
    <t>Entrance  Step</t>
  </si>
  <si>
    <t>Rear toilet Passage</t>
  </si>
  <si>
    <t>Staircase steps Thred &amp; raiser</t>
  </si>
  <si>
    <t>Roof landing</t>
  </si>
  <si>
    <t>Midlandings</t>
  </si>
  <si>
    <t>Supply and Fixing of MS door (for lockup door)</t>
  </si>
  <si>
    <t>Lock up Room (M) &amp; (W)</t>
  </si>
  <si>
    <t>Supply and Fixing of MS ventilator of size (for lockup room)</t>
  </si>
  <si>
    <t>RV 1000 X 600mm</t>
  </si>
  <si>
    <t>Providing PVC Tee with end cap 32mm dia.</t>
  </si>
  <si>
    <t xml:space="preserve">For Wash basin connection </t>
  </si>
  <si>
    <t>9 Watts led bulb</t>
  </si>
  <si>
    <t>GF toilet</t>
  </si>
  <si>
    <t>S &amp; F18 watts led  tube light fitting</t>
  </si>
  <si>
    <t>Rest Room men</t>
  </si>
  <si>
    <t>12  watts  LED bulb  qtn</t>
  </si>
  <si>
    <t>Entrance</t>
  </si>
  <si>
    <t xml:space="preserve">Station writer </t>
  </si>
  <si>
    <t>Court Room</t>
  </si>
  <si>
    <t xml:space="preserve">Rest room </t>
  </si>
  <si>
    <t>Verandah &amp; portico</t>
  </si>
  <si>
    <t>FF SI room</t>
  </si>
  <si>
    <t>Rest room men &amp; women</t>
  </si>
  <si>
    <t>Propertyroom</t>
  </si>
  <si>
    <t xml:space="preserve">Head room </t>
  </si>
  <si>
    <t>outer at Head room</t>
  </si>
  <si>
    <t>mid landing &amp; Head room floor landing</t>
  </si>
  <si>
    <t>Stucco plastering 12 mm tk.</t>
  </si>
  <si>
    <t>D/f lobby</t>
  </si>
  <si>
    <t>Says</t>
  </si>
  <si>
    <t>HDPE water tank lit capacity with ISI mark</t>
  </si>
  <si>
    <t>Terrace</t>
  </si>
  <si>
    <t>lit</t>
  </si>
  <si>
    <t>ABSTRACT</t>
  </si>
  <si>
    <t>Police Station building</t>
  </si>
  <si>
    <t>e.  door size 1.00 m x 2.100 (Single Leaf)</t>
  </si>
  <si>
    <t>f.  door size 0.9 m x 2.100 Single leaf)</t>
  </si>
  <si>
    <t>c) From 90mt.up to 120mt. depth ending from ground level.</t>
  </si>
  <si>
    <t>d) From 120mt.up to 150mt. depth ending from ground level.</t>
  </si>
  <si>
    <t>Supplying and delivery of 150mm dia PVC casing pipe wih ribs of PVC casing pipe suitable for medium with in 3m length all complete with ribs (R.S) up to 250m. (7.5 to 8.5mm wall thick)</t>
  </si>
  <si>
    <t>ii</t>
  </si>
  <si>
    <t>Supplying and delivery of 150mm dia PVC casing pipe PVC plain casing pipe suitable for medium with in 3m length etc., Casing medium above 80m.(7.5mm to 8.5mm wall thick.</t>
  </si>
  <si>
    <t>Cement &amp; Steel</t>
  </si>
  <si>
    <t>Rough stone, Bond stone, cut stone, HBG, Sand, gravel, surkhi, earth, crushed stone etc.</t>
  </si>
  <si>
    <t>Country
Bricks,</t>
  </si>
  <si>
    <t>Mangalore tiles,(1000nos.) machine pressed tiles, (2000nos)
Hydraulic pressed tiles, Mosaic tiles(1500 nos)</t>
  </si>
  <si>
    <t>Chamber bricks, Stock bricks, Fly ash bricks</t>
  </si>
  <si>
    <t>Lime stone, Laterite,brick jelly, wood work, pond ash(wet/Dry), Stone dust etc.</t>
  </si>
  <si>
    <t>(1MT)</t>
  </si>
  <si>
    <t>(1Cum)</t>
  </si>
  <si>
    <t>(1000 Nos)</t>
  </si>
  <si>
    <t>0-10</t>
  </si>
  <si>
    <t>10-20</t>
  </si>
  <si>
    <t>20-40</t>
  </si>
  <si>
    <t>40-80</t>
  </si>
  <si>
    <t>&gt;80</t>
  </si>
  <si>
    <t>Metal</t>
  </si>
  <si>
    <t xml:space="preserve">                                                                                                                                                                                                                                                                                                                                                </t>
  </si>
  <si>
    <t>Br jelly</t>
  </si>
  <si>
    <t>Sand</t>
  </si>
  <si>
    <t>Mosaic</t>
  </si>
  <si>
    <t>Lime</t>
  </si>
  <si>
    <t xml:space="preserve">Total km </t>
  </si>
  <si>
    <t>Rough &amp; Bond stone</t>
  </si>
  <si>
    <t>Wood</t>
  </si>
  <si>
    <t>lead</t>
  </si>
  <si>
    <t>Gravel</t>
  </si>
  <si>
    <t>Stone dust</t>
  </si>
  <si>
    <t>Cement</t>
  </si>
  <si>
    <t>Steel</t>
  </si>
  <si>
    <t>well gravel</t>
  </si>
  <si>
    <t>CS</t>
  </si>
  <si>
    <r>
      <t xml:space="preserve">Tamil Nadu Police Housing Corparation Ltd. </t>
    </r>
    <r>
      <rPr>
        <b/>
        <sz val="12"/>
        <rFont val="Helv"/>
      </rPr>
      <t xml:space="preserve"> DATA</t>
    </r>
  </si>
  <si>
    <t>TAMIL NADU POLICE HOUSING CORPORATION</t>
  </si>
  <si>
    <t>Tamil Nadu Police Housing Corparation Ltd.</t>
  </si>
  <si>
    <t>=</t>
  </si>
  <si>
    <t>======================================</t>
  </si>
  <si>
    <t>==========================================================</t>
  </si>
  <si>
    <t>PLACE:-</t>
  </si>
  <si>
    <t>Sivagangai</t>
  </si>
  <si>
    <t>2021-2022</t>
  </si>
  <si>
    <t xml:space="preserve">         </t>
  </si>
  <si>
    <t>QTY</t>
  </si>
  <si>
    <t>COST OF MATERIALS</t>
  </si>
  <si>
    <t>RATE</t>
  </si>
  <si>
    <t>PER</t>
  </si>
  <si>
    <t>AMOUNT</t>
  </si>
  <si>
    <t>SL.NO</t>
  </si>
  <si>
    <t>DESCRIPTION OF MATERIALS</t>
  </si>
  <si>
    <t>UNIT</t>
  </si>
  <si>
    <t>SOURCE</t>
  </si>
  <si>
    <t xml:space="preserve">COST OF </t>
  </si>
  <si>
    <t>LEAD</t>
  </si>
  <si>
    <t xml:space="preserve">Add 10% </t>
  </si>
  <si>
    <t>UN LO-</t>
  </si>
  <si>
    <t>MATERIAL</t>
  </si>
  <si>
    <t>LABOUR RATE</t>
  </si>
  <si>
    <t>CEMENT MORTAR(1:1.5)</t>
  </si>
  <si>
    <t>LIME MORTAR(1:2)</t>
  </si>
  <si>
    <t>Lead</t>
  </si>
  <si>
    <t>CHARGE</t>
  </si>
  <si>
    <t>for quarry at</t>
  </si>
  <si>
    <t>ADING</t>
  </si>
  <si>
    <t>COST @ SITE</t>
  </si>
  <si>
    <t>LABOUR CHARGES</t>
  </si>
  <si>
    <t xml:space="preserve">Thuvakudi </t>
  </si>
  <si>
    <t>10%</t>
  </si>
  <si>
    <t>20%</t>
  </si>
  <si>
    <t>50%</t>
  </si>
  <si>
    <t>5%</t>
  </si>
  <si>
    <t>25%</t>
  </si>
  <si>
    <t xml:space="preserve"> -------------</t>
  </si>
  <si>
    <t>CEMENT</t>
  </si>
  <si>
    <t>LIME</t>
  </si>
  <si>
    <t>1.</t>
  </si>
  <si>
    <t>ROUGH STONE sl.38  p18</t>
  </si>
  <si>
    <t>CUM.</t>
  </si>
  <si>
    <t>Narthamalai</t>
  </si>
  <si>
    <t>MASON-I Brick / Stone work p12 /29</t>
  </si>
  <si>
    <t>MASON  I *</t>
  </si>
  <si>
    <t>NO.</t>
  </si>
  <si>
    <t>CUM</t>
  </si>
  <si>
    <t>SAND</t>
  </si>
  <si>
    <t>2.</t>
  </si>
  <si>
    <t>BOND STONE sl.57 p18</t>
  </si>
  <si>
    <t>MASON-II Brick / Stone work p14/72</t>
  </si>
  <si>
    <t>MASON  II  *</t>
  </si>
  <si>
    <t>MIXING OF MORTAR</t>
  </si>
  <si>
    <t>GRINDING OF MORTAR</t>
  </si>
  <si>
    <t>3.</t>
  </si>
  <si>
    <t>HARD BROKEN STONE JELLY 3mm To 10mm p-18</t>
  </si>
  <si>
    <t>MAZDOOR-I p14/74</t>
  </si>
  <si>
    <t>MAZDOOR I   *</t>
  </si>
  <si>
    <t>L.S</t>
  </si>
  <si>
    <t>SUNDRIES</t>
  </si>
  <si>
    <t>4.</t>
  </si>
  <si>
    <t>HARD BROKEN STONE JELLY 10mm</t>
  </si>
  <si>
    <t>MAZDOOR-II p15/101</t>
  </si>
  <si>
    <t>MAZDOOR II*</t>
  </si>
  <si>
    <t>5.</t>
  </si>
  <si>
    <t>HARD BROKEN STONE JELLY 12mm</t>
  </si>
  <si>
    <t>PAINTER-I p12/36</t>
  </si>
  <si>
    <t>PAINTER I/II*</t>
  </si>
  <si>
    <t>TOTAL FOR 1 CUM</t>
  </si>
  <si>
    <t>6.</t>
  </si>
  <si>
    <t>HARD BROKEN STONE JELLY 20mm</t>
  </si>
  <si>
    <t>PAINTER-II p14/78</t>
  </si>
  <si>
    <t>PLUMBER  I*</t>
  </si>
  <si>
    <t>7.</t>
  </si>
  <si>
    <t>HARD BROKEN STONE JELLY 40mm</t>
  </si>
  <si>
    <t>PLUMBER-I p12/38</t>
  </si>
  <si>
    <t>CARPENTER I/II*</t>
  </si>
  <si>
    <t>CEMENT MORTAR(1:2)</t>
  </si>
  <si>
    <t>SUPPLYING MIXINNG AND LAYING</t>
  </si>
  <si>
    <t>8.</t>
  </si>
  <si>
    <t>SAND FOR MORTAR sl.100  p20</t>
  </si>
  <si>
    <t>PLUMBER-II p14/79</t>
  </si>
  <si>
    <t>FITTER I/II*</t>
  </si>
  <si>
    <t>LIME SAND MIX 1:1 RATIO</t>
  </si>
  <si>
    <t>9.</t>
  </si>
  <si>
    <t>SAND FOR FILLING</t>
  </si>
  <si>
    <t>FITTER-I  p12/18</t>
  </si>
  <si>
    <t>MIXING OF MORTAR* it-165</t>
  </si>
  <si>
    <t>CUM*</t>
  </si>
  <si>
    <t>INCLUDING COST OF</t>
  </si>
  <si>
    <t>10.</t>
  </si>
  <si>
    <t>Kiln Burnt Country Bricks  SIZE 22x11x7Cm p-16 it-5a</t>
  </si>
  <si>
    <t>1000nos.</t>
  </si>
  <si>
    <t>Vennar</t>
  </si>
  <si>
    <t>FITTER-II p13/68</t>
  </si>
  <si>
    <t>LIFT CHARGES FOR B.W IN G.F  * it-94 p-29</t>
  </si>
  <si>
    <t>SAND,LIME,LABOUR FOR MIXING</t>
  </si>
  <si>
    <t>11.</t>
  </si>
  <si>
    <t>BRICK JELLY 40mmGAUGE p-17 it-17 a</t>
  </si>
  <si>
    <t>CARPENTER-I p12/16</t>
  </si>
  <si>
    <t>LIFT CHARGES FOR B.W IN F.F  *</t>
  </si>
  <si>
    <t>&amp;LAYING ETC COMPLETE.</t>
  </si>
  <si>
    <t>12.</t>
  </si>
  <si>
    <t>BRICK JELLY 20mmGAUGE</t>
  </si>
  <si>
    <t>CARPENTER-II p13/64</t>
  </si>
  <si>
    <t>LIFT CHARGES FOR B.W IN S.F  *</t>
  </si>
  <si>
    <t>13.</t>
  </si>
  <si>
    <t>MACHINE PRESSED TILES 23x 23x 2 Cm p-17 It-20</t>
  </si>
  <si>
    <t>Local</t>
  </si>
  <si>
    <t>STONE CUTTER-I p12/41</t>
  </si>
  <si>
    <t>LIFT CHARGES FOR CONCRETE IN G.F  *it-92 p-29</t>
  </si>
  <si>
    <t>COST OF SAND</t>
  </si>
  <si>
    <t>14.</t>
  </si>
  <si>
    <t>SLACKED SHELL LIME sl.106 p20</t>
  </si>
  <si>
    <t>STONE CUTTER-II p14/83</t>
  </si>
  <si>
    <t>LIFT CHARGES FOR CONCRETE IN F.F  *</t>
  </si>
  <si>
    <t>COST OF LIME</t>
  </si>
  <si>
    <t>15.</t>
  </si>
  <si>
    <t>SLACKED &amp;SREENED LIME STONE sl107/67</t>
  </si>
  <si>
    <t>Athanakottai</t>
  </si>
  <si>
    <t>FLOOR POLISHER p12/20</t>
  </si>
  <si>
    <t>LIFT CHARGES FOR CONCRETE IN S.F  *</t>
  </si>
  <si>
    <t>LABOUR CHARGES FOR MIXING</t>
  </si>
  <si>
    <t>16.</t>
  </si>
  <si>
    <t>C.W SCANTLING UPTO 4M LONG p-21 it-127</t>
  </si>
  <si>
    <t>local</t>
  </si>
  <si>
    <t>Mortar mix charges manual  sl.165(Ann3 p-34)</t>
  </si>
  <si>
    <t>VIBRATER CHARGES  * it-103 p-28</t>
  </si>
  <si>
    <t>CEMENT MORTAR(1:3)</t>
  </si>
  <si>
    <t>LABOUR CHARGES FOR FILLING</t>
  </si>
  <si>
    <t>17.</t>
  </si>
  <si>
    <t>C.W. PLANK UPTO 40mmTHICK UPTO 30 Cm WIDTH</t>
  </si>
  <si>
    <t>Vibrat-charges(R.C.C) sl.103/2 p30</t>
  </si>
  <si>
    <t>EARTH FILLING  * it-76/85</t>
  </si>
  <si>
    <t xml:space="preserve"> 1CUM</t>
  </si>
  <si>
    <t>18.</t>
  </si>
  <si>
    <t>T.W SCANTLING 2M TO 3M LONG 112/73 p-21</t>
  </si>
  <si>
    <t>Vibrat-charges(P.C.C) sl.102</t>
  </si>
  <si>
    <t>SAND FILLING  * it-75/85</t>
  </si>
  <si>
    <t>19.</t>
  </si>
  <si>
    <t>T.W.SCANTLING BELOW 2M LONG 113/74 p-21</t>
  </si>
  <si>
    <t>Sand filling charges sl.75 p-28</t>
  </si>
  <si>
    <t>POLISHING STONE (average of rough, medium, fine) it-52 p-43</t>
  </si>
  <si>
    <t>TOTAL FOR 1.5 CUM</t>
  </si>
  <si>
    <t>20.</t>
  </si>
  <si>
    <t>T.W.PLANKS 15TO30cm WIDTH &amp; 12to25mm Thick it-119 p-21</t>
  </si>
  <si>
    <t>Earth filling charges sl.76 p-28</t>
  </si>
  <si>
    <t>FLOOR POLISHER (MOSAIC)  * p-11 it-17</t>
  </si>
  <si>
    <t>NO</t>
  </si>
  <si>
    <t>21.</t>
  </si>
  <si>
    <t>Country BricksKiln Burnt of SIZE 22x11x5Cm (7c)p-16</t>
  </si>
  <si>
    <t>E.W.  61/62 p-27</t>
  </si>
  <si>
    <t>LABOUR CHARGE FOR WROUGHT &amp; PUTUP /V-SHUTTER *p-30 it-143</t>
  </si>
  <si>
    <t>RATE PER CUM</t>
  </si>
  <si>
    <t>22.</t>
  </si>
  <si>
    <t>MOSAIC TILES GRAY 25X25X2cm.it-30 p-17</t>
  </si>
  <si>
    <t>L.C.T.W.Door- 144/2 p-32</t>
  </si>
  <si>
    <t>LABOUR CHARGE FOR DOOR/WINDOW SHUTTER  *p-30 it-144</t>
  </si>
  <si>
    <t>23.</t>
  </si>
  <si>
    <t>CEMENT (supply at site)</t>
  </si>
  <si>
    <t>L.C.marine doors-145/3 p-32</t>
  </si>
  <si>
    <t>COST OF RUBBER ,LUBRICATION,PLUG,CLAMP</t>
  </si>
  <si>
    <t>24.</t>
  </si>
  <si>
    <t>R.T.S. / M.S upto 16mm</t>
  </si>
  <si>
    <t>TW glazed window 149/8 p-33</t>
  </si>
  <si>
    <t>M.S. HOLD FAST WITH SCREWS *</t>
  </si>
  <si>
    <t>25.</t>
  </si>
  <si>
    <t>M.S./ R.T.S above 16mm</t>
  </si>
  <si>
    <t>Wrought&amp;putup 143/1 p-32</t>
  </si>
  <si>
    <t>M.S. SHEET/ANGLE PER M.T p23 I-159/112</t>
  </si>
  <si>
    <t>CEMENT MORTAR(1:4)</t>
  </si>
  <si>
    <t>26.</t>
  </si>
  <si>
    <t>Country BricksKiln Burnt  SIZE 22x11x5Cm</t>
  </si>
  <si>
    <t>Ventilator 153/14 p-33</t>
  </si>
  <si>
    <t xml:space="preserve">       </t>
  </si>
  <si>
    <t>27.</t>
  </si>
  <si>
    <t>HBSJ 11.2mm IRC metal (High W ay SR16-17)</t>
  </si>
  <si>
    <t>Meter- Cupboard Weldmesh 158/23 p-34</t>
  </si>
  <si>
    <t>Earth work lift for addl 1M p-27 it-66/77</t>
  </si>
  <si>
    <t>28.</t>
  </si>
  <si>
    <t>HBSJ 37.5mm to 26.5mm IRC metal</t>
  </si>
  <si>
    <t>E.W (SDR) 62/67 p-27</t>
  </si>
  <si>
    <t>Labour for petty iron worksp-34 it-167/1</t>
  </si>
  <si>
    <t>29.</t>
  </si>
  <si>
    <t>HBSJ 63mm to 45mm IRC metal</t>
  </si>
  <si>
    <t>FITTER-II (Pipe &amp; Bar Bend) 69/20a p-14</t>
  </si>
  <si>
    <t>TRANSPORTING &amp; ERRECTION</t>
  </si>
  <si>
    <t>30.</t>
  </si>
  <si>
    <t xml:space="preserve"> Gravel p20  92/57</t>
  </si>
  <si>
    <t>Thatchankurichi</t>
  </si>
  <si>
    <t>FITTER-I (Pipe &amp; Bar Bend) 19/20 p-12</t>
  </si>
  <si>
    <t>LABOUR COST OF CHANNELMOULD/PAINTING ANTCORROSIVE</t>
  </si>
  <si>
    <t xml:space="preserve"> Well Gravel p20  It93/57a</t>
  </si>
  <si>
    <t>E.W  loose soil p-26 SS20B/55/50</t>
  </si>
  <si>
    <t>COST OF PLASTERXERS/COST OF ANTI-CORROSIVE</t>
  </si>
  <si>
    <t>STONE CUTTER II  *</t>
  </si>
  <si>
    <t>Chamber Burnt Bricks of size 23x11.2x7Cm p16/4b</t>
  </si>
  <si>
    <t>CONVEYING,LOWERING&amp; JOINTING LABOUR</t>
  </si>
  <si>
    <t>CEMENT MORTAR(1:5)</t>
  </si>
  <si>
    <t>Chamber Burnt Bricks  of size 23x11.4x7.5Cmp16 /3a</t>
  </si>
  <si>
    <t>LABOUR FOR CUTTING 15mm DIA   * p-32 it-125 pwd</t>
  </si>
  <si>
    <t>Stone dust p20 96-58a</t>
  </si>
  <si>
    <t>LABOUR FOR CUTTING 20mm DIA  *</t>
  </si>
  <si>
    <t>6mmto 10mm HBG metal p-19 it-83+84/2</t>
  </si>
  <si>
    <t>LABOUR FOR CUTTING 25mm DIA  *</t>
  </si>
  <si>
    <t>Fly Ash Bricks  it-3A/8a p-16</t>
  </si>
  <si>
    <t>LABOUR FOR CUTTING 32mm DIA  *</t>
  </si>
  <si>
    <t>Crushed Stone SAND FOR MORTAR sl.98/58C p20</t>
  </si>
  <si>
    <t>LABOUR FOR CUTTING 40mm DIA  *</t>
  </si>
  <si>
    <t>CEMENT CONCRETE(1:8:16) USING</t>
  </si>
  <si>
    <t>Crushed Stone SAND FOR FILLING</t>
  </si>
  <si>
    <t>LABOUR FOR CUTTING 50mm DIA/100mm Dia  *</t>
  </si>
  <si>
    <t>40mm BRICK JELLY</t>
  </si>
  <si>
    <t>LABOUR FOR CUTTING 65mm DIA/80mm Dia  *</t>
  </si>
  <si>
    <t>CERTIFIED THAT THE LEAD PARTICULARS FURNISHED HERE ARE FOUND CORRECT UPTO BEST OF MY KNOWLEDGE</t>
  </si>
  <si>
    <t>Scrapping door, wood p31 /112</t>
  </si>
  <si>
    <t>LABOUR FOR THREADING 15mm DIA  * it-126</t>
  </si>
  <si>
    <t>A.E.E</t>
  </si>
  <si>
    <t>Scrapping Structural steel work p31 /114</t>
  </si>
  <si>
    <t>LABOUR FOR THREADING 20mm DIA  *</t>
  </si>
  <si>
    <t>CEMENT MORTAR(1:6)</t>
  </si>
  <si>
    <t>CEMENT MORTAR(1:8)</t>
  </si>
  <si>
    <t>SCRAPING THE OLD PLASTER SURFACE * p30/108/338</t>
  </si>
  <si>
    <t>LABOUR FOR THREADING 25mm DIA  *</t>
  </si>
  <si>
    <t>MASON II</t>
  </si>
  <si>
    <t>WASHING PLASTERED AREA WITH SOAP&amp;SODA WATER *p30/109/339</t>
  </si>
  <si>
    <t>LABOUR FOR THREADING 32mm DIA /100mm Dia *</t>
  </si>
  <si>
    <t>MAZDOOR I</t>
  </si>
  <si>
    <t>AE</t>
  </si>
  <si>
    <t>AEE</t>
  </si>
  <si>
    <t>EE</t>
  </si>
  <si>
    <t>Scrapping iron work p31 /115</t>
  </si>
  <si>
    <t>LABOUR FOR THREADING 40mm DIA /80mm Dia *</t>
  </si>
  <si>
    <t>MAZDOOR II</t>
  </si>
  <si>
    <t>Clean removal of Cement plaster</t>
  </si>
  <si>
    <t>LABOUR FOR THREADING 50mm DIA /65mm Dia *</t>
  </si>
  <si>
    <t>Labour wrought and put up in position Flush shutters Single leaf shutter</t>
  </si>
  <si>
    <t>COST OF JOINTING MATERIALS</t>
  </si>
  <si>
    <t>Double leave shutters</t>
  </si>
  <si>
    <t>HIRE CHARGES FOR   POWER POLISHER</t>
  </si>
  <si>
    <t>TOTAL FOR 10 CUM</t>
  </si>
  <si>
    <t>ELC. CONSUMPTION CHARGES</t>
  </si>
  <si>
    <t xml:space="preserve">FLY  ASH BRICKS DATA </t>
  </si>
  <si>
    <t>LABOUR FOR FIXING WINDOW BARS p-34 it-169</t>
  </si>
  <si>
    <t>Kg*</t>
  </si>
  <si>
    <t xml:space="preserve">B.W IN C.M(1:5) using fly ash  bricks </t>
  </si>
  <si>
    <t>E.W.EXCAVATION SS 20B AS PER SR ITEM 61,62 * P-25</t>
  </si>
  <si>
    <t>CEMENT MORTAR(1:7)</t>
  </si>
  <si>
    <t>Bricks of size 23x11x7 cm</t>
  </si>
  <si>
    <t>MIXER OPERATER * p-15 S.No.83/79</t>
  </si>
  <si>
    <t>CEMENT CONCRETE(1:2:4) USING</t>
  </si>
  <si>
    <t>TESTING CHARGES FOR S.W. LINE</t>
  </si>
  <si>
    <t>20mm HBSTONE METEL</t>
  </si>
  <si>
    <t>NOS.</t>
  </si>
  <si>
    <t xml:space="preserve"> 1000NO.</t>
  </si>
  <si>
    <t>GRINDING MORTAR * 164/2 p-34</t>
  </si>
  <si>
    <t>G.I. SHEET SR156 / 114 1.6mmT.K,30cmWIDE P-23 it-162/114</t>
  </si>
  <si>
    <t>SQM*</t>
  </si>
  <si>
    <t>MASON I</t>
  </si>
  <si>
    <t>FITTER II *</t>
  </si>
  <si>
    <t xml:space="preserve">ROUGH STONE </t>
  </si>
  <si>
    <t>BOND STONE</t>
  </si>
  <si>
    <t>HARD BROKEN STONE JELLY 3mmTo10mm SIZE</t>
  </si>
  <si>
    <t>HARD BROKEN STONE JELLY  10mm SIZE</t>
  </si>
  <si>
    <t>TOTAL FOR 2.83168 CUM</t>
  </si>
  <si>
    <t>HARD BROKEN STONE JELLY 12mm SIZE</t>
  </si>
  <si>
    <t>HARD BROKEN STONE JELLY 20mm SIZE</t>
  </si>
  <si>
    <t>HARD BROKEN STONE JELLY 40mm SIZE</t>
  </si>
  <si>
    <t>TERRACOTTA JALLY 110mm/50mmT.K FIXING CHARGE</t>
  </si>
  <si>
    <t>G.F</t>
  </si>
  <si>
    <t>TERRACOTTA JALLY 110mmT.K/50mmT.K</t>
  </si>
  <si>
    <t xml:space="preserve">Qtn </t>
  </si>
  <si>
    <t>B.W IN C.M(1:5) USING CHAMBER BURNT</t>
  </si>
  <si>
    <t>F.F</t>
  </si>
  <si>
    <t>KILN BURNT COUNTRY G.M(2D) BRICK 8-3/4"X4-1/4"X2"</t>
  </si>
  <si>
    <t>Bricks of size 23X11.2X7Cm</t>
  </si>
  <si>
    <t>S.F</t>
  </si>
  <si>
    <t>SAND FOR MARTER</t>
  </si>
  <si>
    <t>T.F</t>
  </si>
  <si>
    <t>EARTH WORK EXCAVATION</t>
  </si>
  <si>
    <t>Bricks of size 22X11X5Cm</t>
  </si>
  <si>
    <t>EARTH WORK EXCAVATION for loose soil</t>
  </si>
  <si>
    <t>Forth floor</t>
  </si>
  <si>
    <t>STOCK BRICK-IISORT(2A)T.M OF SIZE 9"x4-1/2"X3"</t>
  </si>
  <si>
    <t>1000 Nos</t>
  </si>
  <si>
    <t>---------------------</t>
  </si>
  <si>
    <t>BRICK JELLY 40mm GAUGE</t>
  </si>
  <si>
    <t>EARTH WORK EXCAVATION IN SS20B</t>
  </si>
  <si>
    <t>BRICK JELLY 20mm GAUGE</t>
  </si>
  <si>
    <t>ADD 100% FOR NARROW CUTTING</t>
  </si>
  <si>
    <t>PRESSED TILES 23X23X2cm</t>
  </si>
  <si>
    <t xml:space="preserve"> 1/3REFILLING CHARGES</t>
  </si>
  <si>
    <t>SLACKED LIME</t>
  </si>
  <si>
    <t xml:space="preserve">B.W IN C.M(1:6) using fly ash bricks </t>
  </si>
  <si>
    <t>SLACKED SHELL LIME</t>
  </si>
  <si>
    <t>C.W.SCANTLING UP TO 4M LONG P-20 -it-120/77i</t>
  </si>
  <si>
    <t>C.W. PLANK 40mmT.K.UPTO30cm WIDTH</t>
  </si>
  <si>
    <t>T.W SANDLING OVER2M,BLOW3M</t>
  </si>
  <si>
    <t>RATE PER CUM INCLUDING REFILLING</t>
  </si>
  <si>
    <t>0 TO 2M</t>
  </si>
  <si>
    <t>T.W.SCANDLING UPTO 2M</t>
  </si>
  <si>
    <t>2 TO 3M</t>
  </si>
  <si>
    <t>T.W. PLANK 12mm to 25mm T.K UPTO 30cmWIDTH</t>
  </si>
  <si>
    <t>1.2</t>
  </si>
  <si>
    <t xml:space="preserve">RATE PER CUM EXCLUDING REFILLING 
</t>
  </si>
  <si>
    <t xml:space="preserve">
RATE PER CUM EXCLUDING REFILLING 
</t>
  </si>
  <si>
    <t>COUNTRY BRICK-ISORT(2B)T.M SIZE 9"x4-3/8"X2-3/4"</t>
  </si>
  <si>
    <t>1.3</t>
  </si>
  <si>
    <r>
      <t xml:space="preserve">EARTH WORK EXCAVATION  for </t>
    </r>
    <r>
      <rPr>
        <b/>
        <sz val="12"/>
        <rFont val="Helv"/>
      </rPr>
      <t>SDR</t>
    </r>
  </si>
  <si>
    <t>Loose soil</t>
  </si>
  <si>
    <t>EARTH WORK EXCAVATION IN SDR</t>
  </si>
  <si>
    <t>RATE PER CUM EXCLUDING REFILLING IN SDR</t>
  </si>
  <si>
    <t>B.W IN C.M(1:4) using  fly ash bricks</t>
  </si>
  <si>
    <r>
      <t xml:space="preserve">EARTH WORK EXCAVATION  for </t>
    </r>
    <r>
      <rPr>
        <b/>
        <sz val="12"/>
        <rFont val="Helv"/>
      </rPr>
      <t>open foundation</t>
    </r>
    <r>
      <rPr>
        <sz val="12"/>
        <rFont val="Helv"/>
      </rPr>
      <t>EXCLUDING REFILLING</t>
    </r>
  </si>
  <si>
    <r>
      <t xml:space="preserve">EARTH WORK EXCAVATION  for </t>
    </r>
    <r>
      <rPr>
        <b/>
        <sz val="12"/>
        <rFont val="Helv"/>
      </rPr>
      <t>open foundation</t>
    </r>
    <r>
      <rPr>
        <sz val="12"/>
        <rFont val="Helv"/>
      </rPr>
      <t>EXCLUDING REFILLING</t>
    </r>
  </si>
  <si>
    <t>RATE PER CUM EXCLUDING REFILLING</t>
  </si>
  <si>
    <t>3 to 4</t>
  </si>
  <si>
    <t>4 to 5</t>
  </si>
  <si>
    <r>
      <t xml:space="preserve">EARTH WORK EXCAVATION  for open foundation
</t>
    </r>
    <r>
      <rPr>
        <sz val="12"/>
        <rFont val="Helv"/>
      </rPr>
      <t>IN SDR (EXCLUDING REFILLING)</t>
    </r>
  </si>
  <si>
    <t>2.1</t>
  </si>
  <si>
    <t>FILLING IN FOUNDATION AND</t>
  </si>
  <si>
    <r>
      <t xml:space="preserve">BASEMENT  WITH  </t>
    </r>
    <r>
      <rPr>
        <b/>
        <sz val="12"/>
        <rFont val="Helv"/>
      </rPr>
      <t>FILLING WELL GRAVEL</t>
    </r>
  </si>
  <si>
    <t>Average rate for staircase steps</t>
  </si>
  <si>
    <t>COST OF FILLING GRAVEL</t>
  </si>
  <si>
    <t>PARTITION WALL</t>
  </si>
  <si>
    <r>
      <t xml:space="preserve">RATE PER CUM EXCLUDING REFILLING
</t>
    </r>
    <r>
      <rPr>
        <b/>
        <sz val="12"/>
        <rFont val="Helv"/>
      </rPr>
      <t>IN SDR (OPEN FOUNDATION)</t>
    </r>
  </si>
  <si>
    <t>B.W IN C.M(1:4) using fly ash bricks of size 23x11.4x7.5Cm</t>
  </si>
  <si>
    <t>EARTH WORK EXCAVATION FOR DRAINS</t>
  </si>
  <si>
    <t xml:space="preserve">up to 1.25m width </t>
  </si>
  <si>
    <t xml:space="preserve"> 1.5 times E.W</t>
  </si>
  <si>
    <t>From 1.25m to 2m width (1.25 times E.W)</t>
  </si>
  <si>
    <t>From 1.25m to 2m width</t>
  </si>
  <si>
    <t>MOSIC TILES GREY 25X25X2cm</t>
  </si>
  <si>
    <t>RTS/MS above 16mm dia</t>
  </si>
  <si>
    <r>
      <t xml:space="preserve">BASEMENT  WITH  </t>
    </r>
    <r>
      <rPr>
        <b/>
        <sz val="12"/>
        <rFont val="Helv"/>
      </rPr>
      <t>FILLING SAND</t>
    </r>
  </si>
  <si>
    <r>
      <t xml:space="preserve">BASEMENT  WITH  </t>
    </r>
    <r>
      <rPr>
        <b/>
        <sz val="12"/>
        <rFont val="Helv"/>
      </rPr>
      <t>FILLING GRAVEL</t>
    </r>
  </si>
  <si>
    <t>RTS/MS upto 16mm dia</t>
  </si>
  <si>
    <t>M.S. WIRE 3mm</t>
  </si>
  <si>
    <t>COST OF FILLINGSAND</t>
  </si>
  <si>
    <t>GRAVEL</t>
  </si>
  <si>
    <t>BITUMEN</t>
  </si>
  <si>
    <t>BINDING WIRE p-23 it-160/161</t>
  </si>
  <si>
    <t>TOTAL FOR 1.0 CUM</t>
  </si>
  <si>
    <t>POLISHING  STONE</t>
  </si>
  <si>
    <t xml:space="preserve">   </t>
  </si>
  <si>
    <t>**</t>
  </si>
  <si>
    <t>PARTITION WALL OF 110 mm thick</t>
  </si>
  <si>
    <t>LABOUR CHARGES FOR SPREADING  bull dozer p27 / Item68/78a</t>
  </si>
  <si>
    <t>2.2</t>
  </si>
  <si>
    <r>
      <t xml:space="preserve">PROVIDING </t>
    </r>
    <r>
      <rPr>
        <b/>
        <sz val="12"/>
        <rFont val="Helv"/>
      </rPr>
      <t>SAND  GRAVEL MIX</t>
    </r>
  </si>
  <si>
    <t>CRUDE OIL</t>
  </si>
  <si>
    <t>IN 1:1 RATIO INCLUDING</t>
  </si>
  <si>
    <t>PARATITION B.W IN C.M(1:4)</t>
  </si>
  <si>
    <t>RED OXIDE P-43/ it-44</t>
  </si>
  <si>
    <t>COST OF SAND,GRAVEL,STACKING,LABOUR FOR</t>
  </si>
  <si>
    <r>
      <t xml:space="preserve">BASEMENT  WITH  </t>
    </r>
    <r>
      <rPr>
        <b/>
        <sz val="12"/>
        <rFont val="Helv"/>
      </rPr>
      <t>STONE DUST</t>
    </r>
  </si>
  <si>
    <t>MIXING &amp;CONSOLIDATION ETC</t>
  </si>
  <si>
    <t>COMPLETE.</t>
  </si>
  <si>
    <t>COST OFSTONE DUST</t>
  </si>
  <si>
    <t>TOTAL FOR 10 SQM</t>
  </si>
  <si>
    <t>STACKING CHARGES</t>
  </si>
  <si>
    <t>RATE PER SQM</t>
  </si>
  <si>
    <t>COST OF gravel</t>
  </si>
  <si>
    <t>LABOUR CHARGES FOR SPREADING</t>
  </si>
  <si>
    <t>WATERING&amp;POWER ROLLING</t>
  </si>
  <si>
    <t>Fourth Floor</t>
  </si>
  <si>
    <t>3.1</t>
  </si>
  <si>
    <t>CEMENT CONCRETE(1:4:8) USING</t>
  </si>
  <si>
    <t>B.W IN C.M(1:4) USING 2-B Categery using fly ash bricks</t>
  </si>
  <si>
    <t>40mm HBSTONE METEL</t>
  </si>
  <si>
    <t xml:space="preserve">  H.B.STONEJELLY 40mm</t>
  </si>
  <si>
    <t>1000NO.</t>
  </si>
  <si>
    <t>SUPLLYING AND FILLING WITH 40MM Brick jelly</t>
  </si>
  <si>
    <t>SUPLLYING AND FILLING WITH 40MM HBSJ</t>
  </si>
  <si>
    <t>SUPLLYING AND FILLING WITH 20MM Brick jelly</t>
  </si>
  <si>
    <t>COST OF 40mm HBSJ</t>
  </si>
  <si>
    <t>SUPLLYING AND FILLING WITH 20MM HBSJ</t>
  </si>
  <si>
    <t>COST OF 20mm HBSJ</t>
  </si>
  <si>
    <t>***</t>
  </si>
  <si>
    <t>PARTITION WALL OF 70mm thick</t>
  </si>
  <si>
    <t>PRATITION B.W IN C.M(1:4)</t>
  </si>
  <si>
    <t>2.5</t>
  </si>
  <si>
    <r>
      <t xml:space="preserve">Providing </t>
    </r>
    <r>
      <rPr>
        <b/>
        <sz val="12"/>
        <rFont val="Helv"/>
      </rPr>
      <t>GRAVEL SOLING</t>
    </r>
    <r>
      <rPr>
        <sz val="12"/>
        <rFont val="Helv"/>
      </rPr>
      <t xml:space="preserve"> of 150mm thick</t>
    </r>
  </si>
  <si>
    <t>COST OF Gravel</t>
  </si>
  <si>
    <t>Forth Floor</t>
  </si>
  <si>
    <t>WINE VERNISH</t>
  </si>
  <si>
    <t>LITTER</t>
  </si>
  <si>
    <t>CEMENT CONCRETE(1:5:10) USING</t>
  </si>
  <si>
    <t>CEMENT CONCRETE(1:3:6) USING</t>
  </si>
  <si>
    <t>LINSEED OIL (BOILED)</t>
  </si>
  <si>
    <t>BEST GOPALVARNISH REDY MIX (PWD LR) p43 It.51</t>
  </si>
  <si>
    <t>READY MIX PAINT II ND/ IST for wood p-51 sl.142</t>
  </si>
  <si>
    <t xml:space="preserve">  H.B.STONEJELLY 20mm</t>
  </si>
  <si>
    <t>READY MIX PRIMER PAINT sl.141/ p51 wood primer)</t>
  </si>
  <si>
    <t>M.S WASHER</t>
  </si>
  <si>
    <t>CHICKEN MESH 10X10X10G it-166/129 P-23</t>
  </si>
  <si>
    <t>SQM</t>
  </si>
  <si>
    <t>WELD MESH  75X25X10G / Fly proof mesh Sl.no.163 p-23</t>
  </si>
  <si>
    <t>WELD MESH 100X100X10G S.no.165 p-23</t>
  </si>
  <si>
    <t>IWC ORIYA PAN p55/172 ( white)</t>
  </si>
  <si>
    <t>S.W. SIGLE Y</t>
  </si>
  <si>
    <t>S.W.TEE 100/150mm DIA WITH ISI MARK it-192/a p-59</t>
  </si>
  <si>
    <t>S.W.PIPE 100mm DIAWITH ISI MARKit-203/a p-59</t>
  </si>
  <si>
    <t>S.W.PIPE 150mm DIAWITH ISI MARK</t>
  </si>
  <si>
    <t>S.W.BEND 100/150mm DIAWITH ISI MARK it-204/b p-59</t>
  </si>
  <si>
    <t>READY MIX PAINT II ND/ IST for iron it-144 p-51</t>
  </si>
  <si>
    <t>LTR</t>
  </si>
  <si>
    <t>3.2</t>
  </si>
  <si>
    <r>
      <t>CEMENT CONCRETE</t>
    </r>
    <r>
      <rPr>
        <b/>
        <sz val="12"/>
        <rFont val="Helv"/>
      </rPr>
      <t xml:space="preserve"> PCC (1:2:4)</t>
    </r>
    <r>
      <rPr>
        <sz val="12"/>
        <rFont val="Helv"/>
      </rPr>
      <t xml:space="preserve"> USING</t>
    </r>
  </si>
  <si>
    <t>S.W.TEE 150mm DIA WITH ISI MARK it-204/i p-59</t>
  </si>
  <si>
    <t>A.</t>
  </si>
  <si>
    <t>DOOR OF SIZE 70X210Cm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</si>
  <si>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</si>
  <si>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</si>
  <si>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</si>
  <si>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</si>
  <si>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</si>
  <si>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</si>
  <si>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</si>
  <si>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</si>
  <si>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C.P.SCREWS150mm long</t>
  </si>
  <si>
    <t>DOOR STOPPER</t>
  </si>
  <si>
    <t>TOTAL FOR 1.23 SQM</t>
  </si>
  <si>
    <t>3.3</t>
  </si>
  <si>
    <r>
      <t>CEMENT CONCRETE</t>
    </r>
    <r>
      <rPr>
        <b/>
        <sz val="12"/>
        <rFont val="Helv"/>
      </rPr>
      <t>(1:8:16)</t>
    </r>
    <r>
      <rPr>
        <sz val="12"/>
        <rFont val="Helv"/>
      </rPr>
      <t xml:space="preserve"> USING</t>
    </r>
  </si>
  <si>
    <t>20mm brick jelly</t>
  </si>
  <si>
    <t xml:space="preserve"> 20mmbrick jelly</t>
  </si>
  <si>
    <t>|::</t>
  </si>
  <si>
    <r>
      <t>CEMENT CONCRETE</t>
    </r>
    <r>
      <rPr>
        <b/>
        <sz val="12"/>
        <rFont val="Helv"/>
      </rPr>
      <t>(1:4:8)</t>
    </r>
    <r>
      <rPr>
        <sz val="12"/>
        <rFont val="Helv"/>
      </rPr>
      <t xml:space="preserve"> USING</t>
    </r>
  </si>
  <si>
    <t>40mm brick jelly</t>
  </si>
  <si>
    <t xml:space="preserve"> 40mm HGJ jelly</t>
  </si>
  <si>
    <r>
      <t xml:space="preserve">PROVIDING  </t>
    </r>
    <r>
      <rPr>
        <b/>
        <sz val="12"/>
        <rFont val="Helv"/>
      </rPr>
      <t>WBM 125mm</t>
    </r>
    <r>
      <rPr>
        <sz val="12"/>
        <rFont val="Helv"/>
      </rPr>
      <t xml:space="preserve"> CONSOLIDATED</t>
    </r>
  </si>
  <si>
    <t>THICK WITH GRAVEL BLINDAGE</t>
  </si>
  <si>
    <t>Stacking charges</t>
  </si>
  <si>
    <t>63mm to 45mm IRC metal</t>
  </si>
  <si>
    <t>37.5mm to 26.5mm IRC metal</t>
  </si>
  <si>
    <t>Gravel blindage 2 layers</t>
  </si>
  <si>
    <t>Spreading charges for 2 layers</t>
  </si>
  <si>
    <t>(10.1+7.72)</t>
  </si>
  <si>
    <t>Total for 10 m2</t>
  </si>
  <si>
    <t>for 1 m2</t>
  </si>
  <si>
    <r>
      <t xml:space="preserve">SURFACE DRESSING OVER </t>
    </r>
    <r>
      <rPr>
        <b/>
        <sz val="12"/>
        <rFont val="Helv"/>
      </rPr>
      <t>WBM 25mm TK.</t>
    </r>
  </si>
  <si>
    <t>11.2mm IRC metal</t>
  </si>
  <si>
    <t>kg</t>
  </si>
  <si>
    <t>Bitumen</t>
  </si>
  <si>
    <t>Labour charges</t>
  </si>
  <si>
    <t>Total for 100M2</t>
  </si>
  <si>
    <t>S.W.BEND 150mm DIA p-59 it-204 b</t>
  </si>
  <si>
    <t>4.1</t>
  </si>
  <si>
    <t xml:space="preserve">REINFORCED CEMENT CONCRETE </t>
  </si>
  <si>
    <t>PARTITION WALL OF 114mmTHICK</t>
  </si>
  <si>
    <t>S.W.GULLY TRAP 150X100mm it-198 p-57</t>
  </si>
  <si>
    <t>NAHANI TRAP 63mm/75mmPVC TYP,4 way/3way p-57 it-200ii</t>
  </si>
  <si>
    <t>C.C(1:2:4)USING 20mm HBSTONE</t>
  </si>
  <si>
    <t>CENTERING C.W BOARDING 40mmT.K ( Silver oakplank 40mm thick) 137/78 b p-22</t>
  </si>
  <si>
    <t>JELLY FOR ALL RCCWORK</t>
  </si>
  <si>
    <t>CENTERING C.W. JOIST ( Silver oak scantling)  it-131/77d p-21</t>
  </si>
  <si>
    <t>CASURINA POST 10cm TO 13cm DIA *p-22 /146b</t>
  </si>
  <si>
    <t xml:space="preserve"> 20mm HB STONE JELLY</t>
  </si>
  <si>
    <t>CEMENT PAINT / matt paint  p51 s.136 / p43 sl.48</t>
  </si>
  <si>
    <t>GLASS 4mmTHICK p50/133</t>
  </si>
  <si>
    <t>A.C. PIPE 100mm DIA p-44 / it 69</t>
  </si>
  <si>
    <t>A.C.BEND100mm DIAp-44 /68</t>
  </si>
  <si>
    <t>A.C. SHOE 100mm DIAp-44 /70</t>
  </si>
  <si>
    <t xml:space="preserve"> 20a</t>
  </si>
  <si>
    <t>C.I EVERITE CLAMOE 100mm DIA</t>
  </si>
  <si>
    <t xml:space="preserve"> 20b</t>
  </si>
  <si>
    <t>CI GREATINGS 100mm DIA p44 sl.74</t>
  </si>
  <si>
    <t xml:space="preserve"> 20c</t>
  </si>
  <si>
    <t>G.I.SHEET 22G p43 / 64</t>
  </si>
  <si>
    <t>TOTAL FOR 10CUM</t>
  </si>
  <si>
    <t xml:space="preserve"> 20d</t>
  </si>
  <si>
    <t>ALU  HINGS 5" (PWD LR) p-45 /98a</t>
  </si>
  <si>
    <t>ALU  HINGS 4" (PWD LR)p-45 /77b</t>
  </si>
  <si>
    <t>DADOING WALL WITH MASAIC</t>
  </si>
  <si>
    <t>ALU  HINGS 3" (PWD LR)p-45 /77c</t>
  </si>
  <si>
    <t>GRADED CHIPS</t>
  </si>
  <si>
    <t>ALU  HINGS 2" (PWD LR)p-45 /77d</t>
  </si>
  <si>
    <t>VIBRATING CHARGES</t>
  </si>
  <si>
    <t>ALU TOWER BOLT 6"X1/2" (PWD LR) p46 100e</t>
  </si>
  <si>
    <t>MASIC TILES LAID IN CM 1:3</t>
  </si>
  <si>
    <t>ALU TOWER BOLT 3"X5/10"/4"x5/10"  p46 100g</t>
  </si>
  <si>
    <t>for foundation  and basement</t>
  </si>
  <si>
    <t xml:space="preserve">ALU ALDROP 10"X5.8"  p46 /102b </t>
  </si>
  <si>
    <t>ALU ALDROP 6"X1/2"  p46 102d</t>
  </si>
  <si>
    <t>NYLON BUSH FOR Door ( qtn)</t>
  </si>
  <si>
    <t>NYLON BUSH FOR W&amp;V</t>
  </si>
  <si>
    <t>VENTILATER PIVET</t>
  </si>
  <si>
    <t>PAIR</t>
  </si>
  <si>
    <t>ALU HOOKS &amp; EYES8"</t>
  </si>
  <si>
    <t>ALU HOOKS &amp; EYES6"</t>
  </si>
  <si>
    <t>ALU HOOKS &amp; EYES3"</t>
  </si>
  <si>
    <t>RANDUM RABBLE MASONRY IN CM 1:5</t>
  </si>
  <si>
    <t>I.O. HINGES 4"</t>
  </si>
  <si>
    <t>PLASTERING C.M(1:3) 12mmTHICK</t>
  </si>
  <si>
    <t>I.O. HINGES 5"</t>
  </si>
  <si>
    <t>ROUGH STONE</t>
  </si>
  <si>
    <t>I.O SPL HING 8"LONG</t>
  </si>
  <si>
    <t>I.O. HINGES 3"</t>
  </si>
  <si>
    <t>I.O. HINGES 2"</t>
  </si>
  <si>
    <t>I.O. TOWER BOLT 6"X1/2"</t>
  </si>
  <si>
    <t>I.O. TOWER BOLT 2"X5/8"</t>
  </si>
  <si>
    <t>I.O. ALDROP 10"X5.8"</t>
  </si>
  <si>
    <t>I.O. ALDROP 6"X1/2"</t>
  </si>
  <si>
    <t>NYLON BUSH FOR D</t>
  </si>
  <si>
    <t>PLASTERING C.M(1:2) 12mmTHICK</t>
  </si>
  <si>
    <t>I.O HOOKS &amp; EYES8"</t>
  </si>
  <si>
    <t>I.O HOOKS &amp; EYES6"</t>
  </si>
  <si>
    <t xml:space="preserve">I.O HOOKS &amp; EYES3" Qtn </t>
  </si>
  <si>
    <t xml:space="preserve">B.W IN C.M(1:5) using kiln burnt country bricks </t>
  </si>
  <si>
    <t xml:space="preserve">B.W IN C.M(1:5) USING Chamber </t>
  </si>
  <si>
    <t xml:space="preserve">B.W IN C.M(1:5) using chamber burnt  bricks </t>
  </si>
  <si>
    <t>C.I. SOIL PIPE</t>
  </si>
  <si>
    <t>Bricks of size 22x11x7 cm</t>
  </si>
  <si>
    <t>Bricks of size 23x11.2x7 cm</t>
  </si>
  <si>
    <t>Bricks of size 23x11.4x7.5 cm</t>
  </si>
  <si>
    <t xml:space="preserve"> 50mm DIA</t>
  </si>
  <si>
    <t xml:space="preserve"> 75mm DIA</t>
  </si>
  <si>
    <t>1000Nos.</t>
  </si>
  <si>
    <t xml:space="preserve"> 100mm DIA</t>
  </si>
  <si>
    <t xml:space="preserve"> 150mm DIA</t>
  </si>
  <si>
    <t>C.I. SOIL BEND</t>
  </si>
  <si>
    <t>PLASTERING C.M(1:2) 10mmTHICK</t>
  </si>
  <si>
    <t>C.I. SOIL BEND WITHDOOR</t>
  </si>
  <si>
    <t>A.C. SOIL PIPE</t>
  </si>
  <si>
    <t>7.2</t>
  </si>
  <si>
    <r>
      <t xml:space="preserve">PROVIDING </t>
    </r>
    <r>
      <rPr>
        <b/>
        <sz val="12"/>
        <rFont val="Helv"/>
      </rPr>
      <t>BITUMEN PAD</t>
    </r>
    <r>
      <rPr>
        <sz val="12"/>
        <rFont val="Helv"/>
      </rPr>
      <t xml:space="preserve"> FOR EXPANISION </t>
    </r>
  </si>
  <si>
    <t>/SQM</t>
  </si>
  <si>
    <t>JOINT it-247 b p-64</t>
  </si>
  <si>
    <t xml:space="preserve">B.W IN C.M(1:6) using kiln burnt country bricks </t>
  </si>
  <si>
    <t xml:space="preserve">B.W IN C.M(1:6) USING Chamber  </t>
  </si>
  <si>
    <t xml:space="preserve">B.W IN C.M(1:6) using chamber burnt </t>
  </si>
  <si>
    <t>A.C. SOIL BEND</t>
  </si>
  <si>
    <t>PLASTERING C.M(1:5) 20mmTHICK</t>
  </si>
  <si>
    <t>A.C. SOIL BEND WITHDOOR</t>
  </si>
  <si>
    <t>A.C. SOIL TEE</t>
  </si>
  <si>
    <t>PLASTERING C.M(1:3) 20mmTHICK</t>
  </si>
  <si>
    <t>==========</t>
  </si>
  <si>
    <t>A.C. SOIL TEE WITH DOOR</t>
  </si>
  <si>
    <t>A.C. SOIL  SINGLE YEE</t>
  </si>
  <si>
    <t xml:space="preserve">B.W IN C.M(1:4) using kiln burnt country bricks </t>
  </si>
  <si>
    <t xml:space="preserve">B.W IN C.M(1:4) USING Chamber  </t>
  </si>
  <si>
    <t>A.C. SOIL  SINGLE YEE WITHDOOR</t>
  </si>
  <si>
    <t>PLASTERING C.M(1:4) 20mmTHICK</t>
  </si>
  <si>
    <t>MIXEDWITH RED OXIDE @9.8</t>
  </si>
  <si>
    <t>Kg/10 SQM</t>
  </si>
  <si>
    <t xml:space="preserve">B.W IN C.M(1:4) using  using chamber burnt </t>
  </si>
  <si>
    <t>A.C. SOIL  DOUBLE YEE WITHDOOR</t>
  </si>
  <si>
    <t>no.</t>
  </si>
  <si>
    <t>mason for polishing</t>
  </si>
  <si>
    <t>A.C. SOIL DOUBLE YEE</t>
  </si>
  <si>
    <t>RED OXIDE</t>
  </si>
  <si>
    <t>A.C. SOIL COWL</t>
  </si>
  <si>
    <t>A.C. SOIL SHOE</t>
  </si>
  <si>
    <t>WHITE WASHING ONE COAT</t>
  </si>
  <si>
    <t>B.W IN C.M(1:4) using Country BricksKiln Burnt  SIZE 22x11x7Cm</t>
  </si>
  <si>
    <t>B.W IN C.M(1:4) USING Country BricksKiln Burnt  SIZE 22x11x7Cm</t>
  </si>
  <si>
    <t>A.C. SOIL SOCKETS</t>
  </si>
  <si>
    <t>SUNDRIES FOR BRUSH ETC</t>
  </si>
  <si>
    <t>A.C.DRAIN SPOUT 18" LONG</t>
  </si>
  <si>
    <t>TOTAL FOR 100 SQM</t>
  </si>
  <si>
    <t>B.W IN C.M(1:4) using Chamber burnt Bricks of size 23x11.4x7.5Cm</t>
  </si>
  <si>
    <t>A.C.DRAIN SPOUT 24" LONG</t>
  </si>
  <si>
    <t>-------------------</t>
  </si>
  <si>
    <t>WHITE WASHING TWO COAT</t>
  </si>
  <si>
    <t>G.I. PIPE B  CLASS</t>
  </si>
  <si>
    <t>===========</t>
  </si>
  <si>
    <t xml:space="preserve"> 15mmDIA p-51 TO 52 it- </t>
  </si>
  <si>
    <t xml:space="preserve"> 20mm DIA</t>
  </si>
  <si>
    <t>PARTITION WALL OF 112 mm thick</t>
  </si>
  <si>
    <t xml:space="preserve"> 25mm DIA</t>
  </si>
  <si>
    <t xml:space="preserve"> 32mm DIA</t>
  </si>
  <si>
    <t xml:space="preserve"> 40mm DIA</t>
  </si>
  <si>
    <t xml:space="preserve"> 65mm DIA pWD</t>
  </si>
  <si>
    <t>G.I. BEND p-52  S.No-143 it-c</t>
  </si>
  <si>
    <t xml:space="preserve"> 15mmDIA</t>
  </si>
  <si>
    <t>COLOUR WASHING  TWO COATS</t>
  </si>
  <si>
    <t>PARTITION WALL OF 114 mm thick</t>
  </si>
  <si>
    <t>ADD 50% EXYRA FOR COLOURING</t>
  </si>
  <si>
    <t>MAATERIAL</t>
  </si>
  <si>
    <t xml:space="preserve"> 65mm DIA TWAD 20-21 p 25</t>
  </si>
  <si>
    <t>G.I.COUPLERp-53 it-e</t>
  </si>
  <si>
    <t>B.W IN C.M(1:4) USING 2-B Categery</t>
  </si>
  <si>
    <t xml:space="preserve">COLOUR  WASHING TWO COATS OVER </t>
  </si>
  <si>
    <t>ONE COAT OF WHITE WASHING.</t>
  </si>
  <si>
    <t>G.I. ELBOWp-52 S.No.119/ it-b</t>
  </si>
  <si>
    <t>5th</t>
  </si>
  <si>
    <t>6th</t>
  </si>
  <si>
    <t>7th</t>
  </si>
  <si>
    <t xml:space="preserve">8th </t>
  </si>
  <si>
    <t>9th</t>
  </si>
  <si>
    <t xml:space="preserve">12th </t>
  </si>
  <si>
    <t>G.I. UNIONp-51 it-A</t>
  </si>
  <si>
    <t>WATER SUPPLY</t>
  </si>
  <si>
    <t>13th</t>
  </si>
  <si>
    <t>LABOUR CHARGE FOR  LAYING</t>
  </si>
  <si>
    <t>JOINTING GI PIPE AND SPECIALS</t>
  </si>
  <si>
    <t>BELOW G.L</t>
  </si>
  <si>
    <t>A</t>
  </si>
  <si>
    <t>15mm DIA  GI PIPE BELOW G.L</t>
  </si>
  <si>
    <t xml:space="preserve"> 65mm DIA TWAD 20-21</t>
  </si>
  <si>
    <t>G.I. PLUG</t>
  </si>
  <si>
    <t>E.W EXCLUDING REFILLING</t>
  </si>
  <si>
    <t>REFILLING CHARGE</t>
  </si>
  <si>
    <t>CONVEYING,LOWERING  ANDLAYING</t>
  </si>
  <si>
    <t>TO PROPER GRADEAND</t>
  </si>
  <si>
    <t>ALIGNMENT,JOINTING</t>
  </si>
  <si>
    <t>ETC BUT EXCLUDING  COST OF</t>
  </si>
  <si>
    <t>JOINTING MATERIALS.</t>
  </si>
  <si>
    <t>PARTITION WALL OF 75mm thick</t>
  </si>
  <si>
    <t xml:space="preserve"> 65mm DIA</t>
  </si>
  <si>
    <t xml:space="preserve">PARTITION WALL </t>
  </si>
  <si>
    <t>CUTTING CHARGES</t>
  </si>
  <si>
    <t>G.I. TEE p-51 it-D</t>
  </si>
  <si>
    <t>==============</t>
  </si>
  <si>
    <t>THREADING CHARGES</t>
  </si>
  <si>
    <t>B.W IN C.M(1:4) USING 4-A Categery</t>
  </si>
  <si>
    <t>COST OF JOINTING  MATERIALS</t>
  </si>
  <si>
    <t>Bricks of size 22X11X5 cm</t>
  </si>
  <si>
    <t>TOTAL FOR 30M</t>
  </si>
  <si>
    <t>RATE PER RMT</t>
  </si>
  <si>
    <t xml:space="preserve"> 65mm DIA twad 20-21 p25</t>
  </si>
  <si>
    <t>G.I.HEX NIPPLEp-53 it-I</t>
  </si>
  <si>
    <t>20mm DIA  GI PIPE BELOW G.L</t>
  </si>
  <si>
    <t>G.M. FERRULE</t>
  </si>
  <si>
    <t>PARTITION WALL OF 50mmTHICK</t>
  </si>
  <si>
    <t xml:space="preserve">Standardised concrete mix M20 </t>
  </si>
  <si>
    <t xml:space="preserve">Standardised concrete mix M30 </t>
  </si>
  <si>
    <t>16.1</t>
  </si>
  <si>
    <t>CEMENT CONCRETE(1:2:4) FOR</t>
  </si>
  <si>
    <t xml:space="preserve">PETTY WORKS EXCLUDING COST </t>
  </si>
  <si>
    <t>PILE DRIVING CHARGES FOR 330mmDIA/375mm DIA</t>
  </si>
  <si>
    <t>OF STEEL M 2</t>
  </si>
  <si>
    <t>PILE DRIVING CHARGES FOR 400mmDIA/450mm DIA</t>
  </si>
  <si>
    <t>PILE DRIVING CHARGES FOR 500mmDIA/600mm DIA</t>
  </si>
  <si>
    <t>Standardised concrete mix M20  using 20mmHB JELLY ( witt out vibrating charges)</t>
  </si>
  <si>
    <t>Standardised concrete mix M30  using 20mmHB JELLY ( witt out vibrating charges)</t>
  </si>
  <si>
    <t>|</t>
  </si>
  <si>
    <t xml:space="preserve"> 15mmDIA G.M.CHEKVALUE</t>
  </si>
  <si>
    <t xml:space="preserve">SUNDRIES FOR MOULDING </t>
  </si>
  <si>
    <t xml:space="preserve"> 20mm DIA G.M.CHEKVALUE</t>
  </si>
  <si>
    <t>25mm DIA  GI PIPE BELOW G.L</t>
  </si>
  <si>
    <t>FINISHING,OIL ETC</t>
  </si>
  <si>
    <t>TOTAL FOR .01 CUM</t>
  </si>
  <si>
    <t>CC(1:2:4) USING 20mmHB</t>
  </si>
  <si>
    <t>JALLY-50mm THICK</t>
  </si>
  <si>
    <t>C.C(1:2:4)USING 20mmJELLY</t>
  </si>
  <si>
    <t>FOR PETTY WORKS</t>
  </si>
  <si>
    <t>G.M.GATE VALUE (Heavy Duty)p-54it-152</t>
  </si>
  <si>
    <t>13.1</t>
  </si>
  <si>
    <t xml:space="preserve">FILLING IN BASEMENT  WITH </t>
  </si>
  <si>
    <t>EXCAVATED EARTH</t>
  </si>
  <si>
    <t>AS  PER SR 85</t>
  </si>
  <si>
    <t>TOTAL FOR0.372 SQM</t>
  </si>
  <si>
    <t>DAMP PROOF COURSE IN C.M(1:4),12mm thick</t>
  </si>
  <si>
    <t>mixed with Water Proof Compound at 1KG per Bag of Cement</t>
  </si>
  <si>
    <t xml:space="preserve">                                                                                                                                                                                                                                                                                                                                                                                                                                                                                                                                                                                                                                                                                                                                                                                                                                                                                                                                                                                                                                                                                                                                                                                                                                                                                                                                                                                                                                                                                                                                                                                                                                                                                                                                                                                                                                                                                                                                                                                                                                                                                                                                                                                                                                                                                                                                                                                                                                                                                                                                                                                                                                                                                                                                                                                                                                                                                                                                                                                                                                                                                                                                                                                                                                                                                                                                                                                                                                                                                                                                                                                                                                                                                                                                                                                                                                                                                                                                                                                                                                                                                                                                                                                                                                                                                                                                                                                                                                                                                                                                                                                                                                                                                                                                                                                                                                                                                                                                                                                                                                                                                                                                                                                                                                                                                                                                                                                                                                                                                                                                                                                          </t>
  </si>
  <si>
    <t>G.M.WHEELVALUE  (Heavy Duty)p-54it-153</t>
  </si>
  <si>
    <t>FOURTH FLOOR</t>
  </si>
  <si>
    <t xml:space="preserve">Water Proof Compound </t>
  </si>
  <si>
    <t>ABOVE G.L</t>
  </si>
  <si>
    <t>G.I.REDUCER p-52 it-143F</t>
  </si>
  <si>
    <t xml:space="preserve"> 15mmDIAX20mmDIA  (v)</t>
  </si>
  <si>
    <t>15mm  DIA G.I PIPE ABOVE G.L</t>
  </si>
  <si>
    <t xml:space="preserve"> 15mmDIAX25mmDIA</t>
  </si>
  <si>
    <t xml:space="preserve"> 25mmDIAX20mmDIA (iv)</t>
  </si>
  <si>
    <t>LAYING JOINTING INCLUDING</t>
  </si>
  <si>
    <t xml:space="preserve"> 50mmDIAX25mmDIA</t>
  </si>
  <si>
    <t>C.C(1:2:4)USING 3mm-10mm HBSTONE</t>
  </si>
  <si>
    <t>ALIGNING</t>
  </si>
  <si>
    <t xml:space="preserve"> 50mmDIAX32mmDIA</t>
  </si>
  <si>
    <t>G.I.REDUCER  TEEp-52 it-143H</t>
  </si>
  <si>
    <t xml:space="preserve"> 15mmDIAX20mmDIA</t>
  </si>
  <si>
    <t xml:space="preserve">  3mm-10mm HB STONE JELLY</t>
  </si>
  <si>
    <t>STONE CUTTER II</t>
  </si>
  <si>
    <t>MADON I</t>
  </si>
  <si>
    <t xml:space="preserve"> 25mmDIAX20mmDIA</t>
  </si>
  <si>
    <t>COST OF CLAMPS PLUGS PAINTING</t>
  </si>
  <si>
    <t>G.I.REDUCER  ELBOW p53 it-G</t>
  </si>
  <si>
    <t>REDOING WORKS ETC</t>
  </si>
  <si>
    <t>TOTAL FOR 30 M</t>
  </si>
  <si>
    <t xml:space="preserve"> 32mmX15mmDIA</t>
  </si>
  <si>
    <t>P.V.C.PIPE</t>
  </si>
  <si>
    <t xml:space="preserve"> 4KG/SQ.CM</t>
  </si>
  <si>
    <t>20mm  DIA G.I PIPE ABOVE G.L</t>
  </si>
  <si>
    <t xml:space="preserve"> 15mmDIA OF WALL THICK 2.8mm A.S.T.M (Qtn)</t>
  </si>
  <si>
    <t xml:space="preserve"> 20mm DIA----DO----2.9mm / 20 mm G.I. pipe</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</si>
  <si>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</si>
  <si>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</si>
  <si>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</si>
  <si>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</si>
  <si>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</si>
  <si>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</si>
  <si>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</si>
  <si>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</si>
  <si>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</si>
  <si>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</si>
  <si>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 xml:space="preserve"> P.C.C,R.C.C SLAB OF20mm THICK</t>
  </si>
  <si>
    <t>Standardised concrete mix M20</t>
  </si>
  <si>
    <t>Standardised concrete mix M30</t>
  </si>
  <si>
    <t>C.C(1:2:4)USING3mm-10mm HBG</t>
  </si>
  <si>
    <r>
      <t xml:space="preserve"> P.C.C,R.C.C SLAB OF20mm THICK </t>
    </r>
    <r>
      <rPr>
        <b/>
        <sz val="12"/>
        <rFont val="Helv"/>
      </rPr>
      <t>using standardised concrete mix M20</t>
    </r>
  </si>
  <si>
    <r>
      <t xml:space="preserve"> P.C.C,R.C.C SLAB OF20mm THICK </t>
    </r>
    <r>
      <rPr>
        <b/>
        <sz val="12"/>
        <rFont val="Helv"/>
      </rPr>
      <t>using standardised concrete mix M30</t>
    </r>
  </si>
  <si>
    <t>P.V.C.ELBOW p99/367</t>
  </si>
  <si>
    <t>TOTAL FOR 0.743 SQM</t>
  </si>
  <si>
    <t>25mm  DIA G.I PIPE ABOVE G.L</t>
  </si>
  <si>
    <t>P.V.C.TEE</t>
  </si>
  <si>
    <t xml:space="preserve"> P.C.C,R.C.C SLAB OF40mm THICK</t>
  </si>
  <si>
    <r>
      <t xml:space="preserve"> P.C.C,R.C.C SLAB OF40mm THICK </t>
    </r>
    <r>
      <rPr>
        <b/>
        <sz val="12"/>
        <rFont val="Helv"/>
      </rPr>
      <t>using standardised concrete mix of M20 grade</t>
    </r>
  </si>
  <si>
    <t>P.V.C.REDUCER SOCKET</t>
  </si>
  <si>
    <t xml:space="preserve">standardised concrete mix M20 </t>
  </si>
  <si>
    <t xml:space="preserve"> 12mmDIAX25mmDIA</t>
  </si>
  <si>
    <t xml:space="preserve"> 40mmDIAX25mmDIA</t>
  </si>
  <si>
    <t xml:space="preserve"> 32mmDIAX40mmDIA</t>
  </si>
  <si>
    <t>P.V.C.REDUCER TEE</t>
  </si>
  <si>
    <t>RATE PER SQM (Foundation and basement)</t>
  </si>
  <si>
    <t xml:space="preserve"> 32mmDIAX25mmDIA</t>
  </si>
  <si>
    <t>JOINTING P.V.C  PIPE AND SPECIALS</t>
  </si>
  <si>
    <t>Fourth .floor</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</si>
  <si>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</si>
  <si>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</si>
  <si>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</si>
  <si>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</si>
  <si>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</si>
  <si>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</si>
  <si>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</si>
  <si>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</si>
  <si>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</si>
  <si>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t>(Both sides polished)</t>
  </si>
  <si>
    <t xml:space="preserve"> 50mmDIAX40mmDIA</t>
  </si>
  <si>
    <t>TO PROPER GRADE AND</t>
  </si>
  <si>
    <t>C.I.COVER SLAB 18"X18"X56LBS(25Kg)</t>
  </si>
  <si>
    <t xml:space="preserve"> 20mm Thick slab:-</t>
  </si>
  <si>
    <t xml:space="preserve"> 40mm Thick slab:-</t>
  </si>
  <si>
    <t>C.I.COVER SLAB 18"X18"X36LBS(16Kg)</t>
  </si>
  <si>
    <t>==================</t>
  </si>
  <si>
    <t>C.I.COVER SLAB 24"X24"X112LBS(50Kg)</t>
  </si>
  <si>
    <t>Cuddappah slab</t>
  </si>
  <si>
    <t>C.I.STEEPS(5Kg)</t>
  </si>
  <si>
    <t>Mason Ist</t>
  </si>
  <si>
    <t>C.I..BRACKET FOR W.B.</t>
  </si>
  <si>
    <t>Mazdoor Ist</t>
  </si>
  <si>
    <t>BRASS TAP 15mm / 12 mm dia (HEAVY) p - 54 it-154</t>
  </si>
  <si>
    <t>Packing with C.M., Scaffolding</t>
  </si>
  <si>
    <t>C.P.TAP15mm DIA</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</si>
  <si>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</si>
  <si>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</si>
  <si>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</si>
  <si>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</si>
  <si>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</si>
  <si>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</si>
  <si>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</si>
  <si>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</si>
  <si>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</si>
  <si>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ALU TOWEL RAIL 20mm ,2'LONG</t>
  </si>
  <si>
    <t>CHAMBER OF SIZE 60X60X60cm</t>
  </si>
  <si>
    <t>P.V.C. LOW LEVEL CISTERN 10 LITCAPACITY p-55 175a</t>
  </si>
  <si>
    <t>P.V.C. S.D TAP 15mm DIA</t>
  </si>
  <si>
    <t>E.W AND REFILLING</t>
  </si>
  <si>
    <t xml:space="preserve"> 40mm Thick slab:- for sun shade only</t>
  </si>
  <si>
    <t>E.W.C./SEAT COVER BLACK(H)</t>
  </si>
  <si>
    <t>C.C(1:8:16)USING 40mmB.J METEL</t>
  </si>
  <si>
    <t>EVERITE CLAMP IRON CLAMP P-59 (Sl.No.226/p-61) (Special clamp)</t>
  </si>
  <si>
    <t>B.W IN C.M(1:5)</t>
  </si>
  <si>
    <t>150mm AL.HANDLE WITH CP SCREWS/DOOR STOPPER (PWD LR) p-47 it-104b/107</t>
  </si>
  <si>
    <t xml:space="preserve"> it-107 p-47</t>
  </si>
  <si>
    <t>8th</t>
  </si>
  <si>
    <t>PLASTERING IN C.M(1:3) 12 mmT.K</t>
  </si>
  <si>
    <t>C.P.STOPCOCK 20mM DIA 500 gm</t>
  </si>
  <si>
    <t>R.C.C(1:2:4) PETTY WORKS</t>
  </si>
  <si>
    <t>C.P.STOPCOCK 15mM DIA 300gm P 54</t>
  </si>
  <si>
    <t>(50mmT.K PCC SLAB)</t>
  </si>
  <si>
    <t>CERAMIC-FLOOR TILES WHITE/PLAINCOLOUR-6MM tk (PWD LR) p40 it 5i (33.80/0.093025)</t>
  </si>
  <si>
    <t>SUNDRIES FOR MOULDIN ETC</t>
  </si>
  <si>
    <r>
      <t xml:space="preserve">Glazed-WALL TILES PLAINCOLOUR-6MM T.K (PWD LR) 100x200x6mm 
</t>
    </r>
    <r>
      <rPr>
        <b/>
        <sz val="12"/>
        <rFont val="Helv"/>
      </rPr>
      <t>item no. 11(ii) p11 (8.00/0.02=400)</t>
    </r>
  </si>
  <si>
    <t>G.M.VALUE WITH POLYTHENE BALL OF 15mmDIA</t>
  </si>
  <si>
    <t>TOTAL FOR ONE NUMBER</t>
  </si>
  <si>
    <t>G.M.VALUE WITH POLYTHENE BALL OF 20mmDIA</t>
  </si>
  <si>
    <t>G.M.VALUE WITH POLYTHENE BALL OF 25mmDIA</t>
  </si>
  <si>
    <t>C.P. SHOWER ROSE 1/2"X4"</t>
  </si>
  <si>
    <t>CHAMBER OF SIZE 60X60X75cm</t>
  </si>
  <si>
    <t>TARRED HEMP YARN p- 59 /210</t>
  </si>
  <si>
    <t>StonecutterII</t>
  </si>
  <si>
    <t>WHITE / Colour CEMENT (PWD LR) average p-41 it22+23/2</t>
  </si>
  <si>
    <t>WHITE CEMENT (PWD LR) p-41 /24</t>
  </si>
  <si>
    <t>COLOUR CEMENT (PWD LR)p-41/250</t>
  </si>
  <si>
    <t>Total for one sqm</t>
  </si>
  <si>
    <t>BRASS HEX NIPPLE15mm DIA</t>
  </si>
  <si>
    <t>BRASS HEX NIPPLE 20mm DIA</t>
  </si>
  <si>
    <t>COLOUR</t>
  </si>
  <si>
    <t>E.W.C. WITH S  TRAP it-173( i)p-55</t>
  </si>
  <si>
    <t>SET</t>
  </si>
  <si>
    <t>ANGLO INDIAN WATER CLOSET WITH P OR S TRAP</t>
  </si>
  <si>
    <t>I.W.C. 18" WITH P OR S TRAP WITH FOOT REST</t>
  </si>
  <si>
    <t>PORCELIN FOOT REST</t>
  </si>
  <si>
    <t>WASH BASIN 480x400mm without pedastal it-180 p-56</t>
  </si>
  <si>
    <t>C.</t>
  </si>
  <si>
    <r>
      <t xml:space="preserve"> 20mm Thick slab:- For </t>
    </r>
    <r>
      <rPr>
        <b/>
        <sz val="12"/>
        <rFont val="Helv"/>
      </rPr>
      <t>kitchen arrangements only</t>
    </r>
  </si>
  <si>
    <t>FLATE BACK URINAL FOR MEN</t>
  </si>
  <si>
    <t>FLAT BACK URINAL it-185 i -p-56</t>
  </si>
  <si>
    <t>Cuddappah slab (One side polised).it-100 p-19</t>
  </si>
  <si>
    <t>CONSTRUCTION OF LEACH PIT AS</t>
  </si>
  <si>
    <t>P.V.C. SOIL PIPE 110mm DIA</t>
  </si>
  <si>
    <t>C.M 1:3</t>
  </si>
  <si>
    <t>PER SD NO 49/77</t>
  </si>
  <si>
    <t>P.V.C. SOIL PIPE 75mm DIA</t>
  </si>
  <si>
    <t>P.V.C. SOIL PIPE 50mm DIA</t>
  </si>
  <si>
    <t>E.W ONLY</t>
  </si>
  <si>
    <r>
      <t xml:space="preserve">P.V.C. SOIL BENDWITH DOOR 110mm DIA </t>
    </r>
    <r>
      <rPr>
        <b/>
        <sz val="12"/>
        <rFont val="Helv"/>
      </rPr>
      <t xml:space="preserve">Qtn </t>
    </r>
  </si>
  <si>
    <t>C.C(1:8:16)USING 40mm HBS</t>
  </si>
  <si>
    <t>P.V.C. SOIL BENDWITH DOOR 75mm DIA</t>
  </si>
  <si>
    <t>B.W. IN C.M(1:6) USING COUNTRY BRICK</t>
  </si>
  <si>
    <t>P.V.C. SOIL BENDWITH DOOR 50mm DIA</t>
  </si>
  <si>
    <t>Total for TEN sqm</t>
  </si>
  <si>
    <t>DRY BRICK WORK</t>
  </si>
  <si>
    <t>P.V.C. SOIL SHOE 110mm DIA p-104 it -M</t>
  </si>
  <si>
    <t xml:space="preserve"> 40mm HBS JELLY</t>
  </si>
  <si>
    <t>P.V.C. SOIL SHOE 75mm DIA</t>
  </si>
  <si>
    <t>RATE for one sqm</t>
  </si>
  <si>
    <t>P.V.C. SOIL SHOE 50mm DIA</t>
  </si>
  <si>
    <t>PLASTERING IN C.M(1:5)12mm T.K</t>
  </si>
  <si>
    <t xml:space="preserve">P.V.C. SOIL BEND W.O.D 110mm DIA p-102 it F by pasting </t>
  </si>
  <si>
    <t>SUPPLY OF 100mmS.W TEE</t>
  </si>
  <si>
    <t>P.V.C. SOIL BEND 75mm DIA</t>
  </si>
  <si>
    <t>R.C.C.(1:2:4) FOR PETTY WORK</t>
  </si>
  <si>
    <t>P.V.C. SOIL BEND 50mm DIA</t>
  </si>
  <si>
    <t>PCC-75MM T.K SLAB</t>
  </si>
  <si>
    <t xml:space="preserve">P.V.C. SOIL YEE 110mm DIA it-G p-103 by pasting </t>
  </si>
  <si>
    <t>P.V.C. SOIL YEE 75mm DIA</t>
  </si>
  <si>
    <t>P.V.C. SOIL YEE 50mm DIA</t>
  </si>
  <si>
    <t>P.V.C. SOIL YEEWITH DOOR 110mm DIA it-H p-103 single</t>
  </si>
  <si>
    <t>OF STEEL</t>
  </si>
  <si>
    <t>P.V.C. SOIL YEEWITH DOOR 75mm DIA</t>
  </si>
  <si>
    <t>CONSTRUCTION OF DISPERSION</t>
  </si>
  <si>
    <t>C.C(1:2:4)USING 20mmHB JELLY</t>
  </si>
  <si>
    <t>P.V.C. SOIL YEEWITH DOOR 50mm DIA</t>
  </si>
  <si>
    <t>TRENCH OF SIZE 3MX1MX1M</t>
  </si>
  <si>
    <t>4.2</t>
  </si>
  <si>
    <t>P.V.C. SOIL DOUBLE  YEE WITH DOOR 110mm ( double) it-K</t>
  </si>
  <si>
    <t>JELLY FOR ALL WATER RETAINING</t>
  </si>
  <si>
    <t xml:space="preserve">P.V.C. SOIL DOUBLE YEE WITH DOOR 75mm </t>
  </si>
  <si>
    <t>E.W EXCAVATION</t>
  </si>
  <si>
    <t>STRUCTURES AND R.C.C DOOR FRAMES</t>
  </si>
  <si>
    <t xml:space="preserve">P.V.C. SOIL DOUBLE YEE WITH DOOR 50mm </t>
  </si>
  <si>
    <t>SUPPLY OF 40mmB.J. METEL</t>
  </si>
  <si>
    <t>P.V.C. SOIL TEE 110mm DIA it C P-102/368</t>
  </si>
  <si>
    <t xml:space="preserve"> 100mm DIA S.W.PIPE</t>
  </si>
  <si>
    <t xml:space="preserve"> 3-10mmH.B.JELLY</t>
  </si>
  <si>
    <t>P.V.C. SOIL TEE 75mm DIA p102</t>
  </si>
  <si>
    <t>P.V.C. SOIL TEE 50mm DIA</t>
  </si>
  <si>
    <t>P.V.C. SOIL TEE WITH DOOR  110mm DIA (single) it-D P-102</t>
  </si>
  <si>
    <t>P.V.C. SOIL TEE WITH DOOR  75mm DIA</t>
  </si>
  <si>
    <t>P.V.C. SOIL TEE WITH DOOR  50mm DIA</t>
  </si>
  <si>
    <t>P.V.C. SOIL SLOTTED COWL 110mm DIA it-N P-104</t>
  </si>
  <si>
    <t>CONSTRUCTION OF SEPTIC TANK</t>
  </si>
  <si>
    <t>Plasticiser</t>
  </si>
  <si>
    <t>P.V.C. SOIL  SLOTTED COWL PIPE 75mm DIA</t>
  </si>
  <si>
    <t>OF SIZE 150X75X100cm( BER NO</t>
  </si>
  <si>
    <t>P.V.C. SOIL SLOTTEDCOWL 50mm DIA</t>
  </si>
  <si>
    <t>6/91-92)</t>
  </si>
  <si>
    <t>P.V.C. SOIL DOUBLE YEEE 110mm DIA</t>
  </si>
  <si>
    <t>P.V.C. SOIL DOUBLE YEE 75mm DIA</t>
  </si>
  <si>
    <t>WATER PROOF COMPOUND ( PWD LR)p40 it-1 An-vi</t>
  </si>
  <si>
    <t xml:space="preserve"> CC(1:2:4)IN20mmmHBS(PLAIN)</t>
  </si>
  <si>
    <t>ROUND RING</t>
  </si>
  <si>
    <t>A.C. SHEETFULLY CORRUGATED 6mmT.K (PWD LR -it-75 p-44)</t>
  </si>
  <si>
    <t>PLASTERING IN C.M(1:3)12mmT.K</t>
  </si>
  <si>
    <t>Add watering charges &amp; other (0.5%of sub-total)</t>
  </si>
  <si>
    <t>A.C. SHEET SEMI CORRUGATED 6mmT.K</t>
  </si>
  <si>
    <t>R.C.C(1:2:4)USING 20mmHBS</t>
  </si>
  <si>
    <t>A.C. RIDGE FOR FULLYCORRUGATED AC SHEET (PWD Lrit-57 p-39)</t>
  </si>
  <si>
    <t xml:space="preserve">PCC SLAB 50mm T.K </t>
  </si>
  <si>
    <t>Foundation &amp; Basement</t>
  </si>
  <si>
    <t>A.C. RIDGE FOR SEMI CORRUGATED AC SHEET (PWD Lrit-57 p-39)</t>
  </si>
  <si>
    <t>S/F OF S.W. TEE 1000mmmDIA</t>
  </si>
  <si>
    <t>U ORJ BOLT ANDBITUMENWASHERS</t>
  </si>
  <si>
    <t>GI HOT</t>
  </si>
  <si>
    <t>MTS</t>
  </si>
  <si>
    <t>S/F OF 50mmDIA A.C PIPE</t>
  </si>
  <si>
    <t>M.S.WINDOW GRILLS / Special extruded sections for Steel Windows *p23/131</t>
  </si>
  <si>
    <t>Kg p 44/80</t>
  </si>
  <si>
    <t>S/F OF 50mmDIA A.C COWL</t>
  </si>
  <si>
    <t>CONVEY,ALAIGN,JIONT ETC UP TO40mmPVC PIPE (TWAD SR-20-21 it-11b )</t>
  </si>
  <si>
    <t>CONVEY,ALAIGN,JIONT ETC OVER TO40mmPVC PIPE (TWAD SR-20-21 it-11b )</t>
  </si>
  <si>
    <t>CUTTING CHARGE OF PVC pipe20mm,25mm / 32 mm dia ( p-32 )</t>
  </si>
  <si>
    <t>THREADING CHARGES FOR PVC 20mm/25mm</t>
  </si>
  <si>
    <t>16.2</t>
  </si>
  <si>
    <t>SUPPLYING &amp; FIXING OF TERRACOTTA</t>
  </si>
  <si>
    <t>COST OFPVC PIPE JOINTING MATERIALS UPTO 40mm</t>
  </si>
  <si>
    <t>JALLY(NOT BELOW 50MM THICK) OF BEST</t>
  </si>
  <si>
    <t>COST OFPVC PIPE JOINTING MATERIALS OVER 40mm</t>
  </si>
  <si>
    <t>QUALITY AND FIXING IN POSITION WITH</t>
  </si>
  <si>
    <t>MISCELLANCEOUS ITEMS</t>
  </si>
  <si>
    <t>C.I.DOUBLE YEE JUNCTION WITH DOOR  100mmDIA</t>
  </si>
  <si>
    <t>CEMENT PASTE AND REDOXIDE PUTTY INCLUDING</t>
  </si>
  <si>
    <t>S.F OF A.C.SPOUT PIPE OF50 mm DIA</t>
  </si>
  <si>
    <r>
      <t xml:space="preserve">20mm HBG Machine crushed stone jelly   </t>
    </r>
    <r>
      <rPr>
        <b/>
        <sz val="12"/>
        <rFont val="Helv"/>
      </rPr>
      <t xml:space="preserve"> (7730 Kg)</t>
    </r>
  </si>
  <si>
    <t>C.I.DOUBLE YEE JUNCTION WITH DOOR  75mmDIA</t>
  </si>
  <si>
    <t>COST OF ALL FLOOR(THE TERRA COTTA JALLY</t>
  </si>
  <si>
    <t xml:space="preserve"> 18" LONG</t>
  </si>
  <si>
    <r>
      <t xml:space="preserve">10-12mm HBG Machine crushed stone jelly   </t>
    </r>
    <r>
      <rPr>
        <b/>
        <sz val="12"/>
        <rFont val="Helv"/>
      </rPr>
      <t xml:space="preserve"> (5156 Kg)</t>
    </r>
  </si>
  <si>
    <t>THREADING CHARGES FOR PVC 32mm/63mm</t>
  </si>
  <si>
    <t>QUALITY AND DESIGN SHALL BE GOT APPROVED</t>
  </si>
  <si>
    <r>
      <t xml:space="preserve">Sand   </t>
    </r>
    <r>
      <rPr>
        <b/>
        <sz val="12"/>
        <rFont val="Helv"/>
      </rPr>
      <t xml:space="preserve"> (7670 Kg)</t>
    </r>
  </si>
  <si>
    <t>C.I.DOUBLE YEE JUNCTION WITHOUT DOOR  100mmDIA</t>
  </si>
  <si>
    <t>BY THE DEPARTMENTAL OFFICERS</t>
  </si>
  <si>
    <t>SPOUT PIPE OF 50mm DIA</t>
  </si>
  <si>
    <t>C.I.DOUBLE YEE JUNCTION WITHOUT DOOR  75mmDIA</t>
  </si>
  <si>
    <t>LABOUR FOR FIXING INCLUDING</t>
  </si>
  <si>
    <t>Plasticiser /Super plasticiser @ 1% of cement</t>
  </si>
  <si>
    <t>C.I.DOUBLE YEE JUNCTION WITHOUT DOOR  50mmDIA</t>
  </si>
  <si>
    <t>COST OF TERRACOTTA JALLY OF50mm</t>
  </si>
  <si>
    <t>CLAMP ETC</t>
  </si>
  <si>
    <t>Mason II</t>
  </si>
  <si>
    <t>C.I. YEE JUNCTION WITH DOOR  100mmDIA</t>
  </si>
  <si>
    <t>LABOUR FOR FIXING JALLY</t>
  </si>
  <si>
    <t>Maz I</t>
  </si>
  <si>
    <t>C.I. YEE JUNCTION WITH DOOR  75mmDIA</t>
  </si>
  <si>
    <t>FOR PLASTERING &amp; REDOXIDE PUTTY</t>
  </si>
  <si>
    <t>TOTAL FOR  ONE NOS.</t>
  </si>
  <si>
    <t>Maz II</t>
  </si>
  <si>
    <t>C.I. YEE JUNCTION WITH  DOOR  50mmDIA</t>
  </si>
  <si>
    <t>Total for 10 cum</t>
  </si>
  <si>
    <t>C.I. YEE JUNCTION WITHOUT DOOR  100mmDIA</t>
  </si>
  <si>
    <t>for 1 cum</t>
  </si>
  <si>
    <t>C.I. YEE JUNCTION WITHOUT DOOR  75mmDIA</t>
  </si>
  <si>
    <t xml:space="preserve">           </t>
  </si>
  <si>
    <t>S.F OF A.C.SPOUT PIPE OF75 mm DIA</t>
  </si>
  <si>
    <t>Vibrating charges p-28 /103</t>
  </si>
  <si>
    <t>C.I. YEE JUNCTION WITH OUT DOOR  50mmDIA</t>
  </si>
  <si>
    <t>Sub Total</t>
  </si>
  <si>
    <t>C.I. TEE JUNCTION WITH DOOR  100mmDIA</t>
  </si>
  <si>
    <t>Add for water charges &amp; other sundries (0.5 % of sub total</t>
  </si>
  <si>
    <t>C.I. TEE JUNCTION WITH DOOR  75mmDIA</t>
  </si>
  <si>
    <t>SPOUT PIPE OF 75mm DIA</t>
  </si>
  <si>
    <t xml:space="preserve">For RCC Door Frame </t>
  </si>
  <si>
    <t>C.I. TEE JUNCTION WITH  DOOR  50mmDIA</t>
  </si>
  <si>
    <t>C.I. TEE JUNCTION WITHOUT DOOR  100mmDIA</t>
  </si>
  <si>
    <t>C.I. TEE JUNCTION WITHOUT DOOR  75mmDIA</t>
  </si>
  <si>
    <t>16.3</t>
  </si>
  <si>
    <t>JALLY(NOT BELOW 110MM THICK) OF BEST</t>
  </si>
  <si>
    <t>C.I.SLOTTED COWL  100mmDIA</t>
  </si>
  <si>
    <t>C.I.SLOTTED COWL  75mmDIA</t>
  </si>
  <si>
    <t>C.I.SLOTTED COWL  50mmDIA</t>
  </si>
  <si>
    <t>S.F OF A.C.SPOUT PIPE OF100mm DIA</t>
  </si>
  <si>
    <t>C.I. GRATING 100mmDIA it-74 p-44</t>
  </si>
  <si>
    <t>C.I. GRATING 75mmDIA</t>
  </si>
  <si>
    <t>BY THE DEPARTMENTAL OFFICERS)</t>
  </si>
  <si>
    <t>G.I PIPE "A"CLASS 80mmDIA / 20mm dia G.I. Pipe class B</t>
  </si>
  <si>
    <t>p52 150/vi</t>
  </si>
  <si>
    <t>SPOUT PIPE OF 100mm DIA</t>
  </si>
  <si>
    <t>G.I. 80MM DIA BEND</t>
  </si>
  <si>
    <t>COST OF TERRACOTTA JALLY OF 110mm</t>
  </si>
  <si>
    <t>G.I. 80MM DIA CUPPLER</t>
  </si>
  <si>
    <t>G.I. 80MM DIA UNION</t>
  </si>
  <si>
    <t>G.I. 80MM DIA PLUG</t>
  </si>
  <si>
    <t>G.I. 80MM DIA TEE</t>
  </si>
  <si>
    <t>Solid panel PVC door with frame (Rajeshree) p-49 it-122 A</t>
  </si>
  <si>
    <t>G.I. 80MM DIA HEX.NIPPLE</t>
  </si>
  <si>
    <r>
      <t xml:space="preserve">20mm HBG Machine crushed stone jelly  </t>
    </r>
    <r>
      <rPr>
        <b/>
        <sz val="12"/>
        <rFont val="Helv"/>
      </rPr>
      <t>(7730 Kg)</t>
    </r>
  </si>
  <si>
    <t>G.I. 80MM X50mm REDUCER</t>
  </si>
  <si>
    <t>S.F OF G.I OUT LET PIPE OF 25mm DIA</t>
  </si>
  <si>
    <r>
      <t xml:space="preserve">10-12mm HBG Machine crushed stone jelly  </t>
    </r>
    <r>
      <rPr>
        <b/>
        <sz val="12"/>
        <rFont val="Helv"/>
      </rPr>
      <t>(5156 Kg)</t>
    </r>
  </si>
  <si>
    <t>G.I. 80MM X65mm REDUCER</t>
  </si>
  <si>
    <t xml:space="preserve"> 30cm LONG</t>
  </si>
  <si>
    <t>G.I. 80MM X50mm REDUCER TEE</t>
  </si>
  <si>
    <t>G.I. 80MM X65mm REDUCER TEE</t>
  </si>
  <si>
    <t xml:space="preserve"> PIPE COST 25mm DIA</t>
  </si>
  <si>
    <t>Plasticiser /Super plasticiser @ .60% of cement (P57 item NO.198</t>
  </si>
  <si>
    <t>PLAIN GLASS</t>
  </si>
  <si>
    <t>P.V.C BEND p100/367c</t>
  </si>
  <si>
    <t xml:space="preserve"> 15mm DIA</t>
  </si>
  <si>
    <t xml:space="preserve">PROVIDING FORM WORK AND CENTERING FOR </t>
  </si>
  <si>
    <t>PLAIN CONCRETE SURFACES FOR ALL R.C.C</t>
  </si>
  <si>
    <t>WORKS(beams &amp; lintels)</t>
  </si>
  <si>
    <t>COUNTRY WOOD ITEM</t>
  </si>
  <si>
    <t>=================</t>
  </si>
  <si>
    <t>P.V.C. COUPLER</t>
  </si>
  <si>
    <t>C.W BOARDING 40mm T.K</t>
  </si>
  <si>
    <t>a.</t>
  </si>
  <si>
    <t>DOOR OF SIZE 100X210Cm</t>
  </si>
  <si>
    <t>C.W JOIST(AVE.SIZE 100X6.5mm</t>
  </si>
  <si>
    <t>100mm DIA</t>
  </si>
  <si>
    <t>@90cm C/C)</t>
  </si>
  <si>
    <t>C.W.SCANTLING upto 4m long (Padak)</t>
  </si>
  <si>
    <t>P.V.C ELBOW</t>
  </si>
  <si>
    <t>CASURNA POST 10TO 13cmDIA</t>
  </si>
  <si>
    <t>MARINE PLYWOOD 12mm THICK</t>
  </si>
  <si>
    <t>AT75cm CENTERS</t>
  </si>
  <si>
    <t xml:space="preserve"> 6"X1/2" I.O.TOWER BOLT</t>
  </si>
  <si>
    <t>PLYWOOD FLUSH DOOR 30mm T.K FOR ALL SIZE</t>
  </si>
  <si>
    <t>TOTAL FOR   5 Operations for 10 sqm</t>
  </si>
  <si>
    <t xml:space="preserve"> 5" I.O.BUTT HINGS</t>
  </si>
  <si>
    <t>P.V.C.FLUSH D/F &amp; D/S 20mm T.K FOR 75X200cm</t>
  </si>
  <si>
    <t xml:space="preserve"> 10"X5/8" I.O ALDROP</t>
  </si>
  <si>
    <t>SINTEX WATER TANK OF 750 LIT it-176 p-56</t>
  </si>
  <si>
    <t>Litre</t>
  </si>
  <si>
    <t>COST  OF ONE OPERATION</t>
  </si>
  <si>
    <t>STEEL DOOR FRAMEOF SIZE 100X200</t>
  </si>
  <si>
    <t>CARPENTER I</t>
  </si>
  <si>
    <t>STEEL DOOR FRAMEOF SIZE 90X200</t>
  </si>
  <si>
    <t>STEEL DOOR FRAMEOF SIZE 75X200</t>
  </si>
  <si>
    <t>SUNDRIES FOR WEDGES,NAILS,COIR</t>
  </si>
  <si>
    <t>TOTAL FOR 1.815 SQM</t>
  </si>
  <si>
    <t>STEEL WINDOW FRAME&amp;SHUTTER WITHOUT GLASS</t>
  </si>
  <si>
    <t xml:space="preserve"> "   OF SIZE 132.5X120cm</t>
  </si>
  <si>
    <t xml:space="preserve"> "   OF SIZE 90X120cm</t>
  </si>
  <si>
    <t xml:space="preserve"> "   OF SIZE 47.5X120cm</t>
  </si>
  <si>
    <t>b.</t>
  </si>
  <si>
    <t>DOOR OF SIZE 90X200Cm</t>
  </si>
  <si>
    <t xml:space="preserve"> "   OF SIZE 90X105cm</t>
  </si>
  <si>
    <t xml:space="preserve"> "   OF SIZE 47.5X105cm</t>
  </si>
  <si>
    <t>C.W.SCANTLING(PLLLI,KARIMURUTH)</t>
  </si>
  <si>
    <t xml:space="preserve"> "   OF SIZE 90X90cm</t>
  </si>
  <si>
    <t>Centering for soffits for R.C.C.Slabs or</t>
  </si>
  <si>
    <t xml:space="preserve"> "   OF SIZE 47.5X90cm</t>
  </si>
  <si>
    <t>plane surfaces including shuttering up to 3m</t>
  </si>
  <si>
    <t>STEEL VENTILATTER FRAME&amp;SHUTTER WITHOUT GLASS</t>
  </si>
  <si>
    <t>height using M.S sheets of size 90mmx60mm and</t>
  </si>
  <si>
    <t xml:space="preserve"> "   OF SIZE 75X47.5cm</t>
  </si>
  <si>
    <t>HP 10G stiffened with welded M.S angle of</t>
  </si>
  <si>
    <t xml:space="preserve"> "   OF SIZE 90X47.5cm</t>
  </si>
  <si>
    <t>size 25x25x3mm laid over silver oak (C.W)</t>
  </si>
  <si>
    <t>joist 10cmx6.5cm spaced at75cm c/c complying</t>
  </si>
  <si>
    <t>P.V.C REDUCER ELBOW</t>
  </si>
  <si>
    <t>with standard specification</t>
  </si>
  <si>
    <t xml:space="preserve"> 50X25MM</t>
  </si>
  <si>
    <t>EACH</t>
  </si>
  <si>
    <t xml:space="preserve"> 50X40MM</t>
  </si>
  <si>
    <t>Cost of M.S sheet of size</t>
  </si>
  <si>
    <t>TOTAL FOR 1.6191 SQM</t>
  </si>
  <si>
    <t>PORCELINE WHITE GLASED SOAP DISH 200X100mm</t>
  </si>
  <si>
    <t>90x60cm of 10 gauge</t>
  </si>
  <si>
    <t>PORCEINE WASH BASIN OVAL SHAPE 480X400mm</t>
  </si>
  <si>
    <t>Cost of M.S angle of size</t>
  </si>
  <si>
    <t>END CAP SULATED P.V.C. MANHOLE STEP</t>
  </si>
  <si>
    <t xml:space="preserve"> 25x25x3mm</t>
  </si>
  <si>
    <t>P.V.C. DOUBLE TEE WITH DOOR 75mm DIA</t>
  </si>
  <si>
    <t>Add for cutting, bending,</t>
  </si>
  <si>
    <t>P.V.C. DOUBLE TEE WITH DOOR 100mm DIA</t>
  </si>
  <si>
    <t>welding charges etc.</t>
  </si>
  <si>
    <t>DOOR OF SIZE 75X200Cm</t>
  </si>
  <si>
    <t>P.V.C. DOUBLE TEE WITH OUT DOOR 75mm DIA</t>
  </si>
  <si>
    <t>Pipe</t>
  </si>
  <si>
    <t>P.V.C. DOUBLE TEE WITH OUT DOOR 100mm DIA</t>
  </si>
  <si>
    <t>POISHED CUDDAPAH SLAB 20mm/40 mm THICK WELL POISHED  p-20 it-104/105</t>
  </si>
  <si>
    <t>Cost of one operation</t>
  </si>
  <si>
    <t>CUDDAPAH SLAB SINK 60X45cm,20mmT.K p -56it-182</t>
  </si>
  <si>
    <t>CUDDAPAH SLAB SINK 45X45cm,20mmT.K</t>
  </si>
  <si>
    <t>Adopting 40 uses for steel sheet and</t>
  </si>
  <si>
    <t>GRANITE SLAB 20mm THICK OF BEST QUALITY Synthetic Grey, p-42 /29c</t>
  </si>
  <si>
    <t>angles and 5 uses for C.W.joist and</t>
  </si>
  <si>
    <t xml:space="preserve"> 4" I.O.BUTT HINGS</t>
  </si>
  <si>
    <t>ELECTRICAL ARRANGEMENT:- BOARD APPROVED RATES</t>
  </si>
  <si>
    <t>casurina props</t>
  </si>
  <si>
    <t xml:space="preserve"> 6"X1/2" I.O ALDROP</t>
  </si>
  <si>
    <t>WRING WITH 1.5SQMM COPPER WIRE  CONCELLED</t>
  </si>
  <si>
    <t>TYPE FOR LIGHT POINT WITH CEILING ROSE</t>
  </si>
  <si>
    <t>POINT</t>
  </si>
  <si>
    <t>Cost of M.S Sheet and Angles</t>
  </si>
  <si>
    <t xml:space="preserve"> 1Use</t>
  </si>
  <si>
    <t>---DO---FOR LIGHT POINT WITH BATTERN HODER</t>
  </si>
  <si>
    <t>for one operation</t>
  </si>
  <si>
    <t xml:space="preserve"> ---DO---FOR FAN POINT </t>
  </si>
  <si>
    <t>Cost of silver oak scantling</t>
  </si>
  <si>
    <t>TOTAL FOR 1.3247 SQM</t>
  </si>
  <si>
    <t xml:space="preserve"> --DO--FOR 5AMP 5PIN PLUG AT SWITCH BOARD</t>
  </si>
  <si>
    <t>Casurnia props 10 to 13cm dia</t>
  </si>
  <si>
    <t xml:space="preserve"> --DO--FOR 5AMP 5PIN PLUG AT CONVENTENT PLACE</t>
  </si>
  <si>
    <t>Add for Silver oak planks</t>
  </si>
  <si>
    <t xml:space="preserve"> ---DO---FOR STAIR CASE LIGHT POINT </t>
  </si>
  <si>
    <t>Carpenter Ist</t>
  </si>
  <si>
    <t>S/F OF BULKHEAD FITTING SUITABLE FOR 100/60W p115 i25</t>
  </si>
  <si>
    <t>549A</t>
  </si>
  <si>
    <t>CUDDAPAH SLAB SINK 60X60cm,20mmT.K p -56 it-183</t>
  </si>
  <si>
    <t>Fitter IInd</t>
  </si>
  <si>
    <t>FLUSH SHUTTER P.V.C. 30mm THICK</t>
  </si>
  <si>
    <t>RUN OF MAINS 2-1.5 SQMM COPPER CONCELLED TYPE</t>
  </si>
  <si>
    <t>Add for nails, wedges,oils etc</t>
  </si>
  <si>
    <t xml:space="preserve"> SOLIDCORE OF BLACKBOARD</t>
  </si>
  <si>
    <t xml:space="preserve">S/F OF 16 AMP DPIC MAIN SWITCH </t>
  </si>
  <si>
    <t>Add for periodical cleaning,</t>
  </si>
  <si>
    <t>TYPE WITH COMMERCIAL TYPE</t>
  </si>
  <si>
    <t>EARTHING STATION ASPER IS3043</t>
  </si>
  <si>
    <t>painting etc  for M.S. Sheet</t>
  </si>
  <si>
    <t>LIPPING BOTH SIDES</t>
  </si>
  <si>
    <t>S/L OF 8SWG G.I WIRE FOREARTH TO MAIN</t>
  </si>
  <si>
    <t>SUPPLY OF 5-10AMP/10-20AMP ELE. ENERGY METER</t>
  </si>
  <si>
    <t>S/F OF CONSUMER UNIT OF 4NO OF 16AMP WAY</t>
  </si>
  <si>
    <t>FOR ALL SIZE OF DOORS/SQM</t>
  </si>
  <si>
    <t>RUN OF MAINS 4-4 SQMM COPPER CONCELLED TYPE</t>
  </si>
  <si>
    <t>LABOUR FOR FIXING CEIING FAN OF AL SWEEP</t>
  </si>
  <si>
    <t xml:space="preserve">S/F OF S.C TW BOARD,3-30AMPFUSE, EARTHPLATE </t>
  </si>
  <si>
    <t>PROVIDING FORMWORK AND</t>
  </si>
  <si>
    <t>STEEL DOOR FRAMES AND WINDOW FRAMES WITH SHUTTER</t>
  </si>
  <si>
    <t xml:space="preserve">RUN OF S.C WIRING WITH 2-4 SQMM COPPER ,7/20 GI </t>
  </si>
  <si>
    <t>CENTERING FOR PLAIN CONCRETE</t>
  </si>
  <si>
    <t>====</t>
  </si>
  <si>
    <t>S/F OF AERI FUSE UNIT 30AMP 500V AT E.B POLE</t>
  </si>
  <si>
    <t>SURFACES FOR SMALL QTY such as sunshade etc</t>
  </si>
  <si>
    <t>ITEM NO 1:-MANUFACTURING AND</t>
  </si>
  <si>
    <t>S/F OF 40mmDIA B-CASS G.I PIPE</t>
  </si>
  <si>
    <t>SUPPLYING OF STEEL DOOR frame OF</t>
  </si>
  <si>
    <t>S/F OF 40mmDIA B-CASS G.I COUPLER</t>
  </si>
  <si>
    <t>MS angles &amp; sheets for one</t>
  </si>
  <si>
    <t>ALL SIZES WITH OUT SHUTTER</t>
  </si>
  <si>
    <t>S/F OF 40mmDIA B-CASS G.I BEND</t>
  </si>
  <si>
    <t>use (1.2 times of operation</t>
  </si>
  <si>
    <t>MADE OF 100X50 18GAUGE CRCA</t>
  </si>
  <si>
    <t>S/F OF 40X40X6mmANGLE TO SUPPORT G.I.PIPE.</t>
  </si>
  <si>
    <t>for plain surface)</t>
  </si>
  <si>
    <t>STELL WITH ALL FOURNITURE AND</t>
  </si>
  <si>
    <t>S/F OF 15AMP 3PIN POWER PLUG WITH SWITCH</t>
  </si>
  <si>
    <t>C.W Joist for one use (1.2</t>
  </si>
  <si>
    <t>FITTINGS.</t>
  </si>
  <si>
    <t>RUN OF MAINS 2-2.5 SQMM COPPER CONCELLED TYPE</t>
  </si>
  <si>
    <t>times of operation for plain</t>
  </si>
  <si>
    <t>S/F OF SINGE PHASE ELCB OF CONCEAED TYPE</t>
  </si>
  <si>
    <t>surface)</t>
  </si>
  <si>
    <t>MARINE PLYWOOD OF 9mm THICK OF BWR GRADE L.R ( qtn)</t>
  </si>
  <si>
    <t>Manufacturing and supplying of</t>
  </si>
  <si>
    <t>m.s.angle window shutter  and</t>
  </si>
  <si>
    <t>m.s grills with out glass of</t>
  </si>
  <si>
    <t>all sizes of windows,ventilaters.</t>
  </si>
  <si>
    <t xml:space="preserve"> ---DO---FOR CALLING BELL POINT </t>
  </si>
  <si>
    <t>ADD FOR SILVER OKE PLANKS</t>
  </si>
  <si>
    <t>Supply and fixing of window</t>
  </si>
  <si>
    <t>Add for periodical cleaning</t>
  </si>
  <si>
    <t>glass panels of 4mm thick for</t>
  </si>
  <si>
    <t>and painting etc for M.S. Sheet</t>
  </si>
  <si>
    <t>steel window and ventilaters.</t>
  </si>
  <si>
    <t xml:space="preserve"> --DO--FOR 15AMP OWER PLUG</t>
  </si>
  <si>
    <t>Cost of 4mm window glass (Plain glass) P50 SR 20-21</t>
  </si>
  <si>
    <t>S/F OF BULK HEAD FITTING</t>
  </si>
  <si>
    <t>S/F OF DOUBLE POLE MAIN SWITCH</t>
  </si>
  <si>
    <t>nos.</t>
  </si>
  <si>
    <t>Carpenter I class</t>
  </si>
  <si>
    <t>S/F OF 6 WAY D.B</t>
  </si>
  <si>
    <t>LABOUR CHARGE FOR FIXING FAN</t>
  </si>
  <si>
    <t>Cost of binding meterials etc.,</t>
  </si>
  <si>
    <t>SUPPLY AND DELIVERY OF FAN 48"SWEEP</t>
  </si>
  <si>
    <t>SUPPLY AND DELIVERY OF FAN 42"SWEEP</t>
  </si>
  <si>
    <t>total for 0.4sqm</t>
  </si>
  <si>
    <t>S/F OF 8SWG G.I WIRE</t>
  </si>
  <si>
    <t>SURFACES FOR PLINTH BEAM ETC.</t>
  </si>
  <si>
    <t>Design Mix M30 Grade Concrete (CER 255/2012-13)</t>
  </si>
  <si>
    <t>RUN OFF MAIN WITH 2NO OF 1.50sq.mm WIRE</t>
  </si>
  <si>
    <t>Rate for one sqm</t>
  </si>
  <si>
    <t>20mm HBG</t>
  </si>
  <si>
    <t>EARTHING STATION AS PER ISI</t>
  </si>
  <si>
    <t>HALF THE RATE  OF F.W USING C.W.PLANKS</t>
  </si>
  <si>
    <t>10mm HBG</t>
  </si>
  <si>
    <t>S/F OF 1 NO OF 30 AMP FUSE UNIT.</t>
  </si>
  <si>
    <t>FOR LINTEL &amp; BEAMS</t>
  </si>
  <si>
    <t>Manufactoring and supplying of</t>
  </si>
  <si>
    <t>S/F OF 375mmX300mmX20mmT.W.PLANK FOR S.C.</t>
  </si>
  <si>
    <t>R.C.C 1:1.5:3 USING 20mmHBG</t>
  </si>
  <si>
    <t xml:space="preserve">steel window, confirming to </t>
  </si>
  <si>
    <t>S/F OF METRE CUPBOARD</t>
  </si>
  <si>
    <t>IS 1038/1983.</t>
  </si>
  <si>
    <t>S/F OF STREET LIGHTS.</t>
  </si>
  <si>
    <r>
      <t xml:space="preserve">PROVIDING ANTI-TERMITE TREATMENT </t>
    </r>
    <r>
      <rPr>
        <b/>
        <sz val="12"/>
        <color indexed="51"/>
        <rFont val="Helv"/>
      </rPr>
      <t>Say 34</t>
    </r>
  </si>
  <si>
    <t>Window size 90x120cm</t>
  </si>
  <si>
    <t>PROVIDING ELCB WITH MCB IN MS BOX</t>
  </si>
  <si>
    <t xml:space="preserve"> 20mmH.B.JELLY</t>
  </si>
  <si>
    <t xml:space="preserve"> ---------------------</t>
  </si>
  <si>
    <t>Vibrating charges</t>
  </si>
  <si>
    <t>Flat back urinal WITH ALL ACCESSORIES (white)p-56 it-185</t>
  </si>
  <si>
    <t>Steel window with 10mm square</t>
  </si>
  <si>
    <t>Admixture</t>
  </si>
  <si>
    <t>WIRE MAN GR-I p-11 it-13</t>
  </si>
  <si>
    <t>horizontal with one coat of</t>
  </si>
  <si>
    <t>Batching plant</t>
  </si>
  <si>
    <t>Electrical HELPERp-15 it-100</t>
  </si>
  <si>
    <t>red oxide primer paint.</t>
  </si>
  <si>
    <t>Frosted glass  4mmthick it-106 p-44</t>
  </si>
  <si>
    <t>STACKING GHARGES HW DATA 16-17</t>
  </si>
  <si>
    <t>Iron hinge special type</t>
  </si>
  <si>
    <t>Stays and pegs</t>
  </si>
  <si>
    <t>CUTTING CHARGE OF PVC pipe32mm p-32 it-129</t>
  </si>
  <si>
    <t>Locking arrangements</t>
  </si>
  <si>
    <t>Design Mix M25 Grade Concrete (CER 255/2012-13)</t>
  </si>
  <si>
    <t>THREADING CHARGES FOR PVC 32mm</t>
  </si>
  <si>
    <t xml:space="preserve"> 12x12mm thick alu.beedings</t>
  </si>
  <si>
    <t xml:space="preserve">by pasting </t>
  </si>
  <si>
    <t>Labour Charges for fixing</t>
  </si>
  <si>
    <t>Alu. bolt and nuts</t>
  </si>
  <si>
    <t>Labour wrought and put up in position</t>
  </si>
  <si>
    <t>Single leaf shutter</t>
  </si>
  <si>
    <t>Total for 1No</t>
  </si>
  <si>
    <t>Window size 90x105cm</t>
  </si>
  <si>
    <t>R.C.C DOOR FRAME</t>
  </si>
  <si>
    <t>Frosted glass 3mmthick</t>
  </si>
  <si>
    <t>21.1</t>
  </si>
  <si>
    <t>SUPPLYING AND FIXING MONOLITHIC RCC DOOR</t>
  </si>
  <si>
    <t>FRAME OF SIZEM 100MMX75MM WITH ONE EDGE</t>
  </si>
  <si>
    <t>GROOVE OF SIZE 30MMX20MM IN RCC(1:1.5:3)USING</t>
  </si>
  <si>
    <t>20MM HBS JELLY INCLUDING COST OF STEEL AND</t>
  </si>
  <si>
    <t>FABRICATION OF REINFORCEMENT WITH -6MM M.S</t>
  </si>
  <si>
    <t>ROD AROUND AND 3MM STEEL STIRRUP AT 30CM C/C</t>
  </si>
  <si>
    <t>INCLUDING FIXING OF 3NOS OF IRON BRACKET OF</t>
  </si>
  <si>
    <t>SIZE 100MMX100MMX5MM, 6NOS OF HOLDFAST</t>
  </si>
  <si>
    <t>CHECKNUTS AND ALUMINIUM SLEEVES AND 2 NOS OF</t>
  </si>
  <si>
    <t xml:space="preserve">RCC door </t>
  </si>
  <si>
    <t>I.O.TOWER BOLT RECEIVER ALL AS PER DRAWING</t>
  </si>
  <si>
    <t>1200MMX2100MM SIZE OF DOOR FRAME</t>
  </si>
  <si>
    <t>INCLUDING MOULDING INSTEEL MOULD PRECASTING</t>
  </si>
  <si>
    <t>WITH SMOOTH SURFACE AND FINE EDGES, CURING,</t>
  </si>
  <si>
    <t>R.C.C.IN C.C 1:1.5:3</t>
  </si>
  <si>
    <t>TRANSPORTING ETC., ALL COMPLETE, AS DIRECTED</t>
  </si>
  <si>
    <t>FAB OF M.S STEEL</t>
  </si>
  <si>
    <t>BY DEPT.OFFICERS.</t>
  </si>
  <si>
    <t>HANGER BRACKET</t>
  </si>
  <si>
    <t>ALU.SLEEVES</t>
  </si>
  <si>
    <t>TOWER BOLT RECEIVER</t>
  </si>
  <si>
    <t>1000MMX2100MM SIZE OF DOOR FRAME</t>
  </si>
  <si>
    <t>TAILNUT FOR BOLT</t>
  </si>
  <si>
    <t>1000MMX2400MM SIZE OF DOOR FRAME</t>
  </si>
  <si>
    <t>-------------------------------</t>
  </si>
  <si>
    <t>MASON Ist</t>
  </si>
  <si>
    <t>MAZDOOR Ist</t>
  </si>
  <si>
    <t>MOULDING CHARGES</t>
  </si>
  <si>
    <t>HANDLING CHARGES MAZDOOR-II</t>
  </si>
  <si>
    <t>ADD FOR OIL,CONVEYANCE ETC.,</t>
  </si>
  <si>
    <t>TOTAL FOR 1 NO</t>
  </si>
  <si>
    <t>Window size 60x120cm</t>
  </si>
  <si>
    <t>Frosted glass 4mmthick</t>
  </si>
  <si>
    <t>900MMX2100MM SIZE OF DOOR FRAME</t>
  </si>
  <si>
    <t>1500MMX2100MM SIZE OF DOOR FRAME</t>
  </si>
  <si>
    <r>
      <t xml:space="preserve">Satndardised cement Concrtet </t>
    </r>
    <r>
      <rPr>
        <b/>
        <sz val="12"/>
        <rFont val="Helv"/>
      </rPr>
      <t>M30 grade 1:1.5:3 without vibrating charges</t>
    </r>
  </si>
  <si>
    <t>21.2</t>
  </si>
  <si>
    <t>SUPPLING  AND FIXING OF BEST T.W.WROUGHT AND</t>
  </si>
  <si>
    <t>PUTUP FOR DOORS, WINDOWS AND VENTILATERS ETC</t>
  </si>
  <si>
    <t>LABOUR CHARGES:-</t>
  </si>
  <si>
    <t>CARPENTER-I</t>
  </si>
  <si>
    <t>700MMX2100MM SIZE OF DOOR FRAME</t>
  </si>
  <si>
    <t>MAZDOOR-I</t>
  </si>
  <si>
    <t>1500MMX2400MM SIZE OF DOOR FRAME</t>
  </si>
  <si>
    <t>TOTAL FOR .0283 CUM</t>
  </si>
  <si>
    <t>TOTAL FOR ONE CUM</t>
  </si>
  <si>
    <t>S&amp;F P.V.C. 20mmTHICK DOOR SHUTTER WITH DOOR FRAME OF SIZE 40mmX57mm FOR OUTER FRAME AND THE SINGLE LEAF SHUTTER MADEOF PLASTIC SHEET 20mmX200mm FOR SHUTTER PANNEL AND SHUTTER FRAME OF PLASTIC 24mmX59mm WITH 8 NOS OF 3 HINGS ALU,2N0S OFAL. HANDLES</t>
  </si>
  <si>
    <t>FOR DOORS OF ALL SIZE</t>
  </si>
  <si>
    <t>…</t>
  </si>
  <si>
    <t>FOR DOORS OF ALL SIZE (Qtn. For syntex.) Hollow p48 117a</t>
  </si>
  <si>
    <t>TEAK WOODS</t>
  </si>
  <si>
    <t xml:space="preserve">========= </t>
  </si>
  <si>
    <t>TEAK WOOD WROUGHT &amp; PUT UP</t>
  </si>
  <si>
    <t>T.W.SCANTLING 2M-3M LONG</t>
  </si>
  <si>
    <t>LABOUR CHARGE FOR WROUGHT &amp; PUTUP</t>
  </si>
  <si>
    <t>RATE FOR T.W.SCANDLING 2M-3M LONG</t>
  </si>
  <si>
    <t>T.W.SCANTLING UP TO 2M LONG</t>
  </si>
  <si>
    <t>22.1 (a)</t>
  </si>
  <si>
    <t>COUNTRY WOOD SINGLY LEAF FULLY PANELLED</t>
  </si>
  <si>
    <t>DOOR SHUTTER FOR DOOR OF SIZE</t>
  </si>
  <si>
    <t>1000 X 2100MM</t>
  </si>
  <si>
    <t>RATE FOR T.W.SCANTLING 2M LONG</t>
  </si>
  <si>
    <t>SHUTTER SIZE-.9X2.025   =1.823M2</t>
  </si>
  <si>
    <t>STYLES(OVER 2M) -1X2X2.025X0.075X0.0375=0.0114</t>
  </si>
  <si>
    <t>T.W.SINGLY LEAF FULLY PANELLED</t>
  </si>
  <si>
    <t>RAILS(BELOW 2M)- 1X4X0.9X0.15X0.0375=      0.0203</t>
  </si>
  <si>
    <t xml:space="preserve">               - 1X2X0.70625X0.075X0.0375 =0.0040</t>
  </si>
  <si>
    <t>PLANKS      -1X4X0.58125X0.3375X0.01875=</t>
  </si>
  <si>
    <t xml:space="preserve">             -1X1X0.725X0.3375X0.01875=</t>
  </si>
  <si>
    <t xml:space="preserve">C.W SCANTLING UPTO 4M LONG </t>
  </si>
  <si>
    <t xml:space="preserve">C.W SCANTLING  UPTO 4M LONG </t>
  </si>
  <si>
    <t>C.W PLANKS 25mm thick, 30cm WIDE</t>
  </si>
  <si>
    <t>LABOUR FOR WROUGHT&amp;PUTUP</t>
  </si>
  <si>
    <t>DOOR HANDLE WITH CP SCREWS</t>
  </si>
  <si>
    <t xml:space="preserve">  5"BUTT HINGS</t>
  </si>
  <si>
    <t>T.W SCANTLING  ABOVE 2M LONG</t>
  </si>
  <si>
    <t xml:space="preserve"> 6"X1/2"TOWER BOLT</t>
  </si>
  <si>
    <t>T.W SCANTLING  BELOW 2M LONG</t>
  </si>
  <si>
    <t>10"X5/8"ALDROP</t>
  </si>
  <si>
    <t>T.W PLANKS OVER 15TO 30cm</t>
  </si>
  <si>
    <t>NYLONBUSH</t>
  </si>
  <si>
    <t>WIDE&amp;12TO15mm T.K</t>
  </si>
  <si>
    <t>DOOR STOPPER (SR Item No.107)</t>
  </si>
  <si>
    <t>DOOR HANDLE WITH CP SCREWS 6"</t>
  </si>
  <si>
    <t>TOTAL FOR 1.8230SQM</t>
  </si>
  <si>
    <t>Brass screw p-59 it-224</t>
  </si>
  <si>
    <t>No,</t>
  </si>
  <si>
    <t>22.1 (b)</t>
  </si>
  <si>
    <t>900 X 2100MM</t>
  </si>
  <si>
    <t>SHUTTER SIZE0-.8X2.05   =1.64M2</t>
  </si>
  <si>
    <t>STYLES(OVER 2M) -1X2X2.05X0.075X0.0375=0.0115</t>
  </si>
  <si>
    <t>RAILS(BELOW 2M)- 1X4X0.8X0.15X0.0375=      0.018</t>
  </si>
  <si>
    <t xml:space="preserve">               - 1X2X0.73125X0.075X0.0375 =0.0040</t>
  </si>
  <si>
    <t>PLANKS      -1X4X0.60625X0.2875X0.01875=</t>
  </si>
  <si>
    <t xml:space="preserve">             -1X1X0.625X0.2875X0.01875=</t>
  </si>
  <si>
    <t>BWR   single leaf</t>
  </si>
  <si>
    <t>(a)</t>
  </si>
  <si>
    <t>DOOR OF SIZE 750X2100 MM</t>
  </si>
  <si>
    <t xml:space="preserve"> 5" ALU BUTT HINGES</t>
  </si>
  <si>
    <t>ALU.HANDLE WITH C.P.SCREWS 6"</t>
  </si>
  <si>
    <t>Brass screw</t>
  </si>
  <si>
    <t>brass screws</t>
  </si>
  <si>
    <t>TOTAL FOR 1.6400SQM</t>
  </si>
  <si>
    <t>22.1 (c)</t>
  </si>
  <si>
    <t>700 X 2100MM</t>
  </si>
  <si>
    <t>SHUTTER SIZE0-.6X2.025   =1.215M2</t>
  </si>
  <si>
    <t>RAILS(BELOW 2M)- 1X2X0.6X0.15X0.0375=      0.0068</t>
  </si>
  <si>
    <t xml:space="preserve">               - 1X3X0.6X0.075X0.0375 =0.0051</t>
  </si>
  <si>
    <t>PLANKS      -1X5X0.425X0.295X0.01875=</t>
  </si>
  <si>
    <t>23.1.</t>
  </si>
  <si>
    <t>S/F OF BWR PLYWOOD DOOR</t>
  </si>
  <si>
    <t>SHUTTER WITH VERTICALS AND</t>
  </si>
  <si>
    <t>TOTAL FOR 1.215SQM</t>
  </si>
  <si>
    <t>TOP RAIL AND BOTTOM RAILS</t>
  </si>
  <si>
    <t>WITH 9mm THICK MARINE GRADE</t>
  </si>
  <si>
    <t>BWR  PLYWOOD WITH</t>
  </si>
  <si>
    <t>I.O FITTINGS AS PER SCHEDULE E</t>
  </si>
  <si>
    <t>Hollow type PVC door with frame</t>
  </si>
  <si>
    <t>STYLES(OVER 2M) -1X2X2.05X0.075X0.0375=0.01153</t>
  </si>
  <si>
    <t>RAILS(BELOW 2M)- 1X3X0.8X0.15X0.0375=      0.0135</t>
  </si>
  <si>
    <t>PLANKS      -1X1X0.625X0.64=0.40</t>
  </si>
  <si>
    <t>PLANKS      -1X1X0.985X0.625=0.616</t>
  </si>
  <si>
    <t>1.016M2</t>
  </si>
  <si>
    <r>
      <t>S/F OF</t>
    </r>
    <r>
      <rPr>
        <b/>
        <sz val="12"/>
        <rFont val="Helv"/>
      </rPr>
      <t xml:space="preserve"> BWR PLYWOOD DOOR</t>
    </r>
  </si>
  <si>
    <t>DOOR OF SIZE 900 X2100 MM</t>
  </si>
  <si>
    <t>C.W.SCANTLING UPTO 4M length (PADAK)</t>
  </si>
  <si>
    <r>
      <t xml:space="preserve">I.O FITTINGS AS PER SCHEDULE E </t>
    </r>
    <r>
      <rPr>
        <b/>
        <sz val="12"/>
        <rFont val="Helv"/>
      </rPr>
      <t>1200 x 2100mm size</t>
    </r>
  </si>
  <si>
    <t>SHUTTER SIZE0-1.1X2.05   =2.255M2</t>
  </si>
  <si>
    <t>STYLES(OVER 2M) -2X2X2.05X0.075X0.0375=0.02306</t>
  </si>
  <si>
    <t>RAILS(BELOW 2M)- 2X3X0.55X0.15X0.0375=      0.01856</t>
  </si>
  <si>
    <t>ALU.HANDLE WITH C.P.SCREWS</t>
  </si>
  <si>
    <t>PLANKS      -1X2X0.625X0.425=0.53</t>
  </si>
  <si>
    <t>PLANKS      -1X2X1.025X0.425=0.87</t>
  </si>
  <si>
    <t>1.40M2</t>
  </si>
  <si>
    <t>TOTAL FOR 1.64 SQM</t>
  </si>
  <si>
    <t>DOOR OF SIZE 1200 X2100 MM</t>
  </si>
  <si>
    <t>DOOR OF SIZE 1000 X2100 MM</t>
  </si>
  <si>
    <t>22.2(a)</t>
  </si>
  <si>
    <t>TW single leaf glazed window</t>
  </si>
  <si>
    <t xml:space="preserve">shutter  for frame of overall height 135cm </t>
  </si>
  <si>
    <t>TW scantling below 2m length</t>
  </si>
  <si>
    <t>frosted glass 4mmthick</t>
  </si>
  <si>
    <t>TOTAL FOR 2.255 SQM</t>
  </si>
  <si>
    <t xml:space="preserve"> 3" ALU BUTT HINGES</t>
  </si>
  <si>
    <t xml:space="preserve"> 2"X5/16" ALU. TOWERBOLT</t>
  </si>
  <si>
    <t>TOTAL FOR 1.845SQM</t>
  </si>
  <si>
    <t>NYLON BUSH with screws</t>
  </si>
  <si>
    <t>6" hooks and eyes</t>
  </si>
  <si>
    <t>TOTAL FOR .4766 SQM</t>
  </si>
  <si>
    <t>22.2(c)</t>
  </si>
  <si>
    <t xml:space="preserve">shutter  for frame of overall height 105cm </t>
  </si>
  <si>
    <t>1800 X 2100MM (Double leaves)</t>
  </si>
  <si>
    <t>WIDE&amp;12TO25mm T.K</t>
  </si>
  <si>
    <t>TOTAL FOR .362 SQM</t>
  </si>
  <si>
    <t>22.2(d)</t>
  </si>
  <si>
    <t>TW Swing type ventilater</t>
  </si>
  <si>
    <t>of size 90x 60cm</t>
  </si>
  <si>
    <t>pair</t>
  </si>
  <si>
    <t xml:space="preserve"> pivoted hinges with screw</t>
  </si>
  <si>
    <t>3" hooks and eyes</t>
  </si>
  <si>
    <t>8" hooks and eyes</t>
  </si>
  <si>
    <t>TOTAL FOR .40 SQM</t>
  </si>
  <si>
    <t>T.W SCANTLING above 2m</t>
  </si>
  <si>
    <t>T.W SCANTLING below 2m</t>
  </si>
  <si>
    <t>T.W PLANKS (15.30 CM) (12 TO 25CM THICK)</t>
  </si>
  <si>
    <t>LABOUR CHARGES FOR WROUGHT AND PUT UP</t>
  </si>
  <si>
    <t>TW  double leaf shutter for ward robe / cup board</t>
  </si>
  <si>
    <t>NOS</t>
  </si>
  <si>
    <t>DOOR HANDLE 6"</t>
  </si>
  <si>
    <t>5" BUTT HINGES</t>
  </si>
  <si>
    <t>6" X .6" TOWER BOLTS</t>
  </si>
  <si>
    <t>SHUTTER SIZE 1.2X2.1   =2.52M2</t>
  </si>
  <si>
    <t>10" X 5/8" ALDROPS</t>
  </si>
  <si>
    <t>TW scantling(OVER 2M) -1X2X2.1X0.075X0.0375=0.0118</t>
  </si>
  <si>
    <t>TW scantling(below 2M) -1X2X1.2X0.075X0.0375=0.00675</t>
  </si>
  <si>
    <t>Shutter styles(vertical) -1X4X1.95X0.075X0.0375=0.02194</t>
  </si>
  <si>
    <t>Shutter styles(Horizantal) -2X2X0.4X0.075X0.0375=0.0045</t>
  </si>
  <si>
    <t>============</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</si>
  <si>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</si>
  <si>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Shutter(OSL Board)      -1X2X1.825X0.4=1.46m2</t>
  </si>
  <si>
    <t>RATE FOR 2.835 SQM</t>
  </si>
  <si>
    <t>Shutter area      -1X1X1.05X1.95=2.05 m2</t>
  </si>
  <si>
    <t>LABOUR FOR WROUGHT &amp;PUTUP</t>
  </si>
  <si>
    <t>BISON PANEL  8MMTK. OSL</t>
  </si>
  <si>
    <t>LABOUR CHARGE FOR SHUTTER</t>
  </si>
  <si>
    <t xml:space="preserve"> 3"X5/8"ALU.TOWER BOLT</t>
  </si>
  <si>
    <t xml:space="preserve"> ORNAMENTAL; HANDLE WITH SCREWS(100mm)p47 it-105c </t>
  </si>
  <si>
    <t>LOCKS &amp;KEY Qtn</t>
  </si>
  <si>
    <t>VARNISH TWO COATS</t>
  </si>
  <si>
    <t>SUNDRIES FOR NAILS,PLUGS ETC.</t>
  </si>
  <si>
    <t>TOTAL FOR 2.52 SQM</t>
  </si>
  <si>
    <t>Cement Concrete using design mix of grade M25 concrete for all RCC works</t>
  </si>
  <si>
    <t>10mmH.B.JELLY</t>
  </si>
  <si>
    <t>BEST VARNISHING ONE COAT OVER WOOD WORK</t>
  </si>
  <si>
    <t>Lit.</t>
  </si>
  <si>
    <t>BEST VARNISH</t>
  </si>
  <si>
    <t>LINSEED OIL BOILED</t>
  </si>
  <si>
    <t>Mazdoor I</t>
  </si>
  <si>
    <t>PAINTER-I</t>
  </si>
  <si>
    <t>Mazdoor II</t>
  </si>
  <si>
    <t>SUNDRIES FOR BRUSHES,ETC</t>
  </si>
  <si>
    <t>TOTAL FOR TEN SQM</t>
  </si>
  <si>
    <t>In Foundation and Basement</t>
  </si>
  <si>
    <t>BEST VARNISHING TWO COAT OVER WOOD WORK</t>
  </si>
  <si>
    <t>BEST VARNISH p38/31</t>
  </si>
  <si>
    <t>10th</t>
  </si>
  <si>
    <t>Supplying and fixing of Magnetic Door Catches</t>
  </si>
  <si>
    <t>23.2</t>
  </si>
  <si>
    <r>
      <t xml:space="preserve">Supplying and fixing </t>
    </r>
    <r>
      <rPr>
        <b/>
        <sz val="12"/>
        <rFont val="Helv"/>
      </rPr>
      <t>4mm thick pin</t>
    </r>
  </si>
  <si>
    <t>headed glass panels 450x1350</t>
  </si>
  <si>
    <t xml:space="preserve"> 4mm glass frosted </t>
  </si>
  <si>
    <t xml:space="preserve"> 12x12mm Alu.Beedings ( Qtn)</t>
  </si>
  <si>
    <t>Alu. bolts and nuts( Qtn)</t>
  </si>
  <si>
    <t>Labour for fixing glass paneles</t>
  </si>
  <si>
    <t xml:space="preserve"> (1.08SQM LABOUR =.25CARPENTER-II)</t>
  </si>
  <si>
    <t>Total for 0.5334 Sqm</t>
  </si>
  <si>
    <t>Rate for one Sqm.</t>
  </si>
  <si>
    <t>S &amp; F of Granite slab of size 4'x2', 18 to 20mm Thick For kitchen arrangements (jet black) for SP and ADSP</t>
  </si>
  <si>
    <t>S &amp; F of Granite tile of size 2'x 1', 10mm Thick For kitchen arrangements (jet black for SFO)</t>
  </si>
  <si>
    <t>STEEL GRILLS FOR WINDOWS &amp; VENTILATER</t>
  </si>
  <si>
    <t>Granite slab ( Jet Black) p-42 it-27a</t>
  </si>
  <si>
    <t>Granite slab ( Jet Black) p-38 it-13 a</t>
  </si>
  <si>
    <t>WITH SUITABLE LEDGES including piming coat</t>
  </si>
  <si>
    <t>RATE AS PER  PWD LR For Window  p 44/ it 80</t>
  </si>
  <si>
    <t>Mazdoor Ist class</t>
  </si>
  <si>
    <t>Steel grill for Verandah Enclousure PWD SR p23/ Item 168/131</t>
  </si>
  <si>
    <t>Supplying and fixing M.S.Hold Qtn</t>
  </si>
  <si>
    <t>fast with screws</t>
  </si>
  <si>
    <t>FINISHING THE TOP OF FLOORING</t>
  </si>
  <si>
    <t>WITH C.M(1:4)20mm THICK</t>
  </si>
  <si>
    <t>MAZDOOR  I</t>
  </si>
  <si>
    <t xml:space="preserve">Granite Tiles flooring in cm1:3,20mm thk </t>
  </si>
  <si>
    <t>Satheleri Grey</t>
  </si>
  <si>
    <t>Eurocon tile/ Designer tile flooring (as per CER-112/2007-08)</t>
  </si>
  <si>
    <t>COST OF granite FLOOR TILES, 
gray</t>
  </si>
  <si>
    <t>Old rate</t>
  </si>
  <si>
    <t>C.M(1:3)</t>
  </si>
  <si>
    <t>Paver Block</t>
  </si>
  <si>
    <t>29.2</t>
  </si>
  <si>
    <t>MOSAIC FLOORING IN C.M(1:3)</t>
  </si>
  <si>
    <r>
      <t xml:space="preserve">COST OF Eurocon TILES </t>
    </r>
    <r>
      <rPr>
        <b/>
        <sz val="12"/>
        <rFont val="Helv"/>
      </rPr>
      <t>(pwd -p 35/17</t>
    </r>
  </si>
  <si>
    <t>LABOUR FOR LAYING &amp; POINTING</t>
  </si>
  <si>
    <t xml:space="preserve">Supplying and Laying of inter locking paver block stone 83 mm  tk over base layer sand filling including cost of materials laying and hammering charges etc. </t>
  </si>
  <si>
    <t>USING GREY COLOUR TILES</t>
  </si>
  <si>
    <r>
      <t xml:space="preserve">Inter locking paver block stone 83mm thick </t>
    </r>
    <r>
      <rPr>
        <b/>
        <sz val="12"/>
        <rFont val="Helv"/>
      </rPr>
      <t>(pwd -p 41/19</t>
    </r>
  </si>
  <si>
    <t>COST OF GRAY COLOUR  TILES</t>
  </si>
  <si>
    <t>25X25X2cm</t>
  </si>
  <si>
    <t>Grout</t>
  </si>
  <si>
    <t>white/colour cement</t>
  </si>
  <si>
    <t>Stone cutter I class</t>
  </si>
  <si>
    <t>Sand filling for pointing</t>
  </si>
  <si>
    <t>Rate for 1 SQM</t>
  </si>
  <si>
    <t>POLISHING</t>
  </si>
  <si>
    <t>HIRE CHARGES FOR POWER POLISH</t>
  </si>
  <si>
    <t>Vertified tile flooring (Colour)</t>
  </si>
  <si>
    <t>SR 2018-2019</t>
  </si>
  <si>
    <t>ELCT.CHARGES</t>
  </si>
  <si>
    <t>COST OF POLISHING STONE</t>
  </si>
  <si>
    <t>MOSAIC POLISHER FOR POLISHING</t>
  </si>
  <si>
    <t>COST OF Vitified TILES (LSR New It-1) p-53 it-156</t>
  </si>
  <si>
    <t>Vertified  tile flooring  ( Ivory)</t>
  </si>
  <si>
    <t>MAZDOORII FOR WATER,WASHING ETC</t>
  </si>
  <si>
    <t>COST OF Vertified TILES (p51, it-156)</t>
  </si>
  <si>
    <t>S &amp; F of Granite tile of size 2'x1', 10mm Thick For kitchen arrangements (Ruby red)</t>
  </si>
  <si>
    <t>Grout joint filler</t>
  </si>
  <si>
    <t>COST OF granite FLOOR TILES, 
Ruby Red  p-42 26b</t>
  </si>
  <si>
    <t>Providing White/Color ceramic floor tiles (Anti-skid)of</t>
  </si>
  <si>
    <t>any size 0f 6mm T.K including pointing etc.,</t>
  </si>
  <si>
    <t>as directed by the Dept.Officers.</t>
  </si>
  <si>
    <t>COST OF CERAMIC FLOOR TILES</t>
  </si>
  <si>
    <t>Vertified tile flooring IVORY</t>
  </si>
  <si>
    <t>d448</t>
  </si>
  <si>
    <t>Grout ( qtn)</t>
  </si>
  <si>
    <r>
      <t xml:space="preserve">COST OF Vertified TILES  </t>
    </r>
    <r>
      <rPr>
        <b/>
        <sz val="16"/>
        <rFont val="Helv"/>
      </rPr>
      <t>qtn</t>
    </r>
  </si>
  <si>
    <t>710          ruby red</t>
  </si>
  <si>
    <t>Suppling and laying granite wall cladding</t>
  </si>
  <si>
    <t xml:space="preserve"> in C.M(1:2)  </t>
  </si>
  <si>
    <t>COST OF granite TILES</t>
  </si>
  <si>
    <t>C.M(1:2)</t>
  </si>
  <si>
    <t>Suppling and laying White/Plain colour</t>
  </si>
  <si>
    <t>Mazdoor-I</t>
  </si>
  <si>
    <t xml:space="preserve">Glazed tiles in C.M(1:2)  </t>
  </si>
  <si>
    <t>COST OF GLAZED  TILES</t>
  </si>
  <si>
    <t>TOTAL FOR 1.860 SQM</t>
  </si>
  <si>
    <r>
      <t xml:space="preserve">Suppling and laying </t>
    </r>
    <r>
      <rPr>
        <b/>
        <sz val="12"/>
        <rFont val="Helv"/>
      </rPr>
      <t>colour matt finish floor tiles</t>
    </r>
  </si>
  <si>
    <t>COST OF matt finish wall of 12x12
(Quotation rate)</t>
  </si>
  <si>
    <r>
      <t xml:space="preserve">Suppling and laying </t>
    </r>
    <r>
      <rPr>
        <b/>
        <sz val="12"/>
        <rFont val="Helv"/>
      </rPr>
      <t>colour matt finish wall tiles</t>
    </r>
  </si>
  <si>
    <t>COST OF  TILES (Quotation rate)</t>
  </si>
  <si>
    <r>
      <t xml:space="preserve">PAINTING TWO COATS OVER NEW           </t>
    </r>
    <r>
      <rPr>
        <b/>
        <sz val="12"/>
        <rFont val="Helv"/>
      </rPr>
      <t>(as per CER-112/2007-08)</t>
    </r>
  </si>
  <si>
    <r>
      <t xml:space="preserve">S &amp; F of </t>
    </r>
    <r>
      <rPr>
        <b/>
        <sz val="12"/>
        <rFont val="Helv"/>
      </rPr>
      <t>Granite slab 18mm to 12mm Thick</t>
    </r>
    <r>
      <rPr>
        <sz val="12"/>
        <rFont val="Helv"/>
      </rPr>
      <t xml:space="preserve"> For </t>
    </r>
    <r>
      <rPr>
        <b/>
        <sz val="12"/>
        <rFont val="Helv"/>
      </rPr>
      <t xml:space="preserve">kitchen arrangements </t>
    </r>
  </si>
  <si>
    <t xml:space="preserve">PLASTERED SURFACE WITH </t>
  </si>
  <si>
    <r>
      <t>WATER REPELLANT PAINT</t>
    </r>
    <r>
      <rPr>
        <sz val="12"/>
        <rFont val="Helv"/>
      </rPr>
      <t xml:space="preserve"> OVER ONE PRIMER COAT</t>
    </r>
  </si>
  <si>
    <r>
      <t xml:space="preserve">Granite slab </t>
    </r>
    <r>
      <rPr>
        <b/>
        <sz val="12"/>
        <rFont val="Helv"/>
      </rPr>
      <t>(Ruby red) P-42 it-29 b</t>
    </r>
  </si>
  <si>
    <t>WITH C.M(1:3)20mm THICK</t>
  </si>
  <si>
    <t xml:space="preserve"> (NO SAND)USING GRANITECHIPS</t>
  </si>
  <si>
    <t>COST OF PAINT</t>
  </si>
  <si>
    <r>
      <t xml:space="preserve">OF 10mm&amp;BELOW </t>
    </r>
    <r>
      <rPr>
        <b/>
        <sz val="12"/>
        <rFont val="Helv"/>
      </rPr>
      <t>(ELLISPATTERN)</t>
    </r>
  </si>
  <si>
    <t>LIT</t>
  </si>
  <si>
    <t>PRIMER (LMR item 112) p44</t>
  </si>
  <si>
    <t>Mason IIst</t>
  </si>
  <si>
    <t xml:space="preserve">PAINTER I </t>
  </si>
  <si>
    <t xml:space="preserve">STONE JELLY 3mm to 10mm </t>
  </si>
  <si>
    <t xml:space="preserve">PAINTER II </t>
  </si>
  <si>
    <t>Mazdoor IIst</t>
  </si>
  <si>
    <t>Pointing the joint</t>
  </si>
  <si>
    <t>Thorough scrapping p28 /108</t>
  </si>
  <si>
    <t>31.</t>
  </si>
  <si>
    <r>
      <t>WEATHERING COURSE</t>
    </r>
    <r>
      <rPr>
        <sz val="12"/>
        <rFont val="Helv"/>
      </rPr>
      <t xml:space="preserve"> WITH BRICK</t>
    </r>
  </si>
  <si>
    <t>40.</t>
  </si>
  <si>
    <r>
      <t xml:space="preserve">PAINTING TWO COATS OVER NEW            </t>
    </r>
    <r>
      <rPr>
        <b/>
        <sz val="12"/>
        <rFont val="Helv"/>
      </rPr>
      <t xml:space="preserve"> (as per CER-112/2007-08)</t>
    </r>
  </si>
  <si>
    <t>JELLY LIME IN RATIO 32:121/2</t>
  </si>
  <si>
    <r>
      <t xml:space="preserve">S &amp; F of </t>
    </r>
    <r>
      <rPr>
        <b/>
        <sz val="12"/>
        <rFont val="Helv"/>
      </rPr>
      <t>Granite slab 18mm to 20mm Thick</t>
    </r>
    <r>
      <rPr>
        <sz val="12"/>
        <rFont val="Helv"/>
      </rPr>
      <t xml:space="preserve"> For </t>
    </r>
    <r>
      <rPr>
        <b/>
        <sz val="12"/>
        <rFont val="Helv"/>
      </rPr>
      <t xml:space="preserve">kitchen arrangements </t>
    </r>
  </si>
  <si>
    <t>BY VOLUMN WELL WATERING</t>
  </si>
  <si>
    <t>Plastic Emulsion PAINT</t>
  </si>
  <si>
    <t>CONSOLIDATED WITH WOODEN</t>
  </si>
  <si>
    <r>
      <t xml:space="preserve">Granite slab </t>
    </r>
    <r>
      <rPr>
        <b/>
        <sz val="12"/>
        <rFont val="Helv"/>
      </rPr>
      <t>( Jet Black) P-38 it-14 a</t>
    </r>
  </si>
  <si>
    <t>BEATERS TO REQUIRED SLOP</t>
  </si>
  <si>
    <t>Plastic Emulsion PAINT  (LMR item 113) p-50 132( First qty</t>
  </si>
  <si>
    <t>Primer     (LMR item 112) p44</t>
  </si>
  <si>
    <t>BROKEN BRICKJELLY2OmmGAUGE</t>
  </si>
  <si>
    <t>COST OF LIME STONE</t>
  </si>
  <si>
    <t>Providing cooling tiles over terrace floor</t>
  </si>
  <si>
    <t>COST OF CERAMIC FLOOR TILES p-34 it-7 a</t>
  </si>
  <si>
    <t>6-10mm thick metal</t>
  </si>
  <si>
    <r>
      <t xml:space="preserve">Granite slab </t>
    </r>
    <r>
      <rPr>
        <b/>
        <sz val="12"/>
        <rFont val="Helv"/>
      </rPr>
      <t>(Ruby red) P-42 it-27b</t>
    </r>
  </si>
  <si>
    <t>POINTING WITH C.M.(1:3)FOR</t>
  </si>
  <si>
    <t>Pointing with CM 1:3</t>
  </si>
  <si>
    <t>PRESSED TILES</t>
  </si>
  <si>
    <t>CEMENT MORTER(1:3)</t>
  </si>
  <si>
    <t>ABC plus powder</t>
  </si>
  <si>
    <t>Colour cement p-36</t>
  </si>
  <si>
    <t>ABC Grout</t>
  </si>
  <si>
    <t>Base concrete 1:2:4 (6-10mm thick metal)</t>
  </si>
  <si>
    <t>FINISHING TOP OF ROOF WITH</t>
  </si>
  <si>
    <t>ONE  COURSE OF PRESSED TILES</t>
  </si>
  <si>
    <t>OVER A BED OF C.M(1:3),</t>
  </si>
  <si>
    <t>12mmTHICK MIXED WITH WATER PROOF COMPOUND</t>
  </si>
  <si>
    <t>Aluminium section</t>
  </si>
  <si>
    <t>AT 2% BY WEIGHT OF CEMENT</t>
  </si>
  <si>
    <t>Two legged scaffolding</t>
  </si>
  <si>
    <t>Aluminium window openable 1.35x1.05m  (Six leaves)</t>
  </si>
  <si>
    <t>PRESSED TILES 23X23X2cm P-15</t>
  </si>
  <si>
    <t>15cm dia casurina poles p -22 /145a.</t>
  </si>
  <si>
    <t>glass 4mm pin headed</t>
  </si>
  <si>
    <t>POINTING WITH C.M(1:3)</t>
  </si>
  <si>
    <t>Country wood planks p -22 137</t>
  </si>
  <si>
    <t>rubber beeding</t>
  </si>
  <si>
    <t>WPC</t>
  </si>
  <si>
    <t>hinges</t>
  </si>
  <si>
    <t>Total for 10 times</t>
  </si>
  <si>
    <t>handle</t>
  </si>
  <si>
    <t>For one operation</t>
  </si>
  <si>
    <t xml:space="preserve">hinges it-77 a p-40 </t>
  </si>
  <si>
    <t>stay</t>
  </si>
  <si>
    <t>stiffner</t>
  </si>
  <si>
    <t>holdfast</t>
  </si>
  <si>
    <t>labbour charges</t>
  </si>
  <si>
    <t>Coir, nails etc.</t>
  </si>
  <si>
    <t>sundries</t>
  </si>
  <si>
    <t>Total for 6 Rmt.</t>
  </si>
  <si>
    <t>Rate per each</t>
  </si>
  <si>
    <t>Total for1 Rmt.</t>
  </si>
  <si>
    <t>Aluminium window openable 1.05x1.35m  (Four leaves)</t>
  </si>
  <si>
    <t>Providing Granite slab flooring of</t>
  </si>
  <si>
    <t>Aluminium window openable 0.90x1.35m  (Four leaves)</t>
  </si>
  <si>
    <t>COST OF Granite  tile 20mm tk(Ruby red/raw silk) polished</t>
  </si>
  <si>
    <t>PRESSED TILES 23X23X18MM</t>
  </si>
  <si>
    <t>Aluminium window openable 0.50x1.35m (Two leaves)</t>
  </si>
  <si>
    <t>Aluminium window openable 1.80x1.35m (Eight leaves)</t>
  </si>
  <si>
    <t>33.</t>
  </si>
  <si>
    <t>PLASTERING C.M(1:5) 12mmTHICK</t>
  </si>
  <si>
    <t>Aluminium window openable 1.35x1.35m (Six leaves)</t>
  </si>
  <si>
    <t>Aluminium section (p-44/78a)</t>
  </si>
  <si>
    <t>rubber beeding P-45/81</t>
  </si>
  <si>
    <t>hinges 75mm x 30 mm P-45/94 b</t>
  </si>
  <si>
    <t>handle 150 mm long p-42 /80b</t>
  </si>
  <si>
    <t>stay 10"</t>
  </si>
  <si>
    <t>Aluminium window openable 0.90x0.60m (Two leaves)</t>
  </si>
  <si>
    <t>Aluminium window openable 1.80x2.20m (Eight leaves)</t>
  </si>
  <si>
    <t>34.</t>
  </si>
  <si>
    <t>PLASTERING C.M(1:4) 12mmTHICK</t>
  </si>
  <si>
    <t>Aluminium window openable 1.20x1.35m  (Four leaves)</t>
  </si>
  <si>
    <t>Aluminium section (p-40/61a)</t>
  </si>
  <si>
    <t>rubber beeding P-41/64</t>
  </si>
  <si>
    <t>hinges 75mm x 30 mm P-41/77 b</t>
  </si>
  <si>
    <t>35.</t>
  </si>
  <si>
    <t>PLASTERING C.M(1:3) 10mmTHICK</t>
  </si>
  <si>
    <t>Aluminium window openable 0.90x1.20m  (Four leaves)</t>
  </si>
  <si>
    <t>2014-15 RATE</t>
  </si>
  <si>
    <t>Aluminium window openable 0.45x1.35m (Two leaves)</t>
  </si>
  <si>
    <t>PLASTERING C.M(1:3)12mmTHICK</t>
  </si>
  <si>
    <t>MIXEDWITH WATER PROOF COMPOUND</t>
  </si>
  <si>
    <t xml:space="preserve">  2Kg/10 SQM</t>
  </si>
  <si>
    <t>Alum Vent 0.90x0.45m</t>
  </si>
  <si>
    <t>Data based on Police Acadamy</t>
  </si>
  <si>
    <t>Aluminium luvered Ventilator 0.60x0.60m</t>
  </si>
  <si>
    <t>WATER PROOF COMPOUNDS</t>
  </si>
  <si>
    <t>Rate / Sqm</t>
  </si>
  <si>
    <t>Aluminium window openable 1.80x1.65m (Eight leaves)</t>
  </si>
  <si>
    <t>Aluminium luvered Ventilator 0.75x0.60m</t>
  </si>
  <si>
    <t>36.</t>
  </si>
  <si>
    <t>Providing Band with C.M 1:5, 12mm thick</t>
  </si>
  <si>
    <t>and 75mmwide in all floors including</t>
  </si>
  <si>
    <t>Aluminium window openable 0.75x1.35m (Two leaves)</t>
  </si>
  <si>
    <t>finishing with neat cement scaffolding</t>
  </si>
  <si>
    <t>curing etc complete.</t>
  </si>
  <si>
    <t>Aluminium window openable 1.20x1.05m (Four leaves)</t>
  </si>
  <si>
    <t xml:space="preserve"> 150mm Thick Band</t>
  </si>
  <si>
    <t>Cement mortar1:5</t>
  </si>
  <si>
    <t>Masn Ist</t>
  </si>
  <si>
    <t>Aluminium window Fixed 0.90x2.10m</t>
  </si>
  <si>
    <t>Total for 6.77Rmt</t>
  </si>
  <si>
    <t>Rate per Rmt.</t>
  </si>
  <si>
    <t xml:space="preserve"> 75mm Thick Band</t>
  </si>
  <si>
    <t>Aluminium Ventilator 1.285x0.60m</t>
  </si>
  <si>
    <t>Aluminium Ventilator 0.90x0.60m</t>
  </si>
  <si>
    <t>50mm Thick Band</t>
  </si>
  <si>
    <t>Aluminium Ventilator 1.35x0.60m</t>
  </si>
  <si>
    <t>WHITE WASHING THREE COAT</t>
  </si>
  <si>
    <t>Aluminium window openable 1.50x1.35m  (Six leaves)</t>
  </si>
  <si>
    <t>SUNDRIES FOR BRUSH,BLUE,GUM ETC</t>
  </si>
  <si>
    <t>38.1.</t>
  </si>
  <si>
    <t>CEMENT PAINTING TWO COATS</t>
  </si>
  <si>
    <t>OVER THE PRIMER COAT OF</t>
  </si>
  <si>
    <t>APPROVED CEMENT PAINT FOR NEW</t>
  </si>
  <si>
    <t>PLASTERED SURFACES</t>
  </si>
  <si>
    <t>CEMENT PAINT</t>
  </si>
  <si>
    <t>PAINTER I</t>
  </si>
  <si>
    <t>38.2</t>
  </si>
  <si>
    <t>Matt paint Two coats</t>
  </si>
  <si>
    <t>SUPERCEM PAINTING TWO COATS</t>
  </si>
  <si>
    <t>Lts</t>
  </si>
  <si>
    <t>Painter Ist</t>
  </si>
  <si>
    <t>Mazdoor IInd</t>
  </si>
  <si>
    <t>SUPERCEM</t>
  </si>
  <si>
    <t>Total for 10 Sqm</t>
  </si>
  <si>
    <t>PAINTING TWO COATS OVER new</t>
  </si>
  <si>
    <t>WOOD WORKS WITH IIND CLASS</t>
  </si>
  <si>
    <t>SYNTHETIC ENAMEL PAINT INCL.PRIMER COAT.</t>
  </si>
  <si>
    <t>Aluminium window openable 1.80 x 1.65 m =2.97m2</t>
  </si>
  <si>
    <t>READY MIXED PRIMER PAINT</t>
  </si>
  <si>
    <t>FRENCH WINDOW Reference Data Nagapattinam Ar Ph-XIX  CER 224-2012-2013</t>
  </si>
  <si>
    <t>READY MIXED IIND CLASS PAINT</t>
  </si>
  <si>
    <t>Clip Beading</t>
  </si>
  <si>
    <t>Glass 4mm pin headed</t>
  </si>
  <si>
    <t>Rubber beeding</t>
  </si>
  <si>
    <t>sets</t>
  </si>
  <si>
    <t>Max hinges (10")</t>
  </si>
  <si>
    <t>Handle</t>
  </si>
  <si>
    <t>Holdfast</t>
  </si>
  <si>
    <t>Labbour charges</t>
  </si>
  <si>
    <t>PAINTING TWO COATS OVER NEW</t>
  </si>
  <si>
    <t>RATE  FOR   EACH</t>
  </si>
  <si>
    <t>IRON WORKS WITH IIND CLASS</t>
  </si>
  <si>
    <t>SYNTHETIC ENAMEL PAINT</t>
  </si>
  <si>
    <r>
      <t xml:space="preserve">FITTER  </t>
    </r>
    <r>
      <rPr>
        <b/>
        <sz val="12"/>
        <rFont val="Helv"/>
      </rPr>
      <t>Ist CLASS</t>
    </r>
  </si>
  <si>
    <r>
      <t xml:space="preserve">MAZDOOR  </t>
    </r>
    <r>
      <rPr>
        <b/>
        <sz val="12"/>
        <rFont val="Helv"/>
      </rPr>
      <t>Ist CLASS</t>
    </r>
  </si>
  <si>
    <r>
      <t>CARPENTER</t>
    </r>
    <r>
      <rPr>
        <b/>
        <sz val="12"/>
        <rFont val="Helv"/>
      </rPr>
      <t xml:space="preserve"> II CLASS</t>
    </r>
  </si>
  <si>
    <t xml:space="preserve"> LABOUR RATE </t>
  </si>
  <si>
    <t>ANTI-CORROSIVE TREATMENT FOR STEEL</t>
  </si>
  <si>
    <t>FABRICATION  (RCC WORKS)</t>
  </si>
  <si>
    <r>
      <t xml:space="preserve">ANTI-CORROSIVE(COROLOK-CP </t>
    </r>
    <r>
      <rPr>
        <sz val="12"/>
        <color indexed="13"/>
        <rFont val="Helv"/>
      </rPr>
      <t>( qtn)</t>
    </r>
  </si>
  <si>
    <t>/PROTEKLOL) CHEMICALS</t>
  </si>
  <si>
    <t>BRUSHES GLOVES ETC</t>
  </si>
  <si>
    <t>TRANSPORTING AND HANDLING</t>
  </si>
  <si>
    <t>PAINTERII</t>
  </si>
  <si>
    <t>SUNDRIES FOR BRUSHES,CLOTH ETC</t>
  </si>
  <si>
    <t>TOTTAL FOR 1 MT</t>
  </si>
  <si>
    <t>42.</t>
  </si>
  <si>
    <t>SUPPLYING AND FABRICATING AND</t>
  </si>
  <si>
    <t>PLACING  M.S RODS/RTS ROD (upto 16mm dia)</t>
  </si>
  <si>
    <t>QUTL</t>
  </si>
  <si>
    <t>R.T.S RODS/M.S.RODS UPTO 16MM DIA</t>
  </si>
  <si>
    <t>BINDING WIRE</t>
  </si>
  <si>
    <t>FITTER I</t>
  </si>
  <si>
    <t>Cement for slurry</t>
  </si>
  <si>
    <t>Painter-II</t>
  </si>
  <si>
    <t>TOTTAL FOR 1 QTL</t>
  </si>
  <si>
    <t>RATE PER M.T</t>
  </si>
  <si>
    <t>b. above 16mm dia</t>
  </si>
  <si>
    <t>R.T.S RODS/M.S.RODS ABOVE 16MM DIA</t>
  </si>
  <si>
    <t>43.</t>
  </si>
  <si>
    <t>COASTAL AREA</t>
  </si>
  <si>
    <t>PLACING R.T.S RODS/MS RODS upto 16mm dia(without cement  slurry)</t>
  </si>
  <si>
    <t>BINDING WIRE insulated with PVC as per circular</t>
  </si>
  <si>
    <t>PLACING R.T.S RODS/MS RODS above 16mm dia(without cement  slurry)</t>
  </si>
  <si>
    <t>SUPPLY AND FIXING OF</t>
  </si>
  <si>
    <t>110mmDIA P.V.C RAIN WATER</t>
  </si>
  <si>
    <r>
      <t>DOWN FALL PIPE    T</t>
    </r>
    <r>
      <rPr>
        <b/>
        <sz val="12"/>
        <rFont val="Helv"/>
      </rPr>
      <t>ype- A  SWR pipe</t>
    </r>
  </si>
  <si>
    <t xml:space="preserve"> 110mmDIA P.V.C PIPE</t>
  </si>
  <si>
    <t xml:space="preserve"> 110mmDIA P.V.C PLAIN BEND</t>
  </si>
  <si>
    <t xml:space="preserve"> 110mmDIA P.V.C SHOE</t>
  </si>
  <si>
    <t>SPECIAL CLAMP</t>
  </si>
  <si>
    <t>C.I. GRATING 100mm DIA</t>
  </si>
  <si>
    <t>PLUMBER I</t>
  </si>
  <si>
    <t>UPVC SPECIAL CLAMP as per qtn</t>
  </si>
  <si>
    <t>COST OF PLUG SCREWS , RUBBER</t>
  </si>
  <si>
    <t>LUBRICANT ETC</t>
  </si>
  <si>
    <t>TOTAL FOR 3 RMT</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</si>
  <si>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</si>
  <si>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</si>
  <si>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</si>
  <si>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</si>
  <si>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</si>
  <si>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</si>
  <si>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</si>
  <si>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</si>
  <si>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</si>
  <si>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</si>
  <si>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</si>
  <si>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</si>
  <si>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</si>
  <si>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</si>
  <si>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</si>
  <si>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 </t>
  </si>
  <si>
    <t>Alu.Bracket with screws</t>
  </si>
  <si>
    <t>Sundries FOR PLUGS ,NAILS AND LABOUR ETC.,</t>
  </si>
  <si>
    <t>Total for 1 Rmt</t>
  </si>
  <si>
    <t>47.</t>
  </si>
  <si>
    <r>
      <t xml:space="preserve">SUPPLY AND FIXING ALUMINUM </t>
    </r>
    <r>
      <rPr>
        <b/>
        <sz val="12"/>
        <rFont val="Helv"/>
      </rPr>
      <t xml:space="preserve">TOWEL RAIL </t>
    </r>
    <r>
      <rPr>
        <sz val="12"/>
        <rFont val="Helv"/>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</si>
  <si>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</si>
  <si>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</si>
  <si>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</si>
  <si>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</si>
  <si>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</si>
  <si>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</si>
  <si>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</si>
  <si>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</si>
  <si>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</si>
  <si>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r>
      <t xml:space="preserve">SUPPLING AND FIXING </t>
    </r>
    <r>
      <rPr>
        <b/>
        <sz val="12"/>
        <rFont val="Helv"/>
      </rPr>
      <t>COAT STAND</t>
    </r>
  </si>
  <si>
    <t>WITH FIVE PINS</t>
  </si>
  <si>
    <t>Cost of Coat stand</t>
  </si>
  <si>
    <t xml:space="preserve">Labour for fixing </t>
  </si>
  <si>
    <t>Total for 1 No.</t>
  </si>
  <si>
    <t>49.</t>
  </si>
  <si>
    <r>
      <t xml:space="preserve">SUPPLING AND FIXING OF </t>
    </r>
    <r>
      <rPr>
        <b/>
        <sz val="12"/>
        <rFont val="Helv"/>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</si>
  <si>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</si>
  <si>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</si>
  <si>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</si>
  <si>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</si>
  <si>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</si>
  <si>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</si>
  <si>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</si>
  <si>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</si>
  <si>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</si>
  <si>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</si>
  <si>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</si>
  <si>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</si>
  <si>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rPr>
      <t>(precast slab 50mm Thick)</t>
    </r>
  </si>
  <si>
    <t>C.C. 1:3:6 using 20mm HBS</t>
  </si>
  <si>
    <t>Precasting Charges ( 6.28*120sqm=753.6/18=41.87each)</t>
  </si>
  <si>
    <t>Transporting</t>
  </si>
  <si>
    <t>Laying and Pointing</t>
  </si>
  <si>
    <t>Total for 6.28 Sqm</t>
  </si>
  <si>
    <t>Rate per Sqm</t>
  </si>
  <si>
    <t>PCC 1:3:6, for petty works</t>
  </si>
  <si>
    <t>moulding charges</t>
  </si>
  <si>
    <t>Total for .01 cum</t>
  </si>
  <si>
    <t>Rate per cum</t>
  </si>
  <si>
    <t>50.2</t>
  </si>
  <si>
    <r>
      <t>KERB STONE</t>
    </r>
    <r>
      <rPr>
        <sz val="12"/>
        <rFont val="Helv"/>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</si>
  <si>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</si>
  <si>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</si>
  <si>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</si>
  <si>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</si>
  <si>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</si>
  <si>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</si>
  <si>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</si>
  <si>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</si>
  <si>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</si>
  <si>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</si>
  <si>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nos</t>
  </si>
  <si>
    <t>Avenue trees</t>
  </si>
  <si>
    <t>RM</t>
  </si>
  <si>
    <t>Casurina props 5 to 8cm dia p22 / It- 148 d</t>
  </si>
  <si>
    <t>filling chares</t>
  </si>
  <si>
    <t>l.s</t>
  </si>
  <si>
    <t>Maintenance charges</t>
  </si>
  <si>
    <t>Total for 20 no.</t>
  </si>
  <si>
    <t>Total for 1 no.</t>
  </si>
  <si>
    <t>50.4</t>
  </si>
  <si>
    <t xml:space="preserve"> AVENUE TREE GUARD</t>
  </si>
  <si>
    <t>CW reepers 50x25 cm it-139 p-22</t>
  </si>
  <si>
    <t>Casurina props 5 to 8cm dia</t>
  </si>
  <si>
    <t>Chicken mesh</t>
  </si>
  <si>
    <t>Carpenter II</t>
  </si>
  <si>
    <t>Fitter I</t>
  </si>
  <si>
    <t xml:space="preserve">sundries </t>
  </si>
  <si>
    <t>50.5</t>
  </si>
  <si>
    <t>PROVIDING SCHME NAME BOARD</t>
  </si>
  <si>
    <t>CC 1:5:10</t>
  </si>
  <si>
    <t>KG</t>
  </si>
  <si>
    <t>MS angle</t>
  </si>
  <si>
    <t>MS Stiffner</t>
  </si>
  <si>
    <t>MS Sheet</t>
  </si>
  <si>
    <t>Welding charges</t>
  </si>
  <si>
    <r>
      <t xml:space="preserve">Painting / lettering charges </t>
    </r>
    <r>
      <rPr>
        <sz val="12"/>
        <rFont val="Helv"/>
      </rPr>
      <t>qtn</t>
    </r>
  </si>
  <si>
    <t>Labour for erection of board</t>
  </si>
  <si>
    <t>Bolts &amp;nuts</t>
  </si>
  <si>
    <t>PROVIDING ANTI-TERMITE TREATMENT</t>
  </si>
  <si>
    <t>51.</t>
  </si>
  <si>
    <t>PVC WATER TANK OF 700 LITRE CAPACITY p64 /207</t>
  </si>
  <si>
    <t>Ex. free board with ISI mark</t>
  </si>
  <si>
    <t>PVC WATER TANK OF 200 LITRE CAPACITY</t>
  </si>
  <si>
    <t>JOINTING P.V.C PIPE AND SPECIALS</t>
  </si>
  <si>
    <t xml:space="preserve"> 20mm Dia</t>
  </si>
  <si>
    <t>MASAN I</t>
  </si>
  <si>
    <t xml:space="preserve">COST OF CLAMPS PLUGS </t>
  </si>
  <si>
    <t>JOINTING MATERIALS ETC</t>
  </si>
  <si>
    <t xml:space="preserve"> 25mm</t>
  </si>
  <si>
    <t>32mm</t>
  </si>
  <si>
    <t>40mm</t>
  </si>
  <si>
    <t>SUPPLYING AND LAYING THE FOLLOWING PVC</t>
  </si>
  <si>
    <t>PIPES WITH NECESSARY SPECIALS ELBOWS,</t>
  </si>
  <si>
    <t>CUTTING CHARGES p -31 Itm 131</t>
  </si>
  <si>
    <t>TEE,REDUCE ,PLUG,UNION,BEND,COUPLE,</t>
  </si>
  <si>
    <t>THREADING CHARGES p -31 Itm 132</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</si>
  <si>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</si>
  <si>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</si>
  <si>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</si>
  <si>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</si>
  <si>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</si>
  <si>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</si>
  <si>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</si>
  <si>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 xml:space="preserve"> 20MM DIA PVC PIPE ABOVE G.L:-</t>
  </si>
  <si>
    <t xml:space="preserve">COST OF 20MM DIA PVC PIPE </t>
  </si>
  <si>
    <t>ADD 70% FOR PVC/GI SPECIALS</t>
  </si>
  <si>
    <t>LABOUR FOR LAYING &amp; FIXING</t>
  </si>
  <si>
    <t>TOTAL FOR 1 RMT</t>
  </si>
  <si>
    <t xml:space="preserve"> 40MM DIA PVC PIPE ABOVE G.L:-</t>
  </si>
  <si>
    <t xml:space="preserve"> 25MM DIA PVC PIPE ABOVE G.L:-</t>
  </si>
  <si>
    <t xml:space="preserve">COST OF40MM DIA PVC PIPE </t>
  </si>
  <si>
    <t xml:space="preserve">COST OF 25MM DIA PVC PIPE </t>
  </si>
  <si>
    <t>ADD 20% FOR PVC/GI SPECIALS</t>
  </si>
  <si>
    <t>ADD 40% FOR PVC/GI SPECIALS</t>
  </si>
  <si>
    <t xml:space="preserve"> 32MM DIA PVC PIPE ABOVE G.L:-</t>
  </si>
  <si>
    <t>50mm</t>
  </si>
  <si>
    <t xml:space="preserve">COST OF 32MM DIA PVC PIPE </t>
  </si>
  <si>
    <t>CUTTING CHARGES p -32 Itm 133</t>
  </si>
  <si>
    <t>THREADING CHARGES p- 32 Itm 134</t>
  </si>
  <si>
    <t xml:space="preserve"> 50MM DIA PVC PIPE ABOVE G.L:-</t>
  </si>
  <si>
    <t xml:space="preserve">COST OF 50MM DIA PVC PIPE </t>
  </si>
  <si>
    <t>S &amp; F of GI Pipe 20mm dia for Hot Water line Pipe
Fully Consealed in Wall</t>
  </si>
  <si>
    <t xml:space="preserve">GI PIPE 20MM DIA </t>
  </si>
  <si>
    <t>LAYING,FIXING AND CONSELING GI PIPE</t>
  </si>
  <si>
    <t xml:space="preserve">COST OF50MM DIA PVC PIPE </t>
  </si>
  <si>
    <t>20MM DIA GI PIPE FOR HOT WATER LINE</t>
  </si>
  <si>
    <t xml:space="preserve">COST OF 20MM DIA GI PIPE </t>
  </si>
  <si>
    <t>ADD 20% FOR GI SPECIALS</t>
  </si>
  <si>
    <t>L.S FOR CONSEALING GI PIPE IN WALLS
PAKING ETC.,</t>
  </si>
  <si>
    <t>SUPPLYING AND FIXING</t>
  </si>
  <si>
    <r>
      <t>WASHBASIN</t>
    </r>
    <r>
      <rPr>
        <sz val="12"/>
        <rFont val="Helv"/>
      </rPr>
      <t xml:space="preserve"> 22"X16" INCLUDING</t>
    </r>
  </si>
  <si>
    <t>COST OF ALL MATERIALS AND</t>
  </si>
  <si>
    <t>FIXING CHARGES</t>
  </si>
  <si>
    <t>Wash Hand Basin of size 550 x 400 mm with all accessories such as CI brackets, 32mm dia CP waste coupling, Rubber pug and chain, 32mm dia B class GI waste pipe, 15mm dia brass nipples. 15mm CP pillar tap etc.,</t>
  </si>
  <si>
    <t>deduct rate for 15mm dia GM wheel valve p -53 /145(v)</t>
  </si>
  <si>
    <t xml:space="preserve"> Angle Valve</t>
  </si>
  <si>
    <t>SUNDRIES FOR PLUGSCREW,PAINT</t>
  </si>
  <si>
    <t>53.2</t>
  </si>
  <si>
    <t xml:space="preserve">CI MANHOLE COVER 45CMX45CMX20KG </t>
  </si>
  <si>
    <t>CI MANHOLE COVER 60CMX60CMX50KG p-61/230</t>
  </si>
  <si>
    <t>53.3</t>
  </si>
  <si>
    <t>CI STEPS (5Kg) (59.65+.35)</t>
  </si>
  <si>
    <t>Brass Tap with ISI Mark p53/146</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</si>
  <si>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</si>
  <si>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</si>
  <si>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</si>
  <si>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</si>
  <si>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</si>
  <si>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</si>
  <si>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</si>
  <si>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</si>
  <si>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</si>
  <si>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</si>
  <si>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</si>
  <si>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Deduct rate for "P" &amp; "S" trap</t>
  </si>
  <si>
    <t xml:space="preserve">Add rate for PVC SWR "P" &amp; "S" trap </t>
  </si>
  <si>
    <t>56.2.</t>
  </si>
  <si>
    <t xml:space="preserve"> IN OTHER THAN G.FLOOR.</t>
  </si>
  <si>
    <t>WEATHERING COURSE</t>
  </si>
  <si>
    <t>USING20mmBRICK JELLY</t>
  </si>
  <si>
    <t>PLASTERING IN C.M(1:3)</t>
  </si>
  <si>
    <t>12mMT.K MIXED WITH W.P.C.</t>
  </si>
  <si>
    <t>BRICK JELLY CONCRETE (1:8:16)</t>
  </si>
  <si>
    <t>USING 40 mm BRICK JELLY</t>
  </si>
  <si>
    <r>
      <t>SUPPLY AND FIXING OF E.W.C.   18" SIZE</t>
    </r>
    <r>
      <rPr>
        <b/>
        <sz val="12"/>
        <rFont val="Helv"/>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</si>
  <si>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</si>
  <si>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</si>
  <si>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 p-48</t>
  </si>
  <si>
    <t>LABOUR FOR FIXING OF EWC</t>
  </si>
  <si>
    <t>EUROPEAN WATER CLOSET WITH "P" OR "S" TRAP WITH DOUBLE FLAPPED SEAT AND SEAT COVER WITH BRASS HINGES AND 10LIT CAPACITY PVC L;OW LEVEL FLUSHING TANK WITH ALL INTERNAL FITTINGS</t>
  </si>
  <si>
    <t>LABOUR FOR FIXING OF FLUSHING TANK</t>
  </si>
  <si>
    <r>
      <t xml:space="preserve">SUPPLY AND FIXING OF E.W.C.   18" SIZE </t>
    </r>
    <r>
      <rPr>
        <b/>
        <sz val="12"/>
        <rFont val="Helv"/>
      </rPr>
      <t>(COLOUR)</t>
    </r>
  </si>
  <si>
    <t>58.1(a)</t>
  </si>
  <si>
    <t>SUPPLY AND FIXING P.V.C.SOIL</t>
  </si>
  <si>
    <t>PIPESPECIALS OF FOLLOWING DIA:-</t>
  </si>
  <si>
    <t>Providing Rain Water Harvesting well ring circular shape of 90cm dia, 60cm depth,50mm thick using m30 grade concrete including steel fabrication.</t>
  </si>
  <si>
    <t>SUPPLY AND FIXING OF PVC soil PIPE</t>
  </si>
  <si>
    <t>M20 grade concrete</t>
  </si>
  <si>
    <r>
      <t xml:space="preserve">110MM DIA OF </t>
    </r>
    <r>
      <rPr>
        <b/>
        <sz val="12"/>
        <rFont val="Helv"/>
      </rPr>
      <t>PVC</t>
    </r>
    <r>
      <rPr>
        <sz val="12"/>
        <rFont val="Helv"/>
      </rPr>
      <t xml:space="preserve"> </t>
    </r>
    <r>
      <rPr>
        <b/>
        <sz val="12"/>
        <rFont val="Helv"/>
      </rPr>
      <t>SWR PIPE</t>
    </r>
    <r>
      <rPr>
        <sz val="12"/>
        <rFont val="Helv"/>
      </rPr>
      <t xml:space="preserve"> INCLUDING </t>
    </r>
  </si>
  <si>
    <t>Steel fabrication</t>
  </si>
  <si>
    <t>PACKING THE JOINTS WITH RUBBER</t>
  </si>
  <si>
    <t>LUBRICANT AND FIXING IN TO</t>
  </si>
  <si>
    <t>WALL WITH WOODEN PLUGS</t>
  </si>
  <si>
    <t>SCREWSHOLDING CLAMPSETC</t>
  </si>
  <si>
    <t>COMPLETE  type 'B'.</t>
  </si>
  <si>
    <t>P.V.C. PIPE 110mm DIA</t>
  </si>
  <si>
    <t>P.V.C BEND WITH DOOR 110MM</t>
  </si>
  <si>
    <t>P.V.C COWL 110MM</t>
  </si>
  <si>
    <t>P.V.C DOOR TEE 110MM p-61 D-c</t>
  </si>
  <si>
    <t>COST OF RUBBER</t>
  </si>
  <si>
    <t>LUBRICANTT.W.PLUGS AND</t>
  </si>
  <si>
    <t>C.I.CLAMPS ETC</t>
  </si>
  <si>
    <t>SUNDERS</t>
  </si>
  <si>
    <t>58.1(b)</t>
  </si>
  <si>
    <t>B.</t>
  </si>
  <si>
    <t>SUPPLY AND FIXING OF PVC PIPE</t>
  </si>
  <si>
    <r>
      <t xml:space="preserve">75MM DIA OF </t>
    </r>
    <r>
      <rPr>
        <b/>
        <sz val="12"/>
        <rFont val="Helv"/>
      </rPr>
      <t>PVC SWR PIPE</t>
    </r>
    <r>
      <rPr>
        <sz val="12"/>
        <rFont val="Helv"/>
      </rPr>
      <t xml:space="preserve"> INCLUDING </t>
    </r>
  </si>
  <si>
    <t>LUBERICANT AND FIXING IN TO</t>
  </si>
  <si>
    <t>WALL WITH WOODEN PLUGES</t>
  </si>
  <si>
    <t>P.V.C. PIPE 75mm DIA</t>
  </si>
  <si>
    <t>P.V.C BEND WITH DOOR</t>
  </si>
  <si>
    <t>P.V.C COWL</t>
  </si>
  <si>
    <t>P.V.C DOOR TEE</t>
  </si>
  <si>
    <t>58.2</t>
  </si>
  <si>
    <t xml:space="preserve">Supplying &amp;fixing 110mm dia PVC </t>
  </si>
  <si>
    <t xml:space="preserve">SWR pipe for ventilating shaft </t>
  </si>
  <si>
    <t xml:space="preserve">of 3M length with cowl </t>
  </si>
  <si>
    <t>110mm dia PVC SWR pipe</t>
  </si>
  <si>
    <t>110mm dia cowl</t>
  </si>
  <si>
    <t>Labour for fixing</t>
  </si>
  <si>
    <t>Sundries for PVC solution etc.</t>
  </si>
  <si>
    <t>Rate for 1 no.</t>
  </si>
  <si>
    <t>59.</t>
  </si>
  <si>
    <t>SUPLY ING AND FIXING OF</t>
  </si>
  <si>
    <t>150X100mm S.W. GULLY TRAPS</t>
  </si>
  <si>
    <t>BRICK JELLY CONCRETE (1:8:16)40MM</t>
  </si>
  <si>
    <t>60.</t>
  </si>
  <si>
    <t xml:space="preserve">SUPPLY AND FIXING OF P.V.C. </t>
  </si>
  <si>
    <t>NAHANI TRAP 75mm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</si>
  <si>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</si>
  <si>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</si>
  <si>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</si>
  <si>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</si>
  <si>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</si>
  <si>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</si>
  <si>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</si>
  <si>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</si>
  <si>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</si>
  <si>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</si>
  <si>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</si>
  <si>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</si>
  <si>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</si>
  <si>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</si>
  <si>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</si>
  <si>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SUPPLY AND FIXING OF 250mm</t>
  </si>
  <si>
    <r>
      <t xml:space="preserve">250mmDIA S.W.PIPE WITH ISI MARK ( it-13.0/4 </t>
    </r>
    <r>
      <rPr>
        <b/>
        <sz val="12"/>
        <rFont val="Helv"/>
      </rPr>
      <t>of twad 17-18 spl I CLASS )</t>
    </r>
  </si>
  <si>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</si>
  <si>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</si>
  <si>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</si>
  <si>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</si>
  <si>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</si>
  <si>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</si>
  <si>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</si>
  <si>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</si>
  <si>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</si>
  <si>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</si>
  <si>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</si>
  <si>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</si>
  <si>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</si>
  <si>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</si>
  <si>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</si>
  <si>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</si>
  <si>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</si>
  <si>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</si>
  <si>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</si>
  <si>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</si>
  <si>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</si>
  <si>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</si>
  <si>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</si>
  <si>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</si>
  <si>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</si>
  <si>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</si>
  <si>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</si>
  <si>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</si>
  <si>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</si>
  <si>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</si>
  <si>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</si>
  <si>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</si>
  <si>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</si>
  <si>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</si>
  <si>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</si>
  <si>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</si>
  <si>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</si>
  <si>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</si>
  <si>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3"I.O. ButtHinges</t>
  </si>
  <si>
    <t xml:space="preserve"> 6"x1/2" Alu. Aldrops</t>
  </si>
  <si>
    <t xml:space="preserve"> 2" I.O.Hooks and Eyes</t>
  </si>
  <si>
    <t>M.S."L" Clamps</t>
  </si>
  <si>
    <t>Labour Charges</t>
  </si>
  <si>
    <t>SUNDRIES FOR T.W.Plugs etc</t>
  </si>
  <si>
    <t>Total for 1.62 Sqm</t>
  </si>
  <si>
    <t>Total for 1.00 Sqm</t>
  </si>
  <si>
    <t>================================================</t>
  </si>
  <si>
    <t>WIRING WITH 1.5SQMM COPPER WIRE  CONCEALED</t>
  </si>
  <si>
    <t>64.a.</t>
  </si>
  <si>
    <t>64.b</t>
  </si>
  <si>
    <t>64.c</t>
  </si>
  <si>
    <t xml:space="preserve"> --DO--FOR 15AMP POWER PLUG</t>
  </si>
  <si>
    <t>70.1</t>
  </si>
  <si>
    <t>70.2</t>
  </si>
  <si>
    <t>S/F OF SLIM TUBELIGHT FITTING WITH ELECTRONICS BALLAST.</t>
  </si>
  <si>
    <t>70.3</t>
  </si>
  <si>
    <t>S/F OF 40W/60W BULB</t>
  </si>
  <si>
    <t>70.4</t>
  </si>
  <si>
    <t>S/F OF PLASTIC SHADE</t>
  </si>
  <si>
    <t>S/F of Fibre Fan Hook</t>
  </si>
  <si>
    <t>73.1</t>
  </si>
  <si>
    <t>73.2</t>
  </si>
  <si>
    <t>S/F OF 4 WAY D.B</t>
  </si>
  <si>
    <t>75(a)</t>
  </si>
  <si>
    <t>SUPPLY AND DELIVERY OF FAN 48"SWEEP with ordinary regulator.</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</si>
  <si>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</si>
  <si>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</si>
  <si>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</si>
  <si>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</si>
  <si>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</si>
  <si>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</si>
  <si>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M.S. Angle</t>
  </si>
  <si>
    <t>SUPPLYING AND FIXING OF 20MM DIA PVC PIPE FOR TV/TELEPHONE LINE</t>
  </si>
  <si>
    <t>Mtr</t>
  </si>
  <si>
    <t>PVC RIGID CONDUIT PIPE 19M/20MM HEAVY DUTY WITH ISI P -127/ part  I 1b</t>
  </si>
  <si>
    <t>WIREMAN GR-I</t>
  </si>
  <si>
    <t>SUNDRIES FOR PVC SPECIALS &amp; FISH WIRE ETC.,</t>
  </si>
  <si>
    <t>TOTAL FOR 90RMT</t>
  </si>
  <si>
    <t>EARTHING STATION (TYPE II)</t>
  </si>
  <si>
    <t>GI PIPE 40MM DIA</t>
  </si>
  <si>
    <t>Charcoal 17-18 SD 233 (97.15/20.32 = 4.78)</t>
  </si>
  <si>
    <t>SALT  SD 233 (119.2/20.32 = 5.87)</t>
  </si>
  <si>
    <t>GI WIRE 8 GAUGE p79/pat E3(b)</t>
  </si>
  <si>
    <t>WIRE MAN GR-I</t>
  </si>
  <si>
    <t>HELPER</t>
  </si>
  <si>
    <t>CIVIL WORK SUCH AS EXCAVATION FILLING MASONRY WORK, COVER SLAB ETC.,</t>
  </si>
  <si>
    <t>BOLTS,NUTS &amp; CHOCK NUTS ETC.,</t>
  </si>
  <si>
    <t>Labour Charges for barbed wire fencing for 8.16 kg</t>
  </si>
  <si>
    <t>Fitter I class</t>
  </si>
  <si>
    <t>Mazdoor I class</t>
  </si>
  <si>
    <t>TOTAL FOR 8.16 kg</t>
  </si>
  <si>
    <t>Rate for 1 kg</t>
  </si>
  <si>
    <t>Barbed wire fencing for 10 m</t>
  </si>
  <si>
    <t>Barbed wire 10 gauge 2 ply and four pronged ( Galvanised) it-130 p-50</t>
  </si>
  <si>
    <t>Binding wire</t>
  </si>
  <si>
    <t>Labour</t>
  </si>
  <si>
    <t>Rate for 10m</t>
  </si>
  <si>
    <t>Rate for 1m</t>
  </si>
  <si>
    <t>Labour charges for Auger pile foundation for 2.44m</t>
  </si>
  <si>
    <t>Chain link fencing data for 15sqm</t>
  </si>
  <si>
    <t>Mason II class</t>
  </si>
  <si>
    <t xml:space="preserve">GALVANISIED IRON WIRE 2" x 2" using 10 gauge (of all sizes) p49/143 </t>
  </si>
  <si>
    <t>Hire charges @ 10% of labour charges</t>
  </si>
  <si>
    <t>Rate for 2.44m</t>
  </si>
  <si>
    <t>Rate for 1.00m</t>
  </si>
  <si>
    <t>Rate for 15sqm</t>
  </si>
  <si>
    <t>Rate for 1 sqm</t>
  </si>
  <si>
    <t>Auger pile of size 30cm dia and 3m depth for 1m</t>
  </si>
  <si>
    <t>M3</t>
  </si>
  <si>
    <t>RCC 1:2:4</t>
  </si>
  <si>
    <t>1M3</t>
  </si>
  <si>
    <t>Rate for 1 RM</t>
  </si>
  <si>
    <t>Providing Rain Water Harvesting Perculation pit
a) Providing pit</t>
  </si>
  <si>
    <t>Strutting to centering of R.C.C plain surface, 3.00m height wall.</t>
  </si>
  <si>
    <t>HBSJ 40mm</t>
  </si>
  <si>
    <t>Casurina Props 10 to 13 m dia @ 75m c/c cost for 1 
operation 25.20/5=5.040 p-22 it-146/b</t>
  </si>
  <si>
    <t>Precasted slab Standardised Cement comncrete M 20 grade</t>
  </si>
  <si>
    <t xml:space="preserve"> --------------------</t>
  </si>
  <si>
    <t>Rate for 10 sqm</t>
  </si>
  <si>
    <t>.</t>
  </si>
  <si>
    <t>Rate for 1 sqm, for 3m ht.</t>
  </si>
  <si>
    <t>Rate for 1 sqm, for 1m ht.</t>
  </si>
  <si>
    <t>Augering 30 cm dia</t>
  </si>
  <si>
    <t>18.1.a.</t>
  </si>
  <si>
    <t>Form work for Plinth beam, Grade beam, Raft beam</t>
  </si>
  <si>
    <t>Form work for Roof and lintels using M.S sheet</t>
  </si>
  <si>
    <t>Form work for Small quantity and column using M.S. sheet</t>
  </si>
  <si>
    <t>MASON II CLASS</t>
  </si>
  <si>
    <t>d.</t>
  </si>
  <si>
    <t>Form work for Vertical walls</t>
  </si>
  <si>
    <t>MAZDOORI CLASS</t>
  </si>
  <si>
    <t>Hire charges for O2296TOOLS PLANTS at 10% of labour</t>
  </si>
  <si>
    <t>A.C .sheet Roofing with ridge piece</t>
  </si>
  <si>
    <t>A.C. sheet 6mm thick p -44 /75(Fully corrugated sheet)</t>
  </si>
  <si>
    <t>pairs</t>
  </si>
  <si>
    <t>Adjustable ridges p-44 it-74</t>
  </si>
  <si>
    <t>Pairs</t>
  </si>
  <si>
    <t>set</t>
  </si>
  <si>
    <t>U' bolts and nuts p-44 it-75</t>
  </si>
  <si>
    <t>Fitter - II</t>
  </si>
  <si>
    <t>Carpenter - I</t>
  </si>
  <si>
    <t>Mazdoor - I</t>
  </si>
  <si>
    <t xml:space="preserve">Sundries  for white lead </t>
  </si>
  <si>
    <t>A.C .sheet Roofing without ridge piece</t>
  </si>
  <si>
    <t>A.C. sheet 6mm thick fully corrugated</t>
  </si>
  <si>
    <t>Rate for 10 Sqm</t>
  </si>
  <si>
    <t>U bolts &amp; Nuts</t>
  </si>
  <si>
    <t>Pre cast slab 50mm thick in c.c. 1:3:6 mixed with fibre of size .28 x .28 m , 50mm thick</t>
  </si>
  <si>
    <t>Pcc slab - 500 x .28 x .28 = 39.2 Sq.m</t>
  </si>
  <si>
    <t xml:space="preserve">                =39.2 x .05 =1.96 cum</t>
  </si>
  <si>
    <t>Rate per 1 Sqm</t>
  </si>
  <si>
    <t>C.C 1:3:6 using 20mm HBS</t>
  </si>
  <si>
    <t>Mason I class</t>
  </si>
  <si>
    <t>Mazdoor II class</t>
  </si>
  <si>
    <t>Moulding charge</t>
  </si>
  <si>
    <r>
      <t xml:space="preserve">Providing wooden </t>
    </r>
    <r>
      <rPr>
        <b/>
        <sz val="12"/>
        <rFont val="Helv"/>
      </rPr>
      <t>MELAMEN DOOR POLISH</t>
    </r>
  </si>
  <si>
    <t>Cutting, Transporting , Laying &amp; Pointing charges</t>
  </si>
  <si>
    <t>For New Wood</t>
  </si>
  <si>
    <t>Packet</t>
  </si>
  <si>
    <t xml:space="preserve">Fibre (125g/packet) Qtn </t>
  </si>
  <si>
    <t>Contain a size 1.2x2.1 m</t>
  </si>
  <si>
    <t>Area of Polishing 1x1x2.25x1.2x2.1+5.67m2</t>
  </si>
  <si>
    <t>Rate for 39.2 sqm</t>
  </si>
  <si>
    <t xml:space="preserve">Sand paper No 50 (Qtn) </t>
  </si>
  <si>
    <t>Sand paper No 80</t>
  </si>
  <si>
    <t>Sand paper No 100</t>
  </si>
  <si>
    <t>Wooden filter</t>
  </si>
  <si>
    <t>liter</t>
  </si>
  <si>
    <t>sand seal thinner</t>
  </si>
  <si>
    <t>Thinner</t>
  </si>
  <si>
    <t>Squat urinal including all accesseries (LSR new Item -4)p -59/i207</t>
  </si>
  <si>
    <t>Water Emery No 250</t>
  </si>
  <si>
    <t>Water Emery No 320</t>
  </si>
  <si>
    <t>Water Emery No 400</t>
  </si>
  <si>
    <t>gm</t>
  </si>
  <si>
    <t>Teak Powder</t>
  </si>
  <si>
    <t>100gm</t>
  </si>
  <si>
    <t>Red Powder</t>
  </si>
  <si>
    <t>500gm</t>
  </si>
  <si>
    <t xml:space="preserve"> Fresh Chalk Powder</t>
  </si>
  <si>
    <t xml:space="preserve">MELAMEN matt Qtn </t>
  </si>
  <si>
    <t>MELAMEN  Glozy</t>
  </si>
  <si>
    <t>Thinner 106</t>
  </si>
  <si>
    <t>Banian waste</t>
  </si>
  <si>
    <t>S &amp; F of Flat urinal (white)</t>
  </si>
  <si>
    <t>3" Brush</t>
  </si>
  <si>
    <t>1No</t>
  </si>
  <si>
    <t>Flat back urinal including all accesseries p-50/136 1</t>
  </si>
  <si>
    <t>2" Flat Brush</t>
  </si>
  <si>
    <t>Plumber I class</t>
  </si>
  <si>
    <t>PAINTER- I Class</t>
  </si>
  <si>
    <t>PAINTER - II  Class</t>
  </si>
  <si>
    <t>Mazdoor - II  Class</t>
  </si>
  <si>
    <t>Add sundries for CM 1:3</t>
  </si>
  <si>
    <t>Ls</t>
  </si>
  <si>
    <t xml:space="preserve">Bladder &amp; Tools </t>
  </si>
  <si>
    <t>----------------------</t>
  </si>
  <si>
    <r>
      <t xml:space="preserve">TOTAL FOR </t>
    </r>
    <r>
      <rPr>
        <b/>
        <sz val="12"/>
        <rFont val="Helv"/>
      </rPr>
      <t>5.67</t>
    </r>
    <r>
      <rPr>
        <sz val="12"/>
        <rFont val="Helv"/>
      </rPr>
      <t xml:space="preserve"> SQM</t>
    </r>
  </si>
  <si>
    <t>Rate for 1 Sqm</t>
  </si>
  <si>
    <t xml:space="preserve">              Providing shahabad stone grey colour of 20mm thick in C.M 1:3</t>
  </si>
  <si>
    <t>COST OF Shahabad stone grey colour (Polished Shahabad stone 20mm thick with machine cut edges of size 2' x 2' below) p -42/ 30</t>
  </si>
  <si>
    <t>Cement slurry</t>
  </si>
  <si>
    <t>1000 Kg</t>
  </si>
  <si>
    <t>Pigment (20.03+23.13)/2 =21.58 p37 ( 9 &amp;10/2)</t>
  </si>
  <si>
    <t xml:space="preserve">Mason II </t>
  </si>
  <si>
    <t>Providing rajasthan kota stone of 20mm thick in C.M 1:3</t>
  </si>
  <si>
    <t>Providing rajasthan kota stone slabs of of 20mm thick with machine cut edges of size below in C.M 1:3 p-42 sl.32</t>
  </si>
  <si>
    <t>Pigment</t>
  </si>
  <si>
    <t>RED OXIDE PLASTERING C.M 1:4, 20MM THICK</t>
  </si>
  <si>
    <t>C.M 1:4 , 20MM THICK</t>
  </si>
  <si>
    <t>RED OXIDE p37/i24</t>
  </si>
  <si>
    <t xml:space="preserve">M.S VENTILATOR OF SIZE - 600 X 1350mm ( 1 No ) </t>
  </si>
  <si>
    <t xml:space="preserve">ALROUND M.S FLAT OF SIZE 50 X 10mm      = 3.9 M X 3.9 Kg/Met </t>
  </si>
  <si>
    <t>SQUARE BARS OF SIZE 20 x 20mm               = 12Nos X .6M 3.14 Kg/Met</t>
  </si>
  <si>
    <t>M.S FLAT OF SIZE 25 X 6mm HORIZONTAL = 1 X 2 X 1.2 Kg/Met</t>
  </si>
  <si>
    <t>VERTICAL                                                             = 1 X 3 X 0.6 X 1.2 Kg/Met</t>
  </si>
  <si>
    <t xml:space="preserve"> ============</t>
  </si>
  <si>
    <t>Weld Mesh of size 7.5 x 2.5 cm 10 gauge</t>
  </si>
  <si>
    <t>Fly proof  Mesh</t>
  </si>
  <si>
    <t>Hings</t>
  </si>
  <si>
    <t>Rate for 1 No.</t>
  </si>
  <si>
    <t xml:space="preserve">M.S VENTILATOR OF SIZE - 600 X 900mm ( 1 No ) </t>
  </si>
  <si>
    <t xml:space="preserve">ALROUND M.S FLAT OF SIZE 50 X 10mm      = 3.0 M X 3.925 Kg/Met </t>
  </si>
  <si>
    <t>SQUARE BARS OF SIZE 20 x 20mm               = 8Nos X 0.6M 3.14 Kg/Met</t>
  </si>
  <si>
    <t>M.S FLAT OF SIZE 25 X 6mm HORIZONTAL = 1 X 2 X0.9 x 1.2 Kg/Met</t>
  </si>
  <si>
    <t>ADD FOR BUILDING</t>
  </si>
  <si>
    <t>=============</t>
  </si>
  <si>
    <t>Rate per sqm</t>
  </si>
  <si>
    <t xml:space="preserve">M.S VENTILATOR OF SIZE - 600 X 600mm ( 1 No ) </t>
  </si>
  <si>
    <t xml:space="preserve">ALROUND M.S FLAT OF SIZE 50 X 10mm      = 2.4 M X 3.925 Kg/Met </t>
  </si>
  <si>
    <t>SQUARE BARS OF SIZE 20 x 20mm               =5Nos X 0.6M 3.14 Kg/Met</t>
  </si>
  <si>
    <t>M.S FLAT OF SIZE 25 X 6mm HORIZONTAL = 1 X 2 X0.6 x 1.2 Kg/Met</t>
  </si>
  <si>
    <t xml:space="preserve">M.S VENTILATOR OF SIZE -1285 X 600mm ( 1 No ) </t>
  </si>
  <si>
    <t xml:space="preserve">ALROUND M.S FLAT OF SIZE 50 X 10mm      = 3.77 M X 3.9 Kg/Met </t>
  </si>
  <si>
    <t>SQUARE BARS OF SIZE 20 x 20mm               =12Nos X 0.6M 3.14 Kg/Met</t>
  </si>
  <si>
    <t>M.S FLAT OF SIZE 25 X 6mm HORIZONTAL = 1 X 2 X1.285 x 1.2 Kg/Met</t>
  </si>
  <si>
    <t>Chicken Mesh</t>
  </si>
  <si>
    <t>Hinges</t>
  </si>
  <si>
    <t xml:space="preserve">M.S DOOR OF SIZE 1000 X 2100mm </t>
  </si>
  <si>
    <t>WEIGHT OF MATERIAL</t>
  </si>
  <si>
    <t xml:space="preserve">M.S FLAT OF SIZE 50 X 10mm    = 1.00 X .05 X .01 X 7850 Kg/CUM </t>
  </si>
  <si>
    <t xml:space="preserve">M.S SQUARE BAR 20 X 20mm    = 1.00 X .02 X .02 X 7850 Kg/CUM </t>
  </si>
  <si>
    <t xml:space="preserve">M.S FLAT OF SIZE 25 X 6mm    = 1.00 X .025 X .06 X 7850 Kg/CUM </t>
  </si>
  <si>
    <t>M.S FLAT OF SIZE 50 X 10mm ALROUND            = 1 X 1 X 6.20 X 3.92 Kg/m</t>
  </si>
  <si>
    <t>M.S SQUARE BAR 20 X 20mm HORIZONTAL    = 1 X 3 X 1 X 3.295KG/m</t>
  </si>
  <si>
    <t>M.S FLAT OF SIZE 20 X 20mm                               = 1 X 9 X 2.10 X 3.14Kg/m</t>
  </si>
  <si>
    <t>M.S FLAT OF SIZE 25 X 6mm VERTICAL           = 1 X 2 X 2.10 X 1.2Kg/m</t>
  </si>
  <si>
    <t>M.S FLAT OF SIZE 25 X 6mm HORIZONTAL            = 1 X 4 X 1 X 1.2Kg</t>
  </si>
  <si>
    <t>ADD FOR WELDING</t>
  </si>
  <si>
    <t>1285 x 600mm</t>
  </si>
  <si>
    <t>STEEL</t>
  </si>
  <si>
    <t>Fly proof mesh</t>
  </si>
  <si>
    <t>FOR HINGES</t>
  </si>
  <si>
    <t>LOCKING MATERIAL COST</t>
  </si>
  <si>
    <t>RATE FOR 1 NO</t>
  </si>
  <si>
    <t xml:space="preserve">M.S DOOR OF SIZE 750 X1350mm </t>
  </si>
  <si>
    <t xml:space="preserve">M.S FLAT OF SIZE 50 X 10mm    =0.75 X .05 X .01 X 7850 Kg/CUM </t>
  </si>
  <si>
    <t xml:space="preserve">M.S SQUARE BAR 20 X 20mm    = 0.75X .02 X .02 X 7850 Kg/CUM </t>
  </si>
  <si>
    <t xml:space="preserve">M.S FLAT OF SIZE 25 X 6mm    = 0.75 X .025 X .06 X 7850 Kg/CUM </t>
  </si>
  <si>
    <t>M.S FLAT OF SIZE 50 X 10mm ALROUND            = 1 X 1 X4.20 X 3.9Kg/m</t>
  </si>
  <si>
    <t>M.S SQUARE BAR 20 X 10mm HORIZONTAL    = 1 X 3 X 0.75 X 3.29KG/m</t>
  </si>
  <si>
    <t xml:space="preserve">ALROUND M.S FLAT OF SIZE 50 X 10mm      = 3.77 M X 3.925 Kg/Met </t>
  </si>
  <si>
    <t>M.S FLAT OF SIZE 20 X 20mm                               = 1 X 9 X1.35 X 3.11Kg/m</t>
  </si>
  <si>
    <t>M.S FLAT OF SIZE 25 X 6mm VERTICAL           = 1 X 2 X1.35 X 1.2Kg/m</t>
  </si>
  <si>
    <t>M.S FLAT OF SIZE 25 X 6mm HORIZONTAL            = 1 X 4 X 0.75 X 1.2Kg</t>
  </si>
  <si>
    <t>Steel (p-21 it-130 )</t>
  </si>
  <si>
    <t>Weld Mesh</t>
  </si>
  <si>
    <t>Fly proof  Mesh p-22 it- 167/130</t>
  </si>
  <si>
    <t xml:space="preserve">T.W DOOR SHUTTER TWO LEAVES(1800 X 2100 mm </t>
  </si>
  <si>
    <t xml:space="preserve">SHUTTER AREA      = 2X0.85 X 2.025                         </t>
  </si>
  <si>
    <t>STYLES (OVER 2m) = 2 X 2 X 2.025 X 0.075 X 0.0375         = 0.0228</t>
  </si>
  <si>
    <t xml:space="preserve">RAILS (BELOW 2M) = 2 X 3 X 0.85 X 0.15 X 0.0375          </t>
  </si>
  <si>
    <t xml:space="preserve">              2X 3 X 0.85 X 0.075 X 0.0375     </t>
  </si>
  <si>
    <t xml:space="preserve">PLANKS : 2 X 4 X 0.725 X 0.30 X 0.01875    </t>
  </si>
  <si>
    <t xml:space="preserve">                  2 X 1 X 0.725 X 0.30 X 0.01875    </t>
  </si>
  <si>
    <t>MAIN DATA</t>
  </si>
  <si>
    <t>T.W SCANTLING over 2m</t>
  </si>
  <si>
    <r>
      <t xml:space="preserve">T.W DOUBLE LEAVES FULLY PANELLED DOOR SHUTTER FOR DOOR OF SIZE   (2000 X 2100 mm) </t>
    </r>
    <r>
      <rPr>
        <b/>
        <sz val="14"/>
        <rFont val="Arial"/>
        <family val="2"/>
      </rPr>
      <t>WITH BRASS FITTINGS</t>
    </r>
  </si>
  <si>
    <t xml:space="preserve">SHUTTER AREA      = 2X0.95 X 2.025                         </t>
  </si>
  <si>
    <t xml:space="preserve">RAILS (BELOW 2M) = 2 X 3 X 0.95 X 0.15 X 0.0375          </t>
  </si>
  <si>
    <t xml:space="preserve">              2X 3 X 0.95 X 0.075 X 0.0375     </t>
  </si>
  <si>
    <t>CHICKEN MESH</t>
  </si>
  <si>
    <t xml:space="preserve">PLANKS : 2 X 4 X 0.825 X 0.30 X 0.01875    </t>
  </si>
  <si>
    <t xml:space="preserve">                  2 X 1 X 0.825 X 0.30 X 0.01875    </t>
  </si>
  <si>
    <t>RATE FOR 3.443 SQM</t>
  </si>
  <si>
    <t>T.W DOOR SHUTTER TWO LEAVES(1500 X 2100 mm ) with Brass Fittings</t>
  </si>
  <si>
    <t>SHUTTER AREA      = 2X0.7 X 2.025                                    = 2.835 Sqm</t>
  </si>
  <si>
    <t>RAILS (BELOW 2M) = 2 X 3 X 0.70 X 0.15 X 0.0375              =0.0236</t>
  </si>
  <si>
    <t xml:space="preserve">              2X 3 X 0.7 X 0.075 X 0.0375           = 0.0118</t>
  </si>
  <si>
    <t>T.W DOOR SHUTTER TWO LEAVES(1200 X 2100 mm ) with Brass Fittings</t>
  </si>
  <si>
    <t>PLANKS : 2 X 4 X 0.575 X 0.30 X 0.01875     = 0.0259</t>
  </si>
  <si>
    <t>SHUTTER AREA      = 2X0.55 X 2.025                                    = 2.23 Sqm</t>
  </si>
  <si>
    <t xml:space="preserve">                  2 X 1 X 0.575 X 0.30 X 0.01875     = 0.0065</t>
  </si>
  <si>
    <t>RATE FOR 3.8475 SQM</t>
  </si>
  <si>
    <t>RAILS (BELOW 2M) = 2 X 3 X 0.55 X 0.15 X 0.0375              =0.0186</t>
  </si>
  <si>
    <t xml:space="preserve">              2X 3 X 0.55 X 0.075 X 0.0375           = 0.0093</t>
  </si>
  <si>
    <t>T.W PLANKS (30.45 CM) (12 TO 25CM THICK) p-19 it-110</t>
  </si>
  <si>
    <t>PLANKS : 2 X 4 X 0.425 X 0.30 X 0.01875     = 0.019</t>
  </si>
  <si>
    <t xml:space="preserve">                  2 X 1 X 0.425 X 0.30 X 0.01875     = 0.0048</t>
  </si>
  <si>
    <t>With Brass Filltings</t>
  </si>
  <si>
    <t>DOOR HANDLE Mejastic</t>
  </si>
  <si>
    <t>6" Brass HINGES</t>
  </si>
  <si>
    <t>8" BRASS TOWER BOLTS</t>
  </si>
  <si>
    <t>Mortice lock with handle</t>
  </si>
  <si>
    <t>RUBBER BUSH p47/108</t>
  </si>
  <si>
    <t>T.W PLANKS (30.45 CM) (12 TO 25CM THICK)</t>
  </si>
  <si>
    <t>RATE FOR 2.23 SQM</t>
  </si>
  <si>
    <t>RUBBER BUSH</t>
  </si>
  <si>
    <t>Shutter middle rail(Horizantal) -1X2X0.4X0.15X0.0375=0.0045</t>
  </si>
  <si>
    <t>Shutter(OSL Board)      -2X2X.85X0.4=1.36m2</t>
  </si>
  <si>
    <t xml:space="preserve"> 4"X5/8"ALU.TOWER BOLT</t>
  </si>
  <si>
    <t xml:space="preserve"> ORNAMENTAL  HANDLE WITH SCREWS 100mm</t>
  </si>
  <si>
    <t>LOCKS &amp;KEY</t>
  </si>
  <si>
    <t xml:space="preserve"> ORNAMENTAL  HANDLE WITH SCREWS</t>
  </si>
  <si>
    <t>Supplying,Manufacturing and fixing of cloth drying arrangements data for 1 set</t>
  </si>
  <si>
    <t xml:space="preserve">Cost of 32 mm dia G.I pipe </t>
  </si>
  <si>
    <t>Rm</t>
  </si>
  <si>
    <t>Cost of MS angle 35 x 35x 4mm (2x.6x2.1 kg/m)</t>
  </si>
  <si>
    <t>Cost of Square bars (2x.5x1.13kg/m)</t>
  </si>
  <si>
    <t>Cost of 1clamp 10mm (3x.15x.78)</t>
  </si>
  <si>
    <t xml:space="preserve">Labour charges for welding </t>
  </si>
  <si>
    <t>Cost of fixturehooks</t>
  </si>
  <si>
    <t>Fixing of screws,painting etc.,</t>
  </si>
  <si>
    <t>Rate for 1 set</t>
  </si>
  <si>
    <t>Certified that the observed datas prepard based on the actuals in curred at the time of execution and least amount to the best of my Knowledge.</t>
  </si>
  <si>
    <t>S&amp; F of MS angle of size 35 x35 x 5 mm for stair case steps (.95m)</t>
  </si>
  <si>
    <t>Data for 16 steps - 16*2.6kgs = 41.60 kgs</t>
  </si>
  <si>
    <t xml:space="preserve">Cost of MS angle </t>
  </si>
  <si>
    <t>Stone cutter I</t>
  </si>
  <si>
    <t>Mason I</t>
  </si>
  <si>
    <t>CC 1:2:4,Screws, MS flat, welding charges,painting etc.,</t>
  </si>
  <si>
    <t>Rate for 16 steps</t>
  </si>
  <si>
    <t>Rs.</t>
  </si>
  <si>
    <t>Rate for 1 steps</t>
  </si>
  <si>
    <t>Rate per 1m</t>
  </si>
  <si>
    <t>Primer coat using white cement</t>
  </si>
  <si>
    <t>ABOVE G.L (Fully concealed in walls).</t>
  </si>
  <si>
    <t>SUNDRIES for dismantling &amp; packing the dismantled 
portion</t>
  </si>
  <si>
    <t>GROUND LEVEL(OR) FIXING ON WALLS FULLY CONCEALED TO THE</t>
  </si>
  <si>
    <t>C.W.SINGLY LEAF FULLY PANELLED</t>
  </si>
  <si>
    <t>Anticorrosive Treatment for Window M.S. Grills.</t>
  </si>
  <si>
    <t>SHUTTER SIZE-.9X2.025   =1.8225M2</t>
  </si>
  <si>
    <t>litres</t>
  </si>
  <si>
    <t>Zite Zinc primer ( qtn)</t>
  </si>
  <si>
    <t>litre</t>
  </si>
  <si>
    <t>STYLES(OVER 2M) -1X2X2.025X0.125X0.0375=0.01898</t>
  </si>
  <si>
    <t>Brush</t>
  </si>
  <si>
    <t>Painter I st Class</t>
  </si>
  <si>
    <t>RAILS(BELOW 2M)- 1X4X0.9X0.15X0.0375=      0.02025</t>
  </si>
  <si>
    <t xml:space="preserve">               - 1X2X0.731X0.125X0.0375 =0.00685</t>
  </si>
  <si>
    <t>Rate for 1 MT</t>
  </si>
  <si>
    <t>PLANKS      -1X4X0.60625X02825X0.01875=</t>
  </si>
  <si>
    <t xml:space="preserve">             -1X1X0675X0.2825X0.01875=</t>
  </si>
  <si>
    <t>Providing Single under reamed Pile of 4.50m depth,375mm dia</t>
  </si>
  <si>
    <t>C.W SCANTLING  UPTO 4M LONG (PADAK)</t>
  </si>
  <si>
    <t>Volume of Concrete = 3.14/4*0.3*0.3 (3.50+(1*6*0.3))</t>
  </si>
  <si>
    <t>C.W PLANKS 25mm thick &amp; 30cm wide.</t>
  </si>
  <si>
    <t>TW panelled Door 1800X2400 Double leaves</t>
  </si>
  <si>
    <t>Shutter size 2 x 0.85 x 2.325m</t>
  </si>
  <si>
    <t>Main Data</t>
  </si>
  <si>
    <t>T.W PLANKS  (30 TO 45CM wide, 12 - 25mm THICK)</t>
  </si>
  <si>
    <t>RCC 1:11/2:3 excluding vibrating charges</t>
  </si>
  <si>
    <t>Cement extra @ 10% (323.1*.37)</t>
  </si>
  <si>
    <t>Brass screws</t>
  </si>
  <si>
    <t xml:space="preserve">Ls </t>
  </si>
  <si>
    <t>Add for tools &amp; Plant</t>
  </si>
  <si>
    <t>TOTAL FOR 1.82250SQM</t>
  </si>
  <si>
    <t>_______________________</t>
  </si>
  <si>
    <t>For 3.50m depth</t>
  </si>
  <si>
    <t>For 1m depth</t>
  </si>
  <si>
    <t>Four horizontal &amp; one vertical Panel</t>
  </si>
  <si>
    <t>1200 X 2100MM</t>
  </si>
  <si>
    <t>Five horizontal panels</t>
  </si>
  <si>
    <t xml:space="preserve">             -1X1X0.675X0.2825X0.01875=</t>
  </si>
  <si>
    <t>SHUTTER SIZE-1.10X2.025   =2.2275M2</t>
  </si>
  <si>
    <t>RAILS(BELOW 2M)- 1X3X1.10X0.15X0.0375=      0.01856</t>
  </si>
  <si>
    <t xml:space="preserve">                                         - 1X3X1.10X0.075X0.0375 =  0.00928</t>
  </si>
  <si>
    <t>PLANKS      -1X5X0.9625X02825X0.01875=</t>
  </si>
  <si>
    <t xml:space="preserve">brass DOOR HANDLE 150mm long </t>
  </si>
  <si>
    <t>5" Brass BUTT HINGS</t>
  </si>
  <si>
    <t xml:space="preserve"> 6"x1/2" Brass TOWER BOLT </t>
  </si>
  <si>
    <t>10"x5/8" Brass ALDROP</t>
  </si>
  <si>
    <t>WIDE&amp;12 to 25mm thick</t>
  </si>
  <si>
    <t>Sundries for brass scruew</t>
  </si>
  <si>
    <t>MDF</t>
  </si>
  <si>
    <t>TOTAL FOR 2.2275SQM</t>
  </si>
  <si>
    <t>MDF board exterior grade both side pre laminated including external lipping with kiln dried soft wood 35mm thick</t>
  </si>
  <si>
    <t xml:space="preserve">LABOUR FOR WROUGHT&amp;PUTUP p 33/156 a single </t>
  </si>
  <si>
    <t xml:space="preserve">Four horizontal panels </t>
  </si>
  <si>
    <t>&amp; one vertical panel</t>
  </si>
  <si>
    <t>TOTAL FOR 1.823SQM</t>
  </si>
  <si>
    <t>SHUTTER SIZE-1.10X2.05   =2.255M2</t>
  </si>
  <si>
    <t>STYLES(OVER 2M) -1X2X2.05X0.125X0.0375=0.01922</t>
  </si>
  <si>
    <t>RAILS(BELOW 2M)- 1X4X1.10X0.15X0.0375=      0.02475</t>
  </si>
  <si>
    <t xml:space="preserve">                                         - 1X2X0.74X0.075X0.0375 =  0.00416</t>
  </si>
  <si>
    <t>PLANKS      -1X4X0.60625X02825X0.01875=0.01284</t>
  </si>
  <si>
    <t>PLANKS      -1X1X0.975X02825X0.01875=0.00516</t>
  </si>
  <si>
    <t>Shutter(MDF Board)      -2X2X.85X0.4=1.36m2</t>
  </si>
  <si>
    <t>TOTAL FOR 2.255SQM</t>
  </si>
  <si>
    <t>MDF board 18mm thk exterior grade one side prelaminated.</t>
  </si>
  <si>
    <t>LABOUR CHARGE FOR SHUTTER (Double leaf) p/33 /156 b</t>
  </si>
  <si>
    <t>LOCKS &amp;KEY ( qtn)</t>
  </si>
  <si>
    <t xml:space="preserve">Supply,Laying &amp; Concealing the 50mm dia PVC (SWR) pipe </t>
  </si>
  <si>
    <t xml:space="preserve"> with ISI mark confirming to 13952:1992-type 'B'</t>
  </si>
  <si>
    <t>50 mm dia PVC (SWR) pipe ( qtn)</t>
  </si>
  <si>
    <t>PVC bend</t>
  </si>
  <si>
    <t>sundries for finishing dismantled portion</t>
  </si>
  <si>
    <t>Rate for 2Rmt.</t>
  </si>
  <si>
    <t>Rate per 1Rmt.</t>
  </si>
  <si>
    <t>RCC 1:2:4 for Earth quake resistance arrangements at corner of brick wall including cost of concrete, farication &amp; curing etc.,  data for 2.1m.</t>
  </si>
  <si>
    <t xml:space="preserve">RATE PER CUM </t>
  </si>
  <si>
    <t>RCC 1:2:4 for earth quake resistance arrangements for door/window james.</t>
  </si>
  <si>
    <r>
      <t>concrete  (0.23 x .075 x 2.1 =</t>
    </r>
    <r>
      <rPr>
        <b/>
        <sz val="12"/>
        <rFont val="Arial"/>
        <family val="2"/>
      </rPr>
      <t xml:space="preserve"> 0.036 cum</t>
    </r>
    <r>
      <rPr>
        <sz val="12"/>
        <rFont val="Arial"/>
        <family val="2"/>
      </rPr>
      <t>)</t>
    </r>
  </si>
  <si>
    <t>Steel 8RTS ( 2 x 2.7 x0.3950 = 2.133 kg)</t>
  </si>
  <si>
    <t>Ties 6RTS (0.28 x 15 x 0.222 = 0.932 kg)</t>
  </si>
  <si>
    <t>Total      3.065 kg</t>
  </si>
  <si>
    <r>
      <t xml:space="preserve">Form Work  Small qty.  0.38 x 2.1 = </t>
    </r>
    <r>
      <rPr>
        <b/>
        <sz val="12"/>
        <rFont val="Arial"/>
        <family val="2"/>
      </rPr>
      <t>0.798 sqm</t>
    </r>
  </si>
  <si>
    <t>*2</t>
  </si>
  <si>
    <t>RCC 1:2:4 using 3-10mm HBGS</t>
  </si>
  <si>
    <t xml:space="preserve">steel </t>
  </si>
  <si>
    <t xml:space="preserve">Form Work  Small qty. </t>
  </si>
  <si>
    <t>Total     for 2.1m</t>
  </si>
  <si>
    <t>c. In  Second Floor</t>
  </si>
  <si>
    <t>d. In  Third Floor</t>
  </si>
  <si>
    <t>SHUTTER SIZE-0.8X2.05   =1.64 M2</t>
  </si>
  <si>
    <t>1200 X 2100MM single leaf</t>
  </si>
  <si>
    <t>SHUTTER SIZE-1.1X2.05   =2.255 M2</t>
  </si>
  <si>
    <t>TOTAL FOR 1.64 sqm</t>
  </si>
  <si>
    <t>Providing Double under reamed Pile of 6m depth,375mm dia</t>
  </si>
  <si>
    <t>Volume of Concrete = (2x4x.375x3.14/4*.375*.375)+(3.14/4x.375x.375x6)</t>
  </si>
  <si>
    <t>TOTAL FOR 2.255 sqm</t>
  </si>
  <si>
    <t>RCC 1:1.5:3 excluding vibrating charges</t>
  </si>
  <si>
    <t>Cement extra @ 10%(323.1x.9935)</t>
  </si>
  <si>
    <t>For 6m depth</t>
  </si>
  <si>
    <t>Gravel Filling</t>
  </si>
  <si>
    <t>Filling charges</t>
  </si>
  <si>
    <t>supply &amp;fixing of cuddapah sink 600x600x200mmsize</t>
  </si>
  <si>
    <t>with 32mm GI waste pipe and 32mm CP waste coupling it-172 p-55</t>
  </si>
  <si>
    <t>Supply and fixing of Mirror of size 600x450mm size (p-56-it-184)</t>
  </si>
  <si>
    <t>Supply and fixing of Mirror of size500x400mm size (p-57 it-196 -ii)</t>
  </si>
  <si>
    <t>Supply and fixing of PVC flushing tank with all fittings</t>
  </si>
  <si>
    <t>10 lit. capacity. P- 68 / 220a</t>
  </si>
  <si>
    <t>SUPPLY AND FIXING EXSAUST FAN 225MM SWEEP</t>
  </si>
  <si>
    <t>a. 14W for Bath &amp; WC</t>
  </si>
  <si>
    <t>b. 18W for Bulkhead fittings</t>
  </si>
  <si>
    <t xml:space="preserve">S/F OF BULK HEAD FITTING for CFL </t>
  </si>
  <si>
    <t>SUPPLY AND DELIVERY OF FAN 48"SWEEP with 
Electronic Regulator step dimmer.</t>
  </si>
  <si>
    <t>10 lit. capacity.</t>
  </si>
  <si>
    <t>Plumber I</t>
  </si>
  <si>
    <t>Rate for Each</t>
  </si>
  <si>
    <t>1200 X 2100MM (Double Leaf)</t>
  </si>
  <si>
    <t>SHUTTER SIZE-1.1X2.025   =2.2275M2</t>
  </si>
  <si>
    <t>1500 X 2400MM (Double Leaf)</t>
  </si>
  <si>
    <t>SHUTTER SIZE-1.4X2.35   =3.29M2</t>
  </si>
  <si>
    <t>TOTAL FOR 2.2275 SQM</t>
  </si>
  <si>
    <t>1500 X 2100MM (Double Leaf)</t>
  </si>
  <si>
    <t>TOTAL FOR 3.29 SQM</t>
  </si>
  <si>
    <t>SHUTTER SIZE-1.4X2.05   =2.87 M2</t>
  </si>
  <si>
    <t>TOTAL FOR 2.87 SQM</t>
  </si>
  <si>
    <t>TW  frame &amp; TW styles &amp; rails with 9 mm thick BWR double leaf shutter for ward robe / cup board</t>
  </si>
  <si>
    <t>Shutter(BWR Plywood)      -2X2X.85X0.4=1.36m2</t>
  </si>
  <si>
    <t>TW single leaf glazed window shutter of size 3.08 x 2.1cm</t>
  </si>
  <si>
    <t xml:space="preserve">SHUTTER SIZE0- 3.08 x 2.1  </t>
  </si>
  <si>
    <t>STYLES(OVER 2M) -1X4X2.05X0.075X0.0375</t>
  </si>
  <si>
    <t>15mm dia half turn CP tap</t>
  </si>
  <si>
    <t>Engineering Polymer Tap  short body tap for coastal area only</t>
  </si>
  <si>
    <t xml:space="preserve">9mm thick BWR ply wood </t>
  </si>
  <si>
    <t>Sub-Data</t>
  </si>
  <si>
    <t>RAILS(BELOW 2M)- 2X3X0.55X0.15X0.0375</t>
  </si>
  <si>
    <t>Labour charge</t>
  </si>
  <si>
    <t xml:space="preserve"> 4"X5/8"ALU.TOWER BOLT p -46/i 95f </t>
  </si>
  <si>
    <t xml:space="preserve">Nos </t>
  </si>
  <si>
    <t>Plywood      -1X2X0.625X0.425</t>
  </si>
  <si>
    <t>gram</t>
  </si>
  <si>
    <t>Shellac p-54/156</t>
  </si>
  <si>
    <t>100 gms</t>
  </si>
  <si>
    <t>Shellac p-49</t>
  </si>
  <si>
    <t>Plywood      -1X2X1.025X0.425</t>
  </si>
  <si>
    <t>Thread ball p-54/158</t>
  </si>
  <si>
    <t>Thread ball p-49</t>
  </si>
  <si>
    <t>TWO COATS of enamel paint incl. Primer</t>
  </si>
  <si>
    <t>Total/1 No</t>
  </si>
  <si>
    <t>SUNDRIES FOR NAILS,PLUGS &amp; Brass screws ETC.</t>
  </si>
  <si>
    <t>Long body</t>
  </si>
  <si>
    <t>short body</t>
  </si>
  <si>
    <t xml:space="preserve">French Window  OF Size  3080 X2100 MM </t>
  </si>
  <si>
    <t>Cost of Tap</t>
  </si>
  <si>
    <t>T.W.SCANTLING belw 2M length</t>
  </si>
  <si>
    <t>4mm thick pin headed glass</t>
  </si>
  <si>
    <t>TW beeding 15 x 12 mm</t>
  </si>
  <si>
    <t>Bottle trap with UPVC coupling</t>
  </si>
  <si>
    <t>Providing tee with end cap</t>
  </si>
  <si>
    <t>Bottle trap (Polymer range)</t>
  </si>
  <si>
    <t>PVC Tee 32mm dia (p-100 D-d)</t>
  </si>
  <si>
    <t>200 mm x 12 mm Alu. Towerbolt</t>
  </si>
  <si>
    <t>UPVC coupling</t>
  </si>
  <si>
    <t>PVC end cap 32mm dia (p-100 E-d)</t>
  </si>
  <si>
    <t xml:space="preserve">6" Handle </t>
  </si>
  <si>
    <t>Plumber - I</t>
  </si>
  <si>
    <t>Sundries for brass scrwew</t>
  </si>
  <si>
    <t>TOTAL FOR 5.16 sqm</t>
  </si>
  <si>
    <t xml:space="preserve">French Window  OF Size  1070 X2100 MM </t>
  </si>
  <si>
    <t>SHUTTER SIZE0-.9X2.05   =1.845M2</t>
  </si>
  <si>
    <t>RAILS(BELOW 2M)- 1X3X0.9X0.15X0.0375=      0.0152</t>
  </si>
  <si>
    <t>Plywood      -1X1X0.775X0.64=0.496</t>
  </si>
  <si>
    <t>1200 x 2100mm</t>
  </si>
  <si>
    <t>Plywood      -1X1X0.985X0.775=0.763</t>
  </si>
  <si>
    <t xml:space="preserve">SHUTTER SIZE0-1.1 X 2.05  </t>
  </si>
  <si>
    <t>STYLES(OVER 2M) -1X2X2.05X0.075X0.0375</t>
  </si>
  <si>
    <t>TOTAL FOR 1.74 sqm</t>
  </si>
  <si>
    <t>RAILS(BELOW 2M)- 1X3X1.1X0.15X0.0375</t>
  </si>
  <si>
    <t>Plywood      -1X1X0.625X0.975</t>
  </si>
  <si>
    <t xml:space="preserve">French Window  OF Size  1500 X2000 MM </t>
  </si>
  <si>
    <t>2*2*0.075*.0375*1.95</t>
  </si>
  <si>
    <t>2*2*0.065*.0075*0.375</t>
  </si>
  <si>
    <t>T.W</t>
  </si>
  <si>
    <t>DOOR OF SIZE 1200 X2100 MM Double leaf</t>
  </si>
  <si>
    <t>2*0.65*1.95</t>
  </si>
  <si>
    <t>1*2*0.525*1.825</t>
  </si>
  <si>
    <t>Glass panel</t>
  </si>
  <si>
    <t>2*2*(0.525+1.825)</t>
  </si>
  <si>
    <t>Beeding</t>
  </si>
  <si>
    <t>TOTAL FOR 1.845 SQM</t>
  </si>
  <si>
    <t>Cement Paint two coat for old wall</t>
  </si>
  <si>
    <t>TOTAL FOR 2.535 sqm</t>
  </si>
  <si>
    <t>Cemant paint</t>
  </si>
  <si>
    <t>painter I</t>
  </si>
  <si>
    <t>T.W.DOUBLE LEAF FULLY PANELLED</t>
  </si>
  <si>
    <t>Thorouh scrapping p30/108</t>
  </si>
  <si>
    <t>1500 X 2400MM</t>
  </si>
  <si>
    <t xml:space="preserve">SUNDRIES </t>
  </si>
  <si>
    <t xml:space="preserve">SHUTTER SIZE-1X2X.675X2.3125                                                                                 </t>
  </si>
  <si>
    <r>
      <t xml:space="preserve">STYLES(OVER 2M) -2X2X2.3125X0.15X0.0375                                                      </t>
    </r>
    <r>
      <rPr>
        <b/>
        <sz val="12"/>
        <rFont val="Arial"/>
        <family val="2"/>
      </rPr>
      <t xml:space="preserve">  = 0.052</t>
    </r>
  </si>
  <si>
    <t xml:space="preserve">RAILS(BELOW 2M)- </t>
  </si>
  <si>
    <t xml:space="preserve">Top &amp; Intermediate 2X3X0.675X0.15X0.0375       </t>
  </si>
  <si>
    <t>Cement Paint one coat for old wall</t>
  </si>
  <si>
    <t xml:space="preserve"> Bottom              - 1X2X0.675X0.20X0.0375 = 0.010125</t>
  </si>
  <si>
    <t>PLANKS      -2X2X0.5875X.4X0.01875</t>
  </si>
  <si>
    <t xml:space="preserve">             -1X2X0.5625X0.4X0.01875</t>
  </si>
  <si>
    <t>Thorouh scrapping</t>
  </si>
  <si>
    <t>ls</t>
  </si>
  <si>
    <t>T.W PLANKS OVER 30 TO 45cm</t>
  </si>
  <si>
    <t>WIDE&amp;12TO25mm T.K p-19 it-110</t>
  </si>
  <si>
    <t>PAINTING ONE COATS OVER OLD</t>
  </si>
  <si>
    <t xml:space="preserve">6" Alu. DOOR HANDLE </t>
  </si>
  <si>
    <t>10"X1/2"TOWER BOLT p46 95c</t>
  </si>
  <si>
    <t>Lit</t>
  </si>
  <si>
    <t>12"X5/8"ALDROP p -46 96a</t>
  </si>
  <si>
    <t>RUBBERBUSH 40 DIA &amp; 60 MM LONG  p -46 sl.100</t>
  </si>
  <si>
    <t>Thorouh scrapping (p-31 slno.357 d)</t>
  </si>
  <si>
    <t>Alu. DOOR STOPPER p41 99</t>
  </si>
  <si>
    <t>TOTAL FOR  3.122 SQM</t>
  </si>
  <si>
    <t>T.W.DOUBLE LEAF 2/3 Glazed and 1/3 PANELLED</t>
  </si>
  <si>
    <t>Thorouh scrapping (p-31 slno.112)</t>
  </si>
  <si>
    <t xml:space="preserve">                                                                 </t>
  </si>
  <si>
    <t>-----------------</t>
  </si>
  <si>
    <t>5.5 MM THK. GLASS                -2X2X0.5875X.40</t>
  </si>
  <si>
    <t>PLANKS              -1X2X0.5625X0.4X0.01875</t>
  </si>
  <si>
    <t>T.W. Beeding  - 2 x 2 x 1.975</t>
  </si>
  <si>
    <t>PAINTING TWO COATS OVER OLD</t>
  </si>
  <si>
    <t>WIDE&amp;12TO25mm T.K p19 sl.110</t>
  </si>
  <si>
    <t>5.5 MM THICK PLAIN GLASS p49 sl.126</t>
  </si>
  <si>
    <t>T.W. beeding 15mm x 12 mm p46 85a</t>
  </si>
  <si>
    <t>LABOUR FOR WROUGHT&amp;PUTUP p33 sl.146 /4</t>
  </si>
  <si>
    <t>6" Alu. DOOR HANDLE p41/84</t>
  </si>
  <si>
    <t xml:space="preserve">  5"BUTT HINGS p40/77a</t>
  </si>
  <si>
    <t>10"X1/2"TOWER BOLT</t>
  </si>
  <si>
    <t>12"X5/8"ALDROP</t>
  </si>
  <si>
    <t xml:space="preserve">RUBBERBUSH 40 DIA &amp; 60 MM LONG </t>
  </si>
  <si>
    <t>Alu. DOOR STOPPER</t>
  </si>
  <si>
    <t>1200 X 2400MM</t>
  </si>
  <si>
    <t xml:space="preserve">SHUTTER SIZE-1X2X.525X2.3125                                                                                 </t>
  </si>
  <si>
    <t>Ornamental TW panelled Door 1800X2400 Double leaves</t>
  </si>
  <si>
    <t>Data and non scheduled items as per CER 2008-09 for PERURANI Scheme)</t>
  </si>
  <si>
    <t xml:space="preserve">Top &amp; Intermediate 2X3X0.525X0.15X0.0375       </t>
  </si>
  <si>
    <t xml:space="preserve"> Bottom              - 1X2X0.525X0.20X0.0375 = 0.010125</t>
  </si>
  <si>
    <t>T.W SCANTLING BELOW 2m</t>
  </si>
  <si>
    <t>labour charges for carving work</t>
  </si>
  <si>
    <t>WITH C.M(1:5)20mm THICK</t>
  </si>
  <si>
    <t>PLANKS      -2X2X0.25X.5875X0.01875</t>
  </si>
  <si>
    <t>Brass hinges 6"</t>
  </si>
  <si>
    <t xml:space="preserve">             -1X2X0.5625X0.25X0.01875</t>
  </si>
  <si>
    <t>16" brass tower bolt</t>
  </si>
  <si>
    <t>8" brass tower bolt</t>
  </si>
  <si>
    <t>10" brass tower bolt</t>
  </si>
  <si>
    <t>Removal of old cement mortor racking out joints 20mm deep p-30/107/321</t>
  </si>
  <si>
    <t>7" mortice lock with brass handle985</t>
  </si>
  <si>
    <t>12" majestic door handle</t>
  </si>
  <si>
    <r>
      <t xml:space="preserve">Brass screws </t>
    </r>
    <r>
      <rPr>
        <sz val="12"/>
        <rFont val="Helv"/>
      </rPr>
      <t>not necessary as there is brass fittings</t>
    </r>
  </si>
  <si>
    <t>T.W PLANKS OVER 15 TO 30cm</t>
  </si>
  <si>
    <t>RATE for 3.0225 SQM</t>
  </si>
  <si>
    <t>RATE FOR 1 SQM</t>
  </si>
  <si>
    <t>Matt paint one coat</t>
  </si>
  <si>
    <t>TOTAL FOR  2.428 SQM</t>
  </si>
  <si>
    <t>Thorough scrapping</t>
  </si>
  <si>
    <t>BWR DOUBLE LEAF FULLY PANELLED</t>
  </si>
  <si>
    <t>Ornamental TW panelled Door 1800X2100 Double leaves</t>
  </si>
  <si>
    <t>PLANKS  BWR 9mm thick.    -2X2X0.25X.5875</t>
  </si>
  <si>
    <t xml:space="preserve">             -1X2X0.5625X0.25</t>
  </si>
  <si>
    <t xml:space="preserve">BWR DOUBLE LEAF 2/3 Glazed and 1/3 PANELLED </t>
  </si>
  <si>
    <t>T.W PLANKS (12-25 CM) (30 TO 45CM THICK) it-116 iii p-21</t>
  </si>
  <si>
    <t>PLANKS BWR 9mm thick          -1X2X0.5625X0.4</t>
  </si>
  <si>
    <t>Rubber Bush</t>
  </si>
  <si>
    <t>5.5 MM THICK PLAIN GLASS</t>
  </si>
  <si>
    <t>T.W. beeding 15mm x 12 mm</t>
  </si>
  <si>
    <t>Brassscrews</t>
  </si>
  <si>
    <r>
      <t xml:space="preserve">PAINTING TWO COATS OVER NEW           </t>
    </r>
    <r>
      <rPr>
        <b/>
        <sz val="12"/>
        <rFont val="Helv"/>
      </rPr>
      <t>(as per PWD Standard Data)</t>
    </r>
  </si>
  <si>
    <t>OBD</t>
  </si>
  <si>
    <t>OBD p-50 sl.129</t>
  </si>
  <si>
    <t>BWR SINGLE LEAF FULLY PANELLED</t>
  </si>
  <si>
    <t>900 X 2400MM</t>
  </si>
  <si>
    <t xml:space="preserve">SHUTTER SIZE-1X.75X2.3125                                                                                 </t>
  </si>
  <si>
    <r>
      <t xml:space="preserve">STYLES(OVER 2M) -1X3X2.3125X0.15X0.0375                                                      </t>
    </r>
    <r>
      <rPr>
        <b/>
        <sz val="12"/>
        <rFont val="Arial"/>
        <family val="2"/>
      </rPr>
      <t xml:space="preserve">  = 0.052</t>
    </r>
  </si>
  <si>
    <t xml:space="preserve">Top &amp; Intermediate 1X3X0.75X0.15X0.0375       </t>
  </si>
  <si>
    <t>Plastic Emulsion PAINT two coat for old wall</t>
  </si>
  <si>
    <t xml:space="preserve"> Bottom              - 1X0.75X0.20X0.0375 = 0.010125</t>
  </si>
  <si>
    <t>Painter I</t>
  </si>
  <si>
    <t>Thorouh scrapping p28/108</t>
  </si>
  <si>
    <t>PLANKS  BWR 9mm thick.    -2X2X0.175X.5875</t>
  </si>
  <si>
    <t xml:space="preserve">             -1X2X0.5625X0.175</t>
  </si>
  <si>
    <t>Plastic Emulsion PAINT one coat for old wall</t>
  </si>
  <si>
    <t>TOTAL FOR 1.734 SQM</t>
  </si>
  <si>
    <t xml:space="preserve">Top &amp; Intermediate 1X3X0.9X0.15X0.0375       </t>
  </si>
  <si>
    <t xml:space="preserve"> Bottom              - 1X1X0.9X0.20X0.0375</t>
  </si>
  <si>
    <t>1050 X 2400MM</t>
  </si>
  <si>
    <t xml:space="preserve">SHUTTER SIZE-1X.90 X 2.3125                                                                                 </t>
  </si>
  <si>
    <t>6" Alu. DOOR HANDLE  p41 80b</t>
  </si>
  <si>
    <t xml:space="preserve">  5"BUTT HINGS p40 77a</t>
  </si>
  <si>
    <t>10"X1/2"TOWER BOLT p 40 78c</t>
  </si>
  <si>
    <t>12"X5/8"ALDROP p41 79a</t>
  </si>
  <si>
    <t>TOTAL FOR 2.081 SQM</t>
  </si>
  <si>
    <t xml:space="preserve">SHUTTER AREA      = 2X0.95 X 2.325                         </t>
  </si>
  <si>
    <t>STYLES (OVER 2m) = 2 X 2 X 2.325 X 0.075 X 0.0375         = 0.0228</t>
  </si>
  <si>
    <t xml:space="preserve">            2x  2X  0.95 X 0.075 X 0.0375     </t>
  </si>
  <si>
    <t xml:space="preserve">PLANKS : 2 X 4 X 0.825 X 0.36 X 0.01875    </t>
  </si>
  <si>
    <t xml:space="preserve">                  2 X 1 X 0.825 X 0.36 X 0.01875    </t>
  </si>
  <si>
    <t>T.W PLANKS (30 to 45 CM) (12 TO 25CM THICK)</t>
  </si>
  <si>
    <t>5.5 MM THK. GLASS                -2X2X0.5875X0.25</t>
  </si>
  <si>
    <t>RATE FOR 4.4175 SQM</t>
  </si>
  <si>
    <t>PLANKS              -1X2X0.5625X0.25x0.01875</t>
  </si>
  <si>
    <t>T.W. Beeding  - 2 x 2 x 1.675</t>
  </si>
  <si>
    <t>Providing Acid proof tile flooring of</t>
  </si>
  <si>
    <t>any size  including pointing etc.,</t>
  </si>
  <si>
    <t>COST Of acid proof tile (as per Krishnagiri DPO)</t>
  </si>
  <si>
    <t>Colour pigment</t>
  </si>
  <si>
    <r>
      <t xml:space="preserve">S &amp; F best indian 2/3 Glazed 1/3 Teak wood Panelled door shutter of size 
</t>
    </r>
    <r>
      <rPr>
        <b/>
        <u/>
        <sz val="13"/>
        <rFont val="Arial"/>
        <family val="2"/>
      </rPr>
      <t>b)1500mmx2100mm</t>
    </r>
  </si>
  <si>
    <t>T.W SCANTLING ABOVE 2m</t>
  </si>
  <si>
    <t>Glass 5.5mm thick</t>
  </si>
  <si>
    <t>M.S.Grill</t>
  </si>
  <si>
    <t>/cum</t>
  </si>
  <si>
    <t xml:space="preserve">Labour charges for shutter glazed door </t>
  </si>
  <si>
    <t>10"x5/8" Aldrop</t>
  </si>
  <si>
    <t>Alu.DOOR HANDLE WITH CP SCREWS (150mm long)</t>
  </si>
  <si>
    <t>Painting two coats of M.S. Grill</t>
  </si>
  <si>
    <t>Best varnishing two coats</t>
  </si>
  <si>
    <t>Sundries for brass screw</t>
  </si>
  <si>
    <t>Total for Each</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</si>
  <si>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</si>
  <si>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Supply of 80-63mm metal 60%</t>
  </si>
  <si>
    <t>Supply of 40-10mm metal 40%</t>
  </si>
  <si>
    <t>Supply of river sand for filling the voids at 20%</t>
  </si>
  <si>
    <t>SUB DATA for hand rolling as per Highways SR</t>
  </si>
  <si>
    <t xml:space="preserve">Labour charges for placing metal and sand </t>
  </si>
  <si>
    <t>labour charges for watering and consolidation by power roller</t>
  </si>
  <si>
    <t>Rate for 0.75m3</t>
  </si>
  <si>
    <t xml:space="preserve">Vibrator / Earth rammed </t>
  </si>
  <si>
    <t>Rate for 1m3</t>
  </si>
  <si>
    <t>Sundries for watering through water set</t>
  </si>
  <si>
    <t>SUB DATA for Labour Charges only</t>
  </si>
  <si>
    <r>
      <t>For 3 m</t>
    </r>
    <r>
      <rPr>
        <vertAlign val="superscript"/>
        <sz val="12"/>
        <rFont val="Helv"/>
      </rPr>
      <t xml:space="preserve">3 </t>
    </r>
  </si>
  <si>
    <t xml:space="preserve">Mason II Class </t>
  </si>
  <si>
    <t>For 1m3</t>
  </si>
  <si>
    <t>Mazdoor I Class</t>
  </si>
  <si>
    <t>Mazdoor II Class</t>
  </si>
  <si>
    <t>Rate for 10m3</t>
  </si>
  <si>
    <t>Flush door shutter size 1200x2400 (Double leaf)</t>
  </si>
  <si>
    <t>shutter size 1200x2400 (Double leaf)=1.1 x 2.325 =</t>
  </si>
  <si>
    <t>Forpower rolling as per PWD SR 2017-18 it-71 b / P.25</t>
  </si>
  <si>
    <t>Solid core flush door shutter with TW palin -it-110 p-47</t>
  </si>
  <si>
    <t>Labour for Wrought &amp; Putup p33/156b</t>
  </si>
  <si>
    <t>Door Handle with CP screws 6' p41/80b</t>
  </si>
  <si>
    <t>Flush door shutter size 1500x2400 (Double leaves)</t>
  </si>
  <si>
    <t>5" Butt Hings p40/77a</t>
  </si>
  <si>
    <t>shutter size 1500x2400 (Double leaves)=1.4 x 2.325 =</t>
  </si>
  <si>
    <t>6"x1/2" Tower Bolt p40/78e</t>
  </si>
  <si>
    <t>Solid core flush door shutter with TW palin -it-93 p-43</t>
  </si>
  <si>
    <t>10"x5/8" Aldrop p41/79b</t>
  </si>
  <si>
    <t>Labour for Wrought &amp; Putup (SR P.31,it-156)</t>
  </si>
  <si>
    <t>Brass Screws</t>
  </si>
  <si>
    <t>Door Handle with CP screws 6'</t>
  </si>
  <si>
    <t>Rubber bush p41/83</t>
  </si>
  <si>
    <t>5" Butt Hings</t>
  </si>
  <si>
    <t>Door Stopper</t>
  </si>
  <si>
    <t>6"x1/2" Tower Bolt</t>
  </si>
  <si>
    <t>Varnish Two Coats</t>
  </si>
  <si>
    <t>Rate for 2.23 Sqm</t>
  </si>
  <si>
    <t>Rubber bush</t>
  </si>
  <si>
    <t>Flush door shutter size 1000x2100 ( Single leaf)</t>
  </si>
  <si>
    <t>Rate for 3.26 Sqm</t>
  </si>
  <si>
    <t>Flush door shutter size 1000x2400 ( Single leaf)</t>
  </si>
  <si>
    <t>Flush door shutter size 900x2100 ( Single leaf)</t>
  </si>
  <si>
    <t>Shutter size (0.9 x 2.025)</t>
  </si>
  <si>
    <t>Shutter size (0.9 x 2.325)</t>
  </si>
  <si>
    <t>Solid core flush door shutter with TW palin</t>
  </si>
  <si>
    <t>Solid core flush door shutter with TW plain</t>
  </si>
  <si>
    <t>Labour for Wrought &amp; Putup p33/156a</t>
  </si>
  <si>
    <t>Labour for Wrought &amp; Putup</t>
  </si>
  <si>
    <t>Labour for Wrought &amp; Putup p31/156a</t>
  </si>
  <si>
    <t>Flush door shutter size 1200x2400 ( Single leaf)</t>
  </si>
  <si>
    <t>shutter size 1200x2400 (Double leaves)=1.1 x 2.325 =</t>
  </si>
  <si>
    <t>Labour for Wrought &amp; Putup (SR P.32,it-156a)</t>
  </si>
  <si>
    <t>Painting Two Coats</t>
  </si>
  <si>
    <t>Rate for 1.82 Sqm</t>
  </si>
  <si>
    <t>Rate for 2.09 Sqm</t>
  </si>
  <si>
    <t>Rate for 1.62 Sqm</t>
  </si>
  <si>
    <t>Rate for 2.56 Sqm</t>
  </si>
  <si>
    <t>Flush door shutter size 1500x2100 ( Double leaf)</t>
  </si>
  <si>
    <r>
      <t>WASHBASIN</t>
    </r>
    <r>
      <rPr>
        <sz val="12"/>
        <rFont val="Helv"/>
      </rPr>
      <t xml:space="preserve"> (White Pedastal type)  22"X16" INCLUDING</t>
    </r>
  </si>
  <si>
    <t>Shutter size (1.4 x 2.025)</t>
  </si>
  <si>
    <t>Wash Hand Basin of size 550 x 400 mm with all accessories such as CI brackets, 32mm dia CP waste coupling, Rubber plug and chain, 32mm dia B class GI waste pipe, 15mm dia brass nipples. 15mm CP pillar tap etc.,P-55 it-169 -i</t>
  </si>
  <si>
    <t>deduct rate for 15mm dia GM wheel valve</t>
  </si>
  <si>
    <t>Rate for 2.84 Sqm</t>
  </si>
  <si>
    <t>Flush door shutter size 1500x2400 ( Double leaf)</t>
  </si>
  <si>
    <t>Shutter size (1.4 x 2.325)</t>
  </si>
  <si>
    <t xml:space="preserve">Two legged scaffolding using 15cm dia casurna props </t>
  </si>
  <si>
    <t>15cm dia Casurina post p-20 it-138</t>
  </si>
  <si>
    <t>1 Rmt</t>
  </si>
  <si>
    <t>Country wood planks (silver oak) p-138 it130/78b</t>
  </si>
  <si>
    <t>1 Cum</t>
  </si>
  <si>
    <t>total cost of material used for 10 times</t>
  </si>
  <si>
    <t>Cost per 1 operation</t>
  </si>
  <si>
    <t>Oper</t>
  </si>
  <si>
    <t>15cm dia casurina post</t>
  </si>
  <si>
    <t>Add for coir, nail etc</t>
  </si>
  <si>
    <t>Rate for 6m</t>
  </si>
  <si>
    <t>Rate for intial height of 3m and length of 1m</t>
  </si>
  <si>
    <t xml:space="preserve">For every additional height of 2.5m height </t>
  </si>
  <si>
    <t>vertical post of casurina post (13cm to 15cm)</t>
  </si>
  <si>
    <t>Flush door shutter size 1800x2400 (Double leaf)</t>
  </si>
  <si>
    <t>Cost of material plank</t>
  </si>
  <si>
    <t>shutter size 1800x2400 (Double leaf)=1.7 x 2.325 =</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</si>
  <si>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</si>
  <si>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</si>
  <si>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</si>
  <si>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</si>
  <si>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</si>
  <si>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</si>
  <si>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</si>
  <si>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</si>
  <si>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</si>
  <si>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Rate for 3.95 Sqm</t>
  </si>
  <si>
    <t>TW single leaf french window</t>
  </si>
  <si>
    <t xml:space="preserve">shutter  for frame of overall height 3.08 x 2.1cm </t>
  </si>
  <si>
    <t>Flush door shutter size 1800x2100 (Double leaf)</t>
  </si>
  <si>
    <t>LABOUR CHARGE for wroght &amp; put up</t>
  </si>
  <si>
    <t>shutter size 1800x2100 (Double leaf)=1.7 x 2.025 =</t>
  </si>
  <si>
    <t>4 mm thicj frosted glass</t>
  </si>
  <si>
    <t>TW Beeding 15 x12 mm</t>
  </si>
  <si>
    <t xml:space="preserve"> 200 mm long x12mm  ALU. TOWERBOLT (8")</t>
  </si>
  <si>
    <t>6" Handles ( 150mm long)</t>
  </si>
  <si>
    <t>TOTAL FOR 5.16 SQM</t>
  </si>
  <si>
    <t>Rate for 3.44 Sqm</t>
  </si>
  <si>
    <t>TW Panelled Swing type ventilater</t>
  </si>
  <si>
    <t>of size 75x 75cm</t>
  </si>
  <si>
    <t>Flush door shutter size 1200x2100 ( Single leaf)</t>
  </si>
  <si>
    <t>shutter size 1200x2100 (single leaf)=1.1 x 2.025 =</t>
  </si>
  <si>
    <t xml:space="preserve">SHUTTER SIZE-0.65X0.65                                                                                 </t>
  </si>
  <si>
    <r>
      <t xml:space="preserve">STYLES -2X0.65 x   7.525 x 3.125                                                 </t>
    </r>
    <r>
      <rPr>
        <b/>
        <sz val="12"/>
        <rFont val="Helv"/>
      </rPr>
      <t xml:space="preserve">  = 0.052</t>
    </r>
  </si>
  <si>
    <t xml:space="preserve">Top &amp; Intermediate 2X3X7.5255X0.15X0.0375       </t>
  </si>
  <si>
    <t>With Brass fittings</t>
  </si>
  <si>
    <t xml:space="preserve">Providing Colour Marble chips of size 10mm and below using 70.20Kgs of cement and 15 cum of Colour Marble chips for every 10 sqm over the existing plastered surface </t>
  </si>
  <si>
    <t xml:space="preserve"> Cost of Colour Marble chips ( 90.20/0.0354)=2525.42 (P-41 it-26 )</t>
  </si>
  <si>
    <t xml:space="preserve">Colour Pigment </t>
  </si>
  <si>
    <t>Supply and fixing of colour matt finish door 15 microns double leaf door Aluminium Door  ( 1.5 x2.1m thick)</t>
  </si>
  <si>
    <t>UPVC instead of Stone ware Pipe</t>
  </si>
  <si>
    <t>Aluminium section ''it-61 a( rev SR-17-18)</t>
  </si>
  <si>
    <t>SUPPLYING AND  LAYING AND</t>
  </si>
  <si>
    <t>Rubber beeding (An-VI -it-63 p-40</t>
  </si>
  <si>
    <t>JOINTING SN8 UPVC PIPE AND SPECIALS</t>
  </si>
  <si>
    <t>Glass 5.5mm plain  it-107</t>
  </si>
  <si>
    <t>Novapan Sheet 12mm Thick</t>
  </si>
  <si>
    <t>Power Grapping p-52 it-173</t>
  </si>
  <si>
    <t>110mm DIA  UPVC PIPE BELOW G.L</t>
  </si>
  <si>
    <t>PVC Felt ( It-65)</t>
  </si>
  <si>
    <t>DOOR STOPPER   It-82</t>
  </si>
  <si>
    <t>Hydraulic DOOR Closer It-67</t>
  </si>
  <si>
    <t>Cost of UPVC SN8 Pipe (TWAD SR 20-21 P-20 1.2 1)</t>
  </si>
  <si>
    <t xml:space="preserve">  SCREWS (75x 10mm)it-108 ii</t>
  </si>
  <si>
    <t>Bolts &amp; Nuts ( 3/4"x 1/4") It-78-b</t>
  </si>
  <si>
    <t>Bolts &amp; Nuts ( 6"x 1/2") it-78-e</t>
  </si>
  <si>
    <t>TOTAL FOR 3.15 SQM</t>
  </si>
  <si>
    <t>JOINTING MATERIALS. (TWAD SR 20-21 11-b)</t>
  </si>
  <si>
    <t>CUTTING CHARGES ( P-32/141)</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</si>
  <si>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</si>
  <si>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</si>
  <si>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</si>
  <si>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160mm DIA  UPVC PIPE BELOW G.L</t>
  </si>
  <si>
    <t>Supply and fixing of colour matt finish door 15 microns double leaf door Aluminium Door  ( 1.0 x2.1m thick)</t>
  </si>
  <si>
    <t>Cost of UPVC SN8 Pipe (TWAD SR 20-21 P-20 1.2 a /3)</t>
  </si>
  <si>
    <t>Rubber beeding (An-VI -it-63</t>
  </si>
  <si>
    <t xml:space="preserve">  SCREWS (75x 10mm)(An-VI -it-163</t>
  </si>
  <si>
    <t>Bolts &amp; Nuts ( 3/4"x 1/4") It-78-b p-40</t>
  </si>
  <si>
    <t>TOTAL FOR 2.1 SQM</t>
  </si>
  <si>
    <t>Aluminium  Anodised 1.80 x1.35 m</t>
  </si>
  <si>
    <r>
      <t>Supplying, fabricating and fixing inposition A</t>
    </r>
    <r>
      <rPr>
        <b/>
        <sz val="11"/>
        <rFont val="Arial"/>
        <family val="2"/>
      </rPr>
      <t>luminium anodised natural colour matt finish four Track Sliding Window</t>
    </r>
    <r>
      <rPr>
        <sz val="11"/>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Arial"/>
        <family val="2"/>
      </rPr>
      <t>1.80mm x 1.35 mm</t>
    </r>
  </si>
  <si>
    <t>Aluminium section ''it-61 a( rev SR-18-19)</t>
  </si>
  <si>
    <t>SUPPLY AND FIXING OF GALVANIUM SHEET 0.47MM THICK</t>
  </si>
  <si>
    <t>GALVANIUM SHEET 0.47MM THICK ( qtn)</t>
  </si>
  <si>
    <t>Glass 4 mm thichk plain  it-106</t>
  </si>
  <si>
    <t xml:space="preserve">FITTER I st  CLASS </t>
  </si>
  <si>
    <t xml:space="preserve"> PVC  Roller for sliding ''it-75 ( rev SR-18-19)</t>
  </si>
  <si>
    <t>CARPENTER I ST CLASS</t>
  </si>
  <si>
    <t>Lock  for sliding ''it-70 ( rev SR-18-19)</t>
  </si>
  <si>
    <t>MAZDOOR I ST CLASS</t>
  </si>
  <si>
    <t>Handle" D "type 100mm long ''it-80 c ( rev SR-18-19)</t>
  </si>
  <si>
    <t xml:space="preserve">L.S </t>
  </si>
  <si>
    <t xml:space="preserve">Bolts &amp;  Washers </t>
  </si>
  <si>
    <t xml:space="preserve">Rate For 10 Sqm </t>
  </si>
  <si>
    <t xml:space="preserve">Screws  rayal plugs  and stopper etc </t>
  </si>
  <si>
    <t xml:space="preserve">Rate For 1 Sqm </t>
  </si>
  <si>
    <t xml:space="preserve"> REVISED SR 2017-18 </t>
  </si>
  <si>
    <t>Wall Panelling data as per DPO Thanjavur</t>
  </si>
  <si>
    <t>Aluminium  Anodised 1.35 x1.35 m</t>
  </si>
  <si>
    <t>Country wood reeper (50 x 25 mm p-22 s.no.132)</t>
  </si>
  <si>
    <t>Supplying, fabricating and fixing inposition Aluminium anodised natural colour matt finish four Track Sliding Window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complete.1.80mm x 1.35 mm</t>
  </si>
  <si>
    <t xml:space="preserve"> 6mm tk MDF Ply wood ( CER No.107-2012-13 DPO Thanjavur)</t>
  </si>
  <si>
    <t xml:space="preserve"> 4mm tk vennar ( CER No.107-2012-13 DPO Thanjavur)</t>
  </si>
  <si>
    <t xml:space="preserve">Melamin Polish </t>
  </si>
  <si>
    <t>labour charges</t>
  </si>
  <si>
    <t xml:space="preserve"> PVC  Roller for sliding ''it-75 ( rev SR-17-18)</t>
  </si>
  <si>
    <t xml:space="preserve">Rate For 9 Sqm </t>
  </si>
  <si>
    <t>Lock  for sliding ''it-70 ( rev SR-17-18)</t>
  </si>
  <si>
    <t>Rate Per Sqm</t>
  </si>
  <si>
    <t>Handle" D "type 100mm long ''it-80 c ( rev SR-17-18)</t>
  </si>
  <si>
    <t xml:space="preserve">Labour Charges </t>
  </si>
  <si>
    <t>FITTER  Ist Class</t>
  </si>
  <si>
    <t xml:space="preserve">DATA </t>
  </si>
  <si>
    <t>ONE COAT OF WALL PATTY         CHENNAI CITY</t>
  </si>
  <si>
    <t>PATTY  ( Qtn) 40 Kg= Rs .1050/40=26.25</t>
  </si>
  <si>
    <t>Vat 4 % (26.25+1.05 =27.30</t>
  </si>
  <si>
    <t>Painter - I st Class</t>
  </si>
  <si>
    <t>Providing Colour Marble Chips</t>
  </si>
  <si>
    <t xml:space="preserve"> Cost of Colour Marble chips ( 84.4/0.0354)=2384.18 (P-36 it-11 )</t>
  </si>
  <si>
    <t>Colour Pigment</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</si>
  <si>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</si>
  <si>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</si>
  <si>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</si>
  <si>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</si>
  <si>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</si>
  <si>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</si>
  <si>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</si>
  <si>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</si>
  <si>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</si>
  <si>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</si>
  <si>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</si>
  <si>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</si>
  <si>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</si>
  <si>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</si>
  <si>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</si>
  <si>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 xml:space="preserve"> Revised  SR 2018-19</t>
  </si>
  <si>
    <t>Aluminium partition wall ( 1/3 Glass 5.5mm &amp; 2/3 novapan sheet 12mm thick</t>
  </si>
  <si>
    <t>Aluminium section 'it- 61 a( SR-16-17)</t>
  </si>
  <si>
    <t xml:space="preserve"> BRASS SCREWS ( 30x6mm)(An-VI -it-162 p-53</t>
  </si>
  <si>
    <t xml:space="preserve"> BRASS SCREWS (75x 10mm)(An-VI -it-163</t>
  </si>
  <si>
    <t xml:space="preserve"> Plug (An-VI -it-166</t>
  </si>
  <si>
    <t>Power Grapping it-173</t>
  </si>
  <si>
    <t>TOTAL FOR 6.615 SQM</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</si>
  <si>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</si>
  <si>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</si>
  <si>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</si>
  <si>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</si>
  <si>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</si>
  <si>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</si>
  <si>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</si>
  <si>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</si>
  <si>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</si>
  <si>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</si>
  <si>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</si>
  <si>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</si>
  <si>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</si>
  <si>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</si>
  <si>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</si>
  <si>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</si>
  <si>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Max hinges</t>
  </si>
  <si>
    <t>TOTAL FOR 1.823 SQM</t>
  </si>
  <si>
    <t>Say Rs. Rate Per m2 =</t>
  </si>
  <si>
    <t>Aluminium window openable 1.35x1.05m  ( Two leaves)</t>
  </si>
  <si>
    <t>Aluminium window openable 1.20x1.35m  ( Two leaves)</t>
  </si>
  <si>
    <t>Max</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</si>
  <si>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</si>
  <si>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</si>
  <si>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</si>
  <si>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</si>
  <si>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</si>
  <si>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</si>
  <si>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</si>
  <si>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</si>
  <si>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</si>
  <si>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</si>
  <si>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</si>
  <si>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</si>
  <si>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</si>
  <si>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</si>
  <si>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</si>
  <si>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</si>
  <si>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Police Station building Including Borewell</t>
  </si>
  <si>
    <t>Borewell-Detailed Estimate</t>
  </si>
  <si>
    <t>Drilling of Borewells anywhere in Tamilnadu including transportation from one place to another with in Tamilnadu in alluvial soil sedimentary strata of clay and sand stone shale pebbles boulders etc. By first taking a pilot bore of 140mm/150mm dia and then enlarging to required dia direct or reverse rotary mud circulation method using rotary rigs, fuel, labour and drilling bentonite and water required for drilling at site ( Site will be shown by the TNPHC Officers) including construction of mud pit.</t>
  </si>
  <si>
    <t>a) Drilling of 140/150mm Pilot bore</t>
  </si>
  <si>
    <t>(i) Upto 60m depth ending below Ground level</t>
  </si>
  <si>
    <t>For bore well-1</t>
  </si>
  <si>
    <t>(ii) Upto 60m upto 90m depth ending below Ground level</t>
  </si>
  <si>
    <t>(iii) From 90 m upto 120 m Depth ending from ground level</t>
  </si>
  <si>
    <t>(iv) From 120 m upto 150 m Depth ending from ground level</t>
  </si>
  <si>
    <t>(v) From 150 m upto 180 m Depth ending from ground level</t>
  </si>
  <si>
    <t>(vi) From 180 m upto 210 m Depth ending from ground level</t>
  </si>
  <si>
    <t>Reaming 140/150mm dia pilot bore to 300mm dia bore as directed by the departmental officers.</t>
  </si>
  <si>
    <t>(iii) From 90 m upto 120 mt depth ending below ground level</t>
  </si>
  <si>
    <t xml:space="preserve">(iv) From 120 m upto 150 mt depth ending below ground level </t>
  </si>
  <si>
    <t>Supply and delivery of PVC casing pipes suitable for 150mm dia bore well</t>
  </si>
  <si>
    <t xml:space="preserve">i) PVC. Pipe (CM-Casing Medium depth) </t>
  </si>
  <si>
    <t xml:space="preserve">i) PVC. Pipe (RS - Ribbed screen pipe) </t>
  </si>
  <si>
    <t xml:space="preserve">Labour charges for inserting PVC casing pipes assembly ( with slots or with out slots ) in the drilled hole including jointing the pipes with PVC couples with cement plaste etc.., complete supply and packing the annular space with pebbles of size and quality as approved by the Executive Engineers of Department. </t>
  </si>
  <si>
    <t xml:space="preserve">(i) 150mm  dia casing pipes assembly </t>
  </si>
  <si>
    <t xml:space="preserve">PVC 150mm RS pipes </t>
  </si>
  <si>
    <t>Charges for developing the bore well with air compressor of 600 CFM capacity (Minimum 8 hours) including tranportation labour and fuel charges for compressor as dircted by the departmental officers and conducting yeild test by 'V' Notch method</t>
  </si>
  <si>
    <t>Hours</t>
  </si>
  <si>
    <t>Supply and delivery of PVC end cap suitable 150mm dia bore well of approved quality etc.., all complete and as directed by the departmental officers.</t>
  </si>
  <si>
    <t>Supplying and fixing of  clampset</t>
  </si>
  <si>
    <t>No. of  Buiding</t>
  </si>
  <si>
    <t>Total No of  persons</t>
  </si>
  <si>
    <t>Flow of sewage</t>
  </si>
  <si>
    <t>30/5</t>
  </si>
  <si>
    <t>lpm</t>
  </si>
  <si>
    <t>Volume of septic tank:-</t>
  </si>
  <si>
    <t>For sedimentation</t>
  </si>
  <si>
    <t>For sludge digestion</t>
  </si>
  <si>
    <t>Sludge storage</t>
  </si>
  <si>
    <t>-----------</t>
  </si>
  <si>
    <t xml:space="preserve">Assume required depth </t>
  </si>
  <si>
    <t>m Depth</t>
  </si>
  <si>
    <t>(Excl.Free board 0.40m depth)</t>
  </si>
  <si>
    <t>Area</t>
  </si>
  <si>
    <t>/</t>
  </si>
  <si>
    <t>Assume breath as</t>
  </si>
  <si>
    <t>Size of the tank</t>
  </si>
  <si>
    <t xml:space="preserve">m </t>
  </si>
  <si>
    <t>(Incl.free board)</t>
  </si>
</sst>
</file>

<file path=xl/styles.xml><?xml version="1.0" encoding="utf-8"?>
<styleSheet xmlns="http://schemas.openxmlformats.org/spreadsheetml/2006/main">
  <numFmts count="25">
    <numFmt numFmtId="5" formatCode="&quot;$&quot;#,##0_);\(&quot;$&quot;#,##0\)"/>
    <numFmt numFmtId="6" formatCode="&quot;$&quot;#,##0_);[Red]\(&quot;$&quot;#,##0\)"/>
    <numFmt numFmtId="7" formatCode="&quot;$&quot;#,##0.00_);\(&quot;$&quot;#,##0.00\)"/>
    <numFmt numFmtId="44" formatCode="_(&quot;$&quot;* #,##0.00_);_(&quot;$&quot;* \(#,##0.00\);_(&quot;$&quot;* &quot;-&quot;??_);_(@_)"/>
    <numFmt numFmtId="43" formatCode="_(* #,##0.00_);_(* \(#,##0.00\);_(* &quot;-&quot;??_);_(@_)"/>
    <numFmt numFmtId="164" formatCode="&quot;Rs.&quot;\ #,##0;&quot;Rs.&quot;\ \-#,##0"/>
    <numFmt numFmtId="165" formatCode="0.00_)"/>
    <numFmt numFmtId="166" formatCode="0_)"/>
    <numFmt numFmtId="167" formatCode="0.0"/>
    <numFmt numFmtId="168" formatCode="0.000_)"/>
    <numFmt numFmtId="169" formatCode="0.0_)"/>
    <numFmt numFmtId="170" formatCode="0.000"/>
    <numFmt numFmtId="171" formatCode="0.00;[Red]0.00"/>
    <numFmt numFmtId="172" formatCode="0.0000_)"/>
    <numFmt numFmtId="173" formatCode="0.00000_)"/>
    <numFmt numFmtId="174" formatCode="&quot;₹&quot;\ #,##0;&quot;₹&quot;\ \-#,##0"/>
    <numFmt numFmtId="175" formatCode="&quot;Rs.&quot;\ #,##0.00;[Red]&quot;Rs.&quot;\ \-#,##0.00"/>
    <numFmt numFmtId="176" formatCode="_ &quot;Rs.&quot;\ * #,##0.00_ ;_ &quot;Rs.&quot;\ * \-#,##0.00_ ;_ &quot;Rs.&quot;\ * &quot;-&quot;??_ ;_ @_ "/>
    <numFmt numFmtId="177" formatCode="#\ ?/2"/>
    <numFmt numFmtId="178" formatCode="0.0000"/>
    <numFmt numFmtId="179" formatCode="&quot;x&quot;\ 0"/>
    <numFmt numFmtId="180" formatCode="0.000000"/>
    <numFmt numFmtId="181" formatCode="0.000000_)"/>
    <numFmt numFmtId="182" formatCode="0.00;;;@"/>
    <numFmt numFmtId="183" formatCode="0.00000000_)"/>
  </numFmts>
  <fonts count="149">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Helv"/>
    </font>
    <font>
      <sz val="10"/>
      <name val="Arial"/>
      <family val="2"/>
    </font>
    <font>
      <sz val="12"/>
      <name val="Times New Roman"/>
      <family val="1"/>
    </font>
    <font>
      <b/>
      <sz val="12"/>
      <name val="Times New Roman"/>
      <family val="1"/>
    </font>
    <font>
      <b/>
      <u/>
      <sz val="12"/>
      <name val="Times New Roman"/>
      <family val="1"/>
    </font>
    <font>
      <sz val="11"/>
      <name val="Times New Roman"/>
      <family val="1"/>
    </font>
    <font>
      <u/>
      <sz val="10"/>
      <color indexed="12"/>
      <name val="Arial"/>
      <family val="2"/>
    </font>
    <font>
      <b/>
      <u val="double"/>
      <sz val="14"/>
      <color theme="1"/>
      <name val="Calibri"/>
      <family val="2"/>
      <scheme val="minor"/>
    </font>
    <font>
      <b/>
      <sz val="14"/>
      <name val="Calibri"/>
      <family val="2"/>
      <scheme val="minor"/>
    </font>
    <font>
      <sz val="14"/>
      <color theme="1"/>
      <name val="Calibri"/>
      <family val="2"/>
      <scheme val="minor"/>
    </font>
    <font>
      <b/>
      <u val="double"/>
      <sz val="12"/>
      <color indexed="8"/>
      <name val="Calibri"/>
      <family val="2"/>
    </font>
    <font>
      <sz val="12"/>
      <name val="Calibri"/>
      <family val="2"/>
    </font>
    <font>
      <sz val="11"/>
      <name val="Calibri"/>
      <family val="2"/>
    </font>
    <font>
      <sz val="12"/>
      <color indexed="8"/>
      <name val="Calibri"/>
      <family val="2"/>
    </font>
    <font>
      <b/>
      <sz val="12"/>
      <color indexed="8"/>
      <name val="Calibri"/>
      <family val="2"/>
    </font>
    <font>
      <b/>
      <sz val="11"/>
      <color indexed="8"/>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0"/>
      <name val="Arial"/>
      <family val="2"/>
    </font>
    <font>
      <sz val="12"/>
      <name val="Arial"/>
      <family val="2"/>
    </font>
    <font>
      <sz val="10"/>
      <name val="Courier"/>
      <family val="3"/>
    </font>
    <font>
      <b/>
      <sz val="11"/>
      <color indexed="63"/>
      <name val="Calibri"/>
      <family val="2"/>
    </font>
    <font>
      <sz val="18"/>
      <name val="Arial"/>
      <family val="2"/>
    </font>
    <font>
      <b/>
      <sz val="18"/>
      <color indexed="56"/>
      <name val="Cambria"/>
      <family val="1"/>
    </font>
    <font>
      <sz val="11"/>
      <color indexed="10"/>
      <name val="Calibri"/>
      <family val="2"/>
    </font>
    <font>
      <b/>
      <u/>
      <sz val="16"/>
      <name val="Arial Narrow"/>
      <family val="2"/>
    </font>
    <font>
      <sz val="13"/>
      <name val="Arial Narrow"/>
      <family val="2"/>
    </font>
    <font>
      <b/>
      <u val="double"/>
      <sz val="16"/>
      <name val="Arial Narrow"/>
      <family val="2"/>
    </font>
    <font>
      <b/>
      <sz val="13"/>
      <name val="Arial Narrow"/>
      <family val="2"/>
    </font>
    <font>
      <sz val="13"/>
      <color indexed="8"/>
      <name val="Arial Narrow"/>
      <family val="2"/>
    </font>
    <font>
      <b/>
      <sz val="13"/>
      <color indexed="8"/>
      <name val="Arial Narrow"/>
      <family val="2"/>
    </font>
    <font>
      <vertAlign val="superscript"/>
      <sz val="13"/>
      <name val="Arial Narrow"/>
      <family val="2"/>
    </font>
    <font>
      <sz val="12"/>
      <name val="Arial Narrow"/>
      <family val="2"/>
    </font>
    <font>
      <sz val="11"/>
      <color rgb="FFFF0000"/>
      <name val="Calibri"/>
      <family val="2"/>
      <scheme val="minor"/>
    </font>
    <font>
      <b/>
      <sz val="11"/>
      <color theme="1"/>
      <name val="Calibri"/>
      <family val="2"/>
      <scheme val="minor"/>
    </font>
    <font>
      <b/>
      <sz val="12"/>
      <color theme="1"/>
      <name val="Calibri"/>
      <family val="2"/>
      <scheme val="minor"/>
    </font>
    <font>
      <sz val="11"/>
      <color rgb="FF002060"/>
      <name val="Calibri"/>
      <family val="2"/>
      <scheme val="minor"/>
    </font>
    <font>
      <sz val="11"/>
      <name val="Calibri"/>
      <family val="2"/>
      <scheme val="minor"/>
    </font>
    <font>
      <vertAlign val="superscript"/>
      <sz val="11"/>
      <color indexed="8"/>
      <name val="Calibri"/>
      <family val="2"/>
    </font>
    <font>
      <b/>
      <sz val="11"/>
      <name val="Calibri"/>
      <family val="2"/>
      <scheme val="minor"/>
    </font>
    <font>
      <sz val="11"/>
      <name val="Bamini"/>
    </font>
    <font>
      <b/>
      <u val="double"/>
      <sz val="11"/>
      <name val="Calibri"/>
      <family val="2"/>
      <scheme val="minor"/>
    </font>
    <font>
      <b/>
      <u val="double"/>
      <sz val="14"/>
      <name val="Calibri"/>
      <family val="2"/>
      <scheme val="minor"/>
    </font>
    <font>
      <b/>
      <u/>
      <sz val="14"/>
      <name val="Calibri"/>
      <family val="2"/>
      <scheme val="minor"/>
    </font>
    <font>
      <sz val="11"/>
      <color indexed="10"/>
      <name val="Calibri"/>
      <family val="2"/>
      <scheme val="minor"/>
    </font>
    <font>
      <b/>
      <sz val="11"/>
      <color indexed="10"/>
      <name val="Calibri"/>
      <family val="2"/>
      <scheme val="minor"/>
    </font>
    <font>
      <vertAlign val="superscript"/>
      <sz val="11"/>
      <name val="Calibri"/>
      <family val="2"/>
      <scheme val="minor"/>
    </font>
    <font>
      <b/>
      <vertAlign val="superscript"/>
      <sz val="11"/>
      <color theme="1"/>
      <name val="Calibri"/>
      <family val="2"/>
      <scheme val="minor"/>
    </font>
    <font>
      <b/>
      <u/>
      <sz val="12"/>
      <name val="Calibri"/>
      <family val="2"/>
    </font>
    <font>
      <b/>
      <sz val="12"/>
      <name val="Calibri"/>
      <family val="2"/>
    </font>
    <font>
      <b/>
      <sz val="9"/>
      <color theme="1"/>
      <name val="Calibri"/>
      <family val="2"/>
      <scheme val="minor"/>
    </font>
    <font>
      <b/>
      <u val="double"/>
      <sz val="14"/>
      <color indexed="8"/>
      <name val="Calibri"/>
      <family val="2"/>
      <scheme val="minor"/>
    </font>
    <font>
      <b/>
      <u/>
      <sz val="14"/>
      <color indexed="8"/>
      <name val="Calibri"/>
      <family val="2"/>
      <scheme val="minor"/>
    </font>
    <font>
      <u/>
      <sz val="12"/>
      <color indexed="8"/>
      <name val="Calibri"/>
      <family val="2"/>
      <scheme val="minor"/>
    </font>
    <font>
      <sz val="12"/>
      <color indexed="8"/>
      <name val="Calibri"/>
      <family val="2"/>
      <scheme val="minor"/>
    </font>
    <font>
      <b/>
      <sz val="12"/>
      <color indexed="8"/>
      <name val="Calibri"/>
      <family val="2"/>
      <scheme val="minor"/>
    </font>
    <font>
      <b/>
      <u/>
      <sz val="11"/>
      <color indexed="8"/>
      <name val="Calibri"/>
      <family val="2"/>
      <scheme val="minor"/>
    </font>
    <font>
      <b/>
      <sz val="11"/>
      <color indexed="8"/>
      <name val="Calibri"/>
      <family val="2"/>
      <scheme val="minor"/>
    </font>
    <font>
      <sz val="11"/>
      <color indexed="8"/>
      <name val="Calibri"/>
      <family val="2"/>
      <scheme val="minor"/>
    </font>
    <font>
      <b/>
      <sz val="12"/>
      <name val="Calibri"/>
      <family val="2"/>
      <scheme val="minor"/>
    </font>
    <font>
      <sz val="10"/>
      <name val="Arial"/>
    </font>
    <font>
      <sz val="12"/>
      <name val="Calibri"/>
      <family val="2"/>
      <scheme val="minor"/>
    </font>
    <font>
      <b/>
      <sz val="20"/>
      <name val="Arial"/>
      <family val="2"/>
    </font>
    <font>
      <b/>
      <sz val="22"/>
      <name val="Arial"/>
      <family val="2"/>
    </font>
    <font>
      <i/>
      <sz val="22"/>
      <name val="Arial"/>
      <family val="2"/>
    </font>
    <font>
      <sz val="22"/>
      <name val="Arial"/>
      <family val="2"/>
    </font>
    <font>
      <b/>
      <sz val="18"/>
      <name val="Arial"/>
      <family val="2"/>
    </font>
    <font>
      <i/>
      <sz val="20"/>
      <name val="Arial"/>
      <family val="2"/>
    </font>
    <font>
      <sz val="20"/>
      <name val="Arial"/>
      <family val="2"/>
    </font>
    <font>
      <i/>
      <sz val="17"/>
      <name val="Arial"/>
      <family val="2"/>
    </font>
    <font>
      <sz val="17"/>
      <name val="Arial"/>
      <family val="2"/>
    </font>
    <font>
      <b/>
      <sz val="17"/>
      <name val="Arial"/>
      <family val="2"/>
    </font>
    <font>
      <sz val="16"/>
      <name val="Arial"/>
      <family val="2"/>
    </font>
    <font>
      <b/>
      <sz val="16"/>
      <name val="Arial"/>
      <family val="2"/>
    </font>
    <font>
      <sz val="19"/>
      <name val="Arial"/>
      <family val="2"/>
    </font>
    <font>
      <b/>
      <sz val="14"/>
      <name val="Arial"/>
      <family val="2"/>
    </font>
    <font>
      <sz val="16.5"/>
      <name val="Arial"/>
      <family val="2"/>
    </font>
    <font>
      <b/>
      <sz val="13"/>
      <name val="Arial"/>
      <family val="2"/>
    </font>
    <font>
      <sz val="14"/>
      <name val="Arial"/>
      <family val="2"/>
    </font>
    <font>
      <b/>
      <u/>
      <sz val="20"/>
      <name val="Arial"/>
      <family val="2"/>
    </font>
    <font>
      <b/>
      <u val="double"/>
      <sz val="14"/>
      <name val="Times New Roman"/>
      <family val="1"/>
    </font>
    <font>
      <b/>
      <u val="double"/>
      <sz val="12"/>
      <name val="Times New Roman"/>
      <family val="1"/>
    </font>
    <font>
      <b/>
      <sz val="14"/>
      <name val="Times New Roman"/>
      <family val="1"/>
    </font>
    <font>
      <b/>
      <sz val="11"/>
      <name val="Arial"/>
      <family val="2"/>
    </font>
    <font>
      <u/>
      <sz val="12"/>
      <name val="Calibri"/>
      <family val="2"/>
      <scheme val="minor"/>
    </font>
    <font>
      <sz val="13"/>
      <name val="Book Antiqua"/>
      <family val="1"/>
    </font>
    <font>
      <b/>
      <sz val="13"/>
      <name val="Book Antiqua"/>
      <family val="1"/>
    </font>
    <font>
      <b/>
      <vertAlign val="superscript"/>
      <sz val="12"/>
      <name val="Calibri"/>
      <family val="2"/>
    </font>
    <font>
      <b/>
      <sz val="12"/>
      <name val="Arial Narrow"/>
      <family val="2"/>
    </font>
    <font>
      <sz val="12"/>
      <name val="Book Antiqua"/>
      <family val="1"/>
    </font>
    <font>
      <sz val="12"/>
      <color rgb="FFFF0000"/>
      <name val="Arial"/>
      <family val="2"/>
    </font>
    <font>
      <vertAlign val="superscript"/>
      <sz val="12"/>
      <name val="Calibri"/>
      <family val="2"/>
    </font>
    <font>
      <sz val="12"/>
      <color rgb="FFFF0000"/>
      <name val="Calibri"/>
      <family val="2"/>
      <scheme val="minor"/>
    </font>
    <font>
      <sz val="12"/>
      <color rgb="FFFF0000"/>
      <name val="Times New Roman"/>
      <family val="1"/>
    </font>
    <font>
      <sz val="12"/>
      <color rgb="FFFF0000"/>
      <name val="Helv"/>
    </font>
    <font>
      <b/>
      <sz val="12"/>
      <name val="Book Antiqua"/>
      <family val="1"/>
    </font>
    <font>
      <u val="double"/>
      <sz val="12"/>
      <name val="Calibri"/>
      <family val="2"/>
      <scheme val="minor"/>
    </font>
    <font>
      <b/>
      <sz val="10"/>
      <name val="Arial"/>
      <family val="2"/>
    </font>
    <font>
      <b/>
      <sz val="9"/>
      <name val="Arial"/>
      <family val="2"/>
    </font>
    <font>
      <sz val="10"/>
      <color indexed="10"/>
      <name val="Arial"/>
      <family val="2"/>
    </font>
    <font>
      <sz val="10"/>
      <color rgb="FFFF0000"/>
      <name val="Arial"/>
      <family val="2"/>
    </font>
    <font>
      <sz val="8"/>
      <name val="Arial"/>
      <family val="2"/>
    </font>
    <font>
      <b/>
      <sz val="12"/>
      <name val="Helv"/>
    </font>
    <font>
      <b/>
      <sz val="16"/>
      <name val="Helv"/>
      <family val="2"/>
    </font>
    <font>
      <b/>
      <sz val="11"/>
      <name val="Helv"/>
    </font>
    <font>
      <b/>
      <sz val="14"/>
      <name val="Helv"/>
    </font>
    <font>
      <b/>
      <sz val="12"/>
      <name val="Helv"/>
      <family val="2"/>
    </font>
    <font>
      <sz val="11"/>
      <name val="Helv"/>
    </font>
    <font>
      <sz val="20"/>
      <name val="Helv"/>
    </font>
    <font>
      <b/>
      <sz val="20"/>
      <name val="Helv"/>
    </font>
    <font>
      <b/>
      <sz val="12"/>
      <color indexed="51"/>
      <name val="Helv"/>
    </font>
    <font>
      <b/>
      <sz val="15"/>
      <name val="Helv"/>
    </font>
    <font>
      <sz val="16"/>
      <name val="Helv"/>
    </font>
    <font>
      <b/>
      <sz val="16"/>
      <name val="Helv"/>
    </font>
    <font>
      <sz val="13"/>
      <name val="Arial"/>
      <family val="2"/>
    </font>
    <font>
      <sz val="12"/>
      <color indexed="13"/>
      <name val="Helv"/>
    </font>
    <font>
      <sz val="12"/>
      <name val="Cambria"/>
      <family val="1"/>
      <scheme val="major"/>
    </font>
    <font>
      <b/>
      <sz val="12"/>
      <name val="Arial"/>
      <family val="2"/>
    </font>
    <font>
      <b/>
      <u/>
      <sz val="13"/>
      <name val="Arial"/>
      <family val="2"/>
    </font>
    <font>
      <vertAlign val="superscript"/>
      <sz val="12"/>
      <name val="Helv"/>
    </font>
    <font>
      <sz val="11"/>
      <name val="Arial"/>
      <family val="2"/>
    </font>
    <font>
      <b/>
      <u/>
      <sz val="12"/>
      <name val="Helv"/>
    </font>
    <font>
      <b/>
      <sz val="14"/>
      <color indexed="8"/>
      <name val="Calibri"/>
      <family val="2"/>
    </font>
    <font>
      <sz val="14"/>
      <color indexed="8"/>
      <name val="Calibri"/>
      <family val="2"/>
    </font>
    <font>
      <b/>
      <sz val="8"/>
      <color indexed="8"/>
      <name val="Calibri"/>
      <family val="2"/>
    </font>
  </fonts>
  <fills count="2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CC"/>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9"/>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right/>
      <top style="thin">
        <color indexed="64"/>
      </top>
      <bottom/>
      <diagonal/>
    </border>
    <border>
      <left style="thin">
        <color indexed="64"/>
      </left>
      <right/>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style="hair">
        <color indexed="64"/>
      </top>
      <bottom/>
      <diagonal/>
    </border>
    <border>
      <left style="dotted">
        <color indexed="64"/>
      </left>
      <right style="dotted">
        <color indexed="64"/>
      </right>
      <top style="dotted">
        <color indexed="64"/>
      </top>
      <bottom style="dotted">
        <color indexed="64"/>
      </bottom>
      <diagonal/>
    </border>
    <border>
      <left style="hair">
        <color indexed="64"/>
      </left>
      <right/>
      <top style="hair">
        <color indexed="64"/>
      </top>
      <bottom/>
      <diagonal/>
    </border>
    <border>
      <left/>
      <right/>
      <top style="hair">
        <color indexed="64"/>
      </top>
      <bottom/>
      <diagonal/>
    </border>
    <border>
      <left/>
      <right style="hair">
        <color indexed="64"/>
      </right>
      <top/>
      <bottom style="hair">
        <color indexed="64"/>
      </bottom>
      <diagonal/>
    </border>
    <border>
      <left/>
      <right style="hair">
        <color indexed="64"/>
      </right>
      <top/>
      <bottom/>
      <diagonal/>
    </border>
    <border>
      <left/>
      <right style="hair">
        <color indexed="64"/>
      </right>
      <top style="hair">
        <color indexed="64"/>
      </top>
      <bottom/>
      <diagonal/>
    </border>
    <border>
      <left/>
      <right style="thin">
        <color indexed="64"/>
      </right>
      <top/>
      <bottom/>
      <diagonal/>
    </border>
    <border>
      <left/>
      <right/>
      <top style="double">
        <color indexed="64"/>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s>
  <cellStyleXfs count="1272">
    <xf numFmtId="165" fontId="0" fillId="0" borderId="0"/>
    <xf numFmtId="0" fontId="1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 fillId="0" borderId="0"/>
    <xf numFmtId="0" fontId="11" fillId="0" borderId="0"/>
    <xf numFmtId="164" fontId="11" fillId="0" borderId="0"/>
    <xf numFmtId="0" fontId="11" fillId="0" borderId="0"/>
    <xf numFmtId="169" fontId="11" fillId="0" borderId="0"/>
    <xf numFmtId="43" fontId="12" fillId="0" borderId="0" applyFont="0" applyFill="0" applyBorder="0" applyAlignment="0" applyProtection="0"/>
    <xf numFmtId="0" fontId="17" fillId="0" borderId="0" applyNumberFormat="0" applyFill="0" applyBorder="0" applyAlignment="0" applyProtection="0">
      <alignment vertical="top"/>
      <protection locked="0"/>
    </xf>
    <xf numFmtId="0" fontId="9" fillId="0" borderId="0"/>
    <xf numFmtId="167" fontId="11" fillId="0" borderId="0"/>
    <xf numFmtId="0" fontId="9" fillId="0" borderId="0"/>
    <xf numFmtId="0" fontId="12" fillId="0" borderId="0"/>
    <xf numFmtId="0" fontId="9" fillId="0" borderId="0"/>
    <xf numFmtId="0" fontId="12" fillId="0" borderId="0"/>
    <xf numFmtId="0" fontId="12" fillId="0" borderId="0"/>
    <xf numFmtId="0" fontId="12" fillId="0" borderId="0"/>
    <xf numFmtId="173" fontId="11" fillId="0" borderId="0"/>
    <xf numFmtId="173" fontId="11" fillId="0" borderId="0"/>
    <xf numFmtId="0" fontId="9" fillId="0" borderId="0"/>
    <xf numFmtId="0" fontId="16" fillId="0" borderId="0"/>
    <xf numFmtId="9" fontId="12" fillId="0" borderId="0" applyFont="0" applyFill="0" applyBorder="0" applyAlignment="0" applyProtection="0"/>
    <xf numFmtId="0" fontId="8" fillId="0" borderId="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29" fillId="6" borderId="0" applyNumberFormat="0" applyBorder="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0" fillId="23" borderId="13"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31" fillId="24" borderId="14" applyNumberFormat="0" applyAlignment="0" applyProtection="0"/>
    <xf numFmtId="0" fontId="12" fillId="0" borderId="0" applyFont="0" applyFill="0" applyBorder="0" applyAlignment="0" applyProtection="0"/>
    <xf numFmtId="43" fontId="12" fillId="0" borderId="0" applyFont="0" applyFill="0" applyBorder="0" applyAlignment="0" applyProtection="0"/>
    <xf numFmtId="6" fontId="27" fillId="0" borderId="0" applyFont="0" applyFill="0" applyBorder="0" applyAlignment="0" applyProtection="0"/>
    <xf numFmtId="6" fontId="2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4" fillId="0" borderId="15"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8" fillId="10" borderId="13" applyNumberFormat="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39" fillId="0" borderId="18" applyNumberFormat="0" applyFill="0" applyAlignment="0" applyProtection="0"/>
    <xf numFmtId="0" fontId="40" fillId="0" borderId="19" applyNumberFormat="0">
      <alignment horizontal="right"/>
    </xf>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12" fillId="0" borderId="0"/>
    <xf numFmtId="164" fontId="11" fillId="0" borderId="0"/>
    <xf numFmtId="0" fontId="12" fillId="0" borderId="0"/>
    <xf numFmtId="174" fontId="11" fillId="0" borderId="0"/>
    <xf numFmtId="164" fontId="11" fillId="0" borderId="0"/>
    <xf numFmtId="168" fontId="11" fillId="0" borderId="0"/>
    <xf numFmtId="165" fontId="11" fillId="0" borderId="0"/>
    <xf numFmtId="165" fontId="11" fillId="0" borderId="0"/>
    <xf numFmtId="165" fontId="11" fillId="0" borderId="0"/>
    <xf numFmtId="164" fontId="11" fillId="0" borderId="0"/>
    <xf numFmtId="164" fontId="11" fillId="0" borderId="0"/>
    <xf numFmtId="165" fontId="11" fillId="0" borderId="0"/>
    <xf numFmtId="164" fontId="11" fillId="0" borderId="0"/>
    <xf numFmtId="0" fontId="11" fillId="0" borderId="0"/>
    <xf numFmtId="0" fontId="12" fillId="0" borderId="0"/>
    <xf numFmtId="0" fontId="11" fillId="0" borderId="0"/>
    <xf numFmtId="0" fontId="11" fillId="0" borderId="0"/>
    <xf numFmtId="0" fontId="12" fillId="0" borderId="0"/>
    <xf numFmtId="0" fontId="7" fillId="0" borderId="0"/>
    <xf numFmtId="0" fontId="11" fillId="0" borderId="0"/>
    <xf numFmtId="0" fontId="11" fillId="0" borderId="0"/>
    <xf numFmtId="0" fontId="11" fillId="0" borderId="0"/>
    <xf numFmtId="0" fontId="11" fillId="0" borderId="0"/>
    <xf numFmtId="165" fontId="11" fillId="0" borderId="0"/>
    <xf numFmtId="165" fontId="11" fillId="0" borderId="0"/>
    <xf numFmtId="165" fontId="11" fillId="0" borderId="0"/>
    <xf numFmtId="0" fontId="12" fillId="0" borderId="0"/>
    <xf numFmtId="0" fontId="12" fillId="0" borderId="0"/>
    <xf numFmtId="0" fontId="12" fillId="0" borderId="0"/>
    <xf numFmtId="168" fontId="11"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175" fontId="11" fillId="0" borderId="0"/>
    <xf numFmtId="174" fontId="11" fillId="0" borderId="0"/>
    <xf numFmtId="174" fontId="11" fillId="0" borderId="0"/>
    <xf numFmtId="174" fontId="11" fillId="0" borderId="0"/>
    <xf numFmtId="174" fontId="11" fillId="0" borderId="0"/>
    <xf numFmtId="0" fontId="11" fillId="0" borderId="0"/>
    <xf numFmtId="164" fontId="11" fillId="0" borderId="0"/>
    <xf numFmtId="164" fontId="11" fillId="0" borderId="0"/>
    <xf numFmtId="174" fontId="11" fillId="0" borderId="0"/>
    <xf numFmtId="164" fontId="11" fillId="0" borderId="0"/>
    <xf numFmtId="174" fontId="11" fillId="0" borderId="0"/>
    <xf numFmtId="174" fontId="11" fillId="0" borderId="0"/>
    <xf numFmtId="164" fontId="11" fillId="0" borderId="0"/>
    <xf numFmtId="174" fontId="11" fillId="0" borderId="0"/>
    <xf numFmtId="7" fontId="11" fillId="0" borderId="0"/>
    <xf numFmtId="164" fontId="11" fillId="0" borderId="0"/>
    <xf numFmtId="174" fontId="11" fillId="0" borderId="0"/>
    <xf numFmtId="174" fontId="11" fillId="0" borderId="0"/>
    <xf numFmtId="164" fontId="11" fillId="0" borderId="0"/>
    <xf numFmtId="0" fontId="42" fillId="0" borderId="0"/>
    <xf numFmtId="5" fontId="11" fillId="0" borderId="0"/>
    <xf numFmtId="165" fontId="11"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 fillId="0" borderId="0"/>
    <xf numFmtId="0" fontId="11" fillId="0" borderId="0"/>
    <xf numFmtId="0" fontId="7" fillId="0" borderId="0"/>
    <xf numFmtId="0" fontId="7" fillId="0" borderId="0"/>
    <xf numFmtId="165" fontId="11" fillId="0" borderId="0"/>
    <xf numFmtId="165" fontId="11" fillId="0" borderId="0"/>
    <xf numFmtId="165" fontId="11" fillId="0" borderId="0"/>
    <xf numFmtId="0" fontId="12" fillId="0" borderId="0"/>
    <xf numFmtId="0" fontId="11" fillId="0" borderId="0"/>
    <xf numFmtId="165" fontId="11" fillId="0" borderId="0"/>
    <xf numFmtId="165" fontId="11" fillId="0" borderId="0"/>
    <xf numFmtId="165" fontId="11" fillId="0" borderId="0"/>
    <xf numFmtId="165" fontId="11" fillId="0" borderId="0"/>
    <xf numFmtId="174" fontId="11" fillId="0" borderId="0"/>
    <xf numFmtId="0" fontId="7" fillId="0" borderId="0"/>
    <xf numFmtId="0" fontId="12" fillId="0" borderId="0"/>
    <xf numFmtId="0" fontId="7" fillId="0" borderId="0"/>
    <xf numFmtId="165" fontId="11" fillId="0" borderId="0"/>
    <xf numFmtId="165" fontId="11" fillId="0" borderId="0"/>
    <xf numFmtId="165" fontId="11" fillId="0" borderId="0"/>
    <xf numFmtId="0" fontId="7" fillId="0" borderId="0"/>
    <xf numFmtId="0" fontId="12" fillId="0" borderId="0"/>
    <xf numFmtId="0" fontId="13" fillId="0" borderId="0"/>
    <xf numFmtId="0" fontId="13" fillId="0" borderId="0"/>
    <xf numFmtId="176" fontId="11" fillId="0" borderId="0"/>
    <xf numFmtId="170" fontId="11" fillId="0" borderId="0"/>
    <xf numFmtId="177" fontId="11" fillId="0" borderId="0"/>
    <xf numFmtId="172" fontId="11" fillId="0" borderId="0"/>
    <xf numFmtId="165" fontId="11" fillId="0" borderId="0"/>
    <xf numFmtId="165" fontId="11" fillId="0" borderId="0"/>
    <xf numFmtId="0" fontId="12" fillId="0" borderId="0"/>
    <xf numFmtId="164" fontId="43" fillId="0" borderId="0"/>
    <xf numFmtId="170" fontId="11" fillId="0" borderId="0"/>
    <xf numFmtId="0" fontId="11" fillId="0" borderId="0"/>
    <xf numFmtId="0" fontId="44" fillId="0" borderId="0"/>
    <xf numFmtId="164" fontId="43" fillId="0" borderId="0"/>
    <xf numFmtId="0" fontId="7" fillId="0" borderId="0"/>
    <xf numFmtId="0" fontId="7" fillId="0" borderId="0"/>
    <xf numFmtId="0" fontId="12" fillId="0" borderId="0"/>
    <xf numFmtId="0" fontId="12" fillId="0" borderId="0"/>
    <xf numFmtId="0" fontId="11" fillId="26" borderId="20"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27" fillId="4" borderId="6"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11" fillId="26" borderId="20" applyNumberFormat="0" applyFon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0" fontId="45" fillId="23" borderId="21"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5" fontId="46" fillId="0" borderId="1">
      <alignment horizontal="right" vertical="center" wrapText="1"/>
    </xf>
    <xf numFmtId="165" fontId="11" fillId="0" borderId="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26" fillId="0" borderId="22" applyNumberFormat="0" applyFill="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164" fontId="11" fillId="0" borderId="0"/>
    <xf numFmtId="0" fontId="42" fillId="0" borderId="0"/>
    <xf numFmtId="0" fontId="6" fillId="0" borderId="0"/>
    <xf numFmtId="165" fontId="11" fillId="0" borderId="0"/>
    <xf numFmtId="0" fontId="6" fillId="0" borderId="0"/>
    <xf numFmtId="0" fontId="12" fillId="0" borderId="0"/>
    <xf numFmtId="0" fontId="5" fillId="0" borderId="0"/>
    <xf numFmtId="0" fontId="12" fillId="0" borderId="0"/>
    <xf numFmtId="0" fontId="12" fillId="0" borderId="0"/>
    <xf numFmtId="0" fontId="12" fillId="0" borderId="0"/>
    <xf numFmtId="176" fontId="11" fillId="0" borderId="0"/>
    <xf numFmtId="44" fontId="12" fillId="0" borderId="0" applyFont="0" applyFill="0" applyBorder="0" applyAlignment="0" applyProtection="0"/>
    <xf numFmtId="0" fontId="2" fillId="0" borderId="0"/>
    <xf numFmtId="0" fontId="84" fillId="0" borderId="0"/>
    <xf numFmtId="0" fontId="12" fillId="0" borderId="0"/>
    <xf numFmtId="9" fontId="84" fillId="0" borderId="0" applyFont="0" applyFill="0" applyBorder="0" applyAlignment="0" applyProtection="0"/>
    <xf numFmtId="0" fontId="11" fillId="0" borderId="0"/>
    <xf numFmtId="0" fontId="84" fillId="0" borderId="0"/>
  </cellStyleXfs>
  <cellXfs count="1752">
    <xf numFmtId="165" fontId="0" fillId="0" borderId="0" xfId="0"/>
    <xf numFmtId="1" fontId="13" fillId="0" borderId="1" xfId="2" applyNumberFormat="1" applyFont="1" applyFill="1" applyBorder="1" applyAlignment="1">
      <alignment horizontal="center" vertical="center" wrapText="1"/>
    </xf>
    <xf numFmtId="165" fontId="13" fillId="0" borderId="1" xfId="0" applyFont="1" applyFill="1" applyBorder="1" applyAlignment="1">
      <alignment horizontal="left" vertical="center" wrapText="1"/>
    </xf>
    <xf numFmtId="165" fontId="13" fillId="0" borderId="0" xfId="0" applyFont="1" applyFill="1" applyBorder="1" applyAlignment="1">
      <alignment vertical="center"/>
    </xf>
    <xf numFmtId="166" fontId="13" fillId="0" borderId="1" xfId="0" applyNumberFormat="1" applyFont="1" applyFill="1" applyBorder="1" applyAlignment="1">
      <alignment horizontal="center" vertical="center"/>
    </xf>
    <xf numFmtId="165" fontId="13" fillId="0" borderId="1" xfId="0" applyFont="1" applyFill="1" applyBorder="1" applyAlignment="1">
      <alignment vertical="center"/>
    </xf>
    <xf numFmtId="1" fontId="13" fillId="0" borderId="1" xfId="0" applyNumberFormat="1" applyFont="1" applyFill="1" applyBorder="1" applyAlignment="1">
      <alignment horizontal="center" vertical="center"/>
    </xf>
    <xf numFmtId="165" fontId="13" fillId="0" borderId="1" xfId="0" applyFont="1" applyFill="1" applyBorder="1" applyAlignment="1">
      <alignment horizontal="center" vertical="center"/>
    </xf>
    <xf numFmtId="169" fontId="13" fillId="0" borderId="1" xfId="0" applyNumberFormat="1" applyFont="1" applyFill="1" applyBorder="1" applyAlignment="1">
      <alignment horizontal="center" vertical="center"/>
    </xf>
    <xf numFmtId="165" fontId="13" fillId="0" borderId="1" xfId="0" applyNumberFormat="1" applyFont="1" applyFill="1" applyBorder="1" applyAlignment="1">
      <alignment vertical="center"/>
    </xf>
    <xf numFmtId="0" fontId="14" fillId="0" borderId="1" xfId="0" applyNumberFormat="1" applyFont="1" applyFill="1" applyBorder="1" applyAlignment="1">
      <alignment horizontal="center" vertical="center"/>
    </xf>
    <xf numFmtId="165" fontId="14" fillId="0" borderId="0" xfId="0" applyFont="1" applyFill="1" applyBorder="1" applyAlignment="1">
      <alignment vertical="center"/>
    </xf>
    <xf numFmtId="2" fontId="13" fillId="0" borderId="1" xfId="2" applyNumberFormat="1" applyFont="1" applyFill="1" applyBorder="1" applyAlignment="1">
      <alignment vertical="center" wrapText="1"/>
    </xf>
    <xf numFmtId="165" fontId="14" fillId="0" borderId="1" xfId="0" applyFont="1" applyFill="1" applyBorder="1" applyAlignment="1">
      <alignment horizontal="right" vertical="center"/>
    </xf>
    <xf numFmtId="165" fontId="14" fillId="0" borderId="1" xfId="0" applyFont="1" applyFill="1" applyBorder="1" applyAlignment="1">
      <alignment vertical="center"/>
    </xf>
    <xf numFmtId="165" fontId="14" fillId="0" borderId="1" xfId="0" applyFont="1" applyFill="1" applyBorder="1" applyAlignment="1">
      <alignment horizontal="center" vertical="center"/>
    </xf>
    <xf numFmtId="167" fontId="13" fillId="0" borderId="0" xfId="2" applyNumberFormat="1" applyFont="1" applyFill="1" applyBorder="1" applyAlignment="1">
      <alignment vertical="center" wrapText="1"/>
    </xf>
    <xf numFmtId="170" fontId="13" fillId="0" borderId="0" xfId="2" applyNumberFormat="1" applyFont="1" applyFill="1" applyBorder="1" applyAlignment="1">
      <alignment vertical="center" wrapText="1"/>
    </xf>
    <xf numFmtId="168" fontId="13" fillId="0" borderId="0" xfId="0" applyNumberFormat="1" applyFont="1" applyFill="1" applyBorder="1" applyAlignment="1">
      <alignment vertical="center"/>
    </xf>
    <xf numFmtId="168" fontId="13" fillId="0" borderId="1" xfId="0" applyNumberFormat="1" applyFont="1" applyFill="1" applyBorder="1" applyAlignment="1">
      <alignment vertical="center"/>
    </xf>
    <xf numFmtId="165" fontId="13" fillId="0" borderId="1" xfId="0" applyFont="1" applyFill="1" applyBorder="1" applyAlignment="1">
      <alignment horizontal="right" vertical="center"/>
    </xf>
    <xf numFmtId="165" fontId="13" fillId="0" borderId="1" xfId="0" applyFont="1" applyFill="1" applyBorder="1" applyAlignment="1">
      <alignment vertical="center" wrapText="1"/>
    </xf>
    <xf numFmtId="165" fontId="13" fillId="0" borderId="0" xfId="0" applyFont="1" applyFill="1" applyBorder="1"/>
    <xf numFmtId="165" fontId="13" fillId="0" borderId="1" xfId="0" applyFont="1" applyFill="1" applyBorder="1" applyAlignment="1">
      <alignment horizontal="justify" vertical="center"/>
    </xf>
    <xf numFmtId="165" fontId="13" fillId="0" borderId="0" xfId="0" applyFont="1" applyFill="1" applyBorder="1" applyAlignment="1">
      <alignment horizontal="center" vertical="center"/>
    </xf>
    <xf numFmtId="172" fontId="13" fillId="0" borderId="1" xfId="0" applyNumberFormat="1" applyFont="1" applyFill="1" applyBorder="1" applyAlignment="1">
      <alignment vertical="center"/>
    </xf>
    <xf numFmtId="168" fontId="13" fillId="0" borderId="0" xfId="0" applyNumberFormat="1" applyFont="1" applyFill="1" applyBorder="1"/>
    <xf numFmtId="168" fontId="14" fillId="0" borderId="1" xfId="0" applyNumberFormat="1" applyFont="1" applyFill="1" applyBorder="1" applyAlignment="1">
      <alignment horizontal="center" vertical="center"/>
    </xf>
    <xf numFmtId="165" fontId="14" fillId="0" borderId="1" xfId="0" applyFont="1" applyFill="1" applyBorder="1" applyAlignment="1">
      <alignment horizontal="justify" vertical="center"/>
    </xf>
    <xf numFmtId="165" fontId="13" fillId="0" borderId="0" xfId="0" applyNumberFormat="1" applyFont="1" applyFill="1" applyBorder="1" applyAlignment="1" applyProtection="1">
      <alignment horizontal="left"/>
    </xf>
    <xf numFmtId="1" fontId="13" fillId="0" borderId="0" xfId="0" applyNumberFormat="1" applyFont="1" applyFill="1" applyBorder="1" applyAlignment="1">
      <alignment horizontal="center" vertical="center"/>
    </xf>
    <xf numFmtId="2" fontId="16" fillId="2" borderId="5" xfId="2" applyNumberFormat="1" applyFont="1" applyFill="1" applyBorder="1" applyAlignment="1">
      <alignment vertical="top" wrapText="1"/>
    </xf>
    <xf numFmtId="165" fontId="13" fillId="0" borderId="1" xfId="1" applyNumberFormat="1" applyFont="1" applyFill="1" applyBorder="1" applyAlignment="1">
      <alignment horizontal="left" vertical="center" wrapText="1"/>
    </xf>
    <xf numFmtId="165" fontId="22" fillId="0" borderId="0" xfId="0" applyFont="1" applyFill="1" applyAlignment="1">
      <alignment vertical="center"/>
    </xf>
    <xf numFmtId="165" fontId="23" fillId="0" borderId="0" xfId="0" applyFont="1" applyFill="1" applyAlignment="1">
      <alignment vertical="center"/>
    </xf>
    <xf numFmtId="169" fontId="21" fillId="0" borderId="0" xfId="0" applyNumberFormat="1" applyFont="1" applyFill="1" applyAlignment="1">
      <alignment vertical="center"/>
    </xf>
    <xf numFmtId="165" fontId="24" fillId="0" borderId="0" xfId="0" applyFont="1" applyFill="1" applyAlignment="1">
      <alignment vertical="center"/>
    </xf>
    <xf numFmtId="166" fontId="24" fillId="0" borderId="0" xfId="0" applyNumberFormat="1" applyFont="1" applyFill="1" applyAlignment="1">
      <alignment vertical="center"/>
    </xf>
    <xf numFmtId="165" fontId="24" fillId="0" borderId="0" xfId="0" applyFont="1" applyFill="1" applyAlignment="1">
      <alignment horizontal="center" vertical="center"/>
    </xf>
    <xf numFmtId="165" fontId="26" fillId="0" borderId="0" xfId="0" applyFont="1" applyFill="1" applyAlignment="1">
      <alignment vertical="center" wrapText="1"/>
    </xf>
    <xf numFmtId="169" fontId="23" fillId="0" borderId="0" xfId="0" applyNumberFormat="1" applyFont="1" applyFill="1" applyAlignment="1">
      <alignment vertical="center"/>
    </xf>
    <xf numFmtId="166" fontId="23" fillId="0" borderId="0" xfId="0" applyNumberFormat="1" applyFont="1" applyFill="1" applyAlignment="1">
      <alignment vertical="center"/>
    </xf>
    <xf numFmtId="165" fontId="23" fillId="0" borderId="0" xfId="0" applyFont="1" applyFill="1" applyAlignment="1">
      <alignment horizontal="center" vertical="center"/>
    </xf>
    <xf numFmtId="169" fontId="26" fillId="0" borderId="1" xfId="0" applyNumberFormat="1" applyFont="1" applyFill="1" applyBorder="1" applyAlignment="1">
      <alignment horizontal="center" vertical="center"/>
    </xf>
    <xf numFmtId="166" fontId="26" fillId="0" borderId="1" xfId="0" applyNumberFormat="1" applyFont="1" applyFill="1" applyBorder="1" applyAlignment="1">
      <alignment horizontal="center" vertical="center"/>
    </xf>
    <xf numFmtId="169" fontId="23" fillId="0" borderId="1" xfId="0" applyNumberFormat="1" applyFont="1" applyFill="1" applyBorder="1" applyAlignment="1">
      <alignment horizontal="center" vertical="center"/>
    </xf>
    <xf numFmtId="165" fontId="23" fillId="0" borderId="1" xfId="0" applyFont="1" applyFill="1" applyBorder="1" applyAlignment="1">
      <alignment horizontal="left" vertical="center" wrapText="1"/>
    </xf>
    <xf numFmtId="166" fontId="23" fillId="0" borderId="1" xfId="0" applyNumberFormat="1" applyFont="1" applyFill="1" applyBorder="1" applyAlignment="1">
      <alignment horizontal="center" vertical="center" wrapText="1"/>
    </xf>
    <xf numFmtId="165" fontId="23" fillId="0" borderId="1" xfId="0" applyFont="1" applyFill="1" applyBorder="1" applyAlignment="1">
      <alignment horizontal="center" vertical="center"/>
    </xf>
    <xf numFmtId="165" fontId="23" fillId="0" borderId="1" xfId="0" applyFont="1" applyFill="1" applyBorder="1" applyAlignment="1">
      <alignment vertical="center"/>
    </xf>
    <xf numFmtId="2" fontId="23" fillId="0" borderId="1" xfId="0" applyNumberFormat="1" applyFont="1" applyFill="1" applyBorder="1" applyAlignment="1">
      <alignment horizontal="center" vertical="center"/>
    </xf>
    <xf numFmtId="1" fontId="23" fillId="0" borderId="1" xfId="0" applyNumberFormat="1" applyFont="1" applyFill="1" applyBorder="1" applyAlignment="1">
      <alignment horizontal="center" vertical="center"/>
    </xf>
    <xf numFmtId="2" fontId="26" fillId="0" borderId="1" xfId="0" applyNumberFormat="1" applyFont="1" applyFill="1" applyBorder="1" applyAlignment="1">
      <alignment horizontal="right" vertical="center"/>
    </xf>
    <xf numFmtId="165" fontId="26" fillId="0" borderId="1" xfId="0" applyFont="1" applyFill="1" applyBorder="1" applyAlignment="1">
      <alignment vertical="center"/>
    </xf>
    <xf numFmtId="165" fontId="23" fillId="0" borderId="1" xfId="0" applyFont="1" applyFill="1" applyBorder="1" applyAlignment="1">
      <alignment vertical="center" wrapText="1"/>
    </xf>
    <xf numFmtId="165" fontId="23" fillId="0" borderId="1" xfId="0" applyFont="1" applyFill="1" applyBorder="1" applyAlignment="1">
      <alignment horizontal="right" vertical="center"/>
    </xf>
    <xf numFmtId="169" fontId="23" fillId="0" borderId="0" xfId="0" applyNumberFormat="1" applyFont="1" applyFill="1" applyBorder="1" applyAlignment="1">
      <alignment vertical="center"/>
    </xf>
    <xf numFmtId="165" fontId="23" fillId="0" borderId="0" xfId="0" applyFont="1" applyFill="1" applyBorder="1" applyAlignment="1">
      <alignment vertical="center" wrapText="1"/>
    </xf>
    <xf numFmtId="166" fontId="23" fillId="0" borderId="0" xfId="0" applyNumberFormat="1" applyFont="1" applyFill="1" applyBorder="1" applyAlignment="1">
      <alignment vertical="center" wrapText="1"/>
    </xf>
    <xf numFmtId="165" fontId="23" fillId="0" borderId="0" xfId="0" applyFont="1" applyFill="1" applyBorder="1" applyAlignment="1">
      <alignment horizontal="center" vertical="center"/>
    </xf>
    <xf numFmtId="165" fontId="23" fillId="0" borderId="0" xfId="0" applyFont="1" applyFill="1" applyBorder="1" applyAlignment="1">
      <alignment vertical="center"/>
    </xf>
    <xf numFmtId="166" fontId="23" fillId="0" borderId="0" xfId="0" applyNumberFormat="1" applyFont="1" applyFill="1" applyBorder="1" applyAlignment="1">
      <alignment vertical="center"/>
    </xf>
    <xf numFmtId="169" fontId="26" fillId="0" borderId="0" xfId="0" applyNumberFormat="1" applyFont="1" applyFill="1" applyBorder="1" applyAlignment="1">
      <alignment horizontal="center" vertical="center"/>
    </xf>
    <xf numFmtId="165" fontId="26" fillId="0" borderId="0" xfId="0" applyFont="1" applyFill="1" applyBorder="1" applyAlignment="1">
      <alignment horizontal="center" vertical="center"/>
    </xf>
    <xf numFmtId="166" fontId="26" fillId="0" borderId="0" xfId="0" applyNumberFormat="1" applyFont="1" applyFill="1" applyBorder="1" applyAlignment="1">
      <alignment horizontal="center" vertical="center"/>
    </xf>
    <xf numFmtId="165" fontId="50" fillId="0" borderId="0" xfId="0" applyFont="1" applyFill="1" applyBorder="1" applyAlignment="1">
      <alignment horizontal="center" vertical="center"/>
    </xf>
    <xf numFmtId="0" fontId="50" fillId="0" borderId="0" xfId="0" applyNumberFormat="1" applyFont="1" applyFill="1" applyBorder="1" applyAlignment="1">
      <alignment horizontal="center" vertical="center" wrapText="1"/>
    </xf>
    <xf numFmtId="1" fontId="52" fillId="0" borderId="1" xfId="0" applyNumberFormat="1" applyFont="1" applyFill="1" applyBorder="1" applyAlignment="1">
      <alignment horizontal="center" vertical="center" wrapText="1"/>
    </xf>
    <xf numFmtId="0" fontId="52" fillId="0" borderId="1" xfId="0" applyNumberFormat="1" applyFont="1" applyFill="1" applyBorder="1" applyAlignment="1">
      <alignment horizontal="center" vertical="center" wrapText="1"/>
    </xf>
    <xf numFmtId="2" fontId="52" fillId="0" borderId="1" xfId="0" applyNumberFormat="1" applyFont="1" applyFill="1" applyBorder="1" applyAlignment="1">
      <alignment horizontal="center" vertical="center" wrapText="1"/>
    </xf>
    <xf numFmtId="0" fontId="52" fillId="0" borderId="0" xfId="0" applyNumberFormat="1" applyFont="1" applyFill="1" applyBorder="1" applyAlignment="1">
      <alignment horizontal="center" vertical="center" wrapText="1"/>
    </xf>
    <xf numFmtId="166" fontId="50" fillId="0" borderId="1" xfId="0" applyNumberFormat="1" applyFont="1" applyFill="1" applyBorder="1" applyAlignment="1">
      <alignment horizontal="center" vertical="center"/>
    </xf>
    <xf numFmtId="165" fontId="50" fillId="0" borderId="1" xfId="0" applyFont="1" applyFill="1" applyBorder="1" applyAlignment="1">
      <alignment horizontal="justify" vertical="center" wrapText="1"/>
    </xf>
    <xf numFmtId="165" fontId="50" fillId="0" borderId="1" xfId="0" applyFont="1" applyFill="1" applyBorder="1" applyAlignment="1">
      <alignment horizontal="right" vertical="center"/>
    </xf>
    <xf numFmtId="165" fontId="50" fillId="0" borderId="1" xfId="1254" applyNumberFormat="1" applyFont="1" applyFill="1" applyBorder="1" applyAlignment="1">
      <alignment horizontal="justify" vertical="center" wrapText="1"/>
    </xf>
    <xf numFmtId="165" fontId="50" fillId="0" borderId="1" xfId="1254" applyNumberFormat="1" applyFont="1" applyFill="1" applyBorder="1" applyAlignment="1">
      <alignment horizontal="right" vertical="center"/>
    </xf>
    <xf numFmtId="165" fontId="52" fillId="0" borderId="1" xfId="0" applyFont="1" applyFill="1" applyBorder="1" applyAlignment="1">
      <alignment horizontal="right" vertical="center"/>
    </xf>
    <xf numFmtId="165" fontId="52" fillId="0" borderId="1" xfId="0" applyFont="1" applyFill="1" applyBorder="1" applyAlignment="1">
      <alignment horizontal="left" vertical="center"/>
    </xf>
    <xf numFmtId="166" fontId="53" fillId="0" borderId="1" xfId="0" applyNumberFormat="1" applyFont="1" applyFill="1" applyBorder="1" applyAlignment="1">
      <alignment horizontal="center" vertical="center"/>
    </xf>
    <xf numFmtId="0" fontId="53" fillId="0" borderId="1" xfId="0" applyNumberFormat="1" applyFont="1" applyFill="1" applyBorder="1" applyAlignment="1">
      <alignment horizontal="justify" vertical="center" wrapText="1"/>
    </xf>
    <xf numFmtId="0" fontId="53" fillId="0" borderId="1" xfId="0" applyNumberFormat="1" applyFont="1" applyFill="1" applyBorder="1" applyAlignment="1">
      <alignment horizontal="center" vertical="center"/>
    </xf>
    <xf numFmtId="2" fontId="53" fillId="0" borderId="1" xfId="0" applyNumberFormat="1" applyFont="1" applyFill="1" applyBorder="1" applyAlignment="1">
      <alignment horizontal="right" vertical="center"/>
    </xf>
    <xf numFmtId="0" fontId="53" fillId="0" borderId="1" xfId="0" applyNumberFormat="1" applyFont="1" applyFill="1" applyBorder="1" applyAlignment="1">
      <alignment horizontal="right" vertical="center"/>
    </xf>
    <xf numFmtId="0" fontId="50" fillId="0" borderId="0" xfId="0" applyNumberFormat="1" applyFont="1" applyFill="1" applyBorder="1" applyAlignment="1">
      <alignment horizontal="center" vertical="center"/>
    </xf>
    <xf numFmtId="2" fontId="54" fillId="0" borderId="1" xfId="0" applyNumberFormat="1" applyFont="1" applyFill="1" applyBorder="1" applyAlignment="1">
      <alignment horizontal="right" vertical="center"/>
    </xf>
    <xf numFmtId="2" fontId="54" fillId="0" borderId="1" xfId="0" applyNumberFormat="1" applyFont="1" applyFill="1" applyBorder="1" applyAlignment="1">
      <alignment horizontal="left" vertical="center"/>
    </xf>
    <xf numFmtId="1" fontId="50" fillId="0" borderId="1" xfId="1123" applyNumberFormat="1" applyFont="1" applyFill="1" applyBorder="1" applyAlignment="1">
      <alignment horizontal="center" vertical="center" wrapText="1"/>
    </xf>
    <xf numFmtId="166" fontId="50" fillId="0" borderId="1" xfId="1254" applyNumberFormat="1" applyFont="1" applyFill="1" applyBorder="1" applyAlignment="1">
      <alignment horizontal="center" vertical="center"/>
    </xf>
    <xf numFmtId="165" fontId="50" fillId="0" borderId="1" xfId="1254" applyNumberFormat="1" applyFont="1" applyFill="1" applyBorder="1" applyAlignment="1">
      <alignment horizontal="center" vertical="center"/>
    </xf>
    <xf numFmtId="1" fontId="50" fillId="0" borderId="1" xfId="1254" applyNumberFormat="1" applyFont="1" applyFill="1" applyBorder="1" applyAlignment="1">
      <alignment horizontal="center" vertical="center"/>
    </xf>
    <xf numFmtId="2" fontId="50" fillId="0" borderId="1" xfId="1123" applyNumberFormat="1" applyFont="1" applyFill="1" applyBorder="1" applyAlignment="1">
      <alignment horizontal="justify" vertical="center" wrapText="1"/>
    </xf>
    <xf numFmtId="0" fontId="50" fillId="0" borderId="1" xfId="0" applyNumberFormat="1" applyFont="1" applyFill="1" applyBorder="1" applyAlignment="1">
      <alignment horizontal="center" vertical="center"/>
    </xf>
    <xf numFmtId="2" fontId="52" fillId="0" borderId="1" xfId="0" applyNumberFormat="1" applyFont="1" applyFill="1" applyBorder="1" applyAlignment="1">
      <alignment horizontal="right" vertical="center"/>
    </xf>
    <xf numFmtId="165" fontId="52" fillId="0" borderId="1" xfId="1254" applyNumberFormat="1" applyFont="1" applyFill="1" applyBorder="1" applyAlignment="1">
      <alignment horizontal="left" vertical="center"/>
    </xf>
    <xf numFmtId="167" fontId="50" fillId="0" borderId="1" xfId="0" applyNumberFormat="1" applyFont="1" applyFill="1" applyBorder="1" applyAlignment="1">
      <alignment horizontal="center" vertical="center"/>
    </xf>
    <xf numFmtId="167" fontId="50" fillId="0" borderId="1" xfId="0" applyNumberFormat="1" applyFont="1" applyFill="1" applyBorder="1" applyAlignment="1">
      <alignment horizontal="right" vertical="center"/>
    </xf>
    <xf numFmtId="169" fontId="50" fillId="0" borderId="1" xfId="1254" applyNumberFormat="1" applyFont="1" applyFill="1" applyBorder="1" applyAlignment="1">
      <alignment horizontal="center" vertical="center"/>
    </xf>
    <xf numFmtId="165" fontId="52" fillId="0" borderId="1" xfId="1254" applyNumberFormat="1" applyFont="1" applyFill="1" applyBorder="1" applyAlignment="1">
      <alignment horizontal="right" vertical="center"/>
    </xf>
    <xf numFmtId="2" fontId="50" fillId="0" borderId="1" xfId="0" applyNumberFormat="1" applyFont="1" applyFill="1" applyBorder="1" applyAlignment="1">
      <alignment horizontal="center" vertical="center"/>
    </xf>
    <xf numFmtId="0" fontId="50" fillId="0" borderId="1" xfId="0" applyNumberFormat="1" applyFont="1" applyFill="1" applyBorder="1" applyAlignment="1">
      <alignment horizontal="right" vertical="center"/>
    </xf>
    <xf numFmtId="178" fontId="50" fillId="0" borderId="1" xfId="0" applyNumberFormat="1" applyFont="1" applyFill="1" applyBorder="1" applyAlignment="1">
      <alignment horizontal="right" vertical="center"/>
    </xf>
    <xf numFmtId="168" fontId="50" fillId="0" borderId="0" xfId="0" applyNumberFormat="1" applyFont="1" applyFill="1" applyBorder="1" applyAlignment="1">
      <alignment horizontal="center" vertical="center"/>
    </xf>
    <xf numFmtId="168" fontId="52" fillId="0" borderId="1" xfId="0" applyNumberFormat="1" applyFont="1" applyFill="1" applyBorder="1" applyAlignment="1">
      <alignment horizontal="right" vertical="center"/>
    </xf>
    <xf numFmtId="165" fontId="52" fillId="0" borderId="1" xfId="0" applyNumberFormat="1" applyFont="1" applyFill="1" applyBorder="1" applyAlignment="1">
      <alignment horizontal="right" vertical="center"/>
    </xf>
    <xf numFmtId="165" fontId="50" fillId="0" borderId="1" xfId="0" applyFont="1" applyFill="1" applyBorder="1" applyAlignment="1">
      <alignment horizontal="left" vertical="center"/>
    </xf>
    <xf numFmtId="165" fontId="50" fillId="0" borderId="1" xfId="0" applyNumberFormat="1" applyFont="1" applyFill="1" applyBorder="1" applyAlignment="1">
      <alignment horizontal="center" vertical="center"/>
    </xf>
    <xf numFmtId="165" fontId="52" fillId="0" borderId="1" xfId="0" applyFont="1" applyFill="1" applyBorder="1" applyAlignment="1">
      <alignment horizontal="justify" vertical="center" wrapText="1"/>
    </xf>
    <xf numFmtId="165" fontId="50" fillId="0" borderId="2" xfId="0" applyFont="1" applyFill="1" applyBorder="1" applyAlignment="1">
      <alignment horizontal="right" vertical="center"/>
    </xf>
    <xf numFmtId="165" fontId="50" fillId="0" borderId="3" xfId="0" applyFont="1" applyFill="1" applyBorder="1" applyAlignment="1">
      <alignment horizontal="right" vertical="center"/>
    </xf>
    <xf numFmtId="2" fontId="50" fillId="0" borderId="3" xfId="0" applyNumberFormat="1" applyFont="1" applyFill="1" applyBorder="1" applyAlignment="1">
      <alignment horizontal="right" vertical="center"/>
    </xf>
    <xf numFmtId="2" fontId="56" fillId="0" borderId="1" xfId="1122" applyNumberFormat="1" applyFont="1" applyFill="1" applyBorder="1" applyAlignment="1">
      <alignment vertical="center" wrapText="1"/>
    </xf>
    <xf numFmtId="1" fontId="50" fillId="0" borderId="1" xfId="0" applyNumberFormat="1" applyFont="1" applyFill="1" applyBorder="1" applyAlignment="1">
      <alignment horizontal="center" vertical="center"/>
    </xf>
    <xf numFmtId="165" fontId="50" fillId="3" borderId="1" xfId="0" applyFont="1" applyFill="1" applyBorder="1" applyAlignment="1">
      <alignment horizontal="justify" vertical="center" wrapText="1"/>
    </xf>
    <xf numFmtId="165" fontId="50" fillId="0" borderId="1" xfId="0" applyFont="1" applyFill="1" applyBorder="1" applyAlignment="1">
      <alignment horizontal="center" vertical="center" wrapText="1"/>
    </xf>
    <xf numFmtId="2" fontId="50" fillId="0" borderId="0" xfId="0" applyNumberFormat="1" applyFont="1" applyFill="1" applyBorder="1" applyAlignment="1">
      <alignment horizontal="right" vertical="center"/>
    </xf>
    <xf numFmtId="165" fontId="6" fillId="0" borderId="0" xfId="0" applyFont="1" applyFill="1" applyAlignment="1">
      <alignment vertical="center"/>
    </xf>
    <xf numFmtId="165" fontId="6" fillId="0" borderId="0" xfId="0" applyFont="1" applyFill="1" applyBorder="1" applyAlignment="1">
      <alignment vertical="center"/>
    </xf>
    <xf numFmtId="165" fontId="58" fillId="0" borderId="0" xfId="0" applyFont="1" applyFill="1" applyAlignment="1">
      <alignment vertical="center" wrapText="1"/>
    </xf>
    <xf numFmtId="165" fontId="58" fillId="0" borderId="0" xfId="0" applyFont="1" applyFill="1" applyBorder="1" applyAlignment="1">
      <alignment vertical="center" wrapText="1"/>
    </xf>
    <xf numFmtId="1" fontId="58" fillId="0" borderId="1" xfId="0" applyNumberFormat="1" applyFont="1" applyFill="1" applyBorder="1" applyAlignment="1">
      <alignment horizontal="center" vertical="center"/>
    </xf>
    <xf numFmtId="1" fontId="60" fillId="0" borderId="1" xfId="0" applyNumberFormat="1" applyFont="1" applyFill="1" applyBorder="1" applyAlignment="1">
      <alignment horizontal="center" vertical="center"/>
    </xf>
    <xf numFmtId="165" fontId="6" fillId="0" borderId="1" xfId="0" applyFont="1" applyFill="1" applyBorder="1" applyAlignment="1">
      <alignment vertical="center" wrapText="1"/>
    </xf>
    <xf numFmtId="1" fontId="6" fillId="0" borderId="1" xfId="0" applyNumberFormat="1" applyFont="1" applyFill="1" applyBorder="1" applyAlignment="1">
      <alignment horizontal="center" vertical="center"/>
    </xf>
    <xf numFmtId="166" fontId="6" fillId="0" borderId="1" xfId="0" applyNumberFormat="1" applyFont="1" applyFill="1" applyBorder="1" applyAlignment="1">
      <alignment horizontal="center" vertical="center"/>
    </xf>
    <xf numFmtId="2" fontId="6" fillId="0" borderId="1" xfId="0" applyNumberFormat="1" applyFont="1" applyFill="1" applyBorder="1" applyAlignment="1">
      <alignment horizontal="center" vertical="center" wrapText="1"/>
    </xf>
    <xf numFmtId="2" fontId="6" fillId="0" borderId="2" xfId="0" applyNumberFormat="1" applyFont="1" applyFill="1" applyBorder="1" applyAlignment="1">
      <alignment horizontal="right" vertical="center" wrapText="1"/>
    </xf>
    <xf numFmtId="165" fontId="6" fillId="0" borderId="1" xfId="0" applyFont="1" applyFill="1" applyBorder="1" applyAlignment="1">
      <alignment horizontal="left" vertical="center"/>
    </xf>
    <xf numFmtId="165" fontId="6" fillId="0" borderId="1" xfId="0" applyFont="1" applyFill="1" applyBorder="1" applyAlignment="1">
      <alignment horizontal="center" vertical="center"/>
    </xf>
    <xf numFmtId="2" fontId="6" fillId="0" borderId="1" xfId="0" applyNumberFormat="1" applyFont="1" applyFill="1" applyBorder="1" applyAlignment="1">
      <alignment horizontal="right" vertical="center"/>
    </xf>
    <xf numFmtId="165" fontId="58" fillId="0" borderId="1" xfId="0" applyFont="1" applyFill="1" applyBorder="1" applyAlignment="1">
      <alignment horizontal="right" vertical="center"/>
    </xf>
    <xf numFmtId="2" fontId="58" fillId="0" borderId="2" xfId="0" applyNumberFormat="1" applyFont="1" applyFill="1" applyBorder="1" applyAlignment="1">
      <alignment horizontal="right" vertical="center"/>
    </xf>
    <xf numFmtId="165" fontId="58" fillId="0" borderId="1" xfId="0" applyFont="1" applyFill="1" applyBorder="1" applyAlignment="1">
      <alignment horizontal="left" vertical="center"/>
    </xf>
    <xf numFmtId="165" fontId="6" fillId="0" borderId="1" xfId="0" applyFont="1" applyFill="1" applyBorder="1" applyAlignment="1">
      <alignment horizontal="right" vertical="center"/>
    </xf>
    <xf numFmtId="2" fontId="6" fillId="0" borderId="2" xfId="0" applyNumberFormat="1" applyFont="1" applyFill="1" applyBorder="1" applyAlignment="1">
      <alignment horizontal="right" vertical="center"/>
    </xf>
    <xf numFmtId="2" fontId="61" fillId="0" borderId="1" xfId="20" applyNumberFormat="1" applyFont="1" applyFill="1" applyBorder="1" applyAlignment="1">
      <alignment vertical="center" wrapText="1"/>
    </xf>
    <xf numFmtId="165" fontId="6" fillId="0" borderId="1" xfId="0" applyFont="1" applyFill="1" applyBorder="1" applyAlignment="1">
      <alignment horizontal="right" vertical="center" wrapText="1"/>
    </xf>
    <xf numFmtId="2" fontId="6" fillId="0" borderId="1" xfId="0" applyNumberFormat="1" applyFont="1" applyFill="1" applyBorder="1" applyAlignment="1">
      <alignment horizontal="right" vertical="center" wrapText="1"/>
    </xf>
    <xf numFmtId="165" fontId="6" fillId="0" borderId="1" xfId="0" applyFont="1" applyFill="1" applyBorder="1" applyAlignment="1">
      <alignment horizontal="left" vertical="center" wrapText="1"/>
    </xf>
    <xf numFmtId="0" fontId="61" fillId="0" borderId="1" xfId="20" applyFont="1" applyFill="1" applyBorder="1" applyAlignment="1">
      <alignment vertical="center" wrapText="1"/>
    </xf>
    <xf numFmtId="165" fontId="61" fillId="0" borderId="1" xfId="0" applyFont="1" applyFill="1" applyBorder="1" applyAlignment="1">
      <alignment vertical="center" wrapText="1"/>
    </xf>
    <xf numFmtId="2" fontId="61" fillId="0" borderId="1" xfId="0" applyNumberFormat="1" applyFont="1" applyFill="1" applyBorder="1" applyAlignment="1">
      <alignment horizontal="right" vertical="center"/>
    </xf>
    <xf numFmtId="2" fontId="61" fillId="0" borderId="2" xfId="0" applyNumberFormat="1" applyFont="1" applyFill="1" applyBorder="1" applyAlignment="1">
      <alignment horizontal="right" vertical="center"/>
    </xf>
    <xf numFmtId="165" fontId="63" fillId="0" borderId="1" xfId="0" applyFont="1" applyFill="1" applyBorder="1" applyAlignment="1">
      <alignment vertical="center" wrapText="1"/>
    </xf>
    <xf numFmtId="165" fontId="63" fillId="0" borderId="3" xfId="0" applyFont="1" applyFill="1" applyBorder="1" applyAlignment="1">
      <alignment vertical="center" wrapText="1"/>
    </xf>
    <xf numFmtId="2" fontId="58" fillId="0" borderId="4" xfId="0" applyNumberFormat="1" applyFont="1" applyFill="1" applyBorder="1" applyAlignment="1">
      <alignment horizontal="right" vertical="center"/>
    </xf>
    <xf numFmtId="1" fontId="6" fillId="0" borderId="0" xfId="0" applyNumberFormat="1" applyFont="1" applyFill="1" applyAlignment="1">
      <alignment horizontal="center" vertical="center"/>
    </xf>
    <xf numFmtId="166" fontId="6" fillId="0" borderId="0" xfId="0" applyNumberFormat="1" applyFont="1" applyFill="1" applyAlignment="1">
      <alignment horizontal="center" vertical="center"/>
    </xf>
    <xf numFmtId="165" fontId="6" fillId="0" borderId="0" xfId="0" applyFont="1" applyFill="1" applyAlignment="1">
      <alignment horizontal="center" vertical="center"/>
    </xf>
    <xf numFmtId="165" fontId="6" fillId="0" borderId="0" xfId="0" applyFont="1" applyFill="1" applyAlignment="1">
      <alignment horizontal="right" vertical="center"/>
    </xf>
    <xf numFmtId="165" fontId="6" fillId="0" borderId="0" xfId="0" applyFont="1" applyFill="1" applyBorder="1" applyAlignment="1">
      <alignment horizontal="left" vertical="center"/>
    </xf>
    <xf numFmtId="165" fontId="50" fillId="0" borderId="1" xfId="0" applyFont="1" applyFill="1" applyBorder="1" applyAlignment="1">
      <alignment horizontal="justify" vertical="center"/>
    </xf>
    <xf numFmtId="167" fontId="61" fillId="0" borderId="1" xfId="1259" applyNumberFormat="1" applyFont="1" applyBorder="1" applyAlignment="1">
      <alignment horizontal="center" vertical="center" wrapText="1"/>
    </xf>
    <xf numFmtId="0" fontId="61" fillId="0" borderId="1" xfId="1259" applyFont="1" applyBorder="1" applyAlignment="1">
      <alignment vertical="center" wrapText="1"/>
    </xf>
    <xf numFmtId="0" fontId="61" fillId="0" borderId="1" xfId="1259" applyFont="1" applyBorder="1" applyAlignment="1">
      <alignment horizontal="right" vertical="center" wrapText="1"/>
    </xf>
    <xf numFmtId="0" fontId="61" fillId="0" borderId="1" xfId="1259" applyFont="1" applyFill="1" applyBorder="1" applyAlignment="1">
      <alignment horizontal="right" vertical="center" wrapText="1"/>
    </xf>
    <xf numFmtId="0" fontId="61" fillId="0" borderId="1" xfId="1259" applyFont="1" applyBorder="1" applyAlignment="1">
      <alignment horizontal="left" vertical="center" wrapText="1"/>
    </xf>
    <xf numFmtId="2" fontId="61" fillId="0" borderId="1" xfId="1259" applyNumberFormat="1" applyFont="1" applyBorder="1" applyAlignment="1">
      <alignment horizontal="right" vertical="center" wrapText="1"/>
    </xf>
    <xf numFmtId="179" fontId="61" fillId="0" borderId="1" xfId="1259" applyNumberFormat="1" applyFont="1" applyBorder="1" applyAlignment="1">
      <alignment horizontal="center" vertical="center" wrapText="1"/>
    </xf>
    <xf numFmtId="2" fontId="61" fillId="0" borderId="1" xfId="1259" applyNumberFormat="1" applyFont="1" applyFill="1" applyBorder="1" applyAlignment="1">
      <alignment horizontal="right" vertical="center" wrapText="1"/>
    </xf>
    <xf numFmtId="170" fontId="61" fillId="0" borderId="1" xfId="1259" applyNumberFormat="1" applyFont="1" applyBorder="1" applyAlignment="1">
      <alignment horizontal="right" vertical="center" wrapText="1"/>
    </xf>
    <xf numFmtId="0" fontId="63" fillId="0" borderId="1" xfId="1259" applyFont="1" applyBorder="1" applyAlignment="1">
      <alignment vertical="center" wrapText="1"/>
    </xf>
    <xf numFmtId="0" fontId="63" fillId="0" borderId="1" xfId="1259" applyFont="1" applyBorder="1" applyAlignment="1">
      <alignment horizontal="right" vertical="center" wrapText="1"/>
    </xf>
    <xf numFmtId="2" fontId="63" fillId="0" borderId="1" xfId="1259" applyNumberFormat="1" applyFont="1" applyBorder="1" applyAlignment="1">
      <alignment horizontal="right" vertical="center" wrapText="1"/>
    </xf>
    <xf numFmtId="0" fontId="63" fillId="0" borderId="1" xfId="1259" applyFont="1" applyFill="1" applyBorder="1" applyAlignment="1">
      <alignment horizontal="left" vertical="center" wrapText="1"/>
    </xf>
    <xf numFmtId="0" fontId="63" fillId="0" borderId="1" xfId="1259" applyFont="1" applyBorder="1" applyAlignment="1">
      <alignment horizontal="left" vertical="center" wrapText="1"/>
    </xf>
    <xf numFmtId="2" fontId="63" fillId="0" borderId="1" xfId="1259" applyNumberFormat="1" applyFont="1" applyBorder="1" applyAlignment="1">
      <alignment vertical="center" wrapText="1"/>
    </xf>
    <xf numFmtId="2" fontId="63" fillId="0" borderId="1" xfId="1259" applyNumberFormat="1" applyFont="1" applyFill="1" applyBorder="1" applyAlignment="1">
      <alignment horizontal="left" vertical="center" wrapText="1"/>
    </xf>
    <xf numFmtId="2" fontId="61" fillId="0" borderId="1" xfId="1259" applyNumberFormat="1" applyFont="1" applyBorder="1" applyAlignment="1">
      <alignment horizontal="center" vertical="center" wrapText="1"/>
    </xf>
    <xf numFmtId="167" fontId="63" fillId="0" borderId="1" xfId="0" applyNumberFormat="1" applyFont="1" applyBorder="1" applyAlignment="1">
      <alignment horizontal="center" vertical="center" wrapText="1"/>
    </xf>
    <xf numFmtId="165" fontId="63" fillId="0" borderId="1" xfId="0" applyFont="1" applyBorder="1" applyAlignment="1">
      <alignment vertical="center" wrapText="1"/>
    </xf>
    <xf numFmtId="165" fontId="63" fillId="0" borderId="1" xfId="0" applyFont="1" applyBorder="1" applyAlignment="1">
      <alignment horizontal="right" vertical="center" wrapText="1"/>
    </xf>
    <xf numFmtId="165" fontId="63" fillId="0" borderId="1" xfId="0" applyFont="1" applyBorder="1" applyAlignment="1">
      <alignment horizontal="left" vertical="center" wrapText="1"/>
    </xf>
    <xf numFmtId="167" fontId="61" fillId="0" borderId="1" xfId="0" applyNumberFormat="1" applyFont="1" applyBorder="1" applyAlignment="1">
      <alignment horizontal="center" vertical="center" wrapText="1"/>
    </xf>
    <xf numFmtId="165" fontId="61" fillId="0" borderId="1" xfId="0" applyFont="1" applyBorder="1" applyAlignment="1">
      <alignment vertical="center" wrapText="1"/>
    </xf>
    <xf numFmtId="166" fontId="61" fillId="0" borderId="1" xfId="0" applyNumberFormat="1" applyFont="1" applyBorder="1" applyAlignment="1">
      <alignment horizontal="center" vertical="center" wrapText="1"/>
    </xf>
    <xf numFmtId="165" fontId="61" fillId="0" borderId="1" xfId="0" applyFont="1" applyBorder="1" applyAlignment="1">
      <alignment horizontal="right" vertical="center" wrapText="1"/>
    </xf>
    <xf numFmtId="165" fontId="61" fillId="0" borderId="1" xfId="0" applyFont="1" applyBorder="1" applyAlignment="1">
      <alignment horizontal="center" vertical="center" wrapText="1"/>
    </xf>
    <xf numFmtId="168" fontId="61" fillId="0" borderId="1" xfId="0" applyNumberFormat="1" applyFont="1" applyBorder="1" applyAlignment="1">
      <alignment horizontal="right" vertical="center" wrapText="1"/>
    </xf>
    <xf numFmtId="165" fontId="61" fillId="0" borderId="1" xfId="0" applyFont="1" applyFill="1" applyBorder="1" applyAlignment="1">
      <alignment horizontal="left" vertical="center" wrapText="1"/>
    </xf>
    <xf numFmtId="1" fontId="61" fillId="0" borderId="1" xfId="2" applyNumberFormat="1" applyFont="1" applyFill="1" applyBorder="1" applyAlignment="1">
      <alignment horizontal="center" vertical="center" wrapText="1"/>
    </xf>
    <xf numFmtId="165" fontId="61" fillId="0" borderId="1" xfId="1260" applyNumberFormat="1" applyFont="1" applyFill="1" applyBorder="1" applyAlignment="1">
      <alignment horizontal="right" vertical="center"/>
    </xf>
    <xf numFmtId="2" fontId="61" fillId="0" borderId="1" xfId="2" applyNumberFormat="1" applyFont="1" applyFill="1" applyBorder="1" applyAlignment="1">
      <alignment horizontal="right" vertical="center" wrapText="1"/>
    </xf>
    <xf numFmtId="165" fontId="61" fillId="0" borderId="1" xfId="1260" applyNumberFormat="1" applyFont="1" applyBorder="1" applyAlignment="1">
      <alignment horizontal="left" vertical="center" wrapText="1"/>
    </xf>
    <xf numFmtId="165" fontId="61" fillId="0" borderId="1" xfId="1260" applyNumberFormat="1" applyFont="1" applyBorder="1" applyAlignment="1">
      <alignment horizontal="right" vertical="center" wrapText="1"/>
    </xf>
    <xf numFmtId="165" fontId="61" fillId="0" borderId="1" xfId="1260" applyNumberFormat="1" applyFont="1" applyFill="1" applyBorder="1" applyAlignment="1">
      <alignment vertical="center"/>
    </xf>
    <xf numFmtId="1" fontId="61" fillId="0" borderId="1" xfId="1260" applyNumberFormat="1" applyFont="1" applyFill="1" applyBorder="1" applyAlignment="1">
      <alignment horizontal="center" vertical="center"/>
    </xf>
    <xf numFmtId="166" fontId="61" fillId="0" borderId="1" xfId="1260" applyNumberFormat="1" applyFont="1" applyFill="1" applyBorder="1" applyAlignment="1">
      <alignment horizontal="center" vertical="center"/>
    </xf>
    <xf numFmtId="165" fontId="61" fillId="0" borderId="0" xfId="1260" applyNumberFormat="1" applyFont="1" applyFill="1" applyBorder="1" applyAlignment="1">
      <alignment vertical="center"/>
    </xf>
    <xf numFmtId="165" fontId="63" fillId="0" borderId="1" xfId="1260" applyNumberFormat="1" applyFont="1" applyFill="1" applyBorder="1" applyAlignment="1">
      <alignment horizontal="right" vertical="center"/>
    </xf>
    <xf numFmtId="2" fontId="63" fillId="0" borderId="1" xfId="2" applyNumberFormat="1" applyFont="1" applyFill="1" applyBorder="1" applyAlignment="1">
      <alignment horizontal="left" vertical="center" wrapText="1"/>
    </xf>
    <xf numFmtId="1" fontId="61" fillId="0" borderId="0" xfId="2" applyNumberFormat="1" applyFont="1" applyFill="1" applyBorder="1" applyAlignment="1">
      <alignment horizontal="center" vertical="center" wrapText="1"/>
    </xf>
    <xf numFmtId="165" fontId="61" fillId="0" borderId="0" xfId="1260" applyNumberFormat="1" applyFont="1" applyBorder="1" applyAlignment="1">
      <alignment horizontal="left" vertical="center" wrapText="1"/>
    </xf>
    <xf numFmtId="165" fontId="61" fillId="0" borderId="0" xfId="1260" applyNumberFormat="1" applyFont="1" applyFill="1" applyBorder="1" applyAlignment="1">
      <alignment horizontal="right" vertical="center"/>
    </xf>
    <xf numFmtId="165" fontId="61" fillId="0" borderId="1" xfId="1260" applyNumberFormat="1" applyFont="1" applyFill="1" applyBorder="1" applyAlignment="1" applyProtection="1">
      <alignment horizontal="left" vertical="center"/>
    </xf>
    <xf numFmtId="165" fontId="61" fillId="0" borderId="0" xfId="1260" applyNumberFormat="1" applyFont="1" applyFill="1" applyBorder="1" applyAlignment="1" applyProtection="1">
      <alignment horizontal="left" vertical="center"/>
    </xf>
    <xf numFmtId="166" fontId="61" fillId="0" borderId="1" xfId="1260" applyNumberFormat="1" applyFont="1" applyFill="1" applyBorder="1" applyAlignment="1" applyProtection="1">
      <alignment horizontal="center" vertical="center"/>
    </xf>
    <xf numFmtId="1" fontId="61" fillId="0" borderId="0" xfId="1260" applyNumberFormat="1" applyFont="1" applyFill="1" applyBorder="1" applyAlignment="1">
      <alignment horizontal="center" vertical="center"/>
    </xf>
    <xf numFmtId="165" fontId="63" fillId="0" borderId="0" xfId="1260" applyNumberFormat="1" applyFont="1" applyFill="1" applyBorder="1" applyAlignment="1">
      <alignment horizontal="right" vertical="center"/>
    </xf>
    <xf numFmtId="2" fontId="61" fillId="0" borderId="1" xfId="2" applyNumberFormat="1" applyFont="1" applyFill="1" applyBorder="1" applyAlignment="1">
      <alignment horizontal="left" vertical="center" wrapText="1"/>
    </xf>
    <xf numFmtId="2" fontId="61" fillId="0" borderId="0" xfId="2" applyNumberFormat="1" applyFont="1" applyFill="1" applyBorder="1" applyAlignment="1">
      <alignment vertical="center" wrapText="1"/>
    </xf>
    <xf numFmtId="165" fontId="63" fillId="0" borderId="0" xfId="1260" applyNumberFormat="1" applyFont="1" applyFill="1" applyBorder="1" applyAlignment="1">
      <alignment horizontal="left" vertical="center"/>
    </xf>
    <xf numFmtId="2" fontId="61" fillId="0" borderId="1" xfId="2" applyNumberFormat="1" applyFont="1" applyFill="1" applyBorder="1" applyAlignment="1">
      <alignment vertical="center" wrapText="1"/>
    </xf>
    <xf numFmtId="165" fontId="61" fillId="0" borderId="1" xfId="1260" applyNumberFormat="1" applyFont="1" applyFill="1" applyBorder="1" applyAlignment="1">
      <alignment horizontal="left" vertical="center" wrapText="1"/>
    </xf>
    <xf numFmtId="168" fontId="61" fillId="0" borderId="1" xfId="1260" applyNumberFormat="1" applyFont="1" applyFill="1" applyBorder="1" applyAlignment="1">
      <alignment horizontal="right" vertical="center"/>
    </xf>
    <xf numFmtId="168" fontId="61" fillId="0" borderId="0" xfId="1260" applyNumberFormat="1" applyFont="1" applyFill="1" applyBorder="1" applyAlignment="1">
      <alignment horizontal="right" vertical="center"/>
    </xf>
    <xf numFmtId="168" fontId="61" fillId="0" borderId="1" xfId="1260" applyNumberFormat="1" applyFont="1" applyFill="1" applyBorder="1" applyAlignment="1">
      <alignment horizontal="center" vertical="center"/>
    </xf>
    <xf numFmtId="165" fontId="61" fillId="0" borderId="1" xfId="1260" applyNumberFormat="1" applyFont="1" applyBorder="1" applyAlignment="1">
      <alignment vertical="center" wrapText="1"/>
    </xf>
    <xf numFmtId="166" fontId="61" fillId="0" borderId="1" xfId="1260" applyNumberFormat="1" applyFont="1" applyBorder="1" applyAlignment="1">
      <alignment horizontal="center" vertical="center" wrapText="1"/>
    </xf>
    <xf numFmtId="165" fontId="61" fillId="0" borderId="1" xfId="1260" applyNumberFormat="1" applyFont="1" applyBorder="1" applyAlignment="1">
      <alignment horizontal="center" vertical="center" wrapText="1"/>
    </xf>
    <xf numFmtId="165" fontId="61" fillId="0" borderId="0" xfId="1260" applyNumberFormat="1" applyFont="1" applyBorder="1" applyAlignment="1">
      <alignment horizontal="center" vertical="center" wrapText="1"/>
    </xf>
    <xf numFmtId="170" fontId="61" fillId="0" borderId="1" xfId="2" applyNumberFormat="1" applyFont="1" applyFill="1" applyBorder="1" applyAlignment="1">
      <alignment horizontal="right" vertical="center" wrapText="1"/>
    </xf>
    <xf numFmtId="168" fontId="63" fillId="0" borderId="1" xfId="1260" applyNumberFormat="1" applyFont="1" applyFill="1" applyBorder="1" applyAlignment="1">
      <alignment horizontal="right" vertical="center"/>
    </xf>
    <xf numFmtId="165" fontId="61" fillId="0" borderId="1" xfId="1260" applyNumberFormat="1" applyFont="1" applyFill="1" applyBorder="1" applyAlignment="1">
      <alignment horizontal="center" vertical="center"/>
    </xf>
    <xf numFmtId="165" fontId="61" fillId="0" borderId="0" xfId="1260" applyNumberFormat="1" applyFont="1" applyFill="1" applyBorder="1" applyAlignment="1">
      <alignment vertical="center" wrapText="1"/>
    </xf>
    <xf numFmtId="2" fontId="61" fillId="0" borderId="0" xfId="2" applyNumberFormat="1" applyFont="1" applyFill="1" applyBorder="1" applyAlignment="1">
      <alignment horizontal="left" vertical="center" wrapText="1"/>
    </xf>
    <xf numFmtId="0" fontId="65" fillId="0" borderId="0" xfId="1260" applyNumberFormat="1" applyFont="1" applyFill="1" applyBorder="1" applyAlignment="1">
      <alignment horizontal="center" vertical="center" wrapText="1"/>
    </xf>
    <xf numFmtId="0" fontId="63" fillId="0" borderId="0" xfId="1260" applyNumberFormat="1" applyFont="1" applyFill="1" applyBorder="1" applyAlignment="1">
      <alignment horizontal="center" vertical="center"/>
    </xf>
    <xf numFmtId="165" fontId="61" fillId="0" borderId="1" xfId="12" applyNumberFormat="1" applyFont="1" applyFill="1" applyBorder="1" applyAlignment="1">
      <alignment horizontal="center" vertical="center"/>
    </xf>
    <xf numFmtId="165" fontId="61" fillId="0" borderId="1" xfId="12" applyNumberFormat="1" applyFont="1" applyFill="1" applyBorder="1" applyAlignment="1">
      <alignment horizontal="right" vertical="center"/>
    </xf>
    <xf numFmtId="165" fontId="61" fillId="0" borderId="1" xfId="12" applyNumberFormat="1" applyFont="1" applyFill="1" applyBorder="1" applyAlignment="1">
      <alignment vertical="center" wrapText="1"/>
    </xf>
    <xf numFmtId="165" fontId="61" fillId="0" borderId="1" xfId="12" applyNumberFormat="1" applyFont="1" applyFill="1" applyBorder="1" applyAlignment="1">
      <alignment vertical="center"/>
    </xf>
    <xf numFmtId="165" fontId="63" fillId="0" borderId="1" xfId="12" applyNumberFormat="1" applyFont="1" applyFill="1" applyBorder="1" applyAlignment="1">
      <alignment vertical="center"/>
    </xf>
    <xf numFmtId="165" fontId="61" fillId="0" borderId="0" xfId="12" applyNumberFormat="1" applyFont="1" applyFill="1" applyBorder="1" applyAlignment="1">
      <alignment vertical="center"/>
    </xf>
    <xf numFmtId="166" fontId="61" fillId="0" borderId="1" xfId="12" applyNumberFormat="1" applyFont="1" applyFill="1" applyBorder="1" applyAlignment="1">
      <alignment horizontal="center" vertical="center"/>
    </xf>
    <xf numFmtId="165" fontId="63" fillId="0" borderId="1" xfId="12" applyNumberFormat="1" applyFont="1" applyFill="1" applyBorder="1" applyAlignment="1">
      <alignment horizontal="right" vertical="center"/>
    </xf>
    <xf numFmtId="165" fontId="63" fillId="0" borderId="0" xfId="12" applyNumberFormat="1" applyFont="1" applyFill="1" applyBorder="1" applyAlignment="1">
      <alignment horizontal="center" vertical="center"/>
    </xf>
    <xf numFmtId="165" fontId="61" fillId="0" borderId="0" xfId="12" applyNumberFormat="1" applyFont="1" applyFill="1" applyBorder="1" applyAlignment="1">
      <alignment horizontal="right" vertical="center"/>
    </xf>
    <xf numFmtId="166" fontId="61" fillId="0" borderId="0" xfId="12" applyNumberFormat="1" applyFont="1" applyFill="1" applyBorder="1" applyAlignment="1">
      <alignment vertical="center"/>
    </xf>
    <xf numFmtId="165" fontId="61" fillId="0" borderId="0" xfId="12" applyNumberFormat="1" applyFont="1" applyFill="1" applyBorder="1" applyAlignment="1">
      <alignment horizontal="center" vertical="center"/>
    </xf>
    <xf numFmtId="166" fontId="61" fillId="0" borderId="0" xfId="12" applyNumberFormat="1" applyFont="1" applyFill="1" applyBorder="1" applyAlignment="1">
      <alignment horizontal="center" vertical="center"/>
    </xf>
    <xf numFmtId="165" fontId="67" fillId="0" borderId="0" xfId="12" applyNumberFormat="1" applyFont="1" applyFill="1" applyBorder="1" applyAlignment="1">
      <alignment horizontal="center" vertical="center"/>
    </xf>
    <xf numFmtId="165" fontId="19" fillId="0" borderId="0" xfId="12" applyNumberFormat="1" applyFont="1" applyFill="1" applyBorder="1" applyAlignment="1">
      <alignment horizontal="center" vertical="center"/>
    </xf>
    <xf numFmtId="165" fontId="61" fillId="0" borderId="0" xfId="11" applyNumberFormat="1" applyFont="1" applyFill="1" applyBorder="1" applyAlignment="1">
      <alignment horizontal="center" vertical="center"/>
    </xf>
    <xf numFmtId="165" fontId="63" fillId="0" borderId="1" xfId="11" applyNumberFormat="1" applyFont="1" applyFill="1" applyBorder="1" applyAlignment="1">
      <alignment horizontal="center" vertical="center"/>
    </xf>
    <xf numFmtId="165" fontId="63" fillId="0" borderId="1" xfId="11" applyNumberFormat="1" applyFont="1" applyFill="1" applyBorder="1" applyAlignment="1">
      <alignment horizontal="left" vertical="center"/>
    </xf>
    <xf numFmtId="165" fontId="63" fillId="0" borderId="1" xfId="11" applyNumberFormat="1" applyFont="1" applyFill="1" applyBorder="1" applyAlignment="1">
      <alignment horizontal="center" vertical="center" wrapText="1"/>
    </xf>
    <xf numFmtId="165" fontId="63" fillId="0" borderId="0" xfId="11" applyNumberFormat="1" applyFont="1" applyFill="1" applyBorder="1" applyAlignment="1">
      <alignment horizontal="center" vertical="center"/>
    </xf>
    <xf numFmtId="167" fontId="61" fillId="0" borderId="1" xfId="2" applyNumberFormat="1" applyFont="1" applyFill="1" applyBorder="1" applyAlignment="1">
      <alignment vertical="center" wrapText="1"/>
    </xf>
    <xf numFmtId="166" fontId="61" fillId="0" borderId="1" xfId="0" applyNumberFormat="1" applyFont="1" applyFill="1" applyBorder="1" applyAlignment="1">
      <alignment horizontal="center" vertical="center"/>
    </xf>
    <xf numFmtId="165" fontId="61" fillId="0" borderId="1" xfId="0" applyFont="1" applyFill="1" applyBorder="1" applyAlignment="1">
      <alignment vertical="center"/>
    </xf>
    <xf numFmtId="165" fontId="61" fillId="0" borderId="0" xfId="0" applyFont="1" applyFill="1" applyBorder="1" applyAlignment="1">
      <alignment vertical="center"/>
    </xf>
    <xf numFmtId="1" fontId="61" fillId="0" borderId="1" xfId="0" applyNumberFormat="1" applyFont="1" applyFill="1" applyBorder="1" applyAlignment="1">
      <alignment horizontal="center" vertical="center"/>
    </xf>
    <xf numFmtId="165" fontId="61" fillId="0" borderId="1" xfId="0" applyFont="1" applyFill="1" applyBorder="1" applyAlignment="1">
      <alignment horizontal="center" vertical="center"/>
    </xf>
    <xf numFmtId="165" fontId="61" fillId="0" borderId="1" xfId="11" applyNumberFormat="1" applyFont="1" applyFill="1" applyBorder="1" applyAlignment="1">
      <alignment horizontal="center" vertical="center"/>
    </xf>
    <xf numFmtId="165" fontId="61" fillId="0" borderId="1" xfId="11" applyNumberFormat="1" applyFont="1" applyFill="1" applyBorder="1" applyAlignment="1">
      <alignment horizontal="left" vertical="center"/>
    </xf>
    <xf numFmtId="166" fontId="61" fillId="0" borderId="1" xfId="11" applyNumberFormat="1" applyFont="1" applyFill="1" applyBorder="1" applyAlignment="1">
      <alignment horizontal="center" vertical="center"/>
    </xf>
    <xf numFmtId="2" fontId="68" fillId="0" borderId="1" xfId="2" applyNumberFormat="1" applyFont="1" applyFill="1" applyBorder="1" applyAlignment="1">
      <alignment vertical="center" wrapText="1"/>
    </xf>
    <xf numFmtId="166" fontId="61" fillId="0" borderId="1" xfId="0" applyNumberFormat="1" applyFont="1" applyFill="1" applyBorder="1" applyAlignment="1">
      <alignment horizontal="right" vertical="center"/>
    </xf>
    <xf numFmtId="165" fontId="61" fillId="0" borderId="0" xfId="11" applyNumberFormat="1" applyFont="1" applyFill="1" applyBorder="1" applyAlignment="1">
      <alignment horizontal="left" vertical="center"/>
    </xf>
    <xf numFmtId="166" fontId="61" fillId="0" borderId="0" xfId="11" applyNumberFormat="1" applyFont="1" applyFill="1" applyBorder="1" applyAlignment="1">
      <alignment horizontal="center" vertical="center"/>
    </xf>
    <xf numFmtId="165" fontId="19" fillId="0" borderId="0" xfId="11" applyNumberFormat="1" applyFont="1" applyFill="1" applyBorder="1" applyAlignment="1">
      <alignment horizontal="center" vertical="center"/>
    </xf>
    <xf numFmtId="165" fontId="19" fillId="0" borderId="0" xfId="11" applyNumberFormat="1" applyFont="1" applyFill="1" applyBorder="1" applyAlignment="1">
      <alignment horizontal="left" vertical="center"/>
    </xf>
    <xf numFmtId="165" fontId="67" fillId="0" borderId="0" xfId="0" applyFont="1" applyFill="1" applyBorder="1" applyAlignment="1">
      <alignment horizontal="center" vertical="center"/>
    </xf>
    <xf numFmtId="165" fontId="67" fillId="0" borderId="0" xfId="0" applyFont="1" applyFill="1" applyBorder="1" applyAlignment="1">
      <alignment horizontal="right" vertical="center"/>
    </xf>
    <xf numFmtId="165" fontId="19" fillId="0" borderId="0" xfId="11" applyNumberFormat="1" applyFont="1" applyFill="1" applyBorder="1" applyAlignment="1">
      <alignment horizontal="right" vertical="center"/>
    </xf>
    <xf numFmtId="165" fontId="63" fillId="0" borderId="1" xfId="11" applyNumberFormat="1" applyFont="1" applyFill="1" applyBorder="1" applyAlignment="1">
      <alignment horizontal="right" vertical="center"/>
    </xf>
    <xf numFmtId="165" fontId="61" fillId="0" borderId="1" xfId="0" applyFont="1" applyFill="1" applyBorder="1" applyAlignment="1">
      <alignment horizontal="right" vertical="center"/>
    </xf>
    <xf numFmtId="165" fontId="61" fillId="0" borderId="1" xfId="10" applyNumberFormat="1" applyFont="1" applyFill="1" applyBorder="1" applyAlignment="1">
      <alignment horizontal="right" vertical="center"/>
    </xf>
    <xf numFmtId="165" fontId="61" fillId="0" borderId="1" xfId="11" applyNumberFormat="1" applyFont="1" applyFill="1" applyBorder="1" applyAlignment="1">
      <alignment horizontal="right" vertical="center"/>
    </xf>
    <xf numFmtId="165" fontId="63" fillId="0" borderId="1" xfId="0" applyFont="1" applyFill="1" applyBorder="1" applyAlignment="1">
      <alignment horizontal="right" vertical="center"/>
    </xf>
    <xf numFmtId="165" fontId="63" fillId="0" borderId="1" xfId="10" applyNumberFormat="1" applyFont="1" applyFill="1" applyBorder="1" applyAlignment="1">
      <alignment horizontal="right" vertical="center"/>
    </xf>
    <xf numFmtId="165" fontId="61" fillId="0" borderId="1" xfId="0" applyNumberFormat="1" applyFont="1" applyFill="1" applyBorder="1" applyAlignment="1">
      <alignment horizontal="right" vertical="center"/>
    </xf>
    <xf numFmtId="168" fontId="61" fillId="0" borderId="1" xfId="0" applyNumberFormat="1" applyFont="1" applyFill="1" applyBorder="1" applyAlignment="1">
      <alignment horizontal="right" vertical="center"/>
    </xf>
    <xf numFmtId="165" fontId="61" fillId="0" borderId="0" xfId="11" applyNumberFormat="1" applyFont="1" applyFill="1" applyBorder="1" applyAlignment="1">
      <alignment horizontal="right" vertical="center"/>
    </xf>
    <xf numFmtId="165" fontId="61" fillId="0" borderId="1" xfId="0" applyFont="1" applyFill="1" applyBorder="1" applyAlignment="1">
      <alignment horizontal="center" vertical="center" wrapText="1"/>
    </xf>
    <xf numFmtId="165" fontId="63" fillId="0" borderId="0" xfId="11" applyNumberFormat="1" applyFont="1" applyFill="1" applyBorder="1" applyAlignment="1">
      <alignment horizontal="left" vertical="center"/>
    </xf>
    <xf numFmtId="165" fontId="63" fillId="0" borderId="1" xfId="0" applyFont="1" applyFill="1" applyBorder="1" applyAlignment="1">
      <alignment horizontal="left" vertical="center"/>
    </xf>
    <xf numFmtId="165" fontId="69" fillId="0" borderId="1" xfId="0" applyFont="1" applyFill="1" applyBorder="1" applyAlignment="1">
      <alignment horizontal="left" vertical="center"/>
    </xf>
    <xf numFmtId="0" fontId="4" fillId="0" borderId="0" xfId="1260" applyFont="1" applyBorder="1" applyAlignment="1">
      <alignment vertical="center"/>
    </xf>
    <xf numFmtId="0" fontId="4" fillId="0" borderId="0" xfId="1260" applyFont="1" applyBorder="1" applyAlignment="1">
      <alignment horizontal="center" vertical="center"/>
    </xf>
    <xf numFmtId="0" fontId="4" fillId="0" borderId="0" xfId="1260" applyFont="1" applyBorder="1" applyAlignment="1">
      <alignment horizontal="right" vertical="center"/>
    </xf>
    <xf numFmtId="2" fontId="4" fillId="0" borderId="0" xfId="1260" applyNumberFormat="1" applyFont="1" applyBorder="1" applyAlignment="1">
      <alignment horizontal="right" vertical="center"/>
    </xf>
    <xf numFmtId="0" fontId="63" fillId="0" borderId="1" xfId="3" applyNumberFormat="1" applyFont="1" applyBorder="1" applyAlignment="1">
      <alignment horizontal="center" vertical="center" wrapText="1"/>
    </xf>
    <xf numFmtId="0" fontId="63" fillId="0" borderId="1" xfId="3" applyNumberFormat="1" applyFont="1" applyBorder="1" applyAlignment="1">
      <alignment horizontal="center" vertical="center"/>
    </xf>
    <xf numFmtId="0" fontId="61" fillId="0" borderId="1" xfId="3" applyNumberFormat="1" applyFont="1" applyBorder="1" applyAlignment="1">
      <alignment horizontal="center" vertical="center"/>
    </xf>
    <xf numFmtId="2" fontId="61" fillId="0" borderId="1" xfId="3" applyNumberFormat="1" applyFont="1" applyBorder="1" applyAlignment="1">
      <alignment horizontal="center" vertical="center"/>
    </xf>
    <xf numFmtId="0" fontId="61" fillId="0" borderId="1" xfId="3" applyNumberFormat="1" applyFont="1" applyBorder="1" applyAlignment="1">
      <alignment vertical="center"/>
    </xf>
    <xf numFmtId="0" fontId="61" fillId="0" borderId="1" xfId="3" applyNumberFormat="1" applyFont="1" applyBorder="1" applyAlignment="1">
      <alignment horizontal="left" vertical="center" wrapText="1"/>
    </xf>
    <xf numFmtId="0" fontId="61" fillId="0" borderId="1" xfId="3" applyNumberFormat="1" applyFont="1" applyBorder="1" applyAlignment="1">
      <alignment horizontal="left" vertical="center"/>
    </xf>
    <xf numFmtId="0" fontId="61" fillId="0" borderId="1" xfId="3" applyNumberFormat="1" applyFont="1" applyBorder="1" applyAlignment="1">
      <alignment vertical="center" wrapText="1"/>
    </xf>
    <xf numFmtId="0" fontId="61" fillId="0" borderId="0" xfId="3" applyNumberFormat="1" applyFont="1" applyBorder="1" applyAlignment="1">
      <alignment vertical="center"/>
    </xf>
    <xf numFmtId="0" fontId="61" fillId="0" borderId="0" xfId="3" applyNumberFormat="1" applyFont="1" applyBorder="1" applyAlignment="1">
      <alignment horizontal="center" vertical="center"/>
    </xf>
    <xf numFmtId="0" fontId="63" fillId="0" borderId="1" xfId="3" applyNumberFormat="1" applyFont="1" applyBorder="1" applyAlignment="1">
      <alignment horizontal="right" vertical="center"/>
    </xf>
    <xf numFmtId="2" fontId="61" fillId="0" borderId="1" xfId="3" applyNumberFormat="1" applyFont="1" applyBorder="1" applyAlignment="1">
      <alignment horizontal="right" vertical="center"/>
    </xf>
    <xf numFmtId="0" fontId="61" fillId="0" borderId="1" xfId="3" applyNumberFormat="1" applyFont="1" applyBorder="1" applyAlignment="1">
      <alignment horizontal="right" vertical="center"/>
    </xf>
    <xf numFmtId="0" fontId="61" fillId="0" borderId="1" xfId="3" applyNumberFormat="1" applyFont="1" applyFill="1" applyBorder="1" applyAlignment="1">
      <alignment horizontal="right" vertical="center"/>
    </xf>
    <xf numFmtId="2" fontId="61" fillId="0" borderId="1" xfId="3" applyNumberFormat="1" applyFont="1" applyFill="1" applyBorder="1" applyAlignment="1">
      <alignment horizontal="right" vertical="center"/>
    </xf>
    <xf numFmtId="2" fontId="63" fillId="0" borderId="1" xfId="3" applyNumberFormat="1" applyFont="1" applyBorder="1" applyAlignment="1">
      <alignment horizontal="right" vertical="center"/>
    </xf>
    <xf numFmtId="2" fontId="63" fillId="0" borderId="1" xfId="3" applyNumberFormat="1" applyFont="1" applyFill="1" applyBorder="1" applyAlignment="1">
      <alignment horizontal="right" vertical="center"/>
    </xf>
    <xf numFmtId="170" fontId="61" fillId="0" borderId="1" xfId="3" applyNumberFormat="1" applyFont="1" applyBorder="1" applyAlignment="1">
      <alignment horizontal="right" vertical="center"/>
    </xf>
    <xf numFmtId="171" fontId="61" fillId="0" borderId="1" xfId="3" applyNumberFormat="1" applyFont="1" applyFill="1" applyBorder="1" applyAlignment="1">
      <alignment horizontal="right" vertical="center"/>
    </xf>
    <xf numFmtId="0" fontId="63" fillId="0" borderId="1" xfId="3" applyNumberFormat="1" applyFont="1" applyBorder="1" applyAlignment="1">
      <alignment horizontal="left" vertical="center"/>
    </xf>
    <xf numFmtId="2" fontId="63" fillId="0" borderId="1" xfId="3" applyNumberFormat="1" applyFont="1" applyBorder="1" applyAlignment="1">
      <alignment horizontal="left" vertical="center"/>
    </xf>
    <xf numFmtId="0" fontId="19" fillId="0" borderId="0" xfId="3" applyNumberFormat="1" applyFont="1" applyBorder="1" applyAlignment="1">
      <alignment horizontal="center" vertical="center" wrapText="1"/>
    </xf>
    <xf numFmtId="0" fontId="61" fillId="0" borderId="0" xfId="3" applyNumberFormat="1" applyFont="1" applyBorder="1" applyAlignment="1">
      <alignment horizontal="right" vertical="center"/>
    </xf>
    <xf numFmtId="0" fontId="61" fillId="0" borderId="0" xfId="3" applyNumberFormat="1" applyFont="1" applyFill="1" applyBorder="1" applyAlignment="1">
      <alignment horizontal="right" vertical="center"/>
    </xf>
    <xf numFmtId="0" fontId="61" fillId="0" borderId="0" xfId="3" applyNumberFormat="1" applyFont="1" applyBorder="1" applyAlignment="1">
      <alignment horizontal="left" vertical="center"/>
    </xf>
    <xf numFmtId="0" fontId="63" fillId="0" borderId="3" xfId="3" applyNumberFormat="1" applyFont="1" applyBorder="1" applyAlignment="1">
      <alignment vertical="center"/>
    </xf>
    <xf numFmtId="0" fontId="63" fillId="0" borderId="2" xfId="3" applyNumberFormat="1" applyFont="1" applyBorder="1" applyAlignment="1">
      <alignment horizontal="center" vertical="center"/>
    </xf>
    <xf numFmtId="0" fontId="19" fillId="0" borderId="0" xfId="3" applyNumberFormat="1" applyFont="1" applyBorder="1" applyAlignment="1">
      <alignment horizontal="right" vertical="center" wrapText="1"/>
    </xf>
    <xf numFmtId="0" fontId="61" fillId="3" borderId="1" xfId="3" applyNumberFormat="1" applyFont="1" applyFill="1" applyBorder="1" applyAlignment="1">
      <alignment vertical="center" wrapText="1"/>
    </xf>
    <xf numFmtId="165" fontId="50" fillId="3" borderId="0" xfId="0" applyFont="1" applyFill="1" applyBorder="1" applyAlignment="1">
      <alignment horizontal="center" vertical="center"/>
    </xf>
    <xf numFmtId="165" fontId="61" fillId="0" borderId="1" xfId="0" applyFont="1" applyBorder="1" applyAlignment="1">
      <alignment horizontal="right" vertical="center"/>
    </xf>
    <xf numFmtId="166" fontId="61" fillId="0" borderId="1" xfId="0" applyNumberFormat="1" applyFont="1" applyBorder="1" applyAlignment="1">
      <alignment horizontal="center" vertical="center"/>
    </xf>
    <xf numFmtId="165" fontId="61" fillId="0" borderId="1" xfId="0" applyFont="1" applyBorder="1" applyAlignment="1">
      <alignment horizontal="center" vertical="center"/>
    </xf>
    <xf numFmtId="169" fontId="61" fillId="0" borderId="1" xfId="0" applyNumberFormat="1" applyFont="1" applyBorder="1" applyAlignment="1">
      <alignment horizontal="right" vertical="center"/>
    </xf>
    <xf numFmtId="165" fontId="61" fillId="0" borderId="0" xfId="0" applyFont="1" applyBorder="1" applyAlignment="1">
      <alignment horizontal="right" vertical="center"/>
    </xf>
    <xf numFmtId="166" fontId="61" fillId="0" borderId="0" xfId="0" applyNumberFormat="1" applyFont="1" applyBorder="1" applyAlignment="1">
      <alignment horizontal="center" vertical="center"/>
    </xf>
    <xf numFmtId="165" fontId="61" fillId="0" borderId="0" xfId="0" applyFont="1" applyBorder="1" applyAlignment="1">
      <alignment horizontal="center" vertical="center"/>
    </xf>
    <xf numFmtId="165" fontId="61" fillId="0" borderId="0" xfId="0" applyFont="1" applyBorder="1" applyAlignment="1">
      <alignment vertical="center"/>
    </xf>
    <xf numFmtId="169" fontId="61" fillId="0" borderId="0" xfId="0" applyNumberFormat="1" applyFont="1" applyBorder="1" applyAlignment="1">
      <alignment horizontal="right" vertical="center"/>
    </xf>
    <xf numFmtId="165" fontId="63" fillId="0" borderId="1" xfId="0" applyFont="1" applyBorder="1" applyAlignment="1">
      <alignment horizontal="right" vertical="center"/>
    </xf>
    <xf numFmtId="168" fontId="63" fillId="0" borderId="1" xfId="0" applyNumberFormat="1" applyFont="1" applyFill="1" applyBorder="1" applyAlignment="1">
      <alignment horizontal="right" vertical="center" wrapText="1"/>
    </xf>
    <xf numFmtId="165" fontId="50" fillId="0" borderId="1" xfId="0" applyFont="1" applyFill="1" applyBorder="1" applyAlignment="1">
      <alignment horizontal="right" vertical="center" wrapText="1"/>
    </xf>
    <xf numFmtId="165" fontId="63" fillId="3" borderId="1" xfId="0" applyFont="1" applyFill="1" applyBorder="1" applyAlignment="1">
      <alignment vertical="center" wrapText="1"/>
    </xf>
    <xf numFmtId="165" fontId="64" fillId="3" borderId="1" xfId="0" applyFont="1" applyFill="1" applyBorder="1" applyAlignment="1">
      <alignment vertical="center" wrapText="1"/>
    </xf>
    <xf numFmtId="166" fontId="6" fillId="3" borderId="1" xfId="0" applyNumberFormat="1" applyFont="1" applyFill="1" applyBorder="1" applyAlignment="1">
      <alignment horizontal="center" vertical="center"/>
    </xf>
    <xf numFmtId="165" fontId="6" fillId="3" borderId="1" xfId="0" applyFont="1" applyFill="1" applyBorder="1" applyAlignment="1">
      <alignment horizontal="center" vertical="center"/>
    </xf>
    <xf numFmtId="2" fontId="6" fillId="3" borderId="2" xfId="0" applyNumberFormat="1" applyFont="1" applyFill="1" applyBorder="1" applyAlignment="1">
      <alignment horizontal="right" vertical="center" wrapText="1"/>
    </xf>
    <xf numFmtId="165" fontId="61" fillId="3" borderId="1" xfId="0" applyFont="1" applyFill="1" applyBorder="1" applyAlignment="1">
      <alignment vertical="center" wrapText="1"/>
    </xf>
    <xf numFmtId="2" fontId="6" fillId="3" borderId="1" xfId="0" applyNumberFormat="1" applyFont="1" applyFill="1" applyBorder="1" applyAlignment="1">
      <alignment horizontal="right" vertical="center"/>
    </xf>
    <xf numFmtId="165" fontId="6" fillId="3" borderId="1" xfId="0" applyFont="1" applyFill="1" applyBorder="1" applyAlignment="1">
      <alignment horizontal="right" vertical="center"/>
    </xf>
    <xf numFmtId="165" fontId="58" fillId="3" borderId="1" xfId="0" applyFont="1" applyFill="1" applyBorder="1" applyAlignment="1">
      <alignment horizontal="right" vertical="center"/>
    </xf>
    <xf numFmtId="2" fontId="58" fillId="3" borderId="2" xfId="0" applyNumberFormat="1" applyFont="1" applyFill="1" applyBorder="1" applyAlignment="1">
      <alignment horizontal="right" vertical="center"/>
    </xf>
    <xf numFmtId="0" fontId="61" fillId="3" borderId="1" xfId="20" applyFont="1" applyFill="1" applyBorder="1" applyAlignment="1">
      <alignment vertical="center" wrapText="1"/>
    </xf>
    <xf numFmtId="165" fontId="6" fillId="3" borderId="1" xfId="0" applyFont="1" applyFill="1" applyBorder="1" applyAlignment="1">
      <alignment vertical="center" wrapText="1"/>
    </xf>
    <xf numFmtId="0" fontId="3" fillId="0" borderId="0" xfId="1256" applyFont="1" applyAlignment="1">
      <alignment vertical="center"/>
    </xf>
    <xf numFmtId="0" fontId="58" fillId="0" borderId="0" xfId="1256" applyNumberFormat="1" applyFont="1" applyBorder="1" applyAlignment="1">
      <alignment horizontal="center" vertical="center" wrapText="1"/>
    </xf>
    <xf numFmtId="0" fontId="58" fillId="0" borderId="0" xfId="1256" applyFont="1" applyBorder="1" applyAlignment="1">
      <alignment horizontal="center" vertical="center"/>
    </xf>
    <xf numFmtId="0" fontId="3" fillId="0" borderId="0" xfId="1256" applyFont="1" applyBorder="1" applyAlignment="1">
      <alignment vertical="center"/>
    </xf>
    <xf numFmtId="0" fontId="3" fillId="0" borderId="1" xfId="1256" applyFont="1" applyBorder="1" applyAlignment="1">
      <alignment horizontal="center" vertical="center"/>
    </xf>
    <xf numFmtId="1" fontId="3" fillId="0" borderId="1" xfId="1256" applyNumberFormat="1" applyFont="1" applyBorder="1" applyAlignment="1">
      <alignment horizontal="center" vertical="center"/>
    </xf>
    <xf numFmtId="0" fontId="3" fillId="0" borderId="1" xfId="1256" applyFont="1" applyBorder="1" applyAlignment="1">
      <alignment horizontal="left" vertical="center" wrapText="1"/>
    </xf>
    <xf numFmtId="2" fontId="3" fillId="0" borderId="1" xfId="1256" applyNumberFormat="1" applyFont="1" applyBorder="1" applyAlignment="1">
      <alignment horizontal="center" vertical="center"/>
    </xf>
    <xf numFmtId="0" fontId="3" fillId="0" borderId="0" xfId="1256" applyFont="1" applyFill="1" applyAlignment="1">
      <alignment vertical="center"/>
    </xf>
    <xf numFmtId="165" fontId="61" fillId="0" borderId="1" xfId="1256" applyNumberFormat="1" applyFont="1" applyFill="1" applyBorder="1" applyAlignment="1">
      <alignment vertical="center" wrapText="1"/>
    </xf>
    <xf numFmtId="2" fontId="3" fillId="0" borderId="0" xfId="1256" applyNumberFormat="1" applyFont="1" applyAlignment="1">
      <alignment vertical="center"/>
    </xf>
    <xf numFmtId="0" fontId="3" fillId="0" borderId="1" xfId="1256" applyFont="1" applyFill="1" applyBorder="1" applyAlignment="1">
      <alignment horizontal="left" vertical="center" wrapText="1"/>
    </xf>
    <xf numFmtId="165" fontId="61" fillId="0" borderId="1" xfId="0" applyNumberFormat="1" applyFont="1" applyBorder="1" applyAlignment="1">
      <alignment horizontal="center" vertical="center"/>
    </xf>
    <xf numFmtId="165" fontId="61" fillId="0" borderId="1" xfId="0" applyFont="1" applyBorder="1" applyAlignment="1">
      <alignment horizontal="left" vertical="center"/>
    </xf>
    <xf numFmtId="165" fontId="63" fillId="0" borderId="1" xfId="0" applyFont="1" applyBorder="1" applyAlignment="1">
      <alignment horizontal="left" vertical="center"/>
    </xf>
    <xf numFmtId="168" fontId="63" fillId="0" borderId="1" xfId="0" applyNumberFormat="1" applyFont="1" applyBorder="1" applyAlignment="1">
      <alignment horizontal="right" vertical="center"/>
    </xf>
    <xf numFmtId="166" fontId="3" fillId="3" borderId="1" xfId="0" applyNumberFormat="1" applyFont="1" applyFill="1" applyBorder="1" applyAlignment="1">
      <alignment horizontal="center" vertical="center"/>
    </xf>
    <xf numFmtId="2" fontId="61" fillId="3" borderId="1" xfId="2" applyNumberFormat="1" applyFont="1" applyFill="1" applyBorder="1" applyAlignment="1">
      <alignment horizontal="right" vertical="center" wrapText="1"/>
    </xf>
    <xf numFmtId="1" fontId="61" fillId="3" borderId="1" xfId="2" applyNumberFormat="1" applyFont="1" applyFill="1" applyBorder="1" applyAlignment="1">
      <alignment horizontal="center" vertical="center" wrapText="1"/>
    </xf>
    <xf numFmtId="165" fontId="61" fillId="3" borderId="1" xfId="1260" applyNumberFormat="1" applyFont="1" applyFill="1" applyBorder="1" applyAlignment="1">
      <alignment horizontal="right" vertical="center"/>
    </xf>
    <xf numFmtId="165" fontId="61" fillId="3" borderId="1" xfId="1260" applyNumberFormat="1" applyFont="1" applyFill="1" applyBorder="1" applyAlignment="1">
      <alignment vertical="center"/>
    </xf>
    <xf numFmtId="1" fontId="61" fillId="3" borderId="1" xfId="1260" applyNumberFormat="1" applyFont="1" applyFill="1" applyBorder="1" applyAlignment="1">
      <alignment horizontal="center" vertical="center"/>
    </xf>
    <xf numFmtId="165" fontId="61" fillId="3" borderId="0" xfId="12" applyNumberFormat="1" applyFont="1" applyFill="1" applyBorder="1" applyAlignment="1">
      <alignment vertical="center"/>
    </xf>
    <xf numFmtId="0" fontId="3" fillId="0" borderId="0" xfId="1256" applyFont="1" applyAlignment="1">
      <alignment horizontal="center" vertical="center"/>
    </xf>
    <xf numFmtId="0" fontId="20" fillId="0" borderId="0" xfId="1256" applyFont="1" applyAlignment="1">
      <alignment horizontal="center" vertical="center"/>
    </xf>
    <xf numFmtId="0" fontId="20" fillId="0" borderId="0" xfId="1256" applyFont="1" applyAlignment="1">
      <alignment horizontal="right" vertical="center"/>
    </xf>
    <xf numFmtId="0" fontId="58" fillId="0" borderId="0" xfId="1256" applyNumberFormat="1" applyFont="1" applyBorder="1" applyAlignment="1">
      <alignment horizontal="right" vertical="center" wrapText="1"/>
    </xf>
    <xf numFmtId="2" fontId="58" fillId="0" borderId="0" xfId="1256" applyNumberFormat="1" applyFont="1" applyBorder="1" applyAlignment="1">
      <alignment horizontal="right" vertical="center" wrapText="1"/>
    </xf>
    <xf numFmtId="0" fontId="3" fillId="0" borderId="1" xfId="1256" applyFont="1" applyBorder="1" applyAlignment="1">
      <alignment horizontal="right" vertical="center"/>
    </xf>
    <xf numFmtId="2" fontId="58" fillId="0" borderId="1" xfId="1256" applyNumberFormat="1" applyFont="1" applyBorder="1" applyAlignment="1">
      <alignment horizontal="right" vertical="center"/>
    </xf>
    <xf numFmtId="2" fontId="3" fillId="0" borderId="1" xfId="1256" applyNumberFormat="1" applyFont="1" applyBorder="1" applyAlignment="1">
      <alignment horizontal="right" vertical="center"/>
    </xf>
    <xf numFmtId="2" fontId="3" fillId="3" borderId="1" xfId="1256" applyNumberFormat="1" applyFont="1" applyFill="1" applyBorder="1" applyAlignment="1">
      <alignment horizontal="right" vertical="center"/>
    </xf>
    <xf numFmtId="2" fontId="58" fillId="0" borderId="1" xfId="1256" applyNumberFormat="1" applyFont="1" applyFill="1" applyBorder="1" applyAlignment="1">
      <alignment horizontal="right" vertical="center"/>
    </xf>
    <xf numFmtId="2" fontId="3" fillId="0" borderId="1" xfId="1256" applyNumberFormat="1" applyFont="1" applyBorder="1" applyAlignment="1">
      <alignment horizontal="right" vertical="center" wrapText="1"/>
    </xf>
    <xf numFmtId="170" fontId="58" fillId="0" borderId="1" xfId="1256" applyNumberFormat="1" applyFont="1" applyBorder="1" applyAlignment="1">
      <alignment horizontal="right" vertical="center"/>
    </xf>
    <xf numFmtId="0" fontId="3" fillId="0" borderId="0" xfId="1256" applyFont="1" applyAlignment="1">
      <alignment horizontal="right" vertical="center"/>
    </xf>
    <xf numFmtId="0" fontId="20" fillId="0" borderId="0" xfId="1256" applyFont="1" applyAlignment="1">
      <alignment horizontal="left" vertical="center"/>
    </xf>
    <xf numFmtId="0" fontId="58" fillId="0" borderId="0" xfId="1256" applyNumberFormat="1" applyFont="1" applyBorder="1" applyAlignment="1">
      <alignment horizontal="left" vertical="center" wrapText="1"/>
    </xf>
    <xf numFmtId="0" fontId="3" fillId="0" borderId="1" xfId="1256" applyFont="1" applyFill="1" applyBorder="1" applyAlignment="1">
      <alignment horizontal="left" vertical="center"/>
    </xf>
    <xf numFmtId="0" fontId="3" fillId="0" borderId="1" xfId="1256" applyFont="1" applyBorder="1" applyAlignment="1">
      <alignment horizontal="left" vertical="center"/>
    </xf>
    <xf numFmtId="0" fontId="58" fillId="0" borderId="1" xfId="1256" applyFont="1" applyBorder="1" applyAlignment="1">
      <alignment horizontal="left" vertical="center"/>
    </xf>
    <xf numFmtId="0" fontId="3" fillId="0" borderId="0" xfId="1256" applyFont="1" applyAlignment="1">
      <alignment horizontal="left" vertical="center"/>
    </xf>
    <xf numFmtId="2" fontId="3" fillId="0" borderId="1" xfId="1256" applyNumberFormat="1" applyFont="1" applyFill="1" applyBorder="1" applyAlignment="1">
      <alignment horizontal="right" vertical="center"/>
    </xf>
    <xf numFmtId="165" fontId="61" fillId="3" borderId="1" xfId="0" applyFont="1" applyFill="1" applyBorder="1" applyAlignment="1">
      <alignment horizontal="right" vertical="center"/>
    </xf>
    <xf numFmtId="165" fontId="61" fillId="0" borderId="0" xfId="0" applyFont="1" applyBorder="1" applyAlignment="1">
      <alignment horizontal="left" vertical="center"/>
    </xf>
    <xf numFmtId="165" fontId="61" fillId="0" borderId="0" xfId="0" applyFont="1" applyBorder="1" applyAlignment="1">
      <alignment vertical="center" wrapText="1"/>
    </xf>
    <xf numFmtId="165" fontId="61" fillId="0" borderId="1" xfId="0" applyFont="1" applyFill="1" applyBorder="1" applyAlignment="1">
      <alignment horizontal="right" vertical="center" wrapText="1"/>
    </xf>
    <xf numFmtId="0" fontId="52" fillId="0" borderId="1" xfId="0" applyNumberFormat="1" applyFont="1" applyFill="1" applyBorder="1" applyAlignment="1">
      <alignment horizontal="center" vertical="center" wrapText="1"/>
    </xf>
    <xf numFmtId="2" fontId="50" fillId="0" borderId="1" xfId="0" applyNumberFormat="1" applyFont="1" applyFill="1" applyBorder="1" applyAlignment="1">
      <alignment horizontal="right" vertical="center"/>
    </xf>
    <xf numFmtId="165" fontId="50" fillId="0" borderId="1" xfId="0" applyFont="1" applyFill="1" applyBorder="1" applyAlignment="1">
      <alignment horizontal="center" vertical="center"/>
    </xf>
    <xf numFmtId="167" fontId="63" fillId="0" borderId="1" xfId="1259" applyNumberFormat="1" applyFont="1" applyBorder="1" applyAlignment="1">
      <alignment horizontal="center" vertical="center" wrapText="1"/>
    </xf>
    <xf numFmtId="165" fontId="61" fillId="0" borderId="1" xfId="0" applyFont="1" applyBorder="1" applyAlignment="1">
      <alignment horizontal="left" vertical="center" wrapText="1"/>
    </xf>
    <xf numFmtId="165" fontId="61" fillId="3" borderId="1" xfId="1260" applyNumberFormat="1" applyFont="1" applyFill="1" applyBorder="1" applyAlignment="1">
      <alignment horizontal="center" vertical="center"/>
    </xf>
    <xf numFmtId="165" fontId="61" fillId="3" borderId="1" xfId="1260" applyNumberFormat="1" applyFont="1" applyFill="1" applyBorder="1" applyAlignment="1">
      <alignment horizontal="left" vertical="center"/>
    </xf>
    <xf numFmtId="165" fontId="61" fillId="3" borderId="1" xfId="0" applyFont="1" applyFill="1" applyBorder="1" applyAlignment="1">
      <alignment horizontal="right" vertical="center" wrapText="1"/>
    </xf>
    <xf numFmtId="0" fontId="61" fillId="0" borderId="1" xfId="1259" applyNumberFormat="1" applyFont="1" applyBorder="1" applyAlignment="1">
      <alignment horizontal="center" vertical="center" wrapText="1"/>
    </xf>
    <xf numFmtId="167" fontId="61" fillId="0" borderId="1" xfId="0" applyNumberFormat="1" applyFont="1" applyFill="1" applyBorder="1" applyAlignment="1">
      <alignment horizontal="center" vertical="center" wrapText="1"/>
    </xf>
    <xf numFmtId="166" fontId="61" fillId="0" borderId="1" xfId="0" applyNumberFormat="1" applyFont="1" applyFill="1" applyBorder="1" applyAlignment="1">
      <alignment horizontal="center" vertical="center" wrapText="1"/>
    </xf>
    <xf numFmtId="0" fontId="61" fillId="0" borderId="1" xfId="1259" applyFont="1" applyBorder="1" applyAlignment="1">
      <alignment horizontal="center" vertical="center" wrapText="1"/>
    </xf>
    <xf numFmtId="0" fontId="61" fillId="0" borderId="1" xfId="1259" applyFont="1" applyFill="1" applyBorder="1" applyAlignment="1">
      <alignment horizontal="left" vertical="center" wrapText="1"/>
    </xf>
    <xf numFmtId="165" fontId="73" fillId="0" borderId="0" xfId="0" applyFont="1" applyFill="1" applyBorder="1" applyAlignment="1">
      <alignment vertical="center"/>
    </xf>
    <xf numFmtId="0" fontId="73" fillId="0" borderId="1" xfId="1264" applyNumberFormat="1" applyFont="1" applyFill="1" applyBorder="1" applyAlignment="1">
      <alignment horizontal="center" vertical="center"/>
    </xf>
    <xf numFmtId="1" fontId="22" fillId="0" borderId="1" xfId="2" applyNumberFormat="1" applyFont="1" applyFill="1" applyBorder="1" applyAlignment="1">
      <alignment horizontal="center" vertical="center" wrapText="1"/>
    </xf>
    <xf numFmtId="165" fontId="22" fillId="0" borderId="1" xfId="1264" applyNumberFormat="1" applyFont="1" applyFill="1" applyBorder="1" applyAlignment="1">
      <alignment horizontal="right" vertical="center"/>
    </xf>
    <xf numFmtId="165" fontId="22" fillId="0" borderId="0" xfId="0" applyFont="1" applyFill="1" applyBorder="1" applyAlignment="1">
      <alignment vertical="center"/>
    </xf>
    <xf numFmtId="165" fontId="73" fillId="0" borderId="1" xfId="0" applyFont="1" applyFill="1" applyBorder="1" applyAlignment="1">
      <alignment vertical="center" wrapText="1"/>
    </xf>
    <xf numFmtId="166" fontId="22" fillId="0" borderId="1" xfId="1264" applyNumberFormat="1" applyFont="1" applyFill="1" applyBorder="1" applyAlignment="1">
      <alignment horizontal="center" vertical="center"/>
    </xf>
    <xf numFmtId="2" fontId="22" fillId="0" borderId="1" xfId="2" applyNumberFormat="1" applyFont="1" applyFill="1" applyBorder="1" applyAlignment="1">
      <alignment horizontal="left" vertical="center" wrapText="1"/>
    </xf>
    <xf numFmtId="1" fontId="22" fillId="0" borderId="1" xfId="1264" applyNumberFormat="1" applyFont="1" applyFill="1" applyBorder="1" applyAlignment="1">
      <alignment horizontal="center" vertical="center"/>
    </xf>
    <xf numFmtId="165" fontId="22" fillId="0" borderId="1" xfId="1264" applyNumberFormat="1" applyFont="1" applyFill="1" applyBorder="1" applyAlignment="1">
      <alignment horizontal="left" vertical="center" wrapText="1"/>
    </xf>
    <xf numFmtId="165" fontId="22" fillId="0" borderId="0" xfId="1264" applyNumberFormat="1" applyFont="1" applyFill="1" applyBorder="1" applyAlignment="1">
      <alignment horizontal="left" vertical="center"/>
    </xf>
    <xf numFmtId="1" fontId="22" fillId="0" borderId="0" xfId="1264" applyNumberFormat="1" applyFont="1" applyFill="1" applyBorder="1" applyAlignment="1">
      <alignment horizontal="center" vertical="center"/>
    </xf>
    <xf numFmtId="166" fontId="22" fillId="0" borderId="0" xfId="1264" applyNumberFormat="1" applyFont="1" applyFill="1" applyBorder="1" applyAlignment="1">
      <alignment horizontal="center" vertical="center"/>
    </xf>
    <xf numFmtId="165" fontId="22" fillId="0" borderId="0" xfId="1264" applyNumberFormat="1" applyFont="1" applyFill="1" applyBorder="1" applyAlignment="1">
      <alignment horizontal="center" vertical="center"/>
    </xf>
    <xf numFmtId="165" fontId="22" fillId="0" borderId="1" xfId="1264" applyNumberFormat="1" applyFont="1" applyFill="1" applyBorder="1" applyAlignment="1">
      <alignment horizontal="center" vertical="center"/>
    </xf>
    <xf numFmtId="169" fontId="22" fillId="0" borderId="1" xfId="1264" applyNumberFormat="1" applyFont="1" applyFill="1" applyBorder="1" applyAlignment="1">
      <alignment horizontal="center" vertical="center"/>
    </xf>
    <xf numFmtId="165" fontId="73" fillId="0" borderId="1" xfId="1264" applyNumberFormat="1" applyFont="1" applyFill="1" applyBorder="1" applyAlignment="1">
      <alignment horizontal="right" vertical="center"/>
    </xf>
    <xf numFmtId="165" fontId="73" fillId="0" borderId="1" xfId="1264" applyNumberFormat="1" applyFont="1" applyFill="1" applyBorder="1" applyAlignment="1">
      <alignment horizontal="left" vertical="center"/>
    </xf>
    <xf numFmtId="1" fontId="22" fillId="27" borderId="1" xfId="2" applyNumberFormat="1" applyFont="1" applyFill="1" applyBorder="1" applyAlignment="1">
      <alignment horizontal="center" vertical="center" wrapText="1"/>
    </xf>
    <xf numFmtId="165" fontId="73" fillId="27" borderId="1" xfId="1264" applyNumberFormat="1" applyFont="1" applyFill="1" applyBorder="1" applyAlignment="1">
      <alignment horizontal="right" vertical="center"/>
    </xf>
    <xf numFmtId="165" fontId="22" fillId="27" borderId="0" xfId="0" applyFont="1" applyFill="1" applyBorder="1" applyAlignment="1">
      <alignment vertical="center"/>
    </xf>
    <xf numFmtId="2" fontId="22" fillId="27" borderId="1" xfId="2" applyNumberFormat="1" applyFont="1" applyFill="1" applyBorder="1" applyAlignment="1">
      <alignment horizontal="left" vertical="center" wrapText="1"/>
    </xf>
    <xf numFmtId="166" fontId="22" fillId="27" borderId="1" xfId="1264" applyNumberFormat="1" applyFont="1" applyFill="1" applyBorder="1" applyAlignment="1">
      <alignment horizontal="center" vertical="center"/>
    </xf>
    <xf numFmtId="165" fontId="22" fillId="27" borderId="1" xfId="1264" applyNumberFormat="1" applyFont="1" applyFill="1" applyBorder="1" applyAlignment="1">
      <alignment horizontal="right" vertical="center"/>
    </xf>
    <xf numFmtId="1" fontId="22" fillId="0" borderId="1" xfId="0" applyNumberFormat="1" applyFont="1" applyFill="1" applyBorder="1" applyAlignment="1">
      <alignment horizontal="center" vertical="center"/>
    </xf>
    <xf numFmtId="165" fontId="22" fillId="0" borderId="1" xfId="0" applyFont="1" applyFill="1" applyBorder="1" applyAlignment="1">
      <alignment horizontal="center" vertical="center"/>
    </xf>
    <xf numFmtId="165" fontId="22" fillId="0" borderId="1" xfId="0" applyFont="1" applyFill="1" applyBorder="1" applyAlignment="1">
      <alignment horizontal="right" vertical="center"/>
    </xf>
    <xf numFmtId="165" fontId="22" fillId="0" borderId="1" xfId="0" applyFont="1" applyFill="1" applyBorder="1" applyAlignment="1">
      <alignment vertical="center" wrapText="1"/>
    </xf>
    <xf numFmtId="1" fontId="22" fillId="0" borderId="0" xfId="0" applyNumberFormat="1" applyFont="1" applyFill="1" applyBorder="1" applyAlignment="1">
      <alignment horizontal="center" vertical="center"/>
    </xf>
    <xf numFmtId="165" fontId="22" fillId="0" borderId="0" xfId="0" applyFont="1" applyFill="1" applyBorder="1" applyAlignment="1">
      <alignment vertical="center" wrapText="1"/>
    </xf>
    <xf numFmtId="165" fontId="22" fillId="0" borderId="0" xfId="0" applyFont="1" applyFill="1" applyBorder="1" applyAlignment="1">
      <alignment horizontal="center" vertical="center"/>
    </xf>
    <xf numFmtId="165" fontId="22" fillId="0" borderId="0" xfId="0" applyFont="1" applyFill="1" applyBorder="1" applyAlignment="1">
      <alignment horizontal="right" vertical="center"/>
    </xf>
    <xf numFmtId="0" fontId="22" fillId="0" borderId="1" xfId="1264" applyNumberFormat="1" applyFont="1" applyFill="1" applyBorder="1" applyAlignment="1">
      <alignment horizontal="center" vertical="center"/>
    </xf>
    <xf numFmtId="165" fontId="50" fillId="3" borderId="1" xfId="0" applyFont="1" applyFill="1" applyBorder="1" applyAlignment="1">
      <alignment horizontal="right" vertical="center"/>
    </xf>
    <xf numFmtId="165" fontId="50" fillId="0" borderId="0" xfId="0" applyFont="1" applyFill="1" applyAlignment="1">
      <alignment wrapText="1"/>
    </xf>
    <xf numFmtId="165" fontId="74" fillId="0" borderId="1" xfId="0" applyFont="1" applyFill="1" applyBorder="1" applyAlignment="1">
      <alignment horizontal="left" vertical="center" wrapText="1"/>
    </xf>
    <xf numFmtId="165" fontId="19" fillId="0" borderId="0" xfId="0" applyFont="1" applyBorder="1" applyAlignment="1">
      <alignment horizontal="center" vertical="center"/>
    </xf>
    <xf numFmtId="165" fontId="63" fillId="0" borderId="0" xfId="0" applyFont="1" applyBorder="1" applyAlignment="1">
      <alignment vertical="center"/>
    </xf>
    <xf numFmtId="167" fontId="61" fillId="0" borderId="0" xfId="0" applyNumberFormat="1" applyFont="1" applyBorder="1" applyAlignment="1">
      <alignment horizontal="center" vertical="center"/>
    </xf>
    <xf numFmtId="0" fontId="63" fillId="0" borderId="1" xfId="1264" applyNumberFormat="1" applyFont="1" applyFill="1" applyBorder="1" applyAlignment="1">
      <alignment horizontal="center" vertical="center"/>
    </xf>
    <xf numFmtId="165" fontId="67" fillId="0" borderId="0" xfId="0" applyFont="1" applyBorder="1" applyAlignment="1">
      <alignment vertical="center"/>
    </xf>
    <xf numFmtId="165" fontId="61" fillId="3" borderId="1" xfId="0" applyFont="1" applyFill="1" applyBorder="1" applyAlignment="1">
      <alignment horizontal="left" vertical="center" wrapText="1"/>
    </xf>
    <xf numFmtId="165" fontId="61" fillId="3" borderId="0" xfId="1260" applyNumberFormat="1" applyFont="1" applyFill="1" applyBorder="1" applyAlignment="1">
      <alignment vertical="center"/>
    </xf>
    <xf numFmtId="0" fontId="4" fillId="3" borderId="0" xfId="1260" applyFont="1" applyFill="1" applyBorder="1" applyAlignment="1">
      <alignment vertical="center"/>
    </xf>
    <xf numFmtId="1" fontId="61" fillId="3" borderId="0" xfId="2" applyNumberFormat="1" applyFont="1" applyFill="1" applyBorder="1" applyAlignment="1">
      <alignment horizontal="center" vertical="center" wrapText="1"/>
    </xf>
    <xf numFmtId="1" fontId="61" fillId="3" borderId="0" xfId="1260" applyNumberFormat="1" applyFont="1" applyFill="1" applyBorder="1" applyAlignment="1">
      <alignment horizontal="center" vertical="center"/>
    </xf>
    <xf numFmtId="165" fontId="61" fillId="3" borderId="0" xfId="1260" applyNumberFormat="1" applyFont="1" applyFill="1" applyBorder="1" applyAlignment="1">
      <alignment horizontal="right" vertical="center"/>
    </xf>
    <xf numFmtId="168" fontId="61" fillId="3" borderId="0" xfId="1260" applyNumberFormat="1" applyFont="1" applyFill="1" applyBorder="1" applyAlignment="1">
      <alignment horizontal="right" vertical="center"/>
    </xf>
    <xf numFmtId="169" fontId="61" fillId="3" borderId="1" xfId="0" applyNumberFormat="1" applyFont="1" applyFill="1" applyBorder="1" applyAlignment="1">
      <alignment horizontal="right" vertical="center"/>
    </xf>
    <xf numFmtId="165" fontId="61" fillId="3" borderId="1" xfId="0" applyFont="1" applyFill="1" applyBorder="1" applyAlignment="1">
      <alignment horizontal="left" vertical="center"/>
    </xf>
    <xf numFmtId="165" fontId="61" fillId="3" borderId="0" xfId="0" applyFont="1" applyFill="1" applyBorder="1" applyAlignment="1">
      <alignment vertical="center"/>
    </xf>
    <xf numFmtId="167" fontId="61" fillId="3" borderId="1" xfId="0" applyNumberFormat="1" applyFont="1" applyFill="1" applyBorder="1" applyAlignment="1">
      <alignment horizontal="center" vertical="center" wrapText="1"/>
    </xf>
    <xf numFmtId="165" fontId="61" fillId="3" borderId="1" xfId="0" applyFont="1" applyFill="1" applyBorder="1" applyAlignment="1">
      <alignment horizontal="center" vertical="center" wrapText="1"/>
    </xf>
    <xf numFmtId="165" fontId="61" fillId="0" borderId="0" xfId="0" applyFont="1" applyFill="1" applyBorder="1" applyAlignment="1">
      <alignment horizontal="center" vertical="center"/>
    </xf>
    <xf numFmtId="0" fontId="63" fillId="0" borderId="1" xfId="0" applyNumberFormat="1" applyFont="1" applyFill="1" applyBorder="1" applyAlignment="1">
      <alignment horizontal="center" vertical="center"/>
    </xf>
    <xf numFmtId="165" fontId="63" fillId="0" borderId="0" xfId="0" applyFont="1" applyFill="1" applyBorder="1" applyAlignment="1">
      <alignment horizontal="center" vertical="center"/>
    </xf>
    <xf numFmtId="165" fontId="61" fillId="0" borderId="1" xfId="0" applyFont="1" applyFill="1" applyBorder="1" applyAlignment="1">
      <alignment horizontal="justify" vertical="center" wrapText="1"/>
    </xf>
    <xf numFmtId="165" fontId="63" fillId="0" borderId="1" xfId="0" applyFont="1" applyFill="1" applyBorder="1" applyAlignment="1">
      <alignment horizontal="center" vertical="center"/>
    </xf>
    <xf numFmtId="0" fontId="2" fillId="0" borderId="1" xfId="0" applyNumberFormat="1" applyFont="1" applyFill="1" applyBorder="1" applyAlignment="1">
      <alignment horizontal="center" vertical="center" wrapText="1"/>
    </xf>
    <xf numFmtId="2" fontId="61" fillId="0" borderId="1" xfId="1122" applyNumberFormat="1" applyFont="1" applyFill="1" applyBorder="1" applyAlignment="1">
      <alignment vertical="center" wrapText="1"/>
    </xf>
    <xf numFmtId="0" fontId="2" fillId="0" borderId="1" xfId="0" applyNumberFormat="1" applyFont="1" applyFill="1" applyBorder="1" applyAlignment="1">
      <alignment horizontal="center" vertical="center"/>
    </xf>
    <xf numFmtId="0" fontId="61" fillId="0" borderId="1" xfId="0" applyNumberFormat="1" applyFont="1" applyFill="1" applyBorder="1" applyAlignment="1">
      <alignment horizontal="center" vertical="center" wrapText="1"/>
    </xf>
    <xf numFmtId="165" fontId="63" fillId="0" borderId="1" xfId="0" applyFont="1" applyFill="1" applyBorder="1" applyAlignment="1">
      <alignment horizontal="justify" vertical="center" wrapText="1"/>
    </xf>
    <xf numFmtId="0" fontId="61" fillId="0" borderId="1" xfId="0" applyNumberFormat="1" applyFont="1" applyFill="1" applyBorder="1" applyAlignment="1">
      <alignment horizontal="left" vertical="center" wrapText="1"/>
    </xf>
    <xf numFmtId="166" fontId="61" fillId="0" borderId="1" xfId="0" applyNumberFormat="1" applyFont="1" applyFill="1" applyBorder="1" applyAlignment="1">
      <alignment horizontal="left" vertical="center"/>
    </xf>
    <xf numFmtId="1"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vertical="center"/>
    </xf>
    <xf numFmtId="0" fontId="61" fillId="0" borderId="1" xfId="0" applyNumberFormat="1" applyFont="1" applyFill="1" applyBorder="1" applyAlignment="1">
      <alignment horizontal="center" vertical="center"/>
    </xf>
    <xf numFmtId="0" fontId="61" fillId="0" borderId="1" xfId="2" applyNumberFormat="1" applyFont="1" applyFill="1" applyBorder="1" applyAlignment="1">
      <alignment horizontal="center" vertical="center" wrapText="1"/>
    </xf>
    <xf numFmtId="2" fontId="61" fillId="0" borderId="1" xfId="2" applyNumberFormat="1" applyFont="1" applyFill="1" applyBorder="1" applyAlignment="1">
      <alignment horizontal="center" vertical="center" wrapText="1"/>
    </xf>
    <xf numFmtId="1" fontId="61" fillId="0" borderId="0" xfId="0" applyNumberFormat="1" applyFont="1" applyFill="1" applyBorder="1" applyAlignment="1">
      <alignment horizontal="center" vertical="center"/>
    </xf>
    <xf numFmtId="166" fontId="61" fillId="0" borderId="1" xfId="0" applyNumberFormat="1" applyFont="1" applyFill="1" applyBorder="1" applyAlignment="1">
      <alignment vertical="center"/>
    </xf>
    <xf numFmtId="0" fontId="61" fillId="0" borderId="1" xfId="0" applyNumberFormat="1" applyFont="1" applyFill="1" applyBorder="1" applyAlignment="1">
      <alignment vertical="center"/>
    </xf>
    <xf numFmtId="0" fontId="63" fillId="0" borderId="1" xfId="0" applyNumberFormat="1" applyFont="1" applyFill="1" applyBorder="1" applyAlignment="1">
      <alignment horizontal="right" vertical="center"/>
    </xf>
    <xf numFmtId="0" fontId="2" fillId="0" borderId="1" xfId="0" applyNumberFormat="1" applyFont="1" applyFill="1" applyBorder="1" applyAlignment="1">
      <alignment horizontal="right" vertical="center"/>
    </xf>
    <xf numFmtId="2" fontId="2" fillId="0" borderId="1" xfId="0" applyNumberFormat="1" applyFont="1" applyFill="1" applyBorder="1" applyAlignment="1">
      <alignment horizontal="right" vertical="center"/>
    </xf>
    <xf numFmtId="2" fontId="63" fillId="0" borderId="1" xfId="0" applyNumberFormat="1" applyFont="1" applyFill="1" applyBorder="1" applyAlignment="1">
      <alignment horizontal="right" vertical="center"/>
    </xf>
    <xf numFmtId="0" fontId="61" fillId="0" borderId="1" xfId="0" applyNumberFormat="1" applyFont="1" applyFill="1" applyBorder="1" applyAlignment="1">
      <alignment horizontal="right" vertical="center"/>
    </xf>
    <xf numFmtId="0" fontId="61" fillId="0" borderId="1" xfId="0" applyNumberFormat="1" applyFont="1" applyFill="1" applyBorder="1" applyAlignment="1">
      <alignment horizontal="right" vertical="center" wrapText="1"/>
    </xf>
    <xf numFmtId="165" fontId="61" fillId="0" borderId="0" xfId="0" applyFont="1" applyFill="1" applyBorder="1" applyAlignment="1">
      <alignment horizontal="right" vertical="center"/>
    </xf>
    <xf numFmtId="0" fontId="61" fillId="0" borderId="1" xfId="0" applyNumberFormat="1" applyFont="1" applyFill="1" applyBorder="1" applyAlignment="1">
      <alignment vertical="center" wrapText="1"/>
    </xf>
    <xf numFmtId="2" fontId="58" fillId="0" borderId="1" xfId="0" applyNumberFormat="1" applyFont="1" applyFill="1" applyBorder="1" applyAlignment="1">
      <alignment horizontal="left" vertical="center"/>
    </xf>
    <xf numFmtId="0" fontId="61" fillId="0" borderId="0" xfId="1266" applyFont="1" applyFill="1" applyAlignment="1">
      <alignment vertical="center"/>
    </xf>
    <xf numFmtId="0" fontId="76" fillId="0" borderId="0" xfId="1266" applyNumberFormat="1" applyFont="1" applyFill="1" applyBorder="1" applyAlignment="1">
      <alignment horizontal="center" vertical="center"/>
    </xf>
    <xf numFmtId="0" fontId="76" fillId="0" borderId="0" xfId="1266" applyFont="1" applyFill="1" applyBorder="1" applyAlignment="1">
      <alignment horizontal="center" vertical="center"/>
    </xf>
    <xf numFmtId="0" fontId="19" fillId="0" borderId="0" xfId="1266" applyFont="1" applyFill="1" applyBorder="1" applyAlignment="1">
      <alignment horizontal="center" vertical="center" wrapText="1"/>
    </xf>
    <xf numFmtId="0" fontId="77" fillId="0" borderId="0" xfId="1266" applyNumberFormat="1" applyFont="1" applyFill="1" applyBorder="1" applyAlignment="1">
      <alignment horizontal="center" vertical="center"/>
    </xf>
    <xf numFmtId="2" fontId="78" fillId="0" borderId="0" xfId="1266" applyNumberFormat="1" applyFont="1" applyFill="1" applyBorder="1" applyAlignment="1">
      <alignment horizontal="right" vertical="center"/>
    </xf>
    <xf numFmtId="2" fontId="79" fillId="0" borderId="0" xfId="1266" applyNumberFormat="1" applyFont="1" applyFill="1" applyBorder="1" applyAlignment="1">
      <alignment horizontal="right" vertical="center"/>
    </xf>
    <xf numFmtId="0" fontId="81" fillId="0" borderId="1" xfId="1266" applyNumberFormat="1" applyFont="1" applyFill="1" applyBorder="1" applyAlignment="1">
      <alignment horizontal="center" vertical="center" wrapText="1"/>
    </xf>
    <xf numFmtId="0" fontId="81" fillId="0" borderId="1" xfId="1266" applyNumberFormat="1" applyFont="1" applyFill="1" applyBorder="1" applyAlignment="1">
      <alignment horizontal="center" vertical="center"/>
    </xf>
    <xf numFmtId="0" fontId="81" fillId="0" borderId="1" xfId="1266" applyFont="1" applyFill="1" applyBorder="1" applyAlignment="1">
      <alignment horizontal="center" vertical="center"/>
    </xf>
    <xf numFmtId="1" fontId="82" fillId="0" borderId="1" xfId="1266" applyNumberFormat="1" applyFont="1" applyFill="1" applyBorder="1" applyAlignment="1">
      <alignment horizontal="center" vertical="center"/>
    </xf>
    <xf numFmtId="0" fontId="82" fillId="0" borderId="1" xfId="1266" applyNumberFormat="1" applyFont="1" applyFill="1" applyBorder="1" applyAlignment="1">
      <alignment horizontal="center" vertical="center"/>
    </xf>
    <xf numFmtId="0" fontId="82" fillId="0" borderId="1" xfId="1266" applyNumberFormat="1" applyFont="1" applyFill="1" applyBorder="1" applyAlignment="1">
      <alignment horizontal="right" vertical="center"/>
    </xf>
    <xf numFmtId="0" fontId="82" fillId="0" borderId="1" xfId="1266" applyFont="1" applyFill="1" applyBorder="1" applyAlignment="1">
      <alignment horizontal="right" vertical="center"/>
    </xf>
    <xf numFmtId="0" fontId="82" fillId="0" borderId="1" xfId="1266" applyNumberFormat="1" applyFont="1" applyFill="1" applyBorder="1" applyAlignment="1">
      <alignment horizontal="left" vertical="center" wrapText="1"/>
    </xf>
    <xf numFmtId="166" fontId="61" fillId="0" borderId="1" xfId="1266" applyNumberFormat="1" applyFont="1" applyFill="1" applyBorder="1" applyAlignment="1">
      <alignment horizontal="center" vertical="center"/>
    </xf>
    <xf numFmtId="2" fontId="82" fillId="0" borderId="1" xfId="1266" applyNumberFormat="1" applyFont="1" applyFill="1" applyBorder="1" applyAlignment="1">
      <alignment horizontal="right" vertical="center"/>
    </xf>
    <xf numFmtId="0" fontId="82" fillId="0" borderId="1" xfId="1266" applyNumberFormat="1" applyFont="1" applyFill="1" applyBorder="1" applyAlignment="1">
      <alignment horizontal="left" vertical="center"/>
    </xf>
    <xf numFmtId="0" fontId="81" fillId="0" borderId="1" xfId="1266" applyNumberFormat="1" applyFont="1" applyFill="1" applyBorder="1" applyAlignment="1">
      <alignment horizontal="right" vertical="center"/>
    </xf>
    <xf numFmtId="2" fontId="81" fillId="0" borderId="1" xfId="1266" applyNumberFormat="1" applyFont="1" applyFill="1" applyBorder="1" applyAlignment="1">
      <alignment horizontal="right" vertical="center"/>
    </xf>
    <xf numFmtId="170" fontId="82" fillId="0" borderId="1" xfId="1266" applyNumberFormat="1" applyFont="1" applyFill="1" applyBorder="1" applyAlignment="1">
      <alignment horizontal="right" vertical="center"/>
    </xf>
    <xf numFmtId="2" fontId="61" fillId="0" borderId="1" xfId="1122" applyNumberFormat="1" applyFont="1" applyFill="1" applyBorder="1" applyAlignment="1">
      <alignment horizontal="left" vertical="center" wrapText="1"/>
    </xf>
    <xf numFmtId="166" fontId="82" fillId="0" borderId="1" xfId="1266" applyNumberFormat="1" applyFont="1" applyFill="1" applyBorder="1" applyAlignment="1">
      <alignment horizontal="center" vertical="center"/>
    </xf>
    <xf numFmtId="1" fontId="61" fillId="0" borderId="1" xfId="1266" applyNumberFormat="1" applyFont="1" applyFill="1" applyBorder="1" applyAlignment="1">
      <alignment horizontal="center" vertical="center"/>
    </xf>
    <xf numFmtId="0" fontId="61" fillId="0" borderId="1" xfId="1266" applyFont="1" applyFill="1" applyBorder="1" applyAlignment="1">
      <alignment horizontal="left" vertical="center"/>
    </xf>
    <xf numFmtId="0" fontId="61" fillId="0" borderId="1" xfId="1266" applyFont="1" applyFill="1" applyBorder="1" applyAlignment="1">
      <alignment horizontal="center" vertical="center"/>
    </xf>
    <xf numFmtId="0" fontId="81" fillId="0" borderId="1" xfId="1266" applyNumberFormat="1" applyFont="1" applyFill="1" applyBorder="1" applyAlignment="1">
      <alignment vertical="center"/>
    </xf>
    <xf numFmtId="170" fontId="63" fillId="0" borderId="1" xfId="1266" applyNumberFormat="1" applyFont="1" applyFill="1" applyBorder="1" applyAlignment="1">
      <alignment horizontal="right" vertical="center"/>
    </xf>
    <xf numFmtId="2" fontId="63" fillId="0" borderId="1" xfId="1266" applyNumberFormat="1" applyFont="1" applyFill="1" applyBorder="1" applyAlignment="1">
      <alignment horizontal="right" vertical="center"/>
    </xf>
    <xf numFmtId="0" fontId="61" fillId="0" borderId="1" xfId="1266" applyFont="1" applyFill="1" applyBorder="1" applyAlignment="1">
      <alignment horizontal="left" vertical="center" wrapText="1"/>
    </xf>
    <xf numFmtId="0" fontId="61" fillId="0" borderId="1" xfId="1266" applyFont="1" applyFill="1" applyBorder="1" applyAlignment="1">
      <alignment horizontal="right" vertical="center"/>
    </xf>
    <xf numFmtId="0" fontId="63" fillId="0" borderId="1" xfId="1266" applyFont="1" applyFill="1" applyBorder="1" applyAlignment="1">
      <alignment horizontal="right" vertical="center"/>
    </xf>
    <xf numFmtId="165" fontId="82" fillId="0" borderId="1" xfId="1266" applyNumberFormat="1" applyFont="1" applyFill="1" applyBorder="1" applyAlignment="1">
      <alignment horizontal="right" vertical="center"/>
    </xf>
    <xf numFmtId="165" fontId="61" fillId="0" borderId="1" xfId="1266" applyNumberFormat="1" applyFont="1" applyFill="1" applyBorder="1" applyAlignment="1">
      <alignment horizontal="right" vertical="center"/>
    </xf>
    <xf numFmtId="2" fontId="61" fillId="0" borderId="1" xfId="1266" applyNumberFormat="1" applyFont="1" applyFill="1" applyBorder="1" applyAlignment="1">
      <alignment horizontal="right" vertical="center"/>
    </xf>
    <xf numFmtId="2" fontId="63" fillId="0" borderId="1" xfId="1122" applyNumberFormat="1" applyFont="1" applyFill="1" applyBorder="1" applyAlignment="1">
      <alignment horizontal="left" vertical="center" wrapText="1"/>
    </xf>
    <xf numFmtId="0" fontId="81" fillId="0" borderId="1" xfId="1266" applyNumberFormat="1" applyFont="1" applyFill="1" applyBorder="1" applyAlignment="1">
      <alignment horizontal="left" vertical="center" wrapText="1"/>
    </xf>
    <xf numFmtId="0" fontId="61" fillId="0" borderId="0" xfId="1266" applyFont="1" applyFill="1" applyAlignment="1">
      <alignment horizontal="center" vertical="center"/>
    </xf>
    <xf numFmtId="1" fontId="61" fillId="0" borderId="0" xfId="1266" applyNumberFormat="1" applyFont="1" applyFill="1" applyBorder="1" applyAlignment="1">
      <alignment horizontal="center" vertical="center"/>
    </xf>
    <xf numFmtId="2" fontId="2" fillId="0" borderId="0" xfId="1266" applyNumberFormat="1" applyFont="1" applyFill="1" applyBorder="1" applyAlignment="1">
      <alignment horizontal="left" vertical="center" wrapText="1"/>
    </xf>
    <xf numFmtId="166" fontId="61" fillId="0" borderId="0" xfId="1266" applyNumberFormat="1" applyFont="1" applyFill="1" applyBorder="1" applyAlignment="1">
      <alignment horizontal="center" vertical="center"/>
    </xf>
    <xf numFmtId="0" fontId="61" fillId="0" borderId="0" xfId="1266" applyFont="1" applyFill="1" applyAlignment="1">
      <alignment horizontal="left" vertical="center"/>
    </xf>
    <xf numFmtId="0" fontId="61" fillId="0" borderId="0" xfId="1266" applyFont="1" applyFill="1" applyAlignment="1">
      <alignment horizontal="right" vertical="center"/>
    </xf>
    <xf numFmtId="0" fontId="63" fillId="0" borderId="1" xfId="0" applyNumberFormat="1" applyFont="1" applyFill="1" applyBorder="1" applyAlignment="1">
      <alignment horizontal="left" vertical="center"/>
    </xf>
    <xf numFmtId="0" fontId="61" fillId="0" borderId="0" xfId="0" applyNumberFormat="1" applyFont="1" applyFill="1" applyAlignment="1">
      <alignment vertical="center"/>
    </xf>
    <xf numFmtId="166" fontId="82" fillId="0" borderId="1" xfId="0" applyNumberFormat="1" applyFont="1" applyFill="1" applyBorder="1" applyAlignment="1">
      <alignment horizontal="center" vertical="center"/>
    </xf>
    <xf numFmtId="2" fontId="82" fillId="0" borderId="1" xfId="0" applyNumberFormat="1" applyFont="1" applyFill="1" applyBorder="1" applyAlignment="1">
      <alignment horizontal="right" vertical="center"/>
    </xf>
    <xf numFmtId="167" fontId="63" fillId="0" borderId="1" xfId="0" applyNumberFormat="1" applyFont="1" applyFill="1" applyBorder="1" applyAlignment="1">
      <alignment horizontal="left" vertical="center"/>
    </xf>
    <xf numFmtId="0" fontId="82" fillId="0" borderId="1" xfId="0" applyNumberFormat="1" applyFont="1" applyFill="1" applyBorder="1" applyAlignment="1">
      <alignment horizontal="left" vertical="center"/>
    </xf>
    <xf numFmtId="0" fontId="82" fillId="0" borderId="1" xfId="0" applyNumberFormat="1" applyFont="1" applyFill="1" applyBorder="1" applyAlignment="1">
      <alignment horizontal="center" vertical="center"/>
    </xf>
    <xf numFmtId="0" fontId="82" fillId="0" borderId="1" xfId="0" applyNumberFormat="1" applyFont="1" applyFill="1" applyBorder="1" applyAlignment="1">
      <alignment horizontal="left" vertical="center" wrapText="1"/>
    </xf>
    <xf numFmtId="0" fontId="82" fillId="0" borderId="1" xfId="0" applyNumberFormat="1" applyFont="1" applyFill="1" applyBorder="1" applyAlignment="1">
      <alignment horizontal="right" vertical="center"/>
    </xf>
    <xf numFmtId="0" fontId="81" fillId="0" borderId="1" xfId="0" applyNumberFormat="1" applyFont="1" applyFill="1" applyBorder="1" applyAlignment="1">
      <alignment horizontal="left" vertical="center"/>
    </xf>
    <xf numFmtId="0" fontId="61" fillId="0" borderId="1" xfId="0" applyNumberFormat="1" applyFont="1" applyFill="1" applyBorder="1" applyAlignment="1">
      <alignment horizontal="left" vertical="center"/>
    </xf>
    <xf numFmtId="1" fontId="82" fillId="3" borderId="1" xfId="1266" applyNumberFormat="1" applyFont="1" applyFill="1" applyBorder="1" applyAlignment="1">
      <alignment horizontal="center" vertical="center"/>
    </xf>
    <xf numFmtId="0" fontId="82" fillId="3" borderId="1" xfId="1266" applyNumberFormat="1" applyFont="1" applyFill="1" applyBorder="1" applyAlignment="1">
      <alignment horizontal="left" vertical="center" wrapText="1"/>
    </xf>
    <xf numFmtId="0" fontId="82" fillId="3" borderId="1" xfId="1266" applyNumberFormat="1" applyFont="1" applyFill="1" applyBorder="1" applyAlignment="1">
      <alignment horizontal="center" vertical="center"/>
    </xf>
    <xf numFmtId="0" fontId="82" fillId="3" borderId="1" xfId="1266" applyNumberFormat="1" applyFont="1" applyFill="1" applyBorder="1" applyAlignment="1">
      <alignment horizontal="right" vertical="center"/>
    </xf>
    <xf numFmtId="0" fontId="61" fillId="3" borderId="0" xfId="1266" applyFont="1" applyFill="1" applyAlignment="1">
      <alignment vertical="center"/>
    </xf>
    <xf numFmtId="0" fontId="61" fillId="0" borderId="0" xfId="0" applyNumberFormat="1" applyFont="1" applyFill="1" applyBorder="1" applyAlignment="1">
      <alignment vertical="center"/>
    </xf>
    <xf numFmtId="167" fontId="63" fillId="0" borderId="0" xfId="0" applyNumberFormat="1" applyFont="1" applyFill="1" applyBorder="1" applyAlignment="1">
      <alignment horizontal="left" vertical="center"/>
    </xf>
    <xf numFmtId="2" fontId="81" fillId="0" borderId="1" xfId="0" applyNumberFormat="1" applyFont="1" applyFill="1" applyBorder="1" applyAlignment="1">
      <alignment horizontal="right" vertical="center"/>
    </xf>
    <xf numFmtId="2" fontId="82" fillId="3" borderId="1" xfId="1266" applyNumberFormat="1" applyFont="1" applyFill="1" applyBorder="1" applyAlignment="1">
      <alignment horizontal="right" vertical="center"/>
    </xf>
    <xf numFmtId="2" fontId="61" fillId="3" borderId="0" xfId="1266" applyNumberFormat="1" applyFont="1" applyFill="1" applyAlignment="1">
      <alignment vertical="center"/>
    </xf>
    <xf numFmtId="165" fontId="63" fillId="0" borderId="1" xfId="0" applyFont="1" applyFill="1" applyBorder="1" applyAlignment="1">
      <alignment vertical="center"/>
    </xf>
    <xf numFmtId="1" fontId="3" fillId="3" borderId="1" xfId="1256" applyNumberFormat="1" applyFont="1" applyFill="1" applyBorder="1" applyAlignment="1">
      <alignment horizontal="center" vertical="center"/>
    </xf>
    <xf numFmtId="0" fontId="3" fillId="3" borderId="1" xfId="1256" applyFont="1" applyFill="1" applyBorder="1" applyAlignment="1">
      <alignment horizontal="center" vertical="center"/>
    </xf>
    <xf numFmtId="0" fontId="3" fillId="3" borderId="1" xfId="1256" applyFont="1" applyFill="1" applyBorder="1" applyAlignment="1">
      <alignment horizontal="left" vertical="center"/>
    </xf>
    <xf numFmtId="0" fontId="3" fillId="3" borderId="0" xfId="1256" applyFont="1" applyFill="1" applyAlignment="1">
      <alignment vertical="center"/>
    </xf>
    <xf numFmtId="0" fontId="2" fillId="3" borderId="1" xfId="1256" applyFont="1" applyFill="1" applyBorder="1" applyAlignment="1">
      <alignment horizontal="left" vertical="center" wrapText="1"/>
    </xf>
    <xf numFmtId="165" fontId="50" fillId="3" borderId="1" xfId="0" applyFont="1" applyFill="1" applyBorder="1" applyAlignment="1">
      <alignment horizontal="center" vertical="center"/>
    </xf>
    <xf numFmtId="165" fontId="50" fillId="3" borderId="1" xfId="0" applyFont="1" applyFill="1" applyBorder="1" applyAlignment="1">
      <alignment horizontal="left" vertical="center"/>
    </xf>
    <xf numFmtId="168" fontId="50" fillId="3" borderId="0" xfId="0" applyNumberFormat="1" applyFont="1" applyFill="1" applyBorder="1" applyAlignment="1">
      <alignment horizontal="center" vertical="center"/>
    </xf>
    <xf numFmtId="168" fontId="61" fillId="0" borderId="1" xfId="0" applyNumberFormat="1" applyFont="1" applyBorder="1" applyAlignment="1">
      <alignment horizontal="center" vertical="center" wrapText="1"/>
    </xf>
    <xf numFmtId="166" fontId="61" fillId="2" borderId="1" xfId="0" applyNumberFormat="1" applyFont="1" applyFill="1" applyBorder="1" applyAlignment="1">
      <alignment horizontal="center" vertical="center" wrapText="1"/>
    </xf>
    <xf numFmtId="165" fontId="61" fillId="2" borderId="1" xfId="0" applyFont="1" applyFill="1" applyBorder="1" applyAlignment="1">
      <alignment horizontal="left" vertical="center" wrapText="1"/>
    </xf>
    <xf numFmtId="165" fontId="61" fillId="2" borderId="1" xfId="0" applyFont="1" applyFill="1" applyBorder="1" applyAlignment="1">
      <alignment horizontal="center" vertical="center" wrapText="1"/>
    </xf>
    <xf numFmtId="165" fontId="61" fillId="2" borderId="1" xfId="0" applyNumberFormat="1" applyFont="1" applyFill="1" applyBorder="1" applyAlignment="1">
      <alignment horizontal="center" vertical="center" wrapText="1"/>
    </xf>
    <xf numFmtId="165" fontId="61" fillId="0" borderId="1" xfId="0" applyNumberFormat="1" applyFont="1" applyBorder="1" applyAlignment="1">
      <alignment horizontal="center" vertical="center" wrapText="1"/>
    </xf>
    <xf numFmtId="168" fontId="63" fillId="0" borderId="1" xfId="0" applyNumberFormat="1" applyFont="1" applyBorder="1" applyAlignment="1">
      <alignment horizontal="center" vertical="center" wrapText="1"/>
    </xf>
    <xf numFmtId="165" fontId="63" fillId="3" borderId="1" xfId="0" applyFont="1" applyFill="1" applyBorder="1" applyAlignment="1">
      <alignment horizontal="center" vertical="center" wrapText="1"/>
    </xf>
    <xf numFmtId="165" fontId="50" fillId="0" borderId="1" xfId="0" applyFont="1" applyFill="1" applyBorder="1" applyAlignment="1">
      <alignment horizontal="center" vertical="center"/>
    </xf>
    <xf numFmtId="166" fontId="61" fillId="0" borderId="1" xfId="0" applyNumberFormat="1" applyFont="1" applyBorder="1" applyAlignment="1">
      <alignment horizontal="center" vertical="center" wrapText="1"/>
    </xf>
    <xf numFmtId="165" fontId="63" fillId="0" borderId="1" xfId="0" applyFont="1" applyBorder="1" applyAlignment="1">
      <alignment horizontal="center" vertical="center" wrapText="1"/>
    </xf>
    <xf numFmtId="1" fontId="58" fillId="0" borderId="2" xfId="0" applyNumberFormat="1" applyFont="1" applyFill="1" applyBorder="1" applyAlignment="1">
      <alignment horizontal="center" vertical="center"/>
    </xf>
    <xf numFmtId="165" fontId="61" fillId="0" borderId="1" xfId="0" applyFont="1" applyBorder="1" applyAlignment="1">
      <alignment horizontal="left" vertical="center" wrapText="1"/>
    </xf>
    <xf numFmtId="165" fontId="61" fillId="2" borderId="0" xfId="0" applyFont="1" applyFill="1" applyBorder="1" applyAlignment="1">
      <alignment vertical="center"/>
    </xf>
    <xf numFmtId="165" fontId="61" fillId="0" borderId="1" xfId="0" applyFont="1" applyBorder="1" applyAlignment="1">
      <alignment vertical="center"/>
    </xf>
    <xf numFmtId="165" fontId="64" fillId="0" borderId="1" xfId="0" applyFont="1" applyFill="1" applyBorder="1" applyAlignment="1">
      <alignment vertical="center" wrapText="1"/>
    </xf>
    <xf numFmtId="166" fontId="3" fillId="0" borderId="1" xfId="0" applyNumberFormat="1" applyFont="1" applyFill="1" applyBorder="1" applyAlignment="1">
      <alignment horizontal="center" vertical="center"/>
    </xf>
    <xf numFmtId="166" fontId="61" fillId="3" borderId="1" xfId="0" applyNumberFormat="1" applyFont="1" applyFill="1" applyBorder="1" applyAlignment="1">
      <alignment horizontal="center" vertical="center" wrapText="1"/>
    </xf>
    <xf numFmtId="165" fontId="61" fillId="0" borderId="1" xfId="1260" applyNumberFormat="1" applyFont="1" applyBorder="1" applyAlignment="1">
      <alignment horizontal="center" vertical="center" wrapText="1"/>
    </xf>
    <xf numFmtId="165" fontId="61" fillId="0" borderId="0" xfId="1260" applyNumberFormat="1" applyFont="1" applyBorder="1" applyAlignment="1">
      <alignment horizontal="center" vertical="center" wrapText="1"/>
    </xf>
    <xf numFmtId="0" fontId="65" fillId="0" borderId="0" xfId="126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2"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0" fontId="58" fillId="0" borderId="1" xfId="0" applyNumberFormat="1" applyFont="1" applyFill="1" applyBorder="1" applyAlignment="1">
      <alignment vertical="center"/>
    </xf>
    <xf numFmtId="0" fontId="58" fillId="0" borderId="1" xfId="0" applyNumberFormat="1" applyFont="1" applyFill="1" applyBorder="1" applyAlignment="1">
      <alignment vertical="center" wrapText="1"/>
    </xf>
    <xf numFmtId="170" fontId="1" fillId="0" borderId="1" xfId="0" applyNumberFormat="1" applyFont="1" applyFill="1" applyBorder="1" applyAlignment="1">
      <alignment horizontal="center" vertical="center"/>
    </xf>
    <xf numFmtId="165" fontId="61" fillId="0" borderId="0" xfId="0" applyFont="1" applyFill="1" applyAlignment="1">
      <alignment vertical="center"/>
    </xf>
    <xf numFmtId="165" fontId="61" fillId="0" borderId="1" xfId="0" applyFont="1" applyFill="1" applyBorder="1" applyAlignment="1">
      <alignment horizontal="left" vertical="center"/>
    </xf>
    <xf numFmtId="167" fontId="1" fillId="0" borderId="5" xfId="1262" applyNumberFormat="1" applyFont="1" applyFill="1" applyBorder="1" applyAlignment="1">
      <alignment vertical="center" wrapText="1"/>
    </xf>
    <xf numFmtId="2" fontId="1" fillId="0" borderId="5" xfId="1262" applyNumberFormat="1" applyFont="1" applyFill="1" applyBorder="1" applyAlignment="1">
      <alignment vertical="center" wrapText="1"/>
    </xf>
    <xf numFmtId="2" fontId="58" fillId="0" borderId="1" xfId="0" applyNumberFormat="1" applyFont="1" applyFill="1" applyBorder="1" applyAlignment="1">
      <alignment horizontal="right" vertical="center"/>
    </xf>
    <xf numFmtId="169" fontId="63" fillId="0" borderId="1" xfId="0" applyNumberFormat="1" applyFont="1" applyFill="1" applyBorder="1" applyAlignment="1">
      <alignment vertical="center"/>
    </xf>
    <xf numFmtId="0" fontId="1" fillId="0" borderId="1" xfId="0" applyNumberFormat="1" applyFont="1" applyFill="1" applyBorder="1" applyAlignment="1">
      <alignment vertical="center" wrapText="1"/>
    </xf>
    <xf numFmtId="1" fontId="1" fillId="0" borderId="1" xfId="0" applyNumberFormat="1" applyFont="1" applyFill="1" applyBorder="1" applyAlignment="1">
      <alignment horizontal="center" vertical="center"/>
    </xf>
    <xf numFmtId="165" fontId="61" fillId="0" borderId="0" xfId="0" applyFont="1" applyFill="1" applyAlignment="1">
      <alignment horizontal="center" vertical="center"/>
    </xf>
    <xf numFmtId="168" fontId="61" fillId="0" borderId="1" xfId="12" applyNumberFormat="1" applyFont="1" applyFill="1" applyBorder="1" applyAlignment="1">
      <alignment horizontal="right" vertical="center"/>
    </xf>
    <xf numFmtId="0" fontId="1" fillId="0" borderId="1" xfId="0" applyNumberFormat="1" applyFont="1" applyFill="1" applyBorder="1" applyAlignment="1">
      <alignment horizontal="right" vertical="center"/>
    </xf>
    <xf numFmtId="168" fontId="63" fillId="0" borderId="1" xfId="0" applyNumberFormat="1" applyFont="1" applyFill="1" applyBorder="1" applyAlignment="1">
      <alignment horizontal="right" vertical="center"/>
    </xf>
    <xf numFmtId="165" fontId="61" fillId="0" borderId="0" xfId="0" applyFont="1" applyFill="1" applyAlignment="1">
      <alignment horizontal="right" vertical="center"/>
    </xf>
    <xf numFmtId="165" fontId="61" fillId="0" borderId="1" xfId="12" applyNumberFormat="1" applyFont="1" applyFill="1" applyBorder="1" applyAlignment="1">
      <alignment horizontal="left" vertical="center"/>
    </xf>
    <xf numFmtId="165" fontId="63" fillId="0" borderId="1" xfId="12" applyNumberFormat="1" applyFont="1" applyFill="1" applyBorder="1" applyAlignment="1">
      <alignment horizontal="left" vertical="center"/>
    </xf>
    <xf numFmtId="166" fontId="61" fillId="0" borderId="1" xfId="0" applyNumberFormat="1" applyFont="1" applyFill="1" applyBorder="1" applyAlignment="1">
      <alignment horizontal="center" vertical="center"/>
    </xf>
    <xf numFmtId="165" fontId="61" fillId="0" borderId="1" xfId="1260" applyNumberFormat="1" applyFont="1" applyFill="1" applyBorder="1" applyAlignment="1">
      <alignment horizontal="right" vertical="center" wrapText="1"/>
    </xf>
    <xf numFmtId="165" fontId="63" fillId="0" borderId="1" xfId="1260" applyNumberFormat="1" applyFont="1" applyFill="1" applyBorder="1" applyAlignment="1">
      <alignment vertical="center"/>
    </xf>
    <xf numFmtId="0" fontId="4" fillId="0" borderId="0" xfId="1260" applyFont="1" applyFill="1" applyBorder="1" applyAlignment="1">
      <alignment vertical="center"/>
    </xf>
    <xf numFmtId="165" fontId="61" fillId="0" borderId="1" xfId="1260" applyNumberFormat="1" applyFont="1" applyFill="1" applyBorder="1" applyAlignment="1">
      <alignment vertical="center" wrapText="1"/>
    </xf>
    <xf numFmtId="166" fontId="61" fillId="0" borderId="1" xfId="1260" applyNumberFormat="1" applyFont="1" applyFill="1" applyBorder="1" applyAlignment="1">
      <alignment horizontal="center" vertical="center" wrapText="1"/>
    </xf>
    <xf numFmtId="165" fontId="61" fillId="0" borderId="1" xfId="1260" applyNumberFormat="1" applyFont="1" applyFill="1" applyBorder="1" applyAlignment="1">
      <alignment horizontal="center" vertical="center" wrapText="1"/>
    </xf>
    <xf numFmtId="165" fontId="61" fillId="0" borderId="0" xfId="1260" applyNumberFormat="1" applyFont="1" applyFill="1" applyBorder="1" applyAlignment="1">
      <alignment horizontal="left" vertical="center" wrapText="1"/>
    </xf>
    <xf numFmtId="0" fontId="4" fillId="0" borderId="1" xfId="1260" applyFont="1" applyFill="1" applyBorder="1" applyAlignment="1">
      <alignment vertical="center"/>
    </xf>
    <xf numFmtId="0" fontId="4" fillId="0" borderId="1" xfId="1260" applyFont="1" applyFill="1" applyBorder="1" applyAlignment="1">
      <alignment horizontal="center" vertical="center"/>
    </xf>
    <xf numFmtId="0" fontId="4" fillId="0" borderId="1" xfId="1260" applyFont="1" applyFill="1" applyBorder="1" applyAlignment="1">
      <alignment horizontal="right" vertical="center"/>
    </xf>
    <xf numFmtId="2" fontId="4" fillId="0" borderId="1" xfId="1260" applyNumberFormat="1" applyFont="1" applyFill="1" applyBorder="1" applyAlignment="1">
      <alignment horizontal="right" vertical="center"/>
    </xf>
    <xf numFmtId="165" fontId="66" fillId="0" borderId="0" xfId="0" applyFont="1" applyFill="1" applyBorder="1" applyAlignment="1">
      <alignment horizontal="center" vertical="center" wrapText="1"/>
    </xf>
    <xf numFmtId="165" fontId="66" fillId="0" borderId="0" xfId="0" applyFont="1" applyFill="1" applyBorder="1" applyAlignment="1">
      <alignment horizontal="left" vertical="center"/>
    </xf>
    <xf numFmtId="165" fontId="83" fillId="0" borderId="1" xfId="0" applyFont="1" applyFill="1" applyBorder="1" applyAlignment="1">
      <alignment horizontal="center" vertical="center" wrapText="1"/>
    </xf>
    <xf numFmtId="2" fontId="63" fillId="0" borderId="1" xfId="1261" applyNumberFormat="1" applyFont="1" applyFill="1" applyBorder="1" applyAlignment="1">
      <alignment horizontal="right" vertical="center"/>
    </xf>
    <xf numFmtId="165" fontId="61" fillId="0" borderId="2" xfId="0" applyFont="1" applyFill="1" applyBorder="1" applyAlignment="1">
      <alignment horizontal="right" vertical="center"/>
    </xf>
    <xf numFmtId="165" fontId="63" fillId="0" borderId="4" xfId="0" applyFont="1" applyFill="1" applyBorder="1" applyAlignment="1">
      <alignment horizontal="right" vertical="center"/>
    </xf>
    <xf numFmtId="165" fontId="63" fillId="0" borderId="3" xfId="0" applyFont="1" applyFill="1" applyBorder="1" applyAlignment="1">
      <alignment horizontal="right" vertical="center"/>
    </xf>
    <xf numFmtId="165" fontId="61" fillId="0" borderId="1" xfId="0" applyNumberFormat="1" applyFont="1" applyFill="1" applyBorder="1" applyAlignment="1">
      <alignment horizontal="center" vertical="center"/>
    </xf>
    <xf numFmtId="165" fontId="63" fillId="0" borderId="0" xfId="0" applyFont="1" applyFill="1" applyAlignment="1">
      <alignment vertical="center"/>
    </xf>
    <xf numFmtId="165" fontId="63" fillId="0" borderId="1" xfId="0" applyNumberFormat="1" applyFont="1" applyFill="1" applyBorder="1" applyAlignment="1">
      <alignment horizontal="right" vertical="center"/>
    </xf>
    <xf numFmtId="169" fontId="61" fillId="0" borderId="1" xfId="0" applyNumberFormat="1" applyFont="1" applyFill="1" applyBorder="1" applyAlignment="1">
      <alignment horizontal="right" vertical="center"/>
    </xf>
    <xf numFmtId="0" fontId="63" fillId="0" borderId="1" xfId="1261" applyFont="1" applyFill="1" applyBorder="1" applyAlignment="1">
      <alignment vertical="center"/>
    </xf>
    <xf numFmtId="0" fontId="61" fillId="0" borderId="1" xfId="1261" applyFont="1" applyFill="1" applyBorder="1" applyAlignment="1">
      <alignment horizontal="center" vertical="center"/>
    </xf>
    <xf numFmtId="0" fontId="61" fillId="0" borderId="1" xfId="1261" applyFont="1" applyFill="1" applyBorder="1" applyAlignment="1">
      <alignment horizontal="right" vertical="center"/>
    </xf>
    <xf numFmtId="170" fontId="61" fillId="0" borderId="1" xfId="1261" applyNumberFormat="1" applyFont="1" applyFill="1" applyBorder="1" applyAlignment="1">
      <alignment horizontal="right" vertical="center"/>
    </xf>
    <xf numFmtId="2" fontId="61" fillId="0" borderId="1" xfId="1261" applyNumberFormat="1" applyFont="1" applyFill="1" applyBorder="1" applyAlignment="1">
      <alignment horizontal="left" vertical="center"/>
    </xf>
    <xf numFmtId="0" fontId="61" fillId="0" borderId="1" xfId="1261" applyFont="1" applyFill="1" applyBorder="1" applyAlignment="1">
      <alignment vertical="center"/>
    </xf>
    <xf numFmtId="0" fontId="63" fillId="0" borderId="1" xfId="1261" applyFont="1" applyFill="1" applyBorder="1" applyAlignment="1">
      <alignment horizontal="right" vertical="center"/>
    </xf>
    <xf numFmtId="2" fontId="63" fillId="0" borderId="1" xfId="1261" applyNumberFormat="1" applyFont="1" applyFill="1" applyBorder="1" applyAlignment="1">
      <alignment horizontal="left" vertical="center"/>
    </xf>
    <xf numFmtId="165" fontId="61" fillId="0" borderId="0" xfId="0" applyFont="1" applyFill="1" applyAlignment="1">
      <alignment vertical="center" wrapText="1"/>
    </xf>
    <xf numFmtId="169" fontId="61" fillId="0" borderId="1" xfId="0" applyNumberFormat="1" applyFont="1" applyFill="1" applyBorder="1" applyAlignment="1">
      <alignment vertical="center"/>
    </xf>
    <xf numFmtId="2" fontId="63" fillId="0" borderId="1" xfId="1262" applyNumberFormat="1" applyFont="1" applyFill="1" applyBorder="1" applyAlignment="1">
      <alignment vertical="center" wrapText="1"/>
    </xf>
    <xf numFmtId="166" fontId="61" fillId="0" borderId="0" xfId="0" applyNumberFormat="1" applyFont="1" applyFill="1" applyAlignment="1">
      <alignment horizontal="center" vertical="center"/>
    </xf>
    <xf numFmtId="165" fontId="61" fillId="0" borderId="0" xfId="0" applyFont="1" applyFill="1" applyAlignment="1">
      <alignment horizontal="left" vertical="center"/>
    </xf>
    <xf numFmtId="0" fontId="61" fillId="0" borderId="0" xfId="1261" applyFont="1" applyFill="1" applyAlignment="1">
      <alignment horizontal="center" vertical="center"/>
    </xf>
    <xf numFmtId="0" fontId="61" fillId="0" borderId="0" xfId="1261" applyFont="1" applyFill="1" applyAlignment="1">
      <alignment vertical="center"/>
    </xf>
    <xf numFmtId="0" fontId="63" fillId="0" borderId="0" xfId="1261" applyFont="1" applyFill="1" applyAlignment="1">
      <alignment horizontal="center" vertical="center"/>
    </xf>
    <xf numFmtId="169" fontId="63" fillId="0" borderId="0" xfId="0" applyNumberFormat="1" applyFont="1" applyFill="1" applyAlignment="1">
      <alignment vertical="center"/>
    </xf>
    <xf numFmtId="165" fontId="85" fillId="0" borderId="0" xfId="0" applyFont="1" applyBorder="1" applyAlignment="1">
      <alignment vertical="center"/>
    </xf>
    <xf numFmtId="0" fontId="83" fillId="0" borderId="1" xfId="1267" applyFont="1" applyBorder="1" applyAlignment="1">
      <alignment horizontal="center" vertical="center" wrapText="1"/>
    </xf>
    <xf numFmtId="0" fontId="85" fillId="0" borderId="1" xfId="2" applyFont="1" applyBorder="1" applyAlignment="1">
      <alignment horizontal="center" vertical="center" wrapText="1"/>
    </xf>
    <xf numFmtId="2" fontId="85" fillId="0" borderId="1" xfId="2" applyNumberFormat="1" applyFont="1" applyBorder="1" applyAlignment="1">
      <alignment horizontal="center" vertical="center" wrapText="1"/>
    </xf>
    <xf numFmtId="2" fontId="85" fillId="0" borderId="1" xfId="2" applyNumberFormat="1" applyFont="1" applyBorder="1" applyAlignment="1">
      <alignment vertical="center" wrapText="1"/>
    </xf>
    <xf numFmtId="165" fontId="85" fillId="0" borderId="1" xfId="0" applyFont="1" applyBorder="1" applyAlignment="1">
      <alignment horizontal="center" vertical="center"/>
    </xf>
    <xf numFmtId="165" fontId="83" fillId="0" borderId="1" xfId="0" applyFont="1" applyBorder="1" applyAlignment="1">
      <alignment horizontal="center" vertical="center"/>
    </xf>
    <xf numFmtId="2" fontId="83" fillId="0" borderId="1" xfId="2" applyNumberFormat="1" applyFont="1" applyBorder="1" applyAlignment="1">
      <alignment vertical="center" wrapText="1"/>
    </xf>
    <xf numFmtId="2" fontId="85" fillId="0" borderId="1" xfId="2" applyNumberFormat="1" applyFont="1" applyFill="1" applyBorder="1" applyAlignment="1">
      <alignment vertical="center" wrapText="1"/>
    </xf>
    <xf numFmtId="2" fontId="85" fillId="2" borderId="1" xfId="2" applyNumberFormat="1" applyFont="1" applyFill="1" applyBorder="1" applyAlignment="1">
      <alignment vertical="center" wrapText="1"/>
    </xf>
    <xf numFmtId="0" fontId="85" fillId="0" borderId="1" xfId="1268" applyFont="1" applyBorder="1" applyAlignment="1">
      <alignment horizontal="center" vertical="center" wrapText="1"/>
    </xf>
    <xf numFmtId="167" fontId="85" fillId="0" borderId="1" xfId="1268" applyNumberFormat="1" applyFont="1" applyBorder="1" applyAlignment="1">
      <alignment horizontal="center" vertical="center" wrapText="1"/>
    </xf>
    <xf numFmtId="0" fontId="83" fillId="0" borderId="1" xfId="1268" applyFont="1" applyBorder="1" applyAlignment="1">
      <alignment horizontal="center" vertical="center" wrapText="1"/>
    </xf>
    <xf numFmtId="2" fontId="83" fillId="0" borderId="1" xfId="1268" applyNumberFormat="1" applyFont="1" applyBorder="1" applyAlignment="1">
      <alignment horizontal="right" vertical="center" wrapText="1"/>
    </xf>
    <xf numFmtId="0" fontId="83" fillId="0" borderId="0" xfId="1267" applyFont="1" applyBorder="1" applyAlignment="1">
      <alignment horizontal="center" vertical="center" wrapText="1"/>
    </xf>
    <xf numFmtId="0" fontId="83" fillId="0" borderId="1" xfId="1268" applyFont="1" applyBorder="1" applyAlignment="1">
      <alignment horizontal="left" vertical="center" wrapText="1"/>
    </xf>
    <xf numFmtId="2" fontId="85" fillId="0" borderId="1" xfId="1268" applyNumberFormat="1" applyFont="1" applyBorder="1" applyAlignment="1">
      <alignment horizontal="right" vertical="center" wrapText="1"/>
    </xf>
    <xf numFmtId="2" fontId="85" fillId="0" borderId="0" xfId="2" applyNumberFormat="1" applyFont="1" applyBorder="1" applyAlignment="1">
      <alignment vertical="center" wrapText="1"/>
    </xf>
    <xf numFmtId="1" fontId="85" fillId="0" borderId="1" xfId="1268" applyNumberFormat="1" applyFont="1" applyBorder="1" applyAlignment="1">
      <alignment horizontal="center" vertical="center" wrapText="1"/>
    </xf>
    <xf numFmtId="167" fontId="85" fillId="0" borderId="1" xfId="1268" applyNumberFormat="1" applyFont="1" applyBorder="1" applyAlignment="1">
      <alignment vertical="center" wrapText="1"/>
    </xf>
    <xf numFmtId="165" fontId="85" fillId="0" borderId="1" xfId="0" applyFont="1" applyBorder="1" applyAlignment="1">
      <alignment vertical="center"/>
    </xf>
    <xf numFmtId="165" fontId="83" fillId="0" borderId="1" xfId="0" applyFont="1" applyBorder="1" applyAlignment="1">
      <alignment horizontal="right" vertical="center"/>
    </xf>
    <xf numFmtId="165" fontId="83" fillId="0" borderId="1" xfId="0" applyFont="1" applyBorder="1" applyAlignment="1">
      <alignment horizontal="left" vertical="center"/>
    </xf>
    <xf numFmtId="165" fontId="87" fillId="0" borderId="27" xfId="0" applyFont="1" applyFill="1" applyBorder="1" applyAlignment="1">
      <alignment vertical="center" wrapText="1"/>
    </xf>
    <xf numFmtId="165" fontId="87" fillId="0" borderId="28" xfId="0" applyFont="1" applyFill="1" applyBorder="1" applyAlignment="1">
      <alignment vertical="center" wrapText="1"/>
    </xf>
    <xf numFmtId="165" fontId="88" fillId="0" borderId="0" xfId="0" applyFont="1" applyFill="1" applyAlignment="1">
      <alignment vertical="center"/>
    </xf>
    <xf numFmtId="165" fontId="89" fillId="0" borderId="0" xfId="0" applyFont="1" applyFill="1" applyAlignment="1">
      <alignment vertical="center"/>
    </xf>
    <xf numFmtId="165" fontId="91" fillId="0" borderId="0" xfId="0" applyFont="1" applyFill="1" applyAlignment="1">
      <alignment horizontal="center" vertical="center"/>
    </xf>
    <xf numFmtId="165" fontId="92" fillId="0" borderId="0" xfId="0" applyFont="1" applyFill="1" applyAlignment="1">
      <alignment horizontal="center" vertical="center"/>
    </xf>
    <xf numFmtId="165" fontId="90" fillId="0" borderId="5" xfId="0" applyNumberFormat="1" applyFont="1" applyFill="1" applyBorder="1" applyAlignment="1">
      <alignment horizontal="center" vertical="center" wrapText="1"/>
    </xf>
    <xf numFmtId="165" fontId="90" fillId="0" borderId="5" xfId="0" applyFont="1" applyFill="1" applyBorder="1" applyAlignment="1">
      <alignment horizontal="center" vertical="center" wrapText="1"/>
    </xf>
    <xf numFmtId="168" fontId="90" fillId="0" borderId="5" xfId="0" applyNumberFormat="1" applyFont="1" applyFill="1" applyBorder="1" applyAlignment="1">
      <alignment horizontal="center" vertical="center" wrapText="1"/>
    </xf>
    <xf numFmtId="165" fontId="86" fillId="0" borderId="5" xfId="0" applyFont="1" applyFill="1" applyBorder="1" applyAlignment="1">
      <alignment horizontal="right" vertical="center" wrapText="1"/>
    </xf>
    <xf numFmtId="165" fontId="86" fillId="0" borderId="5" xfId="0" applyFont="1" applyFill="1" applyBorder="1" applyAlignment="1">
      <alignment horizontal="left" vertical="center" wrapText="1"/>
    </xf>
    <xf numFmtId="165" fontId="92" fillId="0" borderId="5" xfId="1267" applyNumberFormat="1" applyFont="1" applyFill="1" applyBorder="1" applyAlignment="1">
      <alignment horizontal="right" vertical="center" wrapText="1"/>
    </xf>
    <xf numFmtId="2" fontId="92" fillId="0" borderId="5" xfId="1267" applyNumberFormat="1" applyFont="1" applyFill="1" applyBorder="1" applyAlignment="1">
      <alignment horizontal="right" vertical="center" wrapText="1"/>
    </xf>
    <xf numFmtId="165" fontId="86" fillId="0" borderId="5" xfId="0" applyFont="1" applyFill="1" applyBorder="1" applyAlignment="1">
      <alignment horizontal="center" vertical="center" wrapText="1"/>
    </xf>
    <xf numFmtId="167" fontId="46" fillId="0" borderId="5" xfId="1267" applyNumberFormat="1" applyFont="1" applyFill="1" applyBorder="1" applyAlignment="1">
      <alignment horizontal="right" vertical="center" wrapText="1"/>
    </xf>
    <xf numFmtId="2" fontId="46" fillId="0" borderId="5" xfId="1267" applyNumberFormat="1" applyFont="1" applyFill="1" applyBorder="1" applyAlignment="1">
      <alignment horizontal="left" vertical="center" wrapText="1"/>
    </xf>
    <xf numFmtId="9" fontId="46" fillId="0" borderId="5" xfId="1269" applyFont="1" applyFill="1" applyBorder="1" applyAlignment="1">
      <alignment horizontal="right" vertical="center" wrapText="1"/>
    </xf>
    <xf numFmtId="165" fontId="46" fillId="0" borderId="5" xfId="1267" applyNumberFormat="1" applyFont="1" applyFill="1" applyBorder="1" applyAlignment="1">
      <alignment horizontal="right" vertical="center" wrapText="1"/>
    </xf>
    <xf numFmtId="2" fontId="46" fillId="0" borderId="5" xfId="1267" applyNumberFormat="1" applyFont="1" applyFill="1" applyBorder="1" applyAlignment="1">
      <alignment horizontal="right" vertical="center" wrapText="1"/>
    </xf>
    <xf numFmtId="165" fontId="46" fillId="0" borderId="5" xfId="0" applyFont="1" applyFill="1" applyBorder="1" applyAlignment="1">
      <alignment horizontal="right" vertical="center" wrapText="1"/>
    </xf>
    <xf numFmtId="165" fontId="46" fillId="0" borderId="5" xfId="0" applyFont="1" applyFill="1" applyBorder="1" applyAlignment="1">
      <alignment vertical="center" wrapText="1"/>
    </xf>
    <xf numFmtId="165" fontId="91" fillId="0" borderId="0" xfId="0" applyFont="1" applyFill="1" applyAlignment="1">
      <alignment vertical="center"/>
    </xf>
    <xf numFmtId="165" fontId="92" fillId="0" borderId="0" xfId="0" applyFont="1" applyFill="1" applyAlignment="1">
      <alignment vertical="center"/>
    </xf>
    <xf numFmtId="168" fontId="46" fillId="0" borderId="5" xfId="0" applyNumberFormat="1" applyFont="1" applyFill="1" applyBorder="1" applyAlignment="1">
      <alignment horizontal="right" vertical="center" wrapText="1"/>
    </xf>
    <xf numFmtId="168" fontId="46" fillId="0" borderId="5" xfId="0" applyNumberFormat="1" applyFont="1" applyFill="1" applyBorder="1" applyAlignment="1">
      <alignment vertical="center" wrapText="1"/>
    </xf>
    <xf numFmtId="167" fontId="92" fillId="0" borderId="5" xfId="1267" applyNumberFormat="1" applyFont="1" applyFill="1" applyBorder="1" applyAlignment="1">
      <alignment horizontal="right" vertical="center" wrapText="1"/>
    </xf>
    <xf numFmtId="2" fontId="92" fillId="0" borderId="5" xfId="1267" applyNumberFormat="1" applyFont="1" applyFill="1" applyBorder="1" applyAlignment="1">
      <alignment horizontal="left" vertical="center" wrapText="1"/>
    </xf>
    <xf numFmtId="165" fontId="92" fillId="0" borderId="5" xfId="0" applyFont="1" applyFill="1" applyBorder="1" applyAlignment="1">
      <alignment horizontal="right" vertical="center" wrapText="1"/>
    </xf>
    <xf numFmtId="165" fontId="93" fillId="0" borderId="0" xfId="0" applyFont="1" applyFill="1" applyAlignment="1">
      <alignment vertical="center"/>
    </xf>
    <xf numFmtId="165" fontId="94" fillId="0" borderId="0" xfId="0" applyFont="1" applyFill="1" applyAlignment="1">
      <alignment vertical="center"/>
    </xf>
    <xf numFmtId="2" fontId="92" fillId="0" borderId="5" xfId="1267" applyNumberFormat="1" applyFont="1" applyFill="1" applyBorder="1" applyAlignment="1">
      <alignment horizontal="center" vertical="center" wrapText="1"/>
    </xf>
    <xf numFmtId="165" fontId="92" fillId="0" borderId="5" xfId="0" applyFont="1" applyFill="1" applyBorder="1" applyAlignment="1">
      <alignment vertical="center" wrapText="1"/>
    </xf>
    <xf numFmtId="165" fontId="93" fillId="0" borderId="28" xfId="0" applyFont="1" applyFill="1" applyBorder="1" applyAlignment="1">
      <alignment vertical="center"/>
    </xf>
    <xf numFmtId="165" fontId="93" fillId="0" borderId="5" xfId="0" applyFont="1" applyFill="1" applyBorder="1" applyAlignment="1">
      <alignment vertical="center"/>
    </xf>
    <xf numFmtId="165" fontId="94" fillId="0" borderId="5" xfId="0" applyFont="1" applyFill="1" applyBorder="1" applyAlignment="1">
      <alignment vertical="center"/>
    </xf>
    <xf numFmtId="165" fontId="92" fillId="0" borderId="5" xfId="0" applyFont="1" applyFill="1" applyBorder="1" applyAlignment="1">
      <alignment vertical="center"/>
    </xf>
    <xf numFmtId="165" fontId="92" fillId="0" borderId="5" xfId="0" applyFont="1" applyFill="1" applyBorder="1" applyAlignment="1">
      <alignment horizontal="right" vertical="center"/>
    </xf>
    <xf numFmtId="2" fontId="90" fillId="0" borderId="5" xfId="1267" applyNumberFormat="1" applyFont="1" applyFill="1" applyBorder="1" applyAlignment="1">
      <alignment horizontal="left" vertical="center" wrapText="1"/>
    </xf>
    <xf numFmtId="2" fontId="92" fillId="0" borderId="5" xfId="0" applyNumberFormat="1" applyFont="1" applyFill="1" applyBorder="1" applyAlignment="1">
      <alignment horizontal="right" vertical="center" wrapText="1"/>
    </xf>
    <xf numFmtId="167" fontId="46" fillId="0" borderId="5" xfId="0" applyNumberFormat="1" applyFont="1" applyFill="1" applyBorder="1" applyAlignment="1">
      <alignment horizontal="right" vertical="center" wrapText="1"/>
    </xf>
    <xf numFmtId="167" fontId="46" fillId="0" borderId="5" xfId="0" applyNumberFormat="1" applyFont="1" applyFill="1" applyBorder="1" applyAlignment="1">
      <alignment horizontal="right" vertical="center"/>
    </xf>
    <xf numFmtId="165" fontId="46" fillId="0" borderId="29" xfId="0" applyFont="1" applyFill="1" applyBorder="1" applyAlignment="1">
      <alignment horizontal="right" vertical="center"/>
    </xf>
    <xf numFmtId="165" fontId="46" fillId="0" borderId="5" xfId="0" applyFont="1" applyFill="1" applyBorder="1" applyAlignment="1">
      <alignment horizontal="right" vertical="center"/>
    </xf>
    <xf numFmtId="165" fontId="94" fillId="0" borderId="0" xfId="0" applyFont="1" applyFill="1" applyAlignment="1">
      <alignment horizontal="right" vertical="center"/>
    </xf>
    <xf numFmtId="169" fontId="46" fillId="0" borderId="5" xfId="1267" applyNumberFormat="1" applyFont="1" applyFill="1" applyBorder="1" applyAlignment="1">
      <alignment horizontal="right" vertical="center" wrapText="1"/>
    </xf>
    <xf numFmtId="165" fontId="46" fillId="0" borderId="30" xfId="0" applyFont="1" applyFill="1" applyBorder="1" applyAlignment="1">
      <alignment horizontal="right" vertical="center"/>
    </xf>
    <xf numFmtId="169" fontId="46" fillId="0" borderId="5" xfId="0" applyNumberFormat="1" applyFont="1" applyFill="1" applyBorder="1" applyAlignment="1">
      <alignment horizontal="right" vertical="center"/>
    </xf>
    <xf numFmtId="2" fontId="86" fillId="0" borderId="5" xfId="1267" applyNumberFormat="1" applyFont="1" applyFill="1" applyBorder="1" applyAlignment="1">
      <alignment horizontal="left" vertical="center" wrapText="1"/>
    </xf>
    <xf numFmtId="2" fontId="92" fillId="0" borderId="5" xfId="2" applyNumberFormat="1" applyFont="1" applyFill="1" applyBorder="1" applyAlignment="1">
      <alignment horizontal="right" vertical="center" wrapText="1"/>
    </xf>
    <xf numFmtId="165" fontId="92" fillId="0" borderId="31" xfId="0" applyFont="1" applyFill="1" applyBorder="1" applyAlignment="1">
      <alignment horizontal="right" vertical="center"/>
    </xf>
    <xf numFmtId="168" fontId="46" fillId="0" borderId="5" xfId="0" applyNumberFormat="1" applyFont="1" applyFill="1" applyBorder="1" applyAlignment="1">
      <alignment horizontal="right" vertical="center"/>
    </xf>
    <xf numFmtId="2" fontId="46" fillId="0" borderId="5" xfId="2" applyNumberFormat="1" applyFont="1" applyFill="1" applyBorder="1" applyAlignment="1">
      <alignment horizontal="right" vertical="center" wrapText="1"/>
    </xf>
    <xf numFmtId="1" fontId="46" fillId="0" borderId="5" xfId="1267" applyNumberFormat="1" applyFont="1" applyFill="1" applyBorder="1" applyAlignment="1">
      <alignment horizontal="right" vertical="center" wrapText="1"/>
    </xf>
    <xf numFmtId="168" fontId="92" fillId="0" borderId="5" xfId="0" applyNumberFormat="1" applyFont="1" applyFill="1" applyBorder="1" applyAlignment="1">
      <alignment horizontal="right" vertical="center"/>
    </xf>
    <xf numFmtId="165" fontId="91" fillId="0" borderId="5" xfId="0" applyFont="1" applyFill="1" applyBorder="1" applyAlignment="1">
      <alignment vertical="center"/>
    </xf>
    <xf numFmtId="2" fontId="46" fillId="0" borderId="29" xfId="1267" applyNumberFormat="1" applyFont="1" applyFill="1" applyBorder="1" applyAlignment="1">
      <alignment horizontal="right" vertical="center" wrapText="1"/>
    </xf>
    <xf numFmtId="2" fontId="46" fillId="0" borderId="29" xfId="1267" applyNumberFormat="1" applyFont="1" applyFill="1" applyBorder="1" applyAlignment="1">
      <alignment horizontal="left" vertical="center" wrapText="1"/>
    </xf>
    <xf numFmtId="165" fontId="46" fillId="0" borderId="31" xfId="0" applyFont="1" applyFill="1" applyBorder="1" applyAlignment="1">
      <alignment horizontal="right" vertical="center"/>
    </xf>
    <xf numFmtId="2" fontId="46" fillId="0" borderId="31" xfId="1267" applyNumberFormat="1" applyFont="1" applyFill="1" applyBorder="1" applyAlignment="1">
      <alignment horizontal="left" vertical="center" wrapText="1"/>
    </xf>
    <xf numFmtId="165" fontId="94" fillId="0" borderId="5" xfId="0" applyFont="1" applyFill="1" applyBorder="1" applyAlignment="1">
      <alignment horizontal="right" vertical="center"/>
    </xf>
    <xf numFmtId="2" fontId="94" fillId="0" borderId="5" xfId="1267" applyNumberFormat="1" applyFont="1" applyFill="1" applyBorder="1" applyAlignment="1">
      <alignment horizontal="left" vertical="center" wrapText="1"/>
    </xf>
    <xf numFmtId="2" fontId="94" fillId="0" borderId="5" xfId="1267" applyNumberFormat="1" applyFont="1" applyFill="1" applyBorder="1" applyAlignment="1">
      <alignment horizontal="right" vertical="center" wrapText="1"/>
    </xf>
    <xf numFmtId="2" fontId="95" fillId="0" borderId="5" xfId="1267" applyNumberFormat="1" applyFont="1" applyFill="1" applyBorder="1" applyAlignment="1">
      <alignment horizontal="left" vertical="center" wrapText="1"/>
    </xf>
    <xf numFmtId="2" fontId="94" fillId="0" borderId="29" xfId="1267" applyNumberFormat="1" applyFont="1" applyFill="1" applyBorder="1" applyAlignment="1">
      <alignment horizontal="right" vertical="center" wrapText="1"/>
    </xf>
    <xf numFmtId="2" fontId="94" fillId="0" borderId="29" xfId="1267" applyNumberFormat="1" applyFont="1" applyFill="1" applyBorder="1" applyAlignment="1">
      <alignment horizontal="left" vertical="center" wrapText="1"/>
    </xf>
    <xf numFmtId="2" fontId="92" fillId="0" borderId="29" xfId="1267" applyNumberFormat="1" applyFont="1" applyFill="1" applyBorder="1" applyAlignment="1">
      <alignment horizontal="left" vertical="center" wrapText="1"/>
    </xf>
    <xf numFmtId="165" fontId="94" fillId="0" borderId="31" xfId="0" applyFont="1" applyFill="1" applyBorder="1" applyAlignment="1">
      <alignment horizontal="right" vertical="center"/>
    </xf>
    <xf numFmtId="2" fontId="94" fillId="0" borderId="31" xfId="1267" applyNumberFormat="1" applyFont="1" applyFill="1" applyBorder="1" applyAlignment="1">
      <alignment horizontal="left" vertical="center" wrapText="1"/>
    </xf>
    <xf numFmtId="2" fontId="92" fillId="0" borderId="31" xfId="1267" applyNumberFormat="1" applyFont="1" applyFill="1" applyBorder="1" applyAlignment="1">
      <alignment horizontal="left" vertical="center" wrapText="1"/>
    </xf>
    <xf numFmtId="2" fontId="96" fillId="0" borderId="5" xfId="2" applyNumberFormat="1" applyFont="1" applyFill="1" applyBorder="1" applyAlignment="1">
      <alignment horizontal="left" vertical="center" wrapText="1"/>
    </xf>
    <xf numFmtId="165" fontId="92" fillId="0" borderId="31" xfId="0" applyFont="1" applyFill="1" applyBorder="1" applyAlignment="1">
      <alignment horizontal="right" vertical="center" wrapText="1"/>
    </xf>
    <xf numFmtId="2" fontId="98" fillId="0" borderId="30" xfId="1267" applyNumberFormat="1" applyFont="1" applyFill="1" applyBorder="1" applyAlignment="1">
      <alignment horizontal="left" vertical="center" wrapText="1"/>
    </xf>
    <xf numFmtId="165" fontId="98" fillId="0" borderId="30" xfId="0" applyFont="1" applyFill="1" applyBorder="1" applyAlignment="1">
      <alignment horizontal="right" vertical="center" wrapText="1"/>
    </xf>
    <xf numFmtId="2" fontId="98" fillId="0" borderId="5" xfId="1267" applyNumberFormat="1" applyFont="1" applyFill="1" applyBorder="1" applyAlignment="1">
      <alignment horizontal="left" vertical="center" wrapText="1"/>
    </xf>
    <xf numFmtId="180" fontId="46" fillId="0" borderId="5" xfId="1267" applyNumberFormat="1" applyFont="1" applyFill="1" applyBorder="1" applyAlignment="1">
      <alignment horizontal="right" vertical="center" wrapText="1"/>
    </xf>
    <xf numFmtId="167" fontId="94" fillId="0" borderId="5" xfId="0" applyNumberFormat="1" applyFont="1" applyFill="1" applyBorder="1" applyAlignment="1">
      <alignment horizontal="right" vertical="center"/>
    </xf>
    <xf numFmtId="2" fontId="96" fillId="0" borderId="5" xfId="1267" applyNumberFormat="1" applyFont="1" applyFill="1" applyBorder="1" applyAlignment="1">
      <alignment horizontal="left" vertical="center" wrapText="1"/>
    </xf>
    <xf numFmtId="165" fontId="93" fillId="0" borderId="0" xfId="0" applyFont="1" applyFill="1" applyBorder="1" applyAlignment="1">
      <alignment vertical="center"/>
    </xf>
    <xf numFmtId="165" fontId="94" fillId="0" borderId="0" xfId="0" applyFont="1" applyFill="1" applyBorder="1" applyAlignment="1">
      <alignment vertical="center"/>
    </xf>
    <xf numFmtId="167" fontId="46" fillId="0" borderId="29" xfId="1267" applyNumberFormat="1" applyFont="1" applyFill="1" applyBorder="1" applyAlignment="1">
      <alignment horizontal="right" vertical="center" wrapText="1"/>
    </xf>
    <xf numFmtId="165" fontId="90" fillId="0" borderId="29" xfId="0" applyFont="1" applyFill="1" applyBorder="1" applyAlignment="1">
      <alignment horizontal="left" vertical="center"/>
    </xf>
    <xf numFmtId="165" fontId="46" fillId="0" borderId="29" xfId="0" applyFont="1" applyFill="1" applyBorder="1" applyAlignment="1">
      <alignment horizontal="right" vertical="center" wrapText="1"/>
    </xf>
    <xf numFmtId="167" fontId="94" fillId="0" borderId="5" xfId="1267" applyNumberFormat="1" applyFont="1" applyFill="1" applyBorder="1" applyAlignment="1">
      <alignment horizontal="right" vertical="center" wrapText="1"/>
    </xf>
    <xf numFmtId="165" fontId="97" fillId="0" borderId="5" xfId="0" applyFont="1" applyFill="1" applyBorder="1" applyAlignment="1">
      <alignment horizontal="left" vertical="center"/>
    </xf>
    <xf numFmtId="167" fontId="94" fillId="0" borderId="29" xfId="1267" applyNumberFormat="1" applyFont="1" applyFill="1" applyBorder="1" applyAlignment="1">
      <alignment horizontal="right" vertical="center" wrapText="1"/>
    </xf>
    <xf numFmtId="165" fontId="92" fillId="0" borderId="29" xfId="0" applyFont="1" applyFill="1" applyBorder="1" applyAlignment="1">
      <alignment horizontal="right" vertical="center" wrapText="1"/>
    </xf>
    <xf numFmtId="0" fontId="90" fillId="0" borderId="5" xfId="0" applyNumberFormat="1" applyFont="1" applyFill="1" applyBorder="1" applyAlignment="1">
      <alignment horizontal="left" vertical="center" wrapText="1"/>
    </xf>
    <xf numFmtId="165" fontId="46" fillId="0" borderId="5" xfId="0" applyFont="1" applyFill="1" applyBorder="1" applyAlignment="1">
      <alignment horizontal="left" vertical="center"/>
    </xf>
    <xf numFmtId="165" fontId="90" fillId="0" borderId="5" xfId="0" applyFont="1" applyFill="1" applyBorder="1" applyAlignment="1">
      <alignment horizontal="right" vertical="center" wrapText="1"/>
    </xf>
    <xf numFmtId="165" fontId="90" fillId="0" borderId="5" xfId="0" applyFont="1" applyFill="1" applyBorder="1" applyAlignment="1">
      <alignment horizontal="right" vertical="center"/>
    </xf>
    <xf numFmtId="2" fontId="46" fillId="0" borderId="5" xfId="2" applyNumberFormat="1" applyFont="1" applyFill="1" applyBorder="1" applyAlignment="1">
      <alignment horizontal="left" vertical="center" wrapText="1"/>
    </xf>
    <xf numFmtId="2" fontId="92" fillId="0" borderId="5" xfId="1269" applyNumberFormat="1" applyFont="1" applyFill="1" applyBorder="1" applyAlignment="1">
      <alignment horizontal="right" vertical="center" wrapText="1"/>
    </xf>
    <xf numFmtId="0" fontId="92" fillId="0" borderId="5" xfId="0" applyNumberFormat="1" applyFont="1" applyFill="1" applyBorder="1" applyAlignment="1">
      <alignment horizontal="left" vertical="center" wrapText="1"/>
    </xf>
    <xf numFmtId="2" fontId="92" fillId="0" borderId="5" xfId="2" applyNumberFormat="1" applyFont="1" applyFill="1" applyBorder="1" applyAlignment="1">
      <alignment horizontal="left" vertical="center" wrapText="1"/>
    </xf>
    <xf numFmtId="165" fontId="92" fillId="0" borderId="5" xfId="0" applyFont="1" applyFill="1" applyBorder="1" applyAlignment="1">
      <alignment horizontal="left" vertical="center" wrapText="1"/>
    </xf>
    <xf numFmtId="2" fontId="94" fillId="0" borderId="5" xfId="2" applyNumberFormat="1" applyFont="1" applyFill="1" applyBorder="1" applyAlignment="1">
      <alignment horizontal="left" vertical="center" wrapText="1"/>
    </xf>
    <xf numFmtId="168" fontId="46" fillId="0" borderId="5" xfId="1267" applyNumberFormat="1" applyFont="1" applyFill="1" applyBorder="1" applyAlignment="1">
      <alignment horizontal="right" vertical="center" wrapText="1"/>
    </xf>
    <xf numFmtId="170" fontId="46" fillId="0" borderId="5" xfId="2" applyNumberFormat="1" applyFont="1" applyFill="1" applyBorder="1" applyAlignment="1">
      <alignment horizontal="right" vertical="center" wrapText="1"/>
    </xf>
    <xf numFmtId="167" fontId="46" fillId="0" borderId="26" xfId="1267" applyNumberFormat="1" applyFont="1" applyFill="1" applyBorder="1" applyAlignment="1">
      <alignment horizontal="right" vertical="center" wrapText="1"/>
    </xf>
    <xf numFmtId="165" fontId="46" fillId="0" borderId="0" xfId="0" applyFont="1" applyFill="1" applyBorder="1" applyAlignment="1">
      <alignment horizontal="left" vertical="center"/>
    </xf>
    <xf numFmtId="165" fontId="46" fillId="0" borderId="28" xfId="0" applyFont="1" applyFill="1" applyBorder="1" applyAlignment="1">
      <alignment horizontal="right" vertical="center" wrapText="1"/>
    </xf>
    <xf numFmtId="2" fontId="46" fillId="0" borderId="5" xfId="0" applyNumberFormat="1" applyFont="1" applyFill="1" applyBorder="1" applyAlignment="1">
      <alignment horizontal="right" vertical="center" wrapText="1"/>
    </xf>
    <xf numFmtId="2" fontId="46" fillId="0" borderId="5" xfId="0" applyNumberFormat="1" applyFont="1" applyFill="1" applyBorder="1" applyAlignment="1">
      <alignment horizontal="left" vertical="center" wrapText="1"/>
    </xf>
    <xf numFmtId="165" fontId="46" fillId="0" borderId="5" xfId="0" applyFont="1" applyFill="1" applyBorder="1" applyAlignment="1">
      <alignment horizontal="left" vertical="center" wrapText="1"/>
    </xf>
    <xf numFmtId="2" fontId="92" fillId="0" borderId="5" xfId="0" applyNumberFormat="1" applyFont="1" applyFill="1" applyBorder="1" applyAlignment="1">
      <alignment horizontal="left" vertical="center" wrapText="1"/>
    </xf>
    <xf numFmtId="1" fontId="46" fillId="0" borderId="5" xfId="1267" applyNumberFormat="1" applyFont="1" applyFill="1" applyBorder="1" applyAlignment="1">
      <alignment horizontal="left" vertical="center" wrapText="1"/>
    </xf>
    <xf numFmtId="0" fontId="46" fillId="0" borderId="5" xfId="0" applyNumberFormat="1" applyFont="1" applyFill="1" applyBorder="1" applyAlignment="1">
      <alignment horizontal="left" vertical="center" wrapText="1"/>
    </xf>
    <xf numFmtId="1" fontId="92" fillId="0" borderId="5" xfId="1267" applyNumberFormat="1" applyFont="1" applyFill="1" applyBorder="1" applyAlignment="1">
      <alignment horizontal="left" vertical="center" wrapText="1"/>
    </xf>
    <xf numFmtId="2" fontId="90" fillId="0" borderId="5" xfId="2" applyNumberFormat="1" applyFont="1" applyFill="1" applyBorder="1" applyAlignment="1">
      <alignment horizontal="left" vertical="center" wrapText="1"/>
    </xf>
    <xf numFmtId="165" fontId="92" fillId="0" borderId="5" xfId="3" applyNumberFormat="1" applyFont="1" applyFill="1" applyBorder="1" applyAlignment="1">
      <alignment horizontal="left" vertical="center" wrapText="1"/>
    </xf>
    <xf numFmtId="165" fontId="86" fillId="0" borderId="5" xfId="0" applyFont="1" applyFill="1" applyBorder="1" applyAlignment="1">
      <alignment horizontal="right" vertical="center"/>
    </xf>
    <xf numFmtId="165" fontId="99" fillId="0" borderId="26" xfId="0" applyNumberFormat="1" applyFont="1" applyFill="1" applyBorder="1" applyAlignment="1">
      <alignment horizontal="left" vertical="center"/>
    </xf>
    <xf numFmtId="165" fontId="99" fillId="0" borderId="27" xfId="0" applyNumberFormat="1" applyFont="1" applyFill="1" applyBorder="1" applyAlignment="1">
      <alignment horizontal="right" vertical="center"/>
    </xf>
    <xf numFmtId="2" fontId="86" fillId="0" borderId="5" xfId="1269" applyNumberFormat="1" applyFont="1" applyFill="1" applyBorder="1" applyAlignment="1">
      <alignment horizontal="right" vertical="center" wrapText="1"/>
    </xf>
    <xf numFmtId="0" fontId="46" fillId="0" borderId="5" xfId="3" applyNumberFormat="1" applyFont="1" applyFill="1" applyBorder="1" applyAlignment="1">
      <alignment horizontal="left" vertical="center" wrapText="1"/>
    </xf>
    <xf numFmtId="0" fontId="92" fillId="0" borderId="5" xfId="3" applyNumberFormat="1" applyFont="1" applyFill="1" applyBorder="1" applyAlignment="1">
      <alignment horizontal="left" vertical="center" wrapText="1"/>
    </xf>
    <xf numFmtId="2" fontId="95" fillId="0" borderId="5" xfId="2" applyNumberFormat="1" applyFont="1" applyFill="1" applyBorder="1" applyAlignment="1">
      <alignment horizontal="left" vertical="center" wrapText="1"/>
    </xf>
    <xf numFmtId="165" fontId="94" fillId="0" borderId="5" xfId="3" applyNumberFormat="1" applyFont="1" applyFill="1" applyBorder="1" applyAlignment="1">
      <alignment horizontal="left" vertical="center" wrapText="1"/>
    </xf>
    <xf numFmtId="165" fontId="92" fillId="0" borderId="5" xfId="0" applyFont="1" applyFill="1" applyBorder="1" applyAlignment="1">
      <alignment horizontal="left" vertical="center"/>
    </xf>
    <xf numFmtId="2" fontId="92" fillId="0" borderId="31" xfId="1269" applyNumberFormat="1" applyFont="1" applyFill="1" applyBorder="1" applyAlignment="1">
      <alignment horizontal="right" vertical="center" wrapText="1"/>
    </xf>
    <xf numFmtId="165" fontId="92" fillId="0" borderId="31" xfId="0" applyFont="1" applyFill="1" applyBorder="1" applyAlignment="1">
      <alignment horizontal="left" vertical="center" wrapText="1"/>
    </xf>
    <xf numFmtId="2" fontId="46" fillId="0" borderId="5" xfId="1269" applyNumberFormat="1" applyFont="1" applyFill="1" applyBorder="1" applyAlignment="1">
      <alignment horizontal="right" vertical="center" wrapText="1"/>
    </xf>
    <xf numFmtId="2" fontId="100" fillId="0" borderId="5" xfId="1267" applyNumberFormat="1" applyFont="1" applyFill="1" applyBorder="1" applyAlignment="1">
      <alignment horizontal="left" vertical="center" wrapText="1"/>
    </xf>
    <xf numFmtId="2" fontId="46" fillId="0" borderId="31" xfId="1269" applyNumberFormat="1" applyFont="1" applyFill="1" applyBorder="1" applyAlignment="1">
      <alignment horizontal="right" vertical="center" wrapText="1"/>
    </xf>
    <xf numFmtId="165" fontId="94" fillId="0" borderId="5" xfId="0" applyFont="1" applyFill="1" applyBorder="1" applyAlignment="1">
      <alignment horizontal="left" vertical="center"/>
    </xf>
    <xf numFmtId="2" fontId="94" fillId="0" borderId="5" xfId="1269" applyNumberFormat="1" applyFont="1" applyFill="1" applyBorder="1" applyAlignment="1">
      <alignment horizontal="right" vertical="center" wrapText="1"/>
    </xf>
    <xf numFmtId="2" fontId="94" fillId="0" borderId="30" xfId="1267" applyNumberFormat="1" applyFont="1" applyFill="1" applyBorder="1" applyAlignment="1">
      <alignment horizontal="left" vertical="center" wrapText="1"/>
    </xf>
    <xf numFmtId="2" fontId="94" fillId="0" borderId="29" xfId="1269" applyNumberFormat="1" applyFont="1" applyFill="1" applyBorder="1" applyAlignment="1">
      <alignment horizontal="right" vertical="center" wrapText="1"/>
    </xf>
    <xf numFmtId="165" fontId="94" fillId="0" borderId="29" xfId="3" applyNumberFormat="1" applyFont="1" applyFill="1" applyBorder="1" applyAlignment="1">
      <alignment horizontal="left" vertical="center" wrapText="1"/>
    </xf>
    <xf numFmtId="2" fontId="95" fillId="0" borderId="30" xfId="1267" applyNumberFormat="1" applyFont="1" applyFill="1" applyBorder="1" applyAlignment="1">
      <alignment horizontal="left" vertical="center" wrapText="1"/>
    </xf>
    <xf numFmtId="2" fontId="102" fillId="0" borderId="5" xfId="1267" applyNumberFormat="1" applyFont="1" applyFill="1" applyBorder="1" applyAlignment="1">
      <alignment horizontal="left" vertical="center" wrapText="1"/>
    </xf>
    <xf numFmtId="2" fontId="46" fillId="0" borderId="29" xfId="2" applyNumberFormat="1" applyFont="1" applyFill="1" applyBorder="1" applyAlignment="1">
      <alignment horizontal="left" vertical="center" wrapText="1"/>
    </xf>
    <xf numFmtId="2" fontId="94" fillId="0" borderId="32" xfId="1267" applyNumberFormat="1" applyFont="1" applyFill="1" applyBorder="1" applyAlignment="1">
      <alignment horizontal="left" vertical="center" wrapText="1"/>
    </xf>
    <xf numFmtId="165" fontId="94" fillId="0" borderId="32" xfId="0" applyFont="1" applyFill="1" applyBorder="1" applyAlignment="1">
      <alignment horizontal="right" vertical="center" wrapText="1"/>
    </xf>
    <xf numFmtId="165" fontId="94" fillId="0" borderId="32" xfId="0" applyFont="1" applyFill="1" applyBorder="1" applyAlignment="1">
      <alignment horizontal="left" vertical="center" wrapText="1"/>
    </xf>
    <xf numFmtId="2" fontId="94" fillId="0" borderId="32" xfId="1267" applyNumberFormat="1" applyFont="1" applyFill="1" applyBorder="1" applyAlignment="1">
      <alignment horizontal="right" vertical="center" wrapText="1"/>
    </xf>
    <xf numFmtId="1" fontId="92" fillId="0" borderId="5" xfId="1267" applyNumberFormat="1" applyFont="1" applyFill="1" applyBorder="1" applyAlignment="1">
      <alignment horizontal="right" vertical="center" wrapText="1"/>
    </xf>
    <xf numFmtId="2" fontId="103" fillId="0" borderId="5" xfId="1267" applyNumberFormat="1" applyFont="1" applyFill="1" applyBorder="1" applyAlignment="1">
      <alignment horizontal="left" vertical="center" wrapText="1"/>
    </xf>
    <xf numFmtId="2" fontId="86" fillId="0" borderId="5" xfId="1267" applyNumberFormat="1" applyFont="1" applyFill="1" applyBorder="1" applyAlignment="1">
      <alignment horizontal="right" vertical="center" wrapText="1"/>
    </xf>
    <xf numFmtId="165" fontId="46" fillId="0" borderId="0" xfId="0" applyFont="1" applyFill="1" applyAlignment="1">
      <alignment horizontal="right" vertical="center"/>
    </xf>
    <xf numFmtId="165" fontId="90" fillId="0" borderId="0" xfId="0" applyFont="1" applyFill="1" applyAlignment="1">
      <alignment horizontal="left" vertical="center"/>
    </xf>
    <xf numFmtId="165" fontId="94" fillId="0" borderId="0" xfId="0" applyFont="1" applyFill="1" applyAlignment="1">
      <alignment horizontal="left" vertical="center"/>
    </xf>
    <xf numFmtId="2" fontId="94" fillId="0" borderId="0" xfId="1267" applyNumberFormat="1" applyFont="1" applyFill="1" applyBorder="1" applyAlignment="1">
      <alignment horizontal="right" vertical="center" wrapText="1"/>
    </xf>
    <xf numFmtId="165" fontId="46" fillId="0" borderId="0" xfId="0" applyFont="1" applyFill="1" applyAlignment="1">
      <alignment horizontal="left" vertical="center"/>
    </xf>
    <xf numFmtId="165" fontId="46" fillId="0" borderId="0" xfId="0" applyFont="1" applyFill="1" applyAlignment="1">
      <alignment horizontal="left" vertical="center" wrapText="1"/>
    </xf>
    <xf numFmtId="165" fontId="90" fillId="0" borderId="0" xfId="0" applyFont="1" applyFill="1" applyAlignment="1">
      <alignment horizontal="left" vertical="center" wrapText="1"/>
    </xf>
    <xf numFmtId="165" fontId="92" fillId="0" borderId="0" xfId="0" applyFont="1" applyFill="1" applyAlignment="1">
      <alignment horizontal="right" vertical="center"/>
    </xf>
    <xf numFmtId="165" fontId="92" fillId="0" borderId="0" xfId="0" applyFont="1" applyFill="1" applyAlignment="1">
      <alignment horizontal="left" vertical="center"/>
    </xf>
    <xf numFmtId="165" fontId="92" fillId="0" borderId="0" xfId="0" applyNumberFormat="1" applyFont="1" applyFill="1" applyAlignment="1">
      <alignment horizontal="right" vertical="center"/>
    </xf>
    <xf numFmtId="165" fontId="91" fillId="0" borderId="0" xfId="0" applyNumberFormat="1" applyFont="1" applyFill="1" applyAlignment="1">
      <alignment horizontal="right" vertical="center"/>
    </xf>
    <xf numFmtId="165" fontId="91" fillId="0" borderId="0" xfId="0" applyFont="1" applyFill="1" applyAlignment="1">
      <alignment horizontal="right" vertical="center"/>
    </xf>
    <xf numFmtId="166" fontId="50" fillId="2" borderId="1" xfId="0" applyNumberFormat="1" applyFont="1" applyFill="1" applyBorder="1" applyAlignment="1">
      <alignment horizontal="center" vertical="center"/>
    </xf>
    <xf numFmtId="165" fontId="50" fillId="2" borderId="1" xfId="0" applyFont="1" applyFill="1" applyBorder="1" applyAlignment="1">
      <alignment horizontal="justify" vertical="center" wrapText="1"/>
    </xf>
    <xf numFmtId="165" fontId="50" fillId="2" borderId="1" xfId="0" applyFont="1" applyFill="1" applyBorder="1" applyAlignment="1">
      <alignment horizontal="right" vertical="center"/>
    </xf>
    <xf numFmtId="165" fontId="50" fillId="2" borderId="1" xfId="0" applyFont="1" applyFill="1" applyBorder="1" applyAlignment="1">
      <alignment horizontal="center" vertical="center"/>
    </xf>
    <xf numFmtId="165" fontId="50" fillId="2" borderId="0" xfId="0" applyFont="1" applyFill="1" applyBorder="1" applyAlignment="1">
      <alignment horizontal="center" vertical="center"/>
    </xf>
    <xf numFmtId="165" fontId="86" fillId="0" borderId="26" xfId="0" applyFont="1" applyFill="1" applyBorder="1" applyAlignment="1">
      <alignment horizontal="center" vertical="center" wrapText="1"/>
    </xf>
    <xf numFmtId="165" fontId="86" fillId="0" borderId="27" xfId="0" applyFont="1" applyFill="1" applyBorder="1" applyAlignment="1">
      <alignment horizontal="center" vertical="center" wrapText="1"/>
    </xf>
    <xf numFmtId="2" fontId="94" fillId="0" borderId="0" xfId="1267" applyNumberFormat="1" applyFont="1" applyFill="1" applyBorder="1" applyAlignment="1">
      <alignment horizontal="left" vertical="center" wrapText="1"/>
    </xf>
    <xf numFmtId="165" fontId="86" fillId="0" borderId="27" xfId="0" applyFont="1" applyFill="1" applyBorder="1" applyAlignment="1">
      <alignment vertical="center" wrapText="1"/>
    </xf>
    <xf numFmtId="2" fontId="90" fillId="0" borderId="5" xfId="1267" applyNumberFormat="1" applyFont="1" applyFill="1" applyBorder="1" applyAlignment="1">
      <alignment horizontal="center" vertical="center" wrapText="1"/>
    </xf>
    <xf numFmtId="168" fontId="83" fillId="0" borderId="1" xfId="0" applyNumberFormat="1" applyFont="1" applyBorder="1" applyAlignment="1">
      <alignment horizontal="right" vertical="center"/>
    </xf>
    <xf numFmtId="165" fontId="61" fillId="2" borderId="0" xfId="1" applyNumberFormat="1" applyFont="1" applyFill="1" applyBorder="1" applyAlignment="1">
      <alignment horizontal="center" vertical="center"/>
    </xf>
    <xf numFmtId="165" fontId="19" fillId="2" borderId="0" xfId="1" applyNumberFormat="1" applyFont="1" applyFill="1" applyBorder="1" applyAlignment="1">
      <alignment horizontal="right" vertical="center"/>
    </xf>
    <xf numFmtId="165" fontId="19" fillId="2" borderId="0" xfId="1" applyNumberFormat="1" applyFont="1" applyFill="1" applyBorder="1" applyAlignment="1">
      <alignment horizontal="left" vertical="center"/>
    </xf>
    <xf numFmtId="165" fontId="19" fillId="2" borderId="0" xfId="1" applyNumberFormat="1" applyFont="1" applyFill="1" applyBorder="1" applyAlignment="1">
      <alignment horizontal="center" vertical="center"/>
    </xf>
    <xf numFmtId="165" fontId="61" fillId="2" borderId="0" xfId="1" applyNumberFormat="1" applyFont="1" applyFill="1" applyBorder="1" applyAlignment="1">
      <alignment horizontal="right" vertical="center"/>
    </xf>
    <xf numFmtId="165" fontId="61" fillId="2" borderId="0" xfId="1" applyNumberFormat="1" applyFont="1" applyFill="1" applyBorder="1" applyAlignment="1">
      <alignment horizontal="left" vertical="center"/>
    </xf>
    <xf numFmtId="166" fontId="61" fillId="2" borderId="0" xfId="1" applyNumberFormat="1" applyFont="1" applyFill="1" applyBorder="1" applyAlignment="1">
      <alignment horizontal="center" vertical="center"/>
    </xf>
    <xf numFmtId="165" fontId="63" fillId="2" borderId="1" xfId="1" applyNumberFormat="1" applyFont="1" applyFill="1" applyBorder="1" applyAlignment="1">
      <alignment horizontal="center" vertical="center" wrapText="1"/>
    </xf>
    <xf numFmtId="165" fontId="63" fillId="2" borderId="1" xfId="1" applyNumberFormat="1" applyFont="1" applyFill="1" applyBorder="1" applyAlignment="1">
      <alignment horizontal="center" vertical="center"/>
    </xf>
    <xf numFmtId="165" fontId="63" fillId="2" borderId="0" xfId="1" applyNumberFormat="1" applyFont="1" applyFill="1" applyBorder="1" applyAlignment="1">
      <alignment horizontal="center" vertical="center"/>
    </xf>
    <xf numFmtId="167" fontId="61" fillId="2" borderId="1" xfId="2" applyNumberFormat="1" applyFont="1" applyFill="1" applyBorder="1" applyAlignment="1">
      <alignment horizontal="right" vertical="center" wrapText="1"/>
    </xf>
    <xf numFmtId="165" fontId="61" fillId="2" borderId="1" xfId="0" applyFont="1" applyFill="1" applyBorder="1" applyAlignment="1">
      <alignment horizontal="right" vertical="center" wrapText="1"/>
    </xf>
    <xf numFmtId="165" fontId="61" fillId="2" borderId="0" xfId="0" applyFont="1" applyFill="1" applyBorder="1" applyAlignment="1">
      <alignment horizontal="center" vertical="center" wrapText="1"/>
    </xf>
    <xf numFmtId="2" fontId="61" fillId="2" borderId="1" xfId="2" applyNumberFormat="1" applyFont="1" applyFill="1" applyBorder="1" applyAlignment="1">
      <alignment horizontal="left" vertical="center" wrapText="1"/>
    </xf>
    <xf numFmtId="1" fontId="61" fillId="2" borderId="1" xfId="2" applyNumberFormat="1" applyFont="1" applyFill="1" applyBorder="1" applyAlignment="1">
      <alignment horizontal="center" vertical="center" wrapText="1"/>
    </xf>
    <xf numFmtId="1" fontId="61" fillId="2" borderId="1" xfId="0" applyNumberFormat="1" applyFont="1" applyFill="1" applyBorder="1" applyAlignment="1">
      <alignment horizontal="center" vertical="center" wrapText="1"/>
    </xf>
    <xf numFmtId="165" fontId="61" fillId="2" borderId="1" xfId="0" applyFont="1" applyFill="1" applyBorder="1" applyAlignment="1">
      <alignment horizontal="right" vertical="center"/>
    </xf>
    <xf numFmtId="166" fontId="61" fillId="2" borderId="1" xfId="0" applyNumberFormat="1" applyFont="1" applyFill="1" applyBorder="1" applyAlignment="1">
      <alignment horizontal="center" vertical="center"/>
    </xf>
    <xf numFmtId="165" fontId="61" fillId="2" borderId="0" xfId="0" applyFont="1" applyFill="1" applyBorder="1" applyAlignment="1">
      <alignment horizontal="center" vertical="center"/>
    </xf>
    <xf numFmtId="165" fontId="61" fillId="2" borderId="1" xfId="1" applyNumberFormat="1" applyFont="1" applyFill="1" applyBorder="1" applyAlignment="1">
      <alignment horizontal="right" vertical="center"/>
    </xf>
    <xf numFmtId="165" fontId="61" fillId="2" borderId="1" xfId="1" applyNumberFormat="1" applyFont="1" applyFill="1" applyBorder="1" applyAlignment="1">
      <alignment horizontal="left" vertical="center"/>
    </xf>
    <xf numFmtId="166" fontId="61" fillId="2" borderId="1" xfId="1" applyNumberFormat="1" applyFont="1" applyFill="1" applyBorder="1" applyAlignment="1">
      <alignment horizontal="center" vertical="center"/>
    </xf>
    <xf numFmtId="165" fontId="63" fillId="2" borderId="1" xfId="1" applyNumberFormat="1" applyFont="1" applyFill="1" applyBorder="1" applyAlignment="1">
      <alignment horizontal="right" vertical="center"/>
    </xf>
    <xf numFmtId="169" fontId="61" fillId="2" borderId="1" xfId="0" applyNumberFormat="1" applyFont="1" applyFill="1" applyBorder="1" applyAlignment="1">
      <alignment horizontal="right" vertical="center" wrapText="1"/>
    </xf>
    <xf numFmtId="165" fontId="63" fillId="2" borderId="1" xfId="0" applyFont="1" applyFill="1" applyBorder="1" applyAlignment="1">
      <alignment horizontal="right" vertical="center" wrapText="1"/>
    </xf>
    <xf numFmtId="169" fontId="61" fillId="2" borderId="1" xfId="0" applyNumberFormat="1" applyFont="1" applyFill="1" applyBorder="1" applyAlignment="1">
      <alignment horizontal="right" vertical="center"/>
    </xf>
    <xf numFmtId="169" fontId="61" fillId="2" borderId="1" xfId="2" applyNumberFormat="1" applyFont="1" applyFill="1" applyBorder="1" applyAlignment="1">
      <alignment horizontal="right" vertical="center" wrapText="1"/>
    </xf>
    <xf numFmtId="165" fontId="63" fillId="2" borderId="1" xfId="0" applyFont="1" applyFill="1" applyBorder="1" applyAlignment="1">
      <alignment horizontal="left" vertical="center" wrapText="1"/>
    </xf>
    <xf numFmtId="165" fontId="61" fillId="2" borderId="1" xfId="0" applyNumberFormat="1" applyFont="1" applyFill="1" applyBorder="1" applyAlignment="1">
      <alignment horizontal="right" vertical="center" wrapText="1"/>
    </xf>
    <xf numFmtId="165" fontId="61" fillId="2" borderId="1" xfId="0" applyFont="1" applyFill="1" applyBorder="1" applyAlignment="1">
      <alignment horizontal="center" vertical="center"/>
    </xf>
    <xf numFmtId="168" fontId="61" fillId="2" borderId="1" xfId="0" applyNumberFormat="1" applyFont="1" applyFill="1" applyBorder="1" applyAlignment="1">
      <alignment horizontal="right" vertical="center" wrapText="1"/>
    </xf>
    <xf numFmtId="165" fontId="63" fillId="2" borderId="1" xfId="0" applyFont="1" applyFill="1" applyBorder="1" applyAlignment="1">
      <alignment horizontal="right" vertical="center"/>
    </xf>
    <xf numFmtId="168" fontId="63" fillId="2" borderId="1" xfId="0" applyNumberFormat="1" applyFont="1" applyFill="1" applyBorder="1" applyAlignment="1">
      <alignment horizontal="right" vertical="center" wrapText="1"/>
    </xf>
    <xf numFmtId="165" fontId="63" fillId="2" borderId="1" xfId="12" applyNumberFormat="1" applyFont="1" applyFill="1" applyBorder="1" applyAlignment="1">
      <alignment horizontal="center" vertical="center" wrapText="1"/>
    </xf>
    <xf numFmtId="165" fontId="63" fillId="2" borderId="1" xfId="12" applyNumberFormat="1" applyFont="1" applyFill="1" applyBorder="1" applyAlignment="1">
      <alignment horizontal="center" vertical="center"/>
    </xf>
    <xf numFmtId="169" fontId="61" fillId="2" borderId="1" xfId="12" applyNumberFormat="1" applyFont="1" applyFill="1" applyBorder="1" applyAlignment="1">
      <alignment horizontal="right" vertical="center"/>
    </xf>
    <xf numFmtId="165" fontId="61" fillId="2" borderId="1" xfId="12" applyNumberFormat="1" applyFont="1" applyFill="1" applyBorder="1" applyAlignment="1">
      <alignment vertical="center"/>
    </xf>
    <xf numFmtId="165" fontId="61" fillId="2" borderId="1" xfId="12" applyNumberFormat="1" applyFont="1" applyFill="1" applyBorder="1" applyAlignment="1">
      <alignment horizontal="right" vertical="center"/>
    </xf>
    <xf numFmtId="165" fontId="61" fillId="2" borderId="1" xfId="12" applyNumberFormat="1" applyFont="1" applyFill="1" applyBorder="1" applyAlignment="1">
      <alignment vertical="center" wrapText="1"/>
    </xf>
    <xf numFmtId="166" fontId="61" fillId="2" borderId="1" xfId="12" applyNumberFormat="1" applyFont="1" applyFill="1" applyBorder="1" applyAlignment="1">
      <alignment vertical="center"/>
    </xf>
    <xf numFmtId="165" fontId="61" fillId="2" borderId="1" xfId="12" applyNumberFormat="1" applyFont="1" applyFill="1" applyBorder="1" applyAlignment="1">
      <alignment horizontal="center" vertical="center"/>
    </xf>
    <xf numFmtId="166" fontId="61" fillId="2" borderId="1" xfId="12" applyNumberFormat="1" applyFont="1" applyFill="1" applyBorder="1" applyAlignment="1">
      <alignment horizontal="center" vertical="center"/>
    </xf>
    <xf numFmtId="168" fontId="61" fillId="2" borderId="1" xfId="12" applyNumberFormat="1" applyFont="1" applyFill="1" applyBorder="1" applyAlignment="1">
      <alignment vertical="center"/>
    </xf>
    <xf numFmtId="165" fontId="63" fillId="2" borderId="1" xfId="12" applyNumberFormat="1" applyFont="1" applyFill="1" applyBorder="1" applyAlignment="1">
      <alignment horizontal="right" vertical="center"/>
    </xf>
    <xf numFmtId="165" fontId="63" fillId="2" borderId="1" xfId="12" applyNumberFormat="1" applyFont="1" applyFill="1" applyBorder="1" applyAlignment="1">
      <alignment vertical="center"/>
    </xf>
    <xf numFmtId="165" fontId="63" fillId="2" borderId="1" xfId="12" applyNumberFormat="1" applyFont="1" applyFill="1" applyBorder="1" applyAlignment="1">
      <alignment vertical="center" wrapText="1"/>
    </xf>
    <xf numFmtId="165" fontId="61" fillId="2" borderId="1" xfId="12" applyNumberFormat="1" applyFont="1" applyFill="1" applyBorder="1" applyAlignment="1">
      <alignment horizontal="left" vertical="center" wrapText="1"/>
    </xf>
    <xf numFmtId="168" fontId="63" fillId="2" borderId="1" xfId="12" applyNumberFormat="1" applyFont="1" applyFill="1" applyBorder="1" applyAlignment="1">
      <alignment vertical="center"/>
    </xf>
    <xf numFmtId="165" fontId="86" fillId="0" borderId="27" xfId="0" applyFont="1" applyFill="1" applyBorder="1" applyAlignment="1">
      <alignment horizontal="center" vertical="center" wrapText="1"/>
    </xf>
    <xf numFmtId="165" fontId="90" fillId="0" borderId="5" xfId="0" applyFont="1" applyFill="1" applyBorder="1" applyAlignment="1">
      <alignment horizontal="center" vertical="center" wrapText="1"/>
    </xf>
    <xf numFmtId="165" fontId="86" fillId="0" borderId="5" xfId="0" applyFont="1" applyFill="1" applyBorder="1" applyAlignment="1">
      <alignment horizontal="center" vertical="center" wrapText="1"/>
    </xf>
    <xf numFmtId="0" fontId="83" fillId="0" borderId="1" xfId="1268" applyFont="1" applyBorder="1" applyAlignment="1">
      <alignment horizontal="center" vertical="center" wrapText="1"/>
    </xf>
    <xf numFmtId="0" fontId="83" fillId="0" borderId="1" xfId="1267" applyFont="1" applyBorder="1" applyAlignment="1">
      <alignment horizontal="center" vertical="center" wrapText="1"/>
    </xf>
    <xf numFmtId="167" fontId="85" fillId="0" borderId="1" xfId="1268" applyNumberFormat="1" applyFont="1" applyBorder="1" applyAlignment="1">
      <alignment horizontal="center" vertical="center" wrapText="1"/>
    </xf>
    <xf numFmtId="0" fontId="14" fillId="2" borderId="0" xfId="3" applyFont="1" applyFill="1" applyBorder="1" applyAlignment="1">
      <alignment horizontal="left" vertical="center"/>
    </xf>
    <xf numFmtId="0" fontId="13" fillId="2" borderId="0" xfId="3" applyFont="1" applyFill="1" applyBorder="1" applyAlignment="1">
      <alignment vertical="center"/>
    </xf>
    <xf numFmtId="165" fontId="0" fillId="2" borderId="0" xfId="0" applyFill="1" applyBorder="1" applyAlignment="1">
      <alignment vertical="center"/>
    </xf>
    <xf numFmtId="165" fontId="106" fillId="2" borderId="0" xfId="0" applyFont="1" applyFill="1" applyBorder="1" applyAlignment="1">
      <alignment vertical="center" wrapText="1"/>
    </xf>
    <xf numFmtId="0" fontId="13" fillId="2" borderId="0" xfId="3" applyFont="1" applyFill="1" applyBorder="1" applyAlignment="1">
      <alignment horizontal="center" vertical="center"/>
    </xf>
    <xf numFmtId="170" fontId="107" fillId="2" borderId="1" xfId="3" applyNumberFormat="1" applyFont="1" applyFill="1" applyBorder="1" applyAlignment="1">
      <alignment horizontal="center" vertical="center"/>
    </xf>
    <xf numFmtId="0" fontId="107" fillId="2" borderId="1" xfId="3" applyFont="1" applyFill="1" applyBorder="1" applyAlignment="1">
      <alignment horizontal="center" vertical="center"/>
    </xf>
    <xf numFmtId="0" fontId="85" fillId="2" borderId="1" xfId="3" applyFont="1" applyFill="1" applyBorder="1" applyAlignment="1">
      <alignment horizontal="right" vertical="center"/>
    </xf>
    <xf numFmtId="165" fontId="85" fillId="2" borderId="1" xfId="0" applyFont="1" applyFill="1" applyBorder="1" applyAlignment="1">
      <alignment horizontal="justify" vertical="center" wrapText="1"/>
    </xf>
    <xf numFmtId="0" fontId="85" fillId="2" borderId="1" xfId="3" applyFont="1" applyFill="1" applyBorder="1" applyAlignment="1">
      <alignment horizontal="center" vertical="center"/>
    </xf>
    <xf numFmtId="170" fontId="85" fillId="2" borderId="1" xfId="3" applyNumberFormat="1" applyFont="1" applyFill="1" applyBorder="1" applyAlignment="1">
      <alignment horizontal="center" vertical="center"/>
    </xf>
    <xf numFmtId="170" fontId="85" fillId="2" borderId="1" xfId="3" applyNumberFormat="1" applyFont="1" applyFill="1" applyBorder="1" applyAlignment="1">
      <alignment horizontal="right" vertical="center"/>
    </xf>
    <xf numFmtId="2" fontId="85" fillId="2" borderId="1" xfId="3" applyNumberFormat="1" applyFont="1" applyFill="1" applyBorder="1" applyAlignment="1">
      <alignment horizontal="right" vertical="center"/>
    </xf>
    <xf numFmtId="4" fontId="85" fillId="2" borderId="1" xfId="3" applyNumberFormat="1" applyFont="1" applyFill="1" applyBorder="1" applyAlignment="1">
      <alignment horizontal="left" vertical="center"/>
    </xf>
    <xf numFmtId="0" fontId="108" fillId="2" borderId="1" xfId="3" applyFont="1" applyFill="1" applyBorder="1" applyAlignment="1">
      <alignment horizontal="justify" vertical="center"/>
    </xf>
    <xf numFmtId="0" fontId="109" fillId="0" borderId="1" xfId="0" applyNumberFormat="1" applyFont="1" applyFill="1" applyBorder="1" applyAlignment="1">
      <alignment horizontal="center" vertical="center" wrapText="1"/>
    </xf>
    <xf numFmtId="0" fontId="110" fillId="0" borderId="1" xfId="0" applyNumberFormat="1" applyFont="1" applyFill="1" applyBorder="1" applyAlignment="1">
      <alignment vertical="center" wrapText="1"/>
    </xf>
    <xf numFmtId="2" fontId="109" fillId="0" borderId="1" xfId="0" applyNumberFormat="1" applyFont="1" applyFill="1" applyBorder="1" applyAlignment="1">
      <alignment horizontal="center" vertical="center" wrapText="1"/>
    </xf>
    <xf numFmtId="0" fontId="109" fillId="0" borderId="0" xfId="0" applyNumberFormat="1" applyFont="1" applyFill="1" applyBorder="1" applyAlignment="1">
      <alignment horizontal="center" vertical="center" wrapText="1"/>
    </xf>
    <xf numFmtId="0" fontId="109" fillId="0" borderId="1" xfId="0" applyNumberFormat="1" applyFont="1" applyFill="1" applyBorder="1" applyAlignment="1">
      <alignment vertical="center" wrapText="1"/>
    </xf>
    <xf numFmtId="170" fontId="109" fillId="0" borderId="1" xfId="0" applyNumberFormat="1" applyFont="1" applyFill="1" applyBorder="1" applyAlignment="1">
      <alignment horizontal="center" vertical="center" wrapText="1"/>
    </xf>
    <xf numFmtId="170" fontId="109" fillId="0" borderId="0" xfId="0" applyNumberFormat="1" applyFont="1" applyFill="1" applyBorder="1" applyAlignment="1">
      <alignment horizontal="center" vertical="center" wrapText="1"/>
    </xf>
    <xf numFmtId="0" fontId="85" fillId="2" borderId="1" xfId="3" applyFont="1" applyFill="1" applyBorder="1" applyAlignment="1">
      <alignment horizontal="justify" vertical="center" wrapText="1"/>
    </xf>
    <xf numFmtId="0" fontId="85" fillId="2" borderId="1" xfId="3" quotePrefix="1" applyFont="1" applyFill="1" applyBorder="1" applyAlignment="1">
      <alignment horizontal="center" vertical="center"/>
    </xf>
    <xf numFmtId="2" fontId="85" fillId="2" borderId="1" xfId="3" applyNumberFormat="1" applyFont="1" applyFill="1" applyBorder="1" applyAlignment="1">
      <alignment horizontal="center" vertical="center"/>
    </xf>
    <xf numFmtId="2" fontId="85" fillId="2" borderId="1" xfId="3" applyNumberFormat="1" applyFont="1" applyFill="1" applyBorder="1" applyAlignment="1">
      <alignment horizontal="center"/>
    </xf>
    <xf numFmtId="2" fontId="14" fillId="2" borderId="0" xfId="3" applyNumberFormat="1" applyFont="1" applyFill="1" applyBorder="1" applyAlignment="1">
      <alignment horizontal="left" vertical="center"/>
    </xf>
    <xf numFmtId="0" fontId="85" fillId="2" borderId="1" xfId="3" applyFont="1" applyFill="1" applyBorder="1" applyAlignment="1">
      <alignment horizontal="justify" vertical="center"/>
    </xf>
    <xf numFmtId="170" fontId="83" fillId="2" borderId="1" xfId="3" applyNumberFormat="1" applyFont="1" applyFill="1" applyBorder="1" applyAlignment="1">
      <alignment horizontal="right" vertical="center"/>
    </xf>
    <xf numFmtId="4" fontId="83" fillId="2" borderId="1" xfId="3" applyNumberFormat="1" applyFont="1" applyFill="1" applyBorder="1" applyAlignment="1">
      <alignment horizontal="right" vertical="center"/>
    </xf>
    <xf numFmtId="0" fontId="83" fillId="2" borderId="1" xfId="3" applyFont="1" applyFill="1" applyBorder="1" applyAlignment="1">
      <alignment horizontal="left" vertical="center"/>
    </xf>
    <xf numFmtId="0" fontId="83" fillId="2" borderId="1" xfId="3" applyFont="1" applyFill="1" applyBorder="1" applyAlignment="1">
      <alignment horizontal="right" vertical="center"/>
    </xf>
    <xf numFmtId="2" fontId="83" fillId="2" borderId="1" xfId="3" applyNumberFormat="1" applyFont="1" applyFill="1" applyBorder="1" applyAlignment="1">
      <alignment horizontal="right" vertical="center"/>
    </xf>
    <xf numFmtId="4" fontId="83" fillId="2" borderId="1" xfId="3" applyNumberFormat="1" applyFont="1" applyFill="1" applyBorder="1" applyAlignment="1">
      <alignment horizontal="left" vertical="center"/>
    </xf>
    <xf numFmtId="2" fontId="109" fillId="0" borderId="0" xfId="0" applyNumberFormat="1" applyFont="1" applyFill="1" applyBorder="1" applyAlignment="1">
      <alignment horizontal="center" vertical="center" wrapText="1"/>
    </xf>
    <xf numFmtId="0" fontId="112" fillId="2" borderId="1" xfId="1270" applyNumberFormat="1" applyFont="1" applyFill="1" applyBorder="1"/>
    <xf numFmtId="2" fontId="56" fillId="2" borderId="1" xfId="1270" applyNumberFormat="1" applyFont="1" applyFill="1" applyBorder="1" applyAlignment="1">
      <alignment horizontal="center"/>
    </xf>
    <xf numFmtId="2" fontId="13" fillId="2" borderId="0" xfId="3" applyNumberFormat="1" applyFont="1" applyFill="1" applyBorder="1" applyAlignment="1">
      <alignment vertical="center"/>
    </xf>
    <xf numFmtId="0" fontId="85" fillId="2" borderId="1" xfId="3" applyFont="1" applyFill="1" applyBorder="1" applyAlignment="1">
      <alignment horizontal="left" vertical="center"/>
    </xf>
    <xf numFmtId="165" fontId="85" fillId="2" borderId="1" xfId="0" applyFont="1" applyFill="1" applyBorder="1" applyAlignment="1">
      <alignment vertical="center" wrapText="1"/>
    </xf>
    <xf numFmtId="1" fontId="85" fillId="2" borderId="1" xfId="0" applyNumberFormat="1" applyFont="1" applyFill="1" applyBorder="1" applyAlignment="1">
      <alignment horizontal="center" vertical="center" wrapText="1"/>
    </xf>
    <xf numFmtId="165" fontId="85" fillId="2" borderId="1" xfId="0" applyNumberFormat="1" applyFont="1" applyFill="1" applyBorder="1" applyAlignment="1">
      <alignment horizontal="center" vertical="center" wrapText="1"/>
    </xf>
    <xf numFmtId="168" fontId="85" fillId="2" borderId="1" xfId="0" applyNumberFormat="1" applyFont="1" applyFill="1" applyBorder="1" applyAlignment="1">
      <alignment horizontal="right" vertical="center" wrapText="1"/>
    </xf>
    <xf numFmtId="165" fontId="85" fillId="2" borderId="1" xfId="0" applyNumberFormat="1" applyFont="1" applyFill="1" applyBorder="1" applyAlignment="1">
      <alignment horizontal="right" vertical="center" wrapText="1"/>
    </xf>
    <xf numFmtId="0" fontId="22" fillId="2" borderId="1" xfId="3" applyFont="1" applyFill="1" applyBorder="1" applyAlignment="1">
      <alignment horizontal="justify" vertical="center"/>
    </xf>
    <xf numFmtId="0" fontId="85" fillId="2" borderId="1" xfId="3" applyFont="1" applyFill="1" applyBorder="1" applyAlignment="1">
      <alignment vertical="center"/>
    </xf>
    <xf numFmtId="2" fontId="85" fillId="2" borderId="1" xfId="3" applyNumberFormat="1" applyFont="1" applyFill="1" applyBorder="1" applyAlignment="1">
      <alignment vertical="center"/>
    </xf>
    <xf numFmtId="0" fontId="13" fillId="2" borderId="0" xfId="3" applyFont="1" applyFill="1" applyBorder="1" applyAlignment="1">
      <alignment horizontal="left" vertical="center"/>
    </xf>
    <xf numFmtId="2" fontId="83" fillId="2" borderId="1" xfId="3" applyNumberFormat="1" applyFont="1" applyFill="1" applyBorder="1" applyAlignment="1">
      <alignment horizontal="left" vertical="center"/>
    </xf>
    <xf numFmtId="4" fontId="85" fillId="2" borderId="1" xfId="3" applyNumberFormat="1" applyFont="1" applyFill="1" applyBorder="1" applyAlignment="1">
      <alignment horizontal="right" vertical="center"/>
    </xf>
    <xf numFmtId="2" fontId="85" fillId="2" borderId="1" xfId="3" applyNumberFormat="1" applyFont="1" applyFill="1" applyBorder="1" applyAlignment="1">
      <alignment horizontal="left" vertical="center"/>
    </xf>
    <xf numFmtId="0" fontId="108" fillId="2" borderId="1" xfId="3" applyFont="1" applyFill="1" applyBorder="1" applyAlignment="1">
      <alignment horizontal="justify" vertical="center" wrapText="1"/>
    </xf>
    <xf numFmtId="165" fontId="85" fillId="2" borderId="1" xfId="0" applyFont="1" applyFill="1" applyBorder="1" applyAlignment="1">
      <alignment horizontal="left" vertical="center"/>
    </xf>
    <xf numFmtId="2" fontId="83" fillId="2" borderId="1" xfId="2" applyNumberFormat="1" applyFont="1" applyFill="1" applyBorder="1" applyAlignment="1">
      <alignment vertical="center" wrapText="1"/>
    </xf>
    <xf numFmtId="166" fontId="85" fillId="2" borderId="1" xfId="0" applyNumberFormat="1" applyFont="1" applyFill="1" applyBorder="1" applyAlignment="1">
      <alignment horizontal="center" vertical="center" wrapText="1"/>
    </xf>
    <xf numFmtId="2" fontId="85" fillId="2" borderId="1" xfId="0" applyNumberFormat="1" applyFont="1" applyFill="1" applyBorder="1" applyAlignment="1">
      <alignment horizontal="center" vertical="center" wrapText="1"/>
    </xf>
    <xf numFmtId="2" fontId="85" fillId="2" borderId="1" xfId="0" applyNumberFormat="1" applyFont="1" applyFill="1" applyBorder="1" applyAlignment="1">
      <alignment horizontal="right" vertical="center" wrapText="1"/>
    </xf>
    <xf numFmtId="2" fontId="85" fillId="2" borderId="1" xfId="0" applyNumberFormat="1" applyFont="1" applyFill="1" applyBorder="1" applyAlignment="1">
      <alignment vertical="center" wrapText="1"/>
    </xf>
    <xf numFmtId="0" fontId="14" fillId="2" borderId="0" xfId="3" applyFont="1" applyFill="1" applyBorder="1" applyAlignment="1">
      <alignment vertical="center"/>
    </xf>
    <xf numFmtId="0" fontId="13" fillId="2" borderId="0" xfId="3" applyFont="1" applyFill="1" applyBorder="1" applyAlignment="1">
      <alignment horizontal="justify" vertical="center"/>
    </xf>
    <xf numFmtId="2" fontId="13" fillId="2" borderId="0" xfId="3" applyNumberFormat="1" applyFont="1" applyFill="1" applyBorder="1" applyAlignment="1">
      <alignment horizontal="right" vertical="center"/>
    </xf>
    <xf numFmtId="4" fontId="13" fillId="2" borderId="0" xfId="3" applyNumberFormat="1" applyFont="1" applyFill="1" applyBorder="1" applyAlignment="1">
      <alignment horizontal="right" vertical="center"/>
    </xf>
    <xf numFmtId="170" fontId="13" fillId="2" borderId="0" xfId="3" applyNumberFormat="1" applyFont="1" applyFill="1" applyBorder="1" applyAlignment="1">
      <alignment horizontal="right" vertical="center"/>
    </xf>
    <xf numFmtId="170" fontId="83" fillId="2" borderId="1" xfId="3" applyNumberFormat="1" applyFont="1" applyFill="1" applyBorder="1" applyAlignment="1">
      <alignment vertical="center"/>
    </xf>
    <xf numFmtId="0" fontId="85" fillId="2" borderId="1" xfId="3" applyFont="1" applyFill="1" applyBorder="1" applyAlignment="1">
      <alignment vertical="center" wrapText="1"/>
    </xf>
    <xf numFmtId="2" fontId="83" fillId="2" borderId="1" xfId="3" applyNumberFormat="1" applyFont="1" applyFill="1" applyBorder="1" applyAlignment="1">
      <alignment vertical="center"/>
    </xf>
    <xf numFmtId="165" fontId="83" fillId="2" borderId="1" xfId="0" applyFont="1" applyFill="1" applyBorder="1" applyAlignment="1">
      <alignment vertical="center" wrapText="1"/>
    </xf>
    <xf numFmtId="2" fontId="85" fillId="2" borderId="1" xfId="3" applyNumberFormat="1" applyFont="1" applyFill="1" applyBorder="1" applyAlignment="1">
      <alignment horizontal="justify" vertical="center"/>
    </xf>
    <xf numFmtId="0" fontId="83" fillId="2" borderId="1" xfId="3" applyFont="1" applyFill="1" applyBorder="1" applyAlignment="1">
      <alignment horizontal="justify" vertical="center"/>
    </xf>
    <xf numFmtId="0" fontId="83" fillId="2" borderId="1" xfId="3" applyFont="1" applyFill="1" applyBorder="1" applyAlignment="1">
      <alignment horizontal="justify" vertical="center" wrapText="1"/>
    </xf>
    <xf numFmtId="167" fontId="85" fillId="2" borderId="1" xfId="3" applyNumberFormat="1" applyFont="1" applyFill="1" applyBorder="1" applyAlignment="1">
      <alignment horizontal="right" vertical="center"/>
    </xf>
    <xf numFmtId="0" fontId="83" fillId="2" borderId="1" xfId="3" applyFont="1" applyFill="1" applyBorder="1" applyAlignment="1">
      <alignment horizontal="center" vertical="center"/>
    </xf>
    <xf numFmtId="2" fontId="83" fillId="2" borderId="1" xfId="3" applyNumberFormat="1" applyFont="1" applyFill="1" applyBorder="1" applyAlignment="1">
      <alignment horizontal="center" vertical="center"/>
    </xf>
    <xf numFmtId="170" fontId="83" fillId="2" borderId="1" xfId="3" applyNumberFormat="1" applyFont="1" applyFill="1" applyBorder="1" applyAlignment="1">
      <alignment horizontal="center" vertical="center"/>
    </xf>
    <xf numFmtId="1" fontId="85" fillId="2" borderId="1" xfId="3" applyNumberFormat="1" applyFont="1" applyFill="1" applyBorder="1" applyAlignment="1">
      <alignment horizontal="center" vertical="center"/>
    </xf>
    <xf numFmtId="3" fontId="85" fillId="2" borderId="1" xfId="3" applyNumberFormat="1" applyFont="1" applyFill="1" applyBorder="1" applyAlignment="1">
      <alignment horizontal="left" vertical="center"/>
    </xf>
    <xf numFmtId="2" fontId="85" fillId="2" borderId="1" xfId="1267" applyNumberFormat="1" applyFont="1" applyFill="1" applyBorder="1" applyAlignment="1">
      <alignment vertical="center" wrapText="1"/>
    </xf>
    <xf numFmtId="0" fontId="113" fillId="2" borderId="0" xfId="3" applyFont="1" applyFill="1" applyBorder="1" applyAlignment="1">
      <alignment vertical="center"/>
    </xf>
    <xf numFmtId="2" fontId="114" fillId="2" borderId="1" xfId="2" applyNumberFormat="1" applyFont="1" applyFill="1" applyBorder="1" applyAlignment="1">
      <alignment vertical="top" wrapText="1"/>
    </xf>
    <xf numFmtId="2" fontId="43" fillId="2" borderId="1" xfId="2" applyNumberFormat="1" applyFont="1" applyFill="1" applyBorder="1" applyAlignment="1">
      <alignment vertical="top" wrapText="1"/>
    </xf>
    <xf numFmtId="2" fontId="85" fillId="2" borderId="1" xfId="3" applyNumberFormat="1" applyFont="1" applyFill="1" applyBorder="1" applyAlignment="1">
      <alignment horizontal="justify" vertical="center" wrapText="1"/>
    </xf>
    <xf numFmtId="165" fontId="83" fillId="2" borderId="1" xfId="0" applyNumberFormat="1" applyFont="1" applyFill="1" applyBorder="1" applyAlignment="1">
      <alignment horizontal="right" vertical="center" wrapText="1"/>
    </xf>
    <xf numFmtId="165" fontId="85" fillId="2" borderId="1" xfId="0" applyNumberFormat="1" applyFont="1" applyFill="1" applyBorder="1" applyAlignment="1">
      <alignment vertical="center" wrapText="1"/>
    </xf>
    <xf numFmtId="167" fontId="85" fillId="2" borderId="1" xfId="2" applyNumberFormat="1" applyFont="1" applyFill="1" applyBorder="1" applyAlignment="1">
      <alignment horizontal="right" vertical="center" wrapText="1"/>
    </xf>
    <xf numFmtId="0" fontId="116" fillId="2" borderId="1" xfId="3" applyFont="1" applyFill="1" applyBorder="1" applyAlignment="1">
      <alignment horizontal="center" vertical="center"/>
    </xf>
    <xf numFmtId="170" fontId="116" fillId="2" borderId="1" xfId="3" applyNumberFormat="1" applyFont="1" applyFill="1" applyBorder="1" applyAlignment="1">
      <alignment horizontal="center" vertical="center"/>
    </xf>
    <xf numFmtId="170" fontId="116" fillId="2" borderId="1" xfId="3" applyNumberFormat="1" applyFont="1" applyFill="1" applyBorder="1" applyAlignment="1">
      <alignment horizontal="right" vertical="center"/>
    </xf>
    <xf numFmtId="2" fontId="116" fillId="2" borderId="1" xfId="3" applyNumberFormat="1" applyFont="1" applyFill="1" applyBorder="1" applyAlignment="1">
      <alignment horizontal="right" vertical="center"/>
    </xf>
    <xf numFmtId="4" fontId="116" fillId="2" borderId="1" xfId="3" applyNumberFormat="1" applyFont="1" applyFill="1" applyBorder="1" applyAlignment="1">
      <alignment horizontal="left" vertical="center"/>
    </xf>
    <xf numFmtId="0" fontId="117" fillId="2" borderId="0" xfId="3" applyFont="1" applyFill="1" applyBorder="1" applyAlignment="1">
      <alignment vertical="center"/>
    </xf>
    <xf numFmtId="0" fontId="117" fillId="2" borderId="0" xfId="3" applyFont="1" applyFill="1" applyBorder="1" applyAlignment="1">
      <alignment horizontal="justify" vertical="center"/>
    </xf>
    <xf numFmtId="0" fontId="117" fillId="2" borderId="0" xfId="3" applyFont="1" applyFill="1" applyBorder="1" applyAlignment="1">
      <alignment horizontal="center" vertical="center"/>
    </xf>
    <xf numFmtId="2" fontId="117" fillId="2" borderId="0" xfId="3" applyNumberFormat="1" applyFont="1" applyFill="1" applyBorder="1" applyAlignment="1">
      <alignment horizontal="right" vertical="center"/>
    </xf>
    <xf numFmtId="4" fontId="117" fillId="2" borderId="0" xfId="3" applyNumberFormat="1" applyFont="1" applyFill="1" applyBorder="1" applyAlignment="1">
      <alignment horizontal="right" vertical="center"/>
    </xf>
    <xf numFmtId="165" fontId="118" fillId="2" borderId="0" xfId="0" applyFont="1" applyFill="1" applyBorder="1" applyAlignment="1">
      <alignment vertical="center"/>
    </xf>
    <xf numFmtId="168" fontId="85" fillId="2" borderId="1" xfId="0" applyNumberFormat="1" applyFont="1" applyFill="1" applyBorder="1" applyAlignment="1">
      <alignment horizontal="center" vertical="center" wrapText="1"/>
    </xf>
    <xf numFmtId="0" fontId="13" fillId="2" borderId="1" xfId="3" applyFont="1" applyFill="1" applyBorder="1" applyAlignment="1">
      <alignment horizontal="justify" vertical="center"/>
    </xf>
    <xf numFmtId="0" fontId="13" fillId="2" borderId="1" xfId="3" applyFont="1" applyFill="1" applyBorder="1" applyAlignment="1">
      <alignment horizontal="center" vertical="center"/>
    </xf>
    <xf numFmtId="2" fontId="13" fillId="2" borderId="1" xfId="3" applyNumberFormat="1" applyFont="1" applyFill="1" applyBorder="1" applyAlignment="1">
      <alignment horizontal="center" vertical="center"/>
    </xf>
    <xf numFmtId="170" fontId="14" fillId="2" borderId="1" xfId="3" applyNumberFormat="1" applyFont="1" applyFill="1" applyBorder="1" applyAlignment="1">
      <alignment horizontal="right" vertical="center"/>
    </xf>
    <xf numFmtId="4" fontId="14" fillId="2" borderId="1" xfId="3" applyNumberFormat="1" applyFont="1" applyFill="1" applyBorder="1" applyAlignment="1">
      <alignment horizontal="right" vertical="center"/>
    </xf>
    <xf numFmtId="2" fontId="14" fillId="2" borderId="1" xfId="3" applyNumberFormat="1" applyFont="1" applyFill="1" applyBorder="1" applyAlignment="1">
      <alignment horizontal="right" vertical="center"/>
    </xf>
    <xf numFmtId="0" fontId="14" fillId="2" borderId="1" xfId="3" applyFont="1" applyFill="1" applyBorder="1" applyAlignment="1">
      <alignment horizontal="right" vertical="center"/>
    </xf>
    <xf numFmtId="170" fontId="14" fillId="2" borderId="1" xfId="3" applyNumberFormat="1" applyFont="1" applyFill="1" applyBorder="1" applyAlignment="1">
      <alignment vertical="center"/>
    </xf>
    <xf numFmtId="2" fontId="14" fillId="2" borderId="1" xfId="3" applyNumberFormat="1" applyFont="1" applyFill="1" applyBorder="1" applyAlignment="1">
      <alignment vertical="center"/>
    </xf>
    <xf numFmtId="0" fontId="85" fillId="2" borderId="1" xfId="3" applyFont="1" applyFill="1" applyBorder="1" applyAlignment="1">
      <alignment horizontal="center" vertical="center" wrapText="1"/>
    </xf>
    <xf numFmtId="4" fontId="119" fillId="2" borderId="0" xfId="3" applyNumberFormat="1" applyFont="1" applyFill="1" applyBorder="1" applyAlignment="1">
      <alignment horizontal="left" vertical="center"/>
    </xf>
    <xf numFmtId="0" fontId="120" fillId="2" borderId="1" xfId="3" applyFont="1" applyFill="1" applyBorder="1" applyAlignment="1">
      <alignment horizontal="justify" vertical="center"/>
    </xf>
    <xf numFmtId="0" fontId="85" fillId="2" borderId="1" xfId="3" applyFont="1" applyFill="1" applyBorder="1" applyAlignment="1">
      <alignment horizontal="left" vertical="center" wrapText="1"/>
    </xf>
    <xf numFmtId="0" fontId="110" fillId="0" borderId="1" xfId="0" applyNumberFormat="1" applyFont="1" applyFill="1" applyBorder="1" applyAlignment="1">
      <alignment horizontal="center" vertical="center" wrapText="1"/>
    </xf>
    <xf numFmtId="2" fontId="110" fillId="0" borderId="1" xfId="0" applyNumberFormat="1" applyFont="1" applyFill="1" applyBorder="1" applyAlignment="1">
      <alignment horizontal="center" vertical="center" wrapText="1"/>
    </xf>
    <xf numFmtId="0" fontId="109" fillId="0" borderId="1" xfId="0" applyNumberFormat="1" applyFont="1" applyFill="1" applyBorder="1" applyAlignment="1">
      <alignment horizontal="left" vertical="center" wrapText="1"/>
    </xf>
    <xf numFmtId="0" fontId="13" fillId="2" borderId="1" xfId="3" applyFont="1" applyFill="1" applyBorder="1" applyAlignment="1">
      <alignment horizontal="right" vertical="center"/>
    </xf>
    <xf numFmtId="0" fontId="13" fillId="2" borderId="1" xfId="3" applyFont="1" applyFill="1" applyBorder="1" applyAlignment="1">
      <alignment vertical="center"/>
    </xf>
    <xf numFmtId="0" fontId="14" fillId="2" borderId="1" xfId="3" applyFont="1" applyFill="1" applyBorder="1" applyAlignment="1">
      <alignment horizontal="left" vertical="center"/>
    </xf>
    <xf numFmtId="0" fontId="13" fillId="2" borderId="0" xfId="3" applyFont="1" applyFill="1" applyBorder="1" applyAlignment="1">
      <alignment horizontal="right" vertical="center"/>
    </xf>
    <xf numFmtId="165" fontId="86" fillId="0" borderId="1" xfId="0" applyFont="1" applyFill="1" applyBorder="1" applyAlignment="1">
      <alignment horizontal="center" vertical="center" wrapText="1"/>
    </xf>
    <xf numFmtId="165" fontId="90" fillId="0" borderId="28" xfId="0" applyNumberFormat="1" applyFont="1" applyFill="1" applyBorder="1" applyAlignment="1">
      <alignment horizontal="center" vertical="center" wrapText="1"/>
    </xf>
    <xf numFmtId="165" fontId="86" fillId="0" borderId="1" xfId="0" applyFont="1" applyFill="1" applyBorder="1" applyAlignment="1">
      <alignment horizontal="right" vertical="center" wrapText="1"/>
    </xf>
    <xf numFmtId="165" fontId="86" fillId="0" borderId="1" xfId="0" applyFont="1" applyFill="1" applyBorder="1" applyAlignment="1">
      <alignment horizontal="left" vertical="center" wrapText="1"/>
    </xf>
    <xf numFmtId="165" fontId="86" fillId="0" borderId="28" xfId="0" applyNumberFormat="1" applyFont="1" applyFill="1" applyBorder="1" applyAlignment="1">
      <alignment horizontal="right" vertical="center" wrapText="1"/>
    </xf>
    <xf numFmtId="167" fontId="46" fillId="0" borderId="1" xfId="1267" applyNumberFormat="1" applyFont="1" applyFill="1" applyBorder="1" applyAlignment="1">
      <alignment horizontal="right" vertical="center" wrapText="1"/>
    </xf>
    <xf numFmtId="2" fontId="46" fillId="0" borderId="1" xfId="1267" applyNumberFormat="1" applyFont="1" applyFill="1" applyBorder="1" applyAlignment="1">
      <alignment horizontal="right" vertical="center" wrapText="1"/>
    </xf>
    <xf numFmtId="2" fontId="46" fillId="0" borderId="1" xfId="1267" applyNumberFormat="1" applyFont="1" applyFill="1" applyBorder="1" applyAlignment="1">
      <alignment horizontal="left" vertical="center" wrapText="1"/>
    </xf>
    <xf numFmtId="9" fontId="46" fillId="0" borderId="1" xfId="1269" applyFont="1" applyFill="1" applyBorder="1" applyAlignment="1">
      <alignment horizontal="right" vertical="center" wrapText="1"/>
    </xf>
    <xf numFmtId="165" fontId="46" fillId="0" borderId="28" xfId="1267" applyNumberFormat="1" applyFont="1" applyFill="1" applyBorder="1" applyAlignment="1">
      <alignment horizontal="right" vertical="center" wrapText="1"/>
    </xf>
    <xf numFmtId="165" fontId="46" fillId="0" borderId="1" xfId="0" applyFont="1" applyFill="1" applyBorder="1" applyAlignment="1">
      <alignment horizontal="right" vertical="center" wrapText="1"/>
    </xf>
    <xf numFmtId="167" fontId="92" fillId="0" borderId="1" xfId="1267" applyNumberFormat="1" applyFont="1" applyFill="1" applyBorder="1" applyAlignment="1">
      <alignment horizontal="right" vertical="center" wrapText="1"/>
    </xf>
    <xf numFmtId="2" fontId="92" fillId="0" borderId="1" xfId="1267" applyNumberFormat="1" applyFont="1" applyFill="1" applyBorder="1" applyAlignment="1">
      <alignment horizontal="left" vertical="center" wrapText="1"/>
    </xf>
    <xf numFmtId="165" fontId="92" fillId="0" borderId="1" xfId="0" applyFont="1" applyFill="1" applyBorder="1" applyAlignment="1">
      <alignment horizontal="right" vertical="center" wrapText="1"/>
    </xf>
    <xf numFmtId="165" fontId="92" fillId="0" borderId="28" xfId="1267" applyNumberFormat="1" applyFont="1" applyFill="1" applyBorder="1" applyAlignment="1">
      <alignment horizontal="right" vertical="center" wrapText="1"/>
    </xf>
    <xf numFmtId="2" fontId="90" fillId="0" borderId="1" xfId="1267" applyNumberFormat="1" applyFont="1" applyFill="1" applyBorder="1" applyAlignment="1">
      <alignment horizontal="left" vertical="center" wrapText="1"/>
    </xf>
    <xf numFmtId="165" fontId="46" fillId="0" borderId="35" xfId="1267" applyNumberFormat="1" applyFont="1" applyFill="1" applyBorder="1" applyAlignment="1">
      <alignment horizontal="right" vertical="center" wrapText="1"/>
    </xf>
    <xf numFmtId="167" fontId="46" fillId="0" borderId="1" xfId="0" applyNumberFormat="1" applyFont="1" applyFill="1" applyBorder="1" applyAlignment="1">
      <alignment horizontal="right" vertical="center" wrapText="1"/>
    </xf>
    <xf numFmtId="167" fontId="46" fillId="0" borderId="1" xfId="0" applyNumberFormat="1" applyFont="1" applyFill="1" applyBorder="1" applyAlignment="1">
      <alignment horizontal="right" vertical="center"/>
    </xf>
    <xf numFmtId="165" fontId="92" fillId="0" borderId="0" xfId="1267" applyNumberFormat="1" applyFont="1" applyFill="1" applyBorder="1" applyAlignment="1">
      <alignment horizontal="right" vertical="center" wrapText="1"/>
    </xf>
    <xf numFmtId="165" fontId="46" fillId="0" borderId="1" xfId="0" applyFont="1" applyFill="1" applyBorder="1" applyAlignment="1">
      <alignment horizontal="right" vertical="center"/>
    </xf>
    <xf numFmtId="169" fontId="46" fillId="0" borderId="1" xfId="1267" applyNumberFormat="1" applyFont="1" applyFill="1" applyBorder="1" applyAlignment="1">
      <alignment horizontal="right" vertical="center" wrapText="1"/>
    </xf>
    <xf numFmtId="165" fontId="46" fillId="0" borderId="36" xfId="1267" applyNumberFormat="1" applyFont="1" applyFill="1" applyBorder="1" applyAlignment="1">
      <alignment horizontal="right" vertical="center" wrapText="1"/>
    </xf>
    <xf numFmtId="169" fontId="46" fillId="0" borderId="1" xfId="0" applyNumberFormat="1" applyFont="1" applyFill="1" applyBorder="1" applyAlignment="1">
      <alignment horizontal="right" vertical="center"/>
    </xf>
    <xf numFmtId="165" fontId="90" fillId="0" borderId="28" xfId="1267" applyNumberFormat="1" applyFont="1" applyFill="1" applyBorder="1" applyAlignment="1">
      <alignment horizontal="right" vertical="center" wrapText="1"/>
    </xf>
    <xf numFmtId="2" fontId="86" fillId="0" borderId="1" xfId="1267" applyNumberFormat="1" applyFont="1" applyFill="1" applyBorder="1" applyAlignment="1">
      <alignment horizontal="left" vertical="center" wrapText="1"/>
    </xf>
    <xf numFmtId="165" fontId="86" fillId="0" borderId="28" xfId="1267" applyNumberFormat="1" applyFont="1" applyFill="1" applyBorder="1" applyAlignment="1">
      <alignment horizontal="right" vertical="center" wrapText="1"/>
    </xf>
    <xf numFmtId="165" fontId="92" fillId="0" borderId="37" xfId="1267" applyNumberFormat="1" applyFont="1" applyFill="1" applyBorder="1" applyAlignment="1">
      <alignment horizontal="right" vertical="center" wrapText="1"/>
    </xf>
    <xf numFmtId="170" fontId="46" fillId="0" borderId="1" xfId="1267" applyNumberFormat="1" applyFont="1" applyFill="1" applyBorder="1" applyAlignment="1">
      <alignment horizontal="right" vertical="center" wrapText="1"/>
    </xf>
    <xf numFmtId="168" fontId="46" fillId="0" borderId="28" xfId="1267" applyNumberFormat="1" applyFont="1" applyFill="1" applyBorder="1" applyAlignment="1">
      <alignment horizontal="right" vertical="center" wrapText="1"/>
    </xf>
    <xf numFmtId="1" fontId="46" fillId="0" borderId="1" xfId="1267" applyNumberFormat="1" applyFont="1" applyFill="1" applyBorder="1" applyAlignment="1">
      <alignment horizontal="right" vertical="center" wrapText="1"/>
    </xf>
    <xf numFmtId="165" fontId="46" fillId="0" borderId="37" xfId="1267" applyNumberFormat="1" applyFont="1" applyFill="1" applyBorder="1" applyAlignment="1">
      <alignment horizontal="right" vertical="center" wrapText="1"/>
    </xf>
    <xf numFmtId="165" fontId="94" fillId="0" borderId="1" xfId="0" applyFont="1" applyFill="1" applyBorder="1" applyAlignment="1">
      <alignment horizontal="right" vertical="center"/>
    </xf>
    <xf numFmtId="2" fontId="94" fillId="0" borderId="1" xfId="1267" applyNumberFormat="1" applyFont="1" applyFill="1" applyBorder="1" applyAlignment="1">
      <alignment horizontal="left" vertical="center" wrapText="1"/>
    </xf>
    <xf numFmtId="2" fontId="94" fillId="0" borderId="1" xfId="1267" applyNumberFormat="1" applyFont="1" applyFill="1" applyBorder="1" applyAlignment="1">
      <alignment horizontal="right" vertical="center" wrapText="1"/>
    </xf>
    <xf numFmtId="2" fontId="95" fillId="0" borderId="1" xfId="1267" applyNumberFormat="1" applyFont="1" applyFill="1" applyBorder="1" applyAlignment="1">
      <alignment horizontal="left" vertical="center" wrapText="1"/>
    </xf>
    <xf numFmtId="165" fontId="92" fillId="0" borderId="35" xfId="1267" applyNumberFormat="1" applyFont="1" applyFill="1" applyBorder="1" applyAlignment="1">
      <alignment horizontal="right" vertical="center" wrapText="1"/>
    </xf>
    <xf numFmtId="2" fontId="96" fillId="0" borderId="1" xfId="2" applyNumberFormat="1" applyFont="1" applyFill="1" applyBorder="1" applyAlignment="1">
      <alignment horizontal="left" vertical="center" wrapText="1"/>
    </xf>
    <xf numFmtId="2" fontId="98" fillId="0" borderId="1" xfId="1267" applyNumberFormat="1" applyFont="1" applyFill="1" applyBorder="1" applyAlignment="1">
      <alignment horizontal="left" vertical="center" wrapText="1"/>
    </xf>
    <xf numFmtId="165" fontId="98" fillId="0" borderId="1" xfId="0" applyFont="1" applyFill="1" applyBorder="1" applyAlignment="1">
      <alignment horizontal="right" vertical="center" wrapText="1"/>
    </xf>
    <xf numFmtId="165" fontId="98" fillId="0" borderId="36" xfId="1267" applyNumberFormat="1" applyFont="1" applyFill="1" applyBorder="1" applyAlignment="1">
      <alignment horizontal="right" vertical="center" wrapText="1"/>
    </xf>
    <xf numFmtId="165" fontId="98" fillId="0" borderId="28" xfId="1267" applyNumberFormat="1" applyFont="1" applyFill="1" applyBorder="1" applyAlignment="1">
      <alignment horizontal="right" vertical="center" wrapText="1"/>
    </xf>
    <xf numFmtId="180" fontId="46" fillId="0" borderId="1" xfId="1267" applyNumberFormat="1" applyFont="1" applyFill="1" applyBorder="1" applyAlignment="1">
      <alignment horizontal="right" vertical="center" wrapText="1"/>
    </xf>
    <xf numFmtId="167" fontId="94" fillId="0" borderId="1" xfId="0" applyNumberFormat="1" applyFont="1" applyFill="1" applyBorder="1" applyAlignment="1">
      <alignment horizontal="right" vertical="center"/>
    </xf>
    <xf numFmtId="2" fontId="96" fillId="0" borderId="1" xfId="1267" applyNumberFormat="1" applyFont="1" applyFill="1" applyBorder="1" applyAlignment="1">
      <alignment horizontal="left" vertical="center" wrapText="1"/>
    </xf>
    <xf numFmtId="165" fontId="90" fillId="0" borderId="1" xfId="0" applyFont="1" applyFill="1" applyBorder="1" applyAlignment="1">
      <alignment horizontal="left" vertical="center"/>
    </xf>
    <xf numFmtId="167" fontId="94" fillId="0" borderId="1" xfId="1267" applyNumberFormat="1" applyFont="1" applyFill="1" applyBorder="1" applyAlignment="1">
      <alignment horizontal="right" vertical="center" wrapText="1"/>
    </xf>
    <xf numFmtId="165" fontId="97" fillId="0" borderId="1" xfId="0" applyFont="1" applyFill="1" applyBorder="1" applyAlignment="1">
      <alignment horizontal="left" vertical="center"/>
    </xf>
    <xf numFmtId="0" fontId="90" fillId="0" borderId="1" xfId="0" applyNumberFormat="1" applyFont="1" applyFill="1" applyBorder="1" applyAlignment="1">
      <alignment horizontal="left" vertical="center" wrapText="1"/>
    </xf>
    <xf numFmtId="165" fontId="46" fillId="0" borderId="1" xfId="0" applyFont="1" applyFill="1" applyBorder="1" applyAlignment="1">
      <alignment horizontal="left" vertical="center"/>
    </xf>
    <xf numFmtId="165" fontId="90" fillId="0" borderId="1" xfId="0" applyFont="1" applyFill="1" applyBorder="1" applyAlignment="1">
      <alignment horizontal="right" vertical="center" wrapText="1"/>
    </xf>
    <xf numFmtId="165" fontId="90" fillId="0" borderId="1" xfId="0" applyFont="1" applyFill="1" applyBorder="1" applyAlignment="1">
      <alignment horizontal="right" vertical="center"/>
    </xf>
    <xf numFmtId="2" fontId="92" fillId="0" borderId="1" xfId="1267" applyNumberFormat="1" applyFont="1" applyFill="1" applyBorder="1" applyAlignment="1">
      <alignment horizontal="right" vertical="center" wrapText="1"/>
    </xf>
    <xf numFmtId="2" fontId="46" fillId="0" borderId="1" xfId="2" applyNumberFormat="1" applyFont="1" applyFill="1" applyBorder="1" applyAlignment="1">
      <alignment horizontal="left" vertical="center" wrapText="1"/>
    </xf>
    <xf numFmtId="2" fontId="92" fillId="0" borderId="1" xfId="1269" applyNumberFormat="1" applyFont="1" applyFill="1" applyBorder="1" applyAlignment="1">
      <alignment horizontal="right" vertical="center" wrapText="1"/>
    </xf>
    <xf numFmtId="0" fontId="92" fillId="0" borderId="1" xfId="0" applyNumberFormat="1" applyFont="1" applyFill="1" applyBorder="1" applyAlignment="1">
      <alignment horizontal="left" vertical="center" wrapText="1"/>
    </xf>
    <xf numFmtId="165" fontId="92" fillId="0" borderId="28" xfId="0" applyNumberFormat="1" applyFont="1" applyFill="1" applyBorder="1" applyAlignment="1">
      <alignment horizontal="right" vertical="center" wrapText="1"/>
    </xf>
    <xf numFmtId="2" fontId="92" fillId="0" borderId="1" xfId="2" applyNumberFormat="1" applyFont="1" applyFill="1" applyBorder="1" applyAlignment="1">
      <alignment horizontal="left" vertical="center" wrapText="1"/>
    </xf>
    <xf numFmtId="165" fontId="92" fillId="0" borderId="28" xfId="2" applyNumberFormat="1" applyFont="1" applyFill="1" applyBorder="1" applyAlignment="1">
      <alignment horizontal="right" vertical="center" wrapText="1"/>
    </xf>
    <xf numFmtId="165" fontId="92" fillId="0" borderId="1" xfId="0" applyFont="1" applyFill="1" applyBorder="1" applyAlignment="1">
      <alignment horizontal="left" vertical="center" wrapText="1"/>
    </xf>
    <xf numFmtId="2" fontId="94" fillId="0" borderId="1" xfId="2" applyNumberFormat="1" applyFont="1" applyFill="1" applyBorder="1" applyAlignment="1">
      <alignment horizontal="left" vertical="center" wrapText="1"/>
    </xf>
    <xf numFmtId="165" fontId="92" fillId="0" borderId="1" xfId="0" applyFont="1" applyFill="1" applyBorder="1" applyAlignment="1">
      <alignment horizontal="right" vertical="center"/>
    </xf>
    <xf numFmtId="2" fontId="46" fillId="0" borderId="1" xfId="0" applyNumberFormat="1" applyFont="1" applyFill="1" applyBorder="1" applyAlignment="1">
      <alignment horizontal="left" vertical="center" wrapText="1"/>
    </xf>
    <xf numFmtId="165" fontId="46" fillId="0" borderId="28" xfId="0" applyNumberFormat="1" applyFont="1" applyFill="1" applyBorder="1" applyAlignment="1">
      <alignment horizontal="right" vertical="center" wrapText="1"/>
    </xf>
    <xf numFmtId="165" fontId="46" fillId="0" borderId="1" xfId="0" applyFont="1" applyFill="1" applyBorder="1" applyAlignment="1">
      <alignment horizontal="left" vertical="center" wrapText="1"/>
    </xf>
    <xf numFmtId="2" fontId="92" fillId="0" borderId="1" xfId="0" applyNumberFormat="1" applyFont="1" applyFill="1" applyBorder="1" applyAlignment="1">
      <alignment horizontal="left" vertical="center" wrapText="1"/>
    </xf>
    <xf numFmtId="1" fontId="46" fillId="0" borderId="1" xfId="1267" applyNumberFormat="1" applyFont="1" applyFill="1" applyBorder="1" applyAlignment="1">
      <alignment horizontal="left" vertical="center" wrapText="1"/>
    </xf>
    <xf numFmtId="0" fontId="46" fillId="0" borderId="1" xfId="0" applyNumberFormat="1" applyFont="1" applyFill="1" applyBorder="1" applyAlignment="1">
      <alignment horizontal="left" vertical="center" wrapText="1"/>
    </xf>
    <xf numFmtId="1" fontId="92" fillId="0" borderId="1" xfId="1267" applyNumberFormat="1" applyFont="1" applyFill="1" applyBorder="1" applyAlignment="1">
      <alignment horizontal="left" vertical="center" wrapText="1"/>
    </xf>
    <xf numFmtId="2" fontId="90" fillId="0" borderId="1" xfId="2" applyNumberFormat="1" applyFont="1" applyFill="1" applyBorder="1" applyAlignment="1">
      <alignment horizontal="left" vertical="center" wrapText="1"/>
    </xf>
    <xf numFmtId="165" fontId="92" fillId="0" borderId="1" xfId="3" applyNumberFormat="1" applyFont="1" applyFill="1" applyBorder="1" applyAlignment="1">
      <alignment horizontal="left" vertical="center" wrapText="1"/>
    </xf>
    <xf numFmtId="165" fontId="92" fillId="0" borderId="28" xfId="3" applyNumberFormat="1" applyFont="1" applyFill="1" applyBorder="1" applyAlignment="1">
      <alignment horizontal="right" vertical="center" wrapText="1"/>
    </xf>
    <xf numFmtId="165" fontId="86" fillId="0" borderId="1" xfId="0" applyFont="1" applyFill="1" applyBorder="1" applyAlignment="1">
      <alignment horizontal="right" vertical="center"/>
    </xf>
    <xf numFmtId="165" fontId="99" fillId="0" borderId="1" xfId="0" applyNumberFormat="1" applyFont="1" applyFill="1" applyBorder="1" applyAlignment="1">
      <alignment horizontal="left" vertical="center"/>
    </xf>
    <xf numFmtId="165" fontId="99" fillId="0" borderId="1" xfId="0" applyNumberFormat="1" applyFont="1" applyFill="1" applyBorder="1" applyAlignment="1">
      <alignment horizontal="right" vertical="center"/>
    </xf>
    <xf numFmtId="2" fontId="86" fillId="0" borderId="1" xfId="1269" applyNumberFormat="1" applyFont="1" applyFill="1" applyBorder="1" applyAlignment="1">
      <alignment horizontal="right" vertical="center" wrapText="1"/>
    </xf>
    <xf numFmtId="0" fontId="46" fillId="0" borderId="1" xfId="3" applyNumberFormat="1" applyFont="1" applyFill="1" applyBorder="1" applyAlignment="1">
      <alignment horizontal="left" vertical="center" wrapText="1"/>
    </xf>
    <xf numFmtId="0" fontId="92" fillId="0" borderId="1" xfId="3" applyNumberFormat="1" applyFont="1" applyFill="1" applyBorder="1" applyAlignment="1">
      <alignment horizontal="left" vertical="center" wrapText="1"/>
    </xf>
    <xf numFmtId="2" fontId="95" fillId="0" borderId="1" xfId="2" applyNumberFormat="1" applyFont="1" applyFill="1" applyBorder="1" applyAlignment="1">
      <alignment horizontal="left" vertical="center" wrapText="1"/>
    </xf>
    <xf numFmtId="165" fontId="94" fillId="0" borderId="1" xfId="3" applyNumberFormat="1" applyFont="1" applyFill="1" applyBorder="1" applyAlignment="1">
      <alignment horizontal="left" vertical="center" wrapText="1"/>
    </xf>
    <xf numFmtId="165" fontId="94" fillId="0" borderId="28" xfId="3" applyNumberFormat="1" applyFont="1" applyFill="1" applyBorder="1" applyAlignment="1">
      <alignment horizontal="right" vertical="center" wrapText="1"/>
    </xf>
    <xf numFmtId="165" fontId="92" fillId="0" borderId="1" xfId="0" applyFont="1" applyFill="1" applyBorder="1" applyAlignment="1">
      <alignment horizontal="left" vertical="center"/>
    </xf>
    <xf numFmtId="165" fontId="92" fillId="0" borderId="28" xfId="0" applyNumberFormat="1" applyFont="1" applyFill="1" applyBorder="1" applyAlignment="1">
      <alignment horizontal="right" vertical="center"/>
    </xf>
    <xf numFmtId="165" fontId="94" fillId="0" borderId="28" xfId="2" applyNumberFormat="1" applyFont="1" applyFill="1" applyBorder="1" applyAlignment="1">
      <alignment horizontal="right" vertical="center" wrapText="1"/>
    </xf>
    <xf numFmtId="165" fontId="92" fillId="0" borderId="37" xfId="0" applyNumberFormat="1" applyFont="1" applyFill="1" applyBorder="1" applyAlignment="1">
      <alignment horizontal="right" vertical="center" wrapText="1"/>
    </xf>
    <xf numFmtId="2" fontId="92" fillId="0" borderId="1" xfId="2" applyNumberFormat="1" applyFont="1" applyFill="1" applyBorder="1" applyAlignment="1">
      <alignment horizontal="right" vertical="center" wrapText="1"/>
    </xf>
    <xf numFmtId="2" fontId="46" fillId="0" borderId="1" xfId="1269" applyNumberFormat="1" applyFont="1" applyFill="1" applyBorder="1" applyAlignment="1">
      <alignment horizontal="right" vertical="center" wrapText="1"/>
    </xf>
    <xf numFmtId="2" fontId="100" fillId="0" borderId="1" xfId="1267" applyNumberFormat="1" applyFont="1" applyFill="1" applyBorder="1" applyAlignment="1">
      <alignment horizontal="left" vertical="center" wrapText="1"/>
    </xf>
    <xf numFmtId="165" fontId="94" fillId="0" borderId="1" xfId="0" applyFont="1" applyFill="1" applyBorder="1" applyAlignment="1">
      <alignment horizontal="left" vertical="center"/>
    </xf>
    <xf numFmtId="165" fontId="94" fillId="0" borderId="28" xfId="0" applyNumberFormat="1" applyFont="1" applyFill="1" applyBorder="1" applyAlignment="1">
      <alignment horizontal="right" vertical="center"/>
    </xf>
    <xf numFmtId="165" fontId="94" fillId="0" borderId="28" xfId="1267" applyNumberFormat="1" applyFont="1" applyFill="1" applyBorder="1" applyAlignment="1">
      <alignment horizontal="right" vertical="center" wrapText="1"/>
    </xf>
    <xf numFmtId="2" fontId="94" fillId="0" borderId="1" xfId="1269" applyNumberFormat="1" applyFont="1" applyFill="1" applyBorder="1" applyAlignment="1">
      <alignment horizontal="right" vertical="center" wrapText="1"/>
    </xf>
    <xf numFmtId="165" fontId="94" fillId="0" borderId="35" xfId="3" applyNumberFormat="1" applyFont="1" applyFill="1" applyBorder="1" applyAlignment="1">
      <alignment horizontal="right" vertical="center" wrapText="1"/>
    </xf>
    <xf numFmtId="2" fontId="102" fillId="0" borderId="1" xfId="1267" applyNumberFormat="1" applyFont="1" applyFill="1" applyBorder="1" applyAlignment="1">
      <alignment horizontal="left" vertical="center" wrapText="1"/>
    </xf>
    <xf numFmtId="165" fontId="102" fillId="0" borderId="28" xfId="1267" applyNumberFormat="1" applyFont="1" applyFill="1" applyBorder="1" applyAlignment="1">
      <alignment horizontal="right" vertical="center" wrapText="1"/>
    </xf>
    <xf numFmtId="165" fontId="46" fillId="0" borderId="35" xfId="2" applyNumberFormat="1" applyFont="1" applyFill="1" applyBorder="1" applyAlignment="1">
      <alignment horizontal="right" vertical="center" wrapText="1"/>
    </xf>
    <xf numFmtId="165" fontId="94" fillId="0" borderId="1" xfId="0" applyFont="1" applyFill="1" applyBorder="1" applyAlignment="1">
      <alignment horizontal="right" vertical="center" wrapText="1"/>
    </xf>
    <xf numFmtId="165" fontId="94" fillId="0" borderId="0" xfId="1267" applyNumberFormat="1" applyFont="1" applyFill="1" applyBorder="1" applyAlignment="1">
      <alignment horizontal="right" vertical="center" wrapText="1"/>
    </xf>
    <xf numFmtId="165" fontId="94" fillId="0" borderId="1" xfId="0" applyFont="1" applyFill="1" applyBorder="1" applyAlignment="1">
      <alignment horizontal="left" vertical="center" wrapText="1"/>
    </xf>
    <xf numFmtId="1" fontId="92" fillId="0" borderId="1" xfId="1267" applyNumberFormat="1" applyFont="1" applyFill="1" applyBorder="1" applyAlignment="1">
      <alignment horizontal="right" vertical="center" wrapText="1"/>
    </xf>
    <xf numFmtId="165" fontId="46" fillId="0" borderId="0" xfId="0" applyFont="1" applyFill="1" applyBorder="1" applyAlignment="1">
      <alignment horizontal="right" vertical="center"/>
    </xf>
    <xf numFmtId="2" fontId="90" fillId="0" borderId="0" xfId="1267" applyNumberFormat="1" applyFont="1" applyFill="1" applyBorder="1" applyAlignment="1">
      <alignment horizontal="left" vertical="center" wrapText="1"/>
    </xf>
    <xf numFmtId="165" fontId="92" fillId="0" borderId="0" xfId="0" applyFont="1" applyFill="1" applyBorder="1" applyAlignment="1">
      <alignment horizontal="right" vertical="center" wrapText="1"/>
    </xf>
    <xf numFmtId="2" fontId="92" fillId="0" borderId="0" xfId="1267" applyNumberFormat="1" applyFont="1" applyFill="1" applyBorder="1" applyAlignment="1">
      <alignment horizontal="left" vertical="center" wrapText="1"/>
    </xf>
    <xf numFmtId="165" fontId="90" fillId="0" borderId="0" xfId="0" applyFont="1" applyFill="1" applyBorder="1" applyAlignment="1">
      <alignment horizontal="right" vertical="center" wrapText="1"/>
    </xf>
    <xf numFmtId="165" fontId="94" fillId="0" borderId="0" xfId="0" applyNumberFormat="1" applyFont="1" applyFill="1" applyAlignment="1">
      <alignment horizontal="right" vertical="center"/>
    </xf>
    <xf numFmtId="0" fontId="84" fillId="0" borderId="0" xfId="1271" applyAlignment="1">
      <alignment wrapText="1"/>
    </xf>
    <xf numFmtId="0" fontId="121" fillId="0" borderId="0" xfId="1271" applyFont="1" applyAlignment="1">
      <alignment vertical="center" wrapText="1"/>
    </xf>
    <xf numFmtId="0" fontId="84" fillId="0" borderId="0" xfId="1271"/>
    <xf numFmtId="0" fontId="122" fillId="0" borderId="0" xfId="1271" applyFont="1" applyAlignment="1">
      <alignment horizontal="center"/>
    </xf>
    <xf numFmtId="0" fontId="121" fillId="0" borderId="0" xfId="1271" applyFont="1" applyAlignment="1">
      <alignment horizontal="center"/>
    </xf>
    <xf numFmtId="0" fontId="121" fillId="0" borderId="0" xfId="1271" applyFont="1"/>
    <xf numFmtId="2" fontId="123" fillId="0" borderId="0" xfId="1271" applyNumberFormat="1" applyFont="1"/>
    <xf numFmtId="2" fontId="84" fillId="0" borderId="0" xfId="1271" applyNumberFormat="1"/>
    <xf numFmtId="17" fontId="84" fillId="0" borderId="0" xfId="1271" quotePrefix="1" applyNumberFormat="1"/>
    <xf numFmtId="2" fontId="124" fillId="2" borderId="0" xfId="1271" applyNumberFormat="1" applyFont="1" applyFill="1"/>
    <xf numFmtId="0" fontId="123" fillId="0" borderId="0" xfId="1271" applyFont="1"/>
    <xf numFmtId="0" fontId="84" fillId="0" borderId="0" xfId="1271" applyFont="1" applyAlignment="1">
      <alignment wrapText="1"/>
    </xf>
    <xf numFmtId="0" fontId="84" fillId="0" borderId="0" xfId="1271" applyFont="1"/>
    <xf numFmtId="0" fontId="12" fillId="0" borderId="0" xfId="1271" applyFont="1"/>
    <xf numFmtId="2" fontId="12" fillId="0" borderId="0" xfId="1271" applyNumberFormat="1" applyFont="1"/>
    <xf numFmtId="0" fontId="125" fillId="0" borderId="0" xfId="1271" applyFont="1" applyAlignment="1">
      <alignment wrapText="1"/>
    </xf>
    <xf numFmtId="0" fontId="125" fillId="0" borderId="0" xfId="1271" applyFont="1"/>
    <xf numFmtId="165" fontId="0" fillId="0" borderId="0" xfId="0" applyNumberFormat="1" applyFont="1" applyFill="1" applyAlignment="1" applyProtection="1">
      <alignment horizontal="left" vertical="center"/>
    </xf>
    <xf numFmtId="165" fontId="0" fillId="0" borderId="0" xfId="0" applyNumberFormat="1" applyFont="1" applyFill="1" applyAlignment="1" applyProtection="1">
      <alignment horizontal="center" vertical="center"/>
    </xf>
    <xf numFmtId="165" fontId="0" fillId="0" borderId="0" xfId="0" applyFont="1" applyFill="1" applyAlignment="1">
      <alignment vertical="center"/>
    </xf>
    <xf numFmtId="165" fontId="126" fillId="0" borderId="0" xfId="0" applyNumberFormat="1" applyFont="1" applyFill="1" applyAlignment="1" applyProtection="1">
      <alignment horizontal="left" vertical="center"/>
    </xf>
    <xf numFmtId="165" fontId="0" fillId="0" borderId="0" xfId="0" applyFont="1" applyFill="1" applyAlignment="1">
      <alignment horizontal="left" vertical="center"/>
    </xf>
    <xf numFmtId="168" fontId="0" fillId="0" borderId="0" xfId="0" applyNumberFormat="1" applyFont="1" applyFill="1" applyAlignment="1">
      <alignment vertical="center"/>
    </xf>
    <xf numFmtId="165" fontId="0" fillId="0" borderId="0" xfId="0" applyFont="1" applyFill="1" applyAlignment="1">
      <alignment horizontal="center" vertical="center"/>
    </xf>
    <xf numFmtId="165" fontId="127" fillId="0" borderId="0" xfId="0" applyNumberFormat="1" applyFont="1" applyFill="1" applyAlignment="1" applyProtection="1">
      <alignment vertical="center"/>
    </xf>
    <xf numFmtId="165" fontId="0" fillId="0" borderId="0" xfId="0" applyNumberFormat="1" applyFont="1" applyFill="1" applyAlignment="1" applyProtection="1">
      <alignment horizontal="fill" vertical="center"/>
    </xf>
    <xf numFmtId="165" fontId="128" fillId="0" borderId="0" xfId="0" applyNumberFormat="1" applyFont="1" applyFill="1" applyAlignment="1" applyProtection="1">
      <alignment horizontal="left" vertical="center"/>
    </xf>
    <xf numFmtId="165" fontId="126" fillId="0" borderId="0" xfId="0" applyNumberFormat="1" applyFont="1" applyFill="1" applyAlignment="1" applyProtection="1">
      <alignment horizontal="right" vertical="center"/>
    </xf>
    <xf numFmtId="165" fontId="0" fillId="0" borderId="0" xfId="0" applyNumberFormat="1" applyFont="1" applyFill="1" applyAlignment="1" applyProtection="1">
      <alignment vertical="center"/>
    </xf>
    <xf numFmtId="165" fontId="126" fillId="0" borderId="0" xfId="0" applyNumberFormat="1" applyFont="1" applyFill="1" applyAlignment="1" applyProtection="1">
      <alignment vertical="center"/>
    </xf>
    <xf numFmtId="165" fontId="129" fillId="0" borderId="0" xfId="0" applyNumberFormat="1" applyFont="1" applyFill="1" applyAlignment="1" applyProtection="1">
      <alignment vertical="center"/>
    </xf>
    <xf numFmtId="165" fontId="130" fillId="0" borderId="0" xfId="0" applyNumberFormat="1" applyFont="1" applyFill="1" applyAlignment="1" applyProtection="1">
      <alignment vertical="center"/>
    </xf>
    <xf numFmtId="165" fontId="126" fillId="0" borderId="0" xfId="0" applyNumberFormat="1" applyFont="1" applyFill="1" applyAlignment="1" applyProtection="1">
      <alignment horizontal="center" vertical="center"/>
    </xf>
    <xf numFmtId="165" fontId="126" fillId="0" borderId="0" xfId="0" applyFont="1" applyFill="1" applyAlignment="1">
      <alignment vertical="center"/>
    </xf>
    <xf numFmtId="165" fontId="126" fillId="0" borderId="0" xfId="0" quotePrefix="1" applyNumberFormat="1" applyFont="1" applyFill="1" applyAlignment="1" applyProtection="1">
      <alignment horizontal="center" vertical="center"/>
    </xf>
    <xf numFmtId="165" fontId="126" fillId="0" borderId="0" xfId="0" quotePrefix="1" applyFont="1" applyFill="1" applyAlignment="1">
      <alignment horizontal="center" vertical="center"/>
    </xf>
    <xf numFmtId="166" fontId="0" fillId="0" borderId="0" xfId="0" applyNumberFormat="1" applyFont="1" applyFill="1" applyAlignment="1" applyProtection="1">
      <alignment vertical="center"/>
    </xf>
    <xf numFmtId="165" fontId="0" fillId="0" borderId="0" xfId="0" applyNumberFormat="1" applyFill="1" applyAlignment="1" applyProtection="1">
      <alignment horizontal="left" vertical="center"/>
    </xf>
    <xf numFmtId="165" fontId="0" fillId="0" borderId="0" xfId="0" applyFont="1" applyFill="1" applyAlignment="1" applyProtection="1">
      <alignment horizontal="left" vertical="center"/>
    </xf>
    <xf numFmtId="165" fontId="131" fillId="0" borderId="0" xfId="0" applyNumberFormat="1" applyFont="1" applyFill="1" applyAlignment="1" applyProtection="1">
      <alignment horizontal="left" vertical="center"/>
    </xf>
    <xf numFmtId="166" fontId="0" fillId="0" borderId="0" xfId="0" applyNumberFormat="1" applyFont="1" applyFill="1" applyAlignment="1" applyProtection="1">
      <alignment horizontal="center" vertical="center"/>
    </xf>
    <xf numFmtId="165" fontId="0" fillId="0" borderId="0" xfId="0" applyNumberFormat="1" applyFont="1" applyFill="1" applyAlignment="1" applyProtection="1">
      <alignment horizontal="right" vertical="center"/>
    </xf>
    <xf numFmtId="168" fontId="0" fillId="0" borderId="0" xfId="0" applyNumberFormat="1" applyFont="1" applyFill="1" applyAlignment="1" applyProtection="1">
      <alignment vertical="center"/>
    </xf>
    <xf numFmtId="165" fontId="0" fillId="0" borderId="0" xfId="0" applyNumberFormat="1" applyFont="1" applyFill="1" applyAlignment="1" applyProtection="1">
      <alignment horizontal="left" vertical="center" wrapText="1"/>
    </xf>
    <xf numFmtId="165" fontId="0" fillId="0" borderId="0" xfId="0" applyFill="1" applyAlignment="1">
      <alignment vertical="center"/>
    </xf>
    <xf numFmtId="169" fontId="0" fillId="0" borderId="0" xfId="0" applyNumberFormat="1" applyFont="1" applyFill="1" applyAlignment="1" applyProtection="1">
      <alignment horizontal="center" vertical="center"/>
    </xf>
    <xf numFmtId="165" fontId="0" fillId="0" borderId="0" xfId="0" quotePrefix="1" applyFont="1" applyFill="1" applyAlignment="1">
      <alignment vertical="center"/>
    </xf>
    <xf numFmtId="168" fontId="0" fillId="0" borderId="0" xfId="0" applyNumberFormat="1" applyFont="1" applyFill="1" applyAlignment="1" applyProtection="1">
      <alignment horizontal="center" vertical="center"/>
    </xf>
    <xf numFmtId="169" fontId="0" fillId="0" borderId="0" xfId="0" applyNumberFormat="1" applyFont="1" applyFill="1" applyAlignment="1" applyProtection="1">
      <alignment horizontal="left" vertical="center"/>
    </xf>
    <xf numFmtId="168" fontId="0" fillId="0" borderId="0" xfId="0" applyNumberFormat="1" applyFont="1" applyFill="1" applyAlignment="1" applyProtection="1">
      <alignment horizontal="left" vertical="center"/>
    </xf>
    <xf numFmtId="165" fontId="126" fillId="0" borderId="0" xfId="0" applyFont="1" applyFill="1" applyAlignment="1">
      <alignment horizontal="left" vertical="center"/>
    </xf>
    <xf numFmtId="165" fontId="126" fillId="0" borderId="0" xfId="0" applyNumberFormat="1" applyFont="1" applyFill="1" applyAlignment="1" applyProtection="1">
      <alignment horizontal="left" vertical="center" wrapText="1"/>
    </xf>
    <xf numFmtId="165" fontId="126" fillId="0" borderId="0" xfId="0" applyNumberFormat="1" applyFont="1" applyFill="1" applyAlignment="1" applyProtection="1">
      <alignment horizontal="fill" vertical="center"/>
    </xf>
    <xf numFmtId="169" fontId="0" fillId="0" borderId="0" xfId="0" applyNumberFormat="1" applyFont="1" applyFill="1" applyAlignment="1">
      <alignment horizontal="center" vertical="center"/>
    </xf>
    <xf numFmtId="168" fontId="0" fillId="0" borderId="0" xfId="0" applyNumberFormat="1" applyFont="1" applyFill="1" applyAlignment="1">
      <alignment horizontal="center" vertical="center"/>
    </xf>
    <xf numFmtId="166" fontId="126" fillId="0" borderId="0" xfId="0" applyNumberFormat="1" applyFont="1" applyFill="1" applyAlignment="1" applyProtection="1">
      <alignment horizontal="center" vertical="center"/>
    </xf>
    <xf numFmtId="169" fontId="0" fillId="0" borderId="0" xfId="0" applyNumberFormat="1" applyFont="1" applyFill="1" applyAlignment="1">
      <alignment vertical="center"/>
    </xf>
    <xf numFmtId="173" fontId="0" fillId="0" borderId="0" xfId="0" applyNumberFormat="1" applyFont="1" applyFill="1" applyAlignment="1" applyProtection="1">
      <alignment vertical="center"/>
    </xf>
    <xf numFmtId="172" fontId="0" fillId="0" borderId="0" xfId="0" applyNumberFormat="1" applyFont="1" applyFill="1" applyAlignment="1" applyProtection="1">
      <alignment vertical="center"/>
    </xf>
    <xf numFmtId="165" fontId="0" fillId="0" borderId="0" xfId="0" applyFont="1" applyFill="1" applyAlignment="1">
      <alignment horizontal="right" vertical="center"/>
    </xf>
    <xf numFmtId="165" fontId="132" fillId="0" borderId="0" xfId="0" applyFont="1" applyFill="1" applyAlignment="1">
      <alignment vertical="center"/>
    </xf>
    <xf numFmtId="165" fontId="133" fillId="0" borderId="0" xfId="0" applyFont="1" applyFill="1" applyAlignment="1">
      <alignment vertical="center"/>
    </xf>
    <xf numFmtId="172" fontId="0" fillId="0" borderId="0" xfId="0" applyNumberFormat="1" applyFont="1" applyFill="1" applyAlignment="1">
      <alignment vertical="center"/>
    </xf>
    <xf numFmtId="166" fontId="0" fillId="0" borderId="0" xfId="0" applyNumberFormat="1" applyFont="1" applyFill="1" applyAlignment="1" applyProtection="1">
      <alignment vertical="center" wrapText="1"/>
    </xf>
    <xf numFmtId="166" fontId="0" fillId="0" borderId="0" xfId="0" applyNumberFormat="1" applyFont="1" applyFill="1" applyAlignment="1" applyProtection="1">
      <alignment horizontal="left" vertical="center" wrapText="1"/>
    </xf>
    <xf numFmtId="166" fontId="0" fillId="0" borderId="0" xfId="0" applyNumberFormat="1" applyFont="1" applyFill="1" applyAlignment="1" applyProtection="1">
      <alignment horizontal="left" vertical="center"/>
    </xf>
    <xf numFmtId="168" fontId="0" fillId="0" borderId="0" xfId="0" applyNumberFormat="1" applyFont="1" applyFill="1" applyAlignment="1">
      <alignment horizontal="right" vertical="center"/>
    </xf>
    <xf numFmtId="165" fontId="126" fillId="0" borderId="0" xfId="0" applyFont="1" applyFill="1" applyAlignment="1">
      <alignment vertical="center" wrapText="1"/>
    </xf>
    <xf numFmtId="165" fontId="0" fillId="0" borderId="0" xfId="0" applyFont="1" applyFill="1" applyAlignment="1">
      <alignment vertical="center" wrapText="1"/>
    </xf>
    <xf numFmtId="172" fontId="0" fillId="0" borderId="0" xfId="0" quotePrefix="1" applyNumberFormat="1" applyFont="1" applyFill="1" applyAlignment="1" applyProtection="1">
      <alignment vertical="center"/>
    </xf>
    <xf numFmtId="165" fontId="0" fillId="0" borderId="0" xfId="0" quotePrefix="1" applyNumberFormat="1" applyFont="1" applyFill="1" applyAlignment="1" applyProtection="1">
      <alignment vertical="center"/>
    </xf>
    <xf numFmtId="169" fontId="0" fillId="0" borderId="0" xfId="0" applyNumberFormat="1" applyFont="1" applyFill="1" applyAlignment="1" applyProtection="1">
      <alignment horizontal="center" vertical="center" wrapText="1"/>
    </xf>
    <xf numFmtId="165" fontId="0" fillId="0" borderId="0" xfId="0" applyNumberFormat="1" applyFont="1" applyFill="1" applyAlignment="1" applyProtection="1">
      <alignment horizontal="justify" vertical="center" wrapText="1"/>
    </xf>
    <xf numFmtId="173" fontId="0" fillId="0" borderId="0" xfId="0" applyNumberFormat="1" applyFont="1" applyFill="1" applyAlignment="1" applyProtection="1">
      <alignment horizontal="left" vertical="center"/>
    </xf>
    <xf numFmtId="181" fontId="0" fillId="0" borderId="0" xfId="0" applyNumberFormat="1" applyFont="1" applyFill="1" applyAlignment="1" applyProtection="1">
      <alignment vertical="center"/>
    </xf>
    <xf numFmtId="173" fontId="0" fillId="0" borderId="0" xfId="0" applyNumberFormat="1" applyFont="1" applyFill="1" applyAlignment="1" applyProtection="1">
      <alignment horizontal="fill" vertical="center"/>
    </xf>
    <xf numFmtId="165" fontId="135" fillId="0" borderId="0" xfId="0" applyFont="1" applyFill="1" applyAlignment="1">
      <alignment vertical="center"/>
    </xf>
    <xf numFmtId="165" fontId="135" fillId="0" borderId="0" xfId="0" applyFont="1" applyFill="1" applyAlignment="1">
      <alignment horizontal="left" vertical="center"/>
    </xf>
    <xf numFmtId="168" fontId="0" fillId="0" borderId="0" xfId="0" applyNumberFormat="1" applyFont="1" applyFill="1" applyAlignment="1" applyProtection="1">
      <alignment horizontal="fill" vertical="center"/>
    </xf>
    <xf numFmtId="173" fontId="0" fillId="0" borderId="0" xfId="0" applyNumberFormat="1" applyFont="1" applyFill="1" applyAlignment="1">
      <alignment vertical="center"/>
    </xf>
    <xf numFmtId="2" fontId="121" fillId="0" borderId="5" xfId="2" applyNumberFormat="1" applyFont="1" applyFill="1" applyBorder="1" applyAlignment="1">
      <alignment vertical="center" wrapText="1"/>
    </xf>
    <xf numFmtId="165" fontId="129" fillId="0" borderId="0" xfId="0" applyFont="1" applyFill="1" applyAlignment="1">
      <alignment vertical="center"/>
    </xf>
    <xf numFmtId="168" fontId="126" fillId="0" borderId="0" xfId="0" applyNumberFormat="1" applyFont="1" applyFill="1" applyAlignment="1">
      <alignment horizontal="right" vertical="center"/>
    </xf>
    <xf numFmtId="165" fontId="136" fillId="0" borderId="0" xfId="0" applyFont="1" applyFill="1" applyAlignment="1">
      <alignment vertical="center"/>
    </xf>
    <xf numFmtId="165" fontId="137" fillId="0" borderId="0" xfId="0" applyFont="1" applyFill="1" applyAlignment="1">
      <alignment vertical="center"/>
    </xf>
    <xf numFmtId="165" fontId="136" fillId="0" borderId="0" xfId="0" applyFont="1" applyFill="1" applyAlignment="1">
      <alignment horizontal="center" vertical="center"/>
    </xf>
    <xf numFmtId="165" fontId="136" fillId="0" borderId="0" xfId="0" applyNumberFormat="1" applyFont="1" applyFill="1" applyAlignment="1" applyProtection="1">
      <alignment vertical="center"/>
    </xf>
    <xf numFmtId="165" fontId="136" fillId="0" borderId="0" xfId="0" applyNumberFormat="1" applyFont="1" applyFill="1" applyAlignment="1" applyProtection="1">
      <alignment horizontal="left" vertical="center"/>
    </xf>
    <xf numFmtId="165" fontId="136" fillId="0" borderId="0" xfId="0" applyNumberFormat="1" applyFont="1" applyFill="1" applyAlignment="1" applyProtection="1">
      <alignment horizontal="right" vertical="center"/>
    </xf>
    <xf numFmtId="165" fontId="136" fillId="0" borderId="0" xfId="0" applyNumberFormat="1" applyFont="1" applyFill="1" applyAlignment="1" applyProtection="1">
      <alignment horizontal="center" vertical="center"/>
    </xf>
    <xf numFmtId="168" fontId="136" fillId="0" borderId="0" xfId="0" applyNumberFormat="1" applyFont="1" applyFill="1" applyAlignment="1" applyProtection="1">
      <alignment vertical="center"/>
    </xf>
    <xf numFmtId="165" fontId="136" fillId="0" borderId="0" xfId="0" applyNumberFormat="1" applyFont="1" applyFill="1" applyAlignment="1" applyProtection="1">
      <alignment horizontal="fill" vertical="center"/>
    </xf>
    <xf numFmtId="165" fontId="137" fillId="0" borderId="0" xfId="0" applyNumberFormat="1" applyFont="1" applyFill="1" applyAlignment="1" applyProtection="1">
      <alignment horizontal="left" vertical="center"/>
    </xf>
    <xf numFmtId="165" fontId="137" fillId="0" borderId="0" xfId="0" applyNumberFormat="1" applyFont="1" applyFill="1" applyAlignment="1" applyProtection="1">
      <alignment vertical="center"/>
    </xf>
    <xf numFmtId="165" fontId="43" fillId="0" borderId="0" xfId="0" applyNumberFormat="1" applyFont="1" applyFill="1" applyAlignment="1" applyProtection="1">
      <alignment vertical="center"/>
    </xf>
    <xf numFmtId="173" fontId="43" fillId="0" borderId="0" xfId="0" applyNumberFormat="1" applyFont="1" applyFill="1" applyAlignment="1" applyProtection="1">
      <alignment vertical="center"/>
    </xf>
    <xf numFmtId="165" fontId="43" fillId="0" borderId="0" xfId="0" applyNumberFormat="1" applyFont="1" applyFill="1" applyAlignment="1" applyProtection="1">
      <alignment horizontal="left" vertical="center"/>
    </xf>
    <xf numFmtId="165" fontId="43" fillId="0" borderId="0" xfId="0" applyNumberFormat="1" applyFont="1" applyFill="1" applyAlignment="1" applyProtection="1">
      <alignment horizontal="center" vertical="center"/>
    </xf>
    <xf numFmtId="165" fontId="126" fillId="0" borderId="0" xfId="0" applyFont="1" applyFill="1" applyAlignment="1">
      <alignment horizontal="right" vertical="center"/>
    </xf>
    <xf numFmtId="165" fontId="129" fillId="0" borderId="0" xfId="0" applyNumberFormat="1" applyFont="1" applyFill="1" applyAlignment="1">
      <alignment horizontal="center" vertical="center"/>
    </xf>
    <xf numFmtId="165" fontId="0" fillId="0" borderId="0" xfId="0" applyNumberFormat="1" applyFont="1" applyFill="1" applyAlignment="1">
      <alignment vertical="center"/>
    </xf>
    <xf numFmtId="165" fontId="0" fillId="0" borderId="0" xfId="0" applyNumberFormat="1" applyFont="1" applyFill="1" applyAlignment="1">
      <alignment horizontal="center" vertical="center"/>
    </xf>
    <xf numFmtId="165" fontId="0" fillId="0" borderId="9" xfId="0" applyFont="1" applyFill="1" applyBorder="1" applyAlignment="1">
      <alignment vertical="center"/>
    </xf>
    <xf numFmtId="165" fontId="138" fillId="0" borderId="0" xfId="0" applyNumberFormat="1" applyFont="1" applyFill="1" applyAlignment="1">
      <alignment vertical="center"/>
    </xf>
    <xf numFmtId="165" fontId="0" fillId="0" borderId="38" xfId="0" applyFont="1" applyFill="1" applyBorder="1" applyAlignment="1">
      <alignment vertical="center"/>
    </xf>
    <xf numFmtId="172" fontId="138" fillId="0" borderId="0" xfId="0" applyNumberFormat="1" applyFont="1" applyFill="1" applyAlignment="1" applyProtection="1">
      <alignment vertical="center"/>
    </xf>
    <xf numFmtId="165" fontId="138" fillId="0" borderId="0" xfId="0" applyNumberFormat="1" applyFont="1" applyFill="1" applyAlignment="1" applyProtection="1">
      <alignment vertical="center"/>
    </xf>
    <xf numFmtId="165" fontId="101" fillId="0" borderId="0" xfId="0" applyNumberFormat="1" applyFont="1" applyFill="1" applyAlignment="1" applyProtection="1">
      <alignment horizontal="center" vertical="center"/>
    </xf>
    <xf numFmtId="165" fontId="138" fillId="0" borderId="0" xfId="0" applyNumberFormat="1" applyFont="1" applyFill="1" applyAlignment="1" applyProtection="1">
      <alignment horizontal="left" vertical="center"/>
    </xf>
    <xf numFmtId="165" fontId="138" fillId="0" borderId="0" xfId="0" applyNumberFormat="1" applyFont="1" applyFill="1" applyAlignment="1">
      <alignment horizontal="center" vertical="center"/>
    </xf>
    <xf numFmtId="165" fontId="101" fillId="0" borderId="0" xfId="0" applyNumberFormat="1" applyFont="1" applyFill="1" applyAlignment="1" applyProtection="1">
      <alignment vertical="center"/>
    </xf>
    <xf numFmtId="165" fontId="0" fillId="0" borderId="12" xfId="0" applyFont="1" applyFill="1" applyBorder="1" applyAlignment="1">
      <alignment vertical="center"/>
    </xf>
    <xf numFmtId="165" fontId="101" fillId="0" borderId="0" xfId="0" applyNumberFormat="1" applyFont="1" applyFill="1" applyAlignment="1">
      <alignment vertical="center"/>
    </xf>
    <xf numFmtId="165" fontId="138" fillId="0" borderId="0" xfId="0" applyNumberFormat="1" applyFont="1" applyFill="1" applyAlignment="1" applyProtection="1">
      <alignment horizontal="right" vertical="center"/>
    </xf>
    <xf numFmtId="165" fontId="138" fillId="0" borderId="0" xfId="0" applyNumberFormat="1" applyFont="1" applyFill="1" applyAlignment="1">
      <alignment horizontal="left" vertical="center"/>
    </xf>
    <xf numFmtId="165" fontId="138" fillId="0" borderId="0" xfId="0" applyNumberFormat="1" applyFont="1" applyFill="1" applyAlignment="1" applyProtection="1">
      <alignment horizontal="fill" vertical="center"/>
    </xf>
    <xf numFmtId="166" fontId="0" fillId="0" borderId="8" xfId="0" applyNumberFormat="1" applyFont="1" applyFill="1" applyBorder="1" applyAlignment="1" applyProtection="1">
      <alignment horizontal="center" vertical="center"/>
    </xf>
    <xf numFmtId="165" fontId="0" fillId="0" borderId="24" xfId="0" applyNumberFormat="1" applyFont="1" applyFill="1" applyBorder="1" applyAlignment="1" applyProtection="1">
      <alignment vertical="center"/>
    </xf>
    <xf numFmtId="165" fontId="0" fillId="0" borderId="24" xfId="0" applyNumberFormat="1" applyFont="1" applyFill="1" applyBorder="1" applyAlignment="1" applyProtection="1">
      <alignment horizontal="left" vertical="center"/>
    </xf>
    <xf numFmtId="165" fontId="0" fillId="0" borderId="24" xfId="0" applyFont="1" applyFill="1" applyBorder="1" applyAlignment="1">
      <alignment vertical="center"/>
    </xf>
    <xf numFmtId="165" fontId="0" fillId="0" borderId="24" xfId="0" applyFont="1" applyFill="1" applyBorder="1" applyAlignment="1">
      <alignment horizontal="left" vertical="center"/>
    </xf>
    <xf numFmtId="165" fontId="0" fillId="0" borderId="25" xfId="0" applyFont="1" applyFill="1" applyBorder="1" applyAlignment="1">
      <alignment vertical="center"/>
    </xf>
    <xf numFmtId="165" fontId="0" fillId="0" borderId="0" xfId="0" applyFont="1" applyFill="1" applyBorder="1" applyAlignment="1">
      <alignment vertical="center"/>
    </xf>
    <xf numFmtId="165" fontId="0" fillId="0" borderId="0" xfId="0" applyNumberFormat="1" applyFont="1" applyFill="1" applyBorder="1" applyAlignment="1" applyProtection="1">
      <alignment horizontal="left" vertical="center"/>
    </xf>
    <xf numFmtId="165" fontId="0" fillId="0" borderId="0" xfId="0" applyFont="1" applyFill="1" applyBorder="1" applyAlignment="1">
      <alignment horizontal="left" vertical="center"/>
    </xf>
    <xf numFmtId="165" fontId="0" fillId="0" borderId="0" xfId="0" applyNumberFormat="1" applyFont="1" applyFill="1" applyBorder="1" applyAlignment="1" applyProtection="1">
      <alignment horizontal="fill" vertical="center"/>
    </xf>
    <xf numFmtId="165" fontId="0" fillId="0" borderId="25" xfId="0" applyNumberFormat="1" applyFont="1" applyFill="1" applyBorder="1" applyAlignment="1" applyProtection="1">
      <alignment vertical="center"/>
    </xf>
    <xf numFmtId="165" fontId="0" fillId="0" borderId="0" xfId="0" applyNumberFormat="1" applyFont="1" applyFill="1" applyBorder="1" applyAlignment="1" applyProtection="1">
      <alignment vertical="center"/>
    </xf>
    <xf numFmtId="165" fontId="0" fillId="0" borderId="0" xfId="0" applyNumberFormat="1" applyFont="1" applyFill="1" applyBorder="1" applyAlignment="1" applyProtection="1">
      <alignment horizontal="right" vertical="center"/>
    </xf>
    <xf numFmtId="165" fontId="126" fillId="0" borderId="0" xfId="0" applyNumberFormat="1" applyFont="1" applyFill="1" applyBorder="1" applyAlignment="1" applyProtection="1">
      <alignment horizontal="center" vertical="center"/>
    </xf>
    <xf numFmtId="165" fontId="126" fillId="0" borderId="0" xfId="0" applyFont="1" applyFill="1" applyBorder="1" applyAlignment="1">
      <alignment vertical="center"/>
    </xf>
    <xf numFmtId="165" fontId="126" fillId="0" borderId="0" xfId="0" applyFont="1" applyFill="1" applyBorder="1" applyAlignment="1">
      <alignment horizontal="left" vertical="center"/>
    </xf>
    <xf numFmtId="165" fontId="126" fillId="0" borderId="0" xfId="0" applyNumberFormat="1" applyFont="1" applyFill="1" applyBorder="1" applyAlignment="1" applyProtection="1">
      <alignment vertical="center"/>
    </xf>
    <xf numFmtId="165" fontId="0" fillId="0" borderId="11" xfId="0" applyFont="1" applyFill="1" applyBorder="1" applyAlignment="1">
      <alignment vertical="center"/>
    </xf>
    <xf numFmtId="165" fontId="0" fillId="0" borderId="23" xfId="0" applyFont="1" applyFill="1" applyBorder="1" applyAlignment="1">
      <alignment vertical="center"/>
    </xf>
    <xf numFmtId="165" fontId="0" fillId="0" borderId="23" xfId="0" applyFont="1" applyFill="1" applyBorder="1" applyAlignment="1">
      <alignment horizontal="left" vertical="center"/>
    </xf>
    <xf numFmtId="165" fontId="0" fillId="0" borderId="23" xfId="0" applyNumberFormat="1" applyFont="1" applyFill="1" applyBorder="1" applyAlignment="1" applyProtection="1">
      <alignment horizontal="fill" vertical="center"/>
    </xf>
    <xf numFmtId="165" fontId="0" fillId="0" borderId="8" xfId="0" applyNumberFormat="1" applyFont="1" applyFill="1" applyBorder="1" applyAlignment="1" applyProtection="1">
      <alignment horizontal="center" vertical="center"/>
    </xf>
    <xf numFmtId="168" fontId="0" fillId="0" borderId="25" xfId="0" applyNumberFormat="1" applyFont="1" applyFill="1" applyBorder="1" applyAlignment="1" applyProtection="1">
      <alignment vertical="center"/>
    </xf>
    <xf numFmtId="168" fontId="0" fillId="0" borderId="11" xfId="0" applyNumberFormat="1" applyFont="1" applyFill="1" applyBorder="1" applyAlignment="1" applyProtection="1">
      <alignment vertical="center"/>
    </xf>
    <xf numFmtId="165" fontId="126" fillId="0" borderId="23" xfId="0" applyNumberFormat="1" applyFont="1" applyFill="1" applyBorder="1" applyAlignment="1" applyProtection="1">
      <alignment horizontal="center" vertical="center"/>
    </xf>
    <xf numFmtId="165" fontId="126" fillId="0" borderId="23" xfId="0" applyFont="1" applyFill="1" applyBorder="1" applyAlignment="1">
      <alignment vertical="center"/>
    </xf>
    <xf numFmtId="165" fontId="126" fillId="0" borderId="23" xfId="0" applyFont="1" applyFill="1" applyBorder="1" applyAlignment="1">
      <alignment horizontal="left" vertical="center"/>
    </xf>
    <xf numFmtId="165" fontId="126" fillId="0" borderId="23" xfId="0" applyNumberFormat="1" applyFont="1" applyFill="1" applyBorder="1" applyAlignment="1" applyProtection="1">
      <alignment vertical="center"/>
    </xf>
    <xf numFmtId="165" fontId="130" fillId="0" borderId="0" xfId="0" applyFont="1" applyFill="1" applyAlignment="1">
      <alignment vertical="center"/>
    </xf>
    <xf numFmtId="166" fontId="0" fillId="0" borderId="0" xfId="0" applyNumberFormat="1" applyFont="1" applyFill="1" applyAlignment="1">
      <alignment horizontal="center" vertical="center"/>
    </xf>
    <xf numFmtId="165" fontId="126" fillId="0" borderId="39" xfId="0" applyNumberFormat="1" applyFont="1" applyFill="1" applyBorder="1" applyAlignment="1" applyProtection="1">
      <alignment vertical="center"/>
    </xf>
    <xf numFmtId="165" fontId="0" fillId="0" borderId="40" xfId="0" applyNumberFormat="1" applyFont="1" applyFill="1" applyBorder="1" applyAlignment="1" applyProtection="1">
      <alignment horizontal="fill" vertical="center"/>
    </xf>
    <xf numFmtId="165" fontId="130" fillId="0" borderId="0" xfId="0" applyNumberFormat="1" applyFont="1" applyFill="1" applyAlignment="1" applyProtection="1">
      <alignment horizontal="left" vertical="center"/>
    </xf>
    <xf numFmtId="165" fontId="140" fillId="0" borderId="0" xfId="0" applyFont="1" applyAlignment="1">
      <alignment wrapText="1"/>
    </xf>
    <xf numFmtId="168" fontId="140" fillId="0" borderId="0" xfId="0" applyNumberFormat="1" applyFont="1" applyAlignment="1">
      <alignment wrapText="1"/>
    </xf>
    <xf numFmtId="165" fontId="140" fillId="0" borderId="0" xfId="0" applyFont="1" applyAlignment="1">
      <alignment horizontal="fill" wrapText="1"/>
    </xf>
    <xf numFmtId="182" fontId="0" fillId="0" borderId="0" xfId="0" applyNumberFormat="1" applyFont="1" applyFill="1" applyAlignment="1">
      <alignment vertical="center"/>
    </xf>
    <xf numFmtId="2" fontId="138" fillId="0" borderId="5" xfId="1267" applyNumberFormat="1" applyFont="1" applyFill="1" applyBorder="1" applyAlignment="1">
      <alignment vertical="center" wrapText="1"/>
    </xf>
    <xf numFmtId="169" fontId="0" fillId="0" borderId="0" xfId="0" applyNumberFormat="1" applyFont="1" applyFill="1" applyAlignment="1">
      <alignment horizontal="center" vertical="center" wrapText="1"/>
    </xf>
    <xf numFmtId="165" fontId="0" fillId="0" borderId="0" xfId="0" applyFont="1" applyFill="1" applyBorder="1" applyAlignment="1">
      <alignment horizontal="right" vertical="center"/>
    </xf>
    <xf numFmtId="165" fontId="126" fillId="0" borderId="0" xfId="0" applyFont="1" applyFill="1" applyAlignment="1">
      <alignment horizontal="left" vertical="center" wrapText="1"/>
    </xf>
    <xf numFmtId="165" fontId="126" fillId="0" borderId="0" xfId="0" applyFont="1" applyFill="1" applyAlignment="1">
      <alignment horizontal="center" vertical="center"/>
    </xf>
    <xf numFmtId="165" fontId="0" fillId="0" borderId="0" xfId="0" applyFont="1" applyFill="1" applyAlignment="1">
      <alignment horizontal="left" vertical="center" wrapText="1"/>
    </xf>
    <xf numFmtId="165" fontId="0" fillId="0" borderId="0" xfId="0" quotePrefix="1" applyNumberFormat="1" applyFont="1" applyFill="1" applyAlignment="1" applyProtection="1">
      <alignment horizontal="fill" vertical="center"/>
    </xf>
    <xf numFmtId="165" fontId="126" fillId="0" borderId="0" xfId="0" quotePrefix="1" applyNumberFormat="1" applyFont="1" applyFill="1" applyAlignment="1" applyProtection="1">
      <alignment vertical="center"/>
    </xf>
    <xf numFmtId="169" fontId="126" fillId="0" borderId="0" xfId="0" applyNumberFormat="1" applyFont="1" applyFill="1" applyAlignment="1">
      <alignment vertical="center"/>
    </xf>
    <xf numFmtId="165" fontId="0" fillId="0" borderId="0" xfId="0" applyFont="1" applyFill="1" applyAlignment="1">
      <alignment horizontal="fill" vertical="center"/>
    </xf>
    <xf numFmtId="165" fontId="0" fillId="0" borderId="0" xfId="0" quotePrefix="1" applyFont="1" applyFill="1" applyAlignment="1">
      <alignment horizontal="fill" vertical="center"/>
    </xf>
    <xf numFmtId="172" fontId="126" fillId="0" borderId="0" xfId="0" applyNumberFormat="1" applyFont="1" applyFill="1" applyAlignment="1">
      <alignment vertical="center"/>
    </xf>
    <xf numFmtId="172" fontId="126" fillId="0" borderId="0" xfId="0" applyNumberFormat="1" applyFont="1" applyFill="1" applyAlignment="1">
      <alignment horizontal="right" vertical="center"/>
    </xf>
    <xf numFmtId="165" fontId="141" fillId="0" borderId="0" xfId="0" applyFont="1" applyFill="1" applyAlignment="1">
      <alignment horizontal="left" vertical="center"/>
    </xf>
    <xf numFmtId="169" fontId="131" fillId="0" borderId="0" xfId="0" applyNumberFormat="1" applyFont="1" applyFill="1" applyAlignment="1" applyProtection="1">
      <alignment horizontal="center" vertical="center"/>
    </xf>
    <xf numFmtId="165" fontId="131" fillId="0" borderId="0" xfId="0" applyFont="1" applyFill="1" applyAlignment="1">
      <alignment vertical="center"/>
    </xf>
    <xf numFmtId="165" fontId="131" fillId="0" borderId="0" xfId="0" applyFont="1" applyFill="1" applyAlignment="1">
      <alignment horizontal="left" vertical="center"/>
    </xf>
    <xf numFmtId="165" fontId="131" fillId="0" borderId="0" xfId="0" applyNumberFormat="1" applyFont="1" applyFill="1" applyAlignment="1" applyProtection="1">
      <alignment horizontal="fill" vertical="center"/>
    </xf>
    <xf numFmtId="173" fontId="131" fillId="0" borderId="0" xfId="0" applyNumberFormat="1" applyFont="1" applyFill="1" applyAlignment="1" applyProtection="1">
      <alignment vertical="center"/>
    </xf>
    <xf numFmtId="173" fontId="131" fillId="0" borderId="0" xfId="0" applyNumberFormat="1" applyFont="1" applyFill="1" applyAlignment="1" applyProtection="1">
      <alignment horizontal="left" vertical="center"/>
    </xf>
    <xf numFmtId="181" fontId="131" fillId="0" borderId="0" xfId="0" applyNumberFormat="1" applyFont="1" applyFill="1" applyAlignment="1" applyProtection="1">
      <alignment vertical="center"/>
    </xf>
    <xf numFmtId="165" fontId="131" fillId="0" borderId="0" xfId="0" applyNumberFormat="1" applyFont="1" applyFill="1" applyAlignment="1" applyProtection="1">
      <alignment vertical="center"/>
    </xf>
    <xf numFmtId="165" fontId="131" fillId="0" borderId="0" xfId="0" applyNumberFormat="1" applyFont="1" applyFill="1" applyAlignment="1" applyProtection="1">
      <alignment horizontal="center" vertical="center"/>
    </xf>
    <xf numFmtId="165" fontId="128" fillId="0" borderId="0" xfId="0" applyFont="1" applyFill="1" applyAlignment="1">
      <alignment vertical="center"/>
    </xf>
    <xf numFmtId="165" fontId="128" fillId="0" borderId="0" xfId="0" applyFont="1" applyFill="1" applyAlignment="1">
      <alignment horizontal="left" vertical="center"/>
    </xf>
    <xf numFmtId="165" fontId="128" fillId="0" borderId="0" xfId="0" applyNumberFormat="1" applyFont="1" applyFill="1" applyAlignment="1" applyProtection="1">
      <alignment horizontal="fill" vertical="center"/>
    </xf>
    <xf numFmtId="165" fontId="128" fillId="0" borderId="0" xfId="0" applyNumberFormat="1" applyFont="1" applyFill="1" applyAlignment="1" applyProtection="1">
      <alignment horizontal="center" vertical="center"/>
    </xf>
    <xf numFmtId="165" fontId="128" fillId="0" borderId="0" xfId="0" applyNumberFormat="1" applyFont="1" applyFill="1" applyAlignment="1" applyProtection="1">
      <alignment vertical="center"/>
    </xf>
    <xf numFmtId="2" fontId="0" fillId="0" borderId="0" xfId="0" applyNumberFormat="1" applyFont="1" applyFill="1" applyAlignment="1">
      <alignment vertical="center"/>
    </xf>
    <xf numFmtId="165" fontId="121" fillId="0" borderId="0" xfId="0" applyFont="1" applyFill="1" applyAlignment="1">
      <alignment horizontal="right" vertical="center"/>
    </xf>
    <xf numFmtId="2" fontId="126" fillId="0" borderId="0" xfId="0" applyNumberFormat="1" applyFont="1" applyFill="1" applyAlignment="1">
      <alignment vertical="center"/>
    </xf>
    <xf numFmtId="165" fontId="43" fillId="0" borderId="0" xfId="0" applyFont="1" applyFill="1" applyAlignment="1">
      <alignment vertical="center"/>
    </xf>
    <xf numFmtId="165" fontId="141" fillId="0" borderId="23" xfId="0" applyFont="1" applyFill="1" applyBorder="1" applyAlignment="1">
      <alignment vertical="center"/>
    </xf>
    <xf numFmtId="165" fontId="43" fillId="0" borderId="0" xfId="0" applyFont="1" applyFill="1" applyAlignment="1">
      <alignment horizontal="center" vertical="center"/>
    </xf>
    <xf numFmtId="165" fontId="43" fillId="0" borderId="0" xfId="0" applyFont="1" applyFill="1" applyAlignment="1">
      <alignment horizontal="right" vertical="center"/>
    </xf>
    <xf numFmtId="165" fontId="141" fillId="0" borderId="0" xfId="0" applyFont="1" applyFill="1" applyAlignment="1">
      <alignment horizontal="right" vertical="center"/>
    </xf>
    <xf numFmtId="165" fontId="141" fillId="0" borderId="0" xfId="0" applyFont="1" applyFill="1" applyAlignment="1">
      <alignment vertical="center"/>
    </xf>
    <xf numFmtId="165" fontId="43" fillId="0" borderId="0" xfId="0" applyNumberFormat="1" applyFont="1" applyFill="1" applyAlignment="1" applyProtection="1">
      <alignment horizontal="fill" vertical="center"/>
    </xf>
    <xf numFmtId="165" fontId="141" fillId="0" borderId="0" xfId="0" applyFont="1" applyFill="1" applyAlignment="1">
      <alignment horizontal="center" vertical="center"/>
    </xf>
    <xf numFmtId="165" fontId="141" fillId="0" borderId="0" xfId="0" applyNumberFormat="1" applyFont="1" applyFill="1" applyAlignment="1" applyProtection="1">
      <alignment horizontal="right" vertical="center"/>
    </xf>
    <xf numFmtId="165" fontId="43" fillId="0" borderId="0" xfId="0" applyNumberFormat="1" applyFont="1" applyFill="1" applyAlignment="1" applyProtection="1">
      <alignment horizontal="right" vertical="center"/>
    </xf>
    <xf numFmtId="165" fontId="141" fillId="0" borderId="0" xfId="0" applyNumberFormat="1" applyFont="1" applyFill="1" applyAlignment="1" applyProtection="1">
      <alignment horizontal="fill" vertical="center"/>
    </xf>
    <xf numFmtId="165" fontId="141" fillId="0" borderId="0" xfId="0" applyNumberFormat="1" applyFont="1" applyFill="1" applyAlignment="1" applyProtection="1">
      <alignment horizontal="left" vertical="center"/>
    </xf>
    <xf numFmtId="165" fontId="141" fillId="0" borderId="0" xfId="0" applyNumberFormat="1" applyFont="1" applyFill="1" applyAlignment="1" applyProtection="1">
      <alignment vertical="center"/>
    </xf>
    <xf numFmtId="169" fontId="43" fillId="0" borderId="0" xfId="0" applyNumberFormat="1" applyFont="1" applyFill="1" applyAlignment="1" applyProtection="1">
      <alignment horizontal="center" vertical="center"/>
    </xf>
    <xf numFmtId="165" fontId="43" fillId="0" borderId="0" xfId="0" applyNumberFormat="1" applyFont="1" applyFill="1" applyAlignment="1" applyProtection="1">
      <alignment horizontal="left" vertical="center" wrapText="1"/>
    </xf>
    <xf numFmtId="166" fontId="43" fillId="0" borderId="0" xfId="0" applyNumberFormat="1" applyFont="1" applyFill="1" applyAlignment="1">
      <alignment horizontal="center" vertical="center"/>
    </xf>
    <xf numFmtId="168" fontId="43" fillId="0" borderId="0" xfId="0" applyNumberFormat="1" applyFont="1" applyFill="1" applyAlignment="1">
      <alignment vertical="center"/>
    </xf>
    <xf numFmtId="168" fontId="43" fillId="0" borderId="0" xfId="0" applyNumberFormat="1" applyFont="1" applyFill="1" applyAlignment="1" applyProtection="1">
      <alignment horizontal="center" vertical="center"/>
    </xf>
    <xf numFmtId="165" fontId="43" fillId="0" borderId="8" xfId="0" applyFont="1" applyFill="1" applyBorder="1" applyAlignment="1">
      <alignment vertical="center"/>
    </xf>
    <xf numFmtId="165" fontId="43" fillId="0" borderId="24" xfId="0" applyFont="1" applyFill="1" applyBorder="1" applyAlignment="1">
      <alignment vertical="center"/>
    </xf>
    <xf numFmtId="169" fontId="43" fillId="0" borderId="25" xfId="0" applyNumberFormat="1" applyFont="1" applyFill="1" applyBorder="1" applyAlignment="1" applyProtection="1">
      <alignment horizontal="center" vertical="center"/>
    </xf>
    <xf numFmtId="165" fontId="141" fillId="0" borderId="0" xfId="0" applyFont="1" applyFill="1" applyBorder="1" applyAlignment="1">
      <alignment vertical="center"/>
    </xf>
    <xf numFmtId="165" fontId="43" fillId="0" borderId="0" xfId="0" applyFont="1" applyFill="1" applyBorder="1" applyAlignment="1">
      <alignment vertical="center"/>
    </xf>
    <xf numFmtId="165" fontId="43" fillId="0" borderId="0" xfId="0" applyFont="1" applyFill="1" applyBorder="1" applyAlignment="1">
      <alignment horizontal="center" vertical="center"/>
    </xf>
    <xf numFmtId="165" fontId="43" fillId="0" borderId="25" xfId="0" applyFont="1" applyFill="1" applyBorder="1" applyAlignment="1">
      <alignment vertical="center"/>
    </xf>
    <xf numFmtId="165" fontId="43" fillId="0" borderId="0" xfId="0" applyFont="1" applyFill="1" applyBorder="1" applyAlignment="1">
      <alignment horizontal="right" vertical="center"/>
    </xf>
    <xf numFmtId="165" fontId="102" fillId="0" borderId="0" xfId="0" applyFont="1" applyFill="1" applyBorder="1" applyAlignment="1">
      <alignment horizontal="fill" vertical="center"/>
    </xf>
    <xf numFmtId="173" fontId="43" fillId="0" borderId="0" xfId="0" applyNumberFormat="1" applyFont="1" applyFill="1" applyAlignment="1" applyProtection="1">
      <alignment horizontal="center" vertical="center"/>
    </xf>
    <xf numFmtId="165" fontId="43" fillId="0" borderId="11" xfId="0" applyFont="1" applyFill="1" applyBorder="1" applyAlignment="1">
      <alignment vertical="center"/>
    </xf>
    <xf numFmtId="165" fontId="43" fillId="0" borderId="23" xfId="0" applyFont="1" applyFill="1" applyBorder="1" applyAlignment="1">
      <alignment vertical="center"/>
    </xf>
    <xf numFmtId="165" fontId="43" fillId="0" borderId="23" xfId="0" applyFont="1" applyFill="1" applyBorder="1" applyAlignment="1">
      <alignment horizontal="center" vertical="center"/>
    </xf>
    <xf numFmtId="165" fontId="102" fillId="0" borderId="23" xfId="0" applyFont="1" applyFill="1" applyBorder="1" applyAlignment="1">
      <alignment horizontal="fill" vertical="center"/>
    </xf>
    <xf numFmtId="168" fontId="43" fillId="0" borderId="0" xfId="0" applyNumberFormat="1" applyFont="1" applyFill="1" applyAlignment="1" applyProtection="1">
      <alignment vertical="center"/>
    </xf>
    <xf numFmtId="183" fontId="126" fillId="0" borderId="0" xfId="0" applyNumberFormat="1" applyFont="1" applyFill="1" applyAlignment="1">
      <alignment vertical="center"/>
    </xf>
    <xf numFmtId="173" fontId="126" fillId="0" borderId="0" xfId="0" applyNumberFormat="1" applyFont="1" applyFill="1" applyAlignment="1">
      <alignment vertical="center"/>
    </xf>
    <xf numFmtId="165" fontId="126" fillId="0" borderId="0" xfId="0" quotePrefix="1" applyFont="1" applyFill="1" applyAlignment="1">
      <alignment vertical="center"/>
    </xf>
    <xf numFmtId="181" fontId="43" fillId="0" borderId="0" xfId="0" applyNumberFormat="1" applyFont="1" applyFill="1" applyAlignment="1">
      <alignment vertical="center"/>
    </xf>
    <xf numFmtId="172" fontId="43" fillId="0" borderId="0" xfId="0" applyNumberFormat="1" applyFont="1" applyFill="1" applyAlignment="1" applyProtection="1">
      <alignment vertical="center"/>
    </xf>
    <xf numFmtId="165" fontId="43" fillId="0" borderId="0" xfId="0" applyFont="1" applyFill="1" applyAlignment="1">
      <alignment horizontal="left" vertical="center"/>
    </xf>
    <xf numFmtId="173" fontId="43" fillId="0" borderId="0" xfId="0" applyNumberFormat="1" applyFont="1" applyFill="1" applyAlignment="1" applyProtection="1">
      <alignment horizontal="left" vertical="center"/>
    </xf>
    <xf numFmtId="172" fontId="43" fillId="0" borderId="0" xfId="0" applyNumberFormat="1" applyFont="1" applyFill="1" applyAlignment="1">
      <alignment vertical="center"/>
    </xf>
    <xf numFmtId="173" fontId="43" fillId="0" borderId="0" xfId="0" applyNumberFormat="1" applyFont="1" applyFill="1" applyAlignment="1">
      <alignment vertical="center"/>
    </xf>
    <xf numFmtId="181" fontId="43" fillId="0" borderId="0" xfId="0" applyNumberFormat="1" applyFont="1" applyFill="1" applyAlignment="1" applyProtection="1">
      <alignment vertical="center"/>
    </xf>
    <xf numFmtId="165" fontId="141" fillId="0" borderId="0" xfId="0" applyNumberFormat="1" applyFont="1" applyFill="1" applyAlignment="1" applyProtection="1">
      <alignment horizontal="center" vertical="center"/>
    </xf>
    <xf numFmtId="165" fontId="141" fillId="0" borderId="0" xfId="0" applyFont="1" applyFill="1" applyAlignment="1">
      <alignment vertical="center" wrapText="1"/>
    </xf>
    <xf numFmtId="165" fontId="43" fillId="0" borderId="0" xfId="0" applyFont="1" applyFill="1" applyAlignment="1">
      <alignment vertical="center" wrapText="1"/>
    </xf>
    <xf numFmtId="172" fontId="43" fillId="0" borderId="0" xfId="0" applyNumberFormat="1" applyFont="1" applyFill="1" applyBorder="1" applyAlignment="1">
      <alignment vertical="center"/>
    </xf>
    <xf numFmtId="165" fontId="131" fillId="0" borderId="0" xfId="0" applyNumberFormat="1" applyFont="1" applyFill="1" applyAlignment="1" applyProtection="1">
      <alignment horizontal="right" vertical="center"/>
    </xf>
    <xf numFmtId="165" fontId="99" fillId="0" borderId="0" xfId="0" applyNumberFormat="1" applyFont="1" applyFill="1" applyAlignment="1" applyProtection="1">
      <alignment horizontal="left" vertical="center"/>
    </xf>
    <xf numFmtId="168" fontId="141" fillId="0" borderId="0" xfId="0" applyNumberFormat="1" applyFont="1" applyFill="1" applyAlignment="1">
      <alignment horizontal="right" vertical="center"/>
    </xf>
    <xf numFmtId="172" fontId="141" fillId="0" borderId="0" xfId="0" applyNumberFormat="1" applyFont="1" applyFill="1" applyAlignment="1">
      <alignment horizontal="right" vertical="center"/>
    </xf>
    <xf numFmtId="173" fontId="43" fillId="0" borderId="0" xfId="0" applyNumberFormat="1" applyFont="1" applyFill="1" applyAlignment="1">
      <alignment horizontal="right" vertical="center"/>
    </xf>
    <xf numFmtId="173" fontId="141" fillId="0" borderId="0" xfId="0" applyNumberFormat="1" applyFont="1" applyFill="1" applyAlignment="1" applyProtection="1">
      <alignment horizontal="right" vertical="center"/>
    </xf>
    <xf numFmtId="172" fontId="0" fillId="0" borderId="0" xfId="0" applyNumberFormat="1" applyFont="1" applyFill="1" applyAlignment="1">
      <alignment horizontal="right" vertical="center"/>
    </xf>
    <xf numFmtId="172" fontId="43" fillId="0" borderId="0" xfId="0" applyNumberFormat="1" applyFont="1" applyFill="1" applyAlignment="1" applyProtection="1">
      <alignment horizontal="right" vertical="center"/>
    </xf>
    <xf numFmtId="172" fontId="141" fillId="0" borderId="0" xfId="0" applyNumberFormat="1" applyFont="1" applyFill="1" applyAlignment="1" applyProtection="1">
      <alignment horizontal="right" vertical="center"/>
    </xf>
    <xf numFmtId="165" fontId="43" fillId="0" borderId="0" xfId="0" quotePrefix="1" applyNumberFormat="1" applyFont="1" applyFill="1" applyAlignment="1" applyProtection="1">
      <alignment horizontal="left" vertical="center"/>
    </xf>
    <xf numFmtId="181" fontId="43" fillId="0" borderId="0" xfId="0" applyNumberFormat="1" applyFont="1" applyFill="1" applyAlignment="1">
      <alignment horizontal="right" vertical="center"/>
    </xf>
    <xf numFmtId="168" fontId="126" fillId="0" borderId="0" xfId="0" applyNumberFormat="1" applyFont="1" applyFill="1" applyAlignment="1">
      <alignment vertical="center"/>
    </xf>
    <xf numFmtId="168" fontId="43" fillId="0" borderId="0" xfId="0" applyNumberFormat="1" applyFont="1" applyFill="1" applyAlignment="1" applyProtection="1">
      <alignment horizontal="right" vertical="center"/>
    </xf>
    <xf numFmtId="166" fontId="126" fillId="0" borderId="0" xfId="0" applyNumberFormat="1" applyFont="1" applyFill="1" applyAlignment="1">
      <alignment vertical="center"/>
    </xf>
    <xf numFmtId="2" fontId="138" fillId="0" borderId="0" xfId="1267" applyNumberFormat="1" applyFont="1" applyFill="1" applyBorder="1" applyAlignment="1">
      <alignment vertical="center" wrapText="1"/>
    </xf>
    <xf numFmtId="165" fontId="102" fillId="0" borderId="0" xfId="0" applyFont="1" applyFill="1" applyAlignment="1">
      <alignment vertical="center"/>
    </xf>
    <xf numFmtId="165" fontId="102" fillId="0" borderId="0" xfId="0" applyFont="1" applyFill="1" applyAlignment="1">
      <alignment horizontal="left" vertical="center"/>
    </xf>
    <xf numFmtId="165" fontId="138" fillId="0" borderId="0" xfId="0" applyFont="1" applyFill="1" applyAlignment="1">
      <alignment vertical="center"/>
    </xf>
    <xf numFmtId="165" fontId="99" fillId="0" borderId="0" xfId="0" applyFont="1" applyFill="1" applyAlignment="1">
      <alignment vertical="center"/>
    </xf>
    <xf numFmtId="165" fontId="144" fillId="0" borderId="0" xfId="0" applyFont="1" applyFill="1" applyAlignment="1">
      <alignment vertical="center"/>
    </xf>
    <xf numFmtId="168" fontId="102" fillId="0" borderId="0" xfId="0" applyNumberFormat="1" applyFont="1" applyFill="1" applyAlignment="1">
      <alignment vertical="center"/>
    </xf>
    <xf numFmtId="165" fontId="145" fillId="0" borderId="0" xfId="0" applyFont="1" applyFill="1" applyAlignment="1">
      <alignment vertical="center"/>
    </xf>
    <xf numFmtId="165" fontId="101" fillId="0" borderId="0" xfId="0" applyNumberFormat="1" applyFont="1" applyFill="1" applyAlignment="1">
      <alignment horizontal="center" vertical="center"/>
    </xf>
    <xf numFmtId="165" fontId="138" fillId="0" borderId="0" xfId="0" applyNumberFormat="1" applyFont="1" applyFill="1" applyAlignment="1" applyProtection="1">
      <alignment horizontal="left" vertical="center" wrapText="1"/>
    </xf>
    <xf numFmtId="172" fontId="138" fillId="0" borderId="0" xfId="0" applyNumberFormat="1" applyFont="1" applyFill="1" applyAlignment="1" applyProtection="1">
      <alignment horizontal="right" vertical="center"/>
    </xf>
    <xf numFmtId="165" fontId="126" fillId="0" borderId="0" xfId="0" applyNumberFormat="1" applyFont="1" applyFill="1" applyAlignment="1" applyProtection="1">
      <alignment horizontal="center" vertical="center" wrapText="1"/>
    </xf>
    <xf numFmtId="165" fontId="102" fillId="0" borderId="0" xfId="0" applyNumberFormat="1" applyFont="1" applyFill="1" applyAlignment="1">
      <alignment vertical="center"/>
    </xf>
    <xf numFmtId="165" fontId="102" fillId="0" borderId="0" xfId="0" applyNumberFormat="1" applyFont="1" applyFill="1" applyAlignment="1" applyProtection="1">
      <alignment vertical="center"/>
    </xf>
    <xf numFmtId="165" fontId="102" fillId="0" borderId="0" xfId="0" applyNumberFormat="1" applyFont="1" applyFill="1" applyAlignment="1">
      <alignment horizontal="left" vertical="center"/>
    </xf>
    <xf numFmtId="0" fontId="0" fillId="0" borderId="0" xfId="0" applyNumberFormat="1" applyFont="1" applyFill="1" applyAlignment="1">
      <alignment vertical="center"/>
    </xf>
    <xf numFmtId="165" fontId="126" fillId="0" borderId="0" xfId="0" applyNumberFormat="1" applyFont="1" applyFill="1" applyAlignment="1">
      <alignment vertical="center"/>
    </xf>
    <xf numFmtId="165" fontId="126" fillId="0" borderId="0" xfId="0" applyNumberFormat="1" applyFont="1" applyFill="1" applyAlignment="1">
      <alignment horizontal="left" vertical="center"/>
    </xf>
    <xf numFmtId="0" fontId="144" fillId="0" borderId="0" xfId="0" applyNumberFormat="1" applyFont="1" applyFill="1" applyBorder="1" applyAlignment="1">
      <alignment vertical="center" wrapText="1"/>
    </xf>
    <xf numFmtId="0" fontId="63" fillId="0" borderId="0" xfId="0" applyNumberFormat="1" applyFont="1" applyFill="1" applyAlignment="1">
      <alignment vertical="center"/>
    </xf>
    <xf numFmtId="165" fontId="43" fillId="0" borderId="0" xfId="0" applyNumberFormat="1" applyFont="1" applyFill="1" applyAlignment="1">
      <alignment vertical="center"/>
    </xf>
    <xf numFmtId="2" fontId="63" fillId="0" borderId="0" xfId="0" applyNumberFormat="1" applyFont="1" applyFill="1" applyAlignment="1">
      <alignment vertical="center"/>
    </xf>
    <xf numFmtId="0" fontId="0" fillId="0" borderId="0" xfId="0" applyNumberFormat="1" applyFont="1" applyFill="1" applyBorder="1" applyAlignment="1">
      <alignment vertical="center"/>
    </xf>
    <xf numFmtId="0" fontId="63" fillId="0" borderId="0" xfId="0" applyNumberFormat="1" applyFont="1" applyFill="1" applyBorder="1" applyAlignment="1">
      <alignment vertical="center"/>
    </xf>
    <xf numFmtId="165" fontId="43" fillId="0" borderId="0" xfId="0" applyNumberFormat="1" applyFont="1" applyFill="1" applyBorder="1" applyAlignment="1">
      <alignment vertical="center"/>
    </xf>
    <xf numFmtId="165" fontId="43" fillId="0" borderId="0" xfId="0" applyNumberFormat="1" applyFont="1" applyFill="1" applyBorder="1" applyAlignment="1" applyProtection="1">
      <alignment horizontal="left" vertical="center"/>
    </xf>
    <xf numFmtId="0" fontId="0" fillId="0" borderId="0" xfId="0" applyNumberFormat="1" applyFont="1" applyFill="1" applyBorder="1" applyAlignment="1">
      <alignment vertical="center" wrapText="1"/>
    </xf>
    <xf numFmtId="0" fontId="63" fillId="0" borderId="0" xfId="0" applyNumberFormat="1" applyFont="1" applyFill="1" applyBorder="1" applyAlignment="1">
      <alignment horizontal="right" vertical="center"/>
    </xf>
    <xf numFmtId="165" fontId="141" fillId="0" borderId="0" xfId="0" applyNumberFormat="1" applyFont="1" applyFill="1" applyBorder="1" applyAlignment="1">
      <alignment vertical="center"/>
    </xf>
    <xf numFmtId="0" fontId="19" fillId="0" borderId="0" xfId="0" applyNumberFormat="1" applyFont="1" applyFill="1" applyAlignment="1">
      <alignment vertical="center"/>
    </xf>
    <xf numFmtId="165" fontId="43" fillId="0" borderId="0" xfId="0" applyNumberFormat="1" applyFont="1" applyFill="1" applyAlignment="1">
      <alignment horizontal="left" vertical="center"/>
    </xf>
    <xf numFmtId="165" fontId="43" fillId="0" borderId="0" xfId="0" applyNumberFormat="1" applyFont="1" applyFill="1" applyAlignment="1">
      <alignment horizontal="right" vertical="center"/>
    </xf>
    <xf numFmtId="165" fontId="141" fillId="0" borderId="0" xfId="0" applyNumberFormat="1" applyFont="1" applyFill="1" applyAlignment="1">
      <alignment vertical="center"/>
    </xf>
    <xf numFmtId="165" fontId="63" fillId="0" borderId="0" xfId="0" applyNumberFormat="1" applyFont="1" applyFill="1" applyAlignment="1">
      <alignment vertical="center"/>
    </xf>
    <xf numFmtId="165" fontId="63" fillId="0" borderId="0" xfId="0" applyNumberFormat="1" applyFont="1" applyFill="1" applyAlignment="1">
      <alignment horizontal="left" vertical="center"/>
    </xf>
    <xf numFmtId="165" fontId="0" fillId="0" borderId="0" xfId="0" applyNumberFormat="1" applyFont="1" applyFill="1" applyAlignment="1">
      <alignment horizontal="left" vertical="center"/>
    </xf>
    <xf numFmtId="165" fontId="63" fillId="0" borderId="0" xfId="0" applyNumberFormat="1" applyFont="1" applyFill="1" applyAlignment="1" applyProtection="1">
      <alignment horizontal="left" vertical="center"/>
    </xf>
    <xf numFmtId="165" fontId="0" fillId="0" borderId="0" xfId="0" applyNumberFormat="1" applyFont="1" applyFill="1" applyBorder="1" applyAlignment="1">
      <alignment horizontal="left" vertical="center"/>
    </xf>
    <xf numFmtId="165" fontId="126" fillId="0" borderId="0" xfId="0" applyNumberFormat="1" applyFont="1" applyFill="1" applyAlignment="1">
      <alignment horizontal="right" vertical="center"/>
    </xf>
    <xf numFmtId="0" fontId="63" fillId="0" borderId="0" xfId="0" applyNumberFormat="1" applyFont="1" applyFill="1" applyAlignment="1">
      <alignment horizontal="center" vertical="center"/>
    </xf>
    <xf numFmtId="165" fontId="43" fillId="0" borderId="0" xfId="0" applyNumberFormat="1" applyFont="1" applyFill="1" applyAlignment="1">
      <alignment horizontal="center" vertical="center"/>
    </xf>
    <xf numFmtId="172" fontId="63" fillId="0" borderId="0" xfId="0" applyNumberFormat="1" applyFont="1" applyFill="1" applyAlignment="1">
      <alignment vertical="center"/>
    </xf>
    <xf numFmtId="172" fontId="43" fillId="0" borderId="0" xfId="0" applyNumberFormat="1" applyFont="1" applyFill="1" applyAlignment="1">
      <alignment horizontal="center" vertical="center"/>
    </xf>
    <xf numFmtId="165" fontId="90" fillId="0" borderId="5" xfId="0" applyFont="1" applyFill="1" applyBorder="1" applyAlignment="1">
      <alignment horizontal="center" vertical="center" wrapText="1"/>
    </xf>
    <xf numFmtId="165" fontId="86" fillId="0" borderId="5" xfId="0" applyFont="1" applyFill="1" applyBorder="1" applyAlignment="1">
      <alignment horizontal="center" vertical="center" wrapText="1"/>
    </xf>
    <xf numFmtId="2" fontId="13" fillId="0" borderId="1" xfId="0" applyNumberFormat="1" applyFont="1" applyFill="1" applyBorder="1" applyAlignment="1">
      <alignment horizontal="center" vertical="center"/>
    </xf>
    <xf numFmtId="165" fontId="13" fillId="0" borderId="0" xfId="0" applyFont="1" applyAlignment="1">
      <alignment vertical="top"/>
    </xf>
    <xf numFmtId="165" fontId="13" fillId="0" borderId="41" xfId="0" applyFont="1" applyBorder="1" applyAlignment="1">
      <alignment horizontal="center" vertical="top"/>
    </xf>
    <xf numFmtId="165" fontId="13" fillId="0" borderId="42" xfId="0" applyFont="1" applyBorder="1" applyAlignment="1">
      <alignment horizontal="center" vertical="top" wrapText="1"/>
    </xf>
    <xf numFmtId="165" fontId="13" fillId="0" borderId="43" xfId="0" applyFont="1" applyBorder="1" applyAlignment="1">
      <alignment horizontal="center" vertical="top"/>
    </xf>
    <xf numFmtId="165" fontId="13" fillId="0" borderId="44" xfId="0" applyFont="1" applyBorder="1" applyAlignment="1">
      <alignment horizontal="center" vertical="top"/>
    </xf>
    <xf numFmtId="165" fontId="13" fillId="0" borderId="1" xfId="0" applyFont="1" applyBorder="1" applyAlignment="1">
      <alignment horizontal="center" vertical="top" wrapText="1"/>
    </xf>
    <xf numFmtId="165" fontId="13" fillId="0" borderId="1" xfId="0" applyFont="1" applyBorder="1" applyAlignment="1">
      <alignment horizontal="center" vertical="top"/>
    </xf>
    <xf numFmtId="165" fontId="13" fillId="0" borderId="45" xfId="0" applyFont="1" applyBorder="1" applyAlignment="1">
      <alignment horizontal="center" vertical="top"/>
    </xf>
    <xf numFmtId="1" fontId="13" fillId="0" borderId="44" xfId="2" applyNumberFormat="1" applyFont="1" applyFill="1" applyBorder="1" applyAlignment="1">
      <alignment horizontal="center" vertical="center" wrapText="1"/>
    </xf>
    <xf numFmtId="2" fontId="13" fillId="0" borderId="45" xfId="0" applyNumberFormat="1" applyFont="1" applyFill="1" applyBorder="1" applyAlignment="1">
      <alignment horizontal="center" vertical="center"/>
    </xf>
    <xf numFmtId="0" fontId="13" fillId="0" borderId="0" xfId="0" applyNumberFormat="1" applyFont="1" applyFill="1" applyBorder="1" applyAlignment="1">
      <alignment horizontal="center" vertical="center"/>
    </xf>
    <xf numFmtId="166" fontId="13" fillId="0" borderId="44" xfId="0" applyNumberFormat="1" applyFont="1" applyFill="1" applyBorder="1" applyAlignment="1">
      <alignment horizontal="center" vertical="center"/>
    </xf>
    <xf numFmtId="0" fontId="13" fillId="0" borderId="1" xfId="0" applyNumberFormat="1" applyFont="1" applyFill="1" applyBorder="1" applyAlignment="1">
      <alignment horizontal="justify" vertical="center" wrapText="1"/>
    </xf>
    <xf numFmtId="0" fontId="13" fillId="0" borderId="1" xfId="0" applyNumberFormat="1" applyFont="1" applyFill="1" applyBorder="1" applyAlignment="1">
      <alignment horizontal="center" vertical="center"/>
    </xf>
    <xf numFmtId="2" fontId="13" fillId="0" borderId="0" xfId="0" applyNumberFormat="1" applyFont="1" applyFill="1" applyBorder="1" applyAlignment="1">
      <alignment horizontal="center" vertical="center"/>
    </xf>
    <xf numFmtId="0" fontId="13" fillId="0" borderId="1" xfId="0" applyNumberFormat="1" applyFont="1" applyFill="1" applyBorder="1" applyAlignment="1">
      <alignment horizontal="justify" vertical="center"/>
    </xf>
    <xf numFmtId="2" fontId="14" fillId="0" borderId="1" xfId="0" applyNumberFormat="1" applyFont="1" applyFill="1" applyBorder="1" applyAlignment="1">
      <alignment horizontal="center" vertical="center"/>
    </xf>
    <xf numFmtId="2" fontId="14" fillId="0" borderId="45" xfId="0" applyNumberFormat="1" applyFont="1" applyFill="1" applyBorder="1" applyAlignment="1">
      <alignment horizontal="center" vertical="center"/>
    </xf>
    <xf numFmtId="165" fontId="13" fillId="0" borderId="1" xfId="0" applyFont="1" applyFill="1" applyBorder="1" applyAlignment="1">
      <alignment horizontal="justify" vertical="center" wrapText="1"/>
    </xf>
    <xf numFmtId="165" fontId="13" fillId="0" borderId="45" xfId="0" applyFont="1" applyFill="1" applyBorder="1" applyAlignment="1">
      <alignment horizontal="center" vertical="center"/>
    </xf>
    <xf numFmtId="165" fontId="14" fillId="0" borderId="1" xfId="0" applyNumberFormat="1" applyFont="1" applyFill="1" applyBorder="1" applyAlignment="1">
      <alignment horizontal="center" vertical="center"/>
    </xf>
    <xf numFmtId="165" fontId="14" fillId="0" borderId="45" xfId="0" applyFont="1" applyFill="1" applyBorder="1" applyAlignment="1">
      <alignment horizontal="center" vertical="center"/>
    </xf>
    <xf numFmtId="165" fontId="13" fillId="0" borderId="0" xfId="0" applyFont="1" applyAlignment="1">
      <alignment vertical="top" wrapText="1"/>
    </xf>
    <xf numFmtId="165" fontId="13" fillId="0" borderId="0" xfId="0" applyFont="1" applyAlignment="1">
      <alignment horizontal="center" vertical="top"/>
    </xf>
    <xf numFmtId="165" fontId="86" fillId="0" borderId="5" xfId="0" applyNumberFormat="1" applyFont="1" applyFill="1" applyBorder="1" applyAlignment="1">
      <alignment horizontal="right" vertical="center" wrapText="1"/>
    </xf>
    <xf numFmtId="165" fontId="46" fillId="0" borderId="29" xfId="1267" applyNumberFormat="1" applyFont="1" applyFill="1" applyBorder="1" applyAlignment="1">
      <alignment horizontal="right" vertical="center" wrapText="1"/>
    </xf>
    <xf numFmtId="165" fontId="46" fillId="0" borderId="30" xfId="1267" applyNumberFormat="1" applyFont="1" applyFill="1" applyBorder="1" applyAlignment="1">
      <alignment horizontal="right" vertical="center" wrapText="1"/>
    </xf>
    <xf numFmtId="165" fontId="90" fillId="0" borderId="5" xfId="1267" applyNumberFormat="1" applyFont="1" applyFill="1" applyBorder="1" applyAlignment="1">
      <alignment horizontal="right" vertical="center" wrapText="1"/>
    </xf>
    <xf numFmtId="165" fontId="86" fillId="0" borderId="5" xfId="1267" applyNumberFormat="1" applyFont="1" applyFill="1" applyBorder="1" applyAlignment="1">
      <alignment horizontal="right" vertical="center" wrapText="1"/>
    </xf>
    <xf numFmtId="165" fontId="92" fillId="0" borderId="31" xfId="1267" applyNumberFormat="1" applyFont="1" applyFill="1" applyBorder="1" applyAlignment="1">
      <alignment horizontal="right" vertical="center" wrapText="1"/>
    </xf>
    <xf numFmtId="165" fontId="46" fillId="0" borderId="31" xfId="1267" applyNumberFormat="1" applyFont="1" applyFill="1" applyBorder="1" applyAlignment="1">
      <alignment horizontal="right" vertical="center" wrapText="1"/>
    </xf>
    <xf numFmtId="165" fontId="92" fillId="0" borderId="29" xfId="1267" applyNumberFormat="1" applyFont="1" applyFill="1" applyBorder="1" applyAlignment="1">
      <alignment horizontal="right" vertical="center" wrapText="1"/>
    </xf>
    <xf numFmtId="165" fontId="98" fillId="0" borderId="30" xfId="1267" applyNumberFormat="1" applyFont="1" applyFill="1" applyBorder="1" applyAlignment="1">
      <alignment horizontal="right" vertical="center" wrapText="1"/>
    </xf>
    <xf numFmtId="165" fontId="98" fillId="0" borderId="5" xfId="1267" applyNumberFormat="1" applyFont="1" applyFill="1" applyBorder="1" applyAlignment="1">
      <alignment horizontal="right" vertical="center" wrapText="1"/>
    </xf>
    <xf numFmtId="165" fontId="92" fillId="0" borderId="5" xfId="0" applyNumberFormat="1" applyFont="1" applyFill="1" applyBorder="1" applyAlignment="1">
      <alignment horizontal="right" vertical="center" wrapText="1"/>
    </xf>
    <xf numFmtId="165" fontId="92" fillId="0" borderId="5" xfId="2" applyNumberFormat="1" applyFont="1" applyFill="1" applyBorder="1" applyAlignment="1">
      <alignment horizontal="right" vertical="center" wrapText="1"/>
    </xf>
    <xf numFmtId="165" fontId="46" fillId="0" borderId="5" xfId="0" applyNumberFormat="1" applyFont="1" applyFill="1" applyBorder="1" applyAlignment="1">
      <alignment horizontal="right" vertical="center" wrapText="1"/>
    </xf>
    <xf numFmtId="165" fontId="92" fillId="0" borderId="5" xfId="3" applyNumberFormat="1" applyFont="1" applyFill="1" applyBorder="1" applyAlignment="1">
      <alignment horizontal="right" vertical="center" wrapText="1"/>
    </xf>
    <xf numFmtId="165" fontId="94" fillId="0" borderId="5" xfId="3" applyNumberFormat="1" applyFont="1" applyFill="1" applyBorder="1" applyAlignment="1">
      <alignment horizontal="right" vertical="center" wrapText="1"/>
    </xf>
    <xf numFmtId="165" fontId="92" fillId="0" borderId="5" xfId="0" applyNumberFormat="1" applyFont="1" applyFill="1" applyBorder="1" applyAlignment="1">
      <alignment horizontal="right" vertical="center"/>
    </xf>
    <xf numFmtId="165" fontId="94" fillId="0" borderId="5" xfId="2" applyNumberFormat="1" applyFont="1" applyFill="1" applyBorder="1" applyAlignment="1">
      <alignment horizontal="right" vertical="center" wrapText="1"/>
    </xf>
    <xf numFmtId="165" fontId="92" fillId="0" borderId="31" xfId="0" applyNumberFormat="1" applyFont="1" applyFill="1" applyBorder="1" applyAlignment="1">
      <alignment horizontal="right" vertical="center" wrapText="1"/>
    </xf>
    <xf numFmtId="165" fontId="94" fillId="0" borderId="5" xfId="0" applyNumberFormat="1" applyFont="1" applyFill="1" applyBorder="1" applyAlignment="1">
      <alignment horizontal="right" vertical="center"/>
    </xf>
    <xf numFmtId="165" fontId="94" fillId="0" borderId="5" xfId="1267" applyNumberFormat="1" applyFont="1" applyFill="1" applyBorder="1" applyAlignment="1">
      <alignment horizontal="right" vertical="center" wrapText="1"/>
    </xf>
    <xf numFmtId="165" fontId="94" fillId="0" borderId="29" xfId="3" applyNumberFormat="1" applyFont="1" applyFill="1" applyBorder="1" applyAlignment="1">
      <alignment horizontal="right" vertical="center" wrapText="1"/>
    </xf>
    <xf numFmtId="165" fontId="102" fillId="0" borderId="5" xfId="1267" applyNumberFormat="1" applyFont="1" applyFill="1" applyBorder="1" applyAlignment="1">
      <alignment horizontal="right" vertical="center" wrapText="1"/>
    </xf>
    <xf numFmtId="165" fontId="46" fillId="0" borderId="29" xfId="2" applyNumberFormat="1" applyFont="1" applyFill="1" applyBorder="1" applyAlignment="1">
      <alignment horizontal="right" vertical="center" wrapText="1"/>
    </xf>
    <xf numFmtId="165" fontId="61" fillId="0" borderId="2" xfId="0" applyFont="1" applyFill="1" applyBorder="1" applyAlignment="1">
      <alignment horizontal="right" vertical="center" wrapText="1"/>
    </xf>
    <xf numFmtId="165" fontId="61" fillId="0" borderId="4" xfId="0" applyFont="1" applyFill="1" applyBorder="1" applyAlignment="1">
      <alignment horizontal="right" vertical="center" wrapText="1"/>
    </xf>
    <xf numFmtId="165" fontId="61" fillId="0" borderId="3" xfId="0" applyFont="1" applyFill="1" applyBorder="1" applyAlignment="1">
      <alignment horizontal="right" vertical="center" wrapText="1"/>
    </xf>
    <xf numFmtId="165" fontId="61" fillId="0" borderId="2" xfId="0" applyFont="1" applyFill="1" applyBorder="1" applyAlignment="1">
      <alignment horizontal="right" vertical="center"/>
    </xf>
    <xf numFmtId="165" fontId="61" fillId="0" borderId="4" xfId="0" applyFont="1" applyFill="1" applyBorder="1" applyAlignment="1">
      <alignment horizontal="right" vertical="center"/>
    </xf>
    <xf numFmtId="165" fontId="61" fillId="0" borderId="3" xfId="0" applyFont="1" applyFill="1" applyBorder="1" applyAlignment="1">
      <alignment horizontal="right" vertical="center"/>
    </xf>
    <xf numFmtId="165" fontId="61" fillId="0" borderId="1" xfId="0" applyFont="1" applyFill="1" applyBorder="1" applyAlignment="1">
      <alignment horizontal="right" vertical="center"/>
    </xf>
    <xf numFmtId="165" fontId="66" fillId="0" borderId="0" xfId="0" applyFont="1" applyFill="1" applyBorder="1" applyAlignment="1">
      <alignment horizontal="center" vertical="center" wrapText="1"/>
    </xf>
    <xf numFmtId="165" fontId="66" fillId="0" borderId="0" xfId="0" applyFont="1" applyFill="1" applyBorder="1" applyAlignment="1">
      <alignment horizontal="center" vertical="center"/>
    </xf>
    <xf numFmtId="169" fontId="83" fillId="0" borderId="7" xfId="0" applyNumberFormat="1" applyFont="1" applyFill="1" applyBorder="1" applyAlignment="1">
      <alignment horizontal="center" vertical="center"/>
    </xf>
    <xf numFmtId="169" fontId="83" fillId="0" borderId="10" xfId="0" applyNumberFormat="1" applyFont="1" applyFill="1" applyBorder="1" applyAlignment="1">
      <alignment horizontal="center" vertical="center"/>
    </xf>
    <xf numFmtId="165" fontId="83" fillId="0" borderId="7" xfId="0" applyFont="1" applyFill="1" applyBorder="1" applyAlignment="1">
      <alignment horizontal="center" vertical="center" wrapText="1"/>
    </xf>
    <xf numFmtId="165" fontId="83" fillId="0" borderId="10" xfId="0" applyFont="1" applyFill="1" applyBorder="1" applyAlignment="1">
      <alignment horizontal="center" vertical="center" wrapText="1"/>
    </xf>
    <xf numFmtId="166" fontId="83" fillId="0" borderId="8" xfId="0" applyNumberFormat="1" applyFont="1" applyFill="1" applyBorder="1" applyAlignment="1">
      <alignment horizontal="center" vertical="center"/>
    </xf>
    <xf numFmtId="166" fontId="83" fillId="0" borderId="24" xfId="0" applyNumberFormat="1" applyFont="1" applyFill="1" applyBorder="1" applyAlignment="1">
      <alignment horizontal="center" vertical="center"/>
    </xf>
    <xf numFmtId="166" fontId="83" fillId="0" borderId="9" xfId="0" applyNumberFormat="1" applyFont="1" applyFill="1" applyBorder="1" applyAlignment="1">
      <alignment horizontal="center" vertical="center"/>
    </xf>
    <xf numFmtId="166" fontId="83" fillId="0" borderId="11" xfId="0" applyNumberFormat="1" applyFont="1" applyFill="1" applyBorder="1" applyAlignment="1">
      <alignment horizontal="center" vertical="center"/>
    </xf>
    <xf numFmtId="166" fontId="83" fillId="0" borderId="23" xfId="0" applyNumberFormat="1" applyFont="1" applyFill="1" applyBorder="1" applyAlignment="1">
      <alignment horizontal="center" vertical="center"/>
    </xf>
    <xf numFmtId="166" fontId="83" fillId="0" borderId="12" xfId="0" applyNumberFormat="1" applyFont="1" applyFill="1" applyBorder="1" applyAlignment="1">
      <alignment horizontal="center" vertical="center"/>
    </xf>
    <xf numFmtId="165" fontId="83" fillId="0" borderId="1" xfId="0" applyFont="1" applyFill="1" applyBorder="1" applyAlignment="1">
      <alignment horizontal="center" vertical="center" wrapText="1"/>
    </xf>
    <xf numFmtId="165" fontId="83" fillId="0" borderId="7" xfId="0" applyFont="1" applyFill="1" applyBorder="1" applyAlignment="1">
      <alignment horizontal="center" vertical="center"/>
    </xf>
    <xf numFmtId="165" fontId="83" fillId="0" borderId="10" xfId="0" applyFont="1" applyFill="1" applyBorder="1" applyAlignment="1">
      <alignment horizontal="center" vertical="center"/>
    </xf>
    <xf numFmtId="165" fontId="83" fillId="0" borderId="7" xfId="0" applyFont="1" applyFill="1" applyBorder="1" applyAlignment="1">
      <alignment horizontal="left" vertical="center"/>
    </xf>
    <xf numFmtId="165" fontId="83" fillId="0" borderId="10" xfId="0" applyFont="1" applyFill="1" applyBorder="1" applyAlignment="1">
      <alignment horizontal="left" vertical="center"/>
    </xf>
    <xf numFmtId="165" fontId="90" fillId="0" borderId="5" xfId="0" applyFont="1" applyFill="1" applyBorder="1" applyAlignment="1">
      <alignment horizontal="center" vertical="center" wrapText="1"/>
    </xf>
    <xf numFmtId="165" fontId="86" fillId="0" borderId="26" xfId="0" applyFont="1" applyFill="1" applyBorder="1" applyAlignment="1">
      <alignment horizontal="center" vertical="center" wrapText="1"/>
    </xf>
    <xf numFmtId="165" fontId="86" fillId="0" borderId="27" xfId="0" applyFont="1" applyFill="1" applyBorder="1" applyAlignment="1">
      <alignment horizontal="center" vertical="center" wrapText="1"/>
    </xf>
    <xf numFmtId="165" fontId="90" fillId="0" borderId="26" xfId="0" applyFont="1" applyFill="1" applyBorder="1" applyAlignment="1">
      <alignment horizontal="center" vertical="center" wrapText="1"/>
    </xf>
    <xf numFmtId="165" fontId="90" fillId="0" borderId="28" xfId="0" applyFont="1" applyFill="1" applyBorder="1" applyAlignment="1">
      <alignment horizontal="center" vertical="center" wrapText="1"/>
    </xf>
    <xf numFmtId="165" fontId="90" fillId="0" borderId="27" xfId="0" applyFont="1" applyFill="1" applyBorder="1" applyAlignment="1">
      <alignment horizontal="center" vertical="center" wrapText="1"/>
    </xf>
    <xf numFmtId="168" fontId="90" fillId="0" borderId="26" xfId="0" applyNumberFormat="1" applyFont="1" applyFill="1" applyBorder="1" applyAlignment="1">
      <alignment horizontal="center" vertical="center" wrapText="1"/>
    </xf>
    <xf numFmtId="165" fontId="13" fillId="0" borderId="1" xfId="0" applyFont="1" applyFill="1" applyBorder="1" applyAlignment="1">
      <alignment horizontal="justify" vertical="center" wrapText="1"/>
    </xf>
    <xf numFmtId="165" fontId="13" fillId="0" borderId="45" xfId="0" applyFont="1" applyFill="1" applyBorder="1" applyAlignment="1">
      <alignment horizontal="justify" vertical="center" wrapText="1"/>
    </xf>
    <xf numFmtId="165" fontId="13" fillId="0" borderId="0" xfId="0" applyFont="1" applyAlignment="1">
      <alignment horizontal="center" vertical="top"/>
    </xf>
    <xf numFmtId="165" fontId="13" fillId="0" borderId="0" xfId="0" applyFont="1" applyAlignment="1">
      <alignment horizontal="center" vertical="top" wrapText="1"/>
    </xf>
    <xf numFmtId="165" fontId="13" fillId="0" borderId="0" xfId="0" applyFont="1" applyBorder="1" applyAlignment="1">
      <alignment horizontal="center" vertical="top"/>
    </xf>
    <xf numFmtId="165" fontId="13" fillId="0" borderId="42" xfId="0" applyFont="1" applyBorder="1" applyAlignment="1">
      <alignment horizontal="center" vertical="top"/>
    </xf>
    <xf numFmtId="166" fontId="13" fillId="0" borderId="1" xfId="0" applyNumberFormat="1" applyFont="1" applyBorder="1" applyAlignment="1">
      <alignment horizontal="justify" vertical="top" wrapText="1"/>
    </xf>
    <xf numFmtId="0" fontId="13" fillId="0" borderId="1" xfId="0" applyNumberFormat="1" applyFont="1" applyFill="1" applyBorder="1" applyAlignment="1">
      <alignment horizontal="justify" vertical="center" wrapText="1"/>
    </xf>
    <xf numFmtId="0" fontId="13" fillId="0" borderId="45" xfId="0" applyNumberFormat="1" applyFont="1" applyFill="1" applyBorder="1" applyAlignment="1">
      <alignment horizontal="justify" vertical="center" wrapText="1"/>
    </xf>
    <xf numFmtId="0" fontId="13" fillId="0" borderId="1" xfId="0" applyNumberFormat="1" applyFont="1" applyFill="1" applyBorder="1" applyAlignment="1">
      <alignment horizontal="left" vertical="center" wrapText="1"/>
    </xf>
    <xf numFmtId="0" fontId="13" fillId="0" borderId="45" xfId="0" applyNumberFormat="1" applyFont="1" applyFill="1" applyBorder="1" applyAlignment="1">
      <alignment horizontal="left" vertical="center" wrapText="1"/>
    </xf>
    <xf numFmtId="2" fontId="85" fillId="2" borderId="2" xfId="3" applyNumberFormat="1" applyFont="1" applyFill="1" applyBorder="1" applyAlignment="1">
      <alignment horizontal="center" vertical="center"/>
    </xf>
    <xf numFmtId="2" fontId="85" fillId="2" borderId="3" xfId="3" applyNumberFormat="1" applyFont="1" applyFill="1" applyBorder="1" applyAlignment="1">
      <alignment horizontal="center" vertical="center"/>
    </xf>
    <xf numFmtId="2" fontId="107" fillId="2" borderId="1" xfId="3" applyNumberFormat="1" applyFont="1" applyFill="1" applyBorder="1" applyAlignment="1">
      <alignment horizontal="left" vertical="center"/>
    </xf>
    <xf numFmtId="170" fontId="85" fillId="2" borderId="1" xfId="3" applyNumberFormat="1" applyFont="1" applyFill="1" applyBorder="1" applyAlignment="1">
      <alignment horizontal="center" vertical="center"/>
    </xf>
    <xf numFmtId="0" fontId="104" fillId="2" borderId="0" xfId="3" applyFont="1" applyFill="1" applyBorder="1" applyAlignment="1">
      <alignment horizontal="center" vertical="center"/>
    </xf>
    <xf numFmtId="0" fontId="14" fillId="2" borderId="0" xfId="3" applyFont="1" applyFill="1" applyBorder="1" applyAlignment="1">
      <alignment horizontal="left" vertical="center" wrapText="1"/>
    </xf>
    <xf numFmtId="165" fontId="106" fillId="2" borderId="0" xfId="0" applyFont="1" applyFill="1" applyBorder="1" applyAlignment="1">
      <alignment horizontal="center" vertical="center" wrapText="1"/>
    </xf>
    <xf numFmtId="0" fontId="105" fillId="2" borderId="0" xfId="3" applyFont="1" applyFill="1" applyBorder="1" applyAlignment="1">
      <alignment horizontal="center" vertical="center"/>
    </xf>
    <xf numFmtId="0" fontId="107" fillId="2" borderId="1" xfId="3" applyFont="1" applyFill="1" applyBorder="1" applyAlignment="1">
      <alignment horizontal="right" vertical="center"/>
    </xf>
    <xf numFmtId="0" fontId="107" fillId="2" borderId="1" xfId="3" applyFont="1" applyFill="1" applyBorder="1" applyAlignment="1">
      <alignment horizontal="center" vertical="center"/>
    </xf>
    <xf numFmtId="170" fontId="107" fillId="2" borderId="1" xfId="3" applyNumberFormat="1" applyFont="1" applyFill="1" applyBorder="1" applyAlignment="1">
      <alignment horizontal="center" vertical="center"/>
    </xf>
    <xf numFmtId="2" fontId="107" fillId="2" borderId="1" xfId="3" applyNumberFormat="1" applyFont="1" applyFill="1" applyBorder="1" applyAlignment="1">
      <alignment horizontal="center" vertical="center"/>
    </xf>
    <xf numFmtId="0" fontId="83" fillId="0" borderId="1" xfId="1268" applyFont="1" applyBorder="1" applyAlignment="1">
      <alignment horizontal="center" vertical="center" wrapText="1"/>
    </xf>
    <xf numFmtId="167" fontId="85" fillId="0" borderId="1" xfId="1268" applyNumberFormat="1" applyFont="1" applyBorder="1" applyAlignment="1">
      <alignment horizontal="center" vertical="center" wrapText="1"/>
    </xf>
    <xf numFmtId="167" fontId="85" fillId="0" borderId="1" xfId="1268" applyNumberFormat="1" applyFont="1" applyFill="1" applyBorder="1" applyAlignment="1">
      <alignment horizontal="center" vertical="center" wrapText="1"/>
    </xf>
    <xf numFmtId="0" fontId="67" fillId="0" borderId="0" xfId="1267" applyFont="1" applyBorder="1" applyAlignment="1">
      <alignment horizontal="center" vertical="center" wrapText="1"/>
    </xf>
    <xf numFmtId="0" fontId="19" fillId="0" borderId="0" xfId="1267" applyFont="1" applyBorder="1" applyAlignment="1">
      <alignment horizontal="center" vertical="center" wrapText="1"/>
    </xf>
    <xf numFmtId="0" fontId="83" fillId="0" borderId="1" xfId="1267" applyFont="1" applyBorder="1" applyAlignment="1">
      <alignment horizontal="center" vertical="center" wrapText="1"/>
    </xf>
    <xf numFmtId="165" fontId="86" fillId="0" borderId="33" xfId="0" applyFont="1" applyFill="1" applyBorder="1" applyAlignment="1">
      <alignment horizontal="center" vertical="center" wrapText="1"/>
    </xf>
    <xf numFmtId="165" fontId="86" fillId="0" borderId="34" xfId="0" applyFont="1" applyFill="1" applyBorder="1" applyAlignment="1">
      <alignment horizontal="center" vertical="center" wrapText="1"/>
    </xf>
    <xf numFmtId="165" fontId="90" fillId="0" borderId="1" xfId="0" applyFont="1" applyFill="1" applyBorder="1" applyAlignment="1">
      <alignment horizontal="center" vertical="center" wrapText="1"/>
    </xf>
    <xf numFmtId="0" fontId="0" fillId="0" borderId="0" xfId="0" applyNumberFormat="1" applyFont="1" applyFill="1" applyBorder="1" applyAlignment="1">
      <alignment horizontal="center" vertical="center"/>
    </xf>
    <xf numFmtId="165" fontId="129" fillId="0" borderId="0" xfId="0" applyNumberFormat="1" applyFont="1" applyFill="1" applyAlignment="1">
      <alignment horizontal="center" vertical="center"/>
    </xf>
    <xf numFmtId="165" fontId="141" fillId="0" borderId="0" xfId="0" applyNumberFormat="1" applyFont="1" applyFill="1" applyAlignment="1">
      <alignment horizontal="center" vertical="center"/>
    </xf>
    <xf numFmtId="168" fontId="0" fillId="0" borderId="0" xfId="0" applyNumberFormat="1" applyFont="1" applyFill="1" applyAlignment="1">
      <alignment horizontal="right" vertical="center"/>
    </xf>
    <xf numFmtId="165" fontId="0" fillId="0" borderId="0" xfId="0" applyFont="1" applyFill="1" applyAlignment="1">
      <alignment horizontal="center" vertical="center"/>
    </xf>
    <xf numFmtId="165" fontId="126" fillId="0" borderId="0" xfId="0" applyFont="1" applyFill="1" applyAlignment="1">
      <alignment horizontal="center" vertical="center" wrapText="1"/>
    </xf>
    <xf numFmtId="165" fontId="101" fillId="0" borderId="0" xfId="0" applyNumberFormat="1" applyFont="1" applyFill="1" applyAlignment="1">
      <alignment horizontal="center" vertical="center"/>
    </xf>
    <xf numFmtId="165" fontId="126" fillId="0" borderId="0" xfId="0" applyFont="1" applyFill="1" applyAlignment="1">
      <alignment horizontal="right" vertical="center"/>
    </xf>
    <xf numFmtId="0" fontId="102" fillId="0" borderId="0" xfId="0" applyNumberFormat="1" applyFont="1" applyFill="1" applyAlignment="1">
      <alignment horizontal="center" vertical="center" wrapText="1"/>
    </xf>
    <xf numFmtId="165" fontId="0" fillId="0" borderId="0" xfId="0" quotePrefix="1" applyNumberFormat="1" applyFont="1" applyFill="1" applyAlignment="1" applyProtection="1">
      <alignment horizontal="center" vertical="center"/>
    </xf>
    <xf numFmtId="165" fontId="0" fillId="0" borderId="0" xfId="0" applyNumberFormat="1" applyFont="1" applyFill="1" applyAlignment="1" applyProtection="1">
      <alignment horizontal="center" vertical="center"/>
    </xf>
    <xf numFmtId="165" fontId="0" fillId="0" borderId="0" xfId="0" applyNumberFormat="1" applyFont="1" applyFill="1" applyAlignment="1" applyProtection="1">
      <alignment horizontal="center" vertical="center" wrapText="1"/>
    </xf>
    <xf numFmtId="165" fontId="126" fillId="0" borderId="0" xfId="0" applyFont="1" applyFill="1" applyAlignment="1">
      <alignment horizontal="center" vertical="center"/>
    </xf>
    <xf numFmtId="165" fontId="126" fillId="0" borderId="0" xfId="0" applyFont="1" applyFill="1" applyAlignment="1">
      <alignment vertical="center" wrapText="1"/>
    </xf>
    <xf numFmtId="165" fontId="0" fillId="0" borderId="0" xfId="0" applyFont="1" applyFill="1" applyAlignment="1">
      <alignment vertical="center"/>
    </xf>
    <xf numFmtId="165" fontId="126" fillId="0" borderId="0" xfId="0" applyNumberFormat="1" applyFont="1" applyFill="1" applyAlignment="1" applyProtection="1">
      <alignment horizontal="left" vertical="center"/>
    </xf>
    <xf numFmtId="165" fontId="0" fillId="0" borderId="0" xfId="0" applyNumberFormat="1" applyFont="1" applyFill="1" applyAlignment="1" applyProtection="1">
      <alignment horizontal="left" vertical="center" wrapText="1"/>
    </xf>
    <xf numFmtId="165" fontId="126" fillId="0" borderId="0" xfId="0" applyNumberFormat="1" applyFont="1" applyFill="1" applyAlignment="1" applyProtection="1">
      <alignment vertical="center"/>
    </xf>
    <xf numFmtId="165" fontId="90" fillId="0" borderId="31" xfId="0" applyFont="1" applyFill="1" applyBorder="1" applyAlignment="1">
      <alignment horizontal="center" vertical="center" wrapText="1"/>
    </xf>
    <xf numFmtId="165" fontId="90" fillId="0" borderId="29" xfId="0" applyFont="1" applyFill="1" applyBorder="1" applyAlignment="1">
      <alignment horizontal="center" vertical="center" wrapText="1"/>
    </xf>
    <xf numFmtId="165" fontId="86" fillId="0" borderId="5" xfId="0" applyFont="1" applyFill="1" applyBorder="1" applyAlignment="1">
      <alignment horizontal="center" vertical="center" wrapText="1"/>
    </xf>
    <xf numFmtId="2" fontId="61" fillId="2" borderId="1" xfId="0" applyNumberFormat="1" applyFont="1" applyFill="1" applyBorder="1" applyAlignment="1">
      <alignment horizontal="center" vertical="center" wrapText="1"/>
    </xf>
    <xf numFmtId="165" fontId="61" fillId="2" borderId="1" xfId="0" applyFont="1" applyFill="1" applyBorder="1" applyAlignment="1">
      <alignment horizontal="right" vertical="center" wrapText="1"/>
    </xf>
    <xf numFmtId="165" fontId="67" fillId="2" borderId="0" xfId="0" applyFont="1" applyFill="1" applyBorder="1" applyAlignment="1">
      <alignment horizontal="center" vertical="center"/>
    </xf>
    <xf numFmtId="165" fontId="67" fillId="2" borderId="0" xfId="1" applyNumberFormat="1" applyFont="1" applyFill="1" applyBorder="1" applyAlignment="1">
      <alignment horizontal="center" vertical="center"/>
    </xf>
    <xf numFmtId="0" fontId="67" fillId="2" borderId="0" xfId="1" applyNumberFormat="1" applyFont="1" applyFill="1" applyBorder="1" applyAlignment="1">
      <alignment horizontal="center" vertical="center" wrapText="1"/>
    </xf>
    <xf numFmtId="166" fontId="63" fillId="2" borderId="1" xfId="1" applyNumberFormat="1" applyFont="1" applyFill="1" applyBorder="1" applyAlignment="1">
      <alignment horizontal="center" vertical="center"/>
    </xf>
    <xf numFmtId="2" fontId="61" fillId="2" borderId="2" xfId="2" applyNumberFormat="1" applyFont="1" applyFill="1" applyBorder="1" applyAlignment="1">
      <alignment horizontal="left" vertical="center" wrapText="1"/>
    </xf>
    <xf numFmtId="2" fontId="61" fillId="2" borderId="4" xfId="2" applyNumberFormat="1" applyFont="1" applyFill="1" applyBorder="1" applyAlignment="1">
      <alignment horizontal="left" vertical="center" wrapText="1"/>
    </xf>
    <xf numFmtId="2" fontId="61" fillId="2" borderId="3" xfId="2" applyNumberFormat="1" applyFont="1" applyFill="1" applyBorder="1" applyAlignment="1">
      <alignment horizontal="left" vertical="center" wrapText="1"/>
    </xf>
    <xf numFmtId="165" fontId="61" fillId="2" borderId="2" xfId="0" applyFont="1" applyFill="1" applyBorder="1" applyAlignment="1">
      <alignment horizontal="left" vertical="center" wrapText="1"/>
    </xf>
    <xf numFmtId="165" fontId="61" fillId="2" borderId="4" xfId="0" applyFont="1" applyFill="1" applyBorder="1" applyAlignment="1">
      <alignment horizontal="left" vertical="center" wrapText="1"/>
    </xf>
    <xf numFmtId="165" fontId="61" fillId="2" borderId="3" xfId="0" applyFont="1" applyFill="1" applyBorder="1" applyAlignment="1">
      <alignment horizontal="left" vertical="center" wrapText="1"/>
    </xf>
    <xf numFmtId="165" fontId="61" fillId="2" borderId="2" xfId="0" applyFont="1" applyFill="1" applyBorder="1" applyAlignment="1">
      <alignment vertical="center" wrapText="1"/>
    </xf>
    <xf numFmtId="165" fontId="61" fillId="2" borderId="4" xfId="0" applyFont="1" applyFill="1" applyBorder="1" applyAlignment="1">
      <alignment vertical="center" wrapText="1"/>
    </xf>
    <xf numFmtId="165" fontId="61" fillId="2" borderId="3" xfId="0" applyFont="1" applyFill="1" applyBorder="1" applyAlignment="1">
      <alignment vertical="center" wrapText="1"/>
    </xf>
    <xf numFmtId="166" fontId="63" fillId="0" borderId="1" xfId="11" applyNumberFormat="1" applyFont="1" applyFill="1" applyBorder="1" applyAlignment="1">
      <alignment horizontal="center" vertical="center"/>
    </xf>
    <xf numFmtId="165" fontId="67" fillId="0" borderId="0" xfId="0" applyFont="1" applyFill="1" applyBorder="1" applyAlignment="1">
      <alignment horizontal="center" vertical="center"/>
    </xf>
    <xf numFmtId="165" fontId="67" fillId="0" borderId="0" xfId="11" applyNumberFormat="1" applyFont="1" applyFill="1" applyBorder="1" applyAlignment="1">
      <alignment horizontal="center" vertical="center"/>
    </xf>
    <xf numFmtId="0" fontId="67" fillId="0" borderId="0" xfId="11" applyNumberFormat="1" applyFont="1" applyFill="1" applyBorder="1" applyAlignment="1">
      <alignment horizontal="center" vertical="center" wrapText="1"/>
    </xf>
    <xf numFmtId="2" fontId="61" fillId="0" borderId="2" xfId="2" applyNumberFormat="1" applyFont="1" applyFill="1" applyBorder="1" applyAlignment="1">
      <alignment horizontal="left" vertical="center" wrapText="1"/>
    </xf>
    <xf numFmtId="2" fontId="61" fillId="0" borderId="4" xfId="2" applyNumberFormat="1" applyFont="1" applyFill="1" applyBorder="1" applyAlignment="1">
      <alignment horizontal="left" vertical="center" wrapText="1"/>
    </xf>
    <xf numFmtId="2" fontId="61" fillId="0" borderId="3" xfId="2" applyNumberFormat="1" applyFont="1" applyFill="1" applyBorder="1" applyAlignment="1">
      <alignment horizontal="left" vertical="center" wrapText="1"/>
    </xf>
    <xf numFmtId="2" fontId="61" fillId="0" borderId="1" xfId="2" applyNumberFormat="1" applyFont="1" applyFill="1" applyBorder="1" applyAlignment="1">
      <alignment horizontal="left" vertical="center" wrapText="1"/>
    </xf>
    <xf numFmtId="0" fontId="61" fillId="0" borderId="2" xfId="3" applyNumberFormat="1" applyFont="1" applyBorder="1" applyAlignment="1">
      <alignment horizontal="left" vertical="center" wrapText="1"/>
    </xf>
    <xf numFmtId="0" fontId="61" fillId="0" borderId="4" xfId="3" applyNumberFormat="1" applyFont="1" applyBorder="1" applyAlignment="1">
      <alignment horizontal="left" vertical="center" wrapText="1"/>
    </xf>
    <xf numFmtId="0" fontId="61" fillId="0" borderId="3" xfId="3" applyNumberFormat="1" applyFont="1" applyBorder="1" applyAlignment="1">
      <alignment horizontal="left" vertical="center" wrapText="1"/>
    </xf>
    <xf numFmtId="0" fontId="67" fillId="0" borderId="0" xfId="3" applyNumberFormat="1" applyFont="1" applyBorder="1" applyAlignment="1">
      <alignment horizontal="center" vertical="center" wrapText="1"/>
    </xf>
    <xf numFmtId="0" fontId="19" fillId="0" borderId="0" xfId="3" applyNumberFormat="1" applyFont="1" applyBorder="1" applyAlignment="1">
      <alignment horizontal="center" vertical="center" wrapText="1"/>
    </xf>
    <xf numFmtId="0" fontId="63" fillId="0" borderId="1" xfId="3" applyNumberFormat="1" applyFont="1" applyBorder="1" applyAlignment="1">
      <alignment horizontal="center" vertical="center"/>
    </xf>
    <xf numFmtId="2" fontId="13" fillId="0" borderId="1"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wrapText="1"/>
    </xf>
    <xf numFmtId="0" fontId="14" fillId="0" borderId="0" xfId="0" applyNumberFormat="1" applyFont="1" applyFill="1" applyBorder="1" applyAlignment="1">
      <alignment horizontal="center" vertical="center" wrapText="1"/>
    </xf>
    <xf numFmtId="0" fontId="14" fillId="0" borderId="0"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wrapText="1"/>
    </xf>
    <xf numFmtId="0" fontId="14" fillId="0" borderId="1" xfId="0" applyNumberFormat="1" applyFont="1" applyFill="1" applyBorder="1" applyAlignment="1">
      <alignment horizontal="center" vertical="center"/>
    </xf>
    <xf numFmtId="1" fontId="14" fillId="0" borderId="1" xfId="0" applyNumberFormat="1" applyFont="1" applyFill="1" applyBorder="1" applyAlignment="1">
      <alignment horizontal="center" vertical="center"/>
    </xf>
    <xf numFmtId="165" fontId="67" fillId="0" borderId="0" xfId="12" applyNumberFormat="1" applyFont="1" applyFill="1" applyBorder="1" applyAlignment="1">
      <alignment horizontal="center" vertical="center"/>
    </xf>
    <xf numFmtId="166" fontId="63" fillId="2" borderId="1" xfId="12" applyNumberFormat="1" applyFont="1" applyFill="1" applyBorder="1" applyAlignment="1">
      <alignment horizontal="center" vertical="center"/>
    </xf>
    <xf numFmtId="165" fontId="61" fillId="2" borderId="1" xfId="12" applyNumberFormat="1" applyFont="1" applyFill="1" applyBorder="1" applyAlignment="1">
      <alignment horizontal="left" vertical="center" wrapText="1"/>
    </xf>
    <xf numFmtId="0" fontId="67" fillId="2" borderId="0" xfId="7" applyFont="1" applyFill="1" applyBorder="1" applyAlignment="1">
      <alignment horizontal="center" vertical="center" wrapText="1"/>
    </xf>
    <xf numFmtId="166" fontId="26" fillId="0" borderId="1" xfId="0" applyNumberFormat="1" applyFont="1" applyFill="1" applyBorder="1" applyAlignment="1">
      <alignment horizontal="center" vertical="center"/>
    </xf>
    <xf numFmtId="165" fontId="21" fillId="0" borderId="0" xfId="0" applyFont="1" applyFill="1" applyAlignment="1">
      <alignment horizontal="center" vertical="center"/>
    </xf>
    <xf numFmtId="165" fontId="25" fillId="0" borderId="0" xfId="0" applyFont="1" applyFill="1" applyAlignment="1">
      <alignment horizontal="center" vertical="center" wrapText="1"/>
    </xf>
    <xf numFmtId="169" fontId="26" fillId="0" borderId="1" xfId="0" applyNumberFormat="1" applyFont="1" applyFill="1" applyBorder="1" applyAlignment="1">
      <alignment horizontal="center" vertical="center" wrapText="1"/>
    </xf>
    <xf numFmtId="166" fontId="26" fillId="0" borderId="1" xfId="0" applyNumberFormat="1" applyFont="1" applyFill="1" applyBorder="1" applyAlignment="1">
      <alignment horizontal="center" vertical="center" wrapText="1"/>
    </xf>
    <xf numFmtId="165" fontId="52" fillId="0" borderId="0" xfId="0" applyFont="1" applyFill="1" applyBorder="1" applyAlignment="1">
      <alignment horizontal="left" vertical="center"/>
    </xf>
    <xf numFmtId="0" fontId="49" fillId="0" borderId="0" xfId="0" applyNumberFormat="1" applyFont="1" applyFill="1" applyBorder="1" applyAlignment="1">
      <alignment horizontal="center" vertical="center" wrapText="1"/>
    </xf>
    <xf numFmtId="0" fontId="51" fillId="0" borderId="0" xfId="0" applyNumberFormat="1" applyFont="1" applyFill="1" applyBorder="1" applyAlignment="1">
      <alignment horizontal="center" vertical="center" wrapText="1"/>
    </xf>
    <xf numFmtId="0" fontId="52" fillId="0" borderId="1" xfId="0" applyNumberFormat="1" applyFont="1" applyFill="1" applyBorder="1" applyAlignment="1">
      <alignment horizontal="center" vertical="center" wrapText="1"/>
    </xf>
    <xf numFmtId="165" fontId="50" fillId="0" borderId="2" xfId="0" applyFont="1" applyFill="1" applyBorder="1" applyAlignment="1">
      <alignment horizontal="center" vertical="center"/>
    </xf>
    <xf numFmtId="165" fontId="50" fillId="0" borderId="3" xfId="0" applyFont="1" applyFill="1" applyBorder="1" applyAlignment="1">
      <alignment horizontal="center" vertical="center"/>
    </xf>
    <xf numFmtId="2" fontId="50" fillId="0" borderId="1" xfId="0" applyNumberFormat="1" applyFont="1" applyFill="1" applyBorder="1" applyAlignment="1">
      <alignment horizontal="right" vertical="center"/>
    </xf>
    <xf numFmtId="2" fontId="50" fillId="0" borderId="2" xfId="0" applyNumberFormat="1" applyFont="1" applyFill="1" applyBorder="1" applyAlignment="1">
      <alignment horizontal="center" vertical="center"/>
    </xf>
    <xf numFmtId="2" fontId="50" fillId="0" borderId="3" xfId="0" applyNumberFormat="1" applyFont="1" applyFill="1" applyBorder="1" applyAlignment="1">
      <alignment horizontal="center" vertical="center"/>
    </xf>
    <xf numFmtId="165" fontId="50" fillId="3" borderId="1" xfId="0" applyFont="1" applyFill="1" applyBorder="1" applyAlignment="1">
      <alignment horizontal="center" vertical="center"/>
    </xf>
    <xf numFmtId="165" fontId="50" fillId="0" borderId="1" xfId="0" applyFont="1" applyFill="1" applyBorder="1" applyAlignment="1">
      <alignment horizontal="center" vertical="center"/>
    </xf>
    <xf numFmtId="165" fontId="66" fillId="0" borderId="0" xfId="0" applyFont="1" applyBorder="1" applyAlignment="1">
      <alignment horizontal="center" vertical="center" wrapText="1"/>
    </xf>
    <xf numFmtId="165" fontId="67" fillId="0" borderId="0" xfId="0" applyFont="1" applyBorder="1" applyAlignment="1">
      <alignment horizontal="center" vertical="center" wrapText="1"/>
    </xf>
    <xf numFmtId="166" fontId="61" fillId="0" borderId="1" xfId="0" applyNumberFormat="1" applyFont="1" applyBorder="1" applyAlignment="1">
      <alignment horizontal="center" vertical="center" wrapText="1"/>
    </xf>
    <xf numFmtId="166" fontId="63" fillId="0" borderId="1" xfId="0" applyNumberFormat="1" applyFont="1" applyBorder="1" applyAlignment="1">
      <alignment horizontal="center" vertical="center" wrapText="1"/>
    </xf>
    <xf numFmtId="165" fontId="63" fillId="0" borderId="1" xfId="0" applyFont="1" applyBorder="1" applyAlignment="1">
      <alignment horizontal="center" vertical="center" wrapText="1"/>
    </xf>
    <xf numFmtId="2" fontId="61" fillId="0" borderId="1" xfId="1255" applyNumberFormat="1" applyFont="1" applyFill="1" applyBorder="1" applyAlignment="1">
      <alignment horizontal="left" vertical="center" wrapText="1"/>
    </xf>
    <xf numFmtId="165" fontId="61" fillId="0" borderId="2" xfId="0" applyFont="1" applyBorder="1" applyAlignment="1">
      <alignment horizontal="left" vertical="center" wrapText="1"/>
    </xf>
    <xf numFmtId="165" fontId="61" fillId="0" borderId="4" xfId="0" applyFont="1" applyBorder="1" applyAlignment="1">
      <alignment horizontal="left" vertical="center" wrapText="1"/>
    </xf>
    <xf numFmtId="165" fontId="61" fillId="0" borderId="3" xfId="0" applyFont="1" applyBorder="1" applyAlignment="1">
      <alignment horizontal="left" vertical="center" wrapText="1"/>
    </xf>
    <xf numFmtId="2" fontId="61" fillId="0" borderId="2" xfId="1255" applyNumberFormat="1" applyFont="1" applyFill="1" applyBorder="1" applyAlignment="1">
      <alignment horizontal="left" vertical="center" wrapText="1"/>
    </xf>
    <xf numFmtId="2" fontId="61" fillId="0" borderId="4" xfId="1255" applyNumberFormat="1" applyFont="1" applyFill="1" applyBorder="1" applyAlignment="1">
      <alignment horizontal="left" vertical="center" wrapText="1"/>
    </xf>
    <xf numFmtId="2" fontId="61" fillId="0" borderId="3" xfId="1255" applyNumberFormat="1" applyFont="1" applyFill="1" applyBorder="1" applyAlignment="1">
      <alignment horizontal="left" vertical="center" wrapText="1"/>
    </xf>
    <xf numFmtId="165" fontId="61" fillId="0" borderId="2" xfId="0" applyFont="1" applyFill="1" applyBorder="1" applyAlignment="1">
      <alignment horizontal="left" vertical="center" wrapText="1"/>
    </xf>
    <xf numFmtId="165" fontId="61" fillId="0" borderId="4" xfId="0" applyFont="1" applyFill="1" applyBorder="1" applyAlignment="1">
      <alignment horizontal="left" vertical="center" wrapText="1"/>
    </xf>
    <xf numFmtId="165" fontId="61" fillId="0" borderId="3" xfId="0" applyFont="1" applyFill="1" applyBorder="1" applyAlignment="1">
      <alignment horizontal="left" vertical="center" wrapText="1"/>
    </xf>
    <xf numFmtId="165" fontId="61" fillId="3" borderId="2" xfId="0" applyFont="1" applyFill="1" applyBorder="1" applyAlignment="1">
      <alignment horizontal="left" vertical="center" wrapText="1"/>
    </xf>
    <xf numFmtId="165" fontId="61" fillId="3" borderId="4" xfId="0" applyFont="1" applyFill="1" applyBorder="1" applyAlignment="1">
      <alignment horizontal="left" vertical="center" wrapText="1"/>
    </xf>
    <xf numFmtId="165" fontId="61" fillId="3" borderId="3" xfId="0" applyFont="1" applyFill="1" applyBorder="1" applyAlignment="1">
      <alignment horizontal="left" vertical="center" wrapText="1"/>
    </xf>
    <xf numFmtId="165" fontId="61" fillId="0" borderId="2" xfId="1257" applyFont="1" applyFill="1" applyBorder="1" applyAlignment="1">
      <alignment horizontal="left" vertical="center" wrapText="1"/>
    </xf>
    <xf numFmtId="165" fontId="61" fillId="0" borderId="4" xfId="1257" applyFont="1" applyFill="1" applyBorder="1" applyAlignment="1">
      <alignment horizontal="left" vertical="center" wrapText="1"/>
    </xf>
    <xf numFmtId="165" fontId="61" fillId="0" borderId="3" xfId="1257" applyFont="1" applyFill="1" applyBorder="1" applyAlignment="1">
      <alignment horizontal="left" vertical="center" wrapText="1"/>
    </xf>
    <xf numFmtId="0" fontId="3" fillId="0" borderId="2" xfId="1256" applyFont="1" applyBorder="1" applyAlignment="1">
      <alignment horizontal="left" vertical="center" wrapText="1"/>
    </xf>
    <xf numFmtId="0" fontId="3" fillId="0" borderId="4" xfId="1256" applyFont="1" applyBorder="1" applyAlignment="1">
      <alignment horizontal="left" vertical="center" wrapText="1"/>
    </xf>
    <xf numFmtId="0" fontId="3" fillId="0" borderId="3" xfId="1256" applyFont="1" applyBorder="1" applyAlignment="1">
      <alignment horizontal="left" vertical="center" wrapText="1"/>
    </xf>
    <xf numFmtId="0" fontId="3" fillId="0" borderId="2" xfId="1256" applyFont="1" applyFill="1" applyBorder="1" applyAlignment="1">
      <alignment horizontal="left" vertical="center" wrapText="1"/>
    </xf>
    <xf numFmtId="0" fontId="3" fillId="0" borderId="4" xfId="1256" applyFont="1" applyFill="1" applyBorder="1" applyAlignment="1">
      <alignment horizontal="left" vertical="center" wrapText="1"/>
    </xf>
    <xf numFmtId="0" fontId="3" fillId="0" borderId="3" xfId="1256" applyFont="1" applyFill="1" applyBorder="1" applyAlignment="1">
      <alignment horizontal="left" vertical="center" wrapText="1"/>
    </xf>
    <xf numFmtId="0" fontId="3" fillId="0" borderId="1" xfId="1256" applyFont="1" applyBorder="1" applyAlignment="1">
      <alignment horizontal="center" vertical="center"/>
    </xf>
    <xf numFmtId="2" fontId="3" fillId="0" borderId="2" xfId="1256" applyNumberFormat="1" applyFont="1" applyBorder="1" applyAlignment="1">
      <alignment horizontal="right" vertical="center"/>
    </xf>
    <xf numFmtId="2" fontId="3" fillId="0" borderId="3" xfId="1256" applyNumberFormat="1" applyFont="1" applyBorder="1" applyAlignment="1">
      <alignment horizontal="right" vertical="center"/>
    </xf>
    <xf numFmtId="165" fontId="61" fillId="0" borderId="2" xfId="1256" applyNumberFormat="1" applyFont="1" applyFill="1" applyBorder="1" applyAlignment="1">
      <alignment horizontal="left" vertical="center" wrapText="1"/>
    </xf>
    <xf numFmtId="165" fontId="61" fillId="0" borderId="4" xfId="1256" applyNumberFormat="1" applyFont="1" applyFill="1" applyBorder="1" applyAlignment="1">
      <alignment horizontal="left" vertical="center" wrapText="1"/>
    </xf>
    <xf numFmtId="165" fontId="61" fillId="0" borderId="3" xfId="1256" applyNumberFormat="1" applyFont="1" applyFill="1" applyBorder="1" applyAlignment="1">
      <alignment horizontal="left" vertical="center" wrapText="1"/>
    </xf>
    <xf numFmtId="0" fontId="18" fillId="0" borderId="0" xfId="1256" applyFont="1" applyAlignment="1">
      <alignment horizontal="center" vertical="center"/>
    </xf>
    <xf numFmtId="0" fontId="18" fillId="0" borderId="0" xfId="1256" applyFont="1" applyAlignment="1">
      <alignment horizontal="left" vertical="center"/>
    </xf>
    <xf numFmtId="0" fontId="58" fillId="0" borderId="1" xfId="1256" applyFont="1" applyBorder="1" applyAlignment="1">
      <alignment horizontal="center" vertical="center" wrapText="1" shrinkToFit="1"/>
    </xf>
    <xf numFmtId="0" fontId="58" fillId="0" borderId="1" xfId="1256" applyFont="1" applyBorder="1" applyAlignment="1">
      <alignment horizontal="center" vertical="center"/>
    </xf>
    <xf numFmtId="0" fontId="58" fillId="0" borderId="1" xfId="1256" applyFont="1" applyBorder="1" applyAlignment="1">
      <alignment horizontal="right" vertical="center"/>
    </xf>
    <xf numFmtId="0" fontId="58" fillId="0" borderId="1" xfId="1256" applyFont="1" applyBorder="1" applyAlignment="1">
      <alignment horizontal="right" vertical="center" wrapText="1"/>
    </xf>
    <xf numFmtId="0" fontId="58" fillId="0" borderId="1" xfId="1256" applyFont="1" applyBorder="1" applyAlignment="1">
      <alignment horizontal="left" vertical="center"/>
    </xf>
    <xf numFmtId="0" fontId="18" fillId="0" borderId="0" xfId="1256" applyNumberFormat="1" applyFont="1" applyBorder="1" applyAlignment="1">
      <alignment horizontal="center" vertical="center" wrapText="1"/>
    </xf>
    <xf numFmtId="1" fontId="58" fillId="0" borderId="2" xfId="0" applyNumberFormat="1" applyFont="1" applyFill="1" applyBorder="1" applyAlignment="1">
      <alignment horizontal="center" vertical="center"/>
    </xf>
    <xf numFmtId="1" fontId="58" fillId="0" borderId="4" xfId="0" applyNumberFormat="1" applyFont="1" applyFill="1" applyBorder="1" applyAlignment="1">
      <alignment horizontal="center" vertical="center"/>
    </xf>
    <xf numFmtId="1" fontId="58" fillId="0" borderId="3" xfId="0" applyNumberFormat="1" applyFont="1" applyFill="1" applyBorder="1" applyAlignment="1">
      <alignment horizontal="center" vertical="center"/>
    </xf>
    <xf numFmtId="2" fontId="61" fillId="0" borderId="2" xfId="20" applyNumberFormat="1" applyFont="1" applyFill="1" applyBorder="1" applyAlignment="1">
      <alignment horizontal="left" vertical="center" wrapText="1"/>
    </xf>
    <xf numFmtId="2" fontId="61" fillId="0" borderId="4" xfId="20" applyNumberFormat="1" applyFont="1" applyFill="1" applyBorder="1" applyAlignment="1">
      <alignment horizontal="left" vertical="center" wrapText="1"/>
    </xf>
    <xf numFmtId="165" fontId="58" fillId="0" borderId="0" xfId="0" applyFont="1" applyFill="1" applyAlignment="1">
      <alignment horizontal="center" vertical="center" wrapText="1"/>
    </xf>
    <xf numFmtId="165" fontId="18" fillId="0" borderId="0" xfId="0" applyFont="1" applyFill="1" applyAlignment="1">
      <alignment horizontal="center" vertical="center"/>
    </xf>
    <xf numFmtId="1" fontId="18" fillId="0" borderId="0" xfId="0" applyNumberFormat="1" applyFont="1" applyFill="1" applyAlignment="1">
      <alignment horizontal="left" vertical="center"/>
    </xf>
    <xf numFmtId="165" fontId="18" fillId="0" borderId="23" xfId="0" applyFont="1" applyFill="1" applyBorder="1" applyAlignment="1">
      <alignment horizontal="center" vertical="center" wrapText="1"/>
    </xf>
    <xf numFmtId="1" fontId="58" fillId="0" borderId="7" xfId="0" applyNumberFormat="1" applyFont="1" applyFill="1" applyBorder="1" applyAlignment="1">
      <alignment horizontal="center" vertical="center" wrapText="1"/>
    </xf>
    <xf numFmtId="1" fontId="58" fillId="0" borderId="10" xfId="0" applyNumberFormat="1" applyFont="1" applyFill="1" applyBorder="1" applyAlignment="1">
      <alignment horizontal="center" vertical="center" wrapText="1"/>
    </xf>
    <xf numFmtId="165" fontId="58" fillId="0" borderId="7" xfId="0" applyFont="1" applyFill="1" applyBorder="1" applyAlignment="1">
      <alignment horizontal="center" vertical="center"/>
    </xf>
    <xf numFmtId="165" fontId="58" fillId="0" borderId="10" xfId="0" applyFont="1" applyFill="1" applyBorder="1" applyAlignment="1">
      <alignment horizontal="center" vertical="center"/>
    </xf>
    <xf numFmtId="166" fontId="58" fillId="0" borderId="8" xfId="0" applyNumberFormat="1" applyFont="1" applyFill="1" applyBorder="1" applyAlignment="1">
      <alignment horizontal="center" vertical="center" wrapText="1"/>
    </xf>
    <xf numFmtId="166" fontId="58" fillId="0" borderId="24" xfId="0" applyNumberFormat="1" applyFont="1" applyFill="1" applyBorder="1" applyAlignment="1">
      <alignment horizontal="center" vertical="center" wrapText="1"/>
    </xf>
    <xf numFmtId="166" fontId="58" fillId="0" borderId="9" xfId="0" applyNumberFormat="1" applyFont="1" applyFill="1" applyBorder="1" applyAlignment="1">
      <alignment horizontal="center" vertical="center" wrapText="1"/>
    </xf>
    <xf numFmtId="166" fontId="58" fillId="0" borderId="11" xfId="0" applyNumberFormat="1" applyFont="1" applyFill="1" applyBorder="1" applyAlignment="1">
      <alignment horizontal="center" vertical="center" wrapText="1"/>
    </xf>
    <xf numFmtId="166" fontId="58" fillId="0" borderId="23" xfId="0" applyNumberFormat="1" applyFont="1" applyFill="1" applyBorder="1" applyAlignment="1">
      <alignment horizontal="center" vertical="center" wrapText="1"/>
    </xf>
    <xf numFmtId="166" fontId="58" fillId="0" borderId="12" xfId="0" applyNumberFormat="1" applyFont="1" applyFill="1" applyBorder="1" applyAlignment="1">
      <alignment horizontal="center" vertical="center" wrapText="1"/>
    </xf>
    <xf numFmtId="165" fontId="58" fillId="0" borderId="7" xfId="0" applyFont="1" applyFill="1" applyBorder="1" applyAlignment="1">
      <alignment horizontal="center" vertical="center" wrapText="1"/>
    </xf>
    <xf numFmtId="165" fontId="58" fillId="0" borderId="10" xfId="0" applyFont="1" applyFill="1" applyBorder="1" applyAlignment="1">
      <alignment horizontal="center" vertical="center" wrapText="1"/>
    </xf>
    <xf numFmtId="165" fontId="58" fillId="0" borderId="8" xfId="0" applyFont="1" applyFill="1" applyBorder="1" applyAlignment="1">
      <alignment horizontal="center" vertical="center" wrapText="1"/>
    </xf>
    <xf numFmtId="165" fontId="58" fillId="0" borderId="11" xfId="0" applyFont="1" applyFill="1" applyBorder="1" applyAlignment="1">
      <alignment horizontal="center" vertical="center" wrapText="1"/>
    </xf>
    <xf numFmtId="165" fontId="58" fillId="0" borderId="1" xfId="0" applyFont="1" applyFill="1" applyBorder="1" applyAlignment="1">
      <alignment horizontal="center" vertical="center"/>
    </xf>
    <xf numFmtId="165" fontId="63" fillId="0" borderId="0" xfId="0" applyFont="1" applyFill="1" applyBorder="1" applyAlignment="1">
      <alignment horizontal="left" vertical="center"/>
    </xf>
    <xf numFmtId="166" fontId="61" fillId="0" borderId="1" xfId="0" applyNumberFormat="1" applyFont="1" applyFill="1" applyBorder="1" applyAlignment="1">
      <alignment horizontal="center" vertical="center"/>
    </xf>
    <xf numFmtId="0" fontId="67" fillId="0" borderId="0" xfId="0" applyNumberFormat="1" applyFont="1" applyFill="1" applyBorder="1" applyAlignment="1">
      <alignment horizontal="center" vertical="center" wrapText="1"/>
    </xf>
    <xf numFmtId="0" fontId="66" fillId="0" borderId="0" xfId="0" applyNumberFormat="1" applyFont="1" applyFill="1" applyBorder="1" applyAlignment="1">
      <alignment horizontal="center" vertical="center" wrapText="1"/>
    </xf>
    <xf numFmtId="0" fontId="63" fillId="0" borderId="1" xfId="0" applyNumberFormat="1" applyFont="1" applyFill="1" applyBorder="1" applyAlignment="1">
      <alignment horizontal="center" vertical="center" wrapText="1"/>
    </xf>
    <xf numFmtId="0" fontId="63" fillId="0" borderId="1" xfId="0" applyNumberFormat="1" applyFont="1" applyFill="1" applyBorder="1" applyAlignment="1">
      <alignment horizontal="center" vertical="center"/>
    </xf>
    <xf numFmtId="1" fontId="63" fillId="0" borderId="1" xfId="0" applyNumberFormat="1" applyFont="1" applyFill="1" applyBorder="1" applyAlignment="1">
      <alignment horizontal="center" vertical="center"/>
    </xf>
    <xf numFmtId="2" fontId="61" fillId="0" borderId="2" xfId="1122" applyNumberFormat="1" applyFont="1" applyFill="1" applyBorder="1" applyAlignment="1">
      <alignment horizontal="left" vertical="center" wrapText="1"/>
    </xf>
    <xf numFmtId="2" fontId="61" fillId="0" borderId="4" xfId="1122" applyNumberFormat="1" applyFont="1" applyFill="1" applyBorder="1" applyAlignment="1">
      <alignment horizontal="left" vertical="center" wrapText="1"/>
    </xf>
    <xf numFmtId="2" fontId="61" fillId="0" borderId="3" xfId="1122" applyNumberFormat="1" applyFont="1" applyFill="1" applyBorder="1" applyAlignment="1">
      <alignment horizontal="left" vertical="center" wrapText="1"/>
    </xf>
    <xf numFmtId="0" fontId="2" fillId="0" borderId="2" xfId="0" applyNumberFormat="1" applyFont="1" applyFill="1" applyBorder="1" applyAlignment="1">
      <alignment horizontal="left" vertical="center" wrapText="1"/>
    </xf>
    <xf numFmtId="0" fontId="2" fillId="0" borderId="4" xfId="0" applyNumberFormat="1" applyFont="1" applyFill="1" applyBorder="1" applyAlignment="1">
      <alignment horizontal="left" vertical="center" wrapText="1"/>
    </xf>
    <xf numFmtId="0" fontId="2" fillId="0" borderId="3" xfId="0" applyNumberFormat="1" applyFont="1" applyFill="1" applyBorder="1" applyAlignment="1">
      <alignment horizontal="left" vertical="center" wrapText="1"/>
    </xf>
    <xf numFmtId="0" fontId="61" fillId="0" borderId="2" xfId="0" applyNumberFormat="1" applyFont="1" applyFill="1" applyBorder="1" applyAlignment="1">
      <alignment horizontal="left" vertical="center" wrapText="1"/>
    </xf>
    <xf numFmtId="0" fontId="61" fillId="0" borderId="4" xfId="0" applyNumberFormat="1" applyFont="1" applyFill="1" applyBorder="1" applyAlignment="1">
      <alignment horizontal="left" vertical="center" wrapText="1"/>
    </xf>
    <xf numFmtId="0" fontId="61" fillId="0" borderId="3" xfId="0" applyNumberFormat="1" applyFont="1" applyFill="1" applyBorder="1" applyAlignment="1">
      <alignment horizontal="left" vertical="center" wrapText="1"/>
    </xf>
    <xf numFmtId="167" fontId="61" fillId="0" borderId="2" xfId="2" applyNumberFormat="1" applyFont="1" applyFill="1" applyBorder="1" applyAlignment="1">
      <alignment horizontal="left" vertical="center" wrapText="1"/>
    </xf>
    <xf numFmtId="167" fontId="61" fillId="0" borderId="4" xfId="2" applyNumberFormat="1" applyFont="1" applyFill="1" applyBorder="1" applyAlignment="1">
      <alignment horizontal="left" vertical="center" wrapText="1"/>
    </xf>
    <xf numFmtId="167" fontId="61" fillId="0" borderId="3" xfId="2" applyNumberFormat="1" applyFont="1" applyFill="1" applyBorder="1" applyAlignment="1">
      <alignment horizontal="left" vertical="center" wrapText="1"/>
    </xf>
    <xf numFmtId="165" fontId="67" fillId="0" borderId="0" xfId="0" applyFont="1" applyBorder="1" applyAlignment="1">
      <alignment horizontal="center" vertical="center"/>
    </xf>
    <xf numFmtId="0" fontId="19" fillId="0" borderId="0" xfId="1259" applyFont="1" applyBorder="1" applyAlignment="1">
      <alignment horizontal="center" vertical="center" wrapText="1" shrinkToFit="1"/>
    </xf>
    <xf numFmtId="0" fontId="67" fillId="0" borderId="0" xfId="1259" applyFont="1" applyBorder="1" applyAlignment="1">
      <alignment horizontal="center" vertical="center"/>
    </xf>
    <xf numFmtId="0" fontId="63" fillId="0" borderId="0" xfId="1259" applyFont="1" applyBorder="1" applyAlignment="1">
      <alignment horizontal="center" vertical="center"/>
    </xf>
    <xf numFmtId="1" fontId="63" fillId="0" borderId="7" xfId="1264" applyNumberFormat="1" applyFont="1" applyFill="1" applyBorder="1" applyAlignment="1">
      <alignment horizontal="center" vertical="center" wrapText="1"/>
    </xf>
    <xf numFmtId="1" fontId="63" fillId="0" borderId="10" xfId="1264" applyNumberFormat="1" applyFont="1" applyFill="1" applyBorder="1" applyAlignment="1">
      <alignment horizontal="center" vertical="center" wrapText="1"/>
    </xf>
    <xf numFmtId="0" fontId="63" fillId="0" borderId="1" xfId="1264" applyNumberFormat="1" applyFont="1" applyFill="1" applyBorder="1" applyAlignment="1">
      <alignment horizontal="center" vertical="center" wrapText="1"/>
    </xf>
    <xf numFmtId="0" fontId="63" fillId="0" borderId="1" xfId="1264" applyNumberFormat="1" applyFont="1" applyFill="1" applyBorder="1" applyAlignment="1">
      <alignment horizontal="center" vertical="center"/>
    </xf>
    <xf numFmtId="0" fontId="66" fillId="0" borderId="0" xfId="1259" applyFont="1" applyBorder="1" applyAlignment="1">
      <alignment horizontal="center" vertical="center" wrapText="1"/>
    </xf>
    <xf numFmtId="0" fontId="61" fillId="0" borderId="2" xfId="1259" applyFont="1" applyBorder="1" applyAlignment="1">
      <alignment horizontal="left" vertical="center" wrapText="1"/>
    </xf>
    <xf numFmtId="0" fontId="61" fillId="0" borderId="4" xfId="1259" applyFont="1" applyBorder="1" applyAlignment="1">
      <alignment horizontal="left" vertical="center" wrapText="1"/>
    </xf>
    <xf numFmtId="0" fontId="61" fillId="0" borderId="3" xfId="1259" applyFont="1" applyBorder="1" applyAlignment="1">
      <alignment horizontal="left" vertical="center" wrapText="1"/>
    </xf>
    <xf numFmtId="0" fontId="61" fillId="0" borderId="2" xfId="1259" applyFont="1" applyFill="1" applyBorder="1" applyAlignment="1">
      <alignment horizontal="left" vertical="center" wrapText="1"/>
    </xf>
    <xf numFmtId="0" fontId="61" fillId="0" borderId="4" xfId="1259" applyFont="1" applyFill="1" applyBorder="1" applyAlignment="1">
      <alignment horizontal="left" vertical="center" wrapText="1"/>
    </xf>
    <xf numFmtId="0" fontId="61" fillId="0" borderId="3" xfId="1259" applyFont="1" applyFill="1" applyBorder="1" applyAlignment="1">
      <alignment horizontal="left" vertical="center" wrapText="1"/>
    </xf>
    <xf numFmtId="165" fontId="61" fillId="0" borderId="2" xfId="0" applyNumberFormat="1" applyFont="1" applyBorder="1" applyAlignment="1">
      <alignment horizontal="center" vertical="center" wrapText="1"/>
    </xf>
    <xf numFmtId="165" fontId="61" fillId="0" borderId="3" xfId="0" applyNumberFormat="1" applyFont="1" applyBorder="1" applyAlignment="1">
      <alignment horizontal="center" vertical="center" wrapText="1"/>
    </xf>
    <xf numFmtId="165" fontId="61" fillId="3" borderId="1" xfId="0" applyFont="1" applyFill="1" applyBorder="1" applyAlignment="1">
      <alignment horizontal="left" vertical="center" wrapText="1"/>
    </xf>
    <xf numFmtId="165" fontId="61" fillId="0" borderId="1" xfId="0" applyFont="1" applyBorder="1" applyAlignment="1">
      <alignment horizontal="left" vertical="center" wrapText="1"/>
    </xf>
    <xf numFmtId="1" fontId="58" fillId="0" borderId="1" xfId="0" applyNumberFormat="1" applyFont="1" applyFill="1" applyBorder="1" applyAlignment="1">
      <alignment horizontal="center" vertical="center" wrapText="1"/>
    </xf>
    <xf numFmtId="165" fontId="58" fillId="0" borderId="1" xfId="0" applyFont="1" applyFill="1" applyBorder="1" applyAlignment="1">
      <alignment horizontal="center" vertical="center" wrapText="1"/>
    </xf>
    <xf numFmtId="165" fontId="61" fillId="0" borderId="1" xfId="1260" applyNumberFormat="1" applyFont="1" applyFill="1" applyBorder="1" applyAlignment="1">
      <alignment horizontal="left" vertical="center"/>
    </xf>
    <xf numFmtId="166" fontId="59" fillId="0" borderId="8" xfId="0" applyNumberFormat="1" applyFont="1" applyFill="1" applyBorder="1" applyAlignment="1">
      <alignment horizontal="center" vertical="center" wrapText="1"/>
    </xf>
    <xf numFmtId="166" fontId="59" fillId="0" borderId="24" xfId="0" applyNumberFormat="1" applyFont="1" applyFill="1" applyBorder="1" applyAlignment="1">
      <alignment horizontal="center" vertical="center" wrapText="1"/>
    </xf>
    <xf numFmtId="166" fontId="59" fillId="0" borderId="9" xfId="0" applyNumberFormat="1" applyFont="1" applyFill="1" applyBorder="1" applyAlignment="1">
      <alignment horizontal="center" vertical="center" wrapText="1"/>
    </xf>
    <xf numFmtId="166" fontId="59" fillId="0" borderId="11" xfId="0" applyNumberFormat="1" applyFont="1" applyFill="1" applyBorder="1" applyAlignment="1">
      <alignment horizontal="center" vertical="center" wrapText="1"/>
    </xf>
    <xf numFmtId="166" fontId="59" fillId="0" borderId="23" xfId="0" applyNumberFormat="1" applyFont="1" applyFill="1" applyBorder="1" applyAlignment="1">
      <alignment horizontal="center" vertical="center" wrapText="1"/>
    </xf>
    <xf numFmtId="166" fontId="59" fillId="0" borderId="12" xfId="0" applyNumberFormat="1" applyFont="1" applyFill="1" applyBorder="1" applyAlignment="1">
      <alignment horizontal="center" vertical="center" wrapText="1"/>
    </xf>
    <xf numFmtId="165" fontId="59" fillId="0" borderId="7" xfId="0" applyFont="1" applyFill="1" applyBorder="1" applyAlignment="1">
      <alignment horizontal="center" vertical="center"/>
    </xf>
    <xf numFmtId="165" fontId="59" fillId="0" borderId="10" xfId="0" applyFont="1" applyFill="1" applyBorder="1" applyAlignment="1">
      <alignment horizontal="center" vertical="center"/>
    </xf>
    <xf numFmtId="165" fontId="59" fillId="0" borderId="7" xfId="0" applyFont="1" applyFill="1" applyBorder="1" applyAlignment="1">
      <alignment horizontal="center" vertical="center" wrapText="1"/>
    </xf>
    <xf numFmtId="165" fontId="59" fillId="0" borderId="10" xfId="0" applyFont="1" applyFill="1" applyBorder="1" applyAlignment="1">
      <alignment horizontal="center" vertical="center" wrapText="1"/>
    </xf>
    <xf numFmtId="165" fontId="61" fillId="0" borderId="1" xfId="1260" applyNumberFormat="1" applyFont="1" applyBorder="1" applyAlignment="1">
      <alignment horizontal="left" vertical="center" wrapText="1"/>
    </xf>
    <xf numFmtId="0" fontId="66" fillId="0" borderId="0" xfId="1260" applyNumberFormat="1" applyFont="1" applyFill="1" applyBorder="1" applyAlignment="1">
      <alignment horizontal="center" vertical="center" wrapText="1"/>
    </xf>
    <xf numFmtId="0" fontId="65" fillId="0" borderId="0" xfId="1260" applyNumberFormat="1" applyFont="1" applyFill="1" applyBorder="1" applyAlignment="1">
      <alignment horizontal="center" vertical="center" wrapText="1"/>
    </xf>
    <xf numFmtId="0" fontId="66" fillId="0" borderId="0" xfId="1260" applyNumberFormat="1" applyFont="1" applyFill="1" applyBorder="1" applyAlignment="1">
      <alignment horizontal="center" vertical="center"/>
    </xf>
    <xf numFmtId="0" fontId="65" fillId="0" borderId="0" xfId="1260" applyNumberFormat="1" applyFont="1" applyFill="1" applyBorder="1" applyAlignment="1">
      <alignment horizontal="center" vertical="center"/>
    </xf>
    <xf numFmtId="1" fontId="59" fillId="0" borderId="7" xfId="0" applyNumberFormat="1" applyFont="1" applyFill="1" applyBorder="1" applyAlignment="1">
      <alignment horizontal="center" vertical="center" wrapText="1"/>
    </xf>
    <xf numFmtId="1" fontId="59" fillId="0" borderId="10" xfId="0" applyNumberFormat="1" applyFont="1" applyFill="1" applyBorder="1" applyAlignment="1">
      <alignment horizontal="center" vertical="center" wrapText="1"/>
    </xf>
    <xf numFmtId="165" fontId="59" fillId="0" borderId="8" xfId="0" applyFont="1" applyFill="1" applyBorder="1" applyAlignment="1">
      <alignment horizontal="center" vertical="center" wrapText="1"/>
    </xf>
    <xf numFmtId="165" fontId="59" fillId="0" borderId="11" xfId="0" applyFont="1" applyFill="1" applyBorder="1" applyAlignment="1">
      <alignment horizontal="center" vertical="center" wrapText="1"/>
    </xf>
    <xf numFmtId="0" fontId="63" fillId="0" borderId="25" xfId="1260" applyNumberFormat="1" applyFont="1" applyFill="1" applyBorder="1" applyAlignment="1">
      <alignment horizontal="center" vertical="center"/>
    </xf>
    <xf numFmtId="165" fontId="61" fillId="0" borderId="1" xfId="1260" applyNumberFormat="1" applyFont="1" applyBorder="1" applyAlignment="1">
      <alignment horizontal="center" vertical="center" wrapText="1"/>
    </xf>
    <xf numFmtId="165" fontId="61" fillId="0" borderId="1" xfId="1260" applyNumberFormat="1" applyFont="1" applyFill="1" applyBorder="1" applyAlignment="1">
      <alignment horizontal="left" vertical="center" wrapText="1"/>
    </xf>
    <xf numFmtId="165" fontId="61" fillId="0" borderId="0" xfId="1260" applyNumberFormat="1" applyFont="1" applyBorder="1" applyAlignment="1">
      <alignment horizontal="left" vertical="center" wrapText="1"/>
    </xf>
    <xf numFmtId="0" fontId="63" fillId="0" borderId="0" xfId="1260" applyNumberFormat="1" applyFont="1" applyFill="1" applyBorder="1" applyAlignment="1">
      <alignment horizontal="center" vertical="center" wrapText="1"/>
    </xf>
    <xf numFmtId="0" fontId="63" fillId="0" borderId="0" xfId="1260" applyNumberFormat="1" applyFont="1" applyFill="1" applyBorder="1" applyAlignment="1">
      <alignment horizontal="center" vertical="center"/>
    </xf>
    <xf numFmtId="1" fontId="63" fillId="0" borderId="0" xfId="1260" applyNumberFormat="1" applyFont="1" applyFill="1" applyBorder="1" applyAlignment="1">
      <alignment horizontal="center" vertical="center"/>
    </xf>
    <xf numFmtId="165" fontId="61" fillId="0" borderId="0" xfId="1260" applyNumberFormat="1" applyFont="1" applyFill="1" applyBorder="1" applyAlignment="1">
      <alignment horizontal="center" vertical="center"/>
    </xf>
    <xf numFmtId="165" fontId="61" fillId="0" borderId="0" xfId="1260" applyNumberFormat="1" applyFont="1" applyBorder="1" applyAlignment="1">
      <alignment horizontal="center" vertical="center" wrapText="1"/>
    </xf>
    <xf numFmtId="165" fontId="61" fillId="0" borderId="0" xfId="1260" applyNumberFormat="1" applyFont="1" applyFill="1" applyBorder="1" applyAlignment="1">
      <alignment horizontal="left" vertical="center" wrapText="1"/>
    </xf>
    <xf numFmtId="165" fontId="22" fillId="0" borderId="1" xfId="0" applyFont="1" applyFill="1" applyBorder="1" applyAlignment="1">
      <alignment horizontal="left" vertical="center" wrapText="1"/>
    </xf>
    <xf numFmtId="2" fontId="22" fillId="0" borderId="1" xfId="2" applyNumberFormat="1" applyFont="1" applyFill="1" applyBorder="1" applyAlignment="1">
      <alignment horizontal="left" vertical="center" wrapText="1"/>
    </xf>
    <xf numFmtId="0" fontId="72" fillId="0" borderId="1" xfId="1264" applyNumberFormat="1" applyFont="1" applyFill="1" applyBorder="1" applyAlignment="1">
      <alignment horizontal="center" vertical="center"/>
    </xf>
    <xf numFmtId="165" fontId="73" fillId="0" borderId="1" xfId="0" applyFont="1" applyFill="1" applyBorder="1" applyAlignment="1">
      <alignment horizontal="center" vertical="center" wrapText="1"/>
    </xf>
    <xf numFmtId="1" fontId="73" fillId="0" borderId="7" xfId="1264" applyNumberFormat="1" applyFont="1" applyFill="1" applyBorder="1" applyAlignment="1">
      <alignment horizontal="center" vertical="center" wrapText="1"/>
    </xf>
    <xf numFmtId="1" fontId="73" fillId="0" borderId="10" xfId="1264" applyNumberFormat="1" applyFont="1" applyFill="1" applyBorder="1" applyAlignment="1">
      <alignment horizontal="center" vertical="center" wrapText="1"/>
    </xf>
    <xf numFmtId="0" fontId="73" fillId="0" borderId="1" xfId="1264" applyNumberFormat="1" applyFont="1" applyFill="1" applyBorder="1" applyAlignment="1">
      <alignment horizontal="center" vertical="center" wrapText="1"/>
    </xf>
    <xf numFmtId="0" fontId="73" fillId="0" borderId="1" xfId="1264" applyNumberFormat="1" applyFont="1" applyFill="1" applyBorder="1" applyAlignment="1">
      <alignment horizontal="center" vertical="center"/>
    </xf>
    <xf numFmtId="0" fontId="82" fillId="0" borderId="2" xfId="1266" applyNumberFormat="1" applyFont="1" applyFill="1" applyBorder="1" applyAlignment="1">
      <alignment horizontal="left" vertical="center" wrapText="1"/>
    </xf>
    <xf numFmtId="0" fontId="82" fillId="0" borderId="4" xfId="1266" applyNumberFormat="1" applyFont="1" applyFill="1" applyBorder="1" applyAlignment="1">
      <alignment horizontal="left" vertical="center" wrapText="1"/>
    </xf>
    <xf numFmtId="0" fontId="82" fillId="0" borderId="3" xfId="1266" applyNumberFormat="1" applyFont="1" applyFill="1" applyBorder="1" applyAlignment="1">
      <alignment horizontal="left" vertical="center" wrapText="1"/>
    </xf>
    <xf numFmtId="0" fontId="61" fillId="0" borderId="2" xfId="1266" applyFont="1" applyFill="1" applyBorder="1" applyAlignment="1">
      <alignment horizontal="left" vertical="center" wrapText="1"/>
    </xf>
    <xf numFmtId="0" fontId="61" fillId="0" borderId="4" xfId="1266" applyFont="1" applyFill="1" applyBorder="1" applyAlignment="1">
      <alignment horizontal="left" vertical="center" wrapText="1"/>
    </xf>
    <xf numFmtId="0" fontId="61" fillId="0" borderId="3" xfId="1266" applyFont="1" applyFill="1" applyBorder="1" applyAlignment="1">
      <alignment horizontal="left" vertical="center" wrapText="1"/>
    </xf>
    <xf numFmtId="0" fontId="81" fillId="0" borderId="1" xfId="1266" applyNumberFormat="1" applyFont="1" applyFill="1" applyBorder="1" applyAlignment="1">
      <alignment horizontal="center" vertical="center"/>
    </xf>
    <xf numFmtId="0" fontId="75" fillId="0" borderId="0" xfId="1266" applyNumberFormat="1" applyFont="1" applyFill="1" applyBorder="1" applyAlignment="1">
      <alignment horizontal="center" vertical="center"/>
    </xf>
    <xf numFmtId="0" fontId="66" fillId="0" borderId="0" xfId="1266" applyFont="1" applyFill="1" applyBorder="1" applyAlignment="1">
      <alignment horizontal="center" vertical="center" wrapText="1"/>
    </xf>
    <xf numFmtId="0" fontId="78" fillId="0" borderId="0" xfId="1266" applyNumberFormat="1" applyFont="1" applyFill="1" applyBorder="1" applyAlignment="1">
      <alignment horizontal="right" vertical="center"/>
    </xf>
    <xf numFmtId="0" fontId="79" fillId="0" borderId="0" xfId="1266" applyNumberFormat="1" applyFont="1" applyFill="1" applyBorder="1" applyAlignment="1">
      <alignment horizontal="right" vertical="center"/>
    </xf>
    <xf numFmtId="0" fontId="80" fillId="0" borderId="23" xfId="1266" applyNumberFormat="1" applyFont="1" applyFill="1" applyBorder="1" applyAlignment="1">
      <alignment horizontal="center" vertical="center"/>
    </xf>
    <xf numFmtId="0" fontId="82" fillId="0" borderId="1" xfId="0" applyNumberFormat="1" applyFont="1" applyFill="1" applyBorder="1" applyAlignment="1">
      <alignment horizontal="right" vertical="center"/>
    </xf>
    <xf numFmtId="2" fontId="82" fillId="0" borderId="2" xfId="1266" applyNumberFormat="1" applyFont="1" applyFill="1" applyBorder="1" applyAlignment="1">
      <alignment horizontal="left" vertical="center" wrapText="1"/>
    </xf>
    <xf numFmtId="2" fontId="82" fillId="0" borderId="4" xfId="1266" applyNumberFormat="1" applyFont="1" applyFill="1" applyBorder="1" applyAlignment="1">
      <alignment horizontal="left" vertical="center" wrapText="1"/>
    </xf>
    <xf numFmtId="2" fontId="82" fillId="0" borderId="3" xfId="1266" applyNumberFormat="1" applyFont="1" applyFill="1" applyBorder="1" applyAlignment="1">
      <alignment horizontal="left" vertical="center" wrapText="1"/>
    </xf>
    <xf numFmtId="0" fontId="63" fillId="0" borderId="2" xfId="1266" applyFont="1" applyFill="1" applyBorder="1" applyAlignment="1">
      <alignment horizontal="left" vertical="center" wrapText="1"/>
    </xf>
    <xf numFmtId="0" fontId="63" fillId="0" borderId="4" xfId="1266" applyFont="1" applyFill="1" applyBorder="1" applyAlignment="1">
      <alignment horizontal="left" vertical="center" wrapText="1"/>
    </xf>
    <xf numFmtId="0" fontId="63" fillId="0" borderId="3" xfId="1266" applyFont="1" applyFill="1" applyBorder="1" applyAlignment="1">
      <alignment horizontal="left" vertical="center" wrapText="1"/>
    </xf>
    <xf numFmtId="165" fontId="6" fillId="0" borderId="2" xfId="0" applyFont="1" applyFill="1" applyBorder="1" applyAlignment="1">
      <alignment horizontal="left" vertical="center" wrapText="1"/>
    </xf>
    <xf numFmtId="165" fontId="6" fillId="0" borderId="4" xfId="0" applyFont="1" applyFill="1" applyBorder="1" applyAlignment="1">
      <alignment horizontal="left" vertical="center" wrapText="1"/>
    </xf>
    <xf numFmtId="165" fontId="6" fillId="0" borderId="3" xfId="0" applyFont="1" applyFill="1" applyBorder="1" applyAlignment="1">
      <alignment horizontal="left" vertical="center" wrapText="1"/>
    </xf>
    <xf numFmtId="2" fontId="57" fillId="0" borderId="0" xfId="20" applyNumberFormat="1" applyFont="1" applyFill="1" applyBorder="1" applyAlignment="1">
      <alignment horizontal="left" vertical="center" wrapText="1"/>
    </xf>
    <xf numFmtId="2" fontId="61" fillId="3" borderId="2" xfId="20" applyNumberFormat="1" applyFont="1" applyFill="1" applyBorder="1" applyAlignment="1">
      <alignment horizontal="left" vertical="center" wrapText="1"/>
    </xf>
    <xf numFmtId="2" fontId="61" fillId="3" borderId="4" xfId="20" applyNumberFormat="1" applyFont="1" applyFill="1" applyBorder="1" applyAlignment="1">
      <alignment horizontal="left" vertical="center" wrapText="1"/>
    </xf>
    <xf numFmtId="0" fontId="146" fillId="0" borderId="0" xfId="0" applyNumberFormat="1" applyFont="1" applyAlignment="1">
      <alignment horizontal="center" vertical="center" wrapText="1"/>
    </xf>
    <xf numFmtId="0" fontId="146" fillId="0" borderId="0" xfId="0" applyNumberFormat="1" applyFont="1" applyAlignment="1">
      <alignment vertical="center" wrapText="1"/>
    </xf>
    <xf numFmtId="0" fontId="147" fillId="0" borderId="0" xfId="0" applyNumberFormat="1" applyFont="1"/>
    <xf numFmtId="0" fontId="147" fillId="0" borderId="0" xfId="0" applyNumberFormat="1" applyFont="1" applyAlignment="1">
      <alignment horizontal="center"/>
    </xf>
    <xf numFmtId="9" fontId="147" fillId="0" borderId="0" xfId="0" applyNumberFormat="1" applyFont="1" applyAlignment="1">
      <alignment horizontal="center"/>
    </xf>
    <xf numFmtId="16" fontId="148" fillId="0" borderId="0" xfId="0" quotePrefix="1" applyNumberFormat="1" applyFont="1" applyAlignment="1">
      <alignment horizontal="center" vertical="center"/>
    </xf>
    <xf numFmtId="0" fontId="147" fillId="0" borderId="0" xfId="0" applyNumberFormat="1" applyFont="1" applyAlignment="1">
      <alignment horizontal="center"/>
    </xf>
    <xf numFmtId="0" fontId="147" fillId="0" borderId="0" xfId="0" applyNumberFormat="1" applyFont="1" applyAlignment="1"/>
    <xf numFmtId="0" fontId="146" fillId="0" borderId="0" xfId="0" applyNumberFormat="1" applyFont="1" applyAlignment="1">
      <alignment horizontal="right"/>
    </xf>
    <xf numFmtId="2" fontId="146" fillId="0" borderId="0" xfId="0" applyNumberFormat="1" applyFont="1" applyAlignment="1">
      <alignment horizontal="center"/>
    </xf>
    <xf numFmtId="0" fontId="146" fillId="0" borderId="0" xfId="0" applyNumberFormat="1" applyFont="1"/>
    <xf numFmtId="9" fontId="147" fillId="0" borderId="0" xfId="0" applyNumberFormat="1" applyFont="1"/>
    <xf numFmtId="2" fontId="147" fillId="0" borderId="0" xfId="0" applyNumberFormat="1" applyFont="1" applyAlignment="1">
      <alignment horizontal="center"/>
    </xf>
    <xf numFmtId="0" fontId="147" fillId="0" borderId="0" xfId="0" quotePrefix="1" applyNumberFormat="1" applyFont="1" applyAlignment="1">
      <alignment vertical="center"/>
    </xf>
    <xf numFmtId="2" fontId="147" fillId="0" borderId="0" xfId="0" applyNumberFormat="1" applyFont="1" applyAlignment="1">
      <alignment horizontal="center"/>
    </xf>
    <xf numFmtId="0" fontId="147" fillId="0" borderId="0" xfId="0" applyNumberFormat="1" applyFont="1" applyAlignment="1">
      <alignment horizontal="center" vertical="center"/>
    </xf>
    <xf numFmtId="2" fontId="147" fillId="0" borderId="0" xfId="0" applyNumberFormat="1" applyFont="1"/>
    <xf numFmtId="0" fontId="147" fillId="0" borderId="0" xfId="0" quotePrefix="1" applyNumberFormat="1" applyFont="1" applyAlignment="1">
      <alignment horizontal="center"/>
    </xf>
    <xf numFmtId="2" fontId="146" fillId="0" borderId="0" xfId="0" applyNumberFormat="1" applyFont="1" applyAlignment="1">
      <alignment horizontal="right"/>
    </xf>
    <xf numFmtId="2" fontId="146" fillId="0" borderId="0" xfId="0" applyNumberFormat="1" applyFont="1" applyFill="1"/>
  </cellXfs>
  <cellStyles count="1272">
    <cellStyle name="20% - Accent1 10" xfId="29"/>
    <cellStyle name="20% - Accent1 10 2" xfId="30"/>
    <cellStyle name="20% - Accent1 11" xfId="31"/>
    <cellStyle name="20% - Accent1 2" xfId="32"/>
    <cellStyle name="20% - Accent1 2 2" xfId="33"/>
    <cellStyle name="20% - Accent1 2 3" xfId="34"/>
    <cellStyle name="20% - Accent1 3" xfId="35"/>
    <cellStyle name="20% - Accent1 3 2" xfId="36"/>
    <cellStyle name="20% - Accent1 3 3" xfId="37"/>
    <cellStyle name="20% - Accent1 4" xfId="38"/>
    <cellStyle name="20% - Accent1 4 2" xfId="39"/>
    <cellStyle name="20% - Accent1 4 3" xfId="40"/>
    <cellStyle name="20% - Accent1 5" xfId="41"/>
    <cellStyle name="20% - Accent1 5 2" xfId="42"/>
    <cellStyle name="20% - Accent1 5 3" xfId="43"/>
    <cellStyle name="20% - Accent1 6" xfId="44"/>
    <cellStyle name="20% - Accent1 6 2" xfId="45"/>
    <cellStyle name="20% - Accent1 6 3" xfId="46"/>
    <cellStyle name="20% - Accent1 7" xfId="47"/>
    <cellStyle name="20% - Accent1 7 2" xfId="48"/>
    <cellStyle name="20% - Accent1 7 3" xfId="49"/>
    <cellStyle name="20% - Accent1 8" xfId="50"/>
    <cellStyle name="20% - Accent1 8 2" xfId="51"/>
    <cellStyle name="20% - Accent1 8 3" xfId="52"/>
    <cellStyle name="20% - Accent1 9" xfId="53"/>
    <cellStyle name="20% - Accent1 9 2" xfId="54"/>
    <cellStyle name="20% - Accent1 9 3" xfId="55"/>
    <cellStyle name="20% - Accent2 10" xfId="56"/>
    <cellStyle name="20% - Accent2 10 2" xfId="57"/>
    <cellStyle name="20% - Accent2 11" xfId="58"/>
    <cellStyle name="20% - Accent2 2" xfId="59"/>
    <cellStyle name="20% - Accent2 2 2" xfId="60"/>
    <cellStyle name="20% - Accent2 2 3" xfId="61"/>
    <cellStyle name="20% - Accent2 3" xfId="62"/>
    <cellStyle name="20% - Accent2 3 2" xfId="63"/>
    <cellStyle name="20% - Accent2 3 3" xfId="64"/>
    <cellStyle name="20% - Accent2 4" xfId="65"/>
    <cellStyle name="20% - Accent2 4 2" xfId="66"/>
    <cellStyle name="20% - Accent2 4 3" xfId="67"/>
    <cellStyle name="20% - Accent2 5" xfId="68"/>
    <cellStyle name="20% - Accent2 5 2" xfId="69"/>
    <cellStyle name="20% - Accent2 5 3" xfId="70"/>
    <cellStyle name="20% - Accent2 6" xfId="71"/>
    <cellStyle name="20% - Accent2 6 2" xfId="72"/>
    <cellStyle name="20% - Accent2 6 3" xfId="73"/>
    <cellStyle name="20% - Accent2 7" xfId="74"/>
    <cellStyle name="20% - Accent2 7 2" xfId="75"/>
    <cellStyle name="20% - Accent2 7 3" xfId="76"/>
    <cellStyle name="20% - Accent2 8" xfId="77"/>
    <cellStyle name="20% - Accent2 8 2" xfId="78"/>
    <cellStyle name="20% - Accent2 8 3" xfId="79"/>
    <cellStyle name="20% - Accent2 9" xfId="80"/>
    <cellStyle name="20% - Accent2 9 2" xfId="81"/>
    <cellStyle name="20% - Accent2 9 3" xfId="82"/>
    <cellStyle name="20% - Accent3 10" xfId="83"/>
    <cellStyle name="20% - Accent3 10 2" xfId="84"/>
    <cellStyle name="20% - Accent3 11" xfId="85"/>
    <cellStyle name="20% - Accent3 2" xfId="86"/>
    <cellStyle name="20% - Accent3 2 2" xfId="87"/>
    <cellStyle name="20% - Accent3 2 3" xfId="88"/>
    <cellStyle name="20% - Accent3 3" xfId="89"/>
    <cellStyle name="20% - Accent3 3 2" xfId="90"/>
    <cellStyle name="20% - Accent3 3 3" xfId="91"/>
    <cellStyle name="20% - Accent3 4" xfId="92"/>
    <cellStyle name="20% - Accent3 4 2" xfId="93"/>
    <cellStyle name="20% - Accent3 4 3" xfId="94"/>
    <cellStyle name="20% - Accent3 5" xfId="95"/>
    <cellStyle name="20% - Accent3 5 2" xfId="96"/>
    <cellStyle name="20% - Accent3 5 3" xfId="97"/>
    <cellStyle name="20% - Accent3 6" xfId="98"/>
    <cellStyle name="20% - Accent3 6 2" xfId="99"/>
    <cellStyle name="20% - Accent3 6 3" xfId="100"/>
    <cellStyle name="20% - Accent3 7" xfId="101"/>
    <cellStyle name="20% - Accent3 7 2" xfId="102"/>
    <cellStyle name="20% - Accent3 7 3" xfId="103"/>
    <cellStyle name="20% - Accent3 8" xfId="104"/>
    <cellStyle name="20% - Accent3 8 2" xfId="105"/>
    <cellStyle name="20% - Accent3 8 3" xfId="106"/>
    <cellStyle name="20% - Accent3 9" xfId="107"/>
    <cellStyle name="20% - Accent3 9 2" xfId="108"/>
    <cellStyle name="20% - Accent3 9 3" xfId="109"/>
    <cellStyle name="20% - Accent4 10" xfId="110"/>
    <cellStyle name="20% - Accent4 10 2" xfId="111"/>
    <cellStyle name="20% - Accent4 11" xfId="112"/>
    <cellStyle name="20% - Accent4 2" xfId="113"/>
    <cellStyle name="20% - Accent4 2 2" xfId="114"/>
    <cellStyle name="20% - Accent4 2 3" xfId="115"/>
    <cellStyle name="20% - Accent4 3" xfId="116"/>
    <cellStyle name="20% - Accent4 3 2" xfId="117"/>
    <cellStyle name="20% - Accent4 3 3" xfId="118"/>
    <cellStyle name="20% - Accent4 4" xfId="119"/>
    <cellStyle name="20% - Accent4 4 2" xfId="120"/>
    <cellStyle name="20% - Accent4 4 3" xfId="121"/>
    <cellStyle name="20% - Accent4 5" xfId="122"/>
    <cellStyle name="20% - Accent4 5 2" xfId="123"/>
    <cellStyle name="20% - Accent4 5 3" xfId="124"/>
    <cellStyle name="20% - Accent4 6" xfId="125"/>
    <cellStyle name="20% - Accent4 6 2" xfId="126"/>
    <cellStyle name="20% - Accent4 6 3" xfId="127"/>
    <cellStyle name="20% - Accent4 7" xfId="128"/>
    <cellStyle name="20% - Accent4 7 2" xfId="129"/>
    <cellStyle name="20% - Accent4 7 3" xfId="130"/>
    <cellStyle name="20% - Accent4 8" xfId="131"/>
    <cellStyle name="20% - Accent4 8 2" xfId="132"/>
    <cellStyle name="20% - Accent4 8 3" xfId="133"/>
    <cellStyle name="20% - Accent4 9" xfId="134"/>
    <cellStyle name="20% - Accent4 9 2" xfId="135"/>
    <cellStyle name="20% - Accent4 9 3" xfId="136"/>
    <cellStyle name="20% - Accent5 10" xfId="137"/>
    <cellStyle name="20% - Accent5 10 2" xfId="138"/>
    <cellStyle name="20% - Accent5 11" xfId="139"/>
    <cellStyle name="20% - Accent5 2" xfId="140"/>
    <cellStyle name="20% - Accent5 2 2" xfId="141"/>
    <cellStyle name="20% - Accent5 2 3" xfId="142"/>
    <cellStyle name="20% - Accent5 3" xfId="143"/>
    <cellStyle name="20% - Accent5 3 2" xfId="144"/>
    <cellStyle name="20% - Accent5 3 3" xfId="145"/>
    <cellStyle name="20% - Accent5 4" xfId="146"/>
    <cellStyle name="20% - Accent5 4 2" xfId="147"/>
    <cellStyle name="20% - Accent5 4 3" xfId="148"/>
    <cellStyle name="20% - Accent5 5" xfId="149"/>
    <cellStyle name="20% - Accent5 5 2" xfId="150"/>
    <cellStyle name="20% - Accent5 5 3" xfId="151"/>
    <cellStyle name="20% - Accent5 6" xfId="152"/>
    <cellStyle name="20% - Accent5 6 2" xfId="153"/>
    <cellStyle name="20% - Accent5 6 3" xfId="154"/>
    <cellStyle name="20% - Accent5 7" xfId="155"/>
    <cellStyle name="20% - Accent5 7 2" xfId="156"/>
    <cellStyle name="20% - Accent5 7 3" xfId="157"/>
    <cellStyle name="20% - Accent5 8" xfId="158"/>
    <cellStyle name="20% - Accent5 8 2" xfId="159"/>
    <cellStyle name="20% - Accent5 8 3" xfId="160"/>
    <cellStyle name="20% - Accent5 9" xfId="161"/>
    <cellStyle name="20% - Accent5 9 2" xfId="162"/>
    <cellStyle name="20% - Accent5 9 3" xfId="163"/>
    <cellStyle name="20% - Accent6 10" xfId="164"/>
    <cellStyle name="20% - Accent6 10 2" xfId="165"/>
    <cellStyle name="20% - Accent6 11" xfId="166"/>
    <cellStyle name="20% - Accent6 2" xfId="167"/>
    <cellStyle name="20% - Accent6 2 2" xfId="168"/>
    <cellStyle name="20% - Accent6 2 3" xfId="169"/>
    <cellStyle name="20% - Accent6 3" xfId="170"/>
    <cellStyle name="20% - Accent6 3 2" xfId="171"/>
    <cellStyle name="20% - Accent6 3 3" xfId="172"/>
    <cellStyle name="20% - Accent6 4" xfId="173"/>
    <cellStyle name="20% - Accent6 4 2" xfId="174"/>
    <cellStyle name="20% - Accent6 4 3" xfId="175"/>
    <cellStyle name="20% - Accent6 5" xfId="176"/>
    <cellStyle name="20% - Accent6 5 2" xfId="177"/>
    <cellStyle name="20% - Accent6 5 3" xfId="178"/>
    <cellStyle name="20% - Accent6 6" xfId="179"/>
    <cellStyle name="20% - Accent6 6 2" xfId="180"/>
    <cellStyle name="20% - Accent6 6 3" xfId="181"/>
    <cellStyle name="20% - Accent6 7" xfId="182"/>
    <cellStyle name="20% - Accent6 7 2" xfId="183"/>
    <cellStyle name="20% - Accent6 7 3" xfId="184"/>
    <cellStyle name="20% - Accent6 8" xfId="185"/>
    <cellStyle name="20% - Accent6 8 2" xfId="186"/>
    <cellStyle name="20% - Accent6 8 3" xfId="187"/>
    <cellStyle name="20% - Accent6 9" xfId="188"/>
    <cellStyle name="20% - Accent6 9 2" xfId="189"/>
    <cellStyle name="20% - Accent6 9 3" xfId="190"/>
    <cellStyle name="40% - Accent1 10" xfId="191"/>
    <cellStyle name="40% - Accent1 10 2" xfId="192"/>
    <cellStyle name="40% - Accent1 11" xfId="193"/>
    <cellStyle name="40% - Accent1 2" xfId="194"/>
    <cellStyle name="40% - Accent1 2 2" xfId="195"/>
    <cellStyle name="40% - Accent1 2 3" xfId="196"/>
    <cellStyle name="40% - Accent1 3" xfId="197"/>
    <cellStyle name="40% - Accent1 3 2" xfId="198"/>
    <cellStyle name="40% - Accent1 3 3" xfId="199"/>
    <cellStyle name="40% - Accent1 4" xfId="200"/>
    <cellStyle name="40% - Accent1 4 2" xfId="201"/>
    <cellStyle name="40% - Accent1 4 3" xfId="202"/>
    <cellStyle name="40% - Accent1 5" xfId="203"/>
    <cellStyle name="40% - Accent1 5 2" xfId="204"/>
    <cellStyle name="40% - Accent1 5 3" xfId="205"/>
    <cellStyle name="40% - Accent1 6" xfId="206"/>
    <cellStyle name="40% - Accent1 6 2" xfId="207"/>
    <cellStyle name="40% - Accent1 6 3" xfId="208"/>
    <cellStyle name="40% - Accent1 7" xfId="209"/>
    <cellStyle name="40% - Accent1 7 2" xfId="210"/>
    <cellStyle name="40% - Accent1 7 3" xfId="211"/>
    <cellStyle name="40% - Accent1 8" xfId="212"/>
    <cellStyle name="40% - Accent1 8 2" xfId="213"/>
    <cellStyle name="40% - Accent1 8 3" xfId="214"/>
    <cellStyle name="40% - Accent1 9" xfId="215"/>
    <cellStyle name="40% - Accent1 9 2" xfId="216"/>
    <cellStyle name="40% - Accent1 9 3" xfId="217"/>
    <cellStyle name="40% - Accent2 10" xfId="218"/>
    <cellStyle name="40% - Accent2 10 2" xfId="219"/>
    <cellStyle name="40% - Accent2 11" xfId="220"/>
    <cellStyle name="40% - Accent2 2" xfId="221"/>
    <cellStyle name="40% - Accent2 2 2" xfId="222"/>
    <cellStyle name="40% - Accent2 2 3" xfId="223"/>
    <cellStyle name="40% - Accent2 3" xfId="224"/>
    <cellStyle name="40% - Accent2 3 2" xfId="225"/>
    <cellStyle name="40% - Accent2 3 3" xfId="226"/>
    <cellStyle name="40% - Accent2 4" xfId="227"/>
    <cellStyle name="40% - Accent2 4 2" xfId="228"/>
    <cellStyle name="40% - Accent2 4 3" xfId="229"/>
    <cellStyle name="40% - Accent2 5" xfId="230"/>
    <cellStyle name="40% - Accent2 5 2" xfId="231"/>
    <cellStyle name="40% - Accent2 5 3" xfId="232"/>
    <cellStyle name="40% - Accent2 6" xfId="233"/>
    <cellStyle name="40% - Accent2 6 2" xfId="234"/>
    <cellStyle name="40% - Accent2 6 3" xfId="235"/>
    <cellStyle name="40% - Accent2 7" xfId="236"/>
    <cellStyle name="40% - Accent2 7 2" xfId="237"/>
    <cellStyle name="40% - Accent2 7 3" xfId="238"/>
    <cellStyle name="40% - Accent2 8" xfId="239"/>
    <cellStyle name="40% - Accent2 8 2" xfId="240"/>
    <cellStyle name="40% - Accent2 8 3" xfId="241"/>
    <cellStyle name="40% - Accent2 9" xfId="242"/>
    <cellStyle name="40% - Accent2 9 2" xfId="243"/>
    <cellStyle name="40% - Accent2 9 3" xfId="244"/>
    <cellStyle name="40% - Accent3 10" xfId="245"/>
    <cellStyle name="40% - Accent3 10 2" xfId="246"/>
    <cellStyle name="40% - Accent3 11" xfId="247"/>
    <cellStyle name="40% - Accent3 2" xfId="248"/>
    <cellStyle name="40% - Accent3 2 2" xfId="249"/>
    <cellStyle name="40% - Accent3 2 3" xfId="250"/>
    <cellStyle name="40% - Accent3 3" xfId="251"/>
    <cellStyle name="40% - Accent3 3 2" xfId="252"/>
    <cellStyle name="40% - Accent3 3 3" xfId="253"/>
    <cellStyle name="40% - Accent3 4" xfId="254"/>
    <cellStyle name="40% - Accent3 4 2" xfId="255"/>
    <cellStyle name="40% - Accent3 4 3" xfId="256"/>
    <cellStyle name="40% - Accent3 5" xfId="257"/>
    <cellStyle name="40% - Accent3 5 2" xfId="258"/>
    <cellStyle name="40% - Accent3 5 3" xfId="259"/>
    <cellStyle name="40% - Accent3 6" xfId="260"/>
    <cellStyle name="40% - Accent3 6 2" xfId="261"/>
    <cellStyle name="40% - Accent3 6 3" xfId="262"/>
    <cellStyle name="40% - Accent3 7" xfId="263"/>
    <cellStyle name="40% - Accent3 7 2" xfId="264"/>
    <cellStyle name="40% - Accent3 7 3" xfId="265"/>
    <cellStyle name="40% - Accent3 8" xfId="266"/>
    <cellStyle name="40% - Accent3 8 2" xfId="267"/>
    <cellStyle name="40% - Accent3 8 3" xfId="268"/>
    <cellStyle name="40% - Accent3 9" xfId="269"/>
    <cellStyle name="40% - Accent3 9 2" xfId="270"/>
    <cellStyle name="40% - Accent3 9 3" xfId="271"/>
    <cellStyle name="40% - Accent4 10" xfId="272"/>
    <cellStyle name="40% - Accent4 10 2" xfId="273"/>
    <cellStyle name="40% - Accent4 11" xfId="274"/>
    <cellStyle name="40% - Accent4 2" xfId="275"/>
    <cellStyle name="40% - Accent4 2 2" xfId="276"/>
    <cellStyle name="40% - Accent4 2 3" xfId="277"/>
    <cellStyle name="40% - Accent4 3" xfId="278"/>
    <cellStyle name="40% - Accent4 3 2" xfId="279"/>
    <cellStyle name="40% - Accent4 3 3" xfId="280"/>
    <cellStyle name="40% - Accent4 4" xfId="281"/>
    <cellStyle name="40% - Accent4 4 2" xfId="282"/>
    <cellStyle name="40% - Accent4 4 3" xfId="283"/>
    <cellStyle name="40% - Accent4 5" xfId="284"/>
    <cellStyle name="40% - Accent4 5 2" xfId="285"/>
    <cellStyle name="40% - Accent4 5 3" xfId="286"/>
    <cellStyle name="40% - Accent4 6" xfId="287"/>
    <cellStyle name="40% - Accent4 6 2" xfId="288"/>
    <cellStyle name="40% - Accent4 6 3" xfId="289"/>
    <cellStyle name="40% - Accent4 7" xfId="290"/>
    <cellStyle name="40% - Accent4 7 2" xfId="291"/>
    <cellStyle name="40% - Accent4 7 3" xfId="292"/>
    <cellStyle name="40% - Accent4 8" xfId="293"/>
    <cellStyle name="40% - Accent4 8 2" xfId="294"/>
    <cellStyle name="40% - Accent4 8 3" xfId="295"/>
    <cellStyle name="40% - Accent4 9" xfId="296"/>
    <cellStyle name="40% - Accent4 9 2" xfId="297"/>
    <cellStyle name="40% - Accent4 9 3" xfId="298"/>
    <cellStyle name="40% - Accent5 10" xfId="299"/>
    <cellStyle name="40% - Accent5 10 2" xfId="300"/>
    <cellStyle name="40% - Accent5 11" xfId="301"/>
    <cellStyle name="40% - Accent5 2" xfId="302"/>
    <cellStyle name="40% - Accent5 2 2" xfId="303"/>
    <cellStyle name="40% - Accent5 2 3" xfId="304"/>
    <cellStyle name="40% - Accent5 3" xfId="305"/>
    <cellStyle name="40% - Accent5 3 2" xfId="306"/>
    <cellStyle name="40% - Accent5 3 3" xfId="307"/>
    <cellStyle name="40% - Accent5 4" xfId="308"/>
    <cellStyle name="40% - Accent5 4 2" xfId="309"/>
    <cellStyle name="40% - Accent5 4 3" xfId="310"/>
    <cellStyle name="40% - Accent5 5" xfId="311"/>
    <cellStyle name="40% - Accent5 5 2" xfId="312"/>
    <cellStyle name="40% - Accent5 5 3" xfId="313"/>
    <cellStyle name="40% - Accent5 6" xfId="314"/>
    <cellStyle name="40% - Accent5 6 2" xfId="315"/>
    <cellStyle name="40% - Accent5 6 3" xfId="316"/>
    <cellStyle name="40% - Accent5 7" xfId="317"/>
    <cellStyle name="40% - Accent5 7 2" xfId="318"/>
    <cellStyle name="40% - Accent5 7 3" xfId="319"/>
    <cellStyle name="40% - Accent5 8" xfId="320"/>
    <cellStyle name="40% - Accent5 8 2" xfId="321"/>
    <cellStyle name="40% - Accent5 8 3" xfId="322"/>
    <cellStyle name="40% - Accent5 9" xfId="323"/>
    <cellStyle name="40% - Accent5 9 2" xfId="324"/>
    <cellStyle name="40% - Accent5 9 3" xfId="325"/>
    <cellStyle name="40% - Accent6 10" xfId="326"/>
    <cellStyle name="40% - Accent6 10 2" xfId="327"/>
    <cellStyle name="40% - Accent6 11" xfId="328"/>
    <cellStyle name="40% - Accent6 2" xfId="329"/>
    <cellStyle name="40% - Accent6 2 2" xfId="330"/>
    <cellStyle name="40% - Accent6 2 3" xfId="331"/>
    <cellStyle name="40% - Accent6 3" xfId="332"/>
    <cellStyle name="40% - Accent6 3 2" xfId="333"/>
    <cellStyle name="40% - Accent6 3 3" xfId="334"/>
    <cellStyle name="40% - Accent6 4" xfId="335"/>
    <cellStyle name="40% - Accent6 4 2" xfId="336"/>
    <cellStyle name="40% - Accent6 4 3" xfId="337"/>
    <cellStyle name="40% - Accent6 5" xfId="338"/>
    <cellStyle name="40% - Accent6 5 2" xfId="339"/>
    <cellStyle name="40% - Accent6 5 3" xfId="340"/>
    <cellStyle name="40% - Accent6 6" xfId="341"/>
    <cellStyle name="40% - Accent6 6 2" xfId="342"/>
    <cellStyle name="40% - Accent6 6 3" xfId="343"/>
    <cellStyle name="40% - Accent6 7" xfId="344"/>
    <cellStyle name="40% - Accent6 7 2" xfId="345"/>
    <cellStyle name="40% - Accent6 7 3" xfId="346"/>
    <cellStyle name="40% - Accent6 8" xfId="347"/>
    <cellStyle name="40% - Accent6 8 2" xfId="348"/>
    <cellStyle name="40% - Accent6 8 3" xfId="349"/>
    <cellStyle name="40% - Accent6 9" xfId="350"/>
    <cellStyle name="40% - Accent6 9 2" xfId="351"/>
    <cellStyle name="40% - Accent6 9 3" xfId="352"/>
    <cellStyle name="60% - Accent1 10" xfId="353"/>
    <cellStyle name="60% - Accent1 10 2" xfId="354"/>
    <cellStyle name="60% - Accent1 11" xfId="355"/>
    <cellStyle name="60% - Accent1 2" xfId="356"/>
    <cellStyle name="60% - Accent1 2 2" xfId="357"/>
    <cellStyle name="60% - Accent1 2 3" xfId="358"/>
    <cellStyle name="60% - Accent1 3" xfId="359"/>
    <cellStyle name="60% - Accent1 3 2" xfId="360"/>
    <cellStyle name="60% - Accent1 3 3" xfId="361"/>
    <cellStyle name="60% - Accent1 4" xfId="362"/>
    <cellStyle name="60% - Accent1 4 2" xfId="363"/>
    <cellStyle name="60% - Accent1 4 3" xfId="364"/>
    <cellStyle name="60% - Accent1 5" xfId="365"/>
    <cellStyle name="60% - Accent1 5 2" xfId="366"/>
    <cellStyle name="60% - Accent1 5 3" xfId="367"/>
    <cellStyle name="60% - Accent1 6" xfId="368"/>
    <cellStyle name="60% - Accent1 6 2" xfId="369"/>
    <cellStyle name="60% - Accent1 6 3" xfId="370"/>
    <cellStyle name="60% - Accent1 7" xfId="371"/>
    <cellStyle name="60% - Accent1 7 2" xfId="372"/>
    <cellStyle name="60% - Accent1 7 3" xfId="373"/>
    <cellStyle name="60% - Accent1 8" xfId="374"/>
    <cellStyle name="60% - Accent1 8 2" xfId="375"/>
    <cellStyle name="60% - Accent1 8 3" xfId="376"/>
    <cellStyle name="60% - Accent1 9" xfId="377"/>
    <cellStyle name="60% - Accent1 9 2" xfId="378"/>
    <cellStyle name="60% - Accent1 9 3" xfId="379"/>
    <cellStyle name="60% - Accent2 10" xfId="380"/>
    <cellStyle name="60% - Accent2 10 2" xfId="381"/>
    <cellStyle name="60% - Accent2 11" xfId="382"/>
    <cellStyle name="60% - Accent2 2" xfId="383"/>
    <cellStyle name="60% - Accent2 2 2" xfId="384"/>
    <cellStyle name="60% - Accent2 2 3" xfId="385"/>
    <cellStyle name="60% - Accent2 3" xfId="386"/>
    <cellStyle name="60% - Accent2 3 2" xfId="387"/>
    <cellStyle name="60% - Accent2 3 3" xfId="388"/>
    <cellStyle name="60% - Accent2 4" xfId="389"/>
    <cellStyle name="60% - Accent2 4 2" xfId="390"/>
    <cellStyle name="60% - Accent2 4 3" xfId="391"/>
    <cellStyle name="60% - Accent2 5" xfId="392"/>
    <cellStyle name="60% - Accent2 5 2" xfId="393"/>
    <cellStyle name="60% - Accent2 5 3" xfId="394"/>
    <cellStyle name="60% - Accent2 6" xfId="395"/>
    <cellStyle name="60% - Accent2 6 2" xfId="396"/>
    <cellStyle name="60% - Accent2 6 3" xfId="397"/>
    <cellStyle name="60% - Accent2 7" xfId="398"/>
    <cellStyle name="60% - Accent2 7 2" xfId="399"/>
    <cellStyle name="60% - Accent2 7 3" xfId="400"/>
    <cellStyle name="60% - Accent2 8" xfId="401"/>
    <cellStyle name="60% - Accent2 8 2" xfId="402"/>
    <cellStyle name="60% - Accent2 8 3" xfId="403"/>
    <cellStyle name="60% - Accent2 9" xfId="404"/>
    <cellStyle name="60% - Accent2 9 2" xfId="405"/>
    <cellStyle name="60% - Accent2 9 3" xfId="406"/>
    <cellStyle name="60% - Accent3 10" xfId="407"/>
    <cellStyle name="60% - Accent3 10 2" xfId="408"/>
    <cellStyle name="60% - Accent3 11" xfId="409"/>
    <cellStyle name="60% - Accent3 2" xfId="410"/>
    <cellStyle name="60% - Accent3 2 2" xfId="411"/>
    <cellStyle name="60% - Accent3 2 3" xfId="412"/>
    <cellStyle name="60% - Accent3 3" xfId="413"/>
    <cellStyle name="60% - Accent3 3 2" xfId="414"/>
    <cellStyle name="60% - Accent3 3 3" xfId="415"/>
    <cellStyle name="60% - Accent3 4" xfId="416"/>
    <cellStyle name="60% - Accent3 4 2" xfId="417"/>
    <cellStyle name="60% - Accent3 4 3" xfId="418"/>
    <cellStyle name="60% - Accent3 5" xfId="419"/>
    <cellStyle name="60% - Accent3 5 2" xfId="420"/>
    <cellStyle name="60% - Accent3 5 3" xfId="421"/>
    <cellStyle name="60% - Accent3 6" xfId="422"/>
    <cellStyle name="60% - Accent3 6 2" xfId="423"/>
    <cellStyle name="60% - Accent3 6 3" xfId="424"/>
    <cellStyle name="60% - Accent3 7" xfId="425"/>
    <cellStyle name="60% - Accent3 7 2" xfId="426"/>
    <cellStyle name="60% - Accent3 7 3" xfId="427"/>
    <cellStyle name="60% - Accent3 8" xfId="428"/>
    <cellStyle name="60% - Accent3 8 2" xfId="429"/>
    <cellStyle name="60% - Accent3 8 3" xfId="430"/>
    <cellStyle name="60% - Accent3 9" xfId="431"/>
    <cellStyle name="60% - Accent3 9 2" xfId="432"/>
    <cellStyle name="60% - Accent3 9 3" xfId="433"/>
    <cellStyle name="60% - Accent4 10" xfId="434"/>
    <cellStyle name="60% - Accent4 10 2" xfId="435"/>
    <cellStyle name="60% - Accent4 11" xfId="436"/>
    <cellStyle name="60% - Accent4 2" xfId="437"/>
    <cellStyle name="60% - Accent4 2 2" xfId="438"/>
    <cellStyle name="60% - Accent4 2 3" xfId="439"/>
    <cellStyle name="60% - Accent4 3" xfId="440"/>
    <cellStyle name="60% - Accent4 3 2" xfId="441"/>
    <cellStyle name="60% - Accent4 3 3" xfId="442"/>
    <cellStyle name="60% - Accent4 4" xfId="443"/>
    <cellStyle name="60% - Accent4 4 2" xfId="444"/>
    <cellStyle name="60% - Accent4 4 3" xfId="445"/>
    <cellStyle name="60% - Accent4 5" xfId="446"/>
    <cellStyle name="60% - Accent4 5 2" xfId="447"/>
    <cellStyle name="60% - Accent4 5 3" xfId="448"/>
    <cellStyle name="60% - Accent4 6" xfId="449"/>
    <cellStyle name="60% - Accent4 6 2" xfId="450"/>
    <cellStyle name="60% - Accent4 6 3" xfId="451"/>
    <cellStyle name="60% - Accent4 7" xfId="452"/>
    <cellStyle name="60% - Accent4 7 2" xfId="453"/>
    <cellStyle name="60% - Accent4 7 3" xfId="454"/>
    <cellStyle name="60% - Accent4 8" xfId="455"/>
    <cellStyle name="60% - Accent4 8 2" xfId="456"/>
    <cellStyle name="60% - Accent4 8 3" xfId="457"/>
    <cellStyle name="60% - Accent4 9" xfId="458"/>
    <cellStyle name="60% - Accent4 9 2" xfId="459"/>
    <cellStyle name="60% - Accent4 9 3" xfId="460"/>
    <cellStyle name="60% - Accent5 10" xfId="461"/>
    <cellStyle name="60% - Accent5 10 2" xfId="462"/>
    <cellStyle name="60% - Accent5 11" xfId="463"/>
    <cellStyle name="60% - Accent5 2" xfId="464"/>
    <cellStyle name="60% - Accent5 2 2" xfId="465"/>
    <cellStyle name="60% - Accent5 2 3" xfId="466"/>
    <cellStyle name="60% - Accent5 3" xfId="467"/>
    <cellStyle name="60% - Accent5 3 2" xfId="468"/>
    <cellStyle name="60% - Accent5 3 3" xfId="469"/>
    <cellStyle name="60% - Accent5 4" xfId="470"/>
    <cellStyle name="60% - Accent5 4 2" xfId="471"/>
    <cellStyle name="60% - Accent5 4 3" xfId="472"/>
    <cellStyle name="60% - Accent5 5" xfId="473"/>
    <cellStyle name="60% - Accent5 5 2" xfId="474"/>
    <cellStyle name="60% - Accent5 5 3" xfId="475"/>
    <cellStyle name="60% - Accent5 6" xfId="476"/>
    <cellStyle name="60% - Accent5 6 2" xfId="477"/>
    <cellStyle name="60% - Accent5 6 3" xfId="478"/>
    <cellStyle name="60% - Accent5 7" xfId="479"/>
    <cellStyle name="60% - Accent5 7 2" xfId="480"/>
    <cellStyle name="60% - Accent5 7 3" xfId="481"/>
    <cellStyle name="60% - Accent5 8" xfId="482"/>
    <cellStyle name="60% - Accent5 8 2" xfId="483"/>
    <cellStyle name="60% - Accent5 8 3" xfId="484"/>
    <cellStyle name="60% - Accent5 9" xfId="485"/>
    <cellStyle name="60% - Accent5 9 2" xfId="486"/>
    <cellStyle name="60% - Accent5 9 3" xfId="487"/>
    <cellStyle name="60% - Accent6 10" xfId="488"/>
    <cellStyle name="60% - Accent6 10 2" xfId="489"/>
    <cellStyle name="60% - Accent6 11" xfId="490"/>
    <cellStyle name="60% - Accent6 2" xfId="491"/>
    <cellStyle name="60% - Accent6 2 2" xfId="492"/>
    <cellStyle name="60% - Accent6 2 3" xfId="493"/>
    <cellStyle name="60% - Accent6 3" xfId="494"/>
    <cellStyle name="60% - Accent6 3 2" xfId="495"/>
    <cellStyle name="60% - Accent6 3 3" xfId="496"/>
    <cellStyle name="60% - Accent6 4" xfId="497"/>
    <cellStyle name="60% - Accent6 4 2" xfId="498"/>
    <cellStyle name="60% - Accent6 4 3" xfId="499"/>
    <cellStyle name="60% - Accent6 5" xfId="500"/>
    <cellStyle name="60% - Accent6 5 2" xfId="501"/>
    <cellStyle name="60% - Accent6 5 3" xfId="502"/>
    <cellStyle name="60% - Accent6 6" xfId="503"/>
    <cellStyle name="60% - Accent6 6 2" xfId="504"/>
    <cellStyle name="60% - Accent6 6 3" xfId="505"/>
    <cellStyle name="60% - Accent6 7" xfId="506"/>
    <cellStyle name="60% - Accent6 7 2" xfId="507"/>
    <cellStyle name="60% - Accent6 7 3" xfId="508"/>
    <cellStyle name="60% - Accent6 8" xfId="509"/>
    <cellStyle name="60% - Accent6 8 2" xfId="510"/>
    <cellStyle name="60% - Accent6 8 3" xfId="511"/>
    <cellStyle name="60% - Accent6 9" xfId="512"/>
    <cellStyle name="60% - Accent6 9 2" xfId="513"/>
    <cellStyle name="60% - Accent6 9 3" xfId="514"/>
    <cellStyle name="Accent1 10" xfId="515"/>
    <cellStyle name="Accent1 10 2" xfId="516"/>
    <cellStyle name="Accent1 11" xfId="517"/>
    <cellStyle name="Accent1 2" xfId="518"/>
    <cellStyle name="Accent1 2 2" xfId="519"/>
    <cellStyle name="Accent1 2 3" xfId="520"/>
    <cellStyle name="Accent1 3" xfId="521"/>
    <cellStyle name="Accent1 3 2" xfId="522"/>
    <cellStyle name="Accent1 3 3" xfId="523"/>
    <cellStyle name="Accent1 4" xfId="524"/>
    <cellStyle name="Accent1 4 2" xfId="525"/>
    <cellStyle name="Accent1 4 3" xfId="526"/>
    <cellStyle name="Accent1 5" xfId="527"/>
    <cellStyle name="Accent1 5 2" xfId="528"/>
    <cellStyle name="Accent1 5 3" xfId="529"/>
    <cellStyle name="Accent1 6" xfId="530"/>
    <cellStyle name="Accent1 6 2" xfId="531"/>
    <cellStyle name="Accent1 6 3" xfId="532"/>
    <cellStyle name="Accent1 7" xfId="533"/>
    <cellStyle name="Accent1 7 2" xfId="534"/>
    <cellStyle name="Accent1 7 3" xfId="535"/>
    <cellStyle name="Accent1 8" xfId="536"/>
    <cellStyle name="Accent1 8 2" xfId="537"/>
    <cellStyle name="Accent1 8 3" xfId="538"/>
    <cellStyle name="Accent1 9" xfId="539"/>
    <cellStyle name="Accent1 9 2" xfId="540"/>
    <cellStyle name="Accent1 9 3" xfId="541"/>
    <cellStyle name="Accent2 10" xfId="542"/>
    <cellStyle name="Accent2 10 2" xfId="543"/>
    <cellStyle name="Accent2 11" xfId="544"/>
    <cellStyle name="Accent2 2" xfId="545"/>
    <cellStyle name="Accent2 2 2" xfId="546"/>
    <cellStyle name="Accent2 2 3" xfId="547"/>
    <cellStyle name="Accent2 3" xfId="548"/>
    <cellStyle name="Accent2 3 2" xfId="549"/>
    <cellStyle name="Accent2 3 3" xfId="550"/>
    <cellStyle name="Accent2 4" xfId="551"/>
    <cellStyle name="Accent2 4 2" xfId="552"/>
    <cellStyle name="Accent2 4 3" xfId="553"/>
    <cellStyle name="Accent2 5" xfId="554"/>
    <cellStyle name="Accent2 5 2" xfId="555"/>
    <cellStyle name="Accent2 5 3" xfId="556"/>
    <cellStyle name="Accent2 6" xfId="557"/>
    <cellStyle name="Accent2 6 2" xfId="558"/>
    <cellStyle name="Accent2 6 3" xfId="559"/>
    <cellStyle name="Accent2 7" xfId="560"/>
    <cellStyle name="Accent2 7 2" xfId="561"/>
    <cellStyle name="Accent2 7 3" xfId="562"/>
    <cellStyle name="Accent2 8" xfId="563"/>
    <cellStyle name="Accent2 8 2" xfId="564"/>
    <cellStyle name="Accent2 8 3" xfId="565"/>
    <cellStyle name="Accent2 9" xfId="566"/>
    <cellStyle name="Accent2 9 2" xfId="567"/>
    <cellStyle name="Accent2 9 3" xfId="568"/>
    <cellStyle name="Accent3 10" xfId="569"/>
    <cellStyle name="Accent3 10 2" xfId="570"/>
    <cellStyle name="Accent3 11" xfId="571"/>
    <cellStyle name="Accent3 2" xfId="572"/>
    <cellStyle name="Accent3 2 2" xfId="573"/>
    <cellStyle name="Accent3 2 3" xfId="574"/>
    <cellStyle name="Accent3 3" xfId="575"/>
    <cellStyle name="Accent3 3 2" xfId="576"/>
    <cellStyle name="Accent3 3 3" xfId="577"/>
    <cellStyle name="Accent3 4" xfId="578"/>
    <cellStyle name="Accent3 4 2" xfId="579"/>
    <cellStyle name="Accent3 4 3" xfId="580"/>
    <cellStyle name="Accent3 5" xfId="581"/>
    <cellStyle name="Accent3 5 2" xfId="582"/>
    <cellStyle name="Accent3 5 3" xfId="583"/>
    <cellStyle name="Accent3 6" xfId="584"/>
    <cellStyle name="Accent3 6 2" xfId="585"/>
    <cellStyle name="Accent3 6 3" xfId="586"/>
    <cellStyle name="Accent3 7" xfId="587"/>
    <cellStyle name="Accent3 7 2" xfId="588"/>
    <cellStyle name="Accent3 7 3" xfId="589"/>
    <cellStyle name="Accent3 8" xfId="590"/>
    <cellStyle name="Accent3 8 2" xfId="591"/>
    <cellStyle name="Accent3 8 3" xfId="592"/>
    <cellStyle name="Accent3 9" xfId="593"/>
    <cellStyle name="Accent3 9 2" xfId="594"/>
    <cellStyle name="Accent3 9 3" xfId="595"/>
    <cellStyle name="Accent4 10" xfId="596"/>
    <cellStyle name="Accent4 10 2" xfId="597"/>
    <cellStyle name="Accent4 11" xfId="598"/>
    <cellStyle name="Accent4 2" xfId="599"/>
    <cellStyle name="Accent4 2 2" xfId="600"/>
    <cellStyle name="Accent4 2 3" xfId="601"/>
    <cellStyle name="Accent4 3" xfId="602"/>
    <cellStyle name="Accent4 3 2" xfId="603"/>
    <cellStyle name="Accent4 3 3" xfId="604"/>
    <cellStyle name="Accent4 4" xfId="605"/>
    <cellStyle name="Accent4 4 2" xfId="606"/>
    <cellStyle name="Accent4 4 3" xfId="607"/>
    <cellStyle name="Accent4 5" xfId="608"/>
    <cellStyle name="Accent4 5 2" xfId="609"/>
    <cellStyle name="Accent4 5 3" xfId="610"/>
    <cellStyle name="Accent4 6" xfId="611"/>
    <cellStyle name="Accent4 6 2" xfId="612"/>
    <cellStyle name="Accent4 6 3" xfId="613"/>
    <cellStyle name="Accent4 7" xfId="614"/>
    <cellStyle name="Accent4 7 2" xfId="615"/>
    <cellStyle name="Accent4 7 3" xfId="616"/>
    <cellStyle name="Accent4 8" xfId="617"/>
    <cellStyle name="Accent4 8 2" xfId="618"/>
    <cellStyle name="Accent4 8 3" xfId="619"/>
    <cellStyle name="Accent4 9" xfId="620"/>
    <cellStyle name="Accent4 9 2" xfId="621"/>
    <cellStyle name="Accent4 9 3" xfId="622"/>
    <cellStyle name="Accent5 10" xfId="623"/>
    <cellStyle name="Accent5 10 2" xfId="624"/>
    <cellStyle name="Accent5 11" xfId="625"/>
    <cellStyle name="Accent5 2" xfId="626"/>
    <cellStyle name="Accent5 2 2" xfId="627"/>
    <cellStyle name="Accent5 2 3" xfId="628"/>
    <cellStyle name="Accent5 3" xfId="629"/>
    <cellStyle name="Accent5 3 2" xfId="630"/>
    <cellStyle name="Accent5 3 3" xfId="631"/>
    <cellStyle name="Accent5 4" xfId="632"/>
    <cellStyle name="Accent5 4 2" xfId="633"/>
    <cellStyle name="Accent5 4 3" xfId="634"/>
    <cellStyle name="Accent5 5" xfId="635"/>
    <cellStyle name="Accent5 5 2" xfId="636"/>
    <cellStyle name="Accent5 5 3" xfId="637"/>
    <cellStyle name="Accent5 6" xfId="638"/>
    <cellStyle name="Accent5 6 2" xfId="639"/>
    <cellStyle name="Accent5 6 3" xfId="640"/>
    <cellStyle name="Accent5 7" xfId="641"/>
    <cellStyle name="Accent5 7 2" xfId="642"/>
    <cellStyle name="Accent5 7 3" xfId="643"/>
    <cellStyle name="Accent5 8" xfId="644"/>
    <cellStyle name="Accent5 8 2" xfId="645"/>
    <cellStyle name="Accent5 8 3" xfId="646"/>
    <cellStyle name="Accent5 9" xfId="647"/>
    <cellStyle name="Accent5 9 2" xfId="648"/>
    <cellStyle name="Accent5 9 3" xfId="649"/>
    <cellStyle name="Accent6 10" xfId="650"/>
    <cellStyle name="Accent6 10 2" xfId="651"/>
    <cellStyle name="Accent6 11" xfId="652"/>
    <cellStyle name="Accent6 2" xfId="653"/>
    <cellStyle name="Accent6 2 2" xfId="654"/>
    <cellStyle name="Accent6 2 3" xfId="655"/>
    <cellStyle name="Accent6 3" xfId="656"/>
    <cellStyle name="Accent6 3 2" xfId="657"/>
    <cellStyle name="Accent6 3 3" xfId="658"/>
    <cellStyle name="Accent6 4" xfId="659"/>
    <cellStyle name="Accent6 4 2" xfId="660"/>
    <cellStyle name="Accent6 4 3" xfId="661"/>
    <cellStyle name="Accent6 5" xfId="662"/>
    <cellStyle name="Accent6 5 2" xfId="663"/>
    <cellStyle name="Accent6 5 3" xfId="664"/>
    <cellStyle name="Accent6 6" xfId="665"/>
    <cellStyle name="Accent6 6 2" xfId="666"/>
    <cellStyle name="Accent6 6 3" xfId="667"/>
    <cellStyle name="Accent6 7" xfId="668"/>
    <cellStyle name="Accent6 7 2" xfId="669"/>
    <cellStyle name="Accent6 7 3" xfId="670"/>
    <cellStyle name="Accent6 8" xfId="671"/>
    <cellStyle name="Accent6 8 2" xfId="672"/>
    <cellStyle name="Accent6 8 3" xfId="673"/>
    <cellStyle name="Accent6 9" xfId="674"/>
    <cellStyle name="Accent6 9 2" xfId="675"/>
    <cellStyle name="Accent6 9 3" xfId="676"/>
    <cellStyle name="Bad 10" xfId="677"/>
    <cellStyle name="Bad 10 2" xfId="678"/>
    <cellStyle name="Bad 11" xfId="679"/>
    <cellStyle name="Bad 2" xfId="680"/>
    <cellStyle name="Bad 2 2" xfId="681"/>
    <cellStyle name="Bad 2 3" xfId="682"/>
    <cellStyle name="Bad 3" xfId="683"/>
    <cellStyle name="Bad 3 2" xfId="684"/>
    <cellStyle name="Bad 3 3" xfId="685"/>
    <cellStyle name="Bad 4" xfId="686"/>
    <cellStyle name="Bad 4 2" xfId="687"/>
    <cellStyle name="Bad 4 3" xfId="688"/>
    <cellStyle name="Bad 5" xfId="689"/>
    <cellStyle name="Bad 5 2" xfId="690"/>
    <cellStyle name="Bad 5 3" xfId="691"/>
    <cellStyle name="Bad 6" xfId="692"/>
    <cellStyle name="Bad 6 2" xfId="693"/>
    <cellStyle name="Bad 6 3" xfId="694"/>
    <cellStyle name="Bad 7" xfId="695"/>
    <cellStyle name="Bad 7 2" xfId="696"/>
    <cellStyle name="Bad 7 3" xfId="697"/>
    <cellStyle name="Bad 8" xfId="698"/>
    <cellStyle name="Bad 8 2" xfId="699"/>
    <cellStyle name="Bad 8 3" xfId="700"/>
    <cellStyle name="Bad 9" xfId="701"/>
    <cellStyle name="Bad 9 2" xfId="702"/>
    <cellStyle name="Bad 9 3" xfId="703"/>
    <cellStyle name="Calculation 10" xfId="704"/>
    <cellStyle name="Calculation 10 2" xfId="705"/>
    <cellStyle name="Calculation 11" xfId="706"/>
    <cellStyle name="Calculation 2" xfId="707"/>
    <cellStyle name="Calculation 2 2" xfId="708"/>
    <cellStyle name="Calculation 2 3" xfId="709"/>
    <cellStyle name="Calculation 3" xfId="710"/>
    <cellStyle name="Calculation 3 2" xfId="711"/>
    <cellStyle name="Calculation 3 3" xfId="712"/>
    <cellStyle name="Calculation 4" xfId="713"/>
    <cellStyle name="Calculation 4 2" xfId="714"/>
    <cellStyle name="Calculation 4 3" xfId="715"/>
    <cellStyle name="Calculation 5" xfId="716"/>
    <cellStyle name="Calculation 5 2" xfId="717"/>
    <cellStyle name="Calculation 5 3" xfId="718"/>
    <cellStyle name="Calculation 6" xfId="719"/>
    <cellStyle name="Calculation 6 2" xfId="720"/>
    <cellStyle name="Calculation 6 3" xfId="721"/>
    <cellStyle name="Calculation 7" xfId="722"/>
    <cellStyle name="Calculation 7 2" xfId="723"/>
    <cellStyle name="Calculation 7 3" xfId="724"/>
    <cellStyle name="Calculation 8" xfId="725"/>
    <cellStyle name="Calculation 8 2" xfId="726"/>
    <cellStyle name="Calculation 8 3" xfId="727"/>
    <cellStyle name="Calculation 9" xfId="728"/>
    <cellStyle name="Calculation 9 2" xfId="729"/>
    <cellStyle name="Calculation 9 3" xfId="730"/>
    <cellStyle name="Check Cell 10" xfId="731"/>
    <cellStyle name="Check Cell 10 2" xfId="732"/>
    <cellStyle name="Check Cell 11" xfId="733"/>
    <cellStyle name="Check Cell 2" xfId="734"/>
    <cellStyle name="Check Cell 2 2" xfId="735"/>
    <cellStyle name="Check Cell 2 3" xfId="736"/>
    <cellStyle name="Check Cell 3" xfId="737"/>
    <cellStyle name="Check Cell 3 2" xfId="738"/>
    <cellStyle name="Check Cell 3 3" xfId="739"/>
    <cellStyle name="Check Cell 4" xfId="740"/>
    <cellStyle name="Check Cell 4 2" xfId="741"/>
    <cellStyle name="Check Cell 4 3" xfId="742"/>
    <cellStyle name="Check Cell 5" xfId="743"/>
    <cellStyle name="Check Cell 5 2" xfId="744"/>
    <cellStyle name="Check Cell 5 3" xfId="745"/>
    <cellStyle name="Check Cell 6" xfId="746"/>
    <cellStyle name="Check Cell 6 2" xfId="747"/>
    <cellStyle name="Check Cell 6 3" xfId="748"/>
    <cellStyle name="Check Cell 7" xfId="749"/>
    <cellStyle name="Check Cell 7 2" xfId="750"/>
    <cellStyle name="Check Cell 7 3" xfId="751"/>
    <cellStyle name="Check Cell 8" xfId="752"/>
    <cellStyle name="Check Cell 8 2" xfId="753"/>
    <cellStyle name="Check Cell 8 3" xfId="754"/>
    <cellStyle name="Check Cell 9" xfId="755"/>
    <cellStyle name="Check Cell 9 2" xfId="756"/>
    <cellStyle name="Check Cell 9 3" xfId="757"/>
    <cellStyle name="Comma 2" xfId="13"/>
    <cellStyle name="Comma 2 2" xfId="758"/>
    <cellStyle name="Comma 3" xfId="759"/>
    <cellStyle name="Comma 4" xfId="760"/>
    <cellStyle name="Comma 5" xfId="761"/>
    <cellStyle name="Currency 2" xfId="762"/>
    <cellStyle name="Currency 2 2" xfId="763"/>
    <cellStyle name="Currency 3" xfId="764"/>
    <cellStyle name="Currency 3 2" xfId="765"/>
    <cellStyle name="Currency 4" xfId="1265"/>
    <cellStyle name="Explanatory Text 10" xfId="766"/>
    <cellStyle name="Explanatory Text 10 2" xfId="767"/>
    <cellStyle name="Explanatory Text 11" xfId="768"/>
    <cellStyle name="Explanatory Text 2" xfId="769"/>
    <cellStyle name="Explanatory Text 2 2" xfId="770"/>
    <cellStyle name="Explanatory Text 2 3" xfId="771"/>
    <cellStyle name="Explanatory Text 3" xfId="772"/>
    <cellStyle name="Explanatory Text 3 2" xfId="773"/>
    <cellStyle name="Explanatory Text 3 3" xfId="774"/>
    <cellStyle name="Explanatory Text 4" xfId="775"/>
    <cellStyle name="Explanatory Text 4 2" xfId="776"/>
    <cellStyle name="Explanatory Text 4 3" xfId="777"/>
    <cellStyle name="Explanatory Text 5" xfId="778"/>
    <cellStyle name="Explanatory Text 5 2" xfId="779"/>
    <cellStyle name="Explanatory Text 5 3" xfId="780"/>
    <cellStyle name="Explanatory Text 6" xfId="781"/>
    <cellStyle name="Explanatory Text 6 2" xfId="782"/>
    <cellStyle name="Explanatory Text 6 3" xfId="783"/>
    <cellStyle name="Explanatory Text 7" xfId="784"/>
    <cellStyle name="Explanatory Text 7 2" xfId="785"/>
    <cellStyle name="Explanatory Text 7 3" xfId="786"/>
    <cellStyle name="Explanatory Text 8" xfId="787"/>
    <cellStyle name="Explanatory Text 8 2" xfId="788"/>
    <cellStyle name="Explanatory Text 8 3" xfId="789"/>
    <cellStyle name="Explanatory Text 9" xfId="790"/>
    <cellStyle name="Explanatory Text 9 2" xfId="791"/>
    <cellStyle name="Explanatory Text 9 3" xfId="792"/>
    <cellStyle name="Good 10" xfId="793"/>
    <cellStyle name="Good 10 2" xfId="794"/>
    <cellStyle name="Good 11" xfId="795"/>
    <cellStyle name="Good 2" xfId="796"/>
    <cellStyle name="Good 2 2" xfId="797"/>
    <cellStyle name="Good 2 3" xfId="798"/>
    <cellStyle name="Good 3" xfId="799"/>
    <cellStyle name="Good 3 2" xfId="800"/>
    <cellStyle name="Good 3 3" xfId="801"/>
    <cellStyle name="Good 4" xfId="802"/>
    <cellStyle name="Good 4 2" xfId="803"/>
    <cellStyle name="Good 4 3" xfId="804"/>
    <cellStyle name="Good 5" xfId="805"/>
    <cellStyle name="Good 5 2" xfId="806"/>
    <cellStyle name="Good 5 3" xfId="807"/>
    <cellStyle name="Good 6" xfId="808"/>
    <cellStyle name="Good 6 2" xfId="809"/>
    <cellStyle name="Good 6 3" xfId="810"/>
    <cellStyle name="Good 7" xfId="811"/>
    <cellStyle name="Good 7 2" xfId="812"/>
    <cellStyle name="Good 7 3" xfId="813"/>
    <cellStyle name="Good 8" xfId="814"/>
    <cellStyle name="Good 8 2" xfId="815"/>
    <cellStyle name="Good 8 3" xfId="816"/>
    <cellStyle name="Good 9" xfId="817"/>
    <cellStyle name="Good 9 2" xfId="818"/>
    <cellStyle name="Good 9 3" xfId="819"/>
    <cellStyle name="Heading 1 10" xfId="820"/>
    <cellStyle name="Heading 1 10 2" xfId="821"/>
    <cellStyle name="Heading 1 11" xfId="822"/>
    <cellStyle name="Heading 1 2" xfId="823"/>
    <cellStyle name="Heading 1 2 2" xfId="824"/>
    <cellStyle name="Heading 1 2 3" xfId="825"/>
    <cellStyle name="Heading 1 3" xfId="826"/>
    <cellStyle name="Heading 1 3 2" xfId="827"/>
    <cellStyle name="Heading 1 3 3" xfId="828"/>
    <cellStyle name="Heading 1 4" xfId="829"/>
    <cellStyle name="Heading 1 4 2" xfId="830"/>
    <cellStyle name="Heading 1 4 3" xfId="831"/>
    <cellStyle name="Heading 1 5" xfId="832"/>
    <cellStyle name="Heading 1 5 2" xfId="833"/>
    <cellStyle name="Heading 1 5 3" xfId="834"/>
    <cellStyle name="Heading 1 6" xfId="835"/>
    <cellStyle name="Heading 1 6 2" xfId="836"/>
    <cellStyle name="Heading 1 6 3" xfId="837"/>
    <cellStyle name="Heading 1 7" xfId="838"/>
    <cellStyle name="Heading 1 7 2" xfId="839"/>
    <cellStyle name="Heading 1 7 3" xfId="840"/>
    <cellStyle name="Heading 1 8" xfId="841"/>
    <cellStyle name="Heading 1 8 2" xfId="842"/>
    <cellStyle name="Heading 1 8 3" xfId="843"/>
    <cellStyle name="Heading 1 9" xfId="844"/>
    <cellStyle name="Heading 1 9 2" xfId="845"/>
    <cellStyle name="Heading 1 9 3" xfId="846"/>
    <cellStyle name="Heading 2 10" xfId="847"/>
    <cellStyle name="Heading 2 10 2" xfId="848"/>
    <cellStyle name="Heading 2 11" xfId="849"/>
    <cellStyle name="Heading 2 2" xfId="850"/>
    <cellStyle name="Heading 2 2 2" xfId="851"/>
    <cellStyle name="Heading 2 2 3" xfId="852"/>
    <cellStyle name="Heading 2 3" xfId="853"/>
    <cellStyle name="Heading 2 3 2" xfId="854"/>
    <cellStyle name="Heading 2 3 3" xfId="855"/>
    <cellStyle name="Heading 2 4" xfId="856"/>
    <cellStyle name="Heading 2 4 2" xfId="857"/>
    <cellStyle name="Heading 2 4 3" xfId="858"/>
    <cellStyle name="Heading 2 5" xfId="859"/>
    <cellStyle name="Heading 2 5 2" xfId="860"/>
    <cellStyle name="Heading 2 5 3" xfId="861"/>
    <cellStyle name="Heading 2 6" xfId="862"/>
    <cellStyle name="Heading 2 6 2" xfId="863"/>
    <cellStyle name="Heading 2 6 3" xfId="864"/>
    <cellStyle name="Heading 2 7" xfId="865"/>
    <cellStyle name="Heading 2 7 2" xfId="866"/>
    <cellStyle name="Heading 2 7 3" xfId="867"/>
    <cellStyle name="Heading 2 8" xfId="868"/>
    <cellStyle name="Heading 2 8 2" xfId="869"/>
    <cellStyle name="Heading 2 8 3" xfId="870"/>
    <cellStyle name="Heading 2 9" xfId="871"/>
    <cellStyle name="Heading 2 9 2" xfId="872"/>
    <cellStyle name="Heading 2 9 3" xfId="873"/>
    <cellStyle name="Heading 3 10" xfId="874"/>
    <cellStyle name="Heading 3 10 2" xfId="875"/>
    <cellStyle name="Heading 3 11" xfId="876"/>
    <cellStyle name="Heading 3 2" xfId="877"/>
    <cellStyle name="Heading 3 2 2" xfId="878"/>
    <cellStyle name="Heading 3 2 3" xfId="879"/>
    <cellStyle name="Heading 3 3" xfId="880"/>
    <cellStyle name="Heading 3 3 2" xfId="881"/>
    <cellStyle name="Heading 3 3 3" xfId="882"/>
    <cellStyle name="Heading 3 4" xfId="883"/>
    <cellStyle name="Heading 3 4 2" xfId="884"/>
    <cellStyle name="Heading 3 4 3" xfId="885"/>
    <cellStyle name="Heading 3 5" xfId="886"/>
    <cellStyle name="Heading 3 5 2" xfId="887"/>
    <cellStyle name="Heading 3 5 3" xfId="888"/>
    <cellStyle name="Heading 3 6" xfId="889"/>
    <cellStyle name="Heading 3 6 2" xfId="890"/>
    <cellStyle name="Heading 3 6 3" xfId="891"/>
    <cellStyle name="Heading 3 7" xfId="892"/>
    <cellStyle name="Heading 3 7 2" xfId="893"/>
    <cellStyle name="Heading 3 7 3" xfId="894"/>
    <cellStyle name="Heading 3 8" xfId="895"/>
    <cellStyle name="Heading 3 8 2" xfId="896"/>
    <cellStyle name="Heading 3 8 3" xfId="897"/>
    <cellStyle name="Heading 3 9" xfId="898"/>
    <cellStyle name="Heading 3 9 2" xfId="899"/>
    <cellStyle name="Heading 3 9 3" xfId="900"/>
    <cellStyle name="Heading 4 10" xfId="901"/>
    <cellStyle name="Heading 4 10 2" xfId="902"/>
    <cellStyle name="Heading 4 11" xfId="903"/>
    <cellStyle name="Heading 4 2" xfId="904"/>
    <cellStyle name="Heading 4 2 2" xfId="905"/>
    <cellStyle name="Heading 4 2 3" xfId="906"/>
    <cellStyle name="Heading 4 3" xfId="907"/>
    <cellStyle name="Heading 4 3 2" xfId="908"/>
    <cellStyle name="Heading 4 3 3" xfId="909"/>
    <cellStyle name="Heading 4 4" xfId="910"/>
    <cellStyle name="Heading 4 4 2" xfId="911"/>
    <cellStyle name="Heading 4 4 3" xfId="912"/>
    <cellStyle name="Heading 4 5" xfId="913"/>
    <cellStyle name="Heading 4 5 2" xfId="914"/>
    <cellStyle name="Heading 4 5 3" xfId="915"/>
    <cellStyle name="Heading 4 6" xfId="916"/>
    <cellStyle name="Heading 4 6 2" xfId="917"/>
    <cellStyle name="Heading 4 6 3" xfId="918"/>
    <cellStyle name="Heading 4 7" xfId="919"/>
    <cellStyle name="Heading 4 7 2" xfId="920"/>
    <cellStyle name="Heading 4 7 3" xfId="921"/>
    <cellStyle name="Heading 4 8" xfId="922"/>
    <cellStyle name="Heading 4 8 2" xfId="923"/>
    <cellStyle name="Heading 4 8 3" xfId="924"/>
    <cellStyle name="Heading 4 9" xfId="925"/>
    <cellStyle name="Heading 4 9 2" xfId="926"/>
    <cellStyle name="Heading 4 9 3" xfId="927"/>
    <cellStyle name="Hyperlink 2" xfId="14"/>
    <cellStyle name="Hyperlink 3" xfId="928"/>
    <cellStyle name="Input 10" xfId="929"/>
    <cellStyle name="Input 10 2" xfId="930"/>
    <cellStyle name="Input 11" xfId="931"/>
    <cellStyle name="Input 2" xfId="932"/>
    <cellStyle name="Input 2 2" xfId="933"/>
    <cellStyle name="Input 2 3" xfId="934"/>
    <cellStyle name="Input 3" xfId="935"/>
    <cellStyle name="Input 3 2" xfId="936"/>
    <cellStyle name="Input 3 3" xfId="937"/>
    <cellStyle name="Input 4" xfId="938"/>
    <cellStyle name="Input 4 2" xfId="939"/>
    <cellStyle name="Input 4 3" xfId="940"/>
    <cellStyle name="Input 5" xfId="941"/>
    <cellStyle name="Input 5 2" xfId="942"/>
    <cellStyle name="Input 5 3" xfId="943"/>
    <cellStyle name="Input 6" xfId="944"/>
    <cellStyle name="Input 6 2" xfId="945"/>
    <cellStyle name="Input 6 3" xfId="946"/>
    <cellStyle name="Input 7" xfId="947"/>
    <cellStyle name="Input 7 2" xfId="948"/>
    <cellStyle name="Input 7 3" xfId="949"/>
    <cellStyle name="Input 8" xfId="950"/>
    <cellStyle name="Input 8 2" xfId="951"/>
    <cellStyle name="Input 8 3" xfId="952"/>
    <cellStyle name="Input 9" xfId="953"/>
    <cellStyle name="Input 9 2" xfId="954"/>
    <cellStyle name="Input 9 3" xfId="955"/>
    <cellStyle name="Linked Cell 10" xfId="956"/>
    <cellStyle name="Linked Cell 10 2" xfId="957"/>
    <cellStyle name="Linked Cell 11" xfId="958"/>
    <cellStyle name="Linked Cell 2" xfId="959"/>
    <cellStyle name="Linked Cell 2 2" xfId="960"/>
    <cellStyle name="Linked Cell 2 3" xfId="961"/>
    <cellStyle name="Linked Cell 3" xfId="962"/>
    <cellStyle name="Linked Cell 3 2" xfId="963"/>
    <cellStyle name="Linked Cell 3 3" xfId="964"/>
    <cellStyle name="Linked Cell 4" xfId="965"/>
    <cellStyle name="Linked Cell 4 2" xfId="966"/>
    <cellStyle name="Linked Cell 4 3" xfId="967"/>
    <cellStyle name="Linked Cell 5" xfId="968"/>
    <cellStyle name="Linked Cell 5 2" xfId="969"/>
    <cellStyle name="Linked Cell 5 3" xfId="970"/>
    <cellStyle name="Linked Cell 6" xfId="971"/>
    <cellStyle name="Linked Cell 6 2" xfId="972"/>
    <cellStyle name="Linked Cell 6 3" xfId="973"/>
    <cellStyle name="Linked Cell 7" xfId="974"/>
    <cellStyle name="Linked Cell 7 2" xfId="975"/>
    <cellStyle name="Linked Cell 7 3" xfId="976"/>
    <cellStyle name="Linked Cell 8" xfId="977"/>
    <cellStyle name="Linked Cell 8 2" xfId="978"/>
    <cellStyle name="Linked Cell 8 3" xfId="979"/>
    <cellStyle name="Linked Cell 9" xfId="980"/>
    <cellStyle name="Linked Cell 9 2" xfId="981"/>
    <cellStyle name="Linked Cell 9 3" xfId="982"/>
    <cellStyle name="MS_Arabic" xfId="983"/>
    <cellStyle name="Neutral 10" xfId="984"/>
    <cellStyle name="Neutral 10 2" xfId="985"/>
    <cellStyle name="Neutral 11" xfId="986"/>
    <cellStyle name="Neutral 2" xfId="987"/>
    <cellStyle name="Neutral 2 2" xfId="988"/>
    <cellStyle name="Neutral 2 3" xfId="989"/>
    <cellStyle name="Neutral 3" xfId="990"/>
    <cellStyle name="Neutral 3 2" xfId="991"/>
    <cellStyle name="Neutral 3 3" xfId="992"/>
    <cellStyle name="Neutral 4" xfId="993"/>
    <cellStyle name="Neutral 4 2" xfId="994"/>
    <cellStyle name="Neutral 4 3" xfId="995"/>
    <cellStyle name="Neutral 5" xfId="996"/>
    <cellStyle name="Neutral 5 2" xfId="997"/>
    <cellStyle name="Neutral 5 3" xfId="998"/>
    <cellStyle name="Neutral 6" xfId="999"/>
    <cellStyle name="Neutral 6 2" xfId="1000"/>
    <cellStyle name="Neutral 6 3" xfId="1001"/>
    <cellStyle name="Neutral 7" xfId="1002"/>
    <cellStyle name="Neutral 7 2" xfId="1003"/>
    <cellStyle name="Neutral 7 3" xfId="1004"/>
    <cellStyle name="Neutral 8" xfId="1005"/>
    <cellStyle name="Neutral 8 2" xfId="1006"/>
    <cellStyle name="Neutral 8 3" xfId="1007"/>
    <cellStyle name="Neutral 9" xfId="1008"/>
    <cellStyle name="Neutral 9 2" xfId="1009"/>
    <cellStyle name="Neutral 9 3" xfId="1010"/>
    <cellStyle name="Normal" xfId="0" builtinId="0"/>
    <cellStyle name="Normal - Style1" xfId="1011"/>
    <cellStyle name="Normal 10" xfId="1012"/>
    <cellStyle name="Normal 10 2" xfId="1013"/>
    <cellStyle name="Normal 10 3" xfId="1014"/>
    <cellStyle name="Normal 10 3 2" xfId="1015"/>
    <cellStyle name="Normal 10 4" xfId="1016"/>
    <cellStyle name="Normal 10 5" xfId="1017"/>
    <cellStyle name="Normal 10 6" xfId="1018"/>
    <cellStyle name="Normal 10 7" xfId="1019"/>
    <cellStyle name="Normal 11" xfId="1020"/>
    <cellStyle name="Normal 11 2" xfId="1021"/>
    <cellStyle name="Normal 11 3" xfId="1022"/>
    <cellStyle name="Normal 12" xfId="1023"/>
    <cellStyle name="Normal 13" xfId="1024"/>
    <cellStyle name="Normal 13 2" xfId="1025"/>
    <cellStyle name="Normal 14" xfId="1026"/>
    <cellStyle name="Normal 15" xfId="1027"/>
    <cellStyle name="Normal 15 2" xfId="1028"/>
    <cellStyle name="Normal 15 5" xfId="1029"/>
    <cellStyle name="Normal 16" xfId="1030"/>
    <cellStyle name="Normal 17" xfId="1031"/>
    <cellStyle name="Normal 18" xfId="1032"/>
    <cellStyle name="Normal 19" xfId="1033"/>
    <cellStyle name="Normal 2" xfId="3"/>
    <cellStyle name="Normal 2 10" xfId="1034"/>
    <cellStyle name="Normal 2 11" xfId="1035"/>
    <cellStyle name="Normal 2 12" xfId="1036"/>
    <cellStyle name="Normal 2 13" xfId="1037"/>
    <cellStyle name="Normal 2 2" xfId="4"/>
    <cellStyle name="Normal 2 2 2" xfId="1038"/>
    <cellStyle name="Normal 2 2 3" xfId="1039"/>
    <cellStyle name="Normal 2 2 4" xfId="1040"/>
    <cellStyle name="Normal 2 2 5" xfId="1257"/>
    <cellStyle name="Normal 2 3" xfId="5"/>
    <cellStyle name="Normal 2 3 2" xfId="1041"/>
    <cellStyle name="Normal 2 3 2 2" xfId="1042"/>
    <cellStyle name="Normal 2 3 2 2 2" xfId="1043"/>
    <cellStyle name="Normal 2 3 2 3" xfId="1044"/>
    <cellStyle name="Normal 2 3 3" xfId="1045"/>
    <cellStyle name="Normal 2 3 3 2" xfId="1046"/>
    <cellStyle name="Normal 2 3 3 2 2" xfId="1047"/>
    <cellStyle name="Normal 2 3 3 2 3" xfId="1048"/>
    <cellStyle name="Normal 2 3 3 2 4" xfId="1049"/>
    <cellStyle name="Normal 2 3 3 3" xfId="1050"/>
    <cellStyle name="Normal 2 3 3 4" xfId="1051"/>
    <cellStyle name="Normal 2 3 4" xfId="1052"/>
    <cellStyle name="Normal 2 3 4 2" xfId="1053"/>
    <cellStyle name="Normal 2 3 5" xfId="1054"/>
    <cellStyle name="Normal 2 3 6" xfId="1055"/>
    <cellStyle name="Normal 2 3 7" xfId="1056"/>
    <cellStyle name="Normal 2 3 8" xfId="1057"/>
    <cellStyle name="Normal 2 4" xfId="1058"/>
    <cellStyle name="Normal 2 4 2" xfId="1059"/>
    <cellStyle name="Normal 2 4 3" xfId="1060"/>
    <cellStyle name="Normal 2 4 4" xfId="1061"/>
    <cellStyle name="Normal 2 4 5" xfId="1261"/>
    <cellStyle name="Normal 2 5" xfId="1062"/>
    <cellStyle name="Normal 2 5 2" xfId="1063"/>
    <cellStyle name="Normal 2 5 3" xfId="1064"/>
    <cellStyle name="Normal 2 6" xfId="1065"/>
    <cellStyle name="Normal 2 6 2" xfId="1066"/>
    <cellStyle name="Normal 2 6 2 2" xfId="1067"/>
    <cellStyle name="Normal 2 6 3" xfId="1068"/>
    <cellStyle name="Normal 2 7" xfId="1069"/>
    <cellStyle name="Normal 2 7 2" xfId="1070"/>
    <cellStyle name="Normal 2 7 3" xfId="1071"/>
    <cellStyle name="Normal 2 8" xfId="1072"/>
    <cellStyle name="Normal 2 8 2" xfId="1073"/>
    <cellStyle name="Normal 2 9" xfId="1074"/>
    <cellStyle name="Normal 2_model school copy kundadam" xfId="1075"/>
    <cellStyle name="Normal 20" xfId="1076"/>
    <cellStyle name="Normal 21" xfId="1077"/>
    <cellStyle name="Normal 22" xfId="1078"/>
    <cellStyle name="Normal 23" xfId="1079"/>
    <cellStyle name="Normal 24" xfId="1080"/>
    <cellStyle name="Normal 25" xfId="1081"/>
    <cellStyle name="Normal 26" xfId="1082"/>
    <cellStyle name="Normal 27" xfId="1083"/>
    <cellStyle name="Normal 28" xfId="1084"/>
    <cellStyle name="Normal 29" xfId="1256"/>
    <cellStyle name="Normal 3" xfId="6"/>
    <cellStyle name="Normal 3 2" xfId="15"/>
    <cellStyle name="Normal 3 2 2" xfId="1"/>
    <cellStyle name="Normal 3 2 2 2" xfId="9"/>
    <cellStyle name="Normal 3 2 2 2 2" xfId="1085"/>
    <cellStyle name="Normal 3 2 2 2 4" xfId="1086"/>
    <cellStyle name="Normal 3 2 2 3" xfId="11"/>
    <cellStyle name="Normal 3 2 2 4" xfId="12"/>
    <cellStyle name="Normal 3 2 2 5" xfId="1270"/>
    <cellStyle name="Normal 3 2 3" xfId="16"/>
    <cellStyle name="Normal 3 3" xfId="17"/>
    <cellStyle name="Normal 3 3 2" xfId="18"/>
    <cellStyle name="Normal 3 4" xfId="7"/>
    <cellStyle name="Normal 3 4 2" xfId="1263"/>
    <cellStyle name="Normal 3 5" xfId="1087"/>
    <cellStyle name="Normal 3 6" xfId="1088"/>
    <cellStyle name="Normal 3 7" xfId="1089"/>
    <cellStyle name="Normal 3 8" xfId="1090"/>
    <cellStyle name="Normal 30" xfId="1258"/>
    <cellStyle name="Normal 31" xfId="1260"/>
    <cellStyle name="Normal 32" xfId="1266"/>
    <cellStyle name="Normal 4" xfId="8"/>
    <cellStyle name="Normal 4 2" xfId="19"/>
    <cellStyle name="Normal 4 2 2" xfId="20"/>
    <cellStyle name="Normal 4 2 2 2" xfId="1091"/>
    <cellStyle name="Normal 4 2 3" xfId="1092"/>
    <cellStyle name="Normal 4 3" xfId="21"/>
    <cellStyle name="Normal 4 3 2" xfId="22"/>
    <cellStyle name="Normal 4 4" xfId="23"/>
    <cellStyle name="Normal 4 5" xfId="24"/>
    <cellStyle name="Normal 4 6" xfId="1093"/>
    <cellStyle name="Normal 4 7" xfId="1094"/>
    <cellStyle name="Normal 4 8" xfId="1095"/>
    <cellStyle name="Normal 4 9" xfId="1096"/>
    <cellStyle name="Normal 5" xfId="25"/>
    <cellStyle name="Normal 5 2" xfId="1097"/>
    <cellStyle name="Normal 5 2 2" xfId="1098"/>
    <cellStyle name="Normal 5 2 3" xfId="1099"/>
    <cellStyle name="Normal 5 3" xfId="1100"/>
    <cellStyle name="Normal 5 4" xfId="1101"/>
    <cellStyle name="Normal 5 5" xfId="1102"/>
    <cellStyle name="Normal 5 6" xfId="1103"/>
    <cellStyle name="Normal 5 7" xfId="1104"/>
    <cellStyle name="Normal 5 8" xfId="1105"/>
    <cellStyle name="Normal 6" xfId="26"/>
    <cellStyle name="Normal 6 2" xfId="1106"/>
    <cellStyle name="Normal 6 2 2" xfId="1107"/>
    <cellStyle name="Normal 6 2 3" xfId="1108"/>
    <cellStyle name="Normal 6 3" xfId="1109"/>
    <cellStyle name="Normal 6 3 2" xfId="1110"/>
    <cellStyle name="Normal 6 4" xfId="1111"/>
    <cellStyle name="Normal 6 5" xfId="1112"/>
    <cellStyle name="Normal 6 6" xfId="1113"/>
    <cellStyle name="Normal 6 7" xfId="1114"/>
    <cellStyle name="Normal 7" xfId="28"/>
    <cellStyle name="Normal 7 2" xfId="1115"/>
    <cellStyle name="Normal 7 3" xfId="1116"/>
    <cellStyle name="Normal 7 4" xfId="1117"/>
    <cellStyle name="Normal 8" xfId="1118"/>
    <cellStyle name="Normal 8 2" xfId="1119"/>
    <cellStyle name="Normal 9" xfId="1120"/>
    <cellStyle name="Normal 9 2" xfId="1121"/>
    <cellStyle name="Normal_External WS 2" xfId="1259"/>
    <cellStyle name="Normal_Phase XI QS" xfId="1122"/>
    <cellStyle name="Normal_Phase XI QS 2" xfId="2"/>
    <cellStyle name="Normal_Phase XI QS 2 3" xfId="1268"/>
    <cellStyle name="Normal_Phase XI QS 2 4" xfId="1123"/>
    <cellStyle name="Normal_Phase XI QS 3" xfId="1255"/>
    <cellStyle name="Normal_Phase XI QS 4" xfId="1262"/>
    <cellStyle name="Normal_Phase XI QS 5" xfId="1267"/>
    <cellStyle name="Normal_Sheet1" xfId="10"/>
    <cellStyle name="Normal_Sheet1 2" xfId="1254"/>
    <cellStyle name="Normal_Sheet1 7" xfId="1264"/>
    <cellStyle name="Normal_test-1" xfId="1271"/>
    <cellStyle name="Note 10" xfId="1124"/>
    <cellStyle name="Note 11" xfId="1125"/>
    <cellStyle name="Note 2" xfId="1126"/>
    <cellStyle name="Note 3" xfId="1127"/>
    <cellStyle name="Note 4" xfId="1128"/>
    <cellStyle name="Note 5" xfId="1129"/>
    <cellStyle name="Note 6" xfId="1130"/>
    <cellStyle name="Note 7" xfId="1131"/>
    <cellStyle name="Note 8" xfId="1132"/>
    <cellStyle name="Note 9" xfId="1133"/>
    <cellStyle name="Output 10" xfId="1134"/>
    <cellStyle name="Output 10 2" xfId="1135"/>
    <cellStyle name="Output 11" xfId="1136"/>
    <cellStyle name="Output 2" xfId="1137"/>
    <cellStyle name="Output 2 2" xfId="1138"/>
    <cellStyle name="Output 2 3" xfId="1139"/>
    <cellStyle name="Output 3" xfId="1140"/>
    <cellStyle name="Output 3 2" xfId="1141"/>
    <cellStyle name="Output 3 3" xfId="1142"/>
    <cellStyle name="Output 4" xfId="1143"/>
    <cellStyle name="Output 4 2" xfId="1144"/>
    <cellStyle name="Output 4 3" xfId="1145"/>
    <cellStyle name="Output 5" xfId="1146"/>
    <cellStyle name="Output 5 2" xfId="1147"/>
    <cellStyle name="Output 5 3" xfId="1148"/>
    <cellStyle name="Output 6" xfId="1149"/>
    <cellStyle name="Output 6 2" xfId="1150"/>
    <cellStyle name="Output 6 3" xfId="1151"/>
    <cellStyle name="Output 7" xfId="1152"/>
    <cellStyle name="Output 7 2" xfId="1153"/>
    <cellStyle name="Output 7 3" xfId="1154"/>
    <cellStyle name="Output 8" xfId="1155"/>
    <cellStyle name="Output 8 2" xfId="1156"/>
    <cellStyle name="Output 8 3" xfId="1157"/>
    <cellStyle name="Output 9" xfId="1158"/>
    <cellStyle name="Output 9 2" xfId="1159"/>
    <cellStyle name="Output 9 3" xfId="1160"/>
    <cellStyle name="Percent 12" xfId="1161"/>
    <cellStyle name="Percent 2" xfId="27"/>
    <cellStyle name="Percent 2 2" xfId="1162"/>
    <cellStyle name="Percent 2 3" xfId="1163"/>
    <cellStyle name="Percent 2 3 2" xfId="1164"/>
    <cellStyle name="Percent 3" xfId="1165"/>
    <cellStyle name="Percent 4" xfId="1166"/>
    <cellStyle name="Percent 5" xfId="1167"/>
    <cellStyle name="Percent 5 2" xfId="1168"/>
    <cellStyle name="Percent 6" xfId="1169"/>
    <cellStyle name="Percent 7" xfId="1170"/>
    <cellStyle name="Percent 8" xfId="1269"/>
    <cellStyle name="Style 1" xfId="1171"/>
    <cellStyle name="Style 2" xfId="1172"/>
    <cellStyle name="Title 10" xfId="1173"/>
    <cellStyle name="Title 10 2" xfId="1174"/>
    <cellStyle name="Title 11" xfId="1175"/>
    <cellStyle name="Title 2" xfId="1176"/>
    <cellStyle name="Title 2 2" xfId="1177"/>
    <cellStyle name="Title 2 3" xfId="1178"/>
    <cellStyle name="Title 3" xfId="1179"/>
    <cellStyle name="Title 3 2" xfId="1180"/>
    <cellStyle name="Title 3 3" xfId="1181"/>
    <cellStyle name="Title 4" xfId="1182"/>
    <cellStyle name="Title 4 2" xfId="1183"/>
    <cellStyle name="Title 4 3" xfId="1184"/>
    <cellStyle name="Title 5" xfId="1185"/>
    <cellStyle name="Title 5 2" xfId="1186"/>
    <cellStyle name="Title 5 3" xfId="1187"/>
    <cellStyle name="Title 6" xfId="1188"/>
    <cellStyle name="Title 6 2" xfId="1189"/>
    <cellStyle name="Title 6 3" xfId="1190"/>
    <cellStyle name="Title 7" xfId="1191"/>
    <cellStyle name="Title 7 2" xfId="1192"/>
    <cellStyle name="Title 7 3" xfId="1193"/>
    <cellStyle name="Title 8" xfId="1194"/>
    <cellStyle name="Title 8 2" xfId="1195"/>
    <cellStyle name="Title 8 3" xfId="1196"/>
    <cellStyle name="Title 9" xfId="1197"/>
    <cellStyle name="Title 9 2" xfId="1198"/>
    <cellStyle name="Title 9 3" xfId="1199"/>
    <cellStyle name="Total 10" xfId="1200"/>
    <cellStyle name="Total 10 2" xfId="1201"/>
    <cellStyle name="Total 11" xfId="1202"/>
    <cellStyle name="Total 2" xfId="1203"/>
    <cellStyle name="Total 2 2" xfId="1204"/>
    <cellStyle name="Total 2 3" xfId="1205"/>
    <cellStyle name="Total 3" xfId="1206"/>
    <cellStyle name="Total 3 2" xfId="1207"/>
    <cellStyle name="Total 3 3" xfId="1208"/>
    <cellStyle name="Total 4" xfId="1209"/>
    <cellStyle name="Total 4 2" xfId="1210"/>
    <cellStyle name="Total 4 3" xfId="1211"/>
    <cellStyle name="Total 5" xfId="1212"/>
    <cellStyle name="Total 5 2" xfId="1213"/>
    <cellStyle name="Total 5 3" xfId="1214"/>
    <cellStyle name="Total 6" xfId="1215"/>
    <cellStyle name="Total 6 2" xfId="1216"/>
    <cellStyle name="Total 6 3" xfId="1217"/>
    <cellStyle name="Total 7" xfId="1218"/>
    <cellStyle name="Total 7 2" xfId="1219"/>
    <cellStyle name="Total 7 3" xfId="1220"/>
    <cellStyle name="Total 8" xfId="1221"/>
    <cellStyle name="Total 8 2" xfId="1222"/>
    <cellStyle name="Total 8 3" xfId="1223"/>
    <cellStyle name="Total 9" xfId="1224"/>
    <cellStyle name="Total 9 2" xfId="1225"/>
    <cellStyle name="Total 9 3" xfId="1226"/>
    <cellStyle name="Warning Text 10" xfId="1227"/>
    <cellStyle name="Warning Text 10 2" xfId="1228"/>
    <cellStyle name="Warning Text 11" xfId="1229"/>
    <cellStyle name="Warning Text 2" xfId="1230"/>
    <cellStyle name="Warning Text 2 2" xfId="1231"/>
    <cellStyle name="Warning Text 2 3" xfId="1232"/>
    <cellStyle name="Warning Text 3" xfId="1233"/>
    <cellStyle name="Warning Text 3 2" xfId="1234"/>
    <cellStyle name="Warning Text 3 3" xfId="1235"/>
    <cellStyle name="Warning Text 4" xfId="1236"/>
    <cellStyle name="Warning Text 4 2" xfId="1237"/>
    <cellStyle name="Warning Text 4 3" xfId="1238"/>
    <cellStyle name="Warning Text 5" xfId="1239"/>
    <cellStyle name="Warning Text 5 2" xfId="1240"/>
    <cellStyle name="Warning Text 5 3" xfId="1241"/>
    <cellStyle name="Warning Text 6" xfId="1242"/>
    <cellStyle name="Warning Text 6 2" xfId="1243"/>
    <cellStyle name="Warning Text 6 3" xfId="1244"/>
    <cellStyle name="Warning Text 7" xfId="1245"/>
    <cellStyle name="Warning Text 7 2" xfId="1246"/>
    <cellStyle name="Warning Text 7 3" xfId="1247"/>
    <cellStyle name="Warning Text 8" xfId="1248"/>
    <cellStyle name="Warning Text 8 2" xfId="1249"/>
    <cellStyle name="Warning Text 8 3" xfId="1250"/>
    <cellStyle name="Warning Text 9" xfId="1251"/>
    <cellStyle name="Warning Text 9 2" xfId="1252"/>
    <cellStyle name="Warning Text 9 3" xfId="125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externalLink" Target="externalLinks/externalLink2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externalLink" Target="externalLinks/externalLink25.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externalLink" Target="externalLinks/externalLink27.xml"/></Relationships>
</file>

<file path=xl/drawings/drawing1.xml><?xml version="1.0" encoding="utf-8"?>
<xdr:wsDr xmlns:xdr="http://schemas.openxmlformats.org/drawingml/2006/spreadsheetDrawing" xmlns:a="http://schemas.openxmlformats.org/drawingml/2006/main">
  <xdr:twoCellAnchor editAs="oneCell">
    <xdr:from>
      <xdr:col>14</xdr:col>
      <xdr:colOff>457200</xdr:colOff>
      <xdr:row>7792</xdr:row>
      <xdr:rowOff>190500</xdr:rowOff>
    </xdr:from>
    <xdr:to>
      <xdr:col>14</xdr:col>
      <xdr:colOff>552450</xdr:colOff>
      <xdr:row>7792</xdr:row>
      <xdr:rowOff>200025</xdr:rowOff>
    </xdr:to>
    <xdr:sp macro="" textlink="">
      <xdr:nvSpPr>
        <xdr:cNvPr id="2" name="Text Box 1"/>
        <xdr:cNvSpPr txBox="1">
          <a:spLocks noChangeArrowheads="1"/>
        </xdr:cNvSpPr>
      </xdr:nvSpPr>
      <xdr:spPr bwMode="auto">
        <a:xfrm>
          <a:off x="22221825" y="24099583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xdr:cNvSpPr txBox="1">
          <a:spLocks noChangeArrowheads="1"/>
        </xdr:cNvSpPr>
      </xdr:nvSpPr>
      <xdr:spPr bwMode="auto">
        <a:xfrm>
          <a:off x="14706600" y="0"/>
          <a:ext cx="9525"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D%20Drive\Moorthi%20JE\Jaihind%20puram%20PS\Jaihind%20puram%20PS%20Final\TNPHC(II)\R.WALL,%20FILLING%20%20GRAVEL%20EST%20VMBK%20%20QRS\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Vambay%20Phase-IV%20Estimates\VELLAKOI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NPHC/On%20Doing/Regunathapuram%20RPS%20-%20FINAL/After%20MD/Estimat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cer/Desktop/THANJAVUR%2022.09.2021/Thiruvaiyaru%20Fire%20Station/station%20fire%20Theni.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NPHC/21-22%20Estimate/Regunathapuram%20RPS%20-%20FINAL/After%20MD%20Final%2021.04.2022/SE%20Ins%2010.03.2022%20-%20Copy/Estimate%20Final%2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Final%20Spl%20Data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Mayiladuthurai%20qtrs%2024.02.2017%20to%20Chennai%20Head%20Offic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agai%20Sub%20Division/TVR/Perugavalthan/NEW%20RPS/pERAMUR/Keelapalur%20New%20(2)%20BELOW%20BASEMEN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cer/Desktop/THANJAVUR%2022.09.2021/Thiruvaiyaru%20Fire%20Station/station%20fire%20Theni.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hiruvaiyaru%20Fire%20&amp;%20RS%20Estimate%20(FINA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TNPHC/21-22%20Estimate/Regunathapuram%20RPS%20-%20FINAL/fwdthiruvaiyarufirersestmatecopyfinal/Thiruvaiyaru%20Fire%20&amp;%20RS%20Estimate%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TNPHC/Desktop/coding%20sheet%20FINAL(SEPERATE%20FOR%20TENDER).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Nagapattinam%20Sub%20Division/C/Desktop/AR%20143%20QTRS%20(phase%2021)/ar%20143%20development/developmen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office%20file/SIVAKASI%20ESTIMATE/Sivakasi%20Fire%20station%20estimate/Drying%20Yard%20%20and%20Hose%20Drying%20Rack%20for%20Fire%20%20Station%20Building%20VN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TNPHC/20-21%20Estimates/Malaiyur%20RPS/Model/KEELAPALUR%20R.P.%20to%20Correc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nphc\f\Users\ADMIN\Desktop\Pending%20work\city%20road\PALANI-Data%202018-%2019%20-%20Roads-AS%20ON%2001.08.1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Tnphc\f\Documents%20and%20Settings\y6hgb\My%20Documents\TRICHY\Karu.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nphc\f\mailam%20PRS%2022.06.2013\estimate\Documents%20and%20Settings\y6hgb\My%20Documents\TRICHY\Karu.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NPHC/20-21%20Estimates/Malaiyur%20RPS/Model/Main%20Estimate/JambunathaPuram%20RPS/EST%20Jembunathapuram/Jambunatha%20Puram%20RPS%20-%20Fina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nphc\f\Users\tnphc\Downloads\Documents%20and%20Settings\y6hgb\My%20Documents\TRICHY\Karu.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TNPHC/20-21%20Estimates/Malaiyur%20RPS/Model/DEVELOPMENT%20WORKS/ALL%20Bore%20well%20&amp;%20Pumpset%20EST/PUMP%20SET/Vaiyampatti%20Pump%20Set/ALANGUDI%20PUMP%20SE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TNPHC/20-21%20Estimates/Malaiyur%20RPS/Model/Users/OFFICE/Downloads/Documents%20and%20Settings/y6hgb/My%20Documents/TRICHY/Karu.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G:\Documents%20and%20Settings\y6hgb\My%20Documents\TRICHY\Karu.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
      <sheetName val="Feed"/>
      <sheetName val="detailed Pro"/>
      <sheetName val="abstract Pro"/>
      <sheetName val="abstract Pro (2)"/>
      <sheetName val="Lead statement"/>
    </sheetNames>
    <sheetDataSet>
      <sheetData sheetId="0">
        <row r="195">
          <cell r="X195" t="str">
            <v xml:space="preserve">DATA FOR THE YEAR 2004 - 2005 FOR </v>
          </cell>
        </row>
        <row r="196">
          <cell r="X196" t="str">
            <v xml:space="preserve">SIVANATHAPURAM, AMMAN KOIL STREET &amp; MAHALIAMMAN KOIL STREET in VELLAKOIL MUNICIPALITY, ERODE </v>
          </cell>
        </row>
        <row r="197">
          <cell r="X197" t="str">
            <v>Sl No</v>
          </cell>
          <cell r="Y197" t="str">
            <v>Qty.</v>
          </cell>
          <cell r="AA197" t="str">
            <v>Description</v>
          </cell>
          <cell r="AB197" t="str">
            <v xml:space="preserve">Rate </v>
          </cell>
          <cell r="AC197" t="str">
            <v>Unit</v>
          </cell>
          <cell r="AD197" t="str">
            <v>Amount</v>
          </cell>
        </row>
        <row r="199">
          <cell r="X199">
            <v>1</v>
          </cell>
          <cell r="Y199" t="str">
            <v>Cement mortar 1:2 for 1 M³</v>
          </cell>
        </row>
        <row r="200">
          <cell r="Y200">
            <v>0.72</v>
          </cell>
          <cell r="Z200" t="str">
            <v>MT</v>
          </cell>
          <cell r="AA200" t="str">
            <v>Cement</v>
          </cell>
          <cell r="AB200">
            <v>2840</v>
          </cell>
          <cell r="AC200" t="str">
            <v>1M.T.</v>
          </cell>
          <cell r="AD200">
            <v>2044.8</v>
          </cell>
        </row>
        <row r="201">
          <cell r="Y201">
            <v>1</v>
          </cell>
          <cell r="Z201" t="str">
            <v>M³</v>
          </cell>
          <cell r="AA201" t="str">
            <v>Sand for mortar</v>
          </cell>
          <cell r="AB201">
            <v>165.6</v>
          </cell>
          <cell r="AC201" t="str">
            <v>1M³</v>
          </cell>
          <cell r="AD201">
            <v>165.6</v>
          </cell>
        </row>
        <row r="202">
          <cell r="Y202">
            <v>1</v>
          </cell>
          <cell r="Z202" t="str">
            <v>M³</v>
          </cell>
          <cell r="AA202" t="str">
            <v>Mixing charges</v>
          </cell>
          <cell r="AB202">
            <v>26</v>
          </cell>
          <cell r="AC202" t="str">
            <v>1M³</v>
          </cell>
          <cell r="AD202">
            <v>26</v>
          </cell>
        </row>
        <row r="204">
          <cell r="AC204" t="str">
            <v>Total=</v>
          </cell>
          <cell r="AD204">
            <v>2236.4</v>
          </cell>
        </row>
        <row r="205">
          <cell r="X205">
            <v>2</v>
          </cell>
          <cell r="Y205" t="str">
            <v>Cement mortar 1:3 for 1 M³</v>
          </cell>
        </row>
        <row r="206">
          <cell r="Y206">
            <v>0.48</v>
          </cell>
          <cell r="Z206" t="str">
            <v>MT</v>
          </cell>
          <cell r="AA206" t="str">
            <v>Cement</v>
          </cell>
          <cell r="AB206">
            <v>2840</v>
          </cell>
          <cell r="AC206" t="str">
            <v>1M.T.</v>
          </cell>
          <cell r="AD206">
            <v>1363.2</v>
          </cell>
        </row>
        <row r="207">
          <cell r="Y207">
            <v>1</v>
          </cell>
          <cell r="Z207" t="str">
            <v>M³</v>
          </cell>
          <cell r="AA207" t="str">
            <v>Sand for mortar</v>
          </cell>
          <cell r="AB207">
            <v>165.6</v>
          </cell>
          <cell r="AC207" t="str">
            <v>1M³</v>
          </cell>
          <cell r="AD207">
            <v>165.6</v>
          </cell>
        </row>
        <row r="208">
          <cell r="Y208">
            <v>1</v>
          </cell>
          <cell r="Z208" t="str">
            <v>M³</v>
          </cell>
          <cell r="AA208" t="str">
            <v>Mixing charges</v>
          </cell>
          <cell r="AB208">
            <v>26</v>
          </cell>
          <cell r="AC208" t="str">
            <v>1M³</v>
          </cell>
          <cell r="AD208">
            <v>26</v>
          </cell>
        </row>
        <row r="210">
          <cell r="AC210" t="str">
            <v>Total=</v>
          </cell>
          <cell r="AD210">
            <v>1554.8</v>
          </cell>
        </row>
        <row r="211">
          <cell r="X211">
            <v>3</v>
          </cell>
          <cell r="Y211" t="str">
            <v>Cement mortar 1:4 for 1 M³</v>
          </cell>
        </row>
        <row r="212">
          <cell r="Y212">
            <v>0.36</v>
          </cell>
          <cell r="Z212" t="str">
            <v>MT</v>
          </cell>
          <cell r="AA212" t="str">
            <v>Cement</v>
          </cell>
          <cell r="AB212">
            <v>2840</v>
          </cell>
          <cell r="AC212" t="str">
            <v>1M.T.</v>
          </cell>
          <cell r="AD212">
            <v>1022.4</v>
          </cell>
        </row>
        <row r="213">
          <cell r="Y213">
            <v>1</v>
          </cell>
          <cell r="Z213" t="str">
            <v>M³</v>
          </cell>
          <cell r="AA213" t="str">
            <v>Sand for mortar</v>
          </cell>
          <cell r="AB213">
            <v>165.6</v>
          </cell>
          <cell r="AC213" t="str">
            <v>1M³</v>
          </cell>
          <cell r="AD213">
            <v>165.6</v>
          </cell>
        </row>
        <row r="214">
          <cell r="Y214">
            <v>1</v>
          </cell>
          <cell r="Z214" t="str">
            <v>M³</v>
          </cell>
          <cell r="AA214" t="str">
            <v>Mixing charges</v>
          </cell>
          <cell r="AB214">
            <v>26</v>
          </cell>
          <cell r="AC214" t="str">
            <v>1M³</v>
          </cell>
          <cell r="AD214">
            <v>26</v>
          </cell>
        </row>
        <row r="216">
          <cell r="AC216" t="str">
            <v>Total=</v>
          </cell>
          <cell r="AD216">
            <v>1214</v>
          </cell>
        </row>
        <row r="217">
          <cell r="X217">
            <v>4</v>
          </cell>
          <cell r="Y217" t="str">
            <v>Cement mortar 1:5 for 1 M³</v>
          </cell>
        </row>
        <row r="218">
          <cell r="Y218">
            <v>0.28799999999999998</v>
          </cell>
          <cell r="Z218" t="str">
            <v>MT</v>
          </cell>
          <cell r="AA218" t="str">
            <v>Cement</v>
          </cell>
          <cell r="AB218">
            <v>2840</v>
          </cell>
          <cell r="AC218" t="str">
            <v>1M.T.</v>
          </cell>
          <cell r="AD218">
            <v>817.92</v>
          </cell>
        </row>
        <row r="219">
          <cell r="Y219">
            <v>1</v>
          </cell>
          <cell r="Z219" t="str">
            <v>M³</v>
          </cell>
          <cell r="AA219" t="str">
            <v>Sand for mortar</v>
          </cell>
          <cell r="AB219">
            <v>165.6</v>
          </cell>
          <cell r="AC219" t="str">
            <v>1M³</v>
          </cell>
          <cell r="AD219">
            <v>165.6</v>
          </cell>
        </row>
        <row r="220">
          <cell r="Y220">
            <v>1</v>
          </cell>
          <cell r="Z220" t="str">
            <v>M³</v>
          </cell>
          <cell r="AA220" t="str">
            <v>Mixing charges</v>
          </cell>
          <cell r="AB220">
            <v>26</v>
          </cell>
          <cell r="AC220" t="str">
            <v>1M³</v>
          </cell>
          <cell r="AD220">
            <v>26</v>
          </cell>
        </row>
        <row r="222">
          <cell r="AC222" t="str">
            <v>Total=</v>
          </cell>
          <cell r="AD222">
            <v>1009.52</v>
          </cell>
        </row>
        <row r="223">
          <cell r="X223">
            <v>5</v>
          </cell>
          <cell r="Y223" t="str">
            <v>Cement mortar 1:6 for 1 M³</v>
          </cell>
        </row>
        <row r="224">
          <cell r="Y224">
            <v>0.24</v>
          </cell>
          <cell r="Z224" t="str">
            <v>MT</v>
          </cell>
          <cell r="AA224" t="str">
            <v>Cement</v>
          </cell>
          <cell r="AB224">
            <v>2840</v>
          </cell>
          <cell r="AC224" t="str">
            <v>1M.T.</v>
          </cell>
          <cell r="AD224">
            <v>681.6</v>
          </cell>
        </row>
        <row r="225">
          <cell r="Y225">
            <v>1</v>
          </cell>
          <cell r="Z225" t="str">
            <v>M³</v>
          </cell>
          <cell r="AA225" t="str">
            <v>Sand for mortar</v>
          </cell>
          <cell r="AB225">
            <v>165.6</v>
          </cell>
          <cell r="AC225" t="str">
            <v>1M³</v>
          </cell>
          <cell r="AD225">
            <v>165.6</v>
          </cell>
        </row>
        <row r="226">
          <cell r="Y226">
            <v>1</v>
          </cell>
          <cell r="Z226" t="str">
            <v>M³</v>
          </cell>
          <cell r="AA226" t="str">
            <v>Mixing charges</v>
          </cell>
          <cell r="AB226">
            <v>26</v>
          </cell>
          <cell r="AC226" t="str">
            <v>1M³</v>
          </cell>
          <cell r="AD226">
            <v>26</v>
          </cell>
        </row>
        <row r="228">
          <cell r="AC228" t="str">
            <v>Total=</v>
          </cell>
          <cell r="AD228">
            <v>873.2</v>
          </cell>
        </row>
        <row r="230">
          <cell r="X230">
            <v>6</v>
          </cell>
          <cell r="Y230" t="str">
            <v>Earth work excavation for foundation with all leads and lifts in all soils and sub soils and to the required depth as may be directed except hard rock requiring blasting inclusive of shoring, strutting and bailing out water wherever necessary refilling th</v>
          </cell>
        </row>
        <row r="231">
          <cell r="Y231">
            <v>1</v>
          </cell>
          <cell r="Z231" t="str">
            <v>M³</v>
          </cell>
          <cell r="AA231" t="str">
            <v>Sand ordinary soil SS20B</v>
          </cell>
          <cell r="AB231">
            <v>16.399999999999999</v>
          </cell>
          <cell r="AC231" t="str">
            <v>1M³</v>
          </cell>
          <cell r="AD231">
            <v>16.399999999999999</v>
          </cell>
        </row>
        <row r="232">
          <cell r="Y232">
            <v>1</v>
          </cell>
          <cell r="Z232" t="str">
            <v>M³</v>
          </cell>
          <cell r="AA232" t="str">
            <v>Hard stiff clay SS20B</v>
          </cell>
          <cell r="AB232">
            <v>24.9</v>
          </cell>
          <cell r="AC232" t="str">
            <v>1M³</v>
          </cell>
          <cell r="AD232">
            <v>24.9</v>
          </cell>
        </row>
        <row r="234">
          <cell r="AD234">
            <v>41.3</v>
          </cell>
        </row>
        <row r="235">
          <cell r="AA235" t="str">
            <v>Average rate</v>
          </cell>
          <cell r="AB235">
            <v>41.3</v>
          </cell>
          <cell r="AC235" t="str">
            <v xml:space="preserve"> / 2</v>
          </cell>
          <cell r="AD235">
            <v>20.65</v>
          </cell>
        </row>
        <row r="237">
          <cell r="Y237">
            <v>1</v>
          </cell>
          <cell r="Z237" t="str">
            <v>M³</v>
          </cell>
          <cell r="AA237" t="str">
            <v>Double the relevant rate for narrow excavation</v>
          </cell>
          <cell r="AB237">
            <v>41.3</v>
          </cell>
          <cell r="AC237" t="str">
            <v>1M³</v>
          </cell>
          <cell r="AD237">
            <v>41.3</v>
          </cell>
        </row>
        <row r="238">
          <cell r="Y238">
            <v>0.33333333333333331</v>
          </cell>
          <cell r="Z238" t="str">
            <v>M³</v>
          </cell>
          <cell r="AA238" t="str">
            <v>Add 1/3 of refilling rate</v>
          </cell>
          <cell r="AB238">
            <v>8.75</v>
          </cell>
          <cell r="AC238" t="str">
            <v>1M³</v>
          </cell>
          <cell r="AD238">
            <v>2.92</v>
          </cell>
        </row>
        <row r="239">
          <cell r="AB239" t="str">
            <v>FOR  1  M³      =</v>
          </cell>
          <cell r="AD239">
            <v>44.22</v>
          </cell>
        </row>
        <row r="240">
          <cell r="X240">
            <v>7</v>
          </cell>
          <cell r="Y240" t="str">
            <v>Cement concrete 1:5:10 (One of cement, five of sand and ten of hard broken stone) using 40mm size hard broken stone inclusive of shoring, strutting, bailing out water, ramming, curing etc., complete in all respects as directed by the departmental officers</v>
          </cell>
        </row>
        <row r="241">
          <cell r="Y241">
            <v>9</v>
          </cell>
          <cell r="Z241" t="str">
            <v>M³</v>
          </cell>
          <cell r="AA241" t="str">
            <v>Hard broken granite stones 40mm-ISS</v>
          </cell>
          <cell r="AB241">
            <v>346.8</v>
          </cell>
          <cell r="AC241" t="str">
            <v>1M³</v>
          </cell>
          <cell r="AD241">
            <v>3121.2</v>
          </cell>
        </row>
        <row r="242">
          <cell r="Y242">
            <v>4.5</v>
          </cell>
          <cell r="Z242" t="str">
            <v>M³</v>
          </cell>
          <cell r="AA242" t="str">
            <v>Cement mortar 1:5</v>
          </cell>
          <cell r="AB242">
            <v>1009.52</v>
          </cell>
          <cell r="AC242" t="str">
            <v>1M³</v>
          </cell>
          <cell r="AD242">
            <v>4542.84</v>
          </cell>
        </row>
        <row r="243">
          <cell r="Y243">
            <v>1.8</v>
          </cell>
          <cell r="Z243" t="str">
            <v>No</v>
          </cell>
          <cell r="AA243" t="str">
            <v>Mason II class</v>
          </cell>
          <cell r="AB243">
            <v>126</v>
          </cell>
          <cell r="AC243" t="str">
            <v>Each</v>
          </cell>
          <cell r="AD243">
            <v>226.8</v>
          </cell>
        </row>
        <row r="244">
          <cell r="Y244">
            <v>17.7</v>
          </cell>
          <cell r="Z244" t="str">
            <v>No</v>
          </cell>
          <cell r="AA244" t="str">
            <v>Mazdoor category I</v>
          </cell>
          <cell r="AB244">
            <v>85</v>
          </cell>
          <cell r="AC244" t="str">
            <v>Each</v>
          </cell>
          <cell r="AD244">
            <v>1504.5</v>
          </cell>
        </row>
        <row r="245">
          <cell r="Y245">
            <v>14.1</v>
          </cell>
          <cell r="Z245" t="str">
            <v>No</v>
          </cell>
          <cell r="AA245" t="str">
            <v>Mazdoor category II</v>
          </cell>
          <cell r="AB245">
            <v>80</v>
          </cell>
          <cell r="AC245" t="str">
            <v>Each</v>
          </cell>
          <cell r="AD245">
            <v>1128</v>
          </cell>
        </row>
        <row r="247">
          <cell r="AB247" t="str">
            <v>FOR 10 M³      =</v>
          </cell>
          <cell r="AD247">
            <v>10523.34</v>
          </cell>
        </row>
        <row r="249">
          <cell r="AA249" t="str">
            <v>For foundation &amp; Basement</v>
          </cell>
          <cell r="AB249" t="str">
            <v>FOR  1  M³      =</v>
          </cell>
          <cell r="AD249">
            <v>1052.33</v>
          </cell>
        </row>
        <row r="251">
          <cell r="X251">
            <v>8</v>
          </cell>
          <cell r="Y251" t="str">
            <v>Cement concrete 1:2:4 (One of cement, two of sand and four of hard broken granite stones ) using 20mm gauge hard broken granite stones for all reinforced cement concrete works viz. Raft slabs, raft beams, column footing, plinth beam, lintel, square or cir</v>
          </cell>
        </row>
        <row r="252">
          <cell r="Y252">
            <v>9</v>
          </cell>
          <cell r="Z252" t="str">
            <v>M³</v>
          </cell>
          <cell r="AA252" t="str">
            <v xml:space="preserve">20 mm H.B.G.  ISS. Stone </v>
          </cell>
          <cell r="AB252">
            <v>421.8</v>
          </cell>
          <cell r="AC252" t="str">
            <v>1M³</v>
          </cell>
          <cell r="AD252">
            <v>3796.2</v>
          </cell>
        </row>
        <row r="253">
          <cell r="Y253">
            <v>4.5</v>
          </cell>
          <cell r="Z253" t="str">
            <v>M³</v>
          </cell>
          <cell r="AA253" t="str">
            <v>Sand for mortar</v>
          </cell>
          <cell r="AB253">
            <v>165.6</v>
          </cell>
          <cell r="AC253" t="str">
            <v>1M³</v>
          </cell>
          <cell r="AD253">
            <v>745.2</v>
          </cell>
        </row>
        <row r="254">
          <cell r="Y254">
            <v>3.2309999999999999</v>
          </cell>
          <cell r="Z254" t="str">
            <v>MT</v>
          </cell>
          <cell r="AA254" t="str">
            <v>Cement</v>
          </cell>
          <cell r="AB254">
            <v>2840</v>
          </cell>
          <cell r="AC254" t="str">
            <v>1MT</v>
          </cell>
          <cell r="AD254">
            <v>9176.0400000000009</v>
          </cell>
        </row>
        <row r="255">
          <cell r="Y255">
            <v>3.5</v>
          </cell>
          <cell r="Z255" t="str">
            <v>No</v>
          </cell>
          <cell r="AA255" t="str">
            <v>Mason II Class</v>
          </cell>
          <cell r="AB255">
            <v>126</v>
          </cell>
          <cell r="AC255" t="str">
            <v>Each</v>
          </cell>
          <cell r="AD255">
            <v>441</v>
          </cell>
        </row>
        <row r="256">
          <cell r="Y256">
            <v>21.2</v>
          </cell>
          <cell r="Z256" t="str">
            <v>No</v>
          </cell>
          <cell r="AA256" t="str">
            <v>Mazdoor Category I</v>
          </cell>
          <cell r="AB256">
            <v>85</v>
          </cell>
          <cell r="AC256" t="str">
            <v>Each</v>
          </cell>
          <cell r="AD256">
            <v>1802</v>
          </cell>
        </row>
        <row r="257">
          <cell r="Y257">
            <v>35.299999999999997</v>
          </cell>
          <cell r="Z257" t="str">
            <v>No</v>
          </cell>
          <cell r="AA257" t="str">
            <v>Mazdoor Category II</v>
          </cell>
          <cell r="AB257">
            <v>80</v>
          </cell>
          <cell r="AC257" t="str">
            <v>Each</v>
          </cell>
          <cell r="AD257">
            <v>2824</v>
          </cell>
        </row>
        <row r="259">
          <cell r="AA259" t="str">
            <v>Rate excluding vibration charges</v>
          </cell>
          <cell r="AB259" t="str">
            <v xml:space="preserve">FOR 10 M³    =     </v>
          </cell>
          <cell r="AD259">
            <v>18784.440000000002</v>
          </cell>
        </row>
        <row r="261">
          <cell r="AB261" t="str">
            <v xml:space="preserve"> FOR 1 M³     =</v>
          </cell>
          <cell r="AD261">
            <v>1878.44</v>
          </cell>
        </row>
        <row r="262">
          <cell r="AA262" t="str">
            <v>Add vibration charges</v>
          </cell>
          <cell r="AB262" t="str">
            <v xml:space="preserve"> FOR 1 M³     =</v>
          </cell>
          <cell r="AD262">
            <v>20.6</v>
          </cell>
        </row>
        <row r="264">
          <cell r="Z264" t="str">
            <v>A</v>
          </cell>
          <cell r="AA264" t="str">
            <v xml:space="preserve">In Foundation &amp; basement </v>
          </cell>
          <cell r="AB264" t="str">
            <v xml:space="preserve"> FOR 1 M³     =</v>
          </cell>
          <cell r="AD264">
            <v>1899.04</v>
          </cell>
        </row>
        <row r="265">
          <cell r="AA265" t="str">
            <v>Add for lift charges</v>
          </cell>
          <cell r="AC265" t="str">
            <v>`</v>
          </cell>
          <cell r="AD265">
            <v>26.3</v>
          </cell>
        </row>
        <row r="266">
          <cell r="Z266" t="str">
            <v>B</v>
          </cell>
          <cell r="AA266" t="str">
            <v>In Ground floor</v>
          </cell>
          <cell r="AB266" t="str">
            <v xml:space="preserve"> FOR 1 M³     =</v>
          </cell>
          <cell r="AD266">
            <v>1925.34</v>
          </cell>
        </row>
        <row r="268">
          <cell r="X268">
            <v>9</v>
          </cell>
          <cell r="Y268" t="str">
            <v>Reinforced cement concrete 1:2:4 (One of cement, two of sand and four of hard broken granite stones ) using 20mm gauge hard broken granite stones for petty works excluding the cost and fabrication  of reinforcement grills in position but including cost of</v>
          </cell>
        </row>
        <row r="269">
          <cell r="Y269">
            <v>1</v>
          </cell>
          <cell r="Z269" t="str">
            <v>M³</v>
          </cell>
          <cell r="AA269" t="str">
            <v>RCC 1:2:4 (without vibration charges)</v>
          </cell>
          <cell r="AB269">
            <v>1878.44</v>
          </cell>
          <cell r="AC269" t="str">
            <v>1M³</v>
          </cell>
          <cell r="AD269">
            <v>1878.44</v>
          </cell>
        </row>
        <row r="270">
          <cell r="Y270" t="str">
            <v xml:space="preserve">               LS</v>
          </cell>
          <cell r="AA270" t="str">
            <v>Sundries including cost of casting, moulding,curing,finishing etc.</v>
          </cell>
          <cell r="AB270" t="str">
            <v xml:space="preserve">               LS</v>
          </cell>
          <cell r="AD270">
            <v>61.559999999999945</v>
          </cell>
        </row>
        <row r="272">
          <cell r="AA272" t="str">
            <v>In all Floors</v>
          </cell>
          <cell r="AB272" t="str">
            <v xml:space="preserve"> FOR 1 M³     =</v>
          </cell>
          <cell r="AD272">
            <v>1940</v>
          </cell>
        </row>
        <row r="274">
          <cell r="X274">
            <v>10</v>
          </cell>
          <cell r="Y274" t="str">
            <v>Fabricating and placing the following kinds of steel grills for reinforcement for all reinforced cement concrete works such as plinth beam, lintels, beams, sunshade, roof and floor slabs etc., including cost of steel and fabricating the reinforcement gril</v>
          </cell>
        </row>
        <row r="275">
          <cell r="X275" t="str">
            <v>a)</v>
          </cell>
          <cell r="Y275" t="str">
            <v>Steel upto 16mm dia - 100 Kg.</v>
          </cell>
        </row>
        <row r="276">
          <cell r="Y276">
            <v>0.1</v>
          </cell>
          <cell r="Z276" t="str">
            <v>MT</v>
          </cell>
          <cell r="AA276" t="str">
            <v>Steel upto 16mm dia</v>
          </cell>
          <cell r="AB276">
            <v>28000</v>
          </cell>
          <cell r="AC276" t="str">
            <v>1MT</v>
          </cell>
          <cell r="AD276">
            <v>2800</v>
          </cell>
        </row>
        <row r="277">
          <cell r="Y277">
            <v>1</v>
          </cell>
          <cell r="Z277" t="str">
            <v>KG</v>
          </cell>
          <cell r="AA277" t="str">
            <v>Binding wire</v>
          </cell>
          <cell r="AB277">
            <v>30</v>
          </cell>
          <cell r="AC277" t="str">
            <v>1KG</v>
          </cell>
          <cell r="AD277">
            <v>30</v>
          </cell>
        </row>
        <row r="278">
          <cell r="Y278">
            <v>3.5</v>
          </cell>
          <cell r="Z278" t="str">
            <v>No</v>
          </cell>
          <cell r="AA278" t="str">
            <v>Fitter I class for bar bending,tying</v>
          </cell>
          <cell r="AB278">
            <v>106</v>
          </cell>
          <cell r="AC278" t="str">
            <v>Each</v>
          </cell>
          <cell r="AD278">
            <v>371</v>
          </cell>
        </row>
        <row r="280">
          <cell r="AB280" t="str">
            <v>FOR 100KG    =</v>
          </cell>
          <cell r="AD280">
            <v>3201</v>
          </cell>
        </row>
        <row r="282">
          <cell r="AB282" t="str">
            <v>FOR 1 M.T.     =</v>
          </cell>
          <cell r="AD282">
            <v>32010</v>
          </cell>
        </row>
        <row r="284">
          <cell r="X284" t="str">
            <v>b)</v>
          </cell>
          <cell r="Y284" t="str">
            <v>Steel above 16mm dia - 100Kg.</v>
          </cell>
        </row>
        <row r="285">
          <cell r="Y285">
            <v>0.1</v>
          </cell>
          <cell r="Z285" t="str">
            <v>MT</v>
          </cell>
          <cell r="AA285" t="str">
            <v>Steel above 16mm dia</v>
          </cell>
          <cell r="AB285">
            <v>24000</v>
          </cell>
          <cell r="AC285" t="str">
            <v>1MT</v>
          </cell>
          <cell r="AD285">
            <v>2400</v>
          </cell>
        </row>
        <row r="286">
          <cell r="Y286">
            <v>1</v>
          </cell>
          <cell r="Z286" t="str">
            <v>KG</v>
          </cell>
          <cell r="AA286" t="str">
            <v>Binding wire</v>
          </cell>
          <cell r="AB286">
            <v>30</v>
          </cell>
          <cell r="AC286" t="str">
            <v>1KG</v>
          </cell>
          <cell r="AD286">
            <v>30</v>
          </cell>
        </row>
        <row r="287">
          <cell r="Y287">
            <v>3.5</v>
          </cell>
          <cell r="Z287" t="str">
            <v>No</v>
          </cell>
          <cell r="AA287" t="str">
            <v>Fitter I class for bar bending,tying</v>
          </cell>
          <cell r="AB287">
            <v>106</v>
          </cell>
          <cell r="AC287" t="str">
            <v>Each</v>
          </cell>
          <cell r="AD287">
            <v>371</v>
          </cell>
        </row>
        <row r="289">
          <cell r="AB289" t="str">
            <v>FOR 100KG    =</v>
          </cell>
          <cell r="AD289">
            <v>2801</v>
          </cell>
        </row>
        <row r="291">
          <cell r="AB291" t="str">
            <v>FOR 1 M.T.     =</v>
          </cell>
          <cell r="AD291">
            <v>28010</v>
          </cell>
        </row>
        <row r="293">
          <cell r="X293">
            <v>11</v>
          </cell>
          <cell r="Y293" t="str">
            <v>Providing form work for  all reinforced cement concrete works like lintels, beams,etc., including strutting 3M high using Mild steel sheets of size 90cm × 60cm and B.G. 10, stiffened with Mild steel Angles of size 25mm × 25mm × 3mm laid over Silver oak (c</v>
          </cell>
        </row>
        <row r="294">
          <cell r="Y294" t="str">
            <v>cost of M.S. Sheet and angles for each set weight of M.S.Sheet B.G. 10 of size 90cm × 60cm × 3.175mm (3.175mm thick)</v>
          </cell>
        </row>
        <row r="295">
          <cell r="Y295" t="str">
            <v>(Weight of M.S.Sheet =7850 kg/ M³)</v>
          </cell>
        </row>
        <row r="296">
          <cell r="Y296" t="str">
            <v>3.175mm × 7850kg/ 1000cm³=24.924kg × 0.54M²=13.46kg.</v>
          </cell>
        </row>
        <row r="297">
          <cell r="Y297" t="str">
            <v>weight of M.S.angles of size 25mm × 25mm × 3mm= 3.6M × 1.10kg/ M= 4kg</v>
          </cell>
        </row>
        <row r="298">
          <cell r="Y298" t="str">
            <v>SUB DATA 1 FOR COST OF ONE SHEET WITH ANGLES</v>
          </cell>
        </row>
        <row r="299">
          <cell r="Y299">
            <v>13.46</v>
          </cell>
          <cell r="Z299" t="str">
            <v>kg</v>
          </cell>
          <cell r="AA299" t="str">
            <v>Cost of M.S. Sheet</v>
          </cell>
          <cell r="AB299">
            <v>30</v>
          </cell>
          <cell r="AC299" t="str">
            <v>1Kg</v>
          </cell>
          <cell r="AD299">
            <v>403.8</v>
          </cell>
        </row>
        <row r="300">
          <cell r="Y300">
            <v>4</v>
          </cell>
          <cell r="Z300" t="str">
            <v>kg</v>
          </cell>
          <cell r="AA300" t="str">
            <v>Cost of M.S. Angles</v>
          </cell>
          <cell r="AB300">
            <v>30</v>
          </cell>
          <cell r="AC300" t="str">
            <v>1Kg</v>
          </cell>
          <cell r="AD300">
            <v>120</v>
          </cell>
        </row>
        <row r="301">
          <cell r="Y301" t="str">
            <v>L.S.</v>
          </cell>
          <cell r="AA301" t="str">
            <v>Add for cutting, bending, welding etc.,</v>
          </cell>
          <cell r="AC301" t="str">
            <v>L.S.</v>
          </cell>
          <cell r="AD301">
            <v>26.2</v>
          </cell>
        </row>
        <row r="302">
          <cell r="AB302" t="str">
            <v>FOR 1No  =</v>
          </cell>
          <cell r="AD302">
            <v>550</v>
          </cell>
        </row>
        <row r="303">
          <cell r="Y303" t="str">
            <v xml:space="preserve">SUB DATA 2 FOR COST OF M.S. SHEETS AND ANGLES FOR 1 USE ADOPTING 40 USES - 10M² </v>
          </cell>
        </row>
        <row r="304">
          <cell r="Y304">
            <v>19</v>
          </cell>
          <cell r="Z304" t="str">
            <v>nos</v>
          </cell>
          <cell r="AA304" t="str">
            <v>Cost of M.S.Sheet and Angle for 40 Uses</v>
          </cell>
          <cell r="AB304">
            <v>550</v>
          </cell>
          <cell r="AC304" t="str">
            <v>Each</v>
          </cell>
          <cell r="AD304">
            <v>10450</v>
          </cell>
        </row>
        <row r="306">
          <cell r="Y306" t="str">
            <v>Hence cost of M.S.Sheet and Angle for 1 Use =</v>
          </cell>
          <cell r="AB306">
            <v>10450</v>
          </cell>
          <cell r="AC306" t="str">
            <v xml:space="preserve"> ÷ 40   = </v>
          </cell>
          <cell r="AD306">
            <v>261.25</v>
          </cell>
        </row>
        <row r="308">
          <cell r="Y308" t="str">
            <v xml:space="preserve">SUB DATA 3 FOR COST OF  SILVER OAK JOISTS AND CASURINA PROPS ADOPTING 5 USES - 10M² </v>
          </cell>
        </row>
        <row r="309">
          <cell r="Y309">
            <v>0.12</v>
          </cell>
          <cell r="Z309" t="str">
            <v>M³</v>
          </cell>
          <cell r="AA309" t="str">
            <v>Silver oak (C.W.) joists 10cm × 6.5cm at about 90cm c/c</v>
          </cell>
          <cell r="AB309">
            <v>9300</v>
          </cell>
          <cell r="AC309" t="str">
            <v>1M³</v>
          </cell>
          <cell r="AD309">
            <v>1116</v>
          </cell>
        </row>
        <row r="310">
          <cell r="Y310">
            <v>98.5</v>
          </cell>
          <cell r="Z310" t="str">
            <v>RM</v>
          </cell>
          <cell r="AA310" t="str">
            <v>Casurina poles 10cm to 13cm dia at about 75cm c/c</v>
          </cell>
          <cell r="AB310">
            <v>15</v>
          </cell>
          <cell r="AC310" t="str">
            <v>1RM</v>
          </cell>
          <cell r="AD310">
            <v>1477.5</v>
          </cell>
        </row>
        <row r="311">
          <cell r="AA311" t="str">
            <v>FOR 5 USES OF 10M²  =</v>
          </cell>
          <cell r="AD311">
            <v>2593.5</v>
          </cell>
        </row>
        <row r="313">
          <cell r="Y313" t="str">
            <v>Hence cost of silver oak joists and casurina props for 1 Use =</v>
          </cell>
          <cell r="AB313">
            <v>2593.5</v>
          </cell>
          <cell r="AC313" t="str">
            <v xml:space="preserve"> ÷ 5   = </v>
          </cell>
          <cell r="AD313">
            <v>518.70000000000005</v>
          </cell>
        </row>
        <row r="314">
          <cell r="Y314" t="str">
            <v>MAIN DATA FOR CENTERING FOR  10M²</v>
          </cell>
        </row>
        <row r="315">
          <cell r="Y315">
            <v>10</v>
          </cell>
          <cell r="Z315" t="str">
            <v>M²</v>
          </cell>
          <cell r="AA315" t="str">
            <v xml:space="preserve"> M.S.Sheet and Angle for 1 Use </v>
          </cell>
          <cell r="AB315">
            <v>261.25</v>
          </cell>
          <cell r="AC315" t="str">
            <v>10M²</v>
          </cell>
          <cell r="AD315">
            <v>261.25</v>
          </cell>
        </row>
        <row r="316">
          <cell r="Y316">
            <v>10</v>
          </cell>
          <cell r="Z316" t="str">
            <v>M²</v>
          </cell>
          <cell r="AA316" t="str">
            <v xml:space="preserve">Silver oak joists and casurina props for 1 Use </v>
          </cell>
          <cell r="AB316">
            <v>518.70000000000005</v>
          </cell>
          <cell r="AC316" t="str">
            <v>10M²</v>
          </cell>
          <cell r="AD316">
            <v>518.70000000000005</v>
          </cell>
        </row>
        <row r="317">
          <cell r="Y317">
            <v>3.8</v>
          </cell>
          <cell r="Z317" t="str">
            <v>Nos</v>
          </cell>
          <cell r="AA317" t="str">
            <v>Carpenter I class</v>
          </cell>
          <cell r="AB317">
            <v>148</v>
          </cell>
          <cell r="AC317" t="str">
            <v>Each</v>
          </cell>
          <cell r="AD317">
            <v>562.4</v>
          </cell>
        </row>
        <row r="318">
          <cell r="Y318">
            <v>5.4</v>
          </cell>
          <cell r="Z318" t="str">
            <v>Nos</v>
          </cell>
          <cell r="AA318" t="str">
            <v>Mazdoor I class</v>
          </cell>
          <cell r="AB318">
            <v>85</v>
          </cell>
          <cell r="AC318" t="str">
            <v>Each</v>
          </cell>
          <cell r="AD318">
            <v>459</v>
          </cell>
        </row>
        <row r="319">
          <cell r="Y319">
            <v>1</v>
          </cell>
          <cell r="Z319" t="str">
            <v>No</v>
          </cell>
          <cell r="AA319" t="str">
            <v>Fitter II class</v>
          </cell>
          <cell r="AB319">
            <v>98</v>
          </cell>
          <cell r="AC319" t="str">
            <v>Each</v>
          </cell>
          <cell r="AD319">
            <v>98</v>
          </cell>
        </row>
        <row r="320">
          <cell r="Y320" t="str">
            <v>L.S.</v>
          </cell>
          <cell r="AA320" t="str">
            <v>Silver oak planks</v>
          </cell>
          <cell r="AB320" t="str">
            <v>L.S.</v>
          </cell>
          <cell r="AD320">
            <v>9</v>
          </cell>
        </row>
        <row r="321">
          <cell r="Y321" t="str">
            <v>L.S.</v>
          </cell>
          <cell r="AA321" t="str">
            <v>Wedges nails coir etc.,</v>
          </cell>
          <cell r="AB321" t="str">
            <v>L.S.</v>
          </cell>
          <cell r="AD321">
            <v>10</v>
          </cell>
        </row>
        <row r="322">
          <cell r="Y322" t="str">
            <v>L.S.</v>
          </cell>
          <cell r="AA322" t="str">
            <v>Periodical cleaning and painting of the MS Sheet &amp; angles</v>
          </cell>
          <cell r="AB322" t="str">
            <v>L.S.</v>
          </cell>
          <cell r="AD322">
            <v>50</v>
          </cell>
        </row>
        <row r="324">
          <cell r="AB324" t="str">
            <v>FOR 10 M²    =</v>
          </cell>
          <cell r="AD324">
            <v>1968.35</v>
          </cell>
        </row>
        <row r="326">
          <cell r="Z326" t="str">
            <v>a)</v>
          </cell>
          <cell r="AA326" t="str">
            <v>For Slabs, Lintels, Beams etc.</v>
          </cell>
          <cell r="AB326" t="str">
            <v>FOR 1 M²      =</v>
          </cell>
          <cell r="AD326">
            <v>196.84</v>
          </cell>
        </row>
        <row r="328">
          <cell r="Z328" t="str">
            <v>b)</v>
          </cell>
          <cell r="AA328" t="str">
            <v>For Plinth Beam/Raft Beam etc.not requiring strutting 3 metre high.</v>
          </cell>
          <cell r="AB328" t="str">
            <v>FOR 1 M²      =</v>
          </cell>
          <cell r="AD328">
            <v>98.42</v>
          </cell>
        </row>
        <row r="330">
          <cell r="X330">
            <v>12</v>
          </cell>
          <cell r="Y330" t="str">
            <v>Plastering the top of flooring with cement mortar 1:5 (One of cement and five of sand) 20mm thick including providing band cornice, finishing smooth, proper setting, curing etc., complete as directed by the departmental officers - 10M²</v>
          </cell>
        </row>
        <row r="331">
          <cell r="Y331">
            <v>0.22</v>
          </cell>
          <cell r="Z331" t="str">
            <v>M³</v>
          </cell>
          <cell r="AA331" t="str">
            <v>Cement Mortar 1:5</v>
          </cell>
          <cell r="AB331">
            <v>1009.52</v>
          </cell>
          <cell r="AC331" t="str">
            <v>1M³</v>
          </cell>
          <cell r="AD331">
            <v>222.09</v>
          </cell>
        </row>
        <row r="332">
          <cell r="Y332">
            <v>2.2000000000000002</v>
          </cell>
          <cell r="Z332" t="str">
            <v>No</v>
          </cell>
          <cell r="AA332" t="str">
            <v>Mason I class</v>
          </cell>
          <cell r="AB332">
            <v>148</v>
          </cell>
          <cell r="AC332" t="str">
            <v>Each</v>
          </cell>
          <cell r="AD332">
            <v>325.60000000000002</v>
          </cell>
        </row>
        <row r="333">
          <cell r="Y333">
            <v>0.5</v>
          </cell>
          <cell r="Z333" t="str">
            <v>No</v>
          </cell>
          <cell r="AA333" t="str">
            <v>Mazdoor I class</v>
          </cell>
          <cell r="AB333">
            <v>85</v>
          </cell>
          <cell r="AC333" t="str">
            <v>Each</v>
          </cell>
          <cell r="AD333">
            <v>42.5</v>
          </cell>
        </row>
        <row r="334">
          <cell r="Y334">
            <v>3.2</v>
          </cell>
          <cell r="Z334" t="str">
            <v>No</v>
          </cell>
          <cell r="AA334" t="str">
            <v>Mazdoor II class</v>
          </cell>
          <cell r="AB334">
            <v>80</v>
          </cell>
          <cell r="AC334" t="str">
            <v>Each</v>
          </cell>
          <cell r="AD334">
            <v>256</v>
          </cell>
        </row>
        <row r="335">
          <cell r="Y335" t="str">
            <v/>
          </cell>
        </row>
        <row r="336">
          <cell r="AB336" t="str">
            <v>FOR 10 M²    =</v>
          </cell>
          <cell r="AD336">
            <v>846.19</v>
          </cell>
        </row>
        <row r="338">
          <cell r="AA338" t="str">
            <v>In all Floors</v>
          </cell>
          <cell r="AB338" t="str">
            <v>FOR 1 M²      =</v>
          </cell>
          <cell r="AD338">
            <v>84.62</v>
          </cell>
        </row>
        <row r="340">
          <cell r="X340">
            <v>13</v>
          </cell>
          <cell r="Y340" t="str">
            <v>Plastering the walls with cement mortar 1:5 (One of cement and five of sand) 12mm thick including finishing smooth, scaffolding, setting, curing etc., complete as directed by the departmental officers - 10M².</v>
          </cell>
        </row>
        <row r="341">
          <cell r="Y341">
            <v>0.14000000000000001</v>
          </cell>
          <cell r="Z341" t="str">
            <v>M³</v>
          </cell>
          <cell r="AA341" t="str">
            <v>Cement Mortar 1:5</v>
          </cell>
          <cell r="AB341">
            <v>1009.52</v>
          </cell>
          <cell r="AC341" t="str">
            <v>1M³</v>
          </cell>
          <cell r="AD341">
            <v>141.33000000000001</v>
          </cell>
        </row>
        <row r="342">
          <cell r="Y342">
            <v>1.1000000000000001</v>
          </cell>
          <cell r="Z342" t="str">
            <v>No</v>
          </cell>
          <cell r="AA342" t="str">
            <v>Mason I class</v>
          </cell>
          <cell r="AB342">
            <v>148</v>
          </cell>
          <cell r="AC342" t="str">
            <v>Each</v>
          </cell>
          <cell r="AD342">
            <v>162.80000000000001</v>
          </cell>
        </row>
        <row r="343">
          <cell r="Y343">
            <v>0.5</v>
          </cell>
          <cell r="Z343" t="str">
            <v>No</v>
          </cell>
          <cell r="AA343" t="str">
            <v>Mazdoor I class</v>
          </cell>
          <cell r="AB343">
            <v>85</v>
          </cell>
          <cell r="AC343" t="str">
            <v>Each</v>
          </cell>
          <cell r="AD343">
            <v>42.5</v>
          </cell>
        </row>
        <row r="344">
          <cell r="Y344">
            <v>1.1000000000000001</v>
          </cell>
          <cell r="Z344" t="str">
            <v>No</v>
          </cell>
          <cell r="AA344" t="str">
            <v>Mazdoor II class</v>
          </cell>
          <cell r="AB344">
            <v>80</v>
          </cell>
          <cell r="AC344" t="str">
            <v>Each</v>
          </cell>
          <cell r="AD344">
            <v>88</v>
          </cell>
        </row>
        <row r="345">
          <cell r="Y345" t="str">
            <v/>
          </cell>
        </row>
        <row r="346">
          <cell r="AB346" t="str">
            <v>FOR 10 M²    =</v>
          </cell>
          <cell r="AD346">
            <v>434.63</v>
          </cell>
        </row>
        <row r="348">
          <cell r="AA348" t="str">
            <v>In all Floors</v>
          </cell>
          <cell r="AB348" t="str">
            <v>FOR 1 M²      =</v>
          </cell>
          <cell r="AD348">
            <v>43.46</v>
          </cell>
        </row>
        <row r="350">
          <cell r="X350">
            <v>14</v>
          </cell>
          <cell r="Y350" t="str">
            <v>Plastering the top of roof slab with cement mortar 1:5 (One of cement and five of sand) 12mm thick with crude oil 5%by weight of cement used including finishing smooth, scaffolding, setting, curing etc., complete as directed by the departmental officers -</v>
          </cell>
        </row>
        <row r="351">
          <cell r="Y351">
            <v>10</v>
          </cell>
          <cell r="Z351" t="str">
            <v>M²</v>
          </cell>
          <cell r="AA351" t="str">
            <v>Cement Mortar 1:5, 12mm thick</v>
          </cell>
          <cell r="AB351">
            <v>434.63</v>
          </cell>
          <cell r="AC351" t="str">
            <v>10M²</v>
          </cell>
          <cell r="AD351">
            <v>434.63</v>
          </cell>
        </row>
        <row r="352">
          <cell r="Y352">
            <v>2.02</v>
          </cell>
          <cell r="Z352" t="str">
            <v>Kg</v>
          </cell>
          <cell r="AA352" t="str">
            <v>Crude oil</v>
          </cell>
          <cell r="AB352">
            <v>16</v>
          </cell>
          <cell r="AC352" t="str">
            <v>1Kg</v>
          </cell>
          <cell r="AD352">
            <v>32.32</v>
          </cell>
        </row>
        <row r="353">
          <cell r="Y353" t="str">
            <v/>
          </cell>
        </row>
        <row r="354">
          <cell r="AB354" t="str">
            <v>FOR 10 M²    =</v>
          </cell>
          <cell r="AD354">
            <v>466.95</v>
          </cell>
        </row>
        <row r="356">
          <cell r="AA356" t="str">
            <v>In all Floors</v>
          </cell>
          <cell r="AB356" t="str">
            <v>FOR 1 M²      =</v>
          </cell>
          <cell r="AD356">
            <v>46.7</v>
          </cell>
        </row>
        <row r="358">
          <cell r="X358">
            <v>15</v>
          </cell>
          <cell r="Y358" t="str">
            <v>Refilling with selected excavated earth complying with standard specifications for refilling in foundation and basement etc., complete as directed by the departmental officers - 1M³</v>
          </cell>
        </row>
        <row r="359">
          <cell r="Y359">
            <v>1</v>
          </cell>
          <cell r="Z359" t="str">
            <v>M³</v>
          </cell>
          <cell r="AA359" t="str">
            <v>Filling in foundation and basement</v>
          </cell>
          <cell r="AB359">
            <v>8.75</v>
          </cell>
          <cell r="AC359" t="str">
            <v>1M³</v>
          </cell>
          <cell r="AD359">
            <v>8.75</v>
          </cell>
        </row>
        <row r="361">
          <cell r="AB361" t="str">
            <v>FOR  1  M³      =</v>
          </cell>
          <cell r="AD361">
            <v>8.75</v>
          </cell>
        </row>
        <row r="362">
          <cell r="X362">
            <v>16</v>
          </cell>
          <cell r="Y362" t="str">
            <v xml:space="preserve">Brick work in cement mortar 1:6 (One of cement and six of sand) using  II Class Chamber Burnt Bricks  (Table moulded) of size 9"×4-3/8"×2-3/4" including proper setting, curing, etc., complete in all respects - 10M³. </v>
          </cell>
        </row>
        <row r="363">
          <cell r="Y363">
            <v>4600</v>
          </cell>
          <cell r="Z363" t="str">
            <v>No</v>
          </cell>
          <cell r="AA363" t="str">
            <v>Bricks Class II (Table moulded) Chamber Burnt  of size 9"×4-3/8"×2-3/4"</v>
          </cell>
          <cell r="AB363">
            <v>1840.1</v>
          </cell>
          <cell r="AC363" t="str">
            <v>1000No</v>
          </cell>
          <cell r="AD363">
            <v>8464.4599999999991</v>
          </cell>
        </row>
        <row r="364">
          <cell r="Y364">
            <v>2.5</v>
          </cell>
          <cell r="Z364" t="str">
            <v>M³</v>
          </cell>
          <cell r="AA364" t="str">
            <v>Cement mortar 1:6</v>
          </cell>
          <cell r="AB364">
            <v>873.2</v>
          </cell>
          <cell r="AC364" t="str">
            <v>1M³</v>
          </cell>
          <cell r="AD364">
            <v>2183</v>
          </cell>
        </row>
        <row r="365">
          <cell r="Y365">
            <v>3.5</v>
          </cell>
          <cell r="Z365" t="str">
            <v>No</v>
          </cell>
          <cell r="AA365" t="str">
            <v>Mason I class</v>
          </cell>
          <cell r="AB365">
            <v>148</v>
          </cell>
          <cell r="AC365" t="str">
            <v>Each</v>
          </cell>
          <cell r="AD365">
            <v>518</v>
          </cell>
        </row>
        <row r="366">
          <cell r="Y366">
            <v>10.6</v>
          </cell>
          <cell r="Z366" t="str">
            <v>No</v>
          </cell>
          <cell r="AA366" t="str">
            <v>Mason II class</v>
          </cell>
          <cell r="AB366">
            <v>126</v>
          </cell>
          <cell r="AC366" t="str">
            <v>Each</v>
          </cell>
          <cell r="AD366">
            <v>1335.6</v>
          </cell>
        </row>
        <row r="367">
          <cell r="Y367">
            <v>7.1</v>
          </cell>
          <cell r="Z367" t="str">
            <v>No</v>
          </cell>
          <cell r="AA367" t="str">
            <v>Mazdoor category I</v>
          </cell>
          <cell r="AB367">
            <v>85</v>
          </cell>
          <cell r="AC367" t="str">
            <v>Each</v>
          </cell>
          <cell r="AD367">
            <v>603.5</v>
          </cell>
        </row>
        <row r="368">
          <cell r="Y368">
            <v>21.2</v>
          </cell>
          <cell r="Z368" t="str">
            <v>No</v>
          </cell>
          <cell r="AA368" t="str">
            <v>Mazdoor category II</v>
          </cell>
          <cell r="AB368">
            <v>80</v>
          </cell>
          <cell r="AC368" t="str">
            <v>Each</v>
          </cell>
          <cell r="AD368">
            <v>1696</v>
          </cell>
        </row>
        <row r="370">
          <cell r="AB370" t="str">
            <v>FOR 10 M³      =</v>
          </cell>
          <cell r="AD370">
            <v>14800.56</v>
          </cell>
        </row>
        <row r="372">
          <cell r="Z372" t="str">
            <v>A</v>
          </cell>
          <cell r="AA372" t="str">
            <v>In Foundation &amp; Basement</v>
          </cell>
          <cell r="AB372" t="str">
            <v>FOR  1  M³      =</v>
          </cell>
          <cell r="AD372">
            <v>1480.06</v>
          </cell>
        </row>
        <row r="373">
          <cell r="AA373" t="str">
            <v>Add for lift charges</v>
          </cell>
          <cell r="AD373">
            <v>17.5</v>
          </cell>
        </row>
        <row r="374">
          <cell r="Z374" t="str">
            <v>B</v>
          </cell>
          <cell r="AA374" t="str">
            <v>In ground Floor</v>
          </cell>
          <cell r="AB374" t="str">
            <v>FOR  1  M³      =</v>
          </cell>
          <cell r="AD374">
            <v>1497.56</v>
          </cell>
        </row>
        <row r="376">
          <cell r="X376">
            <v>17</v>
          </cell>
          <cell r="Y376" t="str">
            <v>Brick partition wall 11cm thick in cement mortar 1:6 (One of cement and six of sand) using II Class Chamber Burnt Bricks (Table moulded) of size 9"×4-3/8"×2-3/4" including  proper setting, curing, etc., complete in all respects. - 10M²</v>
          </cell>
        </row>
        <row r="377">
          <cell r="AA377" t="str">
            <v>Sub-Data                                  --10M³</v>
          </cell>
        </row>
        <row r="378">
          <cell r="Y378">
            <v>4600</v>
          </cell>
          <cell r="Z378" t="str">
            <v>No</v>
          </cell>
          <cell r="AA378" t="str">
            <v>Bricks Class II (Table moulded) Chamber Burnt  of size 9"×4-3/8"×2-3/4"</v>
          </cell>
          <cell r="AB378">
            <v>1840.1</v>
          </cell>
          <cell r="AC378" t="str">
            <v>1000No</v>
          </cell>
          <cell r="AD378">
            <v>8464.4599999999991</v>
          </cell>
        </row>
        <row r="379">
          <cell r="Y379">
            <v>1.59</v>
          </cell>
          <cell r="Z379" t="str">
            <v>M³</v>
          </cell>
          <cell r="AA379" t="str">
            <v>Cement mortar 1:6</v>
          </cell>
          <cell r="AB379">
            <v>873.2</v>
          </cell>
          <cell r="AC379" t="str">
            <v>1M³</v>
          </cell>
          <cell r="AD379">
            <v>1388.39</v>
          </cell>
        </row>
        <row r="380">
          <cell r="Y380">
            <v>7</v>
          </cell>
          <cell r="Z380" t="str">
            <v>No</v>
          </cell>
          <cell r="AA380" t="str">
            <v>Mason I class</v>
          </cell>
          <cell r="AB380">
            <v>148</v>
          </cell>
          <cell r="AC380" t="str">
            <v>Each</v>
          </cell>
          <cell r="AD380">
            <v>1036</v>
          </cell>
        </row>
        <row r="381">
          <cell r="Y381">
            <v>7.1</v>
          </cell>
          <cell r="Z381" t="str">
            <v>No</v>
          </cell>
          <cell r="AA381" t="str">
            <v>Mason II class</v>
          </cell>
          <cell r="AB381">
            <v>126</v>
          </cell>
          <cell r="AC381" t="str">
            <v>Each</v>
          </cell>
          <cell r="AD381">
            <v>894.6</v>
          </cell>
        </row>
        <row r="382">
          <cell r="Y382">
            <v>7.1</v>
          </cell>
          <cell r="Z382" t="str">
            <v>No</v>
          </cell>
          <cell r="AA382" t="str">
            <v>Mazdoor category I</v>
          </cell>
          <cell r="AB382">
            <v>85</v>
          </cell>
          <cell r="AC382" t="str">
            <v>Each</v>
          </cell>
          <cell r="AD382">
            <v>603.5</v>
          </cell>
        </row>
        <row r="383">
          <cell r="Y383">
            <v>21.2</v>
          </cell>
          <cell r="Z383" t="str">
            <v>No</v>
          </cell>
          <cell r="AA383" t="str">
            <v>Mazdoor category II</v>
          </cell>
          <cell r="AB383">
            <v>80</v>
          </cell>
          <cell r="AC383" t="str">
            <v>Each</v>
          </cell>
          <cell r="AD383">
            <v>1696</v>
          </cell>
        </row>
        <row r="385">
          <cell r="AB385" t="str">
            <v>FOR 10 M³      =</v>
          </cell>
          <cell r="AD385">
            <v>14082.949999999999</v>
          </cell>
        </row>
        <row r="387">
          <cell r="AB387" t="str">
            <v>FOR  1 M³       =</v>
          </cell>
          <cell r="AD387">
            <v>1408.3</v>
          </cell>
        </row>
        <row r="388">
          <cell r="AA388" t="str">
            <v>Main-Data                                 --10M²</v>
          </cell>
        </row>
        <row r="390">
          <cell r="Y390">
            <v>1.1100000000000001</v>
          </cell>
          <cell r="Z390" t="str">
            <v>M³</v>
          </cell>
          <cell r="AA390" t="str">
            <v>Brick partition wall in cement mortar 1:6</v>
          </cell>
          <cell r="AB390">
            <v>1408.3</v>
          </cell>
          <cell r="AC390" t="str">
            <v>1M³</v>
          </cell>
          <cell r="AD390">
            <v>1563.21</v>
          </cell>
        </row>
        <row r="391">
          <cell r="Y391">
            <v>1</v>
          </cell>
          <cell r="Z391" t="str">
            <v>No</v>
          </cell>
          <cell r="AA391" t="str">
            <v>Mason I class</v>
          </cell>
          <cell r="AB391">
            <v>148</v>
          </cell>
          <cell r="AC391" t="str">
            <v>Each</v>
          </cell>
          <cell r="AD391">
            <v>148</v>
          </cell>
        </row>
        <row r="393">
          <cell r="AB393" t="str">
            <v>FOR 10 M²      =</v>
          </cell>
          <cell r="AD393">
            <v>1711.21</v>
          </cell>
        </row>
        <row r="395">
          <cell r="Z395" t="str">
            <v>A</v>
          </cell>
          <cell r="AA395" t="str">
            <v>In Foundation &amp; Basement</v>
          </cell>
          <cell r="AB395" t="str">
            <v>FOR  1 M²       =</v>
          </cell>
          <cell r="AD395">
            <v>171.12</v>
          </cell>
        </row>
        <row r="396">
          <cell r="AA396" t="str">
            <v>Add for lift charges</v>
          </cell>
          <cell r="AD396">
            <v>1.92</v>
          </cell>
        </row>
        <row r="397">
          <cell r="Z397" t="str">
            <v>B</v>
          </cell>
          <cell r="AA397" t="str">
            <v>In ground Floor</v>
          </cell>
          <cell r="AB397" t="str">
            <v>FOR  1 M²       =</v>
          </cell>
          <cell r="AD397">
            <v>173.04</v>
          </cell>
        </row>
        <row r="399">
          <cell r="X399">
            <v>18</v>
          </cell>
          <cell r="Y399" t="e">
            <v>#REF!</v>
          </cell>
        </row>
        <row r="400">
          <cell r="Y400">
            <v>1</v>
          </cell>
          <cell r="Z400" t="str">
            <v>M³</v>
          </cell>
          <cell r="AA400" t="str">
            <v>Filling with brick jelly 40mm size</v>
          </cell>
          <cell r="AB400">
            <v>235.2</v>
          </cell>
          <cell r="AC400" t="str">
            <v>1M³</v>
          </cell>
          <cell r="AD400">
            <v>235.2</v>
          </cell>
        </row>
        <row r="402">
          <cell r="AB402" t="str">
            <v>FOR 1 M3      =</v>
          </cell>
          <cell r="AD402">
            <v>235.2</v>
          </cell>
        </row>
        <row r="404">
          <cell r="X404">
            <v>16</v>
          </cell>
          <cell r="Y404" t="str">
            <v xml:space="preserve">Brick work in cement mortar 1:6 (One of cement and six of sand) using III class Kiln burnt country bricks of size 8-¾"×4-¼"×2-¼" including proper setting, curing, etc., complete in all respects - 10M³. </v>
          </cell>
        </row>
        <row r="405">
          <cell r="Y405">
            <v>6000</v>
          </cell>
          <cell r="Z405" t="str">
            <v>Nos</v>
          </cell>
          <cell r="AA405" t="str">
            <v>III class Kiln burnt country bricks of size 8-¾"×4-¼"×2-¼"</v>
          </cell>
          <cell r="AB405">
            <v>1337.3</v>
          </cell>
          <cell r="AC405" t="str">
            <v>1000No</v>
          </cell>
          <cell r="AD405">
            <v>8023.8</v>
          </cell>
        </row>
        <row r="406">
          <cell r="Y406">
            <v>2.8</v>
          </cell>
          <cell r="Z406" t="str">
            <v>M³</v>
          </cell>
          <cell r="AA406" t="str">
            <v>Cement mortar 1:6</v>
          </cell>
          <cell r="AB406">
            <v>873.2</v>
          </cell>
          <cell r="AC406" t="str">
            <v>1M³</v>
          </cell>
          <cell r="AD406">
            <v>2444.96</v>
          </cell>
        </row>
        <row r="407">
          <cell r="Y407">
            <v>3.5</v>
          </cell>
          <cell r="Z407" t="str">
            <v>No</v>
          </cell>
          <cell r="AA407" t="str">
            <v>Mason I class</v>
          </cell>
          <cell r="AB407">
            <v>148</v>
          </cell>
          <cell r="AC407" t="str">
            <v>Each</v>
          </cell>
          <cell r="AD407">
            <v>518</v>
          </cell>
        </row>
        <row r="408">
          <cell r="Y408">
            <v>7.1</v>
          </cell>
          <cell r="Z408" t="str">
            <v>No</v>
          </cell>
          <cell r="AA408" t="str">
            <v>Mason II class</v>
          </cell>
          <cell r="AB408">
            <v>126</v>
          </cell>
          <cell r="AC408" t="str">
            <v>Each</v>
          </cell>
          <cell r="AD408">
            <v>894.6</v>
          </cell>
        </row>
        <row r="409">
          <cell r="Y409">
            <v>7.1</v>
          </cell>
          <cell r="Z409" t="str">
            <v>No</v>
          </cell>
          <cell r="AA409" t="str">
            <v>Mazdoor category I</v>
          </cell>
          <cell r="AB409">
            <v>85</v>
          </cell>
          <cell r="AC409" t="str">
            <v>Each</v>
          </cell>
          <cell r="AD409">
            <v>603.5</v>
          </cell>
        </row>
        <row r="410">
          <cell r="Y410">
            <v>14.1</v>
          </cell>
          <cell r="Z410" t="str">
            <v>No</v>
          </cell>
          <cell r="AA410" t="str">
            <v>Mazdoor category II</v>
          </cell>
          <cell r="AB410">
            <v>80</v>
          </cell>
          <cell r="AC410" t="str">
            <v>Each</v>
          </cell>
          <cell r="AD410">
            <v>1128</v>
          </cell>
        </row>
        <row r="412">
          <cell r="AB412" t="str">
            <v>FOR 10 M³      =</v>
          </cell>
          <cell r="AD412">
            <v>13612.86</v>
          </cell>
        </row>
        <row r="414">
          <cell r="Z414" t="str">
            <v>A</v>
          </cell>
          <cell r="AA414" t="str">
            <v>In Foundation &amp; Basement</v>
          </cell>
          <cell r="AB414" t="str">
            <v>FOR  1  M³      =</v>
          </cell>
          <cell r="AD414">
            <v>1361.29</v>
          </cell>
        </row>
        <row r="415">
          <cell r="AA415" t="str">
            <v>Add for lift charges</v>
          </cell>
          <cell r="AD415">
            <v>17.5</v>
          </cell>
        </row>
        <row r="416">
          <cell r="Z416" t="str">
            <v>B</v>
          </cell>
          <cell r="AA416" t="str">
            <v>In ground Floor</v>
          </cell>
          <cell r="AB416" t="str">
            <v>FOR  1  M³      =</v>
          </cell>
          <cell r="AD416">
            <v>1378.79</v>
          </cell>
        </row>
        <row r="418">
          <cell r="X418">
            <v>17</v>
          </cell>
          <cell r="Y418" t="str">
            <v>Brick partition wall 11cm thick in cement mortar 1:6 (One of cement and six of sand) using III class Kiln burnt country bricks of size 8-¾"×4-¼"×2-¼" including  proper setting, curing, etc., complete in all respects. - 10M²</v>
          </cell>
        </row>
        <row r="419">
          <cell r="AA419" t="str">
            <v>Sub-Data                                  --10M³</v>
          </cell>
        </row>
        <row r="420">
          <cell r="Y420">
            <v>6000</v>
          </cell>
          <cell r="Z420" t="str">
            <v>Nos</v>
          </cell>
          <cell r="AA420" t="str">
            <v>III class Kiln burnt country bricks of size 8-¾"×4-¼"×2-¼"</v>
          </cell>
          <cell r="AB420">
            <v>1337.3</v>
          </cell>
          <cell r="AC420" t="str">
            <v>1000No</v>
          </cell>
          <cell r="AD420">
            <v>8023.8</v>
          </cell>
        </row>
        <row r="421">
          <cell r="Y421">
            <v>1.79</v>
          </cell>
          <cell r="Z421" t="str">
            <v>M³</v>
          </cell>
          <cell r="AA421" t="str">
            <v>Cement mortar 1:6</v>
          </cell>
          <cell r="AB421">
            <v>873.2</v>
          </cell>
          <cell r="AC421" t="str">
            <v>1M³</v>
          </cell>
          <cell r="AD421">
            <v>1563.03</v>
          </cell>
        </row>
        <row r="422">
          <cell r="Y422">
            <v>7</v>
          </cell>
          <cell r="Z422" t="str">
            <v>No</v>
          </cell>
          <cell r="AA422" t="str">
            <v>Mason I class</v>
          </cell>
          <cell r="AB422">
            <v>148</v>
          </cell>
          <cell r="AC422" t="str">
            <v>Each</v>
          </cell>
          <cell r="AD422">
            <v>1036</v>
          </cell>
        </row>
        <row r="423">
          <cell r="Y423">
            <v>3.6</v>
          </cell>
          <cell r="Z423" t="str">
            <v>No</v>
          </cell>
          <cell r="AA423" t="str">
            <v>Mason II class</v>
          </cell>
          <cell r="AB423">
            <v>126</v>
          </cell>
          <cell r="AC423" t="str">
            <v>Each</v>
          </cell>
          <cell r="AD423">
            <v>453.6</v>
          </cell>
        </row>
        <row r="424">
          <cell r="Y424">
            <v>7.1</v>
          </cell>
          <cell r="Z424" t="str">
            <v>No</v>
          </cell>
          <cell r="AA424" t="str">
            <v>Mazdoor category I</v>
          </cell>
          <cell r="AB424">
            <v>85</v>
          </cell>
          <cell r="AC424" t="str">
            <v>Each</v>
          </cell>
          <cell r="AD424">
            <v>603.5</v>
          </cell>
        </row>
        <row r="425">
          <cell r="Y425">
            <v>14.1</v>
          </cell>
          <cell r="Z425" t="str">
            <v>No</v>
          </cell>
          <cell r="AA425" t="str">
            <v>Mazdoor category II</v>
          </cell>
          <cell r="AB425">
            <v>80</v>
          </cell>
          <cell r="AC425" t="str">
            <v>Each</v>
          </cell>
          <cell r="AD425">
            <v>1128</v>
          </cell>
        </row>
        <row r="427">
          <cell r="AB427" t="str">
            <v>FOR 10 M³      =</v>
          </cell>
          <cell r="AD427">
            <v>12807.93</v>
          </cell>
        </row>
        <row r="429">
          <cell r="AB429" t="str">
            <v>FOR  1 M³       =</v>
          </cell>
          <cell r="AD429">
            <v>1280.79</v>
          </cell>
        </row>
        <row r="430">
          <cell r="AA430" t="str">
            <v>Main-Data                                 --10M²</v>
          </cell>
        </row>
        <row r="432">
          <cell r="Y432">
            <v>1.1000000000000001</v>
          </cell>
          <cell r="Z432" t="str">
            <v>M³</v>
          </cell>
          <cell r="AA432" t="str">
            <v>Brick partition wall in cement mortar 1:6</v>
          </cell>
          <cell r="AB432">
            <v>1280.79</v>
          </cell>
          <cell r="AC432" t="str">
            <v>1M³</v>
          </cell>
          <cell r="AD432">
            <v>1408.87</v>
          </cell>
        </row>
        <row r="433">
          <cell r="Y433">
            <v>1</v>
          </cell>
          <cell r="Z433" t="str">
            <v>No</v>
          </cell>
          <cell r="AA433" t="str">
            <v>Mason I class</v>
          </cell>
          <cell r="AB433">
            <v>148</v>
          </cell>
          <cell r="AC433" t="str">
            <v>Each</v>
          </cell>
          <cell r="AD433">
            <v>148</v>
          </cell>
        </row>
        <row r="435">
          <cell r="AB435" t="str">
            <v>FOR 10 M²      =</v>
          </cell>
          <cell r="AD435">
            <v>1556.87</v>
          </cell>
        </row>
        <row r="437">
          <cell r="Z437" t="str">
            <v>A</v>
          </cell>
          <cell r="AA437" t="str">
            <v>In Foundation &amp; Basement</v>
          </cell>
          <cell r="AB437" t="str">
            <v>FOR  1 M²       =</v>
          </cell>
          <cell r="AD437">
            <v>155.69</v>
          </cell>
        </row>
        <row r="438">
          <cell r="AA438" t="str">
            <v>Add for lift charges</v>
          </cell>
          <cell r="AD438">
            <v>1.92</v>
          </cell>
        </row>
        <row r="439">
          <cell r="Z439" t="str">
            <v>B</v>
          </cell>
          <cell r="AA439" t="str">
            <v>In ground Floor</v>
          </cell>
          <cell r="AB439" t="str">
            <v>FOR  1 M²       =</v>
          </cell>
          <cell r="AD439">
            <v>157.60999999999999</v>
          </cell>
        </row>
        <row r="441">
          <cell r="X441">
            <v>18</v>
          </cell>
          <cell r="Y441" t="str">
            <v xml:space="preserve">White washing two coats with best shell lime including cost of lime, gum, cunjee, brushes, scaffolding, etc., complete in all respects as directed by the departmental officers </v>
          </cell>
        </row>
        <row r="442">
          <cell r="Y442">
            <v>7.0000000000000007E-2</v>
          </cell>
          <cell r="Z442" t="str">
            <v>M³</v>
          </cell>
          <cell r="AA442" t="str">
            <v>Fine screened Shell Lime</v>
          </cell>
          <cell r="AB442">
            <v>775.2</v>
          </cell>
          <cell r="AC442" t="str">
            <v>1M³</v>
          </cell>
          <cell r="AD442">
            <v>54.26</v>
          </cell>
        </row>
        <row r="443">
          <cell r="Y443">
            <v>1.6</v>
          </cell>
          <cell r="Z443" t="str">
            <v>No</v>
          </cell>
          <cell r="AA443" t="str">
            <v>Mason II class</v>
          </cell>
          <cell r="AB443">
            <v>126</v>
          </cell>
          <cell r="AC443" t="str">
            <v>Each</v>
          </cell>
          <cell r="AD443">
            <v>201.6</v>
          </cell>
        </row>
        <row r="444">
          <cell r="Y444">
            <v>0.5</v>
          </cell>
          <cell r="Z444" t="str">
            <v>No</v>
          </cell>
          <cell r="AA444" t="str">
            <v>Mazdoor I class</v>
          </cell>
          <cell r="AB444">
            <v>85</v>
          </cell>
          <cell r="AC444" t="str">
            <v>Each</v>
          </cell>
          <cell r="AD444">
            <v>42.5</v>
          </cell>
        </row>
        <row r="445">
          <cell r="Y445">
            <v>2.7</v>
          </cell>
          <cell r="Z445" t="str">
            <v>No</v>
          </cell>
          <cell r="AA445" t="str">
            <v>Mazdoor II class</v>
          </cell>
          <cell r="AB445">
            <v>80</v>
          </cell>
          <cell r="AC445" t="str">
            <v>Each</v>
          </cell>
          <cell r="AD445">
            <v>216</v>
          </cell>
        </row>
        <row r="446">
          <cell r="Y446" t="str">
            <v>LS</v>
          </cell>
          <cell r="AA446" t="str">
            <v>Gum, conjee, water or prickly pear juice</v>
          </cell>
          <cell r="AB446" t="str">
            <v xml:space="preserve">              LS</v>
          </cell>
          <cell r="AD446">
            <v>1.81</v>
          </cell>
        </row>
        <row r="448">
          <cell r="AB448" t="str">
            <v>FOR 100 M²  =</v>
          </cell>
          <cell r="AD448">
            <v>516.16999999999996</v>
          </cell>
        </row>
        <row r="450">
          <cell r="AA450" t="str">
            <v>In all Floors</v>
          </cell>
          <cell r="AB450" t="str">
            <v>FOR 1 M²      =</v>
          </cell>
          <cell r="AD450">
            <v>5.16</v>
          </cell>
        </row>
        <row r="452">
          <cell r="X452">
            <v>20</v>
          </cell>
          <cell r="Y452" t="e">
            <v>#REF!</v>
          </cell>
        </row>
        <row r="453">
          <cell r="Y453">
            <v>1</v>
          </cell>
          <cell r="Z453" t="str">
            <v>M²</v>
          </cell>
          <cell r="AA453" t="str">
            <v>Cuddapah slab 38mm/40mm thick</v>
          </cell>
          <cell r="AB453">
            <v>245</v>
          </cell>
          <cell r="AC453" t="str">
            <v>1M²</v>
          </cell>
          <cell r="AD453">
            <v>245</v>
          </cell>
        </row>
        <row r="455">
          <cell r="AB455" t="str">
            <v>FOR 1 M²      =</v>
          </cell>
          <cell r="AD455">
            <v>245</v>
          </cell>
        </row>
        <row r="459">
          <cell r="Y459">
            <v>1</v>
          </cell>
          <cell r="Z459" t="str">
            <v>RM</v>
          </cell>
          <cell r="AA459" t="str">
            <v>63mm dia pvc pipe 4kg/cm2</v>
          </cell>
          <cell r="AB459">
            <v>26</v>
          </cell>
          <cell r="AC459" t="str">
            <v>RM</v>
          </cell>
          <cell r="AD459">
            <v>26</v>
          </cell>
        </row>
        <row r="460">
          <cell r="AB460" t="str">
            <v>FOR 1m      =</v>
          </cell>
          <cell r="AD460">
            <v>26</v>
          </cell>
        </row>
      </sheetData>
      <sheetData sheetId="1"/>
      <sheetData sheetId="2"/>
      <sheetData sheetId="3"/>
      <sheetData sheetId="4"/>
      <sheetData sheetId="5"/>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P.Protection"/>
      <sheetName val="S.Drain"/>
      <sheetName val="C.C.Road"/>
      <sheetName val="OHT"/>
      <sheetName val="Detailed"/>
      <sheetName val="Abstract (21.4.18)"/>
      <sheetName val="G. Abstract (2)"/>
      <sheetName val="pile data ( M20 grade)"/>
      <sheetName val="  Coastal  Elec.Data "/>
      <sheetName val="Elec.abs"/>
      <sheetName val="Sheet1"/>
      <sheetName val="Sliding and french window"/>
      <sheetName val="Development"/>
      <sheetName val="Development (2)"/>
      <sheetName val="Development (3)"/>
      <sheetName val="Development (4)"/>
      <sheetName val="Abstract"/>
      <sheetName val="G. Abstractfinal"/>
      <sheetName val="Sheet2"/>
      <sheetName val="Sheet4"/>
      <sheetName val="lead  charge"/>
      <sheetName val="Elec.Data"/>
      <sheetName val="Data"/>
      <sheetName val="A.DATA"/>
      <sheetName val="Building (2)"/>
      <sheetName val="M 25 Kott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
          <cell r="A1" t="str">
            <v>CONSTRUCTION OF NEW POLICE STATION BUILDING WITH DEVELOPMENT WORK IN  REGUNATHAPURAM IN PUDUKKOTTAI DISRICT.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lead  charge"/>
      <sheetName val="Elec.Data"/>
      <sheetName val="Sliding and french window"/>
      <sheetName val="Data"/>
      <sheetName val="Sub Data"/>
      <sheetName val="Fire Station"/>
      <sheetName val="main abst"/>
      <sheetName val="G. Abstractfinal"/>
      <sheetName val="building"/>
      <sheetName val="S.T"/>
      <sheetName val="Sump"/>
      <sheetName val="Plinth "/>
      <sheetName val="CMW"/>
      <sheetName val="Sullage"/>
      <sheetName val="Paver Block"/>
      <sheetName val="UG Cable"/>
      <sheetName val="EX Wa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040">
          <cell r="O2040" t="str">
            <v>TW  double leaf shutter for ward robe / cup board</v>
          </cell>
        </row>
      </sheetData>
      <sheetData sheetId="9" refreshError="1"/>
      <sheetData sheetId="10" refreshError="1"/>
      <sheetData sheetId="11">
        <row r="147">
          <cell r="B147" t="str">
            <v>Providing Rain water Harvesting well ring of Circular shape of 90mm dia, 60cm depth using Standardised Mix design M20</v>
          </cell>
        </row>
        <row r="150">
          <cell r="B150" t="str">
            <v>3 Nos.of 32Amps - Fuse Unit</v>
          </cell>
        </row>
        <row r="151">
          <cell r="B151" t="str">
            <v>1 Nos.of 32Amps - Fuse Unit</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EWS"/>
      <sheetName val="P.Protection"/>
      <sheetName val="S.Drain"/>
      <sheetName val="C.C.Road"/>
      <sheetName val="OHT"/>
      <sheetName val="Detailed"/>
      <sheetName val="Abstract (21.4.18)"/>
      <sheetName val="G. Abstract (2)"/>
      <sheetName val="pile data ( M20 grade)"/>
      <sheetName val="  Coastal  Elec.Data "/>
      <sheetName val="Elec.abs"/>
      <sheetName val="Sheet1"/>
      <sheetName val="Sliding and french window"/>
      <sheetName val="Development"/>
      <sheetName val="Development (2)"/>
      <sheetName val="Development (3)"/>
      <sheetName val="Development (4)"/>
      <sheetName val="Abstract"/>
      <sheetName val="G. Abstractfinal"/>
      <sheetName val="Sheet2"/>
      <sheetName val="Sheet4"/>
      <sheetName val="Abst"/>
      <sheetName val="Coding sheet"/>
      <sheetName val="lead  charge"/>
      <sheetName val="Elec.Data"/>
      <sheetName val="Data"/>
      <sheetName val="A.DATA"/>
      <sheetName val="Sheet6"/>
      <sheetName val="Building (2)"/>
      <sheetName val="M 25 Kotti"/>
    </sheetNames>
    <sheetDataSet>
      <sheetData sheetId="0"/>
      <sheetData sheetId="1"/>
      <sheetData sheetId="2"/>
      <sheetData sheetId="3"/>
      <sheetData sheetId="4"/>
      <sheetData sheetId="5"/>
      <sheetData sheetId="6">
        <row r="4">
          <cell r="A4" t="str">
            <v>CONSTRUCTION OF RURAL POLICE STATION BUILDING WITH DEVELOPMENT WORK AT REGUNATHAPURAM IN PUDUKKOTTAI DISRICT.</v>
          </cell>
        </row>
        <row r="27">
          <cell r="H27">
            <v>116.7</v>
          </cell>
        </row>
        <row r="28">
          <cell r="B28" t="str">
            <v>Supplying and Filling in Foundation and Basement with Filling LIME.</v>
          </cell>
        </row>
        <row r="34">
          <cell r="H34">
            <v>2.2000000000000002</v>
          </cell>
        </row>
        <row r="56">
          <cell r="H56">
            <v>24.2</v>
          </cell>
        </row>
        <row r="75">
          <cell r="H75">
            <v>8.9</v>
          </cell>
        </row>
        <row r="121">
          <cell r="H121">
            <v>30.6</v>
          </cell>
        </row>
        <row r="143">
          <cell r="H143">
            <v>27.3</v>
          </cell>
        </row>
        <row r="198">
          <cell r="H198">
            <v>34.799999999999997</v>
          </cell>
        </row>
        <row r="241">
          <cell r="H241">
            <v>27.1</v>
          </cell>
        </row>
        <row r="251">
          <cell r="H251">
            <v>5.6</v>
          </cell>
        </row>
        <row r="286">
          <cell r="H286">
            <v>40.700000000000003</v>
          </cell>
        </row>
        <row r="324">
          <cell r="H324">
            <v>40.200000000000003</v>
          </cell>
        </row>
        <row r="337">
          <cell r="H337">
            <v>8.1</v>
          </cell>
        </row>
        <row r="349">
          <cell r="H349">
            <v>19.600000000000001</v>
          </cell>
        </row>
        <row r="371">
          <cell r="H371">
            <v>46.4</v>
          </cell>
        </row>
        <row r="380">
          <cell r="H380">
            <v>53.5</v>
          </cell>
        </row>
        <row r="389">
          <cell r="H389">
            <v>8.6</v>
          </cell>
        </row>
        <row r="398">
          <cell r="H398">
            <v>21.8</v>
          </cell>
        </row>
        <row r="403">
          <cell r="H403">
            <v>7.4</v>
          </cell>
        </row>
        <row r="409">
          <cell r="H409">
            <v>9</v>
          </cell>
        </row>
        <row r="415">
          <cell r="H415">
            <v>39.5</v>
          </cell>
        </row>
        <row r="423">
          <cell r="H423">
            <v>9.4</v>
          </cell>
        </row>
        <row r="432">
          <cell r="H432">
            <v>25.4</v>
          </cell>
        </row>
        <row r="437">
          <cell r="H437">
            <v>4.5</v>
          </cell>
        </row>
        <row r="443">
          <cell r="H443">
            <v>1</v>
          </cell>
        </row>
        <row r="451">
          <cell r="H451">
            <v>12.4</v>
          </cell>
        </row>
        <row r="456">
          <cell r="H456">
            <v>0.126</v>
          </cell>
        </row>
        <row r="463">
          <cell r="H463">
            <v>6.2E-2</v>
          </cell>
        </row>
        <row r="471">
          <cell r="H471">
            <v>12</v>
          </cell>
        </row>
        <row r="485">
          <cell r="H485">
            <v>1437.3</v>
          </cell>
        </row>
        <row r="493">
          <cell r="H493">
            <v>66</v>
          </cell>
        </row>
        <row r="505">
          <cell r="H505">
            <v>11.1</v>
          </cell>
        </row>
        <row r="522">
          <cell r="H522">
            <v>23.3</v>
          </cell>
        </row>
        <row r="532">
          <cell r="H532">
            <v>17.600000000000001</v>
          </cell>
        </row>
        <row r="543">
          <cell r="H543">
            <v>15.2</v>
          </cell>
        </row>
        <row r="545">
          <cell r="B545" t="str">
            <v>Pressed tiles (23cmx23cmx20mm) mixed with Water proofing compound</v>
          </cell>
        </row>
        <row r="554">
          <cell r="H554">
            <v>140</v>
          </cell>
        </row>
        <row r="686">
          <cell r="H686">
            <v>1432</v>
          </cell>
        </row>
        <row r="693">
          <cell r="H693">
            <v>55</v>
          </cell>
        </row>
        <row r="736">
          <cell r="H736">
            <v>276</v>
          </cell>
        </row>
        <row r="744">
          <cell r="H744">
            <v>81</v>
          </cell>
        </row>
        <row r="752">
          <cell r="H752">
            <v>258</v>
          </cell>
        </row>
        <row r="760">
          <cell r="H760">
            <v>104</v>
          </cell>
        </row>
        <row r="763">
          <cell r="H763">
            <v>276</v>
          </cell>
        </row>
        <row r="772">
          <cell r="H772">
            <v>668</v>
          </cell>
        </row>
        <row r="781">
          <cell r="H781">
            <v>52.5</v>
          </cell>
        </row>
        <row r="785">
          <cell r="H785">
            <v>8.6</v>
          </cell>
        </row>
        <row r="807">
          <cell r="H807">
            <v>146</v>
          </cell>
        </row>
        <row r="812">
          <cell r="H812">
            <v>6.4</v>
          </cell>
        </row>
        <row r="818">
          <cell r="H818">
            <v>4</v>
          </cell>
        </row>
        <row r="826">
          <cell r="H826">
            <v>8</v>
          </cell>
        </row>
        <row r="828">
          <cell r="H828">
            <v>44</v>
          </cell>
        </row>
        <row r="830">
          <cell r="H830">
            <v>5</v>
          </cell>
        </row>
        <row r="832">
          <cell r="H832">
            <v>5</v>
          </cell>
        </row>
        <row r="835">
          <cell r="H835">
            <v>1</v>
          </cell>
        </row>
        <row r="840">
          <cell r="H840">
            <v>45</v>
          </cell>
        </row>
        <row r="847">
          <cell r="H847">
            <v>149</v>
          </cell>
        </row>
        <row r="852">
          <cell r="H852">
            <v>6</v>
          </cell>
        </row>
        <row r="858">
          <cell r="H858">
            <v>8</v>
          </cell>
        </row>
        <row r="863">
          <cell r="H863">
            <v>4</v>
          </cell>
        </row>
        <row r="868">
          <cell r="H868">
            <v>11</v>
          </cell>
        </row>
        <row r="879">
          <cell r="H879">
            <v>80</v>
          </cell>
        </row>
        <row r="883">
          <cell r="H883">
            <v>2</v>
          </cell>
        </row>
        <row r="891">
          <cell r="H891">
            <v>5</v>
          </cell>
        </row>
        <row r="895">
          <cell r="H895">
            <v>17</v>
          </cell>
        </row>
        <row r="899">
          <cell r="H899">
            <v>17</v>
          </cell>
        </row>
        <row r="903">
          <cell r="H903">
            <v>15</v>
          </cell>
        </row>
        <row r="909">
          <cell r="H909">
            <v>9</v>
          </cell>
        </row>
        <row r="915">
          <cell r="H915">
            <v>55</v>
          </cell>
        </row>
        <row r="918">
          <cell r="H918">
            <v>1</v>
          </cell>
        </row>
        <row r="921">
          <cell r="H921">
            <v>0.7</v>
          </cell>
        </row>
        <row r="924">
          <cell r="H924">
            <v>4</v>
          </cell>
        </row>
        <row r="928">
          <cell r="H928">
            <v>2.1</v>
          </cell>
        </row>
        <row r="935">
          <cell r="H935">
            <v>137</v>
          </cell>
        </row>
        <row r="951">
          <cell r="H951">
            <v>88</v>
          </cell>
        </row>
        <row r="982">
          <cell r="H982">
            <v>143.80000000000001</v>
          </cell>
        </row>
        <row r="1100">
          <cell r="H1100">
            <v>512.5</v>
          </cell>
        </row>
        <row r="1149">
          <cell r="H1149">
            <v>206.7</v>
          </cell>
        </row>
        <row r="1154">
          <cell r="H1154">
            <v>4</v>
          </cell>
        </row>
        <row r="1160">
          <cell r="H1160">
            <v>6</v>
          </cell>
        </row>
        <row r="1171">
          <cell r="H1171">
            <v>3.4</v>
          </cell>
        </row>
        <row r="1180">
          <cell r="H1180">
            <v>11.1</v>
          </cell>
        </row>
        <row r="1184">
          <cell r="H1184">
            <v>6.6</v>
          </cell>
        </row>
        <row r="1189">
          <cell r="H1189">
            <v>11.5</v>
          </cell>
        </row>
        <row r="1202">
          <cell r="H1202">
            <v>41</v>
          </cell>
        </row>
        <row r="1250">
          <cell r="H1250">
            <v>103.5</v>
          </cell>
        </row>
        <row r="1266">
          <cell r="H1266">
            <v>20.100000000000001</v>
          </cell>
        </row>
        <row r="1281">
          <cell r="H1281">
            <v>59.5</v>
          </cell>
        </row>
        <row r="1298">
          <cell r="H1298">
            <v>91.2</v>
          </cell>
        </row>
        <row r="1408">
          <cell r="H1408">
            <v>828</v>
          </cell>
        </row>
        <row r="1433">
          <cell r="H1433">
            <v>583</v>
          </cell>
        </row>
        <row r="1441">
          <cell r="H1441">
            <v>11.942</v>
          </cell>
        </row>
        <row r="1444">
          <cell r="H1444">
            <v>4</v>
          </cell>
        </row>
        <row r="1445">
          <cell r="H1445">
            <v>12</v>
          </cell>
        </row>
        <row r="1451">
          <cell r="H1451">
            <v>57</v>
          </cell>
        </row>
        <row r="1457">
          <cell r="H1457">
            <v>41</v>
          </cell>
        </row>
        <row r="1462">
          <cell r="H1462">
            <v>6</v>
          </cell>
        </row>
        <row r="1466">
          <cell r="H1466">
            <v>4</v>
          </cell>
        </row>
        <row r="1475">
          <cell r="H1475">
            <v>75</v>
          </cell>
        </row>
        <row r="1483">
          <cell r="H1483">
            <v>66</v>
          </cell>
        </row>
        <row r="1487">
          <cell r="H1487">
            <v>6</v>
          </cell>
        </row>
        <row r="1516">
          <cell r="H1516">
            <v>39</v>
          </cell>
        </row>
        <row r="1537">
          <cell r="H1537">
            <v>23</v>
          </cell>
        </row>
        <row r="1541">
          <cell r="H1541">
            <v>2</v>
          </cell>
        </row>
        <row r="1555">
          <cell r="H1555">
            <v>17</v>
          </cell>
        </row>
        <row r="1559">
          <cell r="H1559">
            <v>2</v>
          </cell>
        </row>
        <row r="1575">
          <cell r="H1575">
            <v>14</v>
          </cell>
        </row>
        <row r="1587">
          <cell r="H1587">
            <v>14</v>
          </cell>
        </row>
        <row r="1592">
          <cell r="H1592">
            <v>17</v>
          </cell>
        </row>
        <row r="1602">
          <cell r="H1602">
            <v>175</v>
          </cell>
        </row>
        <row r="1606">
          <cell r="H1606">
            <v>30</v>
          </cell>
        </row>
        <row r="1610">
          <cell r="H1610">
            <v>6</v>
          </cell>
        </row>
        <row r="1614">
          <cell r="H1614">
            <v>1</v>
          </cell>
        </row>
        <row r="1618">
          <cell r="H1618">
            <v>2</v>
          </cell>
        </row>
        <row r="1622">
          <cell r="H1622">
            <v>2</v>
          </cell>
        </row>
        <row r="1626">
          <cell r="H1626">
            <v>2</v>
          </cell>
        </row>
        <row r="1630">
          <cell r="H1630">
            <v>6</v>
          </cell>
        </row>
        <row r="1634">
          <cell r="H1634">
            <v>5</v>
          </cell>
        </row>
        <row r="1646">
          <cell r="H1646">
            <v>92.2</v>
          </cell>
        </row>
        <row r="1650">
          <cell r="H1650">
            <v>2</v>
          </cell>
        </row>
        <row r="1656">
          <cell r="H1656">
            <v>2.1</v>
          </cell>
        </row>
        <row r="1662">
          <cell r="H1662">
            <v>6</v>
          </cell>
        </row>
        <row r="1667">
          <cell r="H1667">
            <v>6</v>
          </cell>
        </row>
        <row r="1688">
          <cell r="G1688">
            <v>25</v>
          </cell>
        </row>
        <row r="1698">
          <cell r="G1698">
            <v>7</v>
          </cell>
        </row>
        <row r="1718">
          <cell r="G1718">
            <v>37</v>
          </cell>
        </row>
        <row r="1723">
          <cell r="H1723">
            <v>62.4</v>
          </cell>
        </row>
        <row r="1724">
          <cell r="B1724" t="str">
            <v>HDPE water tank lit capacity with ISI mark</v>
          </cell>
        </row>
        <row r="1726">
          <cell r="H1726">
            <v>2000</v>
          </cell>
        </row>
      </sheetData>
      <sheetData sheetId="7"/>
      <sheetData sheetId="8"/>
      <sheetData sheetId="9">
        <row r="17">
          <cell r="F17">
            <v>3015.22</v>
          </cell>
        </row>
        <row r="28">
          <cell r="F28">
            <v>876.36</v>
          </cell>
        </row>
        <row r="81">
          <cell r="F81">
            <v>2674.87</v>
          </cell>
        </row>
        <row r="92">
          <cell r="F92">
            <v>710.92</v>
          </cell>
        </row>
        <row r="141">
          <cell r="F141">
            <v>2369.94</v>
          </cell>
        </row>
        <row r="152">
          <cell r="F152">
            <v>563.37</v>
          </cell>
        </row>
      </sheetData>
      <sheetData sheetId="10">
        <row r="2860">
          <cell r="K2860">
            <v>1493.27</v>
          </cell>
        </row>
        <row r="2884">
          <cell r="K2884">
            <v>1496.32</v>
          </cell>
        </row>
        <row r="2899">
          <cell r="K2899">
            <v>1526.05</v>
          </cell>
        </row>
        <row r="2921">
          <cell r="K2921">
            <v>1547.28</v>
          </cell>
        </row>
        <row r="2945">
          <cell r="K2945">
            <v>2795.01</v>
          </cell>
        </row>
        <row r="2965">
          <cell r="K2965">
            <v>1037.46</v>
          </cell>
        </row>
        <row r="2977">
          <cell r="K2977">
            <v>764.91</v>
          </cell>
        </row>
        <row r="2988">
          <cell r="K2988">
            <v>133.5</v>
          </cell>
        </row>
      </sheetData>
      <sheetData sheetId="11"/>
      <sheetData sheetId="12"/>
      <sheetData sheetId="13">
        <row r="32">
          <cell r="F32">
            <v>4757.03</v>
          </cell>
        </row>
        <row r="46">
          <cell r="F46">
            <v>4517.32</v>
          </cell>
        </row>
        <row r="145">
          <cell r="F145">
            <v>5107.12</v>
          </cell>
        </row>
        <row r="167">
          <cell r="F167">
            <v>4446.5</v>
          </cell>
        </row>
        <row r="310">
          <cell r="F310">
            <v>5118.9399999999996</v>
          </cell>
        </row>
      </sheetData>
      <sheetData sheetId="14">
        <row r="1">
          <cell r="A1" t="str">
            <v>CONSTRUCTION OF RURAL POLICE STATION BUILDING WITH DEVELOPMENT WORK AT REGUNATHAPURAM IN PUDUKKOTTAI DISRICT.</v>
          </cell>
        </row>
        <row r="2">
          <cell r="E2" t="str">
            <v>Police Station building</v>
          </cell>
        </row>
        <row r="794">
          <cell r="B794" t="str">
            <v>Supplying and fixing of solid core flush door shutter of thickness 35mm</v>
          </cell>
        </row>
        <row r="923">
          <cell r="B923" t="str">
            <v>Supply, fixing of 25W LED street light</v>
          </cell>
        </row>
      </sheetData>
      <sheetData sheetId="15"/>
      <sheetData sheetId="16"/>
      <sheetData sheetId="17"/>
      <sheetData sheetId="18"/>
      <sheetData sheetId="19">
        <row r="14">
          <cell r="G14" t="e">
            <v>#REF!</v>
          </cell>
        </row>
      </sheetData>
      <sheetData sheetId="20"/>
      <sheetData sheetId="21"/>
      <sheetData sheetId="22">
        <row r="32">
          <cell r="D32">
            <v>4858.32</v>
          </cell>
        </row>
        <row r="283">
          <cell r="D283">
            <v>125.87</v>
          </cell>
        </row>
      </sheetData>
      <sheetData sheetId="23">
        <row r="870">
          <cell r="F870">
            <v>5990015.54</v>
          </cell>
          <cell r="H870">
            <v>410785.2</v>
          </cell>
          <cell r="L870">
            <v>6400800.7400000002</v>
          </cell>
        </row>
      </sheetData>
      <sheetData sheetId="24"/>
      <sheetData sheetId="25">
        <row r="2860">
          <cell r="K2860">
            <v>1499.29</v>
          </cell>
        </row>
        <row r="2884">
          <cell r="K2884">
            <v>1503.34</v>
          </cell>
        </row>
        <row r="2899">
          <cell r="K2899">
            <v>1531.07</v>
          </cell>
        </row>
        <row r="2921">
          <cell r="K2921">
            <v>1565.5</v>
          </cell>
        </row>
        <row r="2945">
          <cell r="K2945">
            <v>2802.19</v>
          </cell>
        </row>
        <row r="2965">
          <cell r="K2965">
            <v>1041.2</v>
          </cell>
        </row>
        <row r="2977">
          <cell r="K2977">
            <v>764.91</v>
          </cell>
        </row>
        <row r="2988">
          <cell r="K2988">
            <v>138.69999999999999</v>
          </cell>
        </row>
        <row r="3011">
          <cell r="K3011">
            <v>2424.4299999999998</v>
          </cell>
        </row>
        <row r="3023">
          <cell r="K3023">
            <v>2425.48</v>
          </cell>
        </row>
        <row r="3044">
          <cell r="K3044">
            <v>2491.65</v>
          </cell>
        </row>
        <row r="3063">
          <cell r="K3063">
            <v>4553.6099999999997</v>
          </cell>
        </row>
        <row r="3080">
          <cell r="K3080">
            <v>192.58</v>
          </cell>
        </row>
        <row r="3092">
          <cell r="K3092">
            <v>209.78</v>
          </cell>
        </row>
        <row r="3105">
          <cell r="K3105">
            <v>246.68</v>
          </cell>
        </row>
        <row r="3119">
          <cell r="K3119">
            <v>368.57</v>
          </cell>
          <cell r="R3119">
            <v>457.07</v>
          </cell>
        </row>
        <row r="3133">
          <cell r="R3133">
            <v>589.27</v>
          </cell>
        </row>
        <row r="3135">
          <cell r="K3135">
            <v>486.5</v>
          </cell>
        </row>
        <row r="3173">
          <cell r="K3173">
            <v>1308</v>
          </cell>
        </row>
        <row r="3184">
          <cell r="K3184">
            <v>984.5</v>
          </cell>
        </row>
        <row r="3195">
          <cell r="K3195">
            <v>1662.67</v>
          </cell>
        </row>
        <row r="3210">
          <cell r="K3210">
            <v>2083.67</v>
          </cell>
        </row>
        <row r="3221">
          <cell r="K3221">
            <v>3342.85</v>
          </cell>
        </row>
        <row r="3233">
          <cell r="K3233">
            <v>4116.8500000000004</v>
          </cell>
        </row>
        <row r="3244">
          <cell r="K3244">
            <v>275.19</v>
          </cell>
        </row>
        <row r="3262">
          <cell r="K3262">
            <v>463.6</v>
          </cell>
        </row>
        <row r="3277">
          <cell r="K3277">
            <v>520.79999999999995</v>
          </cell>
        </row>
        <row r="3289">
          <cell r="I3289">
            <v>94.9</v>
          </cell>
        </row>
        <row r="3294">
          <cell r="K3294">
            <v>23.79</v>
          </cell>
        </row>
        <row r="3295">
          <cell r="K3295">
            <v>21</v>
          </cell>
        </row>
        <row r="3313">
          <cell r="I3313">
            <v>4.96</v>
          </cell>
        </row>
        <row r="3316">
          <cell r="I3316">
            <v>3.7</v>
          </cell>
        </row>
        <row r="3319">
          <cell r="K3319">
            <v>2723</v>
          </cell>
        </row>
        <row r="3333">
          <cell r="K3333">
            <v>361.01</v>
          </cell>
        </row>
        <row r="3348">
          <cell r="K3348">
            <v>714.1</v>
          </cell>
        </row>
        <row r="3366">
          <cell r="K3366">
            <v>449.93</v>
          </cell>
        </row>
        <row r="3379">
          <cell r="K3379">
            <v>728.1</v>
          </cell>
        </row>
        <row r="3384">
          <cell r="K3384">
            <v>1505</v>
          </cell>
        </row>
        <row r="3389">
          <cell r="K3389">
            <v>1858</v>
          </cell>
        </row>
        <row r="3400">
          <cell r="K3400">
            <v>508.26</v>
          </cell>
        </row>
        <row r="3419">
          <cell r="K3419">
            <v>776.68</v>
          </cell>
        </row>
        <row r="3441">
          <cell r="K3441">
            <v>770.34</v>
          </cell>
        </row>
        <row r="3458">
          <cell r="K3458">
            <v>2602.1</v>
          </cell>
        </row>
        <row r="3468">
          <cell r="K3468">
            <v>2972.1</v>
          </cell>
        </row>
        <row r="3481">
          <cell r="K3481">
            <v>1242.21</v>
          </cell>
        </row>
        <row r="3501">
          <cell r="K3501">
            <v>142.97999999999999</v>
          </cell>
        </row>
        <row r="3515">
          <cell r="K3515">
            <v>130</v>
          </cell>
        </row>
        <row r="3539">
          <cell r="K3539">
            <v>251.18</v>
          </cell>
        </row>
        <row r="3547">
          <cell r="K3547">
            <v>165</v>
          </cell>
        </row>
        <row r="3556">
          <cell r="K3556">
            <v>169.77</v>
          </cell>
        </row>
        <row r="3567">
          <cell r="K3567">
            <v>245.49</v>
          </cell>
        </row>
        <row r="3584">
          <cell r="K3584">
            <v>150.69</v>
          </cell>
        </row>
        <row r="3619">
          <cell r="K3619">
            <v>2092</v>
          </cell>
        </row>
        <row r="3638">
          <cell r="K3638">
            <v>2774.3</v>
          </cell>
          <cell r="R3638">
            <v>2808.14</v>
          </cell>
        </row>
        <row r="3646">
          <cell r="R3646">
            <v>8624.34</v>
          </cell>
        </row>
        <row r="3650">
          <cell r="K3650">
            <v>2207.4</v>
          </cell>
        </row>
        <row r="3676">
          <cell r="K3676">
            <v>5045.38</v>
          </cell>
        </row>
        <row r="3695">
          <cell r="K3695">
            <v>89.94</v>
          </cell>
        </row>
        <row r="3702">
          <cell r="K3702">
            <v>54</v>
          </cell>
        </row>
        <row r="3712">
          <cell r="K3712">
            <v>76.67</v>
          </cell>
        </row>
        <row r="3727">
          <cell r="K3727">
            <v>6840.4</v>
          </cell>
        </row>
        <row r="3744">
          <cell r="K3744">
            <v>1967.5</v>
          </cell>
        </row>
        <row r="3762">
          <cell r="K3762">
            <v>1942.75</v>
          </cell>
        </row>
        <row r="3767">
          <cell r="K3767">
            <v>1437.4</v>
          </cell>
        </row>
        <row r="3774">
          <cell r="K3774">
            <v>582.49</v>
          </cell>
        </row>
        <row r="3781">
          <cell r="K3781">
            <v>501.49</v>
          </cell>
        </row>
        <row r="3787">
          <cell r="K3787">
            <v>663.89</v>
          </cell>
        </row>
        <row r="3815">
          <cell r="K3815">
            <v>830.11</v>
          </cell>
        </row>
        <row r="3841">
          <cell r="K3841">
            <v>833.16</v>
          </cell>
        </row>
        <row r="3857">
          <cell r="K3857">
            <v>871.29</v>
          </cell>
        </row>
        <row r="3879">
          <cell r="K3879">
            <v>917.46</v>
          </cell>
        </row>
        <row r="3899">
          <cell r="K3899">
            <v>1963.99</v>
          </cell>
        </row>
        <row r="3918">
          <cell r="K3918">
            <v>638.45000000000005</v>
          </cell>
        </row>
        <row r="3942">
          <cell r="K3942">
            <v>119.23</v>
          </cell>
        </row>
        <row r="3953">
          <cell r="K3953">
            <v>136.43</v>
          </cell>
        </row>
        <row r="4087">
          <cell r="K4087">
            <v>34310</v>
          </cell>
        </row>
      </sheetData>
      <sheetData sheetId="26">
        <row r="88">
          <cell r="K88">
            <v>204.4</v>
          </cell>
          <cell r="X88">
            <v>138.83000000000001</v>
          </cell>
        </row>
        <row r="104">
          <cell r="K104">
            <v>287.8</v>
          </cell>
        </row>
        <row r="105">
          <cell r="K105">
            <v>297.10000000000002</v>
          </cell>
        </row>
        <row r="118">
          <cell r="X118">
            <v>64.5</v>
          </cell>
        </row>
        <row r="119">
          <cell r="K119">
            <v>105.9</v>
          </cell>
        </row>
        <row r="120">
          <cell r="K120">
            <v>115.2</v>
          </cell>
        </row>
        <row r="121">
          <cell r="K121">
            <v>124.5</v>
          </cell>
        </row>
        <row r="129">
          <cell r="K129">
            <v>143.9</v>
          </cell>
        </row>
        <row r="130">
          <cell r="K130">
            <v>153.19999999999999</v>
          </cell>
        </row>
        <row r="133">
          <cell r="K133">
            <v>144.9</v>
          </cell>
          <cell r="X133">
            <v>96.75</v>
          </cell>
        </row>
        <row r="134">
          <cell r="K134">
            <v>154.19999999999999</v>
          </cell>
        </row>
        <row r="144">
          <cell r="K144">
            <v>1864.56</v>
          </cell>
          <cell r="R144">
            <v>546.6</v>
          </cell>
        </row>
        <row r="154">
          <cell r="R154">
            <v>365.68</v>
          </cell>
        </row>
        <row r="165">
          <cell r="C165">
            <v>919.9</v>
          </cell>
        </row>
        <row r="166">
          <cell r="C166">
            <v>998.9</v>
          </cell>
        </row>
        <row r="189">
          <cell r="K189">
            <v>531.65</v>
          </cell>
        </row>
        <row r="204">
          <cell r="K204">
            <v>4858.32</v>
          </cell>
          <cell r="R204">
            <v>5735.96</v>
          </cell>
        </row>
        <row r="234">
          <cell r="K234">
            <v>4011.78</v>
          </cell>
        </row>
        <row r="249">
          <cell r="K249">
            <v>228.78</v>
          </cell>
        </row>
        <row r="261">
          <cell r="K261">
            <v>152.21</v>
          </cell>
        </row>
        <row r="285">
          <cell r="K285">
            <v>7721.28</v>
          </cell>
        </row>
        <row r="306">
          <cell r="K306">
            <v>5267.27</v>
          </cell>
        </row>
        <row r="321">
          <cell r="K321">
            <v>6233.2</v>
          </cell>
          <cell r="X321">
            <v>6402.92</v>
          </cell>
          <cell r="AG321">
            <v>6071.36</v>
          </cell>
        </row>
        <row r="347">
          <cell r="K347">
            <v>6229.68</v>
          </cell>
        </row>
        <row r="348">
          <cell r="K348">
            <v>6366.88</v>
          </cell>
        </row>
        <row r="349">
          <cell r="K349">
            <v>6504.08</v>
          </cell>
        </row>
        <row r="350">
          <cell r="K350">
            <v>6641.28</v>
          </cell>
        </row>
        <row r="351">
          <cell r="K351">
            <v>6778.48</v>
          </cell>
        </row>
        <row r="352">
          <cell r="AG352">
            <v>6768.14</v>
          </cell>
        </row>
        <row r="353">
          <cell r="AG353">
            <v>6905.34</v>
          </cell>
        </row>
        <row r="354">
          <cell r="AG354">
            <v>7042.54</v>
          </cell>
        </row>
        <row r="355">
          <cell r="AG355">
            <v>7179.74</v>
          </cell>
        </row>
        <row r="356">
          <cell r="AG356">
            <v>7316.94</v>
          </cell>
        </row>
        <row r="357">
          <cell r="AG357">
            <v>7454.14</v>
          </cell>
        </row>
        <row r="368">
          <cell r="K368">
            <v>6545.68</v>
          </cell>
          <cell r="Y368">
            <v>6646.8</v>
          </cell>
        </row>
        <row r="369">
          <cell r="K369">
            <v>6682.88</v>
          </cell>
        </row>
        <row r="370">
          <cell r="K370">
            <v>6820.08</v>
          </cell>
        </row>
        <row r="371">
          <cell r="K371">
            <v>6957.28</v>
          </cell>
        </row>
        <row r="372">
          <cell r="K372">
            <v>6614.28</v>
          </cell>
        </row>
        <row r="381">
          <cell r="AG381">
            <v>6430.98</v>
          </cell>
        </row>
        <row r="384">
          <cell r="R384">
            <v>19.96</v>
          </cell>
        </row>
        <row r="398">
          <cell r="R398">
            <v>29.07</v>
          </cell>
        </row>
        <row r="400">
          <cell r="K400">
            <v>744.9</v>
          </cell>
          <cell r="X400">
            <v>775.89</v>
          </cell>
        </row>
        <row r="402">
          <cell r="K402">
            <v>752.38</v>
          </cell>
          <cell r="X402">
            <v>783.51</v>
          </cell>
        </row>
        <row r="403">
          <cell r="K403">
            <v>767.47</v>
          </cell>
          <cell r="X403">
            <v>798.88</v>
          </cell>
        </row>
        <row r="404">
          <cell r="K404">
            <v>782.56</v>
          </cell>
          <cell r="X404">
            <v>814.25</v>
          </cell>
        </row>
        <row r="405">
          <cell r="K405">
            <v>797.65</v>
          </cell>
          <cell r="X405">
            <v>829.62</v>
          </cell>
        </row>
        <row r="406">
          <cell r="K406">
            <v>812.74</v>
          </cell>
          <cell r="X406">
            <v>844.99</v>
          </cell>
        </row>
        <row r="409">
          <cell r="AG409">
            <v>756.33</v>
          </cell>
        </row>
        <row r="411">
          <cell r="AG411">
            <v>764.08</v>
          </cell>
        </row>
        <row r="412">
          <cell r="AG412">
            <v>779.72</v>
          </cell>
        </row>
        <row r="413">
          <cell r="AG413">
            <v>795.36</v>
          </cell>
        </row>
        <row r="414">
          <cell r="AG414">
            <v>811</v>
          </cell>
        </row>
        <row r="415">
          <cell r="AG415">
            <v>826.64</v>
          </cell>
        </row>
        <row r="416">
          <cell r="AG416">
            <v>842.28</v>
          </cell>
        </row>
        <row r="417">
          <cell r="AG417">
            <v>857.92</v>
          </cell>
        </row>
        <row r="418">
          <cell r="AG418">
            <v>873.56</v>
          </cell>
        </row>
        <row r="419">
          <cell r="AG419">
            <v>889.2</v>
          </cell>
        </row>
        <row r="420">
          <cell r="AG420">
            <v>904.84</v>
          </cell>
        </row>
        <row r="421">
          <cell r="AG421">
            <v>920.48</v>
          </cell>
        </row>
        <row r="422">
          <cell r="AG422">
            <v>936.12</v>
          </cell>
          <cell r="AI422">
            <v>951.76</v>
          </cell>
        </row>
        <row r="423">
          <cell r="AI423">
            <v>967.4</v>
          </cell>
        </row>
        <row r="434">
          <cell r="K434">
            <v>510.1</v>
          </cell>
          <cell r="X434">
            <v>521.98</v>
          </cell>
        </row>
        <row r="435">
          <cell r="K435">
            <v>519.70000000000005</v>
          </cell>
          <cell r="X435">
            <v>531.58000000000004</v>
          </cell>
        </row>
        <row r="436">
          <cell r="K436">
            <v>529.29999999999995</v>
          </cell>
          <cell r="X436">
            <v>541.17999999999995</v>
          </cell>
        </row>
        <row r="437">
          <cell r="K437">
            <v>538.9</v>
          </cell>
          <cell r="X437">
            <v>550.78</v>
          </cell>
        </row>
        <row r="438">
          <cell r="K438">
            <v>548.5</v>
          </cell>
          <cell r="X438">
            <v>560.38</v>
          </cell>
        </row>
        <row r="448">
          <cell r="AG448">
            <v>532.14</v>
          </cell>
        </row>
        <row r="449">
          <cell r="AG449">
            <v>542.42999999999995</v>
          </cell>
        </row>
        <row r="450">
          <cell r="AG450">
            <v>552.72</v>
          </cell>
        </row>
        <row r="451">
          <cell r="AG451">
            <v>563.01</v>
          </cell>
        </row>
        <row r="452">
          <cell r="AG452">
            <v>573.29999999999995</v>
          </cell>
        </row>
        <row r="455">
          <cell r="AG455">
            <v>604.16999999999996</v>
          </cell>
        </row>
        <row r="456">
          <cell r="AG456">
            <v>614.46</v>
          </cell>
        </row>
        <row r="457">
          <cell r="AG457">
            <v>624.75</v>
          </cell>
        </row>
        <row r="458">
          <cell r="AG458">
            <v>635.04</v>
          </cell>
        </row>
        <row r="459">
          <cell r="AG459">
            <v>645.33000000000004</v>
          </cell>
        </row>
        <row r="467">
          <cell r="K467">
            <v>371.33</v>
          </cell>
        </row>
        <row r="468">
          <cell r="K468">
            <v>378.19</v>
          </cell>
        </row>
        <row r="469">
          <cell r="K469">
            <v>385.05</v>
          </cell>
        </row>
        <row r="470">
          <cell r="K470">
            <v>391.91</v>
          </cell>
        </row>
        <row r="471">
          <cell r="K471">
            <v>398.77</v>
          </cell>
        </row>
        <row r="482">
          <cell r="K482">
            <v>33.6</v>
          </cell>
        </row>
        <row r="486">
          <cell r="X486">
            <v>2584.37</v>
          </cell>
          <cell r="AD486">
            <v>2604.59</v>
          </cell>
        </row>
        <row r="487">
          <cell r="X487">
            <v>2592.0300000000002</v>
          </cell>
          <cell r="AD487">
            <v>2612.25</v>
          </cell>
        </row>
        <row r="488">
          <cell r="X488">
            <v>2599.69</v>
          </cell>
          <cell r="AD488">
            <v>2619.91</v>
          </cell>
        </row>
        <row r="489">
          <cell r="X489">
            <v>2607.35</v>
          </cell>
          <cell r="AD489">
            <v>2627.57</v>
          </cell>
        </row>
        <row r="490">
          <cell r="X490">
            <v>2615.0100000000002</v>
          </cell>
          <cell r="AD490">
            <v>2635.23</v>
          </cell>
        </row>
        <row r="535">
          <cell r="K535">
            <v>1290.54</v>
          </cell>
        </row>
        <row r="536">
          <cell r="K536">
            <v>1294.6500000000001</v>
          </cell>
        </row>
        <row r="537">
          <cell r="K537">
            <v>1298.76</v>
          </cell>
          <cell r="X537">
            <v>1292.4000000000001</v>
          </cell>
          <cell r="AD537">
            <v>1303.25</v>
          </cell>
        </row>
        <row r="538">
          <cell r="K538">
            <v>1302.8699999999999</v>
          </cell>
          <cell r="X538">
            <v>1296.51</v>
          </cell>
          <cell r="AD538">
            <v>1307.3599999999999</v>
          </cell>
        </row>
        <row r="539">
          <cell r="K539">
            <v>1306.98</v>
          </cell>
          <cell r="X539">
            <v>1300.6199999999999</v>
          </cell>
          <cell r="AD539">
            <v>1311.47</v>
          </cell>
        </row>
        <row r="540">
          <cell r="K540">
            <v>1311.09</v>
          </cell>
          <cell r="X540">
            <v>1304.73</v>
          </cell>
          <cell r="AD540">
            <v>1315.58</v>
          </cell>
        </row>
        <row r="541">
          <cell r="K541">
            <v>1315.2</v>
          </cell>
          <cell r="X541">
            <v>1308.8399999999999</v>
          </cell>
          <cell r="AD541">
            <v>1319.69</v>
          </cell>
        </row>
        <row r="542">
          <cell r="K542">
            <v>1319.31</v>
          </cell>
        </row>
        <row r="543">
          <cell r="K543">
            <v>1323.42</v>
          </cell>
        </row>
        <row r="544">
          <cell r="K544">
            <v>1327.53</v>
          </cell>
        </row>
        <row r="545">
          <cell r="K545">
            <v>1331.64</v>
          </cell>
        </row>
        <row r="546">
          <cell r="K546">
            <v>1335.75</v>
          </cell>
        </row>
        <row r="557">
          <cell r="K557">
            <v>1430.19</v>
          </cell>
        </row>
        <row r="559">
          <cell r="K559">
            <v>1434.36</v>
          </cell>
          <cell r="X559">
            <v>1433.93</v>
          </cell>
          <cell r="AD559">
            <v>1455.63</v>
          </cell>
        </row>
        <row r="560">
          <cell r="K560">
            <v>1442.58</v>
          </cell>
        </row>
        <row r="561">
          <cell r="K561">
            <v>1450.8</v>
          </cell>
          <cell r="X561">
            <v>1438.1</v>
          </cell>
          <cell r="AD561">
            <v>1459.8</v>
          </cell>
        </row>
        <row r="562">
          <cell r="K562">
            <v>1459.02</v>
          </cell>
          <cell r="X562">
            <v>1446.32</v>
          </cell>
          <cell r="AD562">
            <v>1468.02</v>
          </cell>
        </row>
        <row r="563">
          <cell r="K563">
            <v>1467.24</v>
          </cell>
          <cell r="X563">
            <v>1454.54</v>
          </cell>
          <cell r="AD563">
            <v>1476.24</v>
          </cell>
        </row>
        <row r="564">
          <cell r="X564">
            <v>1462.76</v>
          </cell>
          <cell r="AD564">
            <v>1484.46</v>
          </cell>
        </row>
        <row r="565">
          <cell r="X565">
            <v>1470.98</v>
          </cell>
          <cell r="AD565">
            <v>1492.68</v>
          </cell>
        </row>
        <row r="590">
          <cell r="K590">
            <v>529.37</v>
          </cell>
          <cell r="X590">
            <v>562.42999999999995</v>
          </cell>
        </row>
        <row r="591">
          <cell r="K591">
            <v>533.44000000000005</v>
          </cell>
          <cell r="X591">
            <v>570.57000000000005</v>
          </cell>
        </row>
        <row r="592">
          <cell r="K592">
            <v>537.51</v>
          </cell>
          <cell r="X592">
            <v>578.71</v>
          </cell>
        </row>
        <row r="593">
          <cell r="K593">
            <v>541.58000000000004</v>
          </cell>
          <cell r="X593">
            <v>586.85</v>
          </cell>
        </row>
        <row r="594">
          <cell r="K594">
            <v>545.65</v>
          </cell>
        </row>
        <row r="612">
          <cell r="K612">
            <v>1847.38</v>
          </cell>
        </row>
        <row r="613">
          <cell r="K613">
            <v>1855.52</v>
          </cell>
        </row>
        <row r="614">
          <cell r="K614">
            <v>1863.66</v>
          </cell>
        </row>
        <row r="615">
          <cell r="K615">
            <v>1871.8</v>
          </cell>
        </row>
        <row r="616">
          <cell r="K616">
            <v>1879.94</v>
          </cell>
        </row>
        <row r="628">
          <cell r="K628">
            <v>574.95000000000005</v>
          </cell>
        </row>
        <row r="629">
          <cell r="K629">
            <v>579.02</v>
          </cell>
        </row>
        <row r="630">
          <cell r="K630">
            <v>583.09</v>
          </cell>
        </row>
        <row r="631">
          <cell r="K631">
            <v>587.16</v>
          </cell>
        </row>
        <row r="632">
          <cell r="K632">
            <v>591.23</v>
          </cell>
        </row>
        <row r="659">
          <cell r="K659">
            <v>2586.0700000000002</v>
          </cell>
        </row>
        <row r="660">
          <cell r="K660">
            <v>2593.73</v>
          </cell>
        </row>
        <row r="661">
          <cell r="K661">
            <v>2601.39</v>
          </cell>
        </row>
        <row r="662">
          <cell r="K662">
            <v>2609.0500000000002</v>
          </cell>
        </row>
        <row r="663">
          <cell r="K663">
            <v>2616.71</v>
          </cell>
        </row>
        <row r="686">
          <cell r="K686">
            <v>483.4</v>
          </cell>
        </row>
        <row r="687">
          <cell r="K687">
            <v>490.26</v>
          </cell>
        </row>
        <row r="688">
          <cell r="K688">
            <v>497.12</v>
          </cell>
          <cell r="X688">
            <v>8213.7099999999991</v>
          </cell>
        </row>
        <row r="689">
          <cell r="K689">
            <v>503.98</v>
          </cell>
        </row>
        <row r="690">
          <cell r="K690">
            <v>510.84</v>
          </cell>
          <cell r="X690">
            <v>8317.01</v>
          </cell>
        </row>
        <row r="691">
          <cell r="X691">
            <v>8520.51</v>
          </cell>
        </row>
        <row r="692">
          <cell r="X692">
            <v>8724.01</v>
          </cell>
        </row>
        <row r="693">
          <cell r="X693">
            <v>8927.51</v>
          </cell>
        </row>
        <row r="704">
          <cell r="C704">
            <v>3167</v>
          </cell>
        </row>
        <row r="706">
          <cell r="K706">
            <v>657.48</v>
          </cell>
        </row>
        <row r="707">
          <cell r="K707">
            <v>672.57</v>
          </cell>
        </row>
        <row r="708">
          <cell r="K708">
            <v>687.66</v>
          </cell>
        </row>
        <row r="709">
          <cell r="K709">
            <v>702.75</v>
          </cell>
        </row>
        <row r="710">
          <cell r="K710">
            <v>717.84</v>
          </cell>
        </row>
        <row r="718">
          <cell r="X718">
            <v>7676.3</v>
          </cell>
        </row>
        <row r="720">
          <cell r="X720">
            <v>7779.6</v>
          </cell>
        </row>
        <row r="721">
          <cell r="X721">
            <v>7983.1</v>
          </cell>
        </row>
        <row r="722">
          <cell r="X722">
            <v>8186.6</v>
          </cell>
        </row>
        <row r="723">
          <cell r="X723">
            <v>8390.1</v>
          </cell>
        </row>
        <row r="724">
          <cell r="X724">
            <v>8593.6</v>
          </cell>
        </row>
        <row r="764">
          <cell r="C764">
            <v>1010</v>
          </cell>
        </row>
        <row r="821">
          <cell r="K821">
            <v>8363.17</v>
          </cell>
        </row>
        <row r="864">
          <cell r="R864">
            <v>2941.61</v>
          </cell>
        </row>
        <row r="871">
          <cell r="K871">
            <v>2466.65</v>
          </cell>
        </row>
        <row r="889">
          <cell r="K889">
            <v>2446.66</v>
          </cell>
        </row>
        <row r="905">
          <cell r="K905">
            <v>2412.73</v>
          </cell>
        </row>
        <row r="912">
          <cell r="K912">
            <v>2034</v>
          </cell>
        </row>
        <row r="923">
          <cell r="K923">
            <v>123400</v>
          </cell>
        </row>
        <row r="930">
          <cell r="K930">
            <v>111200</v>
          </cell>
        </row>
        <row r="964">
          <cell r="K964">
            <v>4719.55</v>
          </cell>
        </row>
        <row r="1000">
          <cell r="K1000">
            <v>4803.54</v>
          </cell>
          <cell r="R1000">
            <v>3850.37</v>
          </cell>
        </row>
        <row r="1030">
          <cell r="K1030">
            <v>4817.3500000000004</v>
          </cell>
        </row>
        <row r="1066">
          <cell r="K1066">
            <v>3424.55</v>
          </cell>
        </row>
        <row r="1077">
          <cell r="R1077">
            <v>3309.65</v>
          </cell>
        </row>
        <row r="1081">
          <cell r="K1081">
            <v>3364.08</v>
          </cell>
        </row>
        <row r="1097">
          <cell r="K1097">
            <v>3552.27</v>
          </cell>
        </row>
        <row r="1112">
          <cell r="K1112">
            <v>2642.35</v>
          </cell>
        </row>
        <row r="1124">
          <cell r="R1124">
            <v>5040.1899999999996</v>
          </cell>
        </row>
        <row r="1154">
          <cell r="K1154">
            <v>109.86</v>
          </cell>
        </row>
        <row r="1156">
          <cell r="R1156">
            <v>7977.27</v>
          </cell>
        </row>
        <row r="1158">
          <cell r="R1158">
            <v>8080.57</v>
          </cell>
        </row>
        <row r="1159">
          <cell r="R1159">
            <v>8284.07</v>
          </cell>
        </row>
        <row r="1160">
          <cell r="R1160">
            <v>8487.57</v>
          </cell>
        </row>
        <row r="1161">
          <cell r="R1161">
            <v>8691.07</v>
          </cell>
        </row>
        <row r="1162">
          <cell r="R1162">
            <v>8894.57</v>
          </cell>
        </row>
        <row r="1163">
          <cell r="R1163">
            <v>9098.07</v>
          </cell>
        </row>
        <row r="1164">
          <cell r="R1164">
            <v>9301.57</v>
          </cell>
        </row>
        <row r="1165">
          <cell r="R1165">
            <v>9505.07</v>
          </cell>
        </row>
        <row r="1166">
          <cell r="R1166">
            <v>9708.57</v>
          </cell>
        </row>
        <row r="1167">
          <cell r="K1167">
            <v>172.13</v>
          </cell>
          <cell r="R1167">
            <v>9912.07</v>
          </cell>
        </row>
        <row r="1168">
          <cell r="R1168">
            <v>10115.57</v>
          </cell>
        </row>
        <row r="1169">
          <cell r="R1169">
            <v>10319.07</v>
          </cell>
        </row>
        <row r="1170">
          <cell r="K1170">
            <v>52</v>
          </cell>
          <cell r="R1170">
            <v>10522.57</v>
          </cell>
        </row>
        <row r="1171">
          <cell r="R1171">
            <v>10726.07</v>
          </cell>
        </row>
        <row r="1183">
          <cell r="R1183">
            <v>8047.63</v>
          </cell>
        </row>
        <row r="1184">
          <cell r="R1184">
            <v>8150.93</v>
          </cell>
        </row>
        <row r="1185">
          <cell r="K1185">
            <v>708.1</v>
          </cell>
        </row>
        <row r="1191">
          <cell r="K1191">
            <v>62.1</v>
          </cell>
        </row>
        <row r="1193">
          <cell r="K1193">
            <v>62.6</v>
          </cell>
        </row>
        <row r="1194">
          <cell r="K1194">
            <v>9.6</v>
          </cell>
        </row>
        <row r="1196">
          <cell r="AD1196">
            <v>1919.88</v>
          </cell>
        </row>
        <row r="1197">
          <cell r="AK1197">
            <v>1052.9100000000001</v>
          </cell>
        </row>
        <row r="1198">
          <cell r="AD1198">
            <v>1926.02</v>
          </cell>
          <cell r="AK1198">
            <v>1054.95</v>
          </cell>
        </row>
        <row r="1199">
          <cell r="AD1199">
            <v>1930.09</v>
          </cell>
          <cell r="AK1199">
            <v>1056.99</v>
          </cell>
        </row>
        <row r="1200">
          <cell r="AD1200">
            <v>1934.16</v>
          </cell>
          <cell r="AK1200">
            <v>1058.94</v>
          </cell>
        </row>
        <row r="1213">
          <cell r="K1213">
            <v>455.32</v>
          </cell>
        </row>
        <row r="1229">
          <cell r="AD1229">
            <v>1327.1</v>
          </cell>
        </row>
        <row r="1230">
          <cell r="R1230">
            <v>1361.69</v>
          </cell>
        </row>
        <row r="1241">
          <cell r="K1241">
            <v>1106.04</v>
          </cell>
        </row>
        <row r="1249">
          <cell r="R1249">
            <v>1332.51</v>
          </cell>
        </row>
        <row r="1257">
          <cell r="AD1257">
            <v>1498.51</v>
          </cell>
        </row>
        <row r="1264">
          <cell r="K1264">
            <v>1098.8499999999999</v>
          </cell>
        </row>
        <row r="1272">
          <cell r="R1272">
            <v>1156.81</v>
          </cell>
        </row>
        <row r="1278">
          <cell r="K1278">
            <v>1239.77</v>
          </cell>
        </row>
        <row r="1292">
          <cell r="K1292">
            <v>2813.12</v>
          </cell>
        </row>
        <row r="1293">
          <cell r="X1293">
            <v>1273.72</v>
          </cell>
        </row>
        <row r="1312">
          <cell r="K1312">
            <v>404.02</v>
          </cell>
        </row>
        <row r="1326">
          <cell r="R1326">
            <v>206.91</v>
          </cell>
        </row>
        <row r="1330">
          <cell r="K1330">
            <v>3598.9</v>
          </cell>
        </row>
        <row r="1363">
          <cell r="AD1363">
            <v>6304.16</v>
          </cell>
        </row>
        <row r="1365">
          <cell r="K1365">
            <v>1082.8499999999999</v>
          </cell>
          <cell r="X1365">
            <v>9368.61</v>
          </cell>
        </row>
        <row r="1380">
          <cell r="AD1380">
            <v>8048.46</v>
          </cell>
        </row>
        <row r="1382">
          <cell r="X1382">
            <v>7379.44</v>
          </cell>
        </row>
        <row r="1397">
          <cell r="AD1397">
            <v>4015.35</v>
          </cell>
        </row>
        <row r="1399">
          <cell r="X1399">
            <v>14549.64</v>
          </cell>
        </row>
        <row r="1400">
          <cell r="K1400">
            <v>225.14</v>
          </cell>
        </row>
        <row r="1404">
          <cell r="R1404">
            <v>10968.39</v>
          </cell>
        </row>
        <row r="1414">
          <cell r="K1414">
            <v>231.15</v>
          </cell>
        </row>
        <row r="1421">
          <cell r="R1421">
            <v>8713.44</v>
          </cell>
        </row>
        <row r="1426">
          <cell r="K1426">
            <v>255.7</v>
          </cell>
        </row>
        <row r="1438">
          <cell r="R1438">
            <v>3794.03</v>
          </cell>
        </row>
        <row r="1440">
          <cell r="X1440">
            <v>5059.03</v>
          </cell>
        </row>
        <row r="1442">
          <cell r="K1442">
            <v>249.62</v>
          </cell>
        </row>
        <row r="1447">
          <cell r="X1447">
            <v>4748.82</v>
          </cell>
        </row>
        <row r="1455">
          <cell r="R1455">
            <v>5611.1</v>
          </cell>
        </row>
        <row r="1460">
          <cell r="K1460">
            <v>70.61</v>
          </cell>
        </row>
        <row r="1463">
          <cell r="X1463">
            <v>7235.67</v>
          </cell>
        </row>
        <row r="1472">
          <cell r="K1472">
            <v>45.81</v>
          </cell>
        </row>
        <row r="1479">
          <cell r="R1479">
            <v>4535.8900000000003</v>
          </cell>
        </row>
        <row r="1485">
          <cell r="K1485">
            <v>34.06</v>
          </cell>
        </row>
        <row r="1498">
          <cell r="K1498">
            <v>39.22</v>
          </cell>
        </row>
        <row r="1513">
          <cell r="K1513">
            <v>172.93</v>
          </cell>
        </row>
        <row r="1526">
          <cell r="K1526">
            <v>147.27000000000001</v>
          </cell>
        </row>
        <row r="1540">
          <cell r="K1540">
            <v>212.24</v>
          </cell>
        </row>
        <row r="1553">
          <cell r="K1553">
            <v>125.87</v>
          </cell>
        </row>
        <row r="1567">
          <cell r="K1567">
            <v>4403.5</v>
          </cell>
        </row>
        <row r="1582">
          <cell r="K1582">
            <v>80140.5</v>
          </cell>
        </row>
        <row r="1595">
          <cell r="K1595">
            <v>80140.5</v>
          </cell>
        </row>
        <row r="1608">
          <cell r="K1608">
            <v>78398</v>
          </cell>
        </row>
        <row r="1609">
          <cell r="R1609">
            <v>78609.3</v>
          </cell>
        </row>
        <row r="1620">
          <cell r="K1620">
            <v>78398</v>
          </cell>
        </row>
        <row r="1638">
          <cell r="K1638">
            <v>321.74</v>
          </cell>
        </row>
        <row r="1640">
          <cell r="R1640">
            <v>326.29000000000002</v>
          </cell>
        </row>
        <row r="1653">
          <cell r="K1653">
            <v>287.62</v>
          </cell>
        </row>
        <row r="1670">
          <cell r="K1670">
            <v>58</v>
          </cell>
        </row>
        <row r="1682">
          <cell r="K1682">
            <v>95</v>
          </cell>
        </row>
        <row r="1690">
          <cell r="K1690">
            <v>55</v>
          </cell>
        </row>
        <row r="1697">
          <cell r="K1697">
            <v>1.5</v>
          </cell>
        </row>
        <row r="1762">
          <cell r="K1762">
            <v>386.45</v>
          </cell>
        </row>
        <row r="1775">
          <cell r="K1775">
            <v>812.3</v>
          </cell>
        </row>
        <row r="1790">
          <cell r="K1790">
            <v>17425.669999999998</v>
          </cell>
        </row>
        <row r="1796">
          <cell r="K1796">
            <v>6720</v>
          </cell>
        </row>
        <row r="1797">
          <cell r="K1797">
            <v>1920</v>
          </cell>
        </row>
        <row r="1874">
          <cell r="K1874">
            <v>203.95</v>
          </cell>
        </row>
        <row r="1882">
          <cell r="K1882">
            <v>208.73</v>
          </cell>
        </row>
        <row r="1890">
          <cell r="K1890">
            <v>225.97</v>
          </cell>
        </row>
        <row r="1912">
          <cell r="R1912">
            <v>273.74</v>
          </cell>
        </row>
        <row r="1927">
          <cell r="K1927">
            <v>286.08</v>
          </cell>
        </row>
        <row r="1948">
          <cell r="K1948">
            <v>3104.82</v>
          </cell>
        </row>
        <row r="1951">
          <cell r="K1951">
            <v>1846</v>
          </cell>
        </row>
        <row r="1952">
          <cell r="K1952">
            <v>30</v>
          </cell>
        </row>
        <row r="1954">
          <cell r="K1954">
            <v>204</v>
          </cell>
        </row>
        <row r="1957">
          <cell r="K1957">
            <v>300</v>
          </cell>
        </row>
        <row r="1960">
          <cell r="K1960">
            <v>250</v>
          </cell>
        </row>
        <row r="1977">
          <cell r="K1977">
            <v>3085.18</v>
          </cell>
        </row>
        <row r="1978">
          <cell r="R1978">
            <v>3054.35</v>
          </cell>
        </row>
        <row r="1998">
          <cell r="K1998">
            <v>4869.5600000000004</v>
          </cell>
        </row>
        <row r="1999">
          <cell r="R1999">
            <v>4839.1000000000004</v>
          </cell>
        </row>
        <row r="2015">
          <cell r="K2015">
            <v>6531.2</v>
          </cell>
        </row>
        <row r="2018">
          <cell r="R2018">
            <v>6501.3</v>
          </cell>
        </row>
        <row r="2034">
          <cell r="K2034">
            <v>6891.2</v>
          </cell>
        </row>
        <row r="2037">
          <cell r="R2037">
            <v>6861.3</v>
          </cell>
        </row>
        <row r="2044">
          <cell r="R2044">
            <v>1311.94</v>
          </cell>
        </row>
        <row r="2063">
          <cell r="K2063">
            <v>657.29</v>
          </cell>
        </row>
        <row r="2087">
          <cell r="K2087">
            <v>541.41999999999996</v>
          </cell>
        </row>
        <row r="2090">
          <cell r="R2090">
            <v>6981.88</v>
          </cell>
        </row>
        <row r="2098">
          <cell r="K2098">
            <v>450.1</v>
          </cell>
        </row>
        <row r="2111">
          <cell r="K2111">
            <v>1762.77</v>
          </cell>
        </row>
        <row r="2119">
          <cell r="K2119">
            <v>152.6</v>
          </cell>
        </row>
        <row r="2138">
          <cell r="K2138">
            <v>507.54</v>
          </cell>
        </row>
        <row r="2158">
          <cell r="K2158">
            <v>673.86</v>
          </cell>
        </row>
        <row r="2169">
          <cell r="K2169">
            <v>222.53</v>
          </cell>
        </row>
        <row r="2184">
          <cell r="K2184">
            <v>329.02</v>
          </cell>
        </row>
        <row r="2193">
          <cell r="K2193">
            <v>103.1</v>
          </cell>
        </row>
        <row r="2200">
          <cell r="K2200">
            <v>141.80000000000001</v>
          </cell>
        </row>
        <row r="2206">
          <cell r="K2206">
            <v>129.80000000000001</v>
          </cell>
        </row>
        <row r="2216">
          <cell r="K2216">
            <v>167.5</v>
          </cell>
        </row>
        <row r="2225">
          <cell r="K2225">
            <v>31.87</v>
          </cell>
        </row>
        <row r="2261">
          <cell r="K2261">
            <v>1499.29</v>
          </cell>
        </row>
        <row r="2262">
          <cell r="K2262">
            <v>1503.34</v>
          </cell>
        </row>
        <row r="2263">
          <cell r="K2263">
            <v>1531.07</v>
          </cell>
        </row>
        <row r="2264">
          <cell r="K2264">
            <v>1565.5</v>
          </cell>
        </row>
        <row r="2265">
          <cell r="K2265">
            <v>2802.19</v>
          </cell>
        </row>
        <row r="2266">
          <cell r="K2266">
            <v>764.91</v>
          </cell>
        </row>
        <row r="2267">
          <cell r="K2267">
            <v>1041.2</v>
          </cell>
        </row>
        <row r="2268">
          <cell r="K2268">
            <v>138.69999999999999</v>
          </cell>
        </row>
        <row r="2269">
          <cell r="K2269">
            <v>486.5</v>
          </cell>
        </row>
        <row r="2271">
          <cell r="K2271">
            <v>12</v>
          </cell>
        </row>
        <row r="2272">
          <cell r="K2272">
            <v>10</v>
          </cell>
        </row>
        <row r="2273">
          <cell r="K2273">
            <v>1308</v>
          </cell>
        </row>
        <row r="2274">
          <cell r="K2274">
            <v>33.9</v>
          </cell>
        </row>
        <row r="2275">
          <cell r="K2275">
            <v>4116.8500000000004</v>
          </cell>
        </row>
        <row r="2276">
          <cell r="K2276">
            <v>3342.85</v>
          </cell>
        </row>
        <row r="2277">
          <cell r="K2277">
            <v>520.79999999999995</v>
          </cell>
        </row>
        <row r="2280">
          <cell r="K2280">
            <v>1967.5</v>
          </cell>
        </row>
        <row r="2282">
          <cell r="K2282">
            <v>192.58</v>
          </cell>
        </row>
        <row r="2283">
          <cell r="K2283">
            <v>246.68</v>
          </cell>
        </row>
        <row r="2284">
          <cell r="K2284">
            <v>500</v>
          </cell>
        </row>
        <row r="2285">
          <cell r="K2285">
            <v>76.67</v>
          </cell>
        </row>
        <row r="2286">
          <cell r="K2286">
            <v>2723</v>
          </cell>
        </row>
        <row r="2287">
          <cell r="K2287">
            <v>770.34</v>
          </cell>
        </row>
        <row r="2288">
          <cell r="K2288">
            <v>2363.98</v>
          </cell>
        </row>
        <row r="2289">
          <cell r="K2289">
            <v>2774.3</v>
          </cell>
        </row>
        <row r="2290">
          <cell r="K2290">
            <v>2602.1</v>
          </cell>
        </row>
        <row r="2304">
          <cell r="K2304">
            <v>79.650000000000006</v>
          </cell>
        </row>
        <row r="2331">
          <cell r="K2331">
            <v>33.229999999999997</v>
          </cell>
        </row>
        <row r="2350">
          <cell r="R2350">
            <v>2044.18</v>
          </cell>
        </row>
        <row r="2353">
          <cell r="K2353">
            <v>30.62</v>
          </cell>
        </row>
        <row r="2354">
          <cell r="I2354">
            <v>739.38</v>
          </cell>
        </row>
        <row r="2356">
          <cell r="I2356">
            <v>831.23</v>
          </cell>
        </row>
        <row r="2357">
          <cell r="R2357">
            <v>456.45</v>
          </cell>
        </row>
        <row r="2358">
          <cell r="I2358">
            <v>997.48</v>
          </cell>
        </row>
        <row r="2360">
          <cell r="I2360">
            <v>914.35</v>
          </cell>
        </row>
        <row r="2365">
          <cell r="R2365">
            <v>343.98</v>
          </cell>
        </row>
        <row r="2392">
          <cell r="K2392">
            <v>394.54</v>
          </cell>
        </row>
        <row r="2403">
          <cell r="K2403">
            <v>822.61</v>
          </cell>
        </row>
        <row r="2415">
          <cell r="K2415">
            <v>2016.25</v>
          </cell>
        </row>
        <row r="2416">
          <cell r="R2416">
            <v>1298.51</v>
          </cell>
        </row>
        <row r="2435">
          <cell r="K2435">
            <v>1340.72</v>
          </cell>
        </row>
        <row r="2442">
          <cell r="R2442">
            <v>1513.97</v>
          </cell>
        </row>
        <row r="2448">
          <cell r="K2448">
            <v>690.97</v>
          </cell>
        </row>
        <row r="2492">
          <cell r="K2492">
            <v>4353.33</v>
          </cell>
        </row>
        <row r="2515">
          <cell r="K2515">
            <v>4626.8100000000004</v>
          </cell>
        </row>
        <row r="2545">
          <cell r="K2545">
            <v>8430.9</v>
          </cell>
        </row>
        <row r="2580">
          <cell r="R2580">
            <v>3971.57</v>
          </cell>
        </row>
        <row r="2626">
          <cell r="O2626" t="str">
            <v>T.W DOOR SHUTTER TWO LEAVES(1200 X 2100 mm ) with Brass Fittings</v>
          </cell>
        </row>
        <row r="2629">
          <cell r="AG2629">
            <v>5298.17</v>
          </cell>
        </row>
        <row r="2647">
          <cell r="K2647">
            <v>5846.33</v>
          </cell>
        </row>
        <row r="2654">
          <cell r="R2654">
            <v>6199.77</v>
          </cell>
        </row>
        <row r="2663">
          <cell r="AG2663">
            <v>5533.07</v>
          </cell>
        </row>
        <row r="2690">
          <cell r="K2690">
            <v>762.6</v>
          </cell>
        </row>
        <row r="2703">
          <cell r="K2703">
            <v>239.99</v>
          </cell>
        </row>
        <row r="2716">
          <cell r="K2716">
            <v>53.72</v>
          </cell>
        </row>
        <row r="2725">
          <cell r="K2725">
            <v>114.39</v>
          </cell>
        </row>
        <row r="2767">
          <cell r="K2767">
            <v>205.94</v>
          </cell>
        </row>
        <row r="2778">
          <cell r="K2778">
            <v>2595.25</v>
          </cell>
        </row>
        <row r="2798">
          <cell r="K2798">
            <v>1556.88</v>
          </cell>
        </row>
        <row r="2827">
          <cell r="K2827">
            <v>5724.71</v>
          </cell>
        </row>
        <row r="2834">
          <cell r="R2834">
            <v>5284.73</v>
          </cell>
        </row>
        <row r="2845">
          <cell r="K2845">
            <v>2937.59</v>
          </cell>
        </row>
        <row r="2867">
          <cell r="R2867">
            <v>4989.05</v>
          </cell>
        </row>
        <row r="2877">
          <cell r="K2877">
            <v>2110.4899999999998</v>
          </cell>
        </row>
        <row r="2888">
          <cell r="K2888">
            <v>81.2</v>
          </cell>
        </row>
        <row r="2911">
          <cell r="K2911">
            <v>7021.07</v>
          </cell>
        </row>
        <row r="2913">
          <cell r="K2913">
            <v>7124.37</v>
          </cell>
        </row>
        <row r="2914">
          <cell r="K2914">
            <v>7327.87</v>
          </cell>
        </row>
        <row r="2915">
          <cell r="K2915">
            <v>7531.37</v>
          </cell>
        </row>
        <row r="2931">
          <cell r="K2931">
            <v>618.14</v>
          </cell>
        </row>
        <row r="2940">
          <cell r="K2940">
            <v>621.63</v>
          </cell>
        </row>
        <row r="2950">
          <cell r="K2950">
            <v>625.12</v>
          </cell>
        </row>
        <row r="2981">
          <cell r="K2981">
            <v>2980.14</v>
          </cell>
        </row>
        <row r="2988">
          <cell r="R2988">
            <v>2863.99</v>
          </cell>
        </row>
        <row r="3014">
          <cell r="K3014">
            <v>379.4</v>
          </cell>
        </row>
        <row r="3018">
          <cell r="K3018">
            <v>1942.75</v>
          </cell>
        </row>
        <row r="3031">
          <cell r="K3031">
            <v>130</v>
          </cell>
        </row>
        <row r="3033">
          <cell r="K3033">
            <v>170</v>
          </cell>
        </row>
        <row r="3036">
          <cell r="K3036">
            <v>443</v>
          </cell>
        </row>
        <row r="3038">
          <cell r="K3038">
            <v>1437.4</v>
          </cell>
        </row>
        <row r="3046">
          <cell r="K3046">
            <v>1602.5</v>
          </cell>
        </row>
        <row r="3066">
          <cell r="K3066">
            <v>3205.31</v>
          </cell>
        </row>
        <row r="3073">
          <cell r="R3073">
            <v>3027.67</v>
          </cell>
        </row>
        <row r="3085">
          <cell r="K3085">
            <v>3082.51</v>
          </cell>
        </row>
        <row r="3114">
          <cell r="K3114">
            <v>4024.1</v>
          </cell>
        </row>
        <row r="3115">
          <cell r="AF3115">
            <v>467</v>
          </cell>
          <cell r="AH3115">
            <v>419</v>
          </cell>
        </row>
        <row r="3116">
          <cell r="AQ3116">
            <v>231</v>
          </cell>
          <cell r="AR3116">
            <v>220</v>
          </cell>
        </row>
        <row r="3123">
          <cell r="R3123">
            <v>122.25</v>
          </cell>
        </row>
        <row r="3126">
          <cell r="X3126">
            <v>3402.37</v>
          </cell>
        </row>
        <row r="3143">
          <cell r="X3143">
            <v>3717.9</v>
          </cell>
        </row>
        <row r="3166">
          <cell r="R3166">
            <v>3117.04</v>
          </cell>
        </row>
        <row r="3168">
          <cell r="X3168">
            <v>3283.94</v>
          </cell>
        </row>
        <row r="3172">
          <cell r="I3172">
            <v>3.65</v>
          </cell>
        </row>
        <row r="3175">
          <cell r="K3175">
            <v>119.16</v>
          </cell>
        </row>
        <row r="3188">
          <cell r="K3188">
            <v>62.39</v>
          </cell>
        </row>
        <row r="3198">
          <cell r="I3198">
            <v>7.9</v>
          </cell>
        </row>
        <row r="3202">
          <cell r="K3202">
            <v>81.27</v>
          </cell>
        </row>
        <row r="3203">
          <cell r="R3203">
            <v>6182.41</v>
          </cell>
        </row>
        <row r="3212">
          <cell r="I3212">
            <v>8.5</v>
          </cell>
        </row>
        <row r="3216">
          <cell r="K3216">
            <v>88.28</v>
          </cell>
        </row>
        <row r="3231">
          <cell r="K3231">
            <v>144.25</v>
          </cell>
        </row>
        <row r="3247">
          <cell r="K3247">
            <v>125.87</v>
          </cell>
        </row>
        <row r="3272">
          <cell r="R3272">
            <v>6164.11</v>
          </cell>
        </row>
        <row r="3275">
          <cell r="K3275">
            <v>81.41</v>
          </cell>
        </row>
        <row r="3305">
          <cell r="R3305">
            <v>5445.16</v>
          </cell>
        </row>
        <row r="3331">
          <cell r="K3331">
            <v>4845.1099999999997</v>
          </cell>
        </row>
        <row r="3339">
          <cell r="R3339">
            <v>4942.12</v>
          </cell>
        </row>
        <row r="3348">
          <cell r="K3348">
            <v>109.44</v>
          </cell>
        </row>
        <row r="3374">
          <cell r="R3374">
            <v>5522.66</v>
          </cell>
        </row>
        <row r="3408">
          <cell r="R3408">
            <v>4897.2299999999996</v>
          </cell>
        </row>
        <row r="3434">
          <cell r="K3434">
            <v>5051.6899999999996</v>
          </cell>
        </row>
        <row r="3452">
          <cell r="R3452">
            <v>5792.32</v>
          </cell>
        </row>
        <row r="3549">
          <cell r="K3549">
            <v>2997.34</v>
          </cell>
          <cell r="X3549">
            <v>2959.11</v>
          </cell>
          <cell r="AG3549">
            <v>3071.83</v>
          </cell>
        </row>
        <row r="3569">
          <cell r="K3569">
            <v>3104.82</v>
          </cell>
        </row>
        <row r="3581">
          <cell r="X3581">
            <v>3167.17</v>
          </cell>
        </row>
        <row r="3596">
          <cell r="X3596">
            <v>2939.44</v>
          </cell>
        </row>
        <row r="3613">
          <cell r="X3613">
            <v>3007.4</v>
          </cell>
        </row>
        <row r="3628">
          <cell r="X3628">
            <v>2795.43</v>
          </cell>
        </row>
        <row r="3648">
          <cell r="K3648">
            <v>334.22</v>
          </cell>
        </row>
        <row r="3668">
          <cell r="X3668">
            <v>5543.77</v>
          </cell>
        </row>
        <row r="3677">
          <cell r="K3677">
            <v>442.95</v>
          </cell>
        </row>
        <row r="3696">
          <cell r="X3696">
            <v>7170.69</v>
          </cell>
        </row>
        <row r="3697">
          <cell r="K3697">
            <v>753.21</v>
          </cell>
        </row>
        <row r="3711">
          <cell r="X3711">
            <v>3584</v>
          </cell>
        </row>
        <row r="3725">
          <cell r="X3725">
            <v>3873</v>
          </cell>
        </row>
        <row r="3738">
          <cell r="K3738">
            <v>82.53</v>
          </cell>
        </row>
        <row r="3792">
          <cell r="K3792">
            <v>3709.53</v>
          </cell>
        </row>
        <row r="3814">
          <cell r="K3814">
            <v>1539.17</v>
          </cell>
        </row>
        <row r="3837">
          <cell r="K3837">
            <v>1273.72</v>
          </cell>
        </row>
        <row r="3859">
          <cell r="J3859">
            <v>4173.82</v>
          </cell>
        </row>
        <row r="3880">
          <cell r="J3880">
            <v>3464.01</v>
          </cell>
        </row>
        <row r="3932">
          <cell r="K3932">
            <v>2495.94</v>
          </cell>
        </row>
        <row r="3950">
          <cell r="K3950">
            <v>2474.94</v>
          </cell>
        </row>
        <row r="3966">
          <cell r="K3966">
            <v>2439.86</v>
          </cell>
        </row>
        <row r="3983">
          <cell r="K3983">
            <v>2991.57</v>
          </cell>
        </row>
        <row r="3999">
          <cell r="K3999">
            <v>4714.8100000000004</v>
          </cell>
        </row>
        <row r="4015">
          <cell r="K4015">
            <v>4530.8</v>
          </cell>
        </row>
        <row r="4030">
          <cell r="K4030">
            <v>4872.84</v>
          </cell>
        </row>
        <row r="4042">
          <cell r="K4042">
            <v>4763.7</v>
          </cell>
        </row>
      </sheetData>
      <sheetData sheetId="27">
        <row r="596">
          <cell r="F596">
            <v>1156.68</v>
          </cell>
        </row>
        <row r="602">
          <cell r="F602">
            <v>211</v>
          </cell>
        </row>
      </sheetData>
      <sheetData sheetId="28"/>
      <sheetData sheetId="29">
        <row r="339">
          <cell r="B339" t="str">
            <v>Pressed tiles (23cmx23cmx20mm) mixed with Water proofing compound</v>
          </cell>
          <cell r="C339">
            <v>1082.8499999999999</v>
          </cell>
        </row>
      </sheetData>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ile data"/>
      <sheetName val="Sheet1"/>
      <sheetName val="Flooring &amp; slabs"/>
      <sheetName val="doors &amp; windows"/>
      <sheetName val="other"/>
      <sheetName val="doors &amp; windows (2)"/>
    </sheetNames>
    <sheetDataSet>
      <sheetData sheetId="0" refreshError="1"/>
      <sheetData sheetId="1" refreshError="1"/>
      <sheetData sheetId="2" refreshError="1"/>
      <sheetData sheetId="3" refreshError="1">
        <row r="942">
          <cell r="F942">
            <v>3025.6259868421052</v>
          </cell>
        </row>
        <row r="979">
          <cell r="F979">
            <v>2729.4446820175435</v>
          </cell>
        </row>
        <row r="1014">
          <cell r="F1014">
            <v>3025.6259868421048</v>
          </cell>
        </row>
        <row r="1050">
          <cell r="F1050">
            <v>3553.6057186234821</v>
          </cell>
        </row>
      </sheetData>
      <sheetData sheetId="4" refreshError="1"/>
      <sheetData sheetId="5"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 new Elec.Data (2)"/>
      <sheetName val="Sheet1 (3)"/>
      <sheetName val="pile data"/>
      <sheetName val="lead  charge"/>
      <sheetName val="Elec.Data"/>
      <sheetName val="Elec.abs"/>
      <sheetName val="G. Abstract (8.11)"/>
      <sheetName val="Data"/>
      <sheetName val="Develo"/>
      <sheetName val="Building (8.11)"/>
      <sheetName val="Abstract"/>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M30 grade) (2)"/>
      <sheetName val="Abstract (21.4.18)"/>
      <sheetName val="Chart1"/>
      <sheetName val="development"/>
      <sheetName val="Building (2)"/>
      <sheetName val="G. Abstract (2)"/>
      <sheetName val="pile data ( M20 grade)"/>
      <sheetName val="  Coastal  Elec.Data "/>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G. Abstractfinal"/>
      <sheetName val="Sheet1"/>
      <sheetName val="PP"/>
      <sheetName val="Septic tank"/>
      <sheetName val="Design of septic tank"/>
      <sheetName val="road"/>
      <sheetName val="Sullage Drain"/>
      <sheetName val="TW SHED"/>
      <sheetName val="CULVERT (2)"/>
      <sheetName val="Building (3)"/>
      <sheetName val="THIS CD"/>
      <sheetName val="Elec.Data"/>
      <sheetName val="Water supply Data"/>
      <sheetName val="Data"/>
      <sheetName val="External Water Supply "/>
      <sheetName val="External Electrical "/>
      <sheetName val="Building (4)"/>
      <sheetName val="water pipe data"/>
      <sheetName val="C.W"/>
      <sheetName val="Final Coading Sheet"/>
      <sheetName val="det -detail"/>
      <sheetName val="Sheet1 (2)"/>
      <sheetName val="Sheet2"/>
      <sheetName val="Estimate Full Data"/>
      <sheetName val="All Developement works "/>
      <sheetName val="design of sump"/>
      <sheetName val="Sump det"/>
      <sheetName val="G.Abstract"/>
      <sheetName val="Main Estimate final"/>
      <sheetName val="Abstract"/>
      <sheetName val="data1"/>
      <sheetName val="Main Building Details"/>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row r="38">
          <cell r="E38">
            <v>1</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lead  charge"/>
      <sheetName val="Elec.Data"/>
      <sheetName val="Sliding and french window"/>
      <sheetName val="Data"/>
      <sheetName val="Sub Data"/>
      <sheetName val="Fire Station"/>
      <sheetName val="main abst"/>
      <sheetName val="G. Abstractfinal"/>
      <sheetName val="building"/>
      <sheetName val="S.T"/>
      <sheetName val="Sump"/>
      <sheetName val="Plinth "/>
      <sheetName val="CMW"/>
      <sheetName val="Sullage"/>
      <sheetName val="Paver Block"/>
      <sheetName val="UG Cable"/>
      <sheetName val="EX Wa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040">
          <cell r="O2040" t="str">
            <v>TW  double leaf shutter for ward robe / cup board</v>
          </cell>
        </row>
        <row r="2041">
          <cell r="O2041" t="str">
            <v>Rest room Cupboard - Men</v>
          </cell>
        </row>
        <row r="2042">
          <cell r="O2042" t="str">
            <v>-</v>
          </cell>
          <cell r="P2042" t="str">
            <v>-</v>
          </cell>
          <cell r="Q2042" t="str">
            <v>-</v>
          </cell>
        </row>
        <row r="2044">
          <cell r="O2044" t="str">
            <v>SHUTTER SIZE 3.93 x 2.10 =</v>
          </cell>
          <cell r="P2044">
            <v>8.25</v>
          </cell>
          <cell r="Q2044" t="str">
            <v>Cum</v>
          </cell>
        </row>
        <row r="2045">
          <cell r="O2045" t="str">
            <v>TW scantling(OVER 2M)</v>
          </cell>
        </row>
        <row r="2046">
          <cell r="O2046" t="str">
            <v>Vertical (7 nos) - 1 x 7x 2.1 x 0.075 x0.0375</v>
          </cell>
          <cell r="P2046">
            <v>4.1000000000000002E-2</v>
          </cell>
        </row>
        <row r="2047">
          <cell r="O2047" t="str">
            <v>Horizontal (5nos) - 1 x 5 x 3.93 x 0.075 x 0.0375</v>
          </cell>
          <cell r="P2047">
            <v>5.5E-2</v>
          </cell>
        </row>
        <row r="2048">
          <cell r="P2048">
            <v>9.6000000000000002E-2</v>
          </cell>
          <cell r="Q2048" t="str">
            <v>Cum</v>
          </cell>
        </row>
        <row r="2049">
          <cell r="O2049" t="str">
            <v xml:space="preserve">TW scantling(below 2M) </v>
          </cell>
        </row>
        <row r="2050">
          <cell r="O2050" t="str">
            <v>Shutter -A</v>
          </cell>
        </row>
        <row r="2051">
          <cell r="O2051" t="str">
            <v>Vertical  - 2 x 18 x0.6 x 0.075 x 0.0375</v>
          </cell>
          <cell r="P2051">
            <v>6.0999999999999999E-2</v>
          </cell>
        </row>
        <row r="2052">
          <cell r="O2052" t="str">
            <v>Horizontal  - 2 x 18 x 0.69 x 0.075 x 0.0375</v>
          </cell>
          <cell r="P2052">
            <v>7.0000000000000007E-2</v>
          </cell>
        </row>
        <row r="2053">
          <cell r="P2053">
            <v>0.13100000000000001</v>
          </cell>
        </row>
        <row r="2054">
          <cell r="O2054" t="str">
            <v>Shutter -B</v>
          </cell>
        </row>
        <row r="2055">
          <cell r="O2055" t="str">
            <v>Vertical  - 2 x 6 x0.66 x 0.075 x 0.0375</v>
          </cell>
          <cell r="P2055">
            <v>2.1999999999999999E-2</v>
          </cell>
        </row>
        <row r="2056">
          <cell r="O2056" t="str">
            <v>Horizontal  - 2 x 6 x 0.69 x 0.075 x 0.0375</v>
          </cell>
          <cell r="P2056">
            <v>2.3E-2</v>
          </cell>
        </row>
        <row r="2057">
          <cell r="P2057">
            <v>4.4999999999999998E-2</v>
          </cell>
        </row>
        <row r="2058">
          <cell r="P2058">
            <v>0.17599999999999999</v>
          </cell>
          <cell r="Q2058" t="str">
            <v>Cum</v>
          </cell>
          <cell r="R2058">
            <v>0.27200000000000002</v>
          </cell>
        </row>
        <row r="2059">
          <cell r="O2059" t="str">
            <v>Shutter  ( BWR Plywood)</v>
          </cell>
        </row>
        <row r="2060">
          <cell r="O2060" t="str">
            <v>Shutter -A - 1 x 18 x 0.54 x 0.45</v>
          </cell>
          <cell r="P2060">
            <v>4.37</v>
          </cell>
        </row>
        <row r="2061">
          <cell r="O2061" t="str">
            <v>Shutter -B - 1 x 6 x 0.54 x 0.51</v>
          </cell>
          <cell r="P2061">
            <v>1.65</v>
          </cell>
        </row>
        <row r="2062">
          <cell r="P2062">
            <v>6.02</v>
          </cell>
          <cell r="Q2062" t="str">
            <v>Sqm</v>
          </cell>
        </row>
        <row r="2064">
          <cell r="O2064" t="str">
            <v>Shutter area      -1X1X3.78X1.95=7.37 m2</v>
          </cell>
          <cell r="P2064">
            <v>7.37</v>
          </cell>
          <cell r="Q2064" t="str">
            <v>Sqm</v>
          </cell>
          <cell r="R2064" t="str">
            <v xml:space="preserve"> </v>
          </cell>
        </row>
        <row r="2066">
          <cell r="O2066" t="str">
            <v xml:space="preserve"> 3" ALU BUTT HINGES - 18 x 2</v>
          </cell>
          <cell r="P2066">
            <v>36</v>
          </cell>
          <cell r="Q2066" t="str">
            <v>No</v>
          </cell>
        </row>
        <row r="2067">
          <cell r="O2067" t="str">
            <v xml:space="preserve"> ORNAMENTAL; HANDLE - 18 x1</v>
          </cell>
          <cell r="P2067">
            <v>18</v>
          </cell>
          <cell r="Q2067" t="str">
            <v>No</v>
          </cell>
        </row>
        <row r="2068">
          <cell r="O2068" t="str">
            <v>LOCKS &amp;KEY Qtn</v>
          </cell>
          <cell r="P2068">
            <v>18</v>
          </cell>
          <cell r="Q2068" t="str">
            <v>No</v>
          </cell>
        </row>
        <row r="2069">
          <cell r="O2069" t="str">
            <v>Enamel Paint - 3.93 x 2.60 x 2.10</v>
          </cell>
          <cell r="P2069">
            <v>21.46</v>
          </cell>
          <cell r="Q2069" t="str">
            <v>Sqm</v>
          </cell>
        </row>
        <row r="2071">
          <cell r="M2071">
            <v>9.6000000000000002E-2</v>
          </cell>
          <cell r="N2071" t="str">
            <v>CUM</v>
          </cell>
          <cell r="O2071" t="str">
            <v>T.W.SCANTLING above 2M length</v>
          </cell>
          <cell r="P2071">
            <v>111600</v>
          </cell>
          <cell r="Q2071" t="str">
            <v>CUM</v>
          </cell>
          <cell r="R2071">
            <v>10713.6</v>
          </cell>
        </row>
        <row r="2072">
          <cell r="M2072">
            <v>0.17599999999999999</v>
          </cell>
          <cell r="N2072" t="str">
            <v>CUM</v>
          </cell>
          <cell r="O2072" t="str">
            <v>T.W.SCANTLING below 2M length</v>
          </cell>
          <cell r="P2072">
            <v>99400</v>
          </cell>
          <cell r="Q2072" t="str">
            <v>CUM</v>
          </cell>
          <cell r="R2072">
            <v>17494.400000000001</v>
          </cell>
        </row>
        <row r="2073">
          <cell r="M2073">
            <v>0.27200000000000002</v>
          </cell>
          <cell r="N2073" t="str">
            <v>CUM</v>
          </cell>
          <cell r="O2073" t="str">
            <v>LABOUR FOR WROUGHT &amp;PUTUP</v>
          </cell>
          <cell r="P2073">
            <v>11800</v>
          </cell>
          <cell r="Q2073" t="str">
            <v>CUM</v>
          </cell>
          <cell r="R2073">
            <v>3209.6</v>
          </cell>
        </row>
        <row r="2074">
          <cell r="M2074">
            <v>6.02</v>
          </cell>
          <cell r="N2074" t="str">
            <v>SQM</v>
          </cell>
          <cell r="O2074" t="str">
            <v>9mm thick BWR Ply wood</v>
          </cell>
          <cell r="P2074">
            <v>387.4</v>
          </cell>
          <cell r="Q2074" t="str">
            <v>SQM</v>
          </cell>
          <cell r="R2074">
            <v>2332.15</v>
          </cell>
        </row>
        <row r="2075">
          <cell r="M2075">
            <v>7.37</v>
          </cell>
          <cell r="N2075" t="str">
            <v>SQM</v>
          </cell>
          <cell r="O2075" t="str">
            <v>LABOUR CHARGE FOR SHUTTER</v>
          </cell>
          <cell r="P2075">
            <v>1105</v>
          </cell>
          <cell r="Q2075" t="str">
            <v>SQM</v>
          </cell>
          <cell r="R2075">
            <v>8143.85</v>
          </cell>
        </row>
        <row r="2076">
          <cell r="M2076">
            <v>36</v>
          </cell>
          <cell r="N2076" t="str">
            <v>NO.</v>
          </cell>
          <cell r="O2076" t="str">
            <v xml:space="preserve"> 3" ALU BUTT HINGES</v>
          </cell>
          <cell r="P2076">
            <v>52.8</v>
          </cell>
          <cell r="Q2076" t="str">
            <v>NO.</v>
          </cell>
          <cell r="R2076">
            <v>1900.8</v>
          </cell>
        </row>
        <row r="2077">
          <cell r="M2077">
            <v>18</v>
          </cell>
          <cell r="N2077" t="str">
            <v>NO.</v>
          </cell>
          <cell r="O2077" t="str">
            <v xml:space="preserve"> ORNAMENTAL; HANDLE WITH SCREWS(100mm)p46 it-98c </v>
          </cell>
          <cell r="P2077">
            <v>45.7</v>
          </cell>
          <cell r="Q2077" t="str">
            <v>NO.</v>
          </cell>
          <cell r="R2077">
            <v>822.6</v>
          </cell>
        </row>
        <row r="2078">
          <cell r="M2078">
            <v>18</v>
          </cell>
          <cell r="N2078" t="str">
            <v>NO.</v>
          </cell>
          <cell r="O2078" t="str">
            <v xml:space="preserve">LOCKS &amp;KEY </v>
          </cell>
          <cell r="P2078">
            <v>56.4</v>
          </cell>
          <cell r="Q2078" t="str">
            <v>NO.</v>
          </cell>
          <cell r="R2078">
            <v>1015.2</v>
          </cell>
        </row>
        <row r="2079">
          <cell r="M2079">
            <v>21.46</v>
          </cell>
          <cell r="N2079" t="str">
            <v>SQM</v>
          </cell>
          <cell r="O2079" t="str">
            <v>Two coat of enamel paint</v>
          </cell>
          <cell r="P2079">
            <v>63.2</v>
          </cell>
          <cell r="Q2079" t="str">
            <v>SQM</v>
          </cell>
          <cell r="R2079">
            <v>1356.27</v>
          </cell>
        </row>
        <row r="2080">
          <cell r="M2080">
            <v>50</v>
          </cell>
          <cell r="N2080" t="str">
            <v>Nos</v>
          </cell>
          <cell r="O2080" t="str">
            <v>SUNDRIES FOR NAILS,PLUGS ETC.</v>
          </cell>
          <cell r="P2080">
            <v>212.24</v>
          </cell>
          <cell r="Q2080" t="str">
            <v>NO.</v>
          </cell>
          <cell r="R2080">
            <v>10612</v>
          </cell>
        </row>
        <row r="2081">
          <cell r="R2081" t="str">
            <v>-</v>
          </cell>
        </row>
        <row r="2082">
          <cell r="O2082" t="str">
            <v>TOTAL FOR 2.52 SQM</v>
          </cell>
          <cell r="R2082">
            <v>57600.47</v>
          </cell>
        </row>
        <row r="2083">
          <cell r="N2083" t="str">
            <v xml:space="preserve"> </v>
          </cell>
          <cell r="R2083" t="str">
            <v>-</v>
          </cell>
        </row>
        <row r="2084">
          <cell r="O2084" t="str">
            <v>RATE PER SQM</v>
          </cell>
          <cell r="R2084">
            <v>6981.88</v>
          </cell>
        </row>
        <row r="2085">
          <cell r="R2085" t="str">
            <v>=</v>
          </cell>
        </row>
      </sheetData>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abs"/>
      <sheetName val="Sheet1"/>
      <sheetName val="Sliding and french window"/>
      <sheetName val="Development"/>
      <sheetName val="Development (2)"/>
      <sheetName val="Development (3)"/>
      <sheetName val="Development (4)"/>
      <sheetName val="Abstract"/>
      <sheetName val="G. Abstractfinal"/>
      <sheetName val="Sheet2"/>
      <sheetName val="Sheet4"/>
      <sheetName val="lead  charge"/>
      <sheetName val="Elec.Data"/>
      <sheetName val="Data"/>
      <sheetName val="A.DATA"/>
      <sheetName val="Building (2)"/>
      <sheetName val="M 25 Kotti"/>
    </sheetNames>
    <sheetDataSet>
      <sheetData sheetId="0"/>
      <sheetData sheetId="1"/>
      <sheetData sheetId="2"/>
      <sheetData sheetId="3">
        <row r="17">
          <cell r="F17">
            <v>2977.36</v>
          </cell>
        </row>
        <row r="28">
          <cell r="F28">
            <v>876.36</v>
          </cell>
        </row>
        <row r="81">
          <cell r="F81">
            <v>2644.2</v>
          </cell>
        </row>
        <row r="92">
          <cell r="F92">
            <v>710.92</v>
          </cell>
        </row>
        <row r="141">
          <cell r="F141">
            <v>2345.71</v>
          </cell>
        </row>
        <row r="152">
          <cell r="F152">
            <v>563.37</v>
          </cell>
        </row>
      </sheetData>
      <sheetData sheetId="4">
        <row r="2860">
          <cell r="K2860">
            <v>1493.27</v>
          </cell>
        </row>
        <row r="2884">
          <cell r="K2884">
            <v>1496.32</v>
          </cell>
        </row>
        <row r="2899">
          <cell r="K2899">
            <v>1526.05</v>
          </cell>
        </row>
        <row r="2921">
          <cell r="K2921">
            <v>1547.28</v>
          </cell>
        </row>
        <row r="2945">
          <cell r="K2945">
            <v>2795.01</v>
          </cell>
        </row>
        <row r="2965">
          <cell r="K2965">
            <v>1037.46</v>
          </cell>
        </row>
        <row r="2977">
          <cell r="K2977">
            <v>764.91</v>
          </cell>
        </row>
        <row r="2988">
          <cell r="K2988">
            <v>133.5</v>
          </cell>
        </row>
      </sheetData>
      <sheetData sheetId="5"/>
      <sheetData sheetId="6"/>
      <sheetData sheetId="7">
        <row r="32">
          <cell r="F32">
            <v>4757.03</v>
          </cell>
        </row>
        <row r="46">
          <cell r="F46">
            <v>4517.32</v>
          </cell>
        </row>
        <row r="145">
          <cell r="F145">
            <v>5107.12</v>
          </cell>
        </row>
        <row r="167">
          <cell r="F167">
            <v>4446.5</v>
          </cell>
        </row>
        <row r="310">
          <cell r="F310">
            <v>5118.9399999999996</v>
          </cell>
        </row>
      </sheetData>
      <sheetData sheetId="8"/>
      <sheetData sheetId="9"/>
      <sheetData sheetId="10"/>
      <sheetData sheetId="11"/>
      <sheetData sheetId="12"/>
      <sheetData sheetId="13">
        <row r="22">
          <cell r="F22" t="e">
            <v>#REF!</v>
          </cell>
        </row>
      </sheetData>
      <sheetData sheetId="14"/>
      <sheetData sheetId="15"/>
      <sheetData sheetId="16"/>
      <sheetData sheetId="17">
        <row r="2977">
          <cell r="K2977">
            <v>764.91</v>
          </cell>
        </row>
        <row r="3011">
          <cell r="K3011">
            <v>2424.4299999999998</v>
          </cell>
        </row>
        <row r="3023">
          <cell r="K3023">
            <v>2425.48</v>
          </cell>
        </row>
        <row r="3044">
          <cell r="K3044">
            <v>2491.65</v>
          </cell>
        </row>
        <row r="3063">
          <cell r="K3063">
            <v>4553.6099999999997</v>
          </cell>
        </row>
        <row r="3092">
          <cell r="K3092">
            <v>209.78</v>
          </cell>
        </row>
        <row r="3105">
          <cell r="K3105">
            <v>246.68</v>
          </cell>
        </row>
        <row r="3119">
          <cell r="K3119">
            <v>368.57</v>
          </cell>
          <cell r="R3119">
            <v>457.07</v>
          </cell>
        </row>
        <row r="3133">
          <cell r="R3133">
            <v>589.27</v>
          </cell>
        </row>
        <row r="3173">
          <cell r="K3173">
            <v>1308</v>
          </cell>
        </row>
        <row r="3184">
          <cell r="K3184">
            <v>984.5</v>
          </cell>
        </row>
        <row r="3195">
          <cell r="K3195">
            <v>1662.67</v>
          </cell>
        </row>
        <row r="3210">
          <cell r="K3210">
            <v>2083.67</v>
          </cell>
        </row>
        <row r="3221">
          <cell r="K3221">
            <v>3342.85</v>
          </cell>
        </row>
        <row r="3233">
          <cell r="K3233">
            <v>4116.8500000000004</v>
          </cell>
        </row>
        <row r="3244">
          <cell r="K3244">
            <v>275.19</v>
          </cell>
        </row>
        <row r="3262">
          <cell r="K3262">
            <v>463.6</v>
          </cell>
        </row>
        <row r="3294">
          <cell r="K3294">
            <v>23.79</v>
          </cell>
        </row>
        <row r="3333">
          <cell r="K3333">
            <v>361.01</v>
          </cell>
        </row>
        <row r="3348">
          <cell r="K3348">
            <v>714.1</v>
          </cell>
        </row>
        <row r="3366">
          <cell r="K3366">
            <v>449.93</v>
          </cell>
        </row>
        <row r="3379">
          <cell r="K3379">
            <v>728.1</v>
          </cell>
        </row>
        <row r="3384">
          <cell r="K3384">
            <v>1505</v>
          </cell>
        </row>
        <row r="3389">
          <cell r="K3389">
            <v>1858</v>
          </cell>
        </row>
        <row r="3400">
          <cell r="K3400">
            <v>508.26</v>
          </cell>
        </row>
        <row r="3419">
          <cell r="K3419">
            <v>776.68</v>
          </cell>
        </row>
        <row r="3468">
          <cell r="K3468">
            <v>2972.1</v>
          </cell>
        </row>
        <row r="3481">
          <cell r="K3481">
            <v>1242.21</v>
          </cell>
        </row>
        <row r="3501">
          <cell r="K3501">
            <v>142.97999999999999</v>
          </cell>
        </row>
        <row r="3515">
          <cell r="K3515">
            <v>130</v>
          </cell>
        </row>
        <row r="3539">
          <cell r="K3539">
            <v>251.18</v>
          </cell>
        </row>
        <row r="3547">
          <cell r="K3547">
            <v>165</v>
          </cell>
        </row>
        <row r="3556">
          <cell r="K3556">
            <v>169.77</v>
          </cell>
        </row>
        <row r="3567">
          <cell r="K3567">
            <v>245.49</v>
          </cell>
        </row>
        <row r="3584">
          <cell r="K3584">
            <v>150.69</v>
          </cell>
        </row>
        <row r="3619">
          <cell r="K3619">
            <v>2092</v>
          </cell>
        </row>
        <row r="3638">
          <cell r="R3638">
            <v>2808.14</v>
          </cell>
        </row>
        <row r="3646">
          <cell r="R3646">
            <v>8624.34</v>
          </cell>
        </row>
        <row r="3650">
          <cell r="K3650">
            <v>2207.4</v>
          </cell>
        </row>
        <row r="3676">
          <cell r="K3676">
            <v>5045.38</v>
          </cell>
        </row>
        <row r="3695">
          <cell r="K3695">
            <v>89.94</v>
          </cell>
        </row>
        <row r="3702">
          <cell r="K3702">
            <v>54</v>
          </cell>
        </row>
        <row r="3727">
          <cell r="K3727">
            <v>6840.4</v>
          </cell>
        </row>
        <row r="3774">
          <cell r="K3774">
            <v>582.49</v>
          </cell>
        </row>
        <row r="3781">
          <cell r="K3781">
            <v>501.49</v>
          </cell>
        </row>
        <row r="3787">
          <cell r="K3787">
            <v>663.89</v>
          </cell>
        </row>
        <row r="3815">
          <cell r="K3815">
            <v>830.11</v>
          </cell>
        </row>
        <row r="3841">
          <cell r="K3841">
            <v>833.16</v>
          </cell>
        </row>
        <row r="3857">
          <cell r="K3857">
            <v>871.29</v>
          </cell>
        </row>
        <row r="3879">
          <cell r="K3879">
            <v>917.46</v>
          </cell>
        </row>
        <row r="3899">
          <cell r="K3899">
            <v>1963.99</v>
          </cell>
        </row>
        <row r="3918">
          <cell r="K3918">
            <v>638.45000000000005</v>
          </cell>
        </row>
        <row r="3942">
          <cell r="K3942">
            <v>119.23</v>
          </cell>
        </row>
        <row r="3953">
          <cell r="K3953">
            <v>136.43</v>
          </cell>
        </row>
        <row r="4087">
          <cell r="K4087">
            <v>34310</v>
          </cell>
        </row>
      </sheetData>
      <sheetData sheetId="18">
        <row r="88">
          <cell r="K88">
            <v>204.4</v>
          </cell>
          <cell r="X88">
            <v>138.83000000000001</v>
          </cell>
        </row>
        <row r="89">
          <cell r="K89">
            <v>213.7</v>
          </cell>
        </row>
        <row r="90">
          <cell r="K90">
            <v>193.2</v>
          </cell>
        </row>
        <row r="91">
          <cell r="K91">
            <v>202.5</v>
          </cell>
        </row>
        <row r="101">
          <cell r="K101">
            <v>299</v>
          </cell>
        </row>
        <row r="102">
          <cell r="K102">
            <v>308.3</v>
          </cell>
        </row>
        <row r="104">
          <cell r="K104">
            <v>287.8</v>
          </cell>
        </row>
        <row r="105">
          <cell r="K105">
            <v>297.10000000000002</v>
          </cell>
        </row>
        <row r="116">
          <cell r="K116">
            <v>107.8</v>
          </cell>
          <cell r="L116">
            <v>117.1</v>
          </cell>
        </row>
        <row r="118">
          <cell r="K118">
            <v>96.6</v>
          </cell>
          <cell r="X118">
            <v>64.5</v>
          </cell>
        </row>
        <row r="119">
          <cell r="K119">
            <v>105.9</v>
          </cell>
        </row>
        <row r="120">
          <cell r="K120">
            <v>115.2</v>
          </cell>
        </row>
        <row r="121">
          <cell r="K121">
            <v>124.5</v>
          </cell>
        </row>
        <row r="129">
          <cell r="K129">
            <v>143.9</v>
          </cell>
        </row>
        <row r="130">
          <cell r="K130">
            <v>153.19999999999999</v>
          </cell>
        </row>
        <row r="133">
          <cell r="K133">
            <v>144.9</v>
          </cell>
          <cell r="X133">
            <v>96.75</v>
          </cell>
        </row>
        <row r="134">
          <cell r="K134">
            <v>154.19999999999999</v>
          </cell>
        </row>
        <row r="144">
          <cell r="K144">
            <v>1647.2</v>
          </cell>
          <cell r="R144">
            <v>456.4</v>
          </cell>
        </row>
        <row r="154">
          <cell r="R154">
            <v>156.1</v>
          </cell>
        </row>
        <row r="161">
          <cell r="K161">
            <v>1556.79</v>
          </cell>
        </row>
        <row r="165">
          <cell r="C165">
            <v>837.3</v>
          </cell>
        </row>
        <row r="166">
          <cell r="C166">
            <v>916.3</v>
          </cell>
        </row>
        <row r="171">
          <cell r="K171">
            <v>1540.76</v>
          </cell>
        </row>
        <row r="179">
          <cell r="K179">
            <v>1943.76</v>
          </cell>
        </row>
        <row r="189">
          <cell r="K189">
            <v>441.45</v>
          </cell>
        </row>
        <row r="204">
          <cell r="K204">
            <v>4691.3</v>
          </cell>
          <cell r="R204">
            <v>5568.94</v>
          </cell>
        </row>
        <row r="219">
          <cell r="K219">
            <v>6212.62</v>
          </cell>
        </row>
        <row r="234">
          <cell r="K234">
            <v>3839.63</v>
          </cell>
        </row>
        <row r="249">
          <cell r="K249">
            <v>215.1</v>
          </cell>
        </row>
        <row r="261">
          <cell r="K261">
            <v>149.82</v>
          </cell>
        </row>
        <row r="285">
          <cell r="K285">
            <v>7554.26</v>
          </cell>
        </row>
        <row r="287">
          <cell r="K287">
            <v>7657.56</v>
          </cell>
        </row>
        <row r="288">
          <cell r="K288">
            <v>7861.06</v>
          </cell>
        </row>
        <row r="289">
          <cell r="K289">
            <v>8064.56</v>
          </cell>
        </row>
        <row r="290">
          <cell r="K290">
            <v>8268.06</v>
          </cell>
        </row>
        <row r="291">
          <cell r="K291">
            <v>8471.56</v>
          </cell>
        </row>
        <row r="306">
          <cell r="K306">
            <v>5108.78</v>
          </cell>
        </row>
        <row r="321">
          <cell r="K321">
            <v>6130.3</v>
          </cell>
          <cell r="X321">
            <v>6348.58</v>
          </cell>
          <cell r="AG321">
            <v>6027.89</v>
          </cell>
        </row>
        <row r="329">
          <cell r="K329">
            <v>712</v>
          </cell>
        </row>
        <row r="347">
          <cell r="K347">
            <v>6126.78</v>
          </cell>
          <cell r="X347">
            <v>6345.06</v>
          </cell>
          <cell r="AG347">
            <v>6038.67</v>
          </cell>
        </row>
        <row r="348">
          <cell r="K348">
            <v>6263.98</v>
          </cell>
          <cell r="X348">
            <v>6482.26</v>
          </cell>
          <cell r="AG348">
            <v>6175.87</v>
          </cell>
        </row>
        <row r="349">
          <cell r="K349">
            <v>6401.18</v>
          </cell>
          <cell r="X349">
            <v>6619.46</v>
          </cell>
          <cell r="AG349">
            <v>6313.07</v>
          </cell>
        </row>
        <row r="350">
          <cell r="K350">
            <v>6538.38</v>
          </cell>
          <cell r="X350">
            <v>6756.66</v>
          </cell>
          <cell r="AG350">
            <v>6450.27</v>
          </cell>
        </row>
        <row r="351">
          <cell r="K351">
            <v>6675.58</v>
          </cell>
          <cell r="X351">
            <v>6893.86</v>
          </cell>
          <cell r="AG351">
            <v>6587.47</v>
          </cell>
        </row>
        <row r="352">
          <cell r="AG352">
            <v>6724.67</v>
          </cell>
        </row>
        <row r="353">
          <cell r="AG353">
            <v>6861.87</v>
          </cell>
        </row>
        <row r="354">
          <cell r="AG354">
            <v>6999.07</v>
          </cell>
        </row>
        <row r="355">
          <cell r="AG355">
            <v>7136.27</v>
          </cell>
        </row>
        <row r="356">
          <cell r="AG356">
            <v>7273.47</v>
          </cell>
        </row>
        <row r="357">
          <cell r="AG357">
            <v>7410.67</v>
          </cell>
        </row>
        <row r="358">
          <cell r="AG358">
            <v>7547.87</v>
          </cell>
        </row>
        <row r="359">
          <cell r="AG359">
            <v>7685.07</v>
          </cell>
        </row>
        <row r="360">
          <cell r="AG360">
            <v>7822.27</v>
          </cell>
        </row>
        <row r="368">
          <cell r="K368">
            <v>6442.78</v>
          </cell>
          <cell r="Y368">
            <v>6592.46</v>
          </cell>
        </row>
        <row r="369">
          <cell r="K369">
            <v>6579.98</v>
          </cell>
        </row>
        <row r="370">
          <cell r="K370">
            <v>6717.18</v>
          </cell>
        </row>
        <row r="371">
          <cell r="K371">
            <v>6854.38</v>
          </cell>
        </row>
        <row r="372">
          <cell r="K372">
            <v>6511.38</v>
          </cell>
        </row>
        <row r="381">
          <cell r="AG381">
            <v>6387.51</v>
          </cell>
        </row>
        <row r="384">
          <cell r="R384">
            <v>19.96</v>
          </cell>
        </row>
        <row r="398">
          <cell r="R398">
            <v>29.07</v>
          </cell>
        </row>
        <row r="400">
          <cell r="K400">
            <v>735.76</v>
          </cell>
          <cell r="X400">
            <v>772.02</v>
          </cell>
        </row>
        <row r="402">
          <cell r="K402">
            <v>743.24</v>
          </cell>
          <cell r="X402">
            <v>779.64</v>
          </cell>
        </row>
        <row r="403">
          <cell r="K403">
            <v>758.33</v>
          </cell>
          <cell r="X403">
            <v>795.01</v>
          </cell>
        </row>
        <row r="404">
          <cell r="K404">
            <v>773.42</v>
          </cell>
          <cell r="X404">
            <v>810.38</v>
          </cell>
        </row>
        <row r="405">
          <cell r="K405">
            <v>788.51</v>
          </cell>
          <cell r="X405">
            <v>825.75</v>
          </cell>
        </row>
        <row r="406">
          <cell r="K406">
            <v>803.6</v>
          </cell>
          <cell r="X406">
            <v>841.12</v>
          </cell>
        </row>
        <row r="409">
          <cell r="AG409">
            <v>753.19</v>
          </cell>
        </row>
        <row r="411">
          <cell r="AG411">
            <v>760.94</v>
          </cell>
        </row>
        <row r="412">
          <cell r="AG412">
            <v>776.58</v>
          </cell>
        </row>
        <row r="413">
          <cell r="AG413">
            <v>792.22</v>
          </cell>
        </row>
        <row r="414">
          <cell r="AG414">
            <v>807.86</v>
          </cell>
        </row>
        <row r="415">
          <cell r="AG415">
            <v>823.5</v>
          </cell>
        </row>
        <row r="416">
          <cell r="AG416">
            <v>839.14</v>
          </cell>
        </row>
        <row r="417">
          <cell r="AG417">
            <v>854.78</v>
          </cell>
        </row>
        <row r="418">
          <cell r="AG418">
            <v>870.42</v>
          </cell>
        </row>
        <row r="419">
          <cell r="AG419">
            <v>886.06</v>
          </cell>
        </row>
        <row r="420">
          <cell r="AG420">
            <v>901.7</v>
          </cell>
        </row>
        <row r="421">
          <cell r="AG421">
            <v>917.34</v>
          </cell>
        </row>
        <row r="422">
          <cell r="AG422">
            <v>932.98</v>
          </cell>
          <cell r="AI422">
            <v>948.62</v>
          </cell>
        </row>
        <row r="423">
          <cell r="AI423">
            <v>964.26</v>
          </cell>
        </row>
        <row r="434">
          <cell r="K434">
            <v>504.28</v>
          </cell>
          <cell r="X434">
            <v>519.55999999999995</v>
          </cell>
        </row>
        <row r="435">
          <cell r="K435">
            <v>513.88</v>
          </cell>
          <cell r="X435">
            <v>529.16</v>
          </cell>
        </row>
        <row r="436">
          <cell r="K436">
            <v>523.48</v>
          </cell>
          <cell r="X436">
            <v>538.76</v>
          </cell>
        </row>
        <row r="437">
          <cell r="K437">
            <v>533.08000000000004</v>
          </cell>
          <cell r="X437">
            <v>548.36</v>
          </cell>
        </row>
        <row r="438">
          <cell r="K438">
            <v>542.67999999999995</v>
          </cell>
          <cell r="X438">
            <v>557.96</v>
          </cell>
        </row>
        <row r="448">
          <cell r="AG448">
            <v>530.07000000000005</v>
          </cell>
        </row>
        <row r="449">
          <cell r="AG449">
            <v>540.36</v>
          </cell>
        </row>
        <row r="450">
          <cell r="AG450">
            <v>550.65</v>
          </cell>
        </row>
        <row r="451">
          <cell r="AG451">
            <v>560.94000000000005</v>
          </cell>
        </row>
        <row r="452">
          <cell r="AG452">
            <v>571.23</v>
          </cell>
        </row>
        <row r="455">
          <cell r="AG455">
            <v>602.1</v>
          </cell>
        </row>
        <row r="456">
          <cell r="AG456">
            <v>612.39</v>
          </cell>
        </row>
        <row r="457">
          <cell r="AG457">
            <v>622.67999999999995</v>
          </cell>
        </row>
        <row r="458">
          <cell r="AG458">
            <v>632.97</v>
          </cell>
        </row>
        <row r="459">
          <cell r="AG459">
            <v>643.26</v>
          </cell>
        </row>
        <row r="467">
          <cell r="K467">
            <v>365.93</v>
          </cell>
        </row>
        <row r="468">
          <cell r="K468">
            <v>372.79</v>
          </cell>
        </row>
        <row r="469">
          <cell r="K469">
            <v>379.65</v>
          </cell>
        </row>
        <row r="470">
          <cell r="K470">
            <v>386.51</v>
          </cell>
        </row>
        <row r="471">
          <cell r="K471">
            <v>393.37</v>
          </cell>
        </row>
        <row r="482">
          <cell r="K482">
            <v>33.6</v>
          </cell>
        </row>
        <row r="486">
          <cell r="X486">
            <v>2578</v>
          </cell>
          <cell r="AD486">
            <v>2598.2199999999998</v>
          </cell>
        </row>
        <row r="487">
          <cell r="X487">
            <v>2585.66</v>
          </cell>
          <cell r="AD487">
            <v>2605.88</v>
          </cell>
        </row>
        <row r="488">
          <cell r="X488">
            <v>2593.3200000000002</v>
          </cell>
          <cell r="AD488">
            <v>2613.54</v>
          </cell>
        </row>
        <row r="489">
          <cell r="X489">
            <v>2600.98</v>
          </cell>
          <cell r="AD489">
            <v>2621.1999999999998</v>
          </cell>
        </row>
        <row r="490">
          <cell r="X490">
            <v>2608.64</v>
          </cell>
          <cell r="AD490">
            <v>2628.86</v>
          </cell>
        </row>
        <row r="497">
          <cell r="K497">
            <v>278.10000000000002</v>
          </cell>
        </row>
        <row r="535">
          <cell r="K535">
            <v>1287.1600000000001</v>
          </cell>
        </row>
        <row r="536">
          <cell r="K536">
            <v>1291.27</v>
          </cell>
        </row>
        <row r="537">
          <cell r="K537">
            <v>1295.3800000000001</v>
          </cell>
          <cell r="X537">
            <v>1288.99</v>
          </cell>
          <cell r="AD537">
            <v>1299.8399999999999</v>
          </cell>
        </row>
        <row r="538">
          <cell r="K538">
            <v>1299.49</v>
          </cell>
          <cell r="X538">
            <v>1293.0999999999999</v>
          </cell>
          <cell r="AD538">
            <v>1303.95</v>
          </cell>
        </row>
        <row r="539">
          <cell r="K539">
            <v>1303.5999999999999</v>
          </cell>
          <cell r="X539">
            <v>1297.21</v>
          </cell>
          <cell r="AD539">
            <v>1308.06</v>
          </cell>
        </row>
        <row r="540">
          <cell r="K540">
            <v>1307.71</v>
          </cell>
          <cell r="X540">
            <v>1301.32</v>
          </cell>
          <cell r="AD540">
            <v>1312.17</v>
          </cell>
        </row>
        <row r="541">
          <cell r="K541">
            <v>1311.82</v>
          </cell>
          <cell r="X541">
            <v>1305.43</v>
          </cell>
          <cell r="AD541">
            <v>1316.28</v>
          </cell>
        </row>
        <row r="542">
          <cell r="K542">
            <v>1315.93</v>
          </cell>
        </row>
        <row r="543">
          <cell r="K543">
            <v>1320.04</v>
          </cell>
        </row>
        <row r="544">
          <cell r="K544">
            <v>1324.15</v>
          </cell>
        </row>
        <row r="545">
          <cell r="K545">
            <v>1328.26</v>
          </cell>
        </row>
        <row r="546">
          <cell r="K546">
            <v>1332.37</v>
          </cell>
        </row>
        <row r="557">
          <cell r="K557">
            <v>1423.45</v>
          </cell>
        </row>
        <row r="559">
          <cell r="K559">
            <v>1427.62</v>
          </cell>
          <cell r="X559">
            <v>1427.11</v>
          </cell>
          <cell r="AD559">
            <v>1448.8</v>
          </cell>
        </row>
        <row r="560">
          <cell r="K560">
            <v>1435.84</v>
          </cell>
        </row>
        <row r="561">
          <cell r="K561">
            <v>1444.06</v>
          </cell>
          <cell r="X561">
            <v>1431.28</v>
          </cell>
          <cell r="AD561">
            <v>1452.97</v>
          </cell>
        </row>
        <row r="562">
          <cell r="K562">
            <v>1452.28</v>
          </cell>
          <cell r="X562">
            <v>1439.5</v>
          </cell>
          <cell r="AD562">
            <v>1461.19</v>
          </cell>
        </row>
        <row r="563">
          <cell r="K563">
            <v>1460.5</v>
          </cell>
          <cell r="X563">
            <v>1447.72</v>
          </cell>
          <cell r="AD563">
            <v>1469.41</v>
          </cell>
        </row>
        <row r="564">
          <cell r="X564">
            <v>1455.94</v>
          </cell>
          <cell r="AD564">
            <v>1477.63</v>
          </cell>
        </row>
        <row r="565">
          <cell r="X565">
            <v>1464.16</v>
          </cell>
          <cell r="AD565">
            <v>1485.85</v>
          </cell>
        </row>
        <row r="589">
          <cell r="X589">
            <v>558.29999999999995</v>
          </cell>
        </row>
        <row r="590">
          <cell r="K590">
            <v>529.37</v>
          </cell>
          <cell r="X590">
            <v>562.42999999999995</v>
          </cell>
        </row>
        <row r="591">
          <cell r="K591">
            <v>533.44000000000005</v>
          </cell>
          <cell r="X591">
            <v>570.57000000000005</v>
          </cell>
        </row>
        <row r="592">
          <cell r="K592">
            <v>537.51</v>
          </cell>
          <cell r="X592">
            <v>578.71</v>
          </cell>
        </row>
        <row r="593">
          <cell r="K593">
            <v>541.58000000000004</v>
          </cell>
          <cell r="X593">
            <v>586.85</v>
          </cell>
        </row>
        <row r="594">
          <cell r="K594">
            <v>545.65</v>
          </cell>
        </row>
        <row r="612">
          <cell r="K612">
            <v>1847.38</v>
          </cell>
        </row>
        <row r="613">
          <cell r="K613">
            <v>1855.52</v>
          </cell>
        </row>
        <row r="614">
          <cell r="K614">
            <v>1863.66</v>
          </cell>
        </row>
        <row r="615">
          <cell r="K615">
            <v>1871.8</v>
          </cell>
        </row>
        <row r="616">
          <cell r="K616">
            <v>1879.94</v>
          </cell>
        </row>
        <row r="628">
          <cell r="K628">
            <v>572.35</v>
          </cell>
        </row>
        <row r="629">
          <cell r="K629">
            <v>576.41999999999996</v>
          </cell>
        </row>
        <row r="630">
          <cell r="K630">
            <v>580.49</v>
          </cell>
        </row>
        <row r="631">
          <cell r="K631">
            <v>584.55999999999995</v>
          </cell>
        </row>
        <row r="632">
          <cell r="K632">
            <v>588.63</v>
          </cell>
        </row>
        <row r="659">
          <cell r="K659">
            <v>2579.7800000000002</v>
          </cell>
        </row>
        <row r="660">
          <cell r="K660">
            <v>2587.44</v>
          </cell>
        </row>
        <row r="661">
          <cell r="K661">
            <v>2595.1</v>
          </cell>
        </row>
        <row r="662">
          <cell r="K662">
            <v>2602.7600000000002</v>
          </cell>
        </row>
        <row r="663">
          <cell r="K663">
            <v>2610.42</v>
          </cell>
        </row>
        <row r="686">
          <cell r="K686">
            <v>483.4</v>
          </cell>
        </row>
        <row r="687">
          <cell r="K687">
            <v>490.26</v>
          </cell>
        </row>
        <row r="688">
          <cell r="K688">
            <v>497.12</v>
          </cell>
          <cell r="X688">
            <v>8044.93</v>
          </cell>
        </row>
        <row r="689">
          <cell r="K689">
            <v>503.98</v>
          </cell>
        </row>
        <row r="690">
          <cell r="K690">
            <v>510.84</v>
          </cell>
          <cell r="X690">
            <v>8148.23</v>
          </cell>
        </row>
        <row r="691">
          <cell r="X691">
            <v>8351.73</v>
          </cell>
        </row>
        <row r="692">
          <cell r="X692">
            <v>8555.23</v>
          </cell>
        </row>
        <row r="693">
          <cell r="X693">
            <v>8758.73</v>
          </cell>
        </row>
        <row r="704">
          <cell r="C704">
            <v>3167</v>
          </cell>
        </row>
        <row r="706">
          <cell r="K706">
            <v>657.48</v>
          </cell>
        </row>
        <row r="707">
          <cell r="K707">
            <v>672.57</v>
          </cell>
        </row>
        <row r="708">
          <cell r="K708">
            <v>687.66</v>
          </cell>
        </row>
        <row r="709">
          <cell r="K709">
            <v>702.75</v>
          </cell>
        </row>
        <row r="710">
          <cell r="K710">
            <v>717.84</v>
          </cell>
        </row>
        <row r="718">
          <cell r="X718">
            <v>7507.52</v>
          </cell>
        </row>
        <row r="720">
          <cell r="X720">
            <v>7610.82</v>
          </cell>
        </row>
        <row r="721">
          <cell r="X721">
            <v>7814.32</v>
          </cell>
        </row>
        <row r="722">
          <cell r="X722">
            <v>8017.82</v>
          </cell>
        </row>
        <row r="723">
          <cell r="X723">
            <v>8221.32</v>
          </cell>
        </row>
        <row r="724">
          <cell r="X724">
            <v>8424.82</v>
          </cell>
        </row>
        <row r="764">
          <cell r="C764">
            <v>1010</v>
          </cell>
        </row>
        <row r="821">
          <cell r="K821">
            <v>8196.15</v>
          </cell>
        </row>
        <row r="823">
          <cell r="K823">
            <v>8299.4500000000007</v>
          </cell>
        </row>
        <row r="824">
          <cell r="K824">
            <v>8502.9500000000007</v>
          </cell>
        </row>
        <row r="825">
          <cell r="K825">
            <v>8706.4500000000007</v>
          </cell>
        </row>
        <row r="826">
          <cell r="K826">
            <v>8909.9500000000007</v>
          </cell>
        </row>
        <row r="827">
          <cell r="K827">
            <v>9113.4500000000007</v>
          </cell>
        </row>
        <row r="828">
          <cell r="K828">
            <v>9316.9500000000007</v>
          </cell>
        </row>
        <row r="829">
          <cell r="K829">
            <v>9520.4500000000007</v>
          </cell>
        </row>
        <row r="830">
          <cell r="K830">
            <v>9723.9500000000007</v>
          </cell>
        </row>
        <row r="831">
          <cell r="K831">
            <v>9927.4500000000007</v>
          </cell>
        </row>
        <row r="832">
          <cell r="K832">
            <v>10130.950000000001</v>
          </cell>
        </row>
        <row r="833">
          <cell r="K833">
            <v>10334.450000000001</v>
          </cell>
        </row>
        <row r="834">
          <cell r="K834">
            <v>10537.95</v>
          </cell>
        </row>
        <row r="835">
          <cell r="K835">
            <v>10741.45</v>
          </cell>
        </row>
        <row r="864">
          <cell r="R864">
            <v>2930.64</v>
          </cell>
        </row>
        <row r="871">
          <cell r="K871">
            <v>2460.2199999999998</v>
          </cell>
        </row>
        <row r="889">
          <cell r="K889">
            <v>2440.4499999999998</v>
          </cell>
        </row>
        <row r="905">
          <cell r="K905">
            <v>2406.77</v>
          </cell>
        </row>
        <row r="912">
          <cell r="K912">
            <v>2034</v>
          </cell>
        </row>
        <row r="923">
          <cell r="K923">
            <v>123400</v>
          </cell>
        </row>
        <row r="930">
          <cell r="K930">
            <v>111200</v>
          </cell>
        </row>
        <row r="964">
          <cell r="K964">
            <v>4719.55</v>
          </cell>
        </row>
        <row r="1000">
          <cell r="K1000">
            <v>4803.54</v>
          </cell>
          <cell r="R1000">
            <v>3850.37</v>
          </cell>
        </row>
        <row r="1030">
          <cell r="K1030">
            <v>4817.3500000000004</v>
          </cell>
        </row>
        <row r="1066">
          <cell r="K1066">
            <v>3424.55</v>
          </cell>
        </row>
        <row r="1077">
          <cell r="R1077">
            <v>3309.65</v>
          </cell>
        </row>
        <row r="1081">
          <cell r="K1081">
            <v>3364.08</v>
          </cell>
        </row>
        <row r="1097">
          <cell r="K1097">
            <v>3552.27</v>
          </cell>
        </row>
        <row r="1112">
          <cell r="K1112">
            <v>2642.35</v>
          </cell>
        </row>
        <row r="1124">
          <cell r="R1124">
            <v>5040.1899999999996</v>
          </cell>
        </row>
        <row r="1154">
          <cell r="K1154">
            <v>109.86</v>
          </cell>
        </row>
        <row r="1156">
          <cell r="R1156">
            <v>7823.57</v>
          </cell>
        </row>
        <row r="1158">
          <cell r="R1158">
            <v>7926.87</v>
          </cell>
        </row>
        <row r="1159">
          <cell r="R1159">
            <v>8130.37</v>
          </cell>
        </row>
        <row r="1160">
          <cell r="R1160">
            <v>8333.8700000000008</v>
          </cell>
        </row>
        <row r="1161">
          <cell r="R1161">
            <v>8537.3700000000008</v>
          </cell>
        </row>
        <row r="1162">
          <cell r="R1162">
            <v>8740.8700000000008</v>
          </cell>
        </row>
        <row r="1163">
          <cell r="R1163">
            <v>8944.3700000000008</v>
          </cell>
        </row>
        <row r="1164">
          <cell r="R1164">
            <v>9147.8700000000008</v>
          </cell>
        </row>
        <row r="1165">
          <cell r="R1165">
            <v>9351.3700000000008</v>
          </cell>
        </row>
        <row r="1166">
          <cell r="R1166">
            <v>9554.8700000000008</v>
          </cell>
        </row>
        <row r="1167">
          <cell r="K1167">
            <v>172.13</v>
          </cell>
          <cell r="R1167">
            <v>9758.3700000000008</v>
          </cell>
        </row>
        <row r="1168">
          <cell r="R1168">
            <v>9961.8700000000008</v>
          </cell>
        </row>
        <row r="1169">
          <cell r="R1169">
            <v>10165.370000000001</v>
          </cell>
        </row>
        <row r="1170">
          <cell r="K1170">
            <v>52</v>
          </cell>
          <cell r="R1170">
            <v>10368.870000000001</v>
          </cell>
        </row>
        <row r="1171">
          <cell r="R1171">
            <v>10572.37</v>
          </cell>
        </row>
        <row r="1183">
          <cell r="R1183">
            <v>7897.4</v>
          </cell>
        </row>
        <row r="1184">
          <cell r="R1184">
            <v>8000.7</v>
          </cell>
        </row>
        <row r="1185">
          <cell r="K1185">
            <v>708.1</v>
          </cell>
        </row>
        <row r="1191">
          <cell r="K1191">
            <v>62.1</v>
          </cell>
        </row>
        <row r="1193">
          <cell r="K1193">
            <v>62.6</v>
          </cell>
        </row>
        <row r="1194">
          <cell r="K1194">
            <v>9.6</v>
          </cell>
        </row>
        <row r="1196">
          <cell r="AD1196">
            <v>1917.28</v>
          </cell>
        </row>
        <row r="1197">
          <cell r="AK1197">
            <v>1050.31</v>
          </cell>
        </row>
        <row r="1198">
          <cell r="AD1198">
            <v>1923.42</v>
          </cell>
          <cell r="AK1198">
            <v>1052.3499999999999</v>
          </cell>
        </row>
        <row r="1199">
          <cell r="AD1199">
            <v>1927.49</v>
          </cell>
          <cell r="AK1199">
            <v>1054.3900000000001</v>
          </cell>
        </row>
        <row r="1200">
          <cell r="AD1200">
            <v>1931.56</v>
          </cell>
          <cell r="AK1200">
            <v>1056.3399999999999</v>
          </cell>
        </row>
        <row r="1213">
          <cell r="K1213">
            <v>450.53</v>
          </cell>
        </row>
        <row r="1229">
          <cell r="AD1229">
            <v>1322.54</v>
          </cell>
        </row>
        <row r="1230">
          <cell r="R1230">
            <v>1357.13</v>
          </cell>
        </row>
        <row r="1241">
          <cell r="K1241">
            <v>1101.47</v>
          </cell>
        </row>
        <row r="1249">
          <cell r="R1249">
            <v>1327.95</v>
          </cell>
        </row>
        <row r="1257">
          <cell r="AD1257">
            <v>1493.95</v>
          </cell>
        </row>
        <row r="1264">
          <cell r="K1264">
            <v>1094.29</v>
          </cell>
        </row>
        <row r="1272">
          <cell r="R1272">
            <v>1152.25</v>
          </cell>
        </row>
        <row r="1278">
          <cell r="K1278">
            <v>1237.43</v>
          </cell>
        </row>
        <row r="1292">
          <cell r="K1292">
            <v>2810.78</v>
          </cell>
        </row>
        <row r="1293">
          <cell r="X1293">
            <v>1269.1600000000001</v>
          </cell>
        </row>
        <row r="1312">
          <cell r="K1312">
            <v>402.17</v>
          </cell>
        </row>
        <row r="1326">
          <cell r="R1326">
            <v>206.91</v>
          </cell>
        </row>
        <row r="1330">
          <cell r="K1330">
            <v>3443.33</v>
          </cell>
        </row>
        <row r="1347">
          <cell r="X1347">
            <v>1324.24</v>
          </cell>
        </row>
        <row r="1363">
          <cell r="AD1363">
            <v>6304.16</v>
          </cell>
        </row>
        <row r="1365">
          <cell r="K1365">
            <v>1079.3699999999999</v>
          </cell>
          <cell r="X1365">
            <v>9368.61</v>
          </cell>
        </row>
        <row r="1380">
          <cell r="AD1380">
            <v>8048.46</v>
          </cell>
        </row>
        <row r="1382">
          <cell r="X1382">
            <v>7379.44</v>
          </cell>
        </row>
        <row r="1397">
          <cell r="AD1397">
            <v>4015.35</v>
          </cell>
        </row>
        <row r="1399">
          <cell r="X1399">
            <v>14549.64</v>
          </cell>
        </row>
        <row r="1400">
          <cell r="K1400">
            <v>222.1</v>
          </cell>
        </row>
        <row r="1404">
          <cell r="R1404">
            <v>10968.39</v>
          </cell>
        </row>
        <row r="1414">
          <cell r="K1414">
            <v>228.11</v>
          </cell>
        </row>
        <row r="1421">
          <cell r="R1421">
            <v>8713.44</v>
          </cell>
        </row>
        <row r="1426">
          <cell r="K1426">
            <v>253.53</v>
          </cell>
        </row>
        <row r="1438">
          <cell r="R1438">
            <v>3794.03</v>
          </cell>
        </row>
        <row r="1440">
          <cell r="X1440">
            <v>5059.03</v>
          </cell>
        </row>
        <row r="1442">
          <cell r="K1442">
            <v>246.58</v>
          </cell>
        </row>
        <row r="1447">
          <cell r="X1447">
            <v>4748.82</v>
          </cell>
        </row>
        <row r="1455">
          <cell r="R1455">
            <v>5611.1</v>
          </cell>
        </row>
        <row r="1460">
          <cell r="K1460">
            <v>70.16</v>
          </cell>
        </row>
        <row r="1463">
          <cell r="X1463">
            <v>7235.67</v>
          </cell>
        </row>
        <row r="1472">
          <cell r="K1472">
            <v>45.59</v>
          </cell>
        </row>
        <row r="1479">
          <cell r="R1479">
            <v>4535.8900000000003</v>
          </cell>
        </row>
        <row r="1485">
          <cell r="K1485">
            <v>33.909999999999997</v>
          </cell>
        </row>
        <row r="1498">
          <cell r="K1498">
            <v>39.22</v>
          </cell>
        </row>
        <row r="1513">
          <cell r="K1513">
            <v>172.93</v>
          </cell>
        </row>
        <row r="1526">
          <cell r="K1526">
            <v>147.27000000000001</v>
          </cell>
        </row>
        <row r="1540">
          <cell r="K1540">
            <v>212.24</v>
          </cell>
        </row>
        <row r="1553">
          <cell r="K1553">
            <v>125.87</v>
          </cell>
        </row>
        <row r="1567">
          <cell r="K1567">
            <v>4403.5</v>
          </cell>
        </row>
        <row r="1582">
          <cell r="K1582">
            <v>80140.5</v>
          </cell>
        </row>
        <row r="1595">
          <cell r="K1595">
            <v>80140.5</v>
          </cell>
        </row>
        <row r="1608">
          <cell r="K1608">
            <v>78398</v>
          </cell>
        </row>
        <row r="1609">
          <cell r="R1609">
            <v>78609.3</v>
          </cell>
        </row>
        <row r="1620">
          <cell r="K1620">
            <v>78398</v>
          </cell>
        </row>
        <row r="1638">
          <cell r="K1638">
            <v>321.74</v>
          </cell>
        </row>
        <row r="1640">
          <cell r="R1640">
            <v>326.29000000000002</v>
          </cell>
        </row>
        <row r="1653">
          <cell r="K1653">
            <v>286.45999999999998</v>
          </cell>
        </row>
        <row r="1670">
          <cell r="K1670">
            <v>58</v>
          </cell>
        </row>
        <row r="1682">
          <cell r="K1682">
            <v>95</v>
          </cell>
        </row>
        <row r="1690">
          <cell r="K1690">
            <v>55</v>
          </cell>
        </row>
        <row r="1697">
          <cell r="K1697">
            <v>1.5</v>
          </cell>
        </row>
        <row r="1746">
          <cell r="K1746">
            <v>256.01</v>
          </cell>
        </row>
        <row r="1762">
          <cell r="K1762">
            <v>364.3</v>
          </cell>
        </row>
        <row r="1775">
          <cell r="K1775">
            <v>812.3</v>
          </cell>
        </row>
        <row r="1790">
          <cell r="K1790">
            <v>17344.5</v>
          </cell>
        </row>
        <row r="1796">
          <cell r="K1796">
            <v>6720</v>
          </cell>
        </row>
        <row r="1797">
          <cell r="K1797">
            <v>1920</v>
          </cell>
        </row>
        <row r="1874">
          <cell r="K1874">
            <v>203.95</v>
          </cell>
        </row>
        <row r="1882">
          <cell r="K1882">
            <v>208.73</v>
          </cell>
        </row>
        <row r="1890">
          <cell r="K1890">
            <v>225.97</v>
          </cell>
        </row>
        <row r="1912">
          <cell r="R1912">
            <v>273.74</v>
          </cell>
        </row>
        <row r="1927">
          <cell r="K1927">
            <v>286.08</v>
          </cell>
        </row>
        <row r="1948">
          <cell r="K1948">
            <v>3104.82</v>
          </cell>
        </row>
        <row r="1951">
          <cell r="K1951">
            <v>1846</v>
          </cell>
        </row>
        <row r="1952">
          <cell r="K1952">
            <v>30</v>
          </cell>
        </row>
        <row r="1954">
          <cell r="K1954">
            <v>204</v>
          </cell>
        </row>
        <row r="1957">
          <cell r="K1957">
            <v>300</v>
          </cell>
        </row>
        <row r="1960">
          <cell r="K1960">
            <v>250</v>
          </cell>
        </row>
        <row r="1977">
          <cell r="K1977">
            <v>3071.23</v>
          </cell>
        </row>
        <row r="1978">
          <cell r="R1978">
            <v>3040.4</v>
          </cell>
        </row>
        <row r="1998">
          <cell r="K1998">
            <v>4786.87</v>
          </cell>
        </row>
        <row r="1999">
          <cell r="R1999">
            <v>4756.41</v>
          </cell>
        </row>
        <row r="2015">
          <cell r="K2015">
            <v>6531.2</v>
          </cell>
        </row>
        <row r="2018">
          <cell r="R2018">
            <v>6501.3</v>
          </cell>
        </row>
        <row r="2034">
          <cell r="K2034">
            <v>6891.2</v>
          </cell>
        </row>
        <row r="2037">
          <cell r="R2037">
            <v>6861.3</v>
          </cell>
        </row>
        <row r="2044">
          <cell r="R2044">
            <v>1297.5899999999999</v>
          </cell>
        </row>
        <row r="2063">
          <cell r="K2063">
            <v>657.29</v>
          </cell>
        </row>
        <row r="2087">
          <cell r="K2087">
            <v>541.41999999999996</v>
          </cell>
        </row>
        <row r="2090">
          <cell r="R2090">
            <v>6981.88</v>
          </cell>
        </row>
        <row r="2098">
          <cell r="K2098">
            <v>450.1</v>
          </cell>
        </row>
        <row r="2111">
          <cell r="K2111">
            <v>1754.17</v>
          </cell>
        </row>
        <row r="2119">
          <cell r="K2119">
            <v>152.6</v>
          </cell>
        </row>
        <row r="2138">
          <cell r="K2138">
            <v>507.25</v>
          </cell>
        </row>
        <row r="2158">
          <cell r="K2158">
            <v>673.35</v>
          </cell>
        </row>
        <row r="2169">
          <cell r="K2169">
            <v>222.53</v>
          </cell>
        </row>
        <row r="2184">
          <cell r="K2184">
            <v>329.02</v>
          </cell>
        </row>
        <row r="2193">
          <cell r="K2193">
            <v>103.1</v>
          </cell>
        </row>
        <row r="2200">
          <cell r="K2200">
            <v>141.80000000000001</v>
          </cell>
        </row>
        <row r="2206">
          <cell r="K2206">
            <v>129.80000000000001</v>
          </cell>
        </row>
        <row r="2216">
          <cell r="K2216">
            <v>167.5</v>
          </cell>
        </row>
        <row r="2225">
          <cell r="K2225">
            <v>31.87</v>
          </cell>
        </row>
        <row r="2261">
          <cell r="K2261">
            <v>1499.29</v>
          </cell>
        </row>
        <row r="2262">
          <cell r="K2262">
            <v>1503.34</v>
          </cell>
        </row>
        <row r="2263">
          <cell r="K2263">
            <v>1531.07</v>
          </cell>
        </row>
        <row r="2264">
          <cell r="K2264">
            <v>1565.5</v>
          </cell>
        </row>
        <row r="2265">
          <cell r="K2265">
            <v>2802.19</v>
          </cell>
        </row>
        <row r="2266">
          <cell r="K2266">
            <v>764.91</v>
          </cell>
        </row>
        <row r="2267">
          <cell r="K2267">
            <v>1041.2</v>
          </cell>
        </row>
        <row r="2268">
          <cell r="K2268">
            <v>138.69999999999999</v>
          </cell>
        </row>
        <row r="2269">
          <cell r="K2269">
            <v>486.5</v>
          </cell>
        </row>
        <row r="2271">
          <cell r="K2271">
            <v>12</v>
          </cell>
        </row>
        <row r="2272">
          <cell r="K2272">
            <v>10</v>
          </cell>
        </row>
        <row r="2273">
          <cell r="K2273">
            <v>1308</v>
          </cell>
        </row>
        <row r="2274">
          <cell r="K2274">
            <v>33.9</v>
          </cell>
        </row>
        <row r="2275">
          <cell r="K2275">
            <v>4116.8500000000004</v>
          </cell>
        </row>
        <row r="2276">
          <cell r="K2276">
            <v>3342.85</v>
          </cell>
        </row>
        <row r="2277">
          <cell r="K2277">
            <v>520.79999999999995</v>
          </cell>
        </row>
        <row r="2280">
          <cell r="K2280">
            <v>1967.5</v>
          </cell>
        </row>
        <row r="2282">
          <cell r="K2282">
            <v>192.58</v>
          </cell>
        </row>
        <row r="2283">
          <cell r="K2283">
            <v>246.68</v>
          </cell>
        </row>
        <row r="2284">
          <cell r="K2284">
            <v>500</v>
          </cell>
        </row>
        <row r="2285">
          <cell r="K2285">
            <v>76.67</v>
          </cell>
        </row>
        <row r="2286">
          <cell r="K2286">
            <v>2723</v>
          </cell>
        </row>
        <row r="2287">
          <cell r="K2287">
            <v>770.34</v>
          </cell>
        </row>
        <row r="2288">
          <cell r="K2288">
            <v>2363.98</v>
          </cell>
        </row>
        <row r="2289">
          <cell r="K2289">
            <v>2774.3</v>
          </cell>
        </row>
        <row r="2290">
          <cell r="K2290">
            <v>2602.1</v>
          </cell>
        </row>
        <row r="2304">
          <cell r="K2304">
            <v>79.650000000000006</v>
          </cell>
        </row>
        <row r="2331">
          <cell r="K2331">
            <v>33.229999999999997</v>
          </cell>
        </row>
        <row r="2350">
          <cell r="R2350">
            <v>1968.19</v>
          </cell>
        </row>
        <row r="2353">
          <cell r="K2353">
            <v>30.62</v>
          </cell>
        </row>
        <row r="2354">
          <cell r="I2354">
            <v>739.38</v>
          </cell>
        </row>
        <row r="2356">
          <cell r="I2356">
            <v>831.23</v>
          </cell>
        </row>
        <row r="2357">
          <cell r="R2357">
            <v>450.99</v>
          </cell>
        </row>
        <row r="2358">
          <cell r="I2358">
            <v>997.48</v>
          </cell>
        </row>
        <row r="2360">
          <cell r="I2360">
            <v>914.35</v>
          </cell>
        </row>
        <row r="2365">
          <cell r="R2365">
            <v>343.98</v>
          </cell>
        </row>
        <row r="2392">
          <cell r="K2392">
            <v>386.19</v>
          </cell>
        </row>
        <row r="2403">
          <cell r="K2403">
            <v>822.61</v>
          </cell>
        </row>
        <row r="2415">
          <cell r="K2415">
            <v>2016.25</v>
          </cell>
        </row>
        <row r="2416">
          <cell r="R2416">
            <v>1298.51</v>
          </cell>
        </row>
        <row r="2435">
          <cell r="K2435">
            <v>1335.94</v>
          </cell>
        </row>
        <row r="2442">
          <cell r="R2442">
            <v>1509.19</v>
          </cell>
        </row>
        <row r="2448">
          <cell r="K2448">
            <v>686.18</v>
          </cell>
        </row>
        <row r="2492">
          <cell r="K2492">
            <v>4353.33</v>
          </cell>
        </row>
        <row r="2515">
          <cell r="K2515">
            <v>4626.8100000000004</v>
          </cell>
        </row>
        <row r="2580">
          <cell r="R2580">
            <v>3971.57</v>
          </cell>
        </row>
        <row r="2626">
          <cell r="O2626" t="str">
            <v>T.W DOOR SHUTTER TWO LEAVES(1200 X 2100 mm ) with Brass Fittings</v>
          </cell>
        </row>
        <row r="2629">
          <cell r="AG2629">
            <v>5298.17</v>
          </cell>
        </row>
        <row r="2647">
          <cell r="K2647">
            <v>5846.33</v>
          </cell>
        </row>
        <row r="2654">
          <cell r="R2654">
            <v>6199.77</v>
          </cell>
        </row>
        <row r="2663">
          <cell r="AG2663">
            <v>5533.07</v>
          </cell>
        </row>
        <row r="2690">
          <cell r="K2690">
            <v>762.6</v>
          </cell>
        </row>
        <row r="2703">
          <cell r="K2703">
            <v>239.99</v>
          </cell>
        </row>
        <row r="2716">
          <cell r="K2716">
            <v>53.72</v>
          </cell>
        </row>
        <row r="2725">
          <cell r="K2725">
            <v>114.39</v>
          </cell>
        </row>
        <row r="2767">
          <cell r="K2767">
            <v>205.94</v>
          </cell>
        </row>
        <row r="2778">
          <cell r="K2778">
            <v>2595.25</v>
          </cell>
        </row>
        <row r="2798">
          <cell r="K2798">
            <v>1539.23</v>
          </cell>
        </row>
        <row r="2827">
          <cell r="K2827">
            <v>5724.71</v>
          </cell>
        </row>
        <row r="2834">
          <cell r="R2834">
            <v>5284.73</v>
          </cell>
        </row>
        <row r="2845">
          <cell r="K2845">
            <v>2937.59</v>
          </cell>
        </row>
        <row r="2867">
          <cell r="R2867">
            <v>4989.05</v>
          </cell>
        </row>
        <row r="2877">
          <cell r="K2877">
            <v>2110.4899999999998</v>
          </cell>
        </row>
        <row r="2888">
          <cell r="K2888">
            <v>81.2</v>
          </cell>
        </row>
        <row r="2911">
          <cell r="K2911">
            <v>6854.05</v>
          </cell>
        </row>
        <row r="2913">
          <cell r="K2913">
            <v>6957.35</v>
          </cell>
        </row>
        <row r="2914">
          <cell r="K2914">
            <v>7160.85</v>
          </cell>
        </row>
        <row r="2915">
          <cell r="K2915">
            <v>7364.35</v>
          </cell>
        </row>
        <row r="2931">
          <cell r="K2931">
            <v>615.28</v>
          </cell>
        </row>
        <row r="2940">
          <cell r="K2940">
            <v>618.77</v>
          </cell>
        </row>
        <row r="2950">
          <cell r="K2950">
            <v>622.26</v>
          </cell>
        </row>
        <row r="2981">
          <cell r="K2981">
            <v>2980.14</v>
          </cell>
        </row>
        <row r="2988">
          <cell r="R2988">
            <v>2863.99</v>
          </cell>
        </row>
        <row r="3014">
          <cell r="K3014">
            <v>379.4</v>
          </cell>
        </row>
        <row r="3018">
          <cell r="K3018">
            <v>1942.75</v>
          </cell>
        </row>
        <row r="3031">
          <cell r="K3031">
            <v>130</v>
          </cell>
        </row>
        <row r="3033">
          <cell r="K3033">
            <v>170</v>
          </cell>
        </row>
        <row r="3036">
          <cell r="K3036">
            <v>443</v>
          </cell>
        </row>
        <row r="3038">
          <cell r="K3038">
            <v>1437.4</v>
          </cell>
        </row>
        <row r="3046">
          <cell r="K3046">
            <v>1602.5</v>
          </cell>
        </row>
        <row r="3066">
          <cell r="K3066">
            <v>3205.31</v>
          </cell>
        </row>
        <row r="3073">
          <cell r="R3073">
            <v>3027.67</v>
          </cell>
        </row>
        <row r="3085">
          <cell r="K3085">
            <v>3082.51</v>
          </cell>
        </row>
        <row r="3114">
          <cell r="K3114">
            <v>4024.1</v>
          </cell>
        </row>
        <row r="3115">
          <cell r="AF3115">
            <v>467</v>
          </cell>
          <cell r="AH3115">
            <v>419</v>
          </cell>
        </row>
        <row r="3116">
          <cell r="AQ3116">
            <v>231</v>
          </cell>
          <cell r="AR3116">
            <v>220</v>
          </cell>
        </row>
        <row r="3123">
          <cell r="R3123">
            <v>122.25</v>
          </cell>
        </row>
        <row r="3126">
          <cell r="X3126">
            <v>3402.37</v>
          </cell>
        </row>
        <row r="3143">
          <cell r="X3143">
            <v>3717.9</v>
          </cell>
        </row>
        <row r="3166">
          <cell r="R3166">
            <v>3117.04</v>
          </cell>
        </row>
        <row r="3168">
          <cell r="X3168">
            <v>3283.94</v>
          </cell>
        </row>
        <row r="3172">
          <cell r="I3172">
            <v>3.65</v>
          </cell>
        </row>
        <row r="3175">
          <cell r="K3175">
            <v>119.16</v>
          </cell>
        </row>
        <row r="3188">
          <cell r="K3188">
            <v>62.39</v>
          </cell>
        </row>
        <row r="3198">
          <cell r="I3198">
            <v>7.9</v>
          </cell>
        </row>
        <row r="3202">
          <cell r="K3202">
            <v>81.27</v>
          </cell>
        </row>
        <row r="3203">
          <cell r="R3203">
            <v>6182.41</v>
          </cell>
        </row>
        <row r="3212">
          <cell r="I3212">
            <v>8.5</v>
          </cell>
        </row>
        <row r="3216">
          <cell r="K3216">
            <v>88.28</v>
          </cell>
        </row>
        <row r="3231">
          <cell r="K3231">
            <v>144.25</v>
          </cell>
        </row>
        <row r="3247">
          <cell r="K3247">
            <v>125.87</v>
          </cell>
        </row>
        <row r="3272">
          <cell r="R3272">
            <v>6164.11</v>
          </cell>
        </row>
        <row r="3275">
          <cell r="K3275">
            <v>81.41</v>
          </cell>
        </row>
        <row r="3305">
          <cell r="R3305">
            <v>5445.16</v>
          </cell>
        </row>
        <row r="3331">
          <cell r="K3331">
            <v>4845.1099999999997</v>
          </cell>
        </row>
        <row r="3339">
          <cell r="R3339">
            <v>4942.12</v>
          </cell>
        </row>
        <row r="3348">
          <cell r="K3348">
            <v>109.44</v>
          </cell>
        </row>
        <row r="3374">
          <cell r="R3374">
            <v>5522.66</v>
          </cell>
        </row>
        <row r="3408">
          <cell r="R3408">
            <v>4897.2299999999996</v>
          </cell>
        </row>
        <row r="3434">
          <cell r="K3434">
            <v>5051.6899999999996</v>
          </cell>
        </row>
        <row r="3452">
          <cell r="R3452">
            <v>5792.32</v>
          </cell>
        </row>
        <row r="3533">
          <cell r="K3533">
            <v>3127.38</v>
          </cell>
        </row>
        <row r="3549">
          <cell r="K3549">
            <v>2997.34</v>
          </cell>
          <cell r="X3549">
            <v>2959.11</v>
          </cell>
        </row>
        <row r="3565">
          <cell r="X3565">
            <v>3204.22</v>
          </cell>
        </row>
        <row r="3569">
          <cell r="K3569">
            <v>3104.82</v>
          </cell>
        </row>
        <row r="3581">
          <cell r="X3581">
            <v>3167.17</v>
          </cell>
        </row>
        <row r="3596">
          <cell r="X3596">
            <v>2939.44</v>
          </cell>
        </row>
        <row r="3613">
          <cell r="X3613">
            <v>3007.4</v>
          </cell>
        </row>
        <row r="3628">
          <cell r="X3628">
            <v>2795.43</v>
          </cell>
        </row>
        <row r="3648">
          <cell r="K3648">
            <v>334.22</v>
          </cell>
        </row>
        <row r="3668">
          <cell r="X3668">
            <v>5543.77</v>
          </cell>
        </row>
        <row r="3677">
          <cell r="K3677">
            <v>442.95</v>
          </cell>
        </row>
        <row r="3696">
          <cell r="X3696">
            <v>7170.69</v>
          </cell>
        </row>
        <row r="3697">
          <cell r="K3697">
            <v>753.21</v>
          </cell>
        </row>
        <row r="3711">
          <cell r="X3711">
            <v>3584</v>
          </cell>
        </row>
        <row r="3725">
          <cell r="X3725">
            <v>3873</v>
          </cell>
        </row>
        <row r="3738">
          <cell r="K3738">
            <v>82.53</v>
          </cell>
        </row>
        <row r="3792">
          <cell r="K3792">
            <v>3709.53</v>
          </cell>
        </row>
        <row r="3814">
          <cell r="K3814">
            <v>1536.83</v>
          </cell>
        </row>
        <row r="3837">
          <cell r="K3837">
            <v>1269.1600000000001</v>
          </cell>
        </row>
        <row r="3859">
          <cell r="J3859">
            <v>4173.82</v>
          </cell>
        </row>
        <row r="3880">
          <cell r="J3880">
            <v>3464.01</v>
          </cell>
        </row>
        <row r="3932">
          <cell r="K3932">
            <v>2489.5700000000002</v>
          </cell>
        </row>
        <row r="3950">
          <cell r="K3950">
            <v>2468.8000000000002</v>
          </cell>
        </row>
        <row r="3966">
          <cell r="K3966">
            <v>2433.96</v>
          </cell>
        </row>
        <row r="3983">
          <cell r="K3983">
            <v>2980.71</v>
          </cell>
        </row>
        <row r="3999">
          <cell r="K3999">
            <v>4714.8100000000004</v>
          </cell>
        </row>
        <row r="4015">
          <cell r="K4015">
            <v>4530.8</v>
          </cell>
        </row>
        <row r="4030">
          <cell r="K4030">
            <v>4872.84</v>
          </cell>
        </row>
        <row r="4042">
          <cell r="K4042">
            <v>4763.7</v>
          </cell>
        </row>
      </sheetData>
      <sheetData sheetId="19">
        <row r="602">
          <cell r="F602">
            <v>211</v>
          </cell>
        </row>
      </sheetData>
      <sheetData sheetId="20"/>
      <sheetData sheetId="2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abs"/>
      <sheetName val="Sheet1"/>
      <sheetName val="Sliding and french window"/>
      <sheetName val="Development"/>
      <sheetName val="Development (2)"/>
      <sheetName val="Development (3)"/>
      <sheetName val="Development (4)"/>
      <sheetName val="Abstract"/>
      <sheetName val="G. Abstractfinal"/>
      <sheetName val="Sheet2"/>
      <sheetName val="Sheet4"/>
      <sheetName val="lead  charge"/>
      <sheetName val="Elec.Data"/>
      <sheetName val="Data"/>
      <sheetName val="A.DATA"/>
      <sheetName val="Building (2)"/>
      <sheetName val="M 25 Kotti"/>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68">
          <cell r="D368">
            <v>263.52</v>
          </cell>
        </row>
      </sheetData>
      <sheetData sheetId="13"/>
      <sheetData sheetId="14"/>
      <sheetData sheetId="15"/>
      <sheetData sheetId="16"/>
      <sheetData sheetId="17"/>
      <sheetData sheetId="18"/>
      <sheetData sheetId="19"/>
      <sheetData sheetId="20"/>
      <sheetData sheetId="2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teel formula (4)"/>
      <sheetName val="Dev "/>
      <sheetName val="lead  charge"/>
      <sheetName val="Elec.Data"/>
      <sheetName val="Elec.abs"/>
      <sheetName val="IIB"/>
      <sheetName val="Elec.Data (2)"/>
      <sheetName val="Abstract"/>
      <sheetName val="G. Abstract"/>
      <sheetName val="coding"/>
      <sheetName val="Ann-Q"/>
      <sheetName val="Ann-A"/>
      <sheetName val="Sheet1"/>
      <sheetName val="G.R with R.R SP "/>
      <sheetName val="coding sheet"/>
      <sheetName val="Sentry room SP"/>
      <sheetName val="S.P SP"/>
      <sheetName val="ext.portico SP "/>
      <sheetName val="S.P&amp;Gate Admin Rly"/>
      <sheetName val="V.P Rly Admin"/>
      <sheetName val="Sentry room Rly admin"/>
      <sheetName val="Data"/>
      <sheetName val="new data"/>
      <sheetName val="Sheet6"/>
      <sheetName val="sp abs"/>
      <sheetName val="sp Det"/>
      <sheetName val="admin abs"/>
      <sheetName val="spsp 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93">
          <cell r="B93" t="str">
            <v>Supplying and fixing of 32 amps porecelain fuse unit (500v)</v>
          </cell>
        </row>
        <row r="96">
          <cell r="B96" t="str">
            <v>25 mm dia GI pipe "B"class</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SI  single-Detail F "/>
      <sheetName val="IIB"/>
      <sheetName val="Main Road Approach Drainage Det"/>
      <sheetName val="Main Road Approach Drainage ABS"/>
      <sheetName val="Main Road Approach Drainage Dat"/>
      <sheetName val="Drain Data"/>
      <sheetName val="UG cableDetail"/>
      <sheetName val="UG cable Abtarct"/>
      <sheetName val="UG Cable DATA"/>
      <sheetName val="3 in1 Firemen (UP)"/>
      <sheetName val="3in1 PC-HC (AB)"/>
      <sheetName val="1 SFO Qtrs (UP)"/>
      <sheetName val="1 SFO (AB)"/>
      <sheetName val="Pavar block"/>
      <sheetName val="P.P Wall"/>
      <sheetName val="Periphery wall (2)"/>
      <sheetName val="aluminum window"/>
      <sheetName val="OHT Detail"/>
      <sheetName val="Abstract( Paver block)"/>
      <sheetName val="Abstract( OHT)"/>
      <sheetName val="Abstract( aluminum window) "/>
      <sheetName val="Culvert.."/>
      <sheetName val="Elec.abs"/>
      <sheetName val="Sheet13"/>
      <sheetName val="Coding Sheet"/>
      <sheetName val="Data.."/>
      <sheetName val="Lead"/>
      <sheetName val="Sheet1"/>
      <sheetName val="Sheet2"/>
      <sheetName val="Sheet3"/>
      <sheetName val="alumin data"/>
      <sheetName val="Detailed"/>
      <sheetName val="OH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row r="25">
          <cell r="C25" t="str">
            <v>Fabrication of Mild steel / RTS grills (without cement slurry) for all sizes of rods.</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bstract."/>
      <sheetName val="Detailed"/>
      <sheetName val="Data"/>
      <sheetName val="Print Data"/>
      <sheetName val="Building"/>
      <sheetName val="pile data ( M20 grade)"/>
      <sheetName val="pile data (2)"/>
      <sheetName val="  Coastal  Elec.Data "/>
      <sheetName val="Sheet1"/>
      <sheetName val="duplicate"/>
      <sheetName val="lead  charge"/>
      <sheetName val="Develop"/>
      <sheetName val="Elec.Data"/>
      <sheetName val="Elec.abs"/>
      <sheetName val="Abstract"/>
      <sheetName val="Detaile"/>
      <sheetName val="P.Data"/>
      <sheetName val="Kovil"/>
    </sheetNames>
    <sheetDataSet>
      <sheetData sheetId="0" refreshError="1"/>
      <sheetData sheetId="1" refreshError="1"/>
      <sheetData sheetId="2" refreshError="1"/>
      <sheetData sheetId="3" refreshError="1"/>
      <sheetData sheetId="4" refreshError="1">
        <row r="117">
          <cell r="B117" t="str">
            <v>Brick work in C.M. 1:6  using Kiln Burnt Country bricks of size 22 x 11 x 7 cm ( 8 3/4" x 4 1/4" x 2 3/4")                                                                               a. In Ground Floor</v>
          </cell>
        </row>
        <row r="348">
          <cell r="B348" t="str">
            <v>White washing 3 coats  (slaked)</v>
          </cell>
        </row>
        <row r="557">
          <cell r="B557" t="str">
            <v>b.Plain surfaces such as Roof slab,floorslab,Beams,lintels,lofts,sill slab,staircase,portico slab and other similar works</v>
          </cell>
        </row>
        <row r="626">
          <cell r="B626" t="str">
            <v>Fabrication of Mild steel / RTS grills (without cement slurry) for all sizes of rods.</v>
          </cell>
        </row>
        <row r="680">
          <cell r="B680" t="str">
            <v xml:space="preserve">Two coat of OBD over one coat white cement for inner walls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ile data ( M30 grade) (2)"/>
      <sheetName val="Abstract (21.4.18)"/>
      <sheetName val="UNIT"/>
      <sheetName val="G. Abstract (2)"/>
      <sheetName val="pile data ( M20 grade)"/>
      <sheetName val="  Coastal  Elec.Data "/>
      <sheetName val="lead  charge"/>
      <sheetName val="Elec.abs"/>
      <sheetName val="OHT(A4)"/>
      <sheetName val="paver"/>
      <sheetName val="Culvert"/>
      <sheetName val="Sliding and french window"/>
      <sheetName val="development"/>
      <sheetName val="G. Abstractfinal"/>
      <sheetName val="Data1"/>
      <sheetName val="NEW TENDER FORMAT"/>
      <sheetName val="Data"/>
      <sheetName val="Elec.Data"/>
      <sheetName val="Det"/>
      <sheetName val="Abs"/>
      <sheetName val="Sheet1"/>
      <sheetName val="Data est"/>
      <sheetName val="det -detail"/>
      <sheetName val="Main Building Details"/>
      <sheetName val="Building+Dev (2)"/>
      <sheetName val="PP "/>
      <sheetName val="design of sump"/>
      <sheetName val="Sump det"/>
      <sheetName val="Septic tank"/>
      <sheetName val="Design of septic tank"/>
      <sheetName val="road"/>
      <sheetName val="Building (2)"/>
      <sheetName val="Sullage Drain"/>
      <sheetName val="TW SHED"/>
      <sheetName val="CULVERT (2)"/>
      <sheetName val="Building (3)"/>
      <sheetName val="G.Abstract (2)"/>
      <sheetName val="Building+Dev"/>
      <sheetName val="Main detaile correction"/>
      <sheetName val="External Water Supply "/>
      <sheetName val="External Electric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Rate"/>
      <sheetName val="Bitumen"/>
      <sheetName val="Lead - Road"/>
      <sheetName val="DATA"/>
    </sheetNames>
    <sheetDataSet>
      <sheetData sheetId="0" refreshError="1"/>
      <sheetData sheetId="1" refreshError="1"/>
      <sheetData sheetId="2"/>
      <sheetData sheetId="3"/>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lead  charge"/>
      <sheetName val="IIB"/>
      <sheetName val="Main Road Approach Drainage Det"/>
      <sheetName val="Main Road Approach Drainage ABS"/>
      <sheetName val="Main Road Approach Drainage Dat"/>
      <sheetName val="Drain Data"/>
      <sheetName val="UG cableDetail"/>
      <sheetName val="UG cable Abtarct"/>
      <sheetName val="UG Cable DATA"/>
      <sheetName val="3 in1 Firemen (UP)"/>
      <sheetName val="3in1 PC-HC (AB)"/>
      <sheetName val="Septic Tank"/>
      <sheetName val="C.C Road"/>
      <sheetName val="P.P Wall"/>
      <sheetName val="Periphery wall (2)"/>
      <sheetName val="OHT "/>
      <sheetName val="SL Drain"/>
      <sheetName val="Sump"/>
      <sheetName val="Culvert.."/>
      <sheetName val="Elec.abs"/>
      <sheetName val="Sheet13"/>
      <sheetName val="G.Abstract"/>
      <sheetName val="Up to Basement"/>
      <sheetName val="Above basement"/>
      <sheetName val="OHT"/>
      <sheetName val="S.Tank"/>
      <sheetName val="G. Abstract"/>
      <sheetName val="C.C.Road"/>
      <sheetName val="P.Protection"/>
      <sheetName val="S.Drain"/>
      <sheetName val="Building"/>
      <sheetName val=" ABSTRACT"/>
      <sheetName val="Data.."/>
      <sheetName val="Elec.Data"/>
      <sheetName val="Data"/>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Detailed"/>
      <sheetName val="Abstract"/>
      <sheetName val="Abstract (2)"/>
      <sheetName val="Sheet3"/>
      <sheetName val="Data"/>
    </sheetNames>
    <sheetDataSet>
      <sheetData sheetId="0" refreshError="1"/>
      <sheetData sheetId="1" refreshError="1"/>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sheetPr>
    <tabColor rgb="FFFFFF00"/>
  </sheetPr>
  <dimension ref="A1:IG1605"/>
  <sheetViews>
    <sheetView view="pageBreakPreview" zoomScaleSheetLayoutView="100" workbookViewId="0">
      <selection activeCell="A2" sqref="A2"/>
    </sheetView>
  </sheetViews>
  <sheetFormatPr defaultRowHeight="24.95" customHeight="1"/>
  <cols>
    <col min="1" max="1" width="5.77734375" style="624" customWidth="1"/>
    <col min="2" max="2" width="32.77734375" style="616" customWidth="1"/>
    <col min="3" max="4" width="3.6640625" style="619" customWidth="1"/>
    <col min="5" max="5" width="4.21875" style="619" customWidth="1"/>
    <col min="6" max="9" width="7.6640625" style="582" customWidth="1"/>
    <col min="10" max="10" width="4.88671875" style="620" customWidth="1"/>
    <col min="11" max="12" width="8.88671875" style="570" customWidth="1"/>
    <col min="13" max="13" width="10.77734375" style="570" customWidth="1"/>
    <col min="14" max="16" width="8.88671875" style="570" customWidth="1"/>
    <col min="17" max="17" width="9.109375" style="570" customWidth="1"/>
    <col min="18" max="256" width="8.77734375" style="570"/>
    <col min="257" max="257" width="7.44140625" style="570" customWidth="1"/>
    <col min="258" max="258" width="40.5546875" style="570" customWidth="1"/>
    <col min="259" max="259" width="5.88671875" style="570" customWidth="1"/>
    <col min="260" max="260" width="5.5546875" style="570" customWidth="1"/>
    <col min="261" max="261" width="6.44140625" style="570" customWidth="1"/>
    <col min="262" max="264" width="8.6640625" style="570" customWidth="1"/>
    <col min="265" max="265" width="10.5546875" style="570" customWidth="1"/>
    <col min="266" max="266" width="6.44140625" style="570" customWidth="1"/>
    <col min="267" max="268" width="8.88671875" style="570" customWidth="1"/>
    <col min="269" max="269" width="10.77734375" style="570" customWidth="1"/>
    <col min="270" max="272" width="8.88671875" style="570" customWidth="1"/>
    <col min="273" max="273" width="9.109375" style="570" customWidth="1"/>
    <col min="274" max="512" width="8.77734375" style="570"/>
    <col min="513" max="513" width="7.44140625" style="570" customWidth="1"/>
    <col min="514" max="514" width="40.5546875" style="570" customWidth="1"/>
    <col min="515" max="515" width="5.88671875" style="570" customWidth="1"/>
    <col min="516" max="516" width="5.5546875" style="570" customWidth="1"/>
    <col min="517" max="517" width="6.44140625" style="570" customWidth="1"/>
    <col min="518" max="520" width="8.6640625" style="570" customWidth="1"/>
    <col min="521" max="521" width="10.5546875" style="570" customWidth="1"/>
    <col min="522" max="522" width="6.44140625" style="570" customWidth="1"/>
    <col min="523" max="524" width="8.88671875" style="570" customWidth="1"/>
    <col min="525" max="525" width="10.77734375" style="570" customWidth="1"/>
    <col min="526" max="528" width="8.88671875" style="570" customWidth="1"/>
    <col min="529" max="529" width="9.109375" style="570" customWidth="1"/>
    <col min="530" max="768" width="8.77734375" style="570"/>
    <col min="769" max="769" width="7.44140625" style="570" customWidth="1"/>
    <col min="770" max="770" width="40.5546875" style="570" customWidth="1"/>
    <col min="771" max="771" width="5.88671875" style="570" customWidth="1"/>
    <col min="772" max="772" width="5.5546875" style="570" customWidth="1"/>
    <col min="773" max="773" width="6.44140625" style="570" customWidth="1"/>
    <col min="774" max="776" width="8.6640625" style="570" customWidth="1"/>
    <col min="777" max="777" width="10.5546875" style="570" customWidth="1"/>
    <col min="778" max="778" width="6.44140625" style="570" customWidth="1"/>
    <col min="779" max="780" width="8.88671875" style="570" customWidth="1"/>
    <col min="781" max="781" width="10.77734375" style="570" customWidth="1"/>
    <col min="782" max="784" width="8.88671875" style="570" customWidth="1"/>
    <col min="785" max="785" width="9.109375" style="570" customWidth="1"/>
    <col min="786" max="1024" width="8.77734375" style="570"/>
    <col min="1025" max="1025" width="7.44140625" style="570" customWidth="1"/>
    <col min="1026" max="1026" width="40.5546875" style="570" customWidth="1"/>
    <col min="1027" max="1027" width="5.88671875" style="570" customWidth="1"/>
    <col min="1028" max="1028" width="5.5546875" style="570" customWidth="1"/>
    <col min="1029" max="1029" width="6.44140625" style="570" customWidth="1"/>
    <col min="1030" max="1032" width="8.6640625" style="570" customWidth="1"/>
    <col min="1033" max="1033" width="10.5546875" style="570" customWidth="1"/>
    <col min="1034" max="1034" width="6.44140625" style="570" customWidth="1"/>
    <col min="1035" max="1036" width="8.88671875" style="570" customWidth="1"/>
    <col min="1037" max="1037" width="10.77734375" style="570" customWidth="1"/>
    <col min="1038" max="1040" width="8.88671875" style="570" customWidth="1"/>
    <col min="1041" max="1041" width="9.109375" style="570" customWidth="1"/>
    <col min="1042" max="1280" width="8.77734375" style="570"/>
    <col min="1281" max="1281" width="7.44140625" style="570" customWidth="1"/>
    <col min="1282" max="1282" width="40.5546875" style="570" customWidth="1"/>
    <col min="1283" max="1283" width="5.88671875" style="570" customWidth="1"/>
    <col min="1284" max="1284" width="5.5546875" style="570" customWidth="1"/>
    <col min="1285" max="1285" width="6.44140625" style="570" customWidth="1"/>
    <col min="1286" max="1288" width="8.6640625" style="570" customWidth="1"/>
    <col min="1289" max="1289" width="10.5546875" style="570" customWidth="1"/>
    <col min="1290" max="1290" width="6.44140625" style="570" customWidth="1"/>
    <col min="1291" max="1292" width="8.88671875" style="570" customWidth="1"/>
    <col min="1293" max="1293" width="10.77734375" style="570" customWidth="1"/>
    <col min="1294" max="1296" width="8.88671875" style="570" customWidth="1"/>
    <col min="1297" max="1297" width="9.109375" style="570" customWidth="1"/>
    <col min="1298" max="1536" width="8.77734375" style="570"/>
    <col min="1537" max="1537" width="7.44140625" style="570" customWidth="1"/>
    <col min="1538" max="1538" width="40.5546875" style="570" customWidth="1"/>
    <col min="1539" max="1539" width="5.88671875" style="570" customWidth="1"/>
    <col min="1540" max="1540" width="5.5546875" style="570" customWidth="1"/>
    <col min="1541" max="1541" width="6.44140625" style="570" customWidth="1"/>
    <col min="1542" max="1544" width="8.6640625" style="570" customWidth="1"/>
    <col min="1545" max="1545" width="10.5546875" style="570" customWidth="1"/>
    <col min="1546" max="1546" width="6.44140625" style="570" customWidth="1"/>
    <col min="1547" max="1548" width="8.88671875" style="570" customWidth="1"/>
    <col min="1549" max="1549" width="10.77734375" style="570" customWidth="1"/>
    <col min="1550" max="1552" width="8.88671875" style="570" customWidth="1"/>
    <col min="1553" max="1553" width="9.109375" style="570" customWidth="1"/>
    <col min="1554" max="1792" width="8.77734375" style="570"/>
    <col min="1793" max="1793" width="7.44140625" style="570" customWidth="1"/>
    <col min="1794" max="1794" width="40.5546875" style="570" customWidth="1"/>
    <col min="1795" max="1795" width="5.88671875" style="570" customWidth="1"/>
    <col min="1796" max="1796" width="5.5546875" style="570" customWidth="1"/>
    <col min="1797" max="1797" width="6.44140625" style="570" customWidth="1"/>
    <col min="1798" max="1800" width="8.6640625" style="570" customWidth="1"/>
    <col min="1801" max="1801" width="10.5546875" style="570" customWidth="1"/>
    <col min="1802" max="1802" width="6.44140625" style="570" customWidth="1"/>
    <col min="1803" max="1804" width="8.88671875" style="570" customWidth="1"/>
    <col min="1805" max="1805" width="10.77734375" style="570" customWidth="1"/>
    <col min="1806" max="1808" width="8.88671875" style="570" customWidth="1"/>
    <col min="1809" max="1809" width="9.109375" style="570" customWidth="1"/>
    <col min="1810" max="2048" width="8.77734375" style="570"/>
    <col min="2049" max="2049" width="7.44140625" style="570" customWidth="1"/>
    <col min="2050" max="2050" width="40.5546875" style="570" customWidth="1"/>
    <col min="2051" max="2051" width="5.88671875" style="570" customWidth="1"/>
    <col min="2052" max="2052" width="5.5546875" style="570" customWidth="1"/>
    <col min="2053" max="2053" width="6.44140625" style="570" customWidth="1"/>
    <col min="2054" max="2056" width="8.6640625" style="570" customWidth="1"/>
    <col min="2057" max="2057" width="10.5546875" style="570" customWidth="1"/>
    <col min="2058" max="2058" width="6.44140625" style="570" customWidth="1"/>
    <col min="2059" max="2060" width="8.88671875" style="570" customWidth="1"/>
    <col min="2061" max="2061" width="10.77734375" style="570" customWidth="1"/>
    <col min="2062" max="2064" width="8.88671875" style="570" customWidth="1"/>
    <col min="2065" max="2065" width="9.109375" style="570" customWidth="1"/>
    <col min="2066" max="2304" width="8.77734375" style="570"/>
    <col min="2305" max="2305" width="7.44140625" style="570" customWidth="1"/>
    <col min="2306" max="2306" width="40.5546875" style="570" customWidth="1"/>
    <col min="2307" max="2307" width="5.88671875" style="570" customWidth="1"/>
    <col min="2308" max="2308" width="5.5546875" style="570" customWidth="1"/>
    <col min="2309" max="2309" width="6.44140625" style="570" customWidth="1"/>
    <col min="2310" max="2312" width="8.6640625" style="570" customWidth="1"/>
    <col min="2313" max="2313" width="10.5546875" style="570" customWidth="1"/>
    <col min="2314" max="2314" width="6.44140625" style="570" customWidth="1"/>
    <col min="2315" max="2316" width="8.88671875" style="570" customWidth="1"/>
    <col min="2317" max="2317" width="10.77734375" style="570" customWidth="1"/>
    <col min="2318" max="2320" width="8.88671875" style="570" customWidth="1"/>
    <col min="2321" max="2321" width="9.109375" style="570" customWidth="1"/>
    <col min="2322" max="2560" width="8.77734375" style="570"/>
    <col min="2561" max="2561" width="7.44140625" style="570" customWidth="1"/>
    <col min="2562" max="2562" width="40.5546875" style="570" customWidth="1"/>
    <col min="2563" max="2563" width="5.88671875" style="570" customWidth="1"/>
    <col min="2564" max="2564" width="5.5546875" style="570" customWidth="1"/>
    <col min="2565" max="2565" width="6.44140625" style="570" customWidth="1"/>
    <col min="2566" max="2568" width="8.6640625" style="570" customWidth="1"/>
    <col min="2569" max="2569" width="10.5546875" style="570" customWidth="1"/>
    <col min="2570" max="2570" width="6.44140625" style="570" customWidth="1"/>
    <col min="2571" max="2572" width="8.88671875" style="570" customWidth="1"/>
    <col min="2573" max="2573" width="10.77734375" style="570" customWidth="1"/>
    <col min="2574" max="2576" width="8.88671875" style="570" customWidth="1"/>
    <col min="2577" max="2577" width="9.109375" style="570" customWidth="1"/>
    <col min="2578" max="2816" width="8.77734375" style="570"/>
    <col min="2817" max="2817" width="7.44140625" style="570" customWidth="1"/>
    <col min="2818" max="2818" width="40.5546875" style="570" customWidth="1"/>
    <col min="2819" max="2819" width="5.88671875" style="570" customWidth="1"/>
    <col min="2820" max="2820" width="5.5546875" style="570" customWidth="1"/>
    <col min="2821" max="2821" width="6.44140625" style="570" customWidth="1"/>
    <col min="2822" max="2824" width="8.6640625" style="570" customWidth="1"/>
    <col min="2825" max="2825" width="10.5546875" style="570" customWidth="1"/>
    <col min="2826" max="2826" width="6.44140625" style="570" customWidth="1"/>
    <col min="2827" max="2828" width="8.88671875" style="570" customWidth="1"/>
    <col min="2829" max="2829" width="10.77734375" style="570" customWidth="1"/>
    <col min="2830" max="2832" width="8.88671875" style="570" customWidth="1"/>
    <col min="2833" max="2833" width="9.109375" style="570" customWidth="1"/>
    <col min="2834" max="3072" width="8.77734375" style="570"/>
    <col min="3073" max="3073" width="7.44140625" style="570" customWidth="1"/>
    <col min="3074" max="3074" width="40.5546875" style="570" customWidth="1"/>
    <col min="3075" max="3075" width="5.88671875" style="570" customWidth="1"/>
    <col min="3076" max="3076" width="5.5546875" style="570" customWidth="1"/>
    <col min="3077" max="3077" width="6.44140625" style="570" customWidth="1"/>
    <col min="3078" max="3080" width="8.6640625" style="570" customWidth="1"/>
    <col min="3081" max="3081" width="10.5546875" style="570" customWidth="1"/>
    <col min="3082" max="3082" width="6.44140625" style="570" customWidth="1"/>
    <col min="3083" max="3084" width="8.88671875" style="570" customWidth="1"/>
    <col min="3085" max="3085" width="10.77734375" style="570" customWidth="1"/>
    <col min="3086" max="3088" width="8.88671875" style="570" customWidth="1"/>
    <col min="3089" max="3089" width="9.109375" style="570" customWidth="1"/>
    <col min="3090" max="3328" width="8.77734375" style="570"/>
    <col min="3329" max="3329" width="7.44140625" style="570" customWidth="1"/>
    <col min="3330" max="3330" width="40.5546875" style="570" customWidth="1"/>
    <col min="3331" max="3331" width="5.88671875" style="570" customWidth="1"/>
    <col min="3332" max="3332" width="5.5546875" style="570" customWidth="1"/>
    <col min="3333" max="3333" width="6.44140625" style="570" customWidth="1"/>
    <col min="3334" max="3336" width="8.6640625" style="570" customWidth="1"/>
    <col min="3337" max="3337" width="10.5546875" style="570" customWidth="1"/>
    <col min="3338" max="3338" width="6.44140625" style="570" customWidth="1"/>
    <col min="3339" max="3340" width="8.88671875" style="570" customWidth="1"/>
    <col min="3341" max="3341" width="10.77734375" style="570" customWidth="1"/>
    <col min="3342" max="3344" width="8.88671875" style="570" customWidth="1"/>
    <col min="3345" max="3345" width="9.109375" style="570" customWidth="1"/>
    <col min="3346" max="3584" width="8.77734375" style="570"/>
    <col min="3585" max="3585" width="7.44140625" style="570" customWidth="1"/>
    <col min="3586" max="3586" width="40.5546875" style="570" customWidth="1"/>
    <col min="3587" max="3587" width="5.88671875" style="570" customWidth="1"/>
    <col min="3588" max="3588" width="5.5546875" style="570" customWidth="1"/>
    <col min="3589" max="3589" width="6.44140625" style="570" customWidth="1"/>
    <col min="3590" max="3592" width="8.6640625" style="570" customWidth="1"/>
    <col min="3593" max="3593" width="10.5546875" style="570" customWidth="1"/>
    <col min="3594" max="3594" width="6.44140625" style="570" customWidth="1"/>
    <col min="3595" max="3596" width="8.88671875" style="570" customWidth="1"/>
    <col min="3597" max="3597" width="10.77734375" style="570" customWidth="1"/>
    <col min="3598" max="3600" width="8.88671875" style="570" customWidth="1"/>
    <col min="3601" max="3601" width="9.109375" style="570" customWidth="1"/>
    <col min="3602" max="3840" width="8.77734375" style="570"/>
    <col min="3841" max="3841" width="7.44140625" style="570" customWidth="1"/>
    <col min="3842" max="3842" width="40.5546875" style="570" customWidth="1"/>
    <col min="3843" max="3843" width="5.88671875" style="570" customWidth="1"/>
    <col min="3844" max="3844" width="5.5546875" style="570" customWidth="1"/>
    <col min="3845" max="3845" width="6.44140625" style="570" customWidth="1"/>
    <col min="3846" max="3848" width="8.6640625" style="570" customWidth="1"/>
    <col min="3849" max="3849" width="10.5546875" style="570" customWidth="1"/>
    <col min="3850" max="3850" width="6.44140625" style="570" customWidth="1"/>
    <col min="3851" max="3852" width="8.88671875" style="570" customWidth="1"/>
    <col min="3853" max="3853" width="10.77734375" style="570" customWidth="1"/>
    <col min="3854" max="3856" width="8.88671875" style="570" customWidth="1"/>
    <col min="3857" max="3857" width="9.109375" style="570" customWidth="1"/>
    <col min="3858" max="4096" width="8.77734375" style="570"/>
    <col min="4097" max="4097" width="7.44140625" style="570" customWidth="1"/>
    <col min="4098" max="4098" width="40.5546875" style="570" customWidth="1"/>
    <col min="4099" max="4099" width="5.88671875" style="570" customWidth="1"/>
    <col min="4100" max="4100" width="5.5546875" style="570" customWidth="1"/>
    <col min="4101" max="4101" width="6.44140625" style="570" customWidth="1"/>
    <col min="4102" max="4104" width="8.6640625" style="570" customWidth="1"/>
    <col min="4105" max="4105" width="10.5546875" style="570" customWidth="1"/>
    <col min="4106" max="4106" width="6.44140625" style="570" customWidth="1"/>
    <col min="4107" max="4108" width="8.88671875" style="570" customWidth="1"/>
    <col min="4109" max="4109" width="10.77734375" style="570" customWidth="1"/>
    <col min="4110" max="4112" width="8.88671875" style="570" customWidth="1"/>
    <col min="4113" max="4113" width="9.109375" style="570" customWidth="1"/>
    <col min="4114" max="4352" width="8.77734375" style="570"/>
    <col min="4353" max="4353" width="7.44140625" style="570" customWidth="1"/>
    <col min="4354" max="4354" width="40.5546875" style="570" customWidth="1"/>
    <col min="4355" max="4355" width="5.88671875" style="570" customWidth="1"/>
    <col min="4356" max="4356" width="5.5546875" style="570" customWidth="1"/>
    <col min="4357" max="4357" width="6.44140625" style="570" customWidth="1"/>
    <col min="4358" max="4360" width="8.6640625" style="570" customWidth="1"/>
    <col min="4361" max="4361" width="10.5546875" style="570" customWidth="1"/>
    <col min="4362" max="4362" width="6.44140625" style="570" customWidth="1"/>
    <col min="4363" max="4364" width="8.88671875" style="570" customWidth="1"/>
    <col min="4365" max="4365" width="10.77734375" style="570" customWidth="1"/>
    <col min="4366" max="4368" width="8.88671875" style="570" customWidth="1"/>
    <col min="4369" max="4369" width="9.109375" style="570" customWidth="1"/>
    <col min="4370" max="4608" width="8.77734375" style="570"/>
    <col min="4609" max="4609" width="7.44140625" style="570" customWidth="1"/>
    <col min="4610" max="4610" width="40.5546875" style="570" customWidth="1"/>
    <col min="4611" max="4611" width="5.88671875" style="570" customWidth="1"/>
    <col min="4612" max="4612" width="5.5546875" style="570" customWidth="1"/>
    <col min="4613" max="4613" width="6.44140625" style="570" customWidth="1"/>
    <col min="4614" max="4616" width="8.6640625" style="570" customWidth="1"/>
    <col min="4617" max="4617" width="10.5546875" style="570" customWidth="1"/>
    <col min="4618" max="4618" width="6.44140625" style="570" customWidth="1"/>
    <col min="4619" max="4620" width="8.88671875" style="570" customWidth="1"/>
    <col min="4621" max="4621" width="10.77734375" style="570" customWidth="1"/>
    <col min="4622" max="4624" width="8.88671875" style="570" customWidth="1"/>
    <col min="4625" max="4625" width="9.109375" style="570" customWidth="1"/>
    <col min="4626" max="4864" width="8.77734375" style="570"/>
    <col min="4865" max="4865" width="7.44140625" style="570" customWidth="1"/>
    <col min="4866" max="4866" width="40.5546875" style="570" customWidth="1"/>
    <col min="4867" max="4867" width="5.88671875" style="570" customWidth="1"/>
    <col min="4868" max="4868" width="5.5546875" style="570" customWidth="1"/>
    <col min="4869" max="4869" width="6.44140625" style="570" customWidth="1"/>
    <col min="4870" max="4872" width="8.6640625" style="570" customWidth="1"/>
    <col min="4873" max="4873" width="10.5546875" style="570" customWidth="1"/>
    <col min="4874" max="4874" width="6.44140625" style="570" customWidth="1"/>
    <col min="4875" max="4876" width="8.88671875" style="570" customWidth="1"/>
    <col min="4877" max="4877" width="10.77734375" style="570" customWidth="1"/>
    <col min="4878" max="4880" width="8.88671875" style="570" customWidth="1"/>
    <col min="4881" max="4881" width="9.109375" style="570" customWidth="1"/>
    <col min="4882" max="5120" width="8.77734375" style="570"/>
    <col min="5121" max="5121" width="7.44140625" style="570" customWidth="1"/>
    <col min="5122" max="5122" width="40.5546875" style="570" customWidth="1"/>
    <col min="5123" max="5123" width="5.88671875" style="570" customWidth="1"/>
    <col min="5124" max="5124" width="5.5546875" style="570" customWidth="1"/>
    <col min="5125" max="5125" width="6.44140625" style="570" customWidth="1"/>
    <col min="5126" max="5128" width="8.6640625" style="570" customWidth="1"/>
    <col min="5129" max="5129" width="10.5546875" style="570" customWidth="1"/>
    <col min="5130" max="5130" width="6.44140625" style="570" customWidth="1"/>
    <col min="5131" max="5132" width="8.88671875" style="570" customWidth="1"/>
    <col min="5133" max="5133" width="10.77734375" style="570" customWidth="1"/>
    <col min="5134" max="5136" width="8.88671875" style="570" customWidth="1"/>
    <col min="5137" max="5137" width="9.109375" style="570" customWidth="1"/>
    <col min="5138" max="5376" width="8.77734375" style="570"/>
    <col min="5377" max="5377" width="7.44140625" style="570" customWidth="1"/>
    <col min="5378" max="5378" width="40.5546875" style="570" customWidth="1"/>
    <col min="5379" max="5379" width="5.88671875" style="570" customWidth="1"/>
    <col min="5380" max="5380" width="5.5546875" style="570" customWidth="1"/>
    <col min="5381" max="5381" width="6.44140625" style="570" customWidth="1"/>
    <col min="5382" max="5384" width="8.6640625" style="570" customWidth="1"/>
    <col min="5385" max="5385" width="10.5546875" style="570" customWidth="1"/>
    <col min="5386" max="5386" width="6.44140625" style="570" customWidth="1"/>
    <col min="5387" max="5388" width="8.88671875" style="570" customWidth="1"/>
    <col min="5389" max="5389" width="10.77734375" style="570" customWidth="1"/>
    <col min="5390" max="5392" width="8.88671875" style="570" customWidth="1"/>
    <col min="5393" max="5393" width="9.109375" style="570" customWidth="1"/>
    <col min="5394" max="5632" width="8.77734375" style="570"/>
    <col min="5633" max="5633" width="7.44140625" style="570" customWidth="1"/>
    <col min="5634" max="5634" width="40.5546875" style="570" customWidth="1"/>
    <col min="5635" max="5635" width="5.88671875" style="570" customWidth="1"/>
    <col min="5636" max="5636" width="5.5546875" style="570" customWidth="1"/>
    <col min="5637" max="5637" width="6.44140625" style="570" customWidth="1"/>
    <col min="5638" max="5640" width="8.6640625" style="570" customWidth="1"/>
    <col min="5641" max="5641" width="10.5546875" style="570" customWidth="1"/>
    <col min="5642" max="5642" width="6.44140625" style="570" customWidth="1"/>
    <col min="5643" max="5644" width="8.88671875" style="570" customWidth="1"/>
    <col min="5645" max="5645" width="10.77734375" style="570" customWidth="1"/>
    <col min="5646" max="5648" width="8.88671875" style="570" customWidth="1"/>
    <col min="5649" max="5649" width="9.109375" style="570" customWidth="1"/>
    <col min="5650" max="5888" width="8.77734375" style="570"/>
    <col min="5889" max="5889" width="7.44140625" style="570" customWidth="1"/>
    <col min="5890" max="5890" width="40.5546875" style="570" customWidth="1"/>
    <col min="5891" max="5891" width="5.88671875" style="570" customWidth="1"/>
    <col min="5892" max="5892" width="5.5546875" style="570" customWidth="1"/>
    <col min="5893" max="5893" width="6.44140625" style="570" customWidth="1"/>
    <col min="5894" max="5896" width="8.6640625" style="570" customWidth="1"/>
    <col min="5897" max="5897" width="10.5546875" style="570" customWidth="1"/>
    <col min="5898" max="5898" width="6.44140625" style="570" customWidth="1"/>
    <col min="5899" max="5900" width="8.88671875" style="570" customWidth="1"/>
    <col min="5901" max="5901" width="10.77734375" style="570" customWidth="1"/>
    <col min="5902" max="5904" width="8.88671875" style="570" customWidth="1"/>
    <col min="5905" max="5905" width="9.109375" style="570" customWidth="1"/>
    <col min="5906" max="6144" width="8.77734375" style="570"/>
    <col min="6145" max="6145" width="7.44140625" style="570" customWidth="1"/>
    <col min="6146" max="6146" width="40.5546875" style="570" customWidth="1"/>
    <col min="6147" max="6147" width="5.88671875" style="570" customWidth="1"/>
    <col min="6148" max="6148" width="5.5546875" style="570" customWidth="1"/>
    <col min="6149" max="6149" width="6.44140625" style="570" customWidth="1"/>
    <col min="6150" max="6152" width="8.6640625" style="570" customWidth="1"/>
    <col min="6153" max="6153" width="10.5546875" style="570" customWidth="1"/>
    <col min="6154" max="6154" width="6.44140625" style="570" customWidth="1"/>
    <col min="6155" max="6156" width="8.88671875" style="570" customWidth="1"/>
    <col min="6157" max="6157" width="10.77734375" style="570" customWidth="1"/>
    <col min="6158" max="6160" width="8.88671875" style="570" customWidth="1"/>
    <col min="6161" max="6161" width="9.109375" style="570" customWidth="1"/>
    <col min="6162" max="6400" width="8.77734375" style="570"/>
    <col min="6401" max="6401" width="7.44140625" style="570" customWidth="1"/>
    <col min="6402" max="6402" width="40.5546875" style="570" customWidth="1"/>
    <col min="6403" max="6403" width="5.88671875" style="570" customWidth="1"/>
    <col min="6404" max="6404" width="5.5546875" style="570" customWidth="1"/>
    <col min="6405" max="6405" width="6.44140625" style="570" customWidth="1"/>
    <col min="6406" max="6408" width="8.6640625" style="570" customWidth="1"/>
    <col min="6409" max="6409" width="10.5546875" style="570" customWidth="1"/>
    <col min="6410" max="6410" width="6.44140625" style="570" customWidth="1"/>
    <col min="6411" max="6412" width="8.88671875" style="570" customWidth="1"/>
    <col min="6413" max="6413" width="10.77734375" style="570" customWidth="1"/>
    <col min="6414" max="6416" width="8.88671875" style="570" customWidth="1"/>
    <col min="6417" max="6417" width="9.109375" style="570" customWidth="1"/>
    <col min="6418" max="6656" width="8.77734375" style="570"/>
    <col min="6657" max="6657" width="7.44140625" style="570" customWidth="1"/>
    <col min="6658" max="6658" width="40.5546875" style="570" customWidth="1"/>
    <col min="6659" max="6659" width="5.88671875" style="570" customWidth="1"/>
    <col min="6660" max="6660" width="5.5546875" style="570" customWidth="1"/>
    <col min="6661" max="6661" width="6.44140625" style="570" customWidth="1"/>
    <col min="6662" max="6664" width="8.6640625" style="570" customWidth="1"/>
    <col min="6665" max="6665" width="10.5546875" style="570" customWidth="1"/>
    <col min="6666" max="6666" width="6.44140625" style="570" customWidth="1"/>
    <col min="6667" max="6668" width="8.88671875" style="570" customWidth="1"/>
    <col min="6669" max="6669" width="10.77734375" style="570" customWidth="1"/>
    <col min="6670" max="6672" width="8.88671875" style="570" customWidth="1"/>
    <col min="6673" max="6673" width="9.109375" style="570" customWidth="1"/>
    <col min="6674" max="6912" width="8.77734375" style="570"/>
    <col min="6913" max="6913" width="7.44140625" style="570" customWidth="1"/>
    <col min="6914" max="6914" width="40.5546875" style="570" customWidth="1"/>
    <col min="6915" max="6915" width="5.88671875" style="570" customWidth="1"/>
    <col min="6916" max="6916" width="5.5546875" style="570" customWidth="1"/>
    <col min="6917" max="6917" width="6.44140625" style="570" customWidth="1"/>
    <col min="6918" max="6920" width="8.6640625" style="570" customWidth="1"/>
    <col min="6921" max="6921" width="10.5546875" style="570" customWidth="1"/>
    <col min="6922" max="6922" width="6.44140625" style="570" customWidth="1"/>
    <col min="6923" max="6924" width="8.88671875" style="570" customWidth="1"/>
    <col min="6925" max="6925" width="10.77734375" style="570" customWidth="1"/>
    <col min="6926" max="6928" width="8.88671875" style="570" customWidth="1"/>
    <col min="6929" max="6929" width="9.109375" style="570" customWidth="1"/>
    <col min="6930" max="7168" width="8.77734375" style="570"/>
    <col min="7169" max="7169" width="7.44140625" style="570" customWidth="1"/>
    <col min="7170" max="7170" width="40.5546875" style="570" customWidth="1"/>
    <col min="7171" max="7171" width="5.88671875" style="570" customWidth="1"/>
    <col min="7172" max="7172" width="5.5546875" style="570" customWidth="1"/>
    <col min="7173" max="7173" width="6.44140625" style="570" customWidth="1"/>
    <col min="7174" max="7176" width="8.6640625" style="570" customWidth="1"/>
    <col min="7177" max="7177" width="10.5546875" style="570" customWidth="1"/>
    <col min="7178" max="7178" width="6.44140625" style="570" customWidth="1"/>
    <col min="7179" max="7180" width="8.88671875" style="570" customWidth="1"/>
    <col min="7181" max="7181" width="10.77734375" style="570" customWidth="1"/>
    <col min="7182" max="7184" width="8.88671875" style="570" customWidth="1"/>
    <col min="7185" max="7185" width="9.109375" style="570" customWidth="1"/>
    <col min="7186" max="7424" width="8.77734375" style="570"/>
    <col min="7425" max="7425" width="7.44140625" style="570" customWidth="1"/>
    <col min="7426" max="7426" width="40.5546875" style="570" customWidth="1"/>
    <col min="7427" max="7427" width="5.88671875" style="570" customWidth="1"/>
    <col min="7428" max="7428" width="5.5546875" style="570" customWidth="1"/>
    <col min="7429" max="7429" width="6.44140625" style="570" customWidth="1"/>
    <col min="7430" max="7432" width="8.6640625" style="570" customWidth="1"/>
    <col min="7433" max="7433" width="10.5546875" style="570" customWidth="1"/>
    <col min="7434" max="7434" width="6.44140625" style="570" customWidth="1"/>
    <col min="7435" max="7436" width="8.88671875" style="570" customWidth="1"/>
    <col min="7437" max="7437" width="10.77734375" style="570" customWidth="1"/>
    <col min="7438" max="7440" width="8.88671875" style="570" customWidth="1"/>
    <col min="7441" max="7441" width="9.109375" style="570" customWidth="1"/>
    <col min="7442" max="7680" width="8.77734375" style="570"/>
    <col min="7681" max="7681" width="7.44140625" style="570" customWidth="1"/>
    <col min="7682" max="7682" width="40.5546875" style="570" customWidth="1"/>
    <col min="7683" max="7683" width="5.88671875" style="570" customWidth="1"/>
    <col min="7684" max="7684" width="5.5546875" style="570" customWidth="1"/>
    <col min="7685" max="7685" width="6.44140625" style="570" customWidth="1"/>
    <col min="7686" max="7688" width="8.6640625" style="570" customWidth="1"/>
    <col min="7689" max="7689" width="10.5546875" style="570" customWidth="1"/>
    <col min="7690" max="7690" width="6.44140625" style="570" customWidth="1"/>
    <col min="7691" max="7692" width="8.88671875" style="570" customWidth="1"/>
    <col min="7693" max="7693" width="10.77734375" style="570" customWidth="1"/>
    <col min="7694" max="7696" width="8.88671875" style="570" customWidth="1"/>
    <col min="7697" max="7697" width="9.109375" style="570" customWidth="1"/>
    <col min="7698" max="7936" width="8.77734375" style="570"/>
    <col min="7937" max="7937" width="7.44140625" style="570" customWidth="1"/>
    <col min="7938" max="7938" width="40.5546875" style="570" customWidth="1"/>
    <col min="7939" max="7939" width="5.88671875" style="570" customWidth="1"/>
    <col min="7940" max="7940" width="5.5546875" style="570" customWidth="1"/>
    <col min="7941" max="7941" width="6.44140625" style="570" customWidth="1"/>
    <col min="7942" max="7944" width="8.6640625" style="570" customWidth="1"/>
    <col min="7945" max="7945" width="10.5546875" style="570" customWidth="1"/>
    <col min="7946" max="7946" width="6.44140625" style="570" customWidth="1"/>
    <col min="7947" max="7948" width="8.88671875" style="570" customWidth="1"/>
    <col min="7949" max="7949" width="10.77734375" style="570" customWidth="1"/>
    <col min="7950" max="7952" width="8.88671875" style="570" customWidth="1"/>
    <col min="7953" max="7953" width="9.109375" style="570" customWidth="1"/>
    <col min="7954" max="8192" width="8.77734375" style="570"/>
    <col min="8193" max="8193" width="7.44140625" style="570" customWidth="1"/>
    <col min="8194" max="8194" width="40.5546875" style="570" customWidth="1"/>
    <col min="8195" max="8195" width="5.88671875" style="570" customWidth="1"/>
    <col min="8196" max="8196" width="5.5546875" style="570" customWidth="1"/>
    <col min="8197" max="8197" width="6.44140625" style="570" customWidth="1"/>
    <col min="8198" max="8200" width="8.6640625" style="570" customWidth="1"/>
    <col min="8201" max="8201" width="10.5546875" style="570" customWidth="1"/>
    <col min="8202" max="8202" width="6.44140625" style="570" customWidth="1"/>
    <col min="8203" max="8204" width="8.88671875" style="570" customWidth="1"/>
    <col min="8205" max="8205" width="10.77734375" style="570" customWidth="1"/>
    <col min="8206" max="8208" width="8.88671875" style="570" customWidth="1"/>
    <col min="8209" max="8209" width="9.109375" style="570" customWidth="1"/>
    <col min="8210" max="8448" width="8.77734375" style="570"/>
    <col min="8449" max="8449" width="7.44140625" style="570" customWidth="1"/>
    <col min="8450" max="8450" width="40.5546875" style="570" customWidth="1"/>
    <col min="8451" max="8451" width="5.88671875" style="570" customWidth="1"/>
    <col min="8452" max="8452" width="5.5546875" style="570" customWidth="1"/>
    <col min="8453" max="8453" width="6.44140625" style="570" customWidth="1"/>
    <col min="8454" max="8456" width="8.6640625" style="570" customWidth="1"/>
    <col min="8457" max="8457" width="10.5546875" style="570" customWidth="1"/>
    <col min="8458" max="8458" width="6.44140625" style="570" customWidth="1"/>
    <col min="8459" max="8460" width="8.88671875" style="570" customWidth="1"/>
    <col min="8461" max="8461" width="10.77734375" style="570" customWidth="1"/>
    <col min="8462" max="8464" width="8.88671875" style="570" customWidth="1"/>
    <col min="8465" max="8465" width="9.109375" style="570" customWidth="1"/>
    <col min="8466" max="8704" width="8.77734375" style="570"/>
    <col min="8705" max="8705" width="7.44140625" style="570" customWidth="1"/>
    <col min="8706" max="8706" width="40.5546875" style="570" customWidth="1"/>
    <col min="8707" max="8707" width="5.88671875" style="570" customWidth="1"/>
    <col min="8708" max="8708" width="5.5546875" style="570" customWidth="1"/>
    <col min="8709" max="8709" width="6.44140625" style="570" customWidth="1"/>
    <col min="8710" max="8712" width="8.6640625" style="570" customWidth="1"/>
    <col min="8713" max="8713" width="10.5546875" style="570" customWidth="1"/>
    <col min="8714" max="8714" width="6.44140625" style="570" customWidth="1"/>
    <col min="8715" max="8716" width="8.88671875" style="570" customWidth="1"/>
    <col min="8717" max="8717" width="10.77734375" style="570" customWidth="1"/>
    <col min="8718" max="8720" width="8.88671875" style="570" customWidth="1"/>
    <col min="8721" max="8721" width="9.109375" style="570" customWidth="1"/>
    <col min="8722" max="8960" width="8.77734375" style="570"/>
    <col min="8961" max="8961" width="7.44140625" style="570" customWidth="1"/>
    <col min="8962" max="8962" width="40.5546875" style="570" customWidth="1"/>
    <col min="8963" max="8963" width="5.88671875" style="570" customWidth="1"/>
    <col min="8964" max="8964" width="5.5546875" style="570" customWidth="1"/>
    <col min="8965" max="8965" width="6.44140625" style="570" customWidth="1"/>
    <col min="8966" max="8968" width="8.6640625" style="570" customWidth="1"/>
    <col min="8969" max="8969" width="10.5546875" style="570" customWidth="1"/>
    <col min="8970" max="8970" width="6.44140625" style="570" customWidth="1"/>
    <col min="8971" max="8972" width="8.88671875" style="570" customWidth="1"/>
    <col min="8973" max="8973" width="10.77734375" style="570" customWidth="1"/>
    <col min="8974" max="8976" width="8.88671875" style="570" customWidth="1"/>
    <col min="8977" max="8977" width="9.109375" style="570" customWidth="1"/>
    <col min="8978" max="9216" width="8.77734375" style="570"/>
    <col min="9217" max="9217" width="7.44140625" style="570" customWidth="1"/>
    <col min="9218" max="9218" width="40.5546875" style="570" customWidth="1"/>
    <col min="9219" max="9219" width="5.88671875" style="570" customWidth="1"/>
    <col min="9220" max="9220" width="5.5546875" style="570" customWidth="1"/>
    <col min="9221" max="9221" width="6.44140625" style="570" customWidth="1"/>
    <col min="9222" max="9224" width="8.6640625" style="570" customWidth="1"/>
    <col min="9225" max="9225" width="10.5546875" style="570" customWidth="1"/>
    <col min="9226" max="9226" width="6.44140625" style="570" customWidth="1"/>
    <col min="9227" max="9228" width="8.88671875" style="570" customWidth="1"/>
    <col min="9229" max="9229" width="10.77734375" style="570" customWidth="1"/>
    <col min="9230" max="9232" width="8.88671875" style="570" customWidth="1"/>
    <col min="9233" max="9233" width="9.109375" style="570" customWidth="1"/>
    <col min="9234" max="9472" width="8.77734375" style="570"/>
    <col min="9473" max="9473" width="7.44140625" style="570" customWidth="1"/>
    <col min="9474" max="9474" width="40.5546875" style="570" customWidth="1"/>
    <col min="9475" max="9475" width="5.88671875" style="570" customWidth="1"/>
    <col min="9476" max="9476" width="5.5546875" style="570" customWidth="1"/>
    <col min="9477" max="9477" width="6.44140625" style="570" customWidth="1"/>
    <col min="9478" max="9480" width="8.6640625" style="570" customWidth="1"/>
    <col min="9481" max="9481" width="10.5546875" style="570" customWidth="1"/>
    <col min="9482" max="9482" width="6.44140625" style="570" customWidth="1"/>
    <col min="9483" max="9484" width="8.88671875" style="570" customWidth="1"/>
    <col min="9485" max="9485" width="10.77734375" style="570" customWidth="1"/>
    <col min="9486" max="9488" width="8.88671875" style="570" customWidth="1"/>
    <col min="9489" max="9489" width="9.109375" style="570" customWidth="1"/>
    <col min="9490" max="9728" width="8.77734375" style="570"/>
    <col min="9729" max="9729" width="7.44140625" style="570" customWidth="1"/>
    <col min="9730" max="9730" width="40.5546875" style="570" customWidth="1"/>
    <col min="9731" max="9731" width="5.88671875" style="570" customWidth="1"/>
    <col min="9732" max="9732" width="5.5546875" style="570" customWidth="1"/>
    <col min="9733" max="9733" width="6.44140625" style="570" customWidth="1"/>
    <col min="9734" max="9736" width="8.6640625" style="570" customWidth="1"/>
    <col min="9737" max="9737" width="10.5546875" style="570" customWidth="1"/>
    <col min="9738" max="9738" width="6.44140625" style="570" customWidth="1"/>
    <col min="9739" max="9740" width="8.88671875" style="570" customWidth="1"/>
    <col min="9741" max="9741" width="10.77734375" style="570" customWidth="1"/>
    <col min="9742" max="9744" width="8.88671875" style="570" customWidth="1"/>
    <col min="9745" max="9745" width="9.109375" style="570" customWidth="1"/>
    <col min="9746" max="9984" width="8.77734375" style="570"/>
    <col min="9985" max="9985" width="7.44140625" style="570" customWidth="1"/>
    <col min="9986" max="9986" width="40.5546875" style="570" customWidth="1"/>
    <col min="9987" max="9987" width="5.88671875" style="570" customWidth="1"/>
    <col min="9988" max="9988" width="5.5546875" style="570" customWidth="1"/>
    <col min="9989" max="9989" width="6.44140625" style="570" customWidth="1"/>
    <col min="9990" max="9992" width="8.6640625" style="570" customWidth="1"/>
    <col min="9993" max="9993" width="10.5546875" style="570" customWidth="1"/>
    <col min="9994" max="9994" width="6.44140625" style="570" customWidth="1"/>
    <col min="9995" max="9996" width="8.88671875" style="570" customWidth="1"/>
    <col min="9997" max="9997" width="10.77734375" style="570" customWidth="1"/>
    <col min="9998" max="10000" width="8.88671875" style="570" customWidth="1"/>
    <col min="10001" max="10001" width="9.109375" style="570" customWidth="1"/>
    <col min="10002" max="10240" width="8.77734375" style="570"/>
    <col min="10241" max="10241" width="7.44140625" style="570" customWidth="1"/>
    <col min="10242" max="10242" width="40.5546875" style="570" customWidth="1"/>
    <col min="10243" max="10243" width="5.88671875" style="570" customWidth="1"/>
    <col min="10244" max="10244" width="5.5546875" style="570" customWidth="1"/>
    <col min="10245" max="10245" width="6.44140625" style="570" customWidth="1"/>
    <col min="10246" max="10248" width="8.6640625" style="570" customWidth="1"/>
    <col min="10249" max="10249" width="10.5546875" style="570" customWidth="1"/>
    <col min="10250" max="10250" width="6.44140625" style="570" customWidth="1"/>
    <col min="10251" max="10252" width="8.88671875" style="570" customWidth="1"/>
    <col min="10253" max="10253" width="10.77734375" style="570" customWidth="1"/>
    <col min="10254" max="10256" width="8.88671875" style="570" customWidth="1"/>
    <col min="10257" max="10257" width="9.109375" style="570" customWidth="1"/>
    <col min="10258" max="10496" width="8.77734375" style="570"/>
    <col min="10497" max="10497" width="7.44140625" style="570" customWidth="1"/>
    <col min="10498" max="10498" width="40.5546875" style="570" customWidth="1"/>
    <col min="10499" max="10499" width="5.88671875" style="570" customWidth="1"/>
    <col min="10500" max="10500" width="5.5546875" style="570" customWidth="1"/>
    <col min="10501" max="10501" width="6.44140625" style="570" customWidth="1"/>
    <col min="10502" max="10504" width="8.6640625" style="570" customWidth="1"/>
    <col min="10505" max="10505" width="10.5546875" style="570" customWidth="1"/>
    <col min="10506" max="10506" width="6.44140625" style="570" customWidth="1"/>
    <col min="10507" max="10508" width="8.88671875" style="570" customWidth="1"/>
    <col min="10509" max="10509" width="10.77734375" style="570" customWidth="1"/>
    <col min="10510" max="10512" width="8.88671875" style="570" customWidth="1"/>
    <col min="10513" max="10513" width="9.109375" style="570" customWidth="1"/>
    <col min="10514" max="10752" width="8.77734375" style="570"/>
    <col min="10753" max="10753" width="7.44140625" style="570" customWidth="1"/>
    <col min="10754" max="10754" width="40.5546875" style="570" customWidth="1"/>
    <col min="10755" max="10755" width="5.88671875" style="570" customWidth="1"/>
    <col min="10756" max="10756" width="5.5546875" style="570" customWidth="1"/>
    <col min="10757" max="10757" width="6.44140625" style="570" customWidth="1"/>
    <col min="10758" max="10760" width="8.6640625" style="570" customWidth="1"/>
    <col min="10761" max="10761" width="10.5546875" style="570" customWidth="1"/>
    <col min="10762" max="10762" width="6.44140625" style="570" customWidth="1"/>
    <col min="10763" max="10764" width="8.88671875" style="570" customWidth="1"/>
    <col min="10765" max="10765" width="10.77734375" style="570" customWidth="1"/>
    <col min="10766" max="10768" width="8.88671875" style="570" customWidth="1"/>
    <col min="10769" max="10769" width="9.109375" style="570" customWidth="1"/>
    <col min="10770" max="11008" width="8.77734375" style="570"/>
    <col min="11009" max="11009" width="7.44140625" style="570" customWidth="1"/>
    <col min="11010" max="11010" width="40.5546875" style="570" customWidth="1"/>
    <col min="11011" max="11011" width="5.88671875" style="570" customWidth="1"/>
    <col min="11012" max="11012" width="5.5546875" style="570" customWidth="1"/>
    <col min="11013" max="11013" width="6.44140625" style="570" customWidth="1"/>
    <col min="11014" max="11016" width="8.6640625" style="570" customWidth="1"/>
    <col min="11017" max="11017" width="10.5546875" style="570" customWidth="1"/>
    <col min="11018" max="11018" width="6.44140625" style="570" customWidth="1"/>
    <col min="11019" max="11020" width="8.88671875" style="570" customWidth="1"/>
    <col min="11021" max="11021" width="10.77734375" style="570" customWidth="1"/>
    <col min="11022" max="11024" width="8.88671875" style="570" customWidth="1"/>
    <col min="11025" max="11025" width="9.109375" style="570" customWidth="1"/>
    <col min="11026" max="11264" width="8.77734375" style="570"/>
    <col min="11265" max="11265" width="7.44140625" style="570" customWidth="1"/>
    <col min="11266" max="11266" width="40.5546875" style="570" customWidth="1"/>
    <col min="11267" max="11267" width="5.88671875" style="570" customWidth="1"/>
    <col min="11268" max="11268" width="5.5546875" style="570" customWidth="1"/>
    <col min="11269" max="11269" width="6.44140625" style="570" customWidth="1"/>
    <col min="11270" max="11272" width="8.6640625" style="570" customWidth="1"/>
    <col min="11273" max="11273" width="10.5546875" style="570" customWidth="1"/>
    <col min="11274" max="11274" width="6.44140625" style="570" customWidth="1"/>
    <col min="11275" max="11276" width="8.88671875" style="570" customWidth="1"/>
    <col min="11277" max="11277" width="10.77734375" style="570" customWidth="1"/>
    <col min="11278" max="11280" width="8.88671875" style="570" customWidth="1"/>
    <col min="11281" max="11281" width="9.109375" style="570" customWidth="1"/>
    <col min="11282" max="11520" width="8.77734375" style="570"/>
    <col min="11521" max="11521" width="7.44140625" style="570" customWidth="1"/>
    <col min="11522" max="11522" width="40.5546875" style="570" customWidth="1"/>
    <col min="11523" max="11523" width="5.88671875" style="570" customWidth="1"/>
    <col min="11524" max="11524" width="5.5546875" style="570" customWidth="1"/>
    <col min="11525" max="11525" width="6.44140625" style="570" customWidth="1"/>
    <col min="11526" max="11528" width="8.6640625" style="570" customWidth="1"/>
    <col min="11529" max="11529" width="10.5546875" style="570" customWidth="1"/>
    <col min="11530" max="11530" width="6.44140625" style="570" customWidth="1"/>
    <col min="11531" max="11532" width="8.88671875" style="570" customWidth="1"/>
    <col min="11533" max="11533" width="10.77734375" style="570" customWidth="1"/>
    <col min="11534" max="11536" width="8.88671875" style="570" customWidth="1"/>
    <col min="11537" max="11537" width="9.109375" style="570" customWidth="1"/>
    <col min="11538" max="11776" width="8.77734375" style="570"/>
    <col min="11777" max="11777" width="7.44140625" style="570" customWidth="1"/>
    <col min="11778" max="11778" width="40.5546875" style="570" customWidth="1"/>
    <col min="11779" max="11779" width="5.88671875" style="570" customWidth="1"/>
    <col min="11780" max="11780" width="5.5546875" style="570" customWidth="1"/>
    <col min="11781" max="11781" width="6.44140625" style="570" customWidth="1"/>
    <col min="11782" max="11784" width="8.6640625" style="570" customWidth="1"/>
    <col min="11785" max="11785" width="10.5546875" style="570" customWidth="1"/>
    <col min="11786" max="11786" width="6.44140625" style="570" customWidth="1"/>
    <col min="11787" max="11788" width="8.88671875" style="570" customWidth="1"/>
    <col min="11789" max="11789" width="10.77734375" style="570" customWidth="1"/>
    <col min="11790" max="11792" width="8.88671875" style="570" customWidth="1"/>
    <col min="11793" max="11793" width="9.109375" style="570" customWidth="1"/>
    <col min="11794" max="12032" width="8.77734375" style="570"/>
    <col min="12033" max="12033" width="7.44140625" style="570" customWidth="1"/>
    <col min="12034" max="12034" width="40.5546875" style="570" customWidth="1"/>
    <col min="12035" max="12035" width="5.88671875" style="570" customWidth="1"/>
    <col min="12036" max="12036" width="5.5546875" style="570" customWidth="1"/>
    <col min="12037" max="12037" width="6.44140625" style="570" customWidth="1"/>
    <col min="12038" max="12040" width="8.6640625" style="570" customWidth="1"/>
    <col min="12041" max="12041" width="10.5546875" style="570" customWidth="1"/>
    <col min="12042" max="12042" width="6.44140625" style="570" customWidth="1"/>
    <col min="12043" max="12044" width="8.88671875" style="570" customWidth="1"/>
    <col min="12045" max="12045" width="10.77734375" style="570" customWidth="1"/>
    <col min="12046" max="12048" width="8.88671875" style="570" customWidth="1"/>
    <col min="12049" max="12049" width="9.109375" style="570" customWidth="1"/>
    <col min="12050" max="12288" width="8.77734375" style="570"/>
    <col min="12289" max="12289" width="7.44140625" style="570" customWidth="1"/>
    <col min="12290" max="12290" width="40.5546875" style="570" customWidth="1"/>
    <col min="12291" max="12291" width="5.88671875" style="570" customWidth="1"/>
    <col min="12292" max="12292" width="5.5546875" style="570" customWidth="1"/>
    <col min="12293" max="12293" width="6.44140625" style="570" customWidth="1"/>
    <col min="12294" max="12296" width="8.6640625" style="570" customWidth="1"/>
    <col min="12297" max="12297" width="10.5546875" style="570" customWidth="1"/>
    <col min="12298" max="12298" width="6.44140625" style="570" customWidth="1"/>
    <col min="12299" max="12300" width="8.88671875" style="570" customWidth="1"/>
    <col min="12301" max="12301" width="10.77734375" style="570" customWidth="1"/>
    <col min="12302" max="12304" width="8.88671875" style="570" customWidth="1"/>
    <col min="12305" max="12305" width="9.109375" style="570" customWidth="1"/>
    <col min="12306" max="12544" width="8.77734375" style="570"/>
    <col min="12545" max="12545" width="7.44140625" style="570" customWidth="1"/>
    <col min="12546" max="12546" width="40.5546875" style="570" customWidth="1"/>
    <col min="12547" max="12547" width="5.88671875" style="570" customWidth="1"/>
    <col min="12548" max="12548" width="5.5546875" style="570" customWidth="1"/>
    <col min="12549" max="12549" width="6.44140625" style="570" customWidth="1"/>
    <col min="12550" max="12552" width="8.6640625" style="570" customWidth="1"/>
    <col min="12553" max="12553" width="10.5546875" style="570" customWidth="1"/>
    <col min="12554" max="12554" width="6.44140625" style="570" customWidth="1"/>
    <col min="12555" max="12556" width="8.88671875" style="570" customWidth="1"/>
    <col min="12557" max="12557" width="10.77734375" style="570" customWidth="1"/>
    <col min="12558" max="12560" width="8.88671875" style="570" customWidth="1"/>
    <col min="12561" max="12561" width="9.109375" style="570" customWidth="1"/>
    <col min="12562" max="12800" width="8.77734375" style="570"/>
    <col min="12801" max="12801" width="7.44140625" style="570" customWidth="1"/>
    <col min="12802" max="12802" width="40.5546875" style="570" customWidth="1"/>
    <col min="12803" max="12803" width="5.88671875" style="570" customWidth="1"/>
    <col min="12804" max="12804" width="5.5546875" style="570" customWidth="1"/>
    <col min="12805" max="12805" width="6.44140625" style="570" customWidth="1"/>
    <col min="12806" max="12808" width="8.6640625" style="570" customWidth="1"/>
    <col min="12809" max="12809" width="10.5546875" style="570" customWidth="1"/>
    <col min="12810" max="12810" width="6.44140625" style="570" customWidth="1"/>
    <col min="12811" max="12812" width="8.88671875" style="570" customWidth="1"/>
    <col min="12813" max="12813" width="10.77734375" style="570" customWidth="1"/>
    <col min="12814" max="12816" width="8.88671875" style="570" customWidth="1"/>
    <col min="12817" max="12817" width="9.109375" style="570" customWidth="1"/>
    <col min="12818" max="13056" width="8.77734375" style="570"/>
    <col min="13057" max="13057" width="7.44140625" style="570" customWidth="1"/>
    <col min="13058" max="13058" width="40.5546875" style="570" customWidth="1"/>
    <col min="13059" max="13059" width="5.88671875" style="570" customWidth="1"/>
    <col min="13060" max="13060" width="5.5546875" style="570" customWidth="1"/>
    <col min="13061" max="13061" width="6.44140625" style="570" customWidth="1"/>
    <col min="13062" max="13064" width="8.6640625" style="570" customWidth="1"/>
    <col min="13065" max="13065" width="10.5546875" style="570" customWidth="1"/>
    <col min="13066" max="13066" width="6.44140625" style="570" customWidth="1"/>
    <col min="13067" max="13068" width="8.88671875" style="570" customWidth="1"/>
    <col min="13069" max="13069" width="10.77734375" style="570" customWidth="1"/>
    <col min="13070" max="13072" width="8.88671875" style="570" customWidth="1"/>
    <col min="13073" max="13073" width="9.109375" style="570" customWidth="1"/>
    <col min="13074" max="13312" width="8.77734375" style="570"/>
    <col min="13313" max="13313" width="7.44140625" style="570" customWidth="1"/>
    <col min="13314" max="13314" width="40.5546875" style="570" customWidth="1"/>
    <col min="13315" max="13315" width="5.88671875" style="570" customWidth="1"/>
    <col min="13316" max="13316" width="5.5546875" style="570" customWidth="1"/>
    <col min="13317" max="13317" width="6.44140625" style="570" customWidth="1"/>
    <col min="13318" max="13320" width="8.6640625" style="570" customWidth="1"/>
    <col min="13321" max="13321" width="10.5546875" style="570" customWidth="1"/>
    <col min="13322" max="13322" width="6.44140625" style="570" customWidth="1"/>
    <col min="13323" max="13324" width="8.88671875" style="570" customWidth="1"/>
    <col min="13325" max="13325" width="10.77734375" style="570" customWidth="1"/>
    <col min="13326" max="13328" width="8.88671875" style="570" customWidth="1"/>
    <col min="13329" max="13329" width="9.109375" style="570" customWidth="1"/>
    <col min="13330" max="13568" width="8.77734375" style="570"/>
    <col min="13569" max="13569" width="7.44140625" style="570" customWidth="1"/>
    <col min="13570" max="13570" width="40.5546875" style="570" customWidth="1"/>
    <col min="13571" max="13571" width="5.88671875" style="570" customWidth="1"/>
    <col min="13572" max="13572" width="5.5546875" style="570" customWidth="1"/>
    <col min="13573" max="13573" width="6.44140625" style="570" customWidth="1"/>
    <col min="13574" max="13576" width="8.6640625" style="570" customWidth="1"/>
    <col min="13577" max="13577" width="10.5546875" style="570" customWidth="1"/>
    <col min="13578" max="13578" width="6.44140625" style="570" customWidth="1"/>
    <col min="13579" max="13580" width="8.88671875" style="570" customWidth="1"/>
    <col min="13581" max="13581" width="10.77734375" style="570" customWidth="1"/>
    <col min="13582" max="13584" width="8.88671875" style="570" customWidth="1"/>
    <col min="13585" max="13585" width="9.109375" style="570" customWidth="1"/>
    <col min="13586" max="13824" width="8.77734375" style="570"/>
    <col min="13825" max="13825" width="7.44140625" style="570" customWidth="1"/>
    <col min="13826" max="13826" width="40.5546875" style="570" customWidth="1"/>
    <col min="13827" max="13827" width="5.88671875" style="570" customWidth="1"/>
    <col min="13828" max="13828" width="5.5546875" style="570" customWidth="1"/>
    <col min="13829" max="13829" width="6.44140625" style="570" customWidth="1"/>
    <col min="13830" max="13832" width="8.6640625" style="570" customWidth="1"/>
    <col min="13833" max="13833" width="10.5546875" style="570" customWidth="1"/>
    <col min="13834" max="13834" width="6.44140625" style="570" customWidth="1"/>
    <col min="13835" max="13836" width="8.88671875" style="570" customWidth="1"/>
    <col min="13837" max="13837" width="10.77734375" style="570" customWidth="1"/>
    <col min="13838" max="13840" width="8.88671875" style="570" customWidth="1"/>
    <col min="13841" max="13841" width="9.109375" style="570" customWidth="1"/>
    <col min="13842" max="14080" width="8.77734375" style="570"/>
    <col min="14081" max="14081" width="7.44140625" style="570" customWidth="1"/>
    <col min="14082" max="14082" width="40.5546875" style="570" customWidth="1"/>
    <col min="14083" max="14083" width="5.88671875" style="570" customWidth="1"/>
    <col min="14084" max="14084" width="5.5546875" style="570" customWidth="1"/>
    <col min="14085" max="14085" width="6.44140625" style="570" customWidth="1"/>
    <col min="14086" max="14088" width="8.6640625" style="570" customWidth="1"/>
    <col min="14089" max="14089" width="10.5546875" style="570" customWidth="1"/>
    <col min="14090" max="14090" width="6.44140625" style="570" customWidth="1"/>
    <col min="14091" max="14092" width="8.88671875" style="570" customWidth="1"/>
    <col min="14093" max="14093" width="10.77734375" style="570" customWidth="1"/>
    <col min="14094" max="14096" width="8.88671875" style="570" customWidth="1"/>
    <col min="14097" max="14097" width="9.109375" style="570" customWidth="1"/>
    <col min="14098" max="14336" width="8.77734375" style="570"/>
    <col min="14337" max="14337" width="7.44140625" style="570" customWidth="1"/>
    <col min="14338" max="14338" width="40.5546875" style="570" customWidth="1"/>
    <col min="14339" max="14339" width="5.88671875" style="570" customWidth="1"/>
    <col min="14340" max="14340" width="5.5546875" style="570" customWidth="1"/>
    <col min="14341" max="14341" width="6.44140625" style="570" customWidth="1"/>
    <col min="14342" max="14344" width="8.6640625" style="570" customWidth="1"/>
    <col min="14345" max="14345" width="10.5546875" style="570" customWidth="1"/>
    <col min="14346" max="14346" width="6.44140625" style="570" customWidth="1"/>
    <col min="14347" max="14348" width="8.88671875" style="570" customWidth="1"/>
    <col min="14349" max="14349" width="10.77734375" style="570" customWidth="1"/>
    <col min="14350" max="14352" width="8.88671875" style="570" customWidth="1"/>
    <col min="14353" max="14353" width="9.109375" style="570" customWidth="1"/>
    <col min="14354" max="14592" width="8.77734375" style="570"/>
    <col min="14593" max="14593" width="7.44140625" style="570" customWidth="1"/>
    <col min="14594" max="14594" width="40.5546875" style="570" customWidth="1"/>
    <col min="14595" max="14595" width="5.88671875" style="570" customWidth="1"/>
    <col min="14596" max="14596" width="5.5546875" style="570" customWidth="1"/>
    <col min="14597" max="14597" width="6.44140625" style="570" customWidth="1"/>
    <col min="14598" max="14600" width="8.6640625" style="570" customWidth="1"/>
    <col min="14601" max="14601" width="10.5546875" style="570" customWidth="1"/>
    <col min="14602" max="14602" width="6.44140625" style="570" customWidth="1"/>
    <col min="14603" max="14604" width="8.88671875" style="570" customWidth="1"/>
    <col min="14605" max="14605" width="10.77734375" style="570" customWidth="1"/>
    <col min="14606" max="14608" width="8.88671875" style="570" customWidth="1"/>
    <col min="14609" max="14609" width="9.109375" style="570" customWidth="1"/>
    <col min="14610" max="14848" width="8.77734375" style="570"/>
    <col min="14849" max="14849" width="7.44140625" style="570" customWidth="1"/>
    <col min="14850" max="14850" width="40.5546875" style="570" customWidth="1"/>
    <col min="14851" max="14851" width="5.88671875" style="570" customWidth="1"/>
    <col min="14852" max="14852" width="5.5546875" style="570" customWidth="1"/>
    <col min="14853" max="14853" width="6.44140625" style="570" customWidth="1"/>
    <col min="14854" max="14856" width="8.6640625" style="570" customWidth="1"/>
    <col min="14857" max="14857" width="10.5546875" style="570" customWidth="1"/>
    <col min="14858" max="14858" width="6.44140625" style="570" customWidth="1"/>
    <col min="14859" max="14860" width="8.88671875" style="570" customWidth="1"/>
    <col min="14861" max="14861" width="10.77734375" style="570" customWidth="1"/>
    <col min="14862" max="14864" width="8.88671875" style="570" customWidth="1"/>
    <col min="14865" max="14865" width="9.109375" style="570" customWidth="1"/>
    <col min="14866" max="15104" width="8.77734375" style="570"/>
    <col min="15105" max="15105" width="7.44140625" style="570" customWidth="1"/>
    <col min="15106" max="15106" width="40.5546875" style="570" customWidth="1"/>
    <col min="15107" max="15107" width="5.88671875" style="570" customWidth="1"/>
    <col min="15108" max="15108" width="5.5546875" style="570" customWidth="1"/>
    <col min="15109" max="15109" width="6.44140625" style="570" customWidth="1"/>
    <col min="15110" max="15112" width="8.6640625" style="570" customWidth="1"/>
    <col min="15113" max="15113" width="10.5546875" style="570" customWidth="1"/>
    <col min="15114" max="15114" width="6.44140625" style="570" customWidth="1"/>
    <col min="15115" max="15116" width="8.88671875" style="570" customWidth="1"/>
    <col min="15117" max="15117" width="10.77734375" style="570" customWidth="1"/>
    <col min="15118" max="15120" width="8.88671875" style="570" customWidth="1"/>
    <col min="15121" max="15121" width="9.109375" style="570" customWidth="1"/>
    <col min="15122" max="15360" width="8.77734375" style="570"/>
    <col min="15361" max="15361" width="7.44140625" style="570" customWidth="1"/>
    <col min="15362" max="15362" width="40.5546875" style="570" customWidth="1"/>
    <col min="15363" max="15363" width="5.88671875" style="570" customWidth="1"/>
    <col min="15364" max="15364" width="5.5546875" style="570" customWidth="1"/>
    <col min="15365" max="15365" width="6.44140625" style="570" customWidth="1"/>
    <col min="15366" max="15368" width="8.6640625" style="570" customWidth="1"/>
    <col min="15369" max="15369" width="10.5546875" style="570" customWidth="1"/>
    <col min="15370" max="15370" width="6.44140625" style="570" customWidth="1"/>
    <col min="15371" max="15372" width="8.88671875" style="570" customWidth="1"/>
    <col min="15373" max="15373" width="10.77734375" style="570" customWidth="1"/>
    <col min="15374" max="15376" width="8.88671875" style="570" customWidth="1"/>
    <col min="15377" max="15377" width="9.109375" style="570" customWidth="1"/>
    <col min="15378" max="15616" width="8.77734375" style="570"/>
    <col min="15617" max="15617" width="7.44140625" style="570" customWidth="1"/>
    <col min="15618" max="15618" width="40.5546875" style="570" customWidth="1"/>
    <col min="15619" max="15619" width="5.88671875" style="570" customWidth="1"/>
    <col min="15620" max="15620" width="5.5546875" style="570" customWidth="1"/>
    <col min="15621" max="15621" width="6.44140625" style="570" customWidth="1"/>
    <col min="15622" max="15624" width="8.6640625" style="570" customWidth="1"/>
    <col min="15625" max="15625" width="10.5546875" style="570" customWidth="1"/>
    <col min="15626" max="15626" width="6.44140625" style="570" customWidth="1"/>
    <col min="15627" max="15628" width="8.88671875" style="570" customWidth="1"/>
    <col min="15629" max="15629" width="10.77734375" style="570" customWidth="1"/>
    <col min="15630" max="15632" width="8.88671875" style="570" customWidth="1"/>
    <col min="15633" max="15633" width="9.109375" style="570" customWidth="1"/>
    <col min="15634" max="15872" width="8.77734375" style="570"/>
    <col min="15873" max="15873" width="7.44140625" style="570" customWidth="1"/>
    <col min="15874" max="15874" width="40.5546875" style="570" customWidth="1"/>
    <col min="15875" max="15875" width="5.88671875" style="570" customWidth="1"/>
    <col min="15876" max="15876" width="5.5546875" style="570" customWidth="1"/>
    <col min="15877" max="15877" width="6.44140625" style="570" customWidth="1"/>
    <col min="15878" max="15880" width="8.6640625" style="570" customWidth="1"/>
    <col min="15881" max="15881" width="10.5546875" style="570" customWidth="1"/>
    <col min="15882" max="15882" width="6.44140625" style="570" customWidth="1"/>
    <col min="15883" max="15884" width="8.88671875" style="570" customWidth="1"/>
    <col min="15885" max="15885" width="10.77734375" style="570" customWidth="1"/>
    <col min="15886" max="15888" width="8.88671875" style="570" customWidth="1"/>
    <col min="15889" max="15889" width="9.109375" style="570" customWidth="1"/>
    <col min="15890" max="16128" width="8.77734375" style="570"/>
    <col min="16129" max="16129" width="7.44140625" style="570" customWidth="1"/>
    <col min="16130" max="16130" width="40.5546875" style="570" customWidth="1"/>
    <col min="16131" max="16131" width="5.88671875" style="570" customWidth="1"/>
    <col min="16132" max="16132" width="5.5546875" style="570" customWidth="1"/>
    <col min="16133" max="16133" width="6.44140625" style="570" customWidth="1"/>
    <col min="16134" max="16136" width="8.6640625" style="570" customWidth="1"/>
    <col min="16137" max="16137" width="10.5546875" style="570" customWidth="1"/>
    <col min="16138" max="16138" width="6.44140625" style="570" customWidth="1"/>
    <col min="16139" max="16140" width="8.88671875" style="570" customWidth="1"/>
    <col min="16141" max="16141" width="10.77734375" style="570" customWidth="1"/>
    <col min="16142" max="16144" width="8.88671875" style="570" customWidth="1"/>
    <col min="16145" max="16145" width="9.109375" style="570" customWidth="1"/>
    <col min="16146" max="16384" width="8.77734375" style="570"/>
  </cols>
  <sheetData>
    <row r="1" spans="1:13" s="240" customFormat="1" ht="40.15" customHeight="1">
      <c r="A1" s="1431" t="str">
        <f>[6]Development!$A$1</f>
        <v>CONSTRUCTION OF NEW POLICE STATION BUILDING WITH DEVELOPMENT WORK IN  REGUNATHAPURAM IN PUDUKKOTTAI DISRICT.</v>
      </c>
      <c r="B1" s="1431"/>
      <c r="C1" s="1431"/>
      <c r="D1" s="1431"/>
      <c r="E1" s="1431"/>
      <c r="F1" s="1431"/>
      <c r="G1" s="1431"/>
      <c r="H1" s="1431"/>
      <c r="I1" s="1431"/>
      <c r="J1" s="1431"/>
    </row>
    <row r="2" spans="1:13" s="240" customFormat="1" ht="10.15" customHeight="1">
      <c r="A2" s="597"/>
      <c r="B2" s="597"/>
      <c r="C2" s="597"/>
      <c r="D2" s="597"/>
      <c r="E2" s="597"/>
      <c r="F2" s="597"/>
      <c r="G2" s="597"/>
      <c r="H2" s="597"/>
      <c r="I2" s="597"/>
      <c r="J2" s="598"/>
    </row>
    <row r="3" spans="1:13" s="240" customFormat="1" ht="19.899999999999999" customHeight="1">
      <c r="A3" s="1432" t="s">
        <v>1326</v>
      </c>
      <c r="B3" s="1432"/>
      <c r="C3" s="1432"/>
      <c r="D3" s="1432"/>
      <c r="E3" s="1432"/>
      <c r="F3" s="1432"/>
      <c r="G3" s="1432"/>
      <c r="H3" s="1432"/>
      <c r="I3" s="1432"/>
      <c r="J3" s="1432"/>
    </row>
    <row r="4" spans="1:13" ht="24.95" customHeight="1">
      <c r="A4" s="1433" t="s">
        <v>544</v>
      </c>
      <c r="B4" s="1435" t="s">
        <v>504</v>
      </c>
      <c r="C4" s="1437" t="s">
        <v>213</v>
      </c>
      <c r="D4" s="1438"/>
      <c r="E4" s="1439"/>
      <c r="F4" s="1443" t="s">
        <v>328</v>
      </c>
      <c r="G4" s="1443"/>
      <c r="H4" s="1443"/>
      <c r="I4" s="1444" t="s">
        <v>214</v>
      </c>
      <c r="J4" s="1446" t="s">
        <v>215</v>
      </c>
    </row>
    <row r="5" spans="1:13" ht="24.95" customHeight="1">
      <c r="A5" s="1434"/>
      <c r="B5" s="1436"/>
      <c r="C5" s="1440"/>
      <c r="D5" s="1441"/>
      <c r="E5" s="1442"/>
      <c r="F5" s="599" t="s">
        <v>5</v>
      </c>
      <c r="G5" s="599" t="s">
        <v>205</v>
      </c>
      <c r="H5" s="599" t="s">
        <v>7</v>
      </c>
      <c r="I5" s="1445"/>
      <c r="J5" s="1447"/>
    </row>
    <row r="6" spans="1:13" ht="47.45" customHeight="1">
      <c r="A6" s="575">
        <v>1.1000000000000001</v>
      </c>
      <c r="B6" s="142" t="s">
        <v>633</v>
      </c>
      <c r="C6" s="585"/>
      <c r="D6" s="585"/>
      <c r="E6" s="585"/>
      <c r="F6" s="256"/>
      <c r="G6" s="256"/>
      <c r="H6" s="256"/>
      <c r="I6" s="256"/>
      <c r="J6" s="571"/>
      <c r="L6" s="570">
        <v>64.88</v>
      </c>
    </row>
    <row r="7" spans="1:13" ht="22.5" customHeight="1">
      <c r="A7" s="575"/>
      <c r="B7" s="142" t="s">
        <v>634</v>
      </c>
      <c r="C7" s="585"/>
      <c r="D7" s="585"/>
      <c r="E7" s="585"/>
      <c r="F7" s="256"/>
      <c r="G7" s="256"/>
      <c r="H7" s="256"/>
      <c r="I7" s="256"/>
      <c r="J7" s="571"/>
    </row>
    <row r="8" spans="1:13" ht="24.95" customHeight="1">
      <c r="A8" s="575"/>
      <c r="B8" s="142" t="s">
        <v>635</v>
      </c>
      <c r="C8" s="585"/>
      <c r="D8" s="585"/>
      <c r="E8" s="585"/>
      <c r="F8" s="256"/>
      <c r="G8" s="256"/>
      <c r="H8" s="256"/>
      <c r="I8" s="256"/>
      <c r="J8" s="571"/>
    </row>
    <row r="9" spans="1:13" ht="24.95" customHeight="1">
      <c r="A9" s="575"/>
      <c r="B9" s="139" t="s">
        <v>636</v>
      </c>
      <c r="C9" s="585">
        <v>1</v>
      </c>
      <c r="D9" s="585" t="s">
        <v>56</v>
      </c>
      <c r="E9" s="585">
        <v>14</v>
      </c>
      <c r="F9" s="256">
        <v>1.8</v>
      </c>
      <c r="G9" s="256">
        <v>1.8</v>
      </c>
      <c r="H9" s="256">
        <v>2</v>
      </c>
      <c r="I9" s="256">
        <f>PRODUCT(C9:H9)</f>
        <v>90.72</v>
      </c>
      <c r="J9" s="571"/>
      <c r="L9" s="570">
        <v>2.1</v>
      </c>
      <c r="M9" s="570">
        <f>2.1-1.8</f>
        <v>0.30000000000000004</v>
      </c>
    </row>
    <row r="10" spans="1:13" ht="24.95" customHeight="1">
      <c r="A10" s="575"/>
      <c r="B10" s="139" t="s">
        <v>637</v>
      </c>
      <c r="C10" s="585">
        <v>1</v>
      </c>
      <c r="D10" s="585" t="s">
        <v>56</v>
      </c>
      <c r="E10" s="585">
        <v>4</v>
      </c>
      <c r="F10" s="256">
        <v>2.2999999999999998</v>
      </c>
      <c r="G10" s="256">
        <v>2.2999999999999998</v>
      </c>
      <c r="H10" s="256">
        <v>2</v>
      </c>
      <c r="I10" s="256">
        <f>PRODUCT(C10:H10)</f>
        <v>42.319999999999993</v>
      </c>
      <c r="J10" s="571"/>
      <c r="M10" s="570">
        <f>0.075+0.075</f>
        <v>0.15</v>
      </c>
    </row>
    <row r="11" spans="1:13" ht="24.95" customHeight="1">
      <c r="A11" s="575"/>
      <c r="B11" s="139" t="s">
        <v>638</v>
      </c>
      <c r="C11" s="585">
        <v>1</v>
      </c>
      <c r="D11" s="585" t="s">
        <v>56</v>
      </c>
      <c r="E11" s="585">
        <v>9</v>
      </c>
      <c r="F11" s="256">
        <v>2.4</v>
      </c>
      <c r="G11" s="256">
        <v>2.4</v>
      </c>
      <c r="H11" s="256">
        <v>2</v>
      </c>
      <c r="I11" s="256">
        <f>PRODUCT(C11:H11)</f>
        <v>103.67999999999999</v>
      </c>
      <c r="J11" s="571"/>
    </row>
    <row r="12" spans="1:13" ht="24.95" customHeight="1">
      <c r="A12" s="575"/>
      <c r="B12" s="142" t="s">
        <v>95</v>
      </c>
      <c r="C12" s="585"/>
      <c r="D12" s="585"/>
      <c r="E12" s="585"/>
      <c r="F12" s="256"/>
      <c r="G12" s="256"/>
      <c r="H12" s="256"/>
      <c r="I12" s="256"/>
      <c r="J12" s="571"/>
    </row>
    <row r="13" spans="1:13" ht="30" customHeight="1">
      <c r="A13" s="575"/>
      <c r="B13" s="139" t="s">
        <v>639</v>
      </c>
      <c r="C13" s="585">
        <v>1</v>
      </c>
      <c r="D13" s="585" t="s">
        <v>56</v>
      </c>
      <c r="E13" s="585">
        <v>1</v>
      </c>
      <c r="F13" s="256">
        <v>64.88</v>
      </c>
      <c r="G13" s="256">
        <v>0.38</v>
      </c>
      <c r="H13" s="256">
        <v>0.63</v>
      </c>
      <c r="I13" s="256">
        <f t="shared" ref="I13:I24" si="0">PRODUCT(C13:H13)</f>
        <v>15.532271999999999</v>
      </c>
      <c r="J13" s="571"/>
    </row>
    <row r="14" spans="1:13" ht="24.95" customHeight="1">
      <c r="A14" s="575"/>
      <c r="B14" s="139" t="s">
        <v>640</v>
      </c>
      <c r="C14" s="585">
        <v>1</v>
      </c>
      <c r="D14" s="585" t="s">
        <v>56</v>
      </c>
      <c r="E14" s="585">
        <v>1</v>
      </c>
      <c r="F14" s="256">
        <v>19.97</v>
      </c>
      <c r="G14" s="256">
        <v>0.38</v>
      </c>
      <c r="H14" s="256">
        <v>0.63</v>
      </c>
      <c r="I14" s="256">
        <f t="shared" si="0"/>
        <v>4.780818</v>
      </c>
      <c r="J14" s="571"/>
    </row>
    <row r="15" spans="1:13" ht="24.95" customHeight="1">
      <c r="A15" s="575"/>
      <c r="B15" s="139"/>
      <c r="C15" s="585">
        <v>1</v>
      </c>
      <c r="D15" s="585" t="s">
        <v>56</v>
      </c>
      <c r="E15" s="585">
        <v>1</v>
      </c>
      <c r="F15" s="256">
        <v>16.440000000000001</v>
      </c>
      <c r="G15" s="256">
        <v>0.38</v>
      </c>
      <c r="H15" s="256">
        <v>0.63</v>
      </c>
      <c r="I15" s="256">
        <f t="shared" si="0"/>
        <v>3.9357360000000003</v>
      </c>
      <c r="J15" s="571"/>
    </row>
    <row r="16" spans="1:13" ht="24.95" customHeight="1">
      <c r="A16" s="575"/>
      <c r="B16" s="139" t="s">
        <v>641</v>
      </c>
      <c r="C16" s="585">
        <v>1</v>
      </c>
      <c r="D16" s="585" t="s">
        <v>56</v>
      </c>
      <c r="E16" s="585">
        <v>1</v>
      </c>
      <c r="F16" s="256">
        <v>3.15</v>
      </c>
      <c r="G16" s="256">
        <v>0.38</v>
      </c>
      <c r="H16" s="256">
        <v>0.63</v>
      </c>
      <c r="I16" s="256">
        <f t="shared" si="0"/>
        <v>0.75411000000000006</v>
      </c>
      <c r="J16" s="571"/>
    </row>
    <row r="17" spans="1:16" ht="24.95" customHeight="1">
      <c r="A17" s="575"/>
      <c r="B17" s="139" t="s">
        <v>642</v>
      </c>
      <c r="C17" s="585">
        <v>1</v>
      </c>
      <c r="D17" s="585" t="s">
        <v>56</v>
      </c>
      <c r="E17" s="585">
        <v>3</v>
      </c>
      <c r="F17" s="256">
        <v>3.45</v>
      </c>
      <c r="G17" s="256">
        <v>0.38</v>
      </c>
      <c r="H17" s="256">
        <v>0.63</v>
      </c>
      <c r="I17" s="256">
        <f t="shared" si="0"/>
        <v>2.4777900000000006</v>
      </c>
      <c r="J17" s="571"/>
    </row>
    <row r="18" spans="1:16" ht="24.95" customHeight="1">
      <c r="A18" s="575"/>
      <c r="B18" s="139" t="s">
        <v>643</v>
      </c>
      <c r="C18" s="585">
        <v>1</v>
      </c>
      <c r="D18" s="585" t="s">
        <v>56</v>
      </c>
      <c r="E18" s="585">
        <v>2</v>
      </c>
      <c r="F18" s="256">
        <v>5.85</v>
      </c>
      <c r="G18" s="256">
        <v>0.38</v>
      </c>
      <c r="H18" s="256">
        <v>0.63</v>
      </c>
      <c r="I18" s="256">
        <f t="shared" si="0"/>
        <v>2.80098</v>
      </c>
      <c r="J18" s="571"/>
    </row>
    <row r="19" spans="1:16" ht="24.95" customHeight="1">
      <c r="A19" s="575"/>
      <c r="B19" s="139" t="s">
        <v>644</v>
      </c>
      <c r="C19" s="585">
        <v>1</v>
      </c>
      <c r="D19" s="585" t="s">
        <v>56</v>
      </c>
      <c r="E19" s="585">
        <v>1</v>
      </c>
      <c r="F19" s="256">
        <v>7.88</v>
      </c>
      <c r="G19" s="256">
        <v>0.38</v>
      </c>
      <c r="H19" s="256">
        <v>0.63</v>
      </c>
      <c r="I19" s="256">
        <f t="shared" si="0"/>
        <v>1.8864720000000001</v>
      </c>
      <c r="J19" s="571"/>
    </row>
    <row r="20" spans="1:16" ht="24.95" customHeight="1">
      <c r="A20" s="575"/>
      <c r="B20" s="139" t="s">
        <v>645</v>
      </c>
      <c r="C20" s="585">
        <v>1</v>
      </c>
      <c r="D20" s="585" t="s">
        <v>56</v>
      </c>
      <c r="E20" s="585">
        <v>2</v>
      </c>
      <c r="F20" s="256">
        <v>17</v>
      </c>
      <c r="G20" s="256">
        <v>0.38</v>
      </c>
      <c r="H20" s="256">
        <v>0.63</v>
      </c>
      <c r="I20" s="256">
        <f t="shared" si="0"/>
        <v>8.1395999999999997</v>
      </c>
      <c r="J20" s="571"/>
      <c r="M20" s="242">
        <v>4.87</v>
      </c>
      <c r="N20" s="242">
        <v>1.5</v>
      </c>
      <c r="O20" s="242">
        <v>1.8</v>
      </c>
      <c r="P20" s="242">
        <f>PRODUCT(K20:O20)</f>
        <v>13.148999999999999</v>
      </c>
    </row>
    <row r="21" spans="1:16" ht="24.95" customHeight="1">
      <c r="A21" s="575"/>
      <c r="B21" s="139" t="s">
        <v>646</v>
      </c>
      <c r="C21" s="585">
        <v>1</v>
      </c>
      <c r="D21" s="585" t="s">
        <v>56</v>
      </c>
      <c r="E21" s="585">
        <v>4</v>
      </c>
      <c r="F21" s="256">
        <v>4.8099999999999996</v>
      </c>
      <c r="G21" s="256">
        <v>0.38</v>
      </c>
      <c r="H21" s="256">
        <v>0.63</v>
      </c>
      <c r="I21" s="256">
        <f t="shared" si="0"/>
        <v>4.6060559999999997</v>
      </c>
      <c r="J21" s="571"/>
    </row>
    <row r="22" spans="1:16" ht="24.95" customHeight="1">
      <c r="A22" s="575"/>
      <c r="B22" s="139" t="s">
        <v>646</v>
      </c>
      <c r="C22" s="585">
        <v>1</v>
      </c>
      <c r="D22" s="585" t="s">
        <v>56</v>
      </c>
      <c r="E22" s="585">
        <v>4</v>
      </c>
      <c r="F22" s="256">
        <v>5.63</v>
      </c>
      <c r="G22" s="256">
        <v>0.38</v>
      </c>
      <c r="H22" s="256">
        <v>0.63</v>
      </c>
      <c r="I22" s="256">
        <f t="shared" si="0"/>
        <v>5.3912880000000003</v>
      </c>
      <c r="J22" s="571"/>
    </row>
    <row r="23" spans="1:16" ht="24.95" customHeight="1">
      <c r="A23" s="575"/>
      <c r="B23" s="139" t="s">
        <v>647</v>
      </c>
      <c r="C23" s="585">
        <v>1</v>
      </c>
      <c r="D23" s="585" t="s">
        <v>56</v>
      </c>
      <c r="E23" s="585">
        <v>9</v>
      </c>
      <c r="F23" s="256">
        <v>1.5</v>
      </c>
      <c r="G23" s="256">
        <v>1.5</v>
      </c>
      <c r="H23" s="256">
        <v>0.9</v>
      </c>
      <c r="I23" s="256">
        <f t="shared" si="0"/>
        <v>18.225000000000001</v>
      </c>
      <c r="J23" s="571"/>
    </row>
    <row r="24" spans="1:16" ht="24.95" customHeight="1">
      <c r="A24" s="575"/>
      <c r="B24" s="139" t="s">
        <v>648</v>
      </c>
      <c r="C24" s="585">
        <v>1</v>
      </c>
      <c r="D24" s="585" t="s">
        <v>56</v>
      </c>
      <c r="E24" s="585">
        <v>4</v>
      </c>
      <c r="F24" s="256">
        <v>1.5</v>
      </c>
      <c r="G24" s="256">
        <v>1.5</v>
      </c>
      <c r="H24" s="256">
        <v>0.9</v>
      </c>
      <c r="I24" s="256">
        <f t="shared" si="0"/>
        <v>8.1</v>
      </c>
      <c r="J24" s="571"/>
    </row>
    <row r="25" spans="1:16" ht="24.95" customHeight="1">
      <c r="A25" s="575"/>
      <c r="B25" s="139" t="s">
        <v>649</v>
      </c>
      <c r="C25" s="585"/>
      <c r="D25" s="585"/>
      <c r="E25" s="585"/>
      <c r="F25" s="256"/>
      <c r="G25" s="256"/>
      <c r="H25" s="256"/>
      <c r="I25" s="256"/>
      <c r="J25" s="571"/>
    </row>
    <row r="26" spans="1:16" ht="24.95" customHeight="1">
      <c r="A26" s="575"/>
      <c r="B26" s="139" t="s">
        <v>650</v>
      </c>
      <c r="C26" s="585">
        <v>-1</v>
      </c>
      <c r="D26" s="585" t="s">
        <v>56</v>
      </c>
      <c r="E26" s="585">
        <v>14</v>
      </c>
      <c r="F26" s="256">
        <v>1.8</v>
      </c>
      <c r="G26" s="256">
        <v>0.38</v>
      </c>
      <c r="H26" s="256">
        <v>0.63</v>
      </c>
      <c r="I26" s="256">
        <f>PRODUCT(C26:H26)</f>
        <v>-6.0328800000000005</v>
      </c>
      <c r="J26" s="571"/>
    </row>
    <row r="27" spans="1:16" ht="24.95" customHeight="1">
      <c r="A27" s="575"/>
      <c r="B27" s="139" t="s">
        <v>637</v>
      </c>
      <c r="C27" s="585">
        <v>-1</v>
      </c>
      <c r="D27" s="585" t="s">
        <v>56</v>
      </c>
      <c r="E27" s="585">
        <v>4</v>
      </c>
      <c r="F27" s="256">
        <v>2.2999999999999998</v>
      </c>
      <c r="G27" s="256">
        <v>0.38</v>
      </c>
      <c r="H27" s="256">
        <v>0.63</v>
      </c>
      <c r="I27" s="256">
        <f>PRODUCT(C27:H27)</f>
        <v>-2.2024799999999995</v>
      </c>
      <c r="J27" s="571"/>
    </row>
    <row r="28" spans="1:16" ht="24.95" customHeight="1">
      <c r="A28" s="575"/>
      <c r="B28" s="139" t="s">
        <v>651</v>
      </c>
      <c r="C28" s="585">
        <v>-1</v>
      </c>
      <c r="D28" s="585" t="s">
        <v>56</v>
      </c>
      <c r="E28" s="585">
        <v>9</v>
      </c>
      <c r="F28" s="256">
        <v>2.4</v>
      </c>
      <c r="G28" s="256">
        <v>0.38</v>
      </c>
      <c r="H28" s="256">
        <v>0.63</v>
      </c>
      <c r="I28" s="256">
        <f>PRODUCT(C28:H28)</f>
        <v>-5.1710399999999987</v>
      </c>
      <c r="J28" s="571"/>
    </row>
    <row r="29" spans="1:16" ht="24.95" customHeight="1">
      <c r="A29" s="575"/>
      <c r="B29" s="139"/>
      <c r="C29" s="585"/>
      <c r="D29" s="585"/>
      <c r="E29" s="585"/>
      <c r="F29" s="256"/>
      <c r="G29" s="256"/>
      <c r="H29" s="256"/>
      <c r="I29" s="256">
        <f>SUM(I9:I28)</f>
        <v>299.94372200000009</v>
      </c>
      <c r="J29" s="571"/>
    </row>
    <row r="30" spans="1:16" ht="24.95" customHeight="1">
      <c r="A30" s="575"/>
      <c r="B30" s="139"/>
      <c r="C30" s="585"/>
      <c r="D30" s="585"/>
      <c r="E30" s="585"/>
      <c r="F30" s="256"/>
      <c r="G30" s="256"/>
      <c r="H30" s="259" t="s">
        <v>15</v>
      </c>
      <c r="I30" s="600">
        <f>ROUNDUP(I29,1)</f>
        <v>300</v>
      </c>
      <c r="J30" s="266" t="s">
        <v>16</v>
      </c>
    </row>
    <row r="31" spans="1:16" ht="22.5" customHeight="1">
      <c r="A31" s="575"/>
      <c r="B31" s="142" t="s">
        <v>1292</v>
      </c>
      <c r="C31" s="585"/>
      <c r="D31" s="585"/>
      <c r="E31" s="585"/>
      <c r="F31" s="256"/>
      <c r="G31" s="256"/>
      <c r="H31" s="256"/>
      <c r="I31" s="256"/>
      <c r="J31" s="571"/>
    </row>
    <row r="32" spans="1:16" ht="24.95" customHeight="1">
      <c r="A32" s="575"/>
      <c r="B32" s="142" t="s">
        <v>635</v>
      </c>
      <c r="C32" s="585"/>
      <c r="D32" s="585"/>
      <c r="E32" s="585"/>
      <c r="F32" s="256"/>
      <c r="G32" s="256"/>
      <c r="H32" s="256"/>
      <c r="I32" s="256"/>
      <c r="J32" s="571"/>
    </row>
    <row r="33" spans="1:13" ht="24.95" customHeight="1">
      <c r="A33" s="575"/>
      <c r="B33" s="139" t="s">
        <v>636</v>
      </c>
      <c r="C33" s="585">
        <v>1</v>
      </c>
      <c r="D33" s="585" t="s">
        <v>56</v>
      </c>
      <c r="E33" s="585">
        <v>14</v>
      </c>
      <c r="F33" s="256">
        <v>1.8</v>
      </c>
      <c r="G33" s="256">
        <v>1.8</v>
      </c>
      <c r="H33" s="256">
        <v>0.5</v>
      </c>
      <c r="I33" s="256">
        <f>PRODUCT(C33:H33)</f>
        <v>22.68</v>
      </c>
      <c r="J33" s="571"/>
      <c r="L33" s="570">
        <v>2.1</v>
      </c>
      <c r="M33" s="570">
        <f>2.1-1.8</f>
        <v>0.30000000000000004</v>
      </c>
    </row>
    <row r="34" spans="1:13" ht="24.95" customHeight="1">
      <c r="A34" s="575"/>
      <c r="B34" s="139" t="s">
        <v>637</v>
      </c>
      <c r="C34" s="585">
        <v>1</v>
      </c>
      <c r="D34" s="585" t="s">
        <v>56</v>
      </c>
      <c r="E34" s="585">
        <v>4</v>
      </c>
      <c r="F34" s="256">
        <v>2.2999999999999998</v>
      </c>
      <c r="G34" s="256">
        <v>2.2999999999999998</v>
      </c>
      <c r="H34" s="256">
        <v>0.5</v>
      </c>
      <c r="I34" s="256">
        <f>PRODUCT(C34:H34)</f>
        <v>10.579999999999998</v>
      </c>
      <c r="J34" s="571"/>
      <c r="M34" s="570">
        <f>0.075+0.075</f>
        <v>0.15</v>
      </c>
    </row>
    <row r="35" spans="1:13" ht="24.95" customHeight="1">
      <c r="A35" s="575"/>
      <c r="B35" s="139" t="s">
        <v>638</v>
      </c>
      <c r="C35" s="585">
        <v>1</v>
      </c>
      <c r="D35" s="585" t="s">
        <v>56</v>
      </c>
      <c r="E35" s="585">
        <v>9</v>
      </c>
      <c r="F35" s="256">
        <v>2.4</v>
      </c>
      <c r="G35" s="256">
        <v>2.4</v>
      </c>
      <c r="H35" s="256">
        <v>0.5</v>
      </c>
      <c r="I35" s="256">
        <f>PRODUCT(C35:H35)</f>
        <v>25.919999999999998</v>
      </c>
      <c r="J35" s="571"/>
    </row>
    <row r="36" spans="1:13" ht="24.95" customHeight="1">
      <c r="A36" s="575"/>
      <c r="B36" s="139"/>
      <c r="C36" s="585"/>
      <c r="D36" s="585"/>
      <c r="E36" s="585"/>
      <c r="F36" s="256"/>
      <c r="G36" s="256"/>
      <c r="H36" s="256"/>
      <c r="I36" s="256">
        <f>SUM(I33:I35)</f>
        <v>59.179999999999993</v>
      </c>
      <c r="J36" s="571"/>
    </row>
    <row r="37" spans="1:13" ht="24.95" customHeight="1">
      <c r="A37" s="575"/>
      <c r="B37" s="139"/>
      <c r="C37" s="585"/>
      <c r="D37" s="585"/>
      <c r="E37" s="585"/>
      <c r="F37" s="256"/>
      <c r="G37" s="256"/>
      <c r="H37" s="259" t="s">
        <v>15</v>
      </c>
      <c r="I37" s="600">
        <f>ROUNDUP(I36,1)</f>
        <v>59.2</v>
      </c>
      <c r="J37" s="266" t="s">
        <v>16</v>
      </c>
    </row>
    <row r="38" spans="1:13" ht="24.95" customHeight="1">
      <c r="A38" s="575"/>
      <c r="B38" s="139"/>
      <c r="C38" s="585"/>
      <c r="D38" s="585"/>
      <c r="E38" s="585"/>
      <c r="F38" s="256"/>
      <c r="G38" s="256"/>
      <c r="H38" s="256"/>
      <c r="I38" s="256"/>
      <c r="J38" s="571"/>
    </row>
    <row r="39" spans="1:13" ht="45.75" customHeight="1">
      <c r="A39" s="575">
        <v>2.1</v>
      </c>
      <c r="B39" s="142" t="s">
        <v>652</v>
      </c>
      <c r="C39" s="585"/>
      <c r="D39" s="585"/>
      <c r="E39" s="585"/>
      <c r="F39" s="256"/>
      <c r="G39" s="256"/>
      <c r="H39" s="256"/>
      <c r="I39" s="256"/>
      <c r="J39" s="571"/>
    </row>
    <row r="40" spans="1:13" ht="24" customHeight="1">
      <c r="A40" s="575"/>
      <c r="B40" s="139" t="s">
        <v>653</v>
      </c>
      <c r="C40" s="585">
        <v>1</v>
      </c>
      <c r="D40" s="585" t="s">
        <v>56</v>
      </c>
      <c r="E40" s="585">
        <v>1</v>
      </c>
      <c r="F40" s="256">
        <v>3.6</v>
      </c>
      <c r="G40" s="256">
        <v>5</v>
      </c>
      <c r="H40" s="256">
        <v>0.15</v>
      </c>
      <c r="I40" s="256">
        <f t="shared" ref="I40:I52" si="1">PRODUCT(C40:H40)</f>
        <v>2.6999999999999997</v>
      </c>
      <c r="J40" s="571"/>
    </row>
    <row r="41" spans="1:13" ht="24" customHeight="1">
      <c r="A41" s="575"/>
      <c r="B41" s="139" t="s">
        <v>654</v>
      </c>
      <c r="C41" s="585">
        <v>1</v>
      </c>
      <c r="D41" s="585" t="s">
        <v>56</v>
      </c>
      <c r="E41" s="585">
        <v>1</v>
      </c>
      <c r="F41" s="256">
        <v>3.6</v>
      </c>
      <c r="G41" s="256">
        <v>2</v>
      </c>
      <c r="H41" s="256">
        <v>0.15</v>
      </c>
      <c r="I41" s="256">
        <f t="shared" si="1"/>
        <v>1.08</v>
      </c>
      <c r="J41" s="571"/>
    </row>
    <row r="42" spans="1:13" ht="24" customHeight="1">
      <c r="A42" s="575"/>
      <c r="B42" s="139" t="s">
        <v>655</v>
      </c>
      <c r="C42" s="585">
        <v>1</v>
      </c>
      <c r="D42" s="585" t="s">
        <v>56</v>
      </c>
      <c r="E42" s="585">
        <v>1</v>
      </c>
      <c r="F42" s="256">
        <v>3.6</v>
      </c>
      <c r="G42" s="256">
        <v>7.55</v>
      </c>
      <c r="H42" s="256">
        <v>0.15</v>
      </c>
      <c r="I42" s="256">
        <f t="shared" si="1"/>
        <v>4.077</v>
      </c>
      <c r="J42" s="571"/>
    </row>
    <row r="43" spans="1:13" ht="24" customHeight="1">
      <c r="A43" s="575"/>
      <c r="B43" s="139" t="s">
        <v>656</v>
      </c>
      <c r="C43" s="585">
        <v>1</v>
      </c>
      <c r="D43" s="585" t="s">
        <v>56</v>
      </c>
      <c r="E43" s="585">
        <v>1</v>
      </c>
      <c r="F43" s="262">
        <v>3.72</v>
      </c>
      <c r="G43" s="256">
        <v>5.94</v>
      </c>
      <c r="H43" s="256">
        <v>0.15</v>
      </c>
      <c r="I43" s="256">
        <f t="shared" si="1"/>
        <v>3.3145200000000004</v>
      </c>
      <c r="J43" s="571"/>
    </row>
    <row r="44" spans="1:13" ht="24" customHeight="1">
      <c r="A44" s="575"/>
      <c r="B44" s="139" t="s">
        <v>657</v>
      </c>
      <c r="C44" s="585">
        <v>1</v>
      </c>
      <c r="D44" s="585" t="s">
        <v>56</v>
      </c>
      <c r="E44" s="585">
        <v>1</v>
      </c>
      <c r="F44" s="256">
        <v>1.65</v>
      </c>
      <c r="G44" s="256">
        <v>2.66</v>
      </c>
      <c r="H44" s="256">
        <v>0.15</v>
      </c>
      <c r="I44" s="256">
        <f t="shared" si="1"/>
        <v>0.65834999999999999</v>
      </c>
      <c r="J44" s="571"/>
    </row>
    <row r="45" spans="1:13" ht="24" customHeight="1">
      <c r="A45" s="575"/>
      <c r="B45" s="139" t="s">
        <v>658</v>
      </c>
      <c r="C45" s="585">
        <v>1</v>
      </c>
      <c r="D45" s="585" t="s">
        <v>56</v>
      </c>
      <c r="E45" s="585">
        <v>1</v>
      </c>
      <c r="F45" s="256">
        <v>1.8</v>
      </c>
      <c r="G45" s="256">
        <v>14.04</v>
      </c>
      <c r="H45" s="256">
        <v>0.15</v>
      </c>
      <c r="I45" s="256">
        <f t="shared" si="1"/>
        <v>3.7907999999999995</v>
      </c>
      <c r="J45" s="571"/>
    </row>
    <row r="46" spans="1:13" ht="24" customHeight="1">
      <c r="A46" s="575"/>
      <c r="B46" s="139" t="s">
        <v>659</v>
      </c>
      <c r="C46" s="585">
        <v>1</v>
      </c>
      <c r="D46" s="585" t="s">
        <v>56</v>
      </c>
      <c r="E46" s="585">
        <v>1</v>
      </c>
      <c r="F46" s="256">
        <v>3.3</v>
      </c>
      <c r="G46" s="256">
        <v>3.3</v>
      </c>
      <c r="H46" s="256">
        <v>0.15</v>
      </c>
      <c r="I46" s="256">
        <f t="shared" si="1"/>
        <v>1.6334999999999997</v>
      </c>
      <c r="J46" s="571"/>
    </row>
    <row r="47" spans="1:13" ht="24" customHeight="1">
      <c r="A47" s="575"/>
      <c r="B47" s="139" t="s">
        <v>660</v>
      </c>
      <c r="C47" s="585">
        <v>1</v>
      </c>
      <c r="D47" s="585" t="s">
        <v>56</v>
      </c>
      <c r="E47" s="585">
        <v>1</v>
      </c>
      <c r="F47" s="256">
        <v>4.5</v>
      </c>
      <c r="G47" s="256">
        <v>3.3</v>
      </c>
      <c r="H47" s="256">
        <v>0.15</v>
      </c>
      <c r="I47" s="256">
        <f t="shared" si="1"/>
        <v>2.2275</v>
      </c>
      <c r="J47" s="571"/>
    </row>
    <row r="48" spans="1:13" ht="24" customHeight="1">
      <c r="A48" s="575"/>
      <c r="B48" s="139" t="s">
        <v>661</v>
      </c>
      <c r="C48" s="585">
        <v>1</v>
      </c>
      <c r="D48" s="585" t="s">
        <v>56</v>
      </c>
      <c r="E48" s="585">
        <v>1</v>
      </c>
      <c r="F48" s="256">
        <v>6</v>
      </c>
      <c r="G48" s="256">
        <v>6</v>
      </c>
      <c r="H48" s="256">
        <v>0.15</v>
      </c>
      <c r="I48" s="256">
        <f t="shared" si="1"/>
        <v>5.3999999999999995</v>
      </c>
      <c r="J48" s="571"/>
    </row>
    <row r="49" spans="1:12" ht="24" customHeight="1">
      <c r="A49" s="575"/>
      <c r="B49" s="139" t="s">
        <v>662</v>
      </c>
      <c r="C49" s="585">
        <v>1</v>
      </c>
      <c r="D49" s="585" t="s">
        <v>56</v>
      </c>
      <c r="E49" s="585">
        <v>1</v>
      </c>
      <c r="F49" s="256">
        <v>5.03</v>
      </c>
      <c r="G49" s="256">
        <v>2</v>
      </c>
      <c r="H49" s="256">
        <v>0.15</v>
      </c>
      <c r="I49" s="256">
        <f t="shared" si="1"/>
        <v>1.5090000000000001</v>
      </c>
      <c r="J49" s="571"/>
    </row>
    <row r="50" spans="1:12" ht="24" customHeight="1">
      <c r="A50" s="575"/>
      <c r="B50" s="139" t="s">
        <v>663</v>
      </c>
      <c r="C50" s="585">
        <v>1</v>
      </c>
      <c r="D50" s="585" t="s">
        <v>56</v>
      </c>
      <c r="E50" s="585">
        <v>1</v>
      </c>
      <c r="F50" s="256">
        <v>1.2</v>
      </c>
      <c r="G50" s="256">
        <v>2</v>
      </c>
      <c r="H50" s="256">
        <v>0.15</v>
      </c>
      <c r="I50" s="256">
        <f t="shared" si="1"/>
        <v>0.36</v>
      </c>
      <c r="J50" s="571"/>
    </row>
    <row r="51" spans="1:12" ht="24" customHeight="1">
      <c r="A51" s="575"/>
      <c r="B51" s="139" t="s">
        <v>664</v>
      </c>
      <c r="C51" s="585">
        <v>1</v>
      </c>
      <c r="D51" s="585" t="s">
        <v>56</v>
      </c>
      <c r="E51" s="585">
        <v>1</v>
      </c>
      <c r="F51" s="256">
        <v>6</v>
      </c>
      <c r="G51" s="256">
        <v>8.0299999999999994</v>
      </c>
      <c r="H51" s="256">
        <v>0.15</v>
      </c>
      <c r="I51" s="256">
        <f t="shared" si="1"/>
        <v>7.2269999999999985</v>
      </c>
      <c r="J51" s="571"/>
    </row>
    <row r="52" spans="1:12" ht="24" customHeight="1">
      <c r="A52" s="575"/>
      <c r="B52" s="139" t="s">
        <v>665</v>
      </c>
      <c r="C52" s="585">
        <v>1</v>
      </c>
      <c r="D52" s="585" t="s">
        <v>56</v>
      </c>
      <c r="E52" s="585">
        <v>1</v>
      </c>
      <c r="F52" s="256">
        <v>10.97</v>
      </c>
      <c r="G52" s="256">
        <f>17-0.46</f>
        <v>16.54</v>
      </c>
      <c r="H52" s="256">
        <v>0.15</v>
      </c>
      <c r="I52" s="256">
        <f t="shared" si="1"/>
        <v>27.216570000000001</v>
      </c>
      <c r="J52" s="571"/>
    </row>
    <row r="53" spans="1:12" ht="29.25" customHeight="1">
      <c r="A53" s="575"/>
      <c r="B53" s="139"/>
      <c r="C53" s="585"/>
      <c r="D53" s="585"/>
      <c r="E53" s="585"/>
      <c r="F53" s="256"/>
      <c r="G53" s="256"/>
      <c r="H53" s="256"/>
      <c r="I53" s="256">
        <f>SUM(I40:I52)</f>
        <v>61.194239999999994</v>
      </c>
      <c r="J53" s="571"/>
    </row>
    <row r="54" spans="1:12" ht="24.95" customHeight="1">
      <c r="A54" s="575"/>
      <c r="B54" s="142"/>
      <c r="C54" s="585"/>
      <c r="D54" s="585"/>
      <c r="E54" s="585"/>
      <c r="F54" s="256"/>
      <c r="G54" s="256"/>
      <c r="H54" s="259" t="s">
        <v>15</v>
      </c>
      <c r="I54" s="600">
        <f>ROUNDUP(I53,1)</f>
        <v>61.2</v>
      </c>
      <c r="J54" s="266" t="s">
        <v>16</v>
      </c>
    </row>
    <row r="55" spans="1:12" ht="38.25" customHeight="1">
      <c r="A55" s="575" t="s">
        <v>666</v>
      </c>
      <c r="B55" s="142" t="s">
        <v>667</v>
      </c>
      <c r="C55" s="585"/>
      <c r="D55" s="585"/>
      <c r="E55" s="585"/>
      <c r="F55" s="256"/>
      <c r="G55" s="256"/>
      <c r="H55" s="256"/>
      <c r="I55" s="256"/>
      <c r="J55" s="571"/>
    </row>
    <row r="56" spans="1:12" ht="24.95" customHeight="1">
      <c r="A56" s="575"/>
      <c r="B56" s="139" t="s">
        <v>653</v>
      </c>
      <c r="C56" s="585">
        <v>1</v>
      </c>
      <c r="D56" s="585" t="s">
        <v>56</v>
      </c>
      <c r="E56" s="585">
        <v>1</v>
      </c>
      <c r="F56" s="256">
        <v>3.6</v>
      </c>
      <c r="G56" s="256">
        <v>5</v>
      </c>
      <c r="H56" s="262">
        <v>1.93</v>
      </c>
      <c r="I56" s="256">
        <f t="shared" ref="I56:I69" si="2">PRODUCT(C56:H56)</f>
        <v>34.74</v>
      </c>
      <c r="J56" s="571"/>
    </row>
    <row r="57" spans="1:12" ht="24.95" customHeight="1">
      <c r="A57" s="575"/>
      <c r="B57" s="139" t="s">
        <v>654</v>
      </c>
      <c r="C57" s="585">
        <v>1</v>
      </c>
      <c r="D57" s="585" t="s">
        <v>56</v>
      </c>
      <c r="E57" s="585">
        <v>1</v>
      </c>
      <c r="F57" s="256">
        <v>3.6</v>
      </c>
      <c r="G57" s="256">
        <v>2</v>
      </c>
      <c r="H57" s="262">
        <v>1.93</v>
      </c>
      <c r="I57" s="256">
        <f t="shared" si="2"/>
        <v>13.895999999999999</v>
      </c>
      <c r="J57" s="571"/>
    </row>
    <row r="58" spans="1:12" ht="24.95" customHeight="1">
      <c r="A58" s="575"/>
      <c r="B58" s="139" t="s">
        <v>655</v>
      </c>
      <c r="C58" s="585">
        <v>1</v>
      </c>
      <c r="D58" s="585" t="s">
        <v>56</v>
      </c>
      <c r="E58" s="585">
        <v>1</v>
      </c>
      <c r="F58" s="256">
        <v>3.6</v>
      </c>
      <c r="G58" s="256">
        <v>7.55</v>
      </c>
      <c r="H58" s="262">
        <v>1.93</v>
      </c>
      <c r="I58" s="256">
        <f t="shared" si="2"/>
        <v>52.4574</v>
      </c>
      <c r="J58" s="571"/>
    </row>
    <row r="59" spans="1:12" ht="24.95" customHeight="1">
      <c r="A59" s="575"/>
      <c r="B59" s="139" t="s">
        <v>656</v>
      </c>
      <c r="C59" s="585">
        <v>1</v>
      </c>
      <c r="D59" s="585" t="s">
        <v>56</v>
      </c>
      <c r="E59" s="585">
        <v>1</v>
      </c>
      <c r="F59" s="262">
        <v>3.72</v>
      </c>
      <c r="G59" s="256">
        <v>5.94</v>
      </c>
      <c r="H59" s="262">
        <v>1.93</v>
      </c>
      <c r="I59" s="256">
        <f t="shared" si="2"/>
        <v>42.646824000000002</v>
      </c>
      <c r="J59" s="571"/>
      <c r="L59" s="570">
        <f>1.45-0.15-0.075</f>
        <v>1.2250000000000001</v>
      </c>
    </row>
    <row r="60" spans="1:12" ht="24.95" customHeight="1">
      <c r="A60" s="575"/>
      <c r="B60" s="139" t="s">
        <v>657</v>
      </c>
      <c r="C60" s="585">
        <v>1</v>
      </c>
      <c r="D60" s="585" t="s">
        <v>56</v>
      </c>
      <c r="E60" s="585">
        <v>1</v>
      </c>
      <c r="F60" s="256">
        <v>1.65</v>
      </c>
      <c r="G60" s="256">
        <v>2.66</v>
      </c>
      <c r="H60" s="262">
        <v>1.93</v>
      </c>
      <c r="I60" s="256">
        <f t="shared" si="2"/>
        <v>8.4707699999999999</v>
      </c>
      <c r="J60" s="571"/>
    </row>
    <row r="61" spans="1:12" ht="24.95" customHeight="1">
      <c r="A61" s="575"/>
      <c r="B61" s="139" t="s">
        <v>658</v>
      </c>
      <c r="C61" s="585">
        <v>1</v>
      </c>
      <c r="D61" s="585" t="s">
        <v>56</v>
      </c>
      <c r="E61" s="585">
        <v>1</v>
      </c>
      <c r="F61" s="256">
        <v>1.8</v>
      </c>
      <c r="G61" s="256">
        <v>14.04</v>
      </c>
      <c r="H61" s="262">
        <v>1.93</v>
      </c>
      <c r="I61" s="256">
        <f t="shared" si="2"/>
        <v>48.774959999999993</v>
      </c>
      <c r="J61" s="571"/>
    </row>
    <row r="62" spans="1:12" ht="24.95" customHeight="1">
      <c r="A62" s="575"/>
      <c r="B62" s="139" t="s">
        <v>659</v>
      </c>
      <c r="C62" s="585">
        <v>1</v>
      </c>
      <c r="D62" s="585" t="s">
        <v>56</v>
      </c>
      <c r="E62" s="585">
        <v>1</v>
      </c>
      <c r="F62" s="256">
        <v>3.3</v>
      </c>
      <c r="G62" s="256">
        <v>3.3</v>
      </c>
      <c r="H62" s="262">
        <v>1.93</v>
      </c>
      <c r="I62" s="256">
        <f t="shared" si="2"/>
        <v>21.017699999999998</v>
      </c>
      <c r="J62" s="571"/>
    </row>
    <row r="63" spans="1:12" ht="24.95" customHeight="1">
      <c r="A63" s="575"/>
      <c r="B63" s="139" t="s">
        <v>660</v>
      </c>
      <c r="C63" s="585">
        <v>1</v>
      </c>
      <c r="D63" s="585" t="s">
        <v>56</v>
      </c>
      <c r="E63" s="585">
        <v>1</v>
      </c>
      <c r="F63" s="256">
        <v>4.5</v>
      </c>
      <c r="G63" s="256">
        <v>3.3</v>
      </c>
      <c r="H63" s="262">
        <v>1.93</v>
      </c>
      <c r="I63" s="256">
        <f t="shared" si="2"/>
        <v>28.660499999999999</v>
      </c>
      <c r="J63" s="571"/>
    </row>
    <row r="64" spans="1:12" ht="24.95" customHeight="1">
      <c r="A64" s="575"/>
      <c r="B64" s="139" t="s">
        <v>661</v>
      </c>
      <c r="C64" s="585">
        <v>1</v>
      </c>
      <c r="D64" s="585" t="s">
        <v>56</v>
      </c>
      <c r="E64" s="585">
        <v>1</v>
      </c>
      <c r="F64" s="256">
        <v>6</v>
      </c>
      <c r="G64" s="256">
        <v>6</v>
      </c>
      <c r="H64" s="262">
        <v>1.93</v>
      </c>
      <c r="I64" s="256">
        <f t="shared" si="2"/>
        <v>69.48</v>
      </c>
      <c r="J64" s="571"/>
    </row>
    <row r="65" spans="1:13" ht="24.95" customHeight="1">
      <c r="A65" s="575"/>
      <c r="B65" s="139" t="s">
        <v>662</v>
      </c>
      <c r="C65" s="585">
        <v>1</v>
      </c>
      <c r="D65" s="585" t="s">
        <v>56</v>
      </c>
      <c r="E65" s="585">
        <v>1</v>
      </c>
      <c r="F65" s="256">
        <v>5.03</v>
      </c>
      <c r="G65" s="256">
        <v>2</v>
      </c>
      <c r="H65" s="262">
        <v>1.93</v>
      </c>
      <c r="I65" s="256">
        <f t="shared" si="2"/>
        <v>19.415800000000001</v>
      </c>
      <c r="J65" s="571"/>
    </row>
    <row r="66" spans="1:13" ht="24.95" customHeight="1">
      <c r="A66" s="575"/>
      <c r="B66" s="139" t="s">
        <v>663</v>
      </c>
      <c r="C66" s="585">
        <v>1</v>
      </c>
      <c r="D66" s="585" t="s">
        <v>56</v>
      </c>
      <c r="E66" s="585">
        <v>1</v>
      </c>
      <c r="F66" s="256">
        <v>1.2</v>
      </c>
      <c r="G66" s="256">
        <v>2</v>
      </c>
      <c r="H66" s="262">
        <v>1.93</v>
      </c>
      <c r="I66" s="256">
        <f t="shared" si="2"/>
        <v>4.6319999999999997</v>
      </c>
      <c r="J66" s="571"/>
    </row>
    <row r="67" spans="1:13" ht="24.95" customHeight="1">
      <c r="A67" s="575"/>
      <c r="B67" s="139" t="s">
        <v>664</v>
      </c>
      <c r="C67" s="585">
        <v>1</v>
      </c>
      <c r="D67" s="585" t="s">
        <v>56</v>
      </c>
      <c r="E67" s="585">
        <v>1</v>
      </c>
      <c r="F67" s="256">
        <v>6</v>
      </c>
      <c r="G67" s="256">
        <v>8.0299999999999994</v>
      </c>
      <c r="H67" s="262">
        <v>1.93</v>
      </c>
      <c r="I67" s="256">
        <f t="shared" si="2"/>
        <v>92.98739999999998</v>
      </c>
      <c r="J67" s="571"/>
    </row>
    <row r="68" spans="1:13" ht="24.95" customHeight="1">
      <c r="A68" s="575"/>
      <c r="B68" s="139" t="s">
        <v>665</v>
      </c>
      <c r="C68" s="585">
        <v>1</v>
      </c>
      <c r="D68" s="585" t="s">
        <v>56</v>
      </c>
      <c r="E68" s="585">
        <v>1</v>
      </c>
      <c r="F68" s="256">
        <v>10.97</v>
      </c>
      <c r="G68" s="256">
        <f>17-0.46</f>
        <v>16.54</v>
      </c>
      <c r="H68" s="256">
        <v>0.95</v>
      </c>
      <c r="I68" s="256">
        <f t="shared" si="2"/>
        <v>172.37161</v>
      </c>
      <c r="J68" s="571"/>
    </row>
    <row r="69" spans="1:13" ht="24.95" customHeight="1">
      <c r="A69" s="575"/>
      <c r="B69" s="139" t="s">
        <v>668</v>
      </c>
      <c r="C69" s="585">
        <v>1</v>
      </c>
      <c r="D69" s="585" t="s">
        <v>56</v>
      </c>
      <c r="E69" s="585">
        <v>-1</v>
      </c>
      <c r="F69" s="256">
        <v>4.96</v>
      </c>
      <c r="G69" s="256">
        <v>1.66</v>
      </c>
      <c r="H69" s="256">
        <v>0.95</v>
      </c>
      <c r="I69" s="256">
        <f t="shared" si="2"/>
        <v>-7.8219199999999987</v>
      </c>
      <c r="J69" s="571"/>
    </row>
    <row r="70" spans="1:13" ht="24.95" customHeight="1">
      <c r="A70" s="575"/>
      <c r="B70" s="139" t="s">
        <v>669</v>
      </c>
      <c r="C70" s="585"/>
      <c r="D70" s="585"/>
      <c r="E70" s="585"/>
      <c r="F70" s="256"/>
      <c r="G70" s="256"/>
      <c r="H70" s="256"/>
      <c r="I70" s="256">
        <f>-I99</f>
        <v>-22.422040000000003</v>
      </c>
      <c r="J70" s="571"/>
    </row>
    <row r="71" spans="1:13" ht="24.95" customHeight="1">
      <c r="A71" s="575"/>
      <c r="B71" s="139" t="s">
        <v>670</v>
      </c>
      <c r="C71" s="585"/>
      <c r="D71" s="585"/>
      <c r="E71" s="585"/>
      <c r="F71" s="256"/>
      <c r="G71" s="256"/>
      <c r="H71" s="256"/>
      <c r="I71" s="256">
        <v>-56.68</v>
      </c>
      <c r="J71" s="571"/>
    </row>
    <row r="72" spans="1:13" ht="24.95" customHeight="1">
      <c r="A72" s="575"/>
      <c r="B72" s="139"/>
      <c r="C72" s="585"/>
      <c r="D72" s="585"/>
      <c r="E72" s="585"/>
      <c r="F72" s="256"/>
      <c r="G72" s="256"/>
      <c r="H72" s="262"/>
      <c r="I72" s="256">
        <f>+SUM(I56:I71)</f>
        <v>522.62700400000006</v>
      </c>
      <c r="J72" s="571"/>
    </row>
    <row r="73" spans="1:13" ht="24.95" customHeight="1">
      <c r="A73" s="575"/>
      <c r="B73" s="139"/>
      <c r="C73" s="585"/>
      <c r="D73" s="585"/>
      <c r="E73" s="585"/>
      <c r="F73" s="256"/>
      <c r="G73" s="256"/>
      <c r="H73" s="581" t="s">
        <v>203</v>
      </c>
      <c r="I73" s="600">
        <f>ROUNDUP(I72,1)</f>
        <v>522.70000000000005</v>
      </c>
      <c r="J73" s="571" t="s">
        <v>16</v>
      </c>
    </row>
    <row r="74" spans="1:13" ht="24.95" customHeight="1">
      <c r="A74" s="575">
        <v>3.1</v>
      </c>
      <c r="B74" s="142" t="s">
        <v>671</v>
      </c>
      <c r="C74" s="585"/>
      <c r="D74" s="585"/>
      <c r="E74" s="585"/>
      <c r="F74" s="256"/>
      <c r="G74" s="256"/>
      <c r="H74" s="256"/>
      <c r="I74" s="256"/>
      <c r="J74" s="571"/>
    </row>
    <row r="75" spans="1:13" ht="24.95" customHeight="1">
      <c r="A75" s="575"/>
      <c r="B75" s="142" t="s">
        <v>635</v>
      </c>
      <c r="C75" s="585"/>
      <c r="D75" s="585"/>
      <c r="E75" s="585"/>
      <c r="F75" s="256"/>
      <c r="G75" s="256"/>
      <c r="H75" s="256"/>
      <c r="I75" s="256"/>
      <c r="J75" s="571"/>
    </row>
    <row r="76" spans="1:13" ht="24.95" customHeight="1">
      <c r="A76" s="575"/>
      <c r="B76" s="139" t="s">
        <v>636</v>
      </c>
      <c r="C76" s="585">
        <v>1</v>
      </c>
      <c r="D76" s="585" t="s">
        <v>56</v>
      </c>
      <c r="E76" s="585">
        <v>14</v>
      </c>
      <c r="F76" s="256">
        <v>1.8</v>
      </c>
      <c r="G76" s="256">
        <v>1.8</v>
      </c>
      <c r="H76" s="256">
        <v>0.1</v>
      </c>
      <c r="I76" s="256">
        <f>PRODUCT(E76:H76)</f>
        <v>4.5360000000000005</v>
      </c>
      <c r="J76" s="571"/>
      <c r="L76" s="570" t="e">
        <f>C76*D76*E76*F76*G76*H76*I76</f>
        <v>#VALUE!</v>
      </c>
      <c r="M76" s="570">
        <f>(C76*E76*F76*G76*H76)</f>
        <v>4.5360000000000005</v>
      </c>
    </row>
    <row r="77" spans="1:13" ht="24.95" customHeight="1">
      <c r="A77" s="575"/>
      <c r="B77" s="139" t="s">
        <v>637</v>
      </c>
      <c r="C77" s="585">
        <v>1</v>
      </c>
      <c r="D77" s="585" t="s">
        <v>56</v>
      </c>
      <c r="E77" s="585">
        <v>4</v>
      </c>
      <c r="F77" s="256">
        <v>2.2999999999999998</v>
      </c>
      <c r="G77" s="256">
        <v>2.2999999999999998</v>
      </c>
      <c r="H77" s="256">
        <v>0.1</v>
      </c>
      <c r="I77" s="256">
        <f>PRODUCT(E77:H77)</f>
        <v>2.1159999999999997</v>
      </c>
      <c r="J77" s="571"/>
    </row>
    <row r="78" spans="1:13" ht="24.95" customHeight="1">
      <c r="A78" s="575"/>
      <c r="B78" s="139" t="s">
        <v>638</v>
      </c>
      <c r="C78" s="585">
        <v>1</v>
      </c>
      <c r="D78" s="585" t="s">
        <v>56</v>
      </c>
      <c r="E78" s="585">
        <v>9</v>
      </c>
      <c r="F78" s="256">
        <v>2.4</v>
      </c>
      <c r="G78" s="256">
        <v>2.4</v>
      </c>
      <c r="H78" s="256">
        <v>0.1</v>
      </c>
      <c r="I78" s="256">
        <f>PRODUCT(E78:H78)</f>
        <v>5.1840000000000002</v>
      </c>
      <c r="J78" s="571"/>
    </row>
    <row r="79" spans="1:13" ht="24.95" customHeight="1">
      <c r="A79" s="575"/>
      <c r="B79" s="142" t="s">
        <v>672</v>
      </c>
      <c r="C79" s="585"/>
      <c r="D79" s="585"/>
      <c r="E79" s="585"/>
      <c r="F79" s="256"/>
      <c r="G79" s="256"/>
      <c r="H79" s="256"/>
      <c r="I79" s="256"/>
      <c r="J79" s="571"/>
    </row>
    <row r="80" spans="1:13" ht="24.95" customHeight="1">
      <c r="A80" s="575"/>
      <c r="B80" s="139" t="s">
        <v>639</v>
      </c>
      <c r="C80" s="585">
        <v>1</v>
      </c>
      <c r="D80" s="585" t="s">
        <v>56</v>
      </c>
      <c r="E80" s="585">
        <v>1</v>
      </c>
      <c r="F80" s="256">
        <v>64.88</v>
      </c>
      <c r="G80" s="256">
        <v>0.38</v>
      </c>
      <c r="H80" s="256">
        <v>0.1</v>
      </c>
      <c r="I80" s="256">
        <f t="shared" ref="I80:I91" si="3">PRODUCT(E80:H80)</f>
        <v>2.4654400000000001</v>
      </c>
      <c r="J80" s="571"/>
      <c r="L80" s="570">
        <f>SUM(I79:I80)</f>
        <v>2.4654400000000001</v>
      </c>
    </row>
    <row r="81" spans="1:10" ht="24.95" customHeight="1">
      <c r="A81" s="575"/>
      <c r="B81" s="139" t="s">
        <v>640</v>
      </c>
      <c r="C81" s="585">
        <v>1</v>
      </c>
      <c r="D81" s="585" t="s">
        <v>56</v>
      </c>
      <c r="E81" s="585">
        <v>1</v>
      </c>
      <c r="F81" s="256">
        <v>19.97</v>
      </c>
      <c r="G81" s="256">
        <v>0.38</v>
      </c>
      <c r="H81" s="256">
        <v>0.1</v>
      </c>
      <c r="I81" s="256">
        <f t="shared" si="3"/>
        <v>0.75885999999999998</v>
      </c>
      <c r="J81" s="571"/>
    </row>
    <row r="82" spans="1:10" ht="25.5" customHeight="1">
      <c r="A82" s="575"/>
      <c r="B82" s="139"/>
      <c r="C82" s="585">
        <v>1</v>
      </c>
      <c r="D82" s="585" t="s">
        <v>56</v>
      </c>
      <c r="E82" s="585">
        <v>1</v>
      </c>
      <c r="F82" s="256">
        <v>16.440000000000001</v>
      </c>
      <c r="G82" s="256">
        <v>0.38</v>
      </c>
      <c r="H82" s="256">
        <v>0.1</v>
      </c>
      <c r="I82" s="256">
        <f t="shared" si="3"/>
        <v>0.62472000000000005</v>
      </c>
      <c r="J82" s="571"/>
    </row>
    <row r="83" spans="1:10" ht="24.95" customHeight="1">
      <c r="A83" s="575"/>
      <c r="B83" s="139" t="s">
        <v>641</v>
      </c>
      <c r="C83" s="585">
        <v>1</v>
      </c>
      <c r="D83" s="585" t="s">
        <v>56</v>
      </c>
      <c r="E83" s="585">
        <v>1</v>
      </c>
      <c r="F83" s="256">
        <v>3.15</v>
      </c>
      <c r="G83" s="256">
        <v>0.38</v>
      </c>
      <c r="H83" s="256">
        <v>0.1</v>
      </c>
      <c r="I83" s="256">
        <f t="shared" si="3"/>
        <v>0.11970000000000001</v>
      </c>
      <c r="J83" s="571"/>
    </row>
    <row r="84" spans="1:10" ht="24.95" customHeight="1">
      <c r="A84" s="575"/>
      <c r="B84" s="139" t="s">
        <v>642</v>
      </c>
      <c r="C84" s="585">
        <v>1</v>
      </c>
      <c r="D84" s="585" t="s">
        <v>56</v>
      </c>
      <c r="E84" s="585">
        <v>3</v>
      </c>
      <c r="F84" s="256">
        <v>3.45</v>
      </c>
      <c r="G84" s="256">
        <v>0.38</v>
      </c>
      <c r="H84" s="256">
        <v>0.1</v>
      </c>
      <c r="I84" s="256">
        <f t="shared" si="3"/>
        <v>0.39330000000000009</v>
      </c>
      <c r="J84" s="571"/>
    </row>
    <row r="85" spans="1:10" ht="24.95" customHeight="1">
      <c r="A85" s="575"/>
      <c r="B85" s="139" t="s">
        <v>643</v>
      </c>
      <c r="C85" s="585">
        <v>1</v>
      </c>
      <c r="D85" s="585" t="s">
        <v>56</v>
      </c>
      <c r="E85" s="585">
        <v>2</v>
      </c>
      <c r="F85" s="256">
        <v>5.85</v>
      </c>
      <c r="G85" s="256">
        <v>0.38</v>
      </c>
      <c r="H85" s="256">
        <v>0.1</v>
      </c>
      <c r="I85" s="256">
        <f t="shared" si="3"/>
        <v>0.4446</v>
      </c>
      <c r="J85" s="571"/>
    </row>
    <row r="86" spans="1:10" ht="24.95" customHeight="1">
      <c r="A86" s="575"/>
      <c r="B86" s="139" t="s">
        <v>644</v>
      </c>
      <c r="C86" s="585">
        <v>1</v>
      </c>
      <c r="D86" s="585" t="s">
        <v>56</v>
      </c>
      <c r="E86" s="585">
        <v>1</v>
      </c>
      <c r="F86" s="256">
        <v>7.88</v>
      </c>
      <c r="G86" s="256">
        <v>0.38</v>
      </c>
      <c r="H86" s="256">
        <v>0.1</v>
      </c>
      <c r="I86" s="256">
        <f t="shared" si="3"/>
        <v>0.29944000000000004</v>
      </c>
      <c r="J86" s="571"/>
    </row>
    <row r="87" spans="1:10" ht="24.95" customHeight="1">
      <c r="A87" s="575"/>
      <c r="B87" s="139" t="s">
        <v>645</v>
      </c>
      <c r="C87" s="585">
        <v>1</v>
      </c>
      <c r="D87" s="585" t="s">
        <v>56</v>
      </c>
      <c r="E87" s="585">
        <v>2</v>
      </c>
      <c r="F87" s="256">
        <v>17</v>
      </c>
      <c r="G87" s="256">
        <v>0.38</v>
      </c>
      <c r="H87" s="256">
        <v>0.1</v>
      </c>
      <c r="I87" s="256">
        <f t="shared" si="3"/>
        <v>1.292</v>
      </c>
      <c r="J87" s="571"/>
    </row>
    <row r="88" spans="1:10" ht="24.95" customHeight="1">
      <c r="A88" s="575"/>
      <c r="B88" s="139" t="s">
        <v>646</v>
      </c>
      <c r="C88" s="585">
        <v>1</v>
      </c>
      <c r="D88" s="585" t="s">
        <v>56</v>
      </c>
      <c r="E88" s="585">
        <v>4</v>
      </c>
      <c r="F88" s="256">
        <v>4.8099999999999996</v>
      </c>
      <c r="G88" s="256">
        <v>0.38</v>
      </c>
      <c r="H88" s="256">
        <v>0.1</v>
      </c>
      <c r="I88" s="256">
        <f t="shared" si="3"/>
        <v>0.73111999999999999</v>
      </c>
      <c r="J88" s="571"/>
    </row>
    <row r="89" spans="1:10" ht="24.95" customHeight="1">
      <c r="A89" s="575"/>
      <c r="B89" s="139" t="s">
        <v>646</v>
      </c>
      <c r="C89" s="585">
        <v>1</v>
      </c>
      <c r="D89" s="585" t="s">
        <v>56</v>
      </c>
      <c r="E89" s="585">
        <v>4</v>
      </c>
      <c r="F89" s="256">
        <v>5.63</v>
      </c>
      <c r="G89" s="256">
        <v>0.38</v>
      </c>
      <c r="H89" s="256">
        <v>0.1</v>
      </c>
      <c r="I89" s="256">
        <f t="shared" si="3"/>
        <v>0.85576000000000008</v>
      </c>
      <c r="J89" s="571"/>
    </row>
    <row r="90" spans="1:10" ht="24.95" customHeight="1">
      <c r="A90" s="575"/>
      <c r="B90" s="139" t="s">
        <v>647</v>
      </c>
      <c r="C90" s="585">
        <v>1</v>
      </c>
      <c r="D90" s="585" t="s">
        <v>56</v>
      </c>
      <c r="E90" s="585">
        <v>9</v>
      </c>
      <c r="F90" s="256">
        <v>1.5</v>
      </c>
      <c r="G90" s="256">
        <v>1.5</v>
      </c>
      <c r="H90" s="256">
        <v>0.1</v>
      </c>
      <c r="I90" s="256">
        <f t="shared" si="3"/>
        <v>2.0249999999999999</v>
      </c>
      <c r="J90" s="571"/>
    </row>
    <row r="91" spans="1:10" ht="24.95" customHeight="1">
      <c r="A91" s="575"/>
      <c r="B91" s="139" t="s">
        <v>648</v>
      </c>
      <c r="C91" s="585">
        <v>1</v>
      </c>
      <c r="D91" s="585" t="s">
        <v>56</v>
      </c>
      <c r="E91" s="585">
        <v>4</v>
      </c>
      <c r="F91" s="256">
        <v>1.5</v>
      </c>
      <c r="G91" s="256">
        <v>1.5</v>
      </c>
      <c r="H91" s="256">
        <v>0.1</v>
      </c>
      <c r="I91" s="256">
        <f t="shared" si="3"/>
        <v>0.9</v>
      </c>
      <c r="J91" s="571"/>
    </row>
    <row r="92" spans="1:10" ht="24.95" customHeight="1">
      <c r="A92" s="575"/>
      <c r="B92" s="142" t="s">
        <v>673</v>
      </c>
      <c r="C92" s="585"/>
      <c r="D92" s="585"/>
      <c r="E92" s="585"/>
      <c r="F92" s="256"/>
      <c r="G92" s="256"/>
      <c r="H92" s="259"/>
      <c r="I92" s="256"/>
      <c r="J92" s="266"/>
    </row>
    <row r="93" spans="1:10" ht="24.95" customHeight="1">
      <c r="A93" s="575"/>
      <c r="B93" s="139" t="s">
        <v>674</v>
      </c>
      <c r="C93" s="585">
        <v>-1</v>
      </c>
      <c r="D93" s="585" t="s">
        <v>56</v>
      </c>
      <c r="E93" s="585">
        <v>5</v>
      </c>
      <c r="F93" s="256">
        <v>0.23</v>
      </c>
      <c r="G93" s="256">
        <v>0.38</v>
      </c>
      <c r="H93" s="256">
        <v>0.1</v>
      </c>
      <c r="I93" s="256">
        <f t="shared" ref="I93:I98" si="4">PRODUCT(C93:H93)</f>
        <v>-4.370000000000001E-2</v>
      </c>
      <c r="J93" s="571"/>
    </row>
    <row r="94" spans="1:10" ht="24.95" customHeight="1">
      <c r="A94" s="575"/>
      <c r="B94" s="139" t="s">
        <v>675</v>
      </c>
      <c r="C94" s="585">
        <v>-1</v>
      </c>
      <c r="D94" s="585" t="s">
        <v>56</v>
      </c>
      <c r="E94" s="585">
        <v>4</v>
      </c>
      <c r="F94" s="256">
        <v>0.23</v>
      </c>
      <c r="G94" s="256">
        <v>0.45</v>
      </c>
      <c r="H94" s="256">
        <v>0.1</v>
      </c>
      <c r="I94" s="256">
        <f t="shared" si="4"/>
        <v>-4.1400000000000006E-2</v>
      </c>
      <c r="J94" s="571"/>
    </row>
    <row r="95" spans="1:10" ht="24.95" customHeight="1">
      <c r="A95" s="575"/>
      <c r="B95" s="139" t="s">
        <v>676</v>
      </c>
      <c r="C95" s="585">
        <v>-1</v>
      </c>
      <c r="D95" s="585" t="s">
        <v>56</v>
      </c>
      <c r="E95" s="585">
        <v>3</v>
      </c>
      <c r="F95" s="256">
        <v>0.23</v>
      </c>
      <c r="G95" s="256">
        <v>0.6</v>
      </c>
      <c r="H95" s="256">
        <v>0.1</v>
      </c>
      <c r="I95" s="256">
        <f t="shared" si="4"/>
        <v>-4.1400000000000006E-2</v>
      </c>
      <c r="J95" s="571"/>
    </row>
    <row r="96" spans="1:10" ht="24.95" customHeight="1">
      <c r="A96" s="575"/>
      <c r="B96" s="139" t="s">
        <v>677</v>
      </c>
      <c r="C96" s="585">
        <v>-1</v>
      </c>
      <c r="D96" s="585" t="s">
        <v>56</v>
      </c>
      <c r="E96" s="585">
        <v>2</v>
      </c>
      <c r="F96" s="256">
        <v>0.3</v>
      </c>
      <c r="G96" s="256">
        <v>0.38</v>
      </c>
      <c r="H96" s="256">
        <v>0.1</v>
      </c>
      <c r="I96" s="256">
        <f t="shared" si="4"/>
        <v>-2.2800000000000001E-2</v>
      </c>
      <c r="J96" s="571"/>
    </row>
    <row r="97" spans="1:10" ht="24.95" customHeight="1">
      <c r="A97" s="575"/>
      <c r="B97" s="139" t="s">
        <v>678</v>
      </c>
      <c r="C97" s="585">
        <v>-1</v>
      </c>
      <c r="D97" s="585" t="s">
        <v>56</v>
      </c>
      <c r="E97" s="585">
        <v>4</v>
      </c>
      <c r="F97" s="256">
        <v>0.3</v>
      </c>
      <c r="G97" s="256">
        <v>0.6</v>
      </c>
      <c r="H97" s="256">
        <v>0.1</v>
      </c>
      <c r="I97" s="256">
        <f t="shared" si="4"/>
        <v>-7.1999999999999995E-2</v>
      </c>
      <c r="J97" s="571"/>
    </row>
    <row r="98" spans="1:10" ht="24.95" customHeight="1">
      <c r="A98" s="575"/>
      <c r="B98" s="139" t="s">
        <v>679</v>
      </c>
      <c r="C98" s="585">
        <v>-1</v>
      </c>
      <c r="D98" s="585" t="s">
        <v>56</v>
      </c>
      <c r="E98" s="585">
        <v>9</v>
      </c>
      <c r="F98" s="256">
        <v>0.3</v>
      </c>
      <c r="G98" s="256">
        <v>0.38</v>
      </c>
      <c r="H98" s="256">
        <v>0.1</v>
      </c>
      <c r="I98" s="256">
        <f t="shared" si="4"/>
        <v>-0.10259999999999998</v>
      </c>
      <c r="J98" s="571"/>
    </row>
    <row r="99" spans="1:10" ht="24.95" customHeight="1">
      <c r="A99" s="575"/>
      <c r="B99" s="142"/>
      <c r="C99" s="585"/>
      <c r="D99" s="585"/>
      <c r="E99" s="585"/>
      <c r="F99" s="256"/>
      <c r="G99" s="256"/>
      <c r="H99" s="256"/>
      <c r="I99" s="256">
        <f>SUM(I76:I98)</f>
        <v>22.422040000000003</v>
      </c>
      <c r="J99" s="266"/>
    </row>
    <row r="100" spans="1:10" ht="24.95" customHeight="1">
      <c r="A100" s="575"/>
      <c r="B100" s="142"/>
      <c r="C100" s="585"/>
      <c r="D100" s="585"/>
      <c r="E100" s="585"/>
      <c r="F100" s="256"/>
      <c r="G100" s="256"/>
      <c r="H100" s="581" t="s">
        <v>203</v>
      </c>
      <c r="I100" s="600">
        <f>ROUNDUP(I99,1)</f>
        <v>22.5</v>
      </c>
      <c r="J100" s="571" t="s">
        <v>16</v>
      </c>
    </row>
    <row r="101" spans="1:10" ht="24.95" customHeight="1">
      <c r="A101" s="575"/>
      <c r="B101" s="139"/>
      <c r="C101" s="585"/>
      <c r="D101" s="585"/>
      <c r="E101" s="585"/>
      <c r="F101" s="256"/>
      <c r="G101" s="256"/>
      <c r="H101" s="259"/>
      <c r="I101" s="259"/>
      <c r="J101" s="266"/>
    </row>
    <row r="102" spans="1:10" ht="45" customHeight="1">
      <c r="A102" s="575">
        <v>4.0999999999999996</v>
      </c>
      <c r="B102" s="142" t="s">
        <v>680</v>
      </c>
      <c r="C102" s="585"/>
      <c r="D102" s="585"/>
      <c r="E102" s="585"/>
      <c r="F102" s="256"/>
      <c r="G102" s="256"/>
      <c r="H102" s="256"/>
      <c r="I102" s="256"/>
      <c r="J102" s="571"/>
    </row>
    <row r="103" spans="1:10" ht="30" customHeight="1">
      <c r="A103" s="575"/>
      <c r="B103" s="142" t="s">
        <v>681</v>
      </c>
      <c r="C103" s="585"/>
      <c r="D103" s="585"/>
      <c r="E103" s="585"/>
      <c r="F103" s="256"/>
      <c r="G103" s="256"/>
      <c r="H103" s="256"/>
      <c r="I103" s="256"/>
      <c r="J103" s="571"/>
    </row>
    <row r="104" spans="1:10" ht="24.95" customHeight="1">
      <c r="A104" s="575"/>
      <c r="B104" s="142" t="s">
        <v>635</v>
      </c>
      <c r="C104" s="585"/>
      <c r="D104" s="585"/>
      <c r="E104" s="585"/>
      <c r="F104" s="256"/>
      <c r="G104" s="256"/>
      <c r="H104" s="256"/>
      <c r="I104" s="256"/>
      <c r="J104" s="571"/>
    </row>
    <row r="105" spans="1:10" ht="24.95" customHeight="1">
      <c r="A105" s="575"/>
      <c r="B105" s="139" t="s">
        <v>682</v>
      </c>
      <c r="C105" s="585">
        <v>1</v>
      </c>
      <c r="D105" s="585" t="s">
        <v>56</v>
      </c>
      <c r="E105" s="585">
        <v>14</v>
      </c>
      <c r="F105" s="256">
        <v>1.5</v>
      </c>
      <c r="G105" s="256">
        <v>1.5</v>
      </c>
      <c r="H105" s="256">
        <v>0.38</v>
      </c>
      <c r="I105" s="256">
        <f>PRODUCT(C105:H105)</f>
        <v>11.97</v>
      </c>
      <c r="J105" s="571"/>
    </row>
    <row r="106" spans="1:10" ht="24.95" customHeight="1">
      <c r="A106" s="575"/>
      <c r="B106" s="139" t="s">
        <v>675</v>
      </c>
      <c r="C106" s="585">
        <v>1</v>
      </c>
      <c r="D106" s="585" t="s">
        <v>56</v>
      </c>
      <c r="E106" s="585">
        <v>4</v>
      </c>
      <c r="F106" s="256">
        <v>2</v>
      </c>
      <c r="G106" s="256">
        <v>2</v>
      </c>
      <c r="H106" s="256">
        <v>0.45</v>
      </c>
      <c r="I106" s="256">
        <f>PRODUCT(C106:H106)</f>
        <v>7.2</v>
      </c>
      <c r="J106" s="571"/>
    </row>
    <row r="107" spans="1:10" ht="24.95" customHeight="1">
      <c r="A107" s="575"/>
      <c r="B107" s="139" t="s">
        <v>683</v>
      </c>
      <c r="C107" s="585">
        <v>1</v>
      </c>
      <c r="D107" s="585" t="s">
        <v>56</v>
      </c>
      <c r="E107" s="585">
        <v>7</v>
      </c>
      <c r="F107" s="256">
        <v>2.1</v>
      </c>
      <c r="G107" s="256">
        <v>2.1</v>
      </c>
      <c r="H107" s="256">
        <v>0.45</v>
      </c>
      <c r="I107" s="256">
        <f>PRODUCT(C107:H107)</f>
        <v>13.891500000000002</v>
      </c>
      <c r="J107" s="571"/>
    </row>
    <row r="108" spans="1:10" ht="24.95" customHeight="1">
      <c r="A108" s="575"/>
      <c r="B108" s="139" t="s">
        <v>677</v>
      </c>
      <c r="C108" s="585">
        <v>1</v>
      </c>
      <c r="D108" s="585" t="s">
        <v>56</v>
      </c>
      <c r="E108" s="585">
        <v>2</v>
      </c>
      <c r="F108" s="256">
        <v>2.1</v>
      </c>
      <c r="G108" s="256">
        <v>2.1</v>
      </c>
      <c r="H108" s="256">
        <v>0.6</v>
      </c>
      <c r="I108" s="256">
        <f>PRODUCT(C108:H108)</f>
        <v>5.2919999999999998</v>
      </c>
      <c r="J108" s="571"/>
    </row>
    <row r="109" spans="1:10" ht="24.95" customHeight="1">
      <c r="A109" s="575"/>
      <c r="B109" s="142" t="s">
        <v>1295</v>
      </c>
      <c r="C109" s="585"/>
      <c r="D109" s="585"/>
      <c r="E109" s="585"/>
      <c r="F109" s="256"/>
      <c r="G109" s="256"/>
      <c r="H109" s="256"/>
      <c r="I109" s="256"/>
      <c r="J109" s="571"/>
    </row>
    <row r="110" spans="1:10" ht="24.95" customHeight="1">
      <c r="A110" s="575"/>
      <c r="B110" s="139" t="s">
        <v>674</v>
      </c>
      <c r="C110" s="585">
        <v>1</v>
      </c>
      <c r="D110" s="585" t="s">
        <v>56</v>
      </c>
      <c r="E110" s="585">
        <v>5</v>
      </c>
      <c r="F110" s="256">
        <v>0.23</v>
      </c>
      <c r="G110" s="256">
        <v>0.38</v>
      </c>
      <c r="H110" s="256">
        <v>1.49</v>
      </c>
      <c r="I110" s="256">
        <f t="shared" ref="I110:I115" si="5">PRODUCT(C110:H110)</f>
        <v>0.6511300000000001</v>
      </c>
      <c r="J110" s="571"/>
    </row>
    <row r="111" spans="1:10" ht="24.95" customHeight="1">
      <c r="A111" s="575"/>
      <c r="B111" s="139" t="s">
        <v>675</v>
      </c>
      <c r="C111" s="585">
        <v>1</v>
      </c>
      <c r="D111" s="585" t="s">
        <v>56</v>
      </c>
      <c r="E111" s="585">
        <v>4</v>
      </c>
      <c r="F111" s="256">
        <v>0.23</v>
      </c>
      <c r="G111" s="256">
        <v>0.45</v>
      </c>
      <c r="H111" s="256">
        <v>1.42</v>
      </c>
      <c r="I111" s="256">
        <f t="shared" si="5"/>
        <v>0.58788000000000007</v>
      </c>
      <c r="J111" s="571"/>
    </row>
    <row r="112" spans="1:10" ht="24.95" customHeight="1">
      <c r="A112" s="575"/>
      <c r="B112" s="139" t="s">
        <v>676</v>
      </c>
      <c r="C112" s="585">
        <v>1</v>
      </c>
      <c r="D112" s="585" t="s">
        <v>56</v>
      </c>
      <c r="E112" s="585">
        <v>3</v>
      </c>
      <c r="F112" s="256">
        <v>0.23</v>
      </c>
      <c r="G112" s="256">
        <v>0.6</v>
      </c>
      <c r="H112" s="256">
        <v>1.42</v>
      </c>
      <c r="I112" s="256">
        <f t="shared" si="5"/>
        <v>0.58788000000000007</v>
      </c>
      <c r="J112" s="571"/>
    </row>
    <row r="113" spans="1:10" ht="24.95" customHeight="1">
      <c r="A113" s="575"/>
      <c r="B113" s="139" t="s">
        <v>677</v>
      </c>
      <c r="C113" s="585">
        <v>1</v>
      </c>
      <c r="D113" s="585" t="s">
        <v>56</v>
      </c>
      <c r="E113" s="585">
        <v>2</v>
      </c>
      <c r="F113" s="256">
        <v>0.3</v>
      </c>
      <c r="G113" s="256">
        <v>0.38</v>
      </c>
      <c r="H113" s="256">
        <v>1.27</v>
      </c>
      <c r="I113" s="256">
        <f t="shared" si="5"/>
        <v>0.28955999999999998</v>
      </c>
      <c r="J113" s="571"/>
    </row>
    <row r="114" spans="1:10" ht="24.95" customHeight="1">
      <c r="A114" s="575"/>
      <c r="B114" s="139" t="s">
        <v>678</v>
      </c>
      <c r="C114" s="585">
        <v>1</v>
      </c>
      <c r="D114" s="585" t="s">
        <v>56</v>
      </c>
      <c r="E114" s="585">
        <v>4</v>
      </c>
      <c r="F114" s="256">
        <v>0.3</v>
      </c>
      <c r="G114" s="256">
        <v>0.6</v>
      </c>
      <c r="H114" s="256">
        <v>1.42</v>
      </c>
      <c r="I114" s="256">
        <f t="shared" si="5"/>
        <v>1.0224</v>
      </c>
      <c r="J114" s="571"/>
    </row>
    <row r="115" spans="1:10" ht="24.95" customHeight="1">
      <c r="A115" s="575"/>
      <c r="B115" s="139" t="s">
        <v>679</v>
      </c>
      <c r="C115" s="585">
        <v>1</v>
      </c>
      <c r="D115" s="585" t="s">
        <v>56</v>
      </c>
      <c r="E115" s="585">
        <v>9</v>
      </c>
      <c r="F115" s="256">
        <v>0.3</v>
      </c>
      <c r="G115" s="256">
        <v>0.38</v>
      </c>
      <c r="H115" s="256">
        <v>1.49</v>
      </c>
      <c r="I115" s="256">
        <f t="shared" si="5"/>
        <v>1.5287399999999998</v>
      </c>
      <c r="J115" s="571"/>
    </row>
    <row r="116" spans="1:10" ht="24.95" customHeight="1">
      <c r="A116" s="575"/>
      <c r="B116" s="142" t="s">
        <v>95</v>
      </c>
      <c r="C116" s="585"/>
      <c r="D116" s="585"/>
      <c r="E116" s="585"/>
      <c r="F116" s="256"/>
      <c r="G116" s="256"/>
      <c r="H116" s="256"/>
      <c r="I116" s="256"/>
      <c r="J116" s="571"/>
    </row>
    <row r="117" spans="1:10" ht="24.95" customHeight="1">
      <c r="A117" s="575"/>
      <c r="B117" s="139" t="s">
        <v>639</v>
      </c>
      <c r="C117" s="585">
        <v>1</v>
      </c>
      <c r="D117" s="585" t="s">
        <v>56</v>
      </c>
      <c r="E117" s="585">
        <v>1</v>
      </c>
      <c r="F117" s="256">
        <v>64.88</v>
      </c>
      <c r="G117" s="256">
        <v>0.23</v>
      </c>
      <c r="H117" s="256">
        <v>0.38</v>
      </c>
      <c r="I117" s="256">
        <f t="shared" ref="I117:I126" si="6">PRODUCT(C117:H117)</f>
        <v>5.6705119999999996</v>
      </c>
      <c r="J117" s="571"/>
    </row>
    <row r="118" spans="1:10" ht="24.95" customHeight="1">
      <c r="A118" s="575"/>
      <c r="B118" s="139" t="s">
        <v>640</v>
      </c>
      <c r="C118" s="585">
        <v>1</v>
      </c>
      <c r="D118" s="585" t="s">
        <v>56</v>
      </c>
      <c r="E118" s="585">
        <v>1</v>
      </c>
      <c r="F118" s="256">
        <v>20.12</v>
      </c>
      <c r="G118" s="256">
        <v>0.23</v>
      </c>
      <c r="H118" s="256">
        <v>0.38</v>
      </c>
      <c r="I118" s="256">
        <f t="shared" si="6"/>
        <v>1.7584880000000001</v>
      </c>
      <c r="J118" s="571"/>
    </row>
    <row r="119" spans="1:10" ht="24.95" customHeight="1">
      <c r="A119" s="575"/>
      <c r="B119" s="139"/>
      <c r="C119" s="585">
        <v>1</v>
      </c>
      <c r="D119" s="585" t="s">
        <v>56</v>
      </c>
      <c r="E119" s="585">
        <v>1</v>
      </c>
      <c r="F119" s="256">
        <v>16.59</v>
      </c>
      <c r="G119" s="256">
        <v>0.23</v>
      </c>
      <c r="H119" s="256">
        <v>0.38</v>
      </c>
      <c r="I119" s="256">
        <f t="shared" si="6"/>
        <v>1.4499660000000001</v>
      </c>
      <c r="J119" s="571"/>
    </row>
    <row r="120" spans="1:10" ht="24.95" customHeight="1">
      <c r="A120" s="575"/>
      <c r="B120" s="139" t="s">
        <v>641</v>
      </c>
      <c r="C120" s="585">
        <v>1</v>
      </c>
      <c r="D120" s="585" t="s">
        <v>56</v>
      </c>
      <c r="E120" s="585">
        <v>1</v>
      </c>
      <c r="F120" s="256">
        <v>3.3</v>
      </c>
      <c r="G120" s="256">
        <v>0.23</v>
      </c>
      <c r="H120" s="256">
        <v>0.38</v>
      </c>
      <c r="I120" s="256">
        <f t="shared" si="6"/>
        <v>0.28842000000000001</v>
      </c>
      <c r="J120" s="571"/>
    </row>
    <row r="121" spans="1:10" ht="24.95" customHeight="1">
      <c r="A121" s="575"/>
      <c r="B121" s="139" t="s">
        <v>642</v>
      </c>
      <c r="C121" s="585">
        <v>1</v>
      </c>
      <c r="D121" s="585" t="s">
        <v>56</v>
      </c>
      <c r="E121" s="585">
        <v>3</v>
      </c>
      <c r="F121" s="256">
        <v>3.6</v>
      </c>
      <c r="G121" s="256">
        <v>0.23</v>
      </c>
      <c r="H121" s="256">
        <v>0.38</v>
      </c>
      <c r="I121" s="256">
        <f t="shared" si="6"/>
        <v>0.9439200000000002</v>
      </c>
      <c r="J121" s="571"/>
    </row>
    <row r="122" spans="1:10" ht="24.95" customHeight="1">
      <c r="A122" s="575"/>
      <c r="B122" s="139" t="s">
        <v>643</v>
      </c>
      <c r="C122" s="585">
        <v>1</v>
      </c>
      <c r="D122" s="585" t="s">
        <v>56</v>
      </c>
      <c r="E122" s="585">
        <v>2</v>
      </c>
      <c r="F122" s="256">
        <v>6</v>
      </c>
      <c r="G122" s="256">
        <v>0.23</v>
      </c>
      <c r="H122" s="256">
        <v>0.38</v>
      </c>
      <c r="I122" s="256">
        <f t="shared" si="6"/>
        <v>1.0488000000000002</v>
      </c>
      <c r="J122" s="571"/>
    </row>
    <row r="123" spans="1:10" ht="24.95" customHeight="1">
      <c r="A123" s="575"/>
      <c r="B123" s="139" t="s">
        <v>644</v>
      </c>
      <c r="C123" s="585">
        <v>1</v>
      </c>
      <c r="D123" s="585" t="s">
        <v>56</v>
      </c>
      <c r="E123" s="585">
        <v>1</v>
      </c>
      <c r="F123" s="256">
        <v>8.0299999999999994</v>
      </c>
      <c r="G123" s="256">
        <v>0.23</v>
      </c>
      <c r="H123" s="256">
        <v>0.38</v>
      </c>
      <c r="I123" s="256">
        <f t="shared" si="6"/>
        <v>0.70182200000000006</v>
      </c>
      <c r="J123" s="571"/>
    </row>
    <row r="124" spans="1:10" ht="24.95" customHeight="1">
      <c r="A124" s="575"/>
      <c r="B124" s="139" t="s">
        <v>645</v>
      </c>
      <c r="C124" s="585">
        <v>1</v>
      </c>
      <c r="D124" s="585" t="s">
        <v>56</v>
      </c>
      <c r="E124" s="585">
        <v>2</v>
      </c>
      <c r="F124" s="256">
        <v>17</v>
      </c>
      <c r="G124" s="256">
        <v>0.23</v>
      </c>
      <c r="H124" s="256">
        <v>0.38</v>
      </c>
      <c r="I124" s="256">
        <f t="shared" si="6"/>
        <v>2.9716</v>
      </c>
      <c r="J124" s="571"/>
    </row>
    <row r="125" spans="1:10" ht="24.95" customHeight="1">
      <c r="A125" s="575"/>
      <c r="B125" s="139" t="s">
        <v>646</v>
      </c>
      <c r="C125" s="585">
        <v>1</v>
      </c>
      <c r="D125" s="585" t="s">
        <v>56</v>
      </c>
      <c r="E125" s="585">
        <v>4</v>
      </c>
      <c r="F125" s="256">
        <v>4.96</v>
      </c>
      <c r="G125" s="256">
        <v>0.23</v>
      </c>
      <c r="H125" s="256">
        <v>0.38</v>
      </c>
      <c r="I125" s="256">
        <f t="shared" si="6"/>
        <v>1.734016</v>
      </c>
      <c r="J125" s="571"/>
    </row>
    <row r="126" spans="1:10" ht="24.95" customHeight="1">
      <c r="A126" s="575"/>
      <c r="B126" s="139" t="s">
        <v>646</v>
      </c>
      <c r="C126" s="585">
        <v>1</v>
      </c>
      <c r="D126" s="585" t="s">
        <v>56</v>
      </c>
      <c r="E126" s="585">
        <v>4</v>
      </c>
      <c r="F126" s="256">
        <v>5.78</v>
      </c>
      <c r="G126" s="256">
        <v>0.23</v>
      </c>
      <c r="H126" s="256">
        <v>0.38</v>
      </c>
      <c r="I126" s="256">
        <f t="shared" si="6"/>
        <v>2.0206880000000003</v>
      </c>
      <c r="J126" s="571"/>
    </row>
    <row r="127" spans="1:10" ht="24.95" customHeight="1">
      <c r="A127" s="575"/>
      <c r="B127" s="142" t="s">
        <v>1293</v>
      </c>
      <c r="C127" s="585"/>
      <c r="D127" s="585"/>
      <c r="E127" s="585"/>
      <c r="F127" s="256"/>
      <c r="G127" s="256"/>
      <c r="H127" s="256"/>
      <c r="I127" s="256"/>
      <c r="J127" s="571"/>
    </row>
    <row r="128" spans="1:10" ht="24.95" customHeight="1">
      <c r="A128" s="575"/>
      <c r="B128" s="139" t="s">
        <v>674</v>
      </c>
      <c r="C128" s="585">
        <v>1</v>
      </c>
      <c r="D128" s="585" t="s">
        <v>56</v>
      </c>
      <c r="E128" s="585">
        <v>5</v>
      </c>
      <c r="F128" s="256">
        <v>0.23</v>
      </c>
      <c r="G128" s="256">
        <v>0.38</v>
      </c>
      <c r="H128" s="256">
        <v>1.05</v>
      </c>
      <c r="I128" s="256">
        <f t="shared" ref="I128:I133" si="7">PRODUCT(C128:H128)</f>
        <v>0.45885000000000009</v>
      </c>
      <c r="J128" s="571"/>
    </row>
    <row r="129" spans="1:13" ht="24.95" customHeight="1">
      <c r="A129" s="575"/>
      <c r="B129" s="139" t="s">
        <v>675</v>
      </c>
      <c r="C129" s="585">
        <v>1</v>
      </c>
      <c r="D129" s="585" t="s">
        <v>56</v>
      </c>
      <c r="E129" s="585">
        <v>4</v>
      </c>
      <c r="F129" s="256">
        <v>0.23</v>
      </c>
      <c r="G129" s="256">
        <v>0.45</v>
      </c>
      <c r="H129" s="256">
        <v>1.05</v>
      </c>
      <c r="I129" s="256">
        <f t="shared" si="7"/>
        <v>0.43470000000000003</v>
      </c>
      <c r="J129" s="571"/>
    </row>
    <row r="130" spans="1:13" ht="24.95" customHeight="1">
      <c r="A130" s="575"/>
      <c r="B130" s="139" t="s">
        <v>676</v>
      </c>
      <c r="C130" s="585">
        <v>1</v>
      </c>
      <c r="D130" s="585" t="s">
        <v>56</v>
      </c>
      <c r="E130" s="585">
        <v>3</v>
      </c>
      <c r="F130" s="256">
        <v>0.23</v>
      </c>
      <c r="G130" s="256">
        <v>0.6</v>
      </c>
      <c r="H130" s="256">
        <v>1.05</v>
      </c>
      <c r="I130" s="256">
        <f t="shared" si="7"/>
        <v>0.43470000000000003</v>
      </c>
      <c r="J130" s="571"/>
    </row>
    <row r="131" spans="1:13" ht="24.95" customHeight="1">
      <c r="A131" s="575"/>
      <c r="B131" s="139" t="s">
        <v>677</v>
      </c>
      <c r="C131" s="585">
        <v>1</v>
      </c>
      <c r="D131" s="585" t="s">
        <v>56</v>
      </c>
      <c r="E131" s="585">
        <v>2</v>
      </c>
      <c r="F131" s="256">
        <v>0.3</v>
      </c>
      <c r="G131" s="256">
        <v>0.38</v>
      </c>
      <c r="H131" s="256">
        <v>1.05</v>
      </c>
      <c r="I131" s="256">
        <f t="shared" si="7"/>
        <v>0.2394</v>
      </c>
      <c r="J131" s="571"/>
    </row>
    <row r="132" spans="1:13" ht="24.95" customHeight="1">
      <c r="A132" s="575"/>
      <c r="B132" s="139" t="s">
        <v>678</v>
      </c>
      <c r="C132" s="585">
        <v>1</v>
      </c>
      <c r="D132" s="585" t="s">
        <v>56</v>
      </c>
      <c r="E132" s="585">
        <v>4</v>
      </c>
      <c r="F132" s="256">
        <v>0.3</v>
      </c>
      <c r="G132" s="256">
        <v>0.6</v>
      </c>
      <c r="H132" s="256">
        <v>1.05</v>
      </c>
      <c r="I132" s="256">
        <f t="shared" si="7"/>
        <v>0.75600000000000001</v>
      </c>
      <c r="J132" s="571"/>
    </row>
    <row r="133" spans="1:13" ht="24.95" customHeight="1">
      <c r="A133" s="575"/>
      <c r="B133" s="139" t="s">
        <v>679</v>
      </c>
      <c r="C133" s="585">
        <v>1</v>
      </c>
      <c r="D133" s="585" t="s">
        <v>56</v>
      </c>
      <c r="E133" s="585">
        <v>9</v>
      </c>
      <c r="F133" s="256">
        <v>0.3</v>
      </c>
      <c r="G133" s="256">
        <v>0.38</v>
      </c>
      <c r="H133" s="256">
        <v>1.05</v>
      </c>
      <c r="I133" s="256">
        <f t="shared" si="7"/>
        <v>1.0772999999999999</v>
      </c>
      <c r="J133" s="571"/>
    </row>
    <row r="134" spans="1:13" ht="24.95" customHeight="1">
      <c r="A134" s="575"/>
      <c r="B134" s="142" t="s">
        <v>1294</v>
      </c>
      <c r="C134" s="585"/>
      <c r="D134" s="585"/>
      <c r="E134" s="585"/>
      <c r="F134" s="256"/>
      <c r="G134" s="256"/>
      <c r="H134" s="256"/>
      <c r="I134" s="256"/>
      <c r="J134" s="571"/>
    </row>
    <row r="135" spans="1:13" ht="27.75" customHeight="1">
      <c r="A135" s="575"/>
      <c r="B135" s="139" t="s">
        <v>639</v>
      </c>
      <c r="C135" s="585">
        <v>1</v>
      </c>
      <c r="D135" s="585" t="s">
        <v>56</v>
      </c>
      <c r="E135" s="585">
        <v>1</v>
      </c>
      <c r="F135" s="256">
        <v>64.88</v>
      </c>
      <c r="G135" s="256">
        <v>0.23</v>
      </c>
      <c r="H135" s="256">
        <v>0.15</v>
      </c>
      <c r="I135" s="256">
        <f t="shared" ref="I135:I145" si="8">PRODUCT(C135:H135)</f>
        <v>2.2383599999999997</v>
      </c>
      <c r="J135" s="571"/>
    </row>
    <row r="136" spans="1:13" ht="24.95" customHeight="1">
      <c r="A136" s="575"/>
      <c r="B136" s="139" t="s">
        <v>640</v>
      </c>
      <c r="C136" s="585">
        <v>1</v>
      </c>
      <c r="D136" s="585" t="s">
        <v>56</v>
      </c>
      <c r="E136" s="585">
        <v>1</v>
      </c>
      <c r="F136" s="256">
        <v>20.12</v>
      </c>
      <c r="G136" s="256">
        <v>0.23</v>
      </c>
      <c r="H136" s="256">
        <v>0.15</v>
      </c>
      <c r="I136" s="256">
        <f t="shared" si="8"/>
        <v>0.69413999999999998</v>
      </c>
      <c r="J136" s="571"/>
    </row>
    <row r="137" spans="1:13" ht="24.95" customHeight="1">
      <c r="A137" s="575"/>
      <c r="B137" s="139"/>
      <c r="C137" s="585">
        <v>1</v>
      </c>
      <c r="D137" s="585" t="s">
        <v>56</v>
      </c>
      <c r="E137" s="585">
        <v>1</v>
      </c>
      <c r="F137" s="256">
        <v>16.59</v>
      </c>
      <c r="G137" s="256">
        <v>0.23</v>
      </c>
      <c r="H137" s="256">
        <v>0.15</v>
      </c>
      <c r="I137" s="256">
        <f t="shared" si="8"/>
        <v>0.57235499999999995</v>
      </c>
      <c r="J137" s="571"/>
    </row>
    <row r="138" spans="1:13" ht="24.95" customHeight="1">
      <c r="A138" s="575"/>
      <c r="B138" s="139" t="s">
        <v>641</v>
      </c>
      <c r="C138" s="585">
        <v>1</v>
      </c>
      <c r="D138" s="585" t="s">
        <v>56</v>
      </c>
      <c r="E138" s="585">
        <v>1</v>
      </c>
      <c r="F138" s="256">
        <v>3.3</v>
      </c>
      <c r="G138" s="256">
        <v>0.23</v>
      </c>
      <c r="H138" s="256">
        <v>0.15</v>
      </c>
      <c r="I138" s="256">
        <f t="shared" si="8"/>
        <v>0.11384999999999999</v>
      </c>
      <c r="J138" s="571"/>
    </row>
    <row r="139" spans="1:13" ht="24.95" customHeight="1">
      <c r="A139" s="575"/>
      <c r="B139" s="139" t="s">
        <v>642</v>
      </c>
      <c r="C139" s="585">
        <v>1</v>
      </c>
      <c r="D139" s="585" t="s">
        <v>56</v>
      </c>
      <c r="E139" s="585">
        <v>3</v>
      </c>
      <c r="F139" s="256">
        <v>3.6</v>
      </c>
      <c r="G139" s="256">
        <v>0.23</v>
      </c>
      <c r="H139" s="256">
        <v>0.15</v>
      </c>
      <c r="I139" s="256">
        <f t="shared" si="8"/>
        <v>0.37260000000000004</v>
      </c>
      <c r="J139" s="571"/>
    </row>
    <row r="140" spans="1:13" ht="24.95" customHeight="1">
      <c r="A140" s="575"/>
      <c r="B140" s="139" t="s">
        <v>643</v>
      </c>
      <c r="C140" s="585">
        <v>1</v>
      </c>
      <c r="D140" s="585" t="s">
        <v>56</v>
      </c>
      <c r="E140" s="585">
        <v>2</v>
      </c>
      <c r="F140" s="256">
        <v>6</v>
      </c>
      <c r="G140" s="256">
        <v>0.23</v>
      </c>
      <c r="H140" s="256">
        <v>0.15</v>
      </c>
      <c r="I140" s="256">
        <f t="shared" si="8"/>
        <v>0.41400000000000003</v>
      </c>
      <c r="J140" s="571"/>
    </row>
    <row r="141" spans="1:13" ht="24.95" customHeight="1">
      <c r="A141" s="575"/>
      <c r="B141" s="139" t="s">
        <v>644</v>
      </c>
      <c r="C141" s="585">
        <v>1</v>
      </c>
      <c r="D141" s="585" t="s">
        <v>56</v>
      </c>
      <c r="E141" s="585">
        <v>1</v>
      </c>
      <c r="F141" s="256">
        <v>8.0299999999999994</v>
      </c>
      <c r="G141" s="256">
        <v>0.23</v>
      </c>
      <c r="H141" s="256">
        <v>0.15</v>
      </c>
      <c r="I141" s="256">
        <f t="shared" si="8"/>
        <v>0.27703499999999998</v>
      </c>
      <c r="J141" s="266"/>
    </row>
    <row r="142" spans="1:13" ht="24.95" customHeight="1">
      <c r="A142" s="575"/>
      <c r="B142" s="139" t="s">
        <v>645</v>
      </c>
      <c r="C142" s="585">
        <v>1</v>
      </c>
      <c r="D142" s="585" t="s">
        <v>56</v>
      </c>
      <c r="E142" s="585">
        <v>2</v>
      </c>
      <c r="F142" s="256">
        <v>17</v>
      </c>
      <c r="G142" s="256">
        <v>0.23</v>
      </c>
      <c r="H142" s="256">
        <v>0.15</v>
      </c>
      <c r="I142" s="256">
        <f t="shared" si="8"/>
        <v>1.173</v>
      </c>
      <c r="J142" s="571"/>
    </row>
    <row r="143" spans="1:13" ht="24.95" customHeight="1">
      <c r="A143" s="575"/>
      <c r="B143" s="139" t="s">
        <v>646</v>
      </c>
      <c r="C143" s="585">
        <v>1</v>
      </c>
      <c r="D143" s="585" t="s">
        <v>56</v>
      </c>
      <c r="E143" s="585">
        <v>4</v>
      </c>
      <c r="F143" s="256">
        <v>4.96</v>
      </c>
      <c r="G143" s="256">
        <v>0.23</v>
      </c>
      <c r="H143" s="256">
        <v>0.15</v>
      </c>
      <c r="I143" s="256">
        <f t="shared" si="8"/>
        <v>0.68447999999999998</v>
      </c>
      <c r="J143" s="571"/>
      <c r="M143" s="570">
        <v>2.98</v>
      </c>
    </row>
    <row r="144" spans="1:13" ht="24.95" customHeight="1">
      <c r="A144" s="575"/>
      <c r="B144" s="139" t="s">
        <v>646</v>
      </c>
      <c r="C144" s="585">
        <v>1</v>
      </c>
      <c r="D144" s="585" t="s">
        <v>56</v>
      </c>
      <c r="E144" s="585">
        <v>4</v>
      </c>
      <c r="F144" s="256">
        <v>5.78</v>
      </c>
      <c r="G144" s="256">
        <v>0.23</v>
      </c>
      <c r="H144" s="256">
        <v>0.15</v>
      </c>
      <c r="I144" s="256">
        <f t="shared" si="8"/>
        <v>0.79764000000000002</v>
      </c>
      <c r="J144" s="571"/>
      <c r="M144" s="570">
        <v>1.49</v>
      </c>
    </row>
    <row r="145" spans="1:10" ht="24.95" customHeight="1">
      <c r="A145" s="575"/>
      <c r="B145" s="139" t="s">
        <v>685</v>
      </c>
      <c r="C145" s="585">
        <v>1</v>
      </c>
      <c r="D145" s="585" t="s">
        <v>56</v>
      </c>
      <c r="E145" s="585">
        <v>1</v>
      </c>
      <c r="F145" s="256">
        <v>21.32</v>
      </c>
      <c r="G145" s="256">
        <v>0.23</v>
      </c>
      <c r="H145" s="256">
        <v>0.15</v>
      </c>
      <c r="I145" s="256">
        <f t="shared" si="8"/>
        <v>0.73553999999999997</v>
      </c>
      <c r="J145" s="571"/>
    </row>
    <row r="146" spans="1:10" ht="24.95" customHeight="1">
      <c r="A146" s="575"/>
      <c r="B146" s="142" t="s">
        <v>1296</v>
      </c>
      <c r="C146" s="585"/>
      <c r="D146" s="585"/>
      <c r="E146" s="585"/>
      <c r="F146" s="256"/>
      <c r="G146" s="256"/>
      <c r="H146" s="256"/>
      <c r="I146" s="256"/>
      <c r="J146" s="571"/>
    </row>
    <row r="147" spans="1:10" ht="24.95" customHeight="1">
      <c r="A147" s="575"/>
      <c r="B147" s="139" t="s">
        <v>674</v>
      </c>
      <c r="C147" s="585">
        <v>1</v>
      </c>
      <c r="D147" s="585" t="s">
        <v>56</v>
      </c>
      <c r="E147" s="585">
        <v>5</v>
      </c>
      <c r="F147" s="256">
        <v>0.23</v>
      </c>
      <c r="G147" s="256">
        <v>0.38</v>
      </c>
      <c r="H147" s="256">
        <v>0.97</v>
      </c>
      <c r="I147" s="256">
        <f t="shared" ref="I147:I152" si="9">PRODUCT(C147:H147)</f>
        <v>0.42389000000000004</v>
      </c>
      <c r="J147" s="571"/>
    </row>
    <row r="148" spans="1:10" ht="24.95" customHeight="1">
      <c r="A148" s="575"/>
      <c r="B148" s="139" t="s">
        <v>675</v>
      </c>
      <c r="C148" s="585">
        <v>1</v>
      </c>
      <c r="D148" s="585" t="s">
        <v>56</v>
      </c>
      <c r="E148" s="585">
        <v>4</v>
      </c>
      <c r="F148" s="256">
        <v>0.23</v>
      </c>
      <c r="G148" s="256">
        <v>0.45</v>
      </c>
      <c r="H148" s="256">
        <v>0.97</v>
      </c>
      <c r="I148" s="256">
        <f t="shared" si="9"/>
        <v>0.40158000000000005</v>
      </c>
      <c r="J148" s="571"/>
    </row>
    <row r="149" spans="1:10" ht="24.95" customHeight="1">
      <c r="A149" s="575"/>
      <c r="B149" s="139" t="s">
        <v>676</v>
      </c>
      <c r="C149" s="585">
        <v>1</v>
      </c>
      <c r="D149" s="585" t="s">
        <v>56</v>
      </c>
      <c r="E149" s="585">
        <v>3</v>
      </c>
      <c r="F149" s="256">
        <v>0.23</v>
      </c>
      <c r="G149" s="256">
        <v>0.6</v>
      </c>
      <c r="H149" s="256">
        <v>0.97</v>
      </c>
      <c r="I149" s="256">
        <f t="shared" si="9"/>
        <v>0.40158000000000005</v>
      </c>
      <c r="J149" s="571"/>
    </row>
    <row r="150" spans="1:10" ht="24.95" customHeight="1">
      <c r="A150" s="575"/>
      <c r="B150" s="139" t="s">
        <v>677</v>
      </c>
      <c r="C150" s="585">
        <v>1</v>
      </c>
      <c r="D150" s="585" t="s">
        <v>56</v>
      </c>
      <c r="E150" s="585">
        <v>2</v>
      </c>
      <c r="F150" s="256">
        <v>0.3</v>
      </c>
      <c r="G150" s="256">
        <v>0.38</v>
      </c>
      <c r="H150" s="256">
        <v>0.97</v>
      </c>
      <c r="I150" s="256">
        <f t="shared" si="9"/>
        <v>0.22115999999999997</v>
      </c>
      <c r="J150" s="571"/>
    </row>
    <row r="151" spans="1:10" ht="24.95" customHeight="1">
      <c r="A151" s="575"/>
      <c r="B151" s="139" t="s">
        <v>678</v>
      </c>
      <c r="C151" s="585">
        <v>1</v>
      </c>
      <c r="D151" s="585" t="s">
        <v>56</v>
      </c>
      <c r="E151" s="585">
        <v>4</v>
      </c>
      <c r="F151" s="256">
        <v>0.3</v>
      </c>
      <c r="G151" s="256">
        <v>0.6</v>
      </c>
      <c r="H151" s="256">
        <v>0.97</v>
      </c>
      <c r="I151" s="256">
        <f t="shared" si="9"/>
        <v>0.69839999999999991</v>
      </c>
      <c r="J151" s="571"/>
    </row>
    <row r="152" spans="1:10" ht="24.95" customHeight="1">
      <c r="A152" s="575"/>
      <c r="B152" s="139" t="s">
        <v>679</v>
      </c>
      <c r="C152" s="585">
        <v>1</v>
      </c>
      <c r="D152" s="585" t="s">
        <v>56</v>
      </c>
      <c r="E152" s="585">
        <v>9</v>
      </c>
      <c r="F152" s="256">
        <v>0.3</v>
      </c>
      <c r="G152" s="256">
        <v>0.38</v>
      </c>
      <c r="H152" s="256">
        <v>0.97</v>
      </c>
      <c r="I152" s="256">
        <f t="shared" si="9"/>
        <v>0.99521999999999977</v>
      </c>
      <c r="J152" s="571"/>
    </row>
    <row r="153" spans="1:10" ht="24.95" customHeight="1">
      <c r="A153" s="575"/>
      <c r="B153" s="142" t="s">
        <v>1297</v>
      </c>
      <c r="C153" s="585"/>
      <c r="D153" s="585"/>
      <c r="E153" s="585"/>
      <c r="F153" s="256"/>
      <c r="G153" s="256"/>
      <c r="H153" s="256"/>
      <c r="I153" s="256"/>
      <c r="J153" s="571"/>
    </row>
    <row r="154" spans="1:10" ht="24.95" customHeight="1">
      <c r="A154" s="575"/>
      <c r="B154" s="139" t="s">
        <v>639</v>
      </c>
      <c r="C154" s="585">
        <v>1</v>
      </c>
      <c r="D154" s="585" t="s">
        <v>56</v>
      </c>
      <c r="E154" s="585">
        <v>1</v>
      </c>
      <c r="F154" s="256">
        <v>64.88</v>
      </c>
      <c r="G154" s="256">
        <v>0.23</v>
      </c>
      <c r="H154" s="256">
        <v>0.26</v>
      </c>
      <c r="I154" s="256">
        <f t="shared" ref="I154:I164" si="10">PRODUCT(C154:H154)</f>
        <v>3.8798240000000002</v>
      </c>
      <c r="J154" s="571"/>
    </row>
    <row r="155" spans="1:10" ht="24.95" customHeight="1">
      <c r="A155" s="575"/>
      <c r="B155" s="139" t="s">
        <v>640</v>
      </c>
      <c r="C155" s="585">
        <v>1</v>
      </c>
      <c r="D155" s="585" t="s">
        <v>56</v>
      </c>
      <c r="E155" s="585">
        <v>1</v>
      </c>
      <c r="F155" s="256">
        <v>20.12</v>
      </c>
      <c r="G155" s="256">
        <v>0.23</v>
      </c>
      <c r="H155" s="256">
        <v>0.26</v>
      </c>
      <c r="I155" s="256">
        <f t="shared" si="10"/>
        <v>1.203176</v>
      </c>
      <c r="J155" s="571"/>
    </row>
    <row r="156" spans="1:10" ht="24.95" customHeight="1">
      <c r="A156" s="575"/>
      <c r="B156" s="139"/>
      <c r="C156" s="585">
        <v>1</v>
      </c>
      <c r="D156" s="585" t="s">
        <v>56</v>
      </c>
      <c r="E156" s="585">
        <v>1</v>
      </c>
      <c r="F156" s="256">
        <v>16.59</v>
      </c>
      <c r="G156" s="256">
        <v>0.23</v>
      </c>
      <c r="H156" s="256">
        <v>0.26</v>
      </c>
      <c r="I156" s="256">
        <f t="shared" si="10"/>
        <v>0.99208200000000002</v>
      </c>
      <c r="J156" s="571"/>
    </row>
    <row r="157" spans="1:10" ht="24.95" customHeight="1">
      <c r="A157" s="575"/>
      <c r="B157" s="139" t="s">
        <v>641</v>
      </c>
      <c r="C157" s="585">
        <v>1</v>
      </c>
      <c r="D157" s="585" t="s">
        <v>56</v>
      </c>
      <c r="E157" s="585">
        <v>1</v>
      </c>
      <c r="F157" s="256">
        <v>3.3</v>
      </c>
      <c r="G157" s="256">
        <v>0.23</v>
      </c>
      <c r="H157" s="256">
        <v>0.26</v>
      </c>
      <c r="I157" s="256">
        <f t="shared" si="10"/>
        <v>0.19734000000000002</v>
      </c>
      <c r="J157" s="571"/>
    </row>
    <row r="158" spans="1:10" ht="24.95" customHeight="1">
      <c r="A158" s="575"/>
      <c r="B158" s="139" t="s">
        <v>642</v>
      </c>
      <c r="C158" s="585">
        <v>1</v>
      </c>
      <c r="D158" s="585" t="s">
        <v>56</v>
      </c>
      <c r="E158" s="585">
        <v>3</v>
      </c>
      <c r="F158" s="256">
        <v>3.6</v>
      </c>
      <c r="G158" s="256">
        <v>0.23</v>
      </c>
      <c r="H158" s="256">
        <v>0.26</v>
      </c>
      <c r="I158" s="256">
        <f t="shared" si="10"/>
        <v>0.64584000000000008</v>
      </c>
      <c r="J158" s="571"/>
    </row>
    <row r="159" spans="1:10" ht="24.95" customHeight="1">
      <c r="A159" s="575"/>
      <c r="B159" s="139" t="s">
        <v>643</v>
      </c>
      <c r="C159" s="585">
        <v>1</v>
      </c>
      <c r="D159" s="585" t="s">
        <v>56</v>
      </c>
      <c r="E159" s="585">
        <v>2</v>
      </c>
      <c r="F159" s="256">
        <v>6</v>
      </c>
      <c r="G159" s="256">
        <v>0.23</v>
      </c>
      <c r="H159" s="256">
        <v>0.26</v>
      </c>
      <c r="I159" s="256">
        <f t="shared" si="10"/>
        <v>0.71760000000000013</v>
      </c>
      <c r="J159" s="571"/>
    </row>
    <row r="160" spans="1:10" ht="24.95" customHeight="1">
      <c r="A160" s="575"/>
      <c r="B160" s="139" t="s">
        <v>644</v>
      </c>
      <c r="C160" s="585">
        <v>1</v>
      </c>
      <c r="D160" s="585" t="s">
        <v>56</v>
      </c>
      <c r="E160" s="585">
        <v>1</v>
      </c>
      <c r="F160" s="256">
        <v>8.0299999999999994</v>
      </c>
      <c r="G160" s="256">
        <v>0.23</v>
      </c>
      <c r="H160" s="256">
        <v>0.26</v>
      </c>
      <c r="I160" s="256">
        <f t="shared" si="10"/>
        <v>0.48019400000000001</v>
      </c>
      <c r="J160" s="571"/>
    </row>
    <row r="161" spans="1:13" ht="24.95" customHeight="1">
      <c r="A161" s="575"/>
      <c r="B161" s="139" t="s">
        <v>645</v>
      </c>
      <c r="C161" s="585">
        <v>1</v>
      </c>
      <c r="D161" s="585" t="s">
        <v>56</v>
      </c>
      <c r="E161" s="585">
        <v>2</v>
      </c>
      <c r="F161" s="256">
        <v>17</v>
      </c>
      <c r="G161" s="256">
        <v>0.23</v>
      </c>
      <c r="H161" s="256">
        <v>0.26</v>
      </c>
      <c r="I161" s="256">
        <f t="shared" si="10"/>
        <v>2.0332000000000003</v>
      </c>
      <c r="J161" s="571"/>
    </row>
    <row r="162" spans="1:13" ht="24.95" customHeight="1">
      <c r="A162" s="575"/>
      <c r="B162" s="139" t="s">
        <v>646</v>
      </c>
      <c r="C162" s="585">
        <v>1</v>
      </c>
      <c r="D162" s="585" t="s">
        <v>56</v>
      </c>
      <c r="E162" s="585">
        <v>4</v>
      </c>
      <c r="F162" s="256">
        <v>4.96</v>
      </c>
      <c r="G162" s="256">
        <v>0.23</v>
      </c>
      <c r="H162" s="256">
        <v>0.26</v>
      </c>
      <c r="I162" s="256">
        <f t="shared" si="10"/>
        <v>1.1864320000000002</v>
      </c>
      <c r="J162" s="571"/>
    </row>
    <row r="163" spans="1:13" ht="24.95" customHeight="1">
      <c r="A163" s="575"/>
      <c r="B163" s="139" t="s">
        <v>646</v>
      </c>
      <c r="C163" s="585">
        <v>1</v>
      </c>
      <c r="D163" s="585" t="s">
        <v>56</v>
      </c>
      <c r="E163" s="585">
        <v>4</v>
      </c>
      <c r="F163" s="256">
        <v>5.78</v>
      </c>
      <c r="G163" s="256">
        <v>0.23</v>
      </c>
      <c r="H163" s="256">
        <v>0.26</v>
      </c>
      <c r="I163" s="256">
        <f t="shared" si="10"/>
        <v>1.3825760000000002</v>
      </c>
      <c r="J163" s="571"/>
    </row>
    <row r="164" spans="1:13" ht="24.95" customHeight="1">
      <c r="A164" s="575"/>
      <c r="B164" s="139" t="s">
        <v>1298</v>
      </c>
      <c r="C164" s="585">
        <v>1</v>
      </c>
      <c r="D164" s="585" t="s">
        <v>56</v>
      </c>
      <c r="E164" s="585">
        <v>1</v>
      </c>
      <c r="F164" s="256">
        <v>19.399999999999999</v>
      </c>
      <c r="G164" s="256">
        <v>11.2</v>
      </c>
      <c r="H164" s="256">
        <v>0.12</v>
      </c>
      <c r="I164" s="256">
        <f t="shared" si="10"/>
        <v>26.073599999999995</v>
      </c>
      <c r="J164" s="571"/>
    </row>
    <row r="165" spans="1:13" ht="24.95" customHeight="1">
      <c r="A165" s="575"/>
      <c r="B165" s="139" t="s">
        <v>1299</v>
      </c>
      <c r="C165" s="585">
        <v>1</v>
      </c>
      <c r="D165" s="585" t="s">
        <v>56</v>
      </c>
      <c r="E165" s="585">
        <v>1</v>
      </c>
      <c r="F165" s="256">
        <v>21.78</v>
      </c>
      <c r="G165" s="256">
        <v>12.32</v>
      </c>
      <c r="H165" s="256">
        <v>0.12</v>
      </c>
      <c r="I165" s="256">
        <f>PRODUCT(C165:H165)</f>
        <v>32.199552000000004</v>
      </c>
      <c r="J165" s="571"/>
    </row>
    <row r="166" spans="1:13" ht="24.95" customHeight="1">
      <c r="A166" s="575"/>
      <c r="B166" s="139" t="s">
        <v>686</v>
      </c>
      <c r="C166" s="585">
        <v>1</v>
      </c>
      <c r="D166" s="585" t="s">
        <v>56</v>
      </c>
      <c r="E166" s="585">
        <v>1</v>
      </c>
      <c r="F166" s="256">
        <v>5</v>
      </c>
      <c r="G166" s="256">
        <v>1.5</v>
      </c>
      <c r="H166" s="256">
        <v>0.1</v>
      </c>
      <c r="I166" s="256">
        <f>PRODUCT(C166:H166)</f>
        <v>0.75</v>
      </c>
      <c r="J166" s="571"/>
    </row>
    <row r="167" spans="1:13" ht="24" customHeight="1">
      <c r="A167" s="575"/>
      <c r="B167" s="139" t="s">
        <v>687</v>
      </c>
      <c r="C167" s="585">
        <v>1</v>
      </c>
      <c r="D167" s="585" t="s">
        <v>56</v>
      </c>
      <c r="E167" s="585">
        <v>1</v>
      </c>
      <c r="F167" s="256">
        <v>11.8</v>
      </c>
      <c r="G167" s="256">
        <v>0.2</v>
      </c>
      <c r="H167" s="256">
        <v>1.2</v>
      </c>
      <c r="I167" s="256">
        <f>PRODUCT(C167:H167)</f>
        <v>2.8320000000000003</v>
      </c>
      <c r="J167" s="571"/>
    </row>
    <row r="168" spans="1:13" ht="24.95" customHeight="1">
      <c r="A168" s="575"/>
      <c r="B168" s="139"/>
      <c r="C168" s="585"/>
      <c r="D168" s="585"/>
      <c r="E168" s="585"/>
      <c r="F168" s="256"/>
      <c r="G168" s="256"/>
      <c r="H168" s="256"/>
      <c r="I168" s="256"/>
      <c r="J168" s="571"/>
    </row>
    <row r="169" spans="1:13" ht="24.95" customHeight="1">
      <c r="A169" s="575"/>
      <c r="B169" s="139"/>
      <c r="C169" s="585"/>
      <c r="D169" s="585"/>
      <c r="E169" s="585"/>
      <c r="F169" s="256"/>
      <c r="G169" s="256"/>
      <c r="H169" s="256"/>
      <c r="I169" s="256">
        <f>SUM(I105:I168)</f>
        <v>150.798518</v>
      </c>
      <c r="J169" s="571"/>
    </row>
    <row r="170" spans="1:13" ht="24.95" customHeight="1">
      <c r="A170" s="575"/>
      <c r="B170" s="139"/>
      <c r="C170" s="585"/>
      <c r="D170" s="585"/>
      <c r="E170" s="585"/>
      <c r="F170" s="256"/>
      <c r="G170" s="256"/>
      <c r="H170" s="581" t="s">
        <v>203</v>
      </c>
      <c r="I170" s="600">
        <f>ROUNDUP(I169,1)</f>
        <v>150.79999999999998</v>
      </c>
      <c r="J170" s="571" t="s">
        <v>16</v>
      </c>
      <c r="M170" s="570">
        <v>120</v>
      </c>
    </row>
    <row r="171" spans="1:13" ht="24.95" customHeight="1">
      <c r="A171" s="575"/>
      <c r="B171" s="139"/>
      <c r="C171" s="585"/>
      <c r="D171" s="585"/>
      <c r="E171" s="585"/>
      <c r="F171" s="256"/>
      <c r="G171" s="601"/>
      <c r="H171" s="602"/>
      <c r="I171" s="603"/>
      <c r="J171" s="266"/>
    </row>
    <row r="172" spans="1:13" ht="43.15" customHeight="1">
      <c r="A172" s="575">
        <v>6.5</v>
      </c>
      <c r="B172" s="142" t="s">
        <v>688</v>
      </c>
      <c r="C172" s="585"/>
      <c r="D172" s="585"/>
      <c r="E172" s="585"/>
      <c r="F172" s="256"/>
      <c r="G172" s="1424" t="s">
        <v>689</v>
      </c>
      <c r="H172" s="1425"/>
      <c r="I172" s="1426"/>
      <c r="J172" s="571"/>
      <c r="M172" s="570" t="e">
        <f>#REF!*M170</f>
        <v>#REF!</v>
      </c>
    </row>
    <row r="173" spans="1:13" ht="25.5" customHeight="1">
      <c r="A173" s="575"/>
      <c r="B173" s="139" t="s">
        <v>639</v>
      </c>
      <c r="C173" s="585">
        <v>1</v>
      </c>
      <c r="D173" s="585" t="s">
        <v>56</v>
      </c>
      <c r="E173" s="585">
        <v>1</v>
      </c>
      <c r="F173" s="256">
        <v>64.88</v>
      </c>
      <c r="G173" s="256">
        <v>0.23</v>
      </c>
      <c r="H173" s="256">
        <v>2.02</v>
      </c>
      <c r="I173" s="256">
        <f t="shared" ref="I173:I183" si="11">PRODUCT(C173:H173)</f>
        <v>30.143248</v>
      </c>
      <c r="J173" s="571"/>
    </row>
    <row r="174" spans="1:13" ht="24.95" customHeight="1">
      <c r="A174" s="575"/>
      <c r="B174" s="139" t="s">
        <v>640</v>
      </c>
      <c r="C174" s="585">
        <v>1</v>
      </c>
      <c r="D174" s="585" t="s">
        <v>56</v>
      </c>
      <c r="E174" s="585">
        <v>1</v>
      </c>
      <c r="F174" s="256">
        <v>20.12</v>
      </c>
      <c r="G174" s="256">
        <v>0.23</v>
      </c>
      <c r="H174" s="256">
        <v>2.02</v>
      </c>
      <c r="I174" s="256">
        <f t="shared" si="11"/>
        <v>9.3477519999999998</v>
      </c>
      <c r="J174" s="571"/>
    </row>
    <row r="175" spans="1:13" ht="24.95" customHeight="1">
      <c r="A175" s="575"/>
      <c r="B175" s="139"/>
      <c r="C175" s="585">
        <v>1</v>
      </c>
      <c r="D175" s="585" t="s">
        <v>56</v>
      </c>
      <c r="E175" s="585">
        <v>1</v>
      </c>
      <c r="F175" s="256">
        <v>16.59</v>
      </c>
      <c r="G175" s="256">
        <v>0.23</v>
      </c>
      <c r="H175" s="256">
        <v>2.02</v>
      </c>
      <c r="I175" s="256">
        <f t="shared" si="11"/>
        <v>7.7077140000000002</v>
      </c>
      <c r="J175" s="571"/>
    </row>
    <row r="176" spans="1:13" ht="26.25" customHeight="1">
      <c r="A176" s="575"/>
      <c r="B176" s="139" t="s">
        <v>641</v>
      </c>
      <c r="C176" s="585">
        <v>1</v>
      </c>
      <c r="D176" s="585" t="s">
        <v>56</v>
      </c>
      <c r="E176" s="585">
        <v>1</v>
      </c>
      <c r="F176" s="256">
        <v>3.3</v>
      </c>
      <c r="G176" s="256">
        <v>0.23</v>
      </c>
      <c r="H176" s="256">
        <v>2.02</v>
      </c>
      <c r="I176" s="256">
        <f t="shared" si="11"/>
        <v>1.53318</v>
      </c>
      <c r="J176" s="571"/>
    </row>
    <row r="177" spans="1:16" ht="24.95" customHeight="1">
      <c r="A177" s="575"/>
      <c r="B177" s="139" t="s">
        <v>642</v>
      </c>
      <c r="C177" s="585">
        <v>1</v>
      </c>
      <c r="D177" s="585" t="s">
        <v>56</v>
      </c>
      <c r="E177" s="585">
        <v>3</v>
      </c>
      <c r="F177" s="256">
        <v>3.6</v>
      </c>
      <c r="G177" s="256">
        <v>0.23</v>
      </c>
      <c r="H177" s="256">
        <v>2.02</v>
      </c>
      <c r="I177" s="256">
        <f t="shared" si="11"/>
        <v>5.0176800000000013</v>
      </c>
      <c r="J177" s="571"/>
      <c r="N177" s="570">
        <v>0.77</v>
      </c>
      <c r="O177" s="570">
        <v>0.23</v>
      </c>
      <c r="P177" s="570">
        <f>N177-O177</f>
        <v>0.54</v>
      </c>
    </row>
    <row r="178" spans="1:16" ht="24.95" customHeight="1">
      <c r="A178" s="575"/>
      <c r="B178" s="139" t="s">
        <v>643</v>
      </c>
      <c r="C178" s="585">
        <v>1</v>
      </c>
      <c r="D178" s="585" t="s">
        <v>56</v>
      </c>
      <c r="E178" s="585">
        <v>2</v>
      </c>
      <c r="F178" s="256">
        <v>6</v>
      </c>
      <c r="G178" s="256">
        <v>0.23</v>
      </c>
      <c r="H178" s="256">
        <v>2.02</v>
      </c>
      <c r="I178" s="256">
        <f t="shared" si="11"/>
        <v>5.5752000000000006</v>
      </c>
      <c r="J178" s="571"/>
    </row>
    <row r="179" spans="1:16" ht="24.95" customHeight="1">
      <c r="A179" s="575"/>
      <c r="B179" s="139" t="s">
        <v>644</v>
      </c>
      <c r="C179" s="585">
        <v>1</v>
      </c>
      <c r="D179" s="585" t="s">
        <v>56</v>
      </c>
      <c r="E179" s="585">
        <v>1</v>
      </c>
      <c r="F179" s="256">
        <v>8.0299999999999994</v>
      </c>
      <c r="G179" s="256">
        <v>0.23</v>
      </c>
      <c r="H179" s="256">
        <v>2.02</v>
      </c>
      <c r="I179" s="256">
        <f t="shared" si="11"/>
        <v>3.7307380000000001</v>
      </c>
      <c r="J179" s="571"/>
    </row>
    <row r="180" spans="1:16" ht="24.95" customHeight="1">
      <c r="A180" s="575"/>
      <c r="B180" s="139" t="s">
        <v>645</v>
      </c>
      <c r="C180" s="585">
        <v>1</v>
      </c>
      <c r="D180" s="585" t="s">
        <v>56</v>
      </c>
      <c r="E180" s="585">
        <v>2</v>
      </c>
      <c r="F180" s="256">
        <v>17</v>
      </c>
      <c r="G180" s="256">
        <v>0.23</v>
      </c>
      <c r="H180" s="256">
        <v>2.02</v>
      </c>
      <c r="I180" s="256">
        <f t="shared" si="11"/>
        <v>15.7964</v>
      </c>
      <c r="J180" s="571"/>
    </row>
    <row r="181" spans="1:16" ht="24.95" customHeight="1">
      <c r="A181" s="575"/>
      <c r="B181" s="139" t="s">
        <v>646</v>
      </c>
      <c r="C181" s="585">
        <v>1</v>
      </c>
      <c r="D181" s="585" t="s">
        <v>56</v>
      </c>
      <c r="E181" s="585">
        <v>4</v>
      </c>
      <c r="F181" s="256">
        <v>4.96</v>
      </c>
      <c r="G181" s="256">
        <v>0.23</v>
      </c>
      <c r="H181" s="256">
        <v>1.17</v>
      </c>
      <c r="I181" s="256">
        <f t="shared" si="11"/>
        <v>5.3389439999999997</v>
      </c>
      <c r="J181" s="571"/>
    </row>
    <row r="182" spans="1:16" ht="24.95" customHeight="1">
      <c r="A182" s="575"/>
      <c r="B182" s="139" t="s">
        <v>646</v>
      </c>
      <c r="C182" s="585">
        <v>1</v>
      </c>
      <c r="D182" s="585" t="s">
        <v>56</v>
      </c>
      <c r="E182" s="585">
        <v>4</v>
      </c>
      <c r="F182" s="256">
        <v>5.78</v>
      </c>
      <c r="G182" s="256">
        <v>0.23</v>
      </c>
      <c r="H182" s="256">
        <v>1.17</v>
      </c>
      <c r="I182" s="256">
        <f t="shared" si="11"/>
        <v>6.2215920000000002</v>
      </c>
      <c r="J182" s="571"/>
    </row>
    <row r="183" spans="1:16" ht="24.95" customHeight="1">
      <c r="A183" s="575"/>
      <c r="B183" s="139" t="s">
        <v>690</v>
      </c>
      <c r="C183" s="585">
        <v>1</v>
      </c>
      <c r="D183" s="585" t="s">
        <v>56</v>
      </c>
      <c r="E183" s="585">
        <v>1</v>
      </c>
      <c r="F183" s="256">
        <v>2</v>
      </c>
      <c r="G183" s="256">
        <v>0.23</v>
      </c>
      <c r="H183" s="256">
        <v>1.45</v>
      </c>
      <c r="I183" s="256">
        <f t="shared" si="11"/>
        <v>0.66700000000000004</v>
      </c>
      <c r="J183" s="571"/>
    </row>
    <row r="184" spans="1:16" ht="24.95" customHeight="1">
      <c r="A184" s="575"/>
      <c r="B184" s="139" t="s">
        <v>691</v>
      </c>
      <c r="C184" s="585">
        <v>1</v>
      </c>
      <c r="D184" s="585" t="s">
        <v>56</v>
      </c>
      <c r="E184" s="585">
        <v>9</v>
      </c>
      <c r="F184" s="256">
        <v>3.32</v>
      </c>
      <c r="G184" s="256">
        <v>0.23</v>
      </c>
      <c r="H184" s="256">
        <v>0.9</v>
      </c>
      <c r="I184" s="256">
        <f>PRODUCT(E184:H184)</f>
        <v>6.1851599999999998</v>
      </c>
      <c r="J184" s="571"/>
    </row>
    <row r="185" spans="1:16" ht="24.95" customHeight="1">
      <c r="A185" s="575"/>
      <c r="B185" s="139" t="s">
        <v>147</v>
      </c>
      <c r="C185" s="585"/>
      <c r="D185" s="585"/>
      <c r="E185" s="585"/>
      <c r="F185" s="256"/>
      <c r="G185" s="256"/>
      <c r="H185" s="256"/>
      <c r="I185" s="256"/>
      <c r="J185" s="571"/>
    </row>
    <row r="186" spans="1:16" ht="24.95" customHeight="1">
      <c r="A186" s="575"/>
      <c r="B186" s="139" t="s">
        <v>692</v>
      </c>
      <c r="C186" s="585">
        <v>-1</v>
      </c>
      <c r="D186" s="585" t="s">
        <v>56</v>
      </c>
      <c r="E186" s="585">
        <v>5</v>
      </c>
      <c r="F186" s="256">
        <v>0.23</v>
      </c>
      <c r="G186" s="256">
        <v>0.38</v>
      </c>
      <c r="H186" s="256">
        <v>2.02</v>
      </c>
      <c r="I186" s="256">
        <f t="shared" ref="I186:I191" si="12">PRODUCT(C186:H186)</f>
        <v>-0.88274000000000008</v>
      </c>
      <c r="J186" s="571"/>
    </row>
    <row r="187" spans="1:16" ht="24.95" customHeight="1">
      <c r="A187" s="575"/>
      <c r="B187" s="139" t="s">
        <v>675</v>
      </c>
      <c r="C187" s="585">
        <v>-1</v>
      </c>
      <c r="D187" s="585" t="s">
        <v>56</v>
      </c>
      <c r="E187" s="585">
        <v>4</v>
      </c>
      <c r="F187" s="256">
        <v>0.23</v>
      </c>
      <c r="G187" s="256">
        <v>0.45</v>
      </c>
      <c r="H187" s="256">
        <v>2.02</v>
      </c>
      <c r="I187" s="256">
        <f t="shared" si="12"/>
        <v>-0.83628000000000002</v>
      </c>
      <c r="J187" s="571"/>
    </row>
    <row r="188" spans="1:16" ht="24.95" customHeight="1">
      <c r="A188" s="575"/>
      <c r="B188" s="139" t="s">
        <v>693</v>
      </c>
      <c r="C188" s="585">
        <v>-1</v>
      </c>
      <c r="D188" s="585" t="s">
        <v>56</v>
      </c>
      <c r="E188" s="585">
        <v>3</v>
      </c>
      <c r="F188" s="256">
        <v>0.23</v>
      </c>
      <c r="G188" s="256">
        <v>0.6</v>
      </c>
      <c r="H188" s="256">
        <v>2.02</v>
      </c>
      <c r="I188" s="256">
        <f t="shared" si="12"/>
        <v>-0.83628000000000002</v>
      </c>
      <c r="J188" s="571"/>
    </row>
    <row r="189" spans="1:16" ht="24.95" customHeight="1">
      <c r="A189" s="575"/>
      <c r="B189" s="139" t="s">
        <v>677</v>
      </c>
      <c r="C189" s="585">
        <v>-1</v>
      </c>
      <c r="D189" s="585" t="s">
        <v>56</v>
      </c>
      <c r="E189" s="585">
        <v>2</v>
      </c>
      <c r="F189" s="256">
        <v>0.3</v>
      </c>
      <c r="G189" s="256">
        <v>0.38</v>
      </c>
      <c r="H189" s="256">
        <v>2.02</v>
      </c>
      <c r="I189" s="256">
        <f t="shared" si="12"/>
        <v>-0.46055999999999997</v>
      </c>
      <c r="J189" s="571"/>
    </row>
    <row r="190" spans="1:16" ht="24.95" customHeight="1">
      <c r="A190" s="575"/>
      <c r="B190" s="139" t="s">
        <v>678</v>
      </c>
      <c r="C190" s="585">
        <v>-1</v>
      </c>
      <c r="D190" s="585" t="s">
        <v>56</v>
      </c>
      <c r="E190" s="585">
        <v>4</v>
      </c>
      <c r="F190" s="256">
        <v>0.3</v>
      </c>
      <c r="G190" s="256">
        <v>0.6</v>
      </c>
      <c r="H190" s="256">
        <v>2.02</v>
      </c>
      <c r="I190" s="256">
        <f t="shared" si="12"/>
        <v>-1.4543999999999999</v>
      </c>
      <c r="J190" s="571"/>
    </row>
    <row r="191" spans="1:16" ht="24.95" customHeight="1">
      <c r="A191" s="575"/>
      <c r="B191" s="139" t="s">
        <v>679</v>
      </c>
      <c r="C191" s="585">
        <v>-1</v>
      </c>
      <c r="D191" s="585" t="s">
        <v>56</v>
      </c>
      <c r="E191" s="585">
        <v>9</v>
      </c>
      <c r="F191" s="256">
        <v>0.3</v>
      </c>
      <c r="G191" s="256">
        <v>0.38</v>
      </c>
      <c r="H191" s="256">
        <v>2.02</v>
      </c>
      <c r="I191" s="256">
        <f t="shared" si="12"/>
        <v>-2.0725199999999995</v>
      </c>
      <c r="J191" s="571"/>
    </row>
    <row r="192" spans="1:16" ht="24.95" customHeight="1">
      <c r="A192" s="575"/>
      <c r="B192" s="239"/>
      <c r="C192" s="242"/>
      <c r="D192" s="242"/>
      <c r="E192" s="242"/>
      <c r="F192" s="256"/>
      <c r="G192" s="256"/>
      <c r="H192" s="256"/>
      <c r="I192" s="256">
        <f>SUM(I173:I191)</f>
        <v>90.721828000000002</v>
      </c>
      <c r="J192" s="571"/>
    </row>
    <row r="193" spans="1:10" ht="24.95" customHeight="1">
      <c r="A193" s="575"/>
      <c r="B193" s="139"/>
      <c r="C193" s="585"/>
      <c r="D193" s="585"/>
      <c r="E193" s="585"/>
      <c r="F193" s="256"/>
      <c r="G193" s="256"/>
      <c r="H193" s="259" t="s">
        <v>15</v>
      </c>
      <c r="I193" s="259">
        <f>ROUNDUP(I192,1-0)</f>
        <v>90.8</v>
      </c>
      <c r="J193" s="266" t="s">
        <v>16</v>
      </c>
    </row>
    <row r="194" spans="1:10" ht="48" customHeight="1">
      <c r="A194" s="575">
        <v>8.1</v>
      </c>
      <c r="B194" s="142" t="s">
        <v>547</v>
      </c>
      <c r="C194" s="585"/>
      <c r="D194" s="585"/>
      <c r="E194" s="585"/>
      <c r="F194" s="256"/>
      <c r="G194" s="256"/>
      <c r="H194" s="256"/>
      <c r="I194" s="256"/>
      <c r="J194" s="571"/>
    </row>
    <row r="195" spans="1:10" ht="24.95" customHeight="1">
      <c r="A195" s="575"/>
      <c r="B195" s="142" t="s">
        <v>111</v>
      </c>
      <c r="C195" s="585"/>
      <c r="D195" s="585"/>
      <c r="E195" s="585"/>
      <c r="F195" s="256"/>
      <c r="G195" s="256"/>
      <c r="H195" s="256"/>
      <c r="I195" s="256"/>
      <c r="J195" s="571"/>
    </row>
    <row r="196" spans="1:10" ht="24.95" customHeight="1">
      <c r="A196" s="575"/>
      <c r="B196" s="142" t="s">
        <v>694</v>
      </c>
      <c r="C196" s="585"/>
      <c r="D196" s="585"/>
      <c r="E196" s="585"/>
      <c r="F196" s="256"/>
      <c r="G196" s="256"/>
      <c r="H196" s="256"/>
      <c r="I196" s="256"/>
      <c r="J196" s="571"/>
    </row>
    <row r="197" spans="1:10" ht="24.95" customHeight="1">
      <c r="A197" s="575"/>
      <c r="B197" s="139" t="s">
        <v>692</v>
      </c>
      <c r="C197" s="585">
        <v>1</v>
      </c>
      <c r="D197" s="585" t="s">
        <v>56</v>
      </c>
      <c r="E197" s="585">
        <f>E128</f>
        <v>5</v>
      </c>
      <c r="F197" s="256">
        <v>0.23</v>
      </c>
      <c r="G197" s="256">
        <v>0.38</v>
      </c>
      <c r="H197" s="256">
        <v>3.15</v>
      </c>
      <c r="I197" s="256">
        <f t="shared" ref="I197:I203" si="13">PRODUCT(C197:H197)</f>
        <v>1.3765500000000002</v>
      </c>
      <c r="J197" s="571"/>
    </row>
    <row r="198" spans="1:10" ht="24.95" customHeight="1">
      <c r="A198" s="575"/>
      <c r="B198" s="139" t="s">
        <v>675</v>
      </c>
      <c r="C198" s="585">
        <v>1</v>
      </c>
      <c r="D198" s="585" t="s">
        <v>56</v>
      </c>
      <c r="E198" s="585">
        <v>2</v>
      </c>
      <c r="F198" s="256">
        <v>0.23</v>
      </c>
      <c r="G198" s="256">
        <v>0.45</v>
      </c>
      <c r="H198" s="256">
        <v>3.15</v>
      </c>
      <c r="I198" s="256">
        <f>PRODUCT(C198:H198)</f>
        <v>0.65205000000000002</v>
      </c>
      <c r="J198" s="571"/>
    </row>
    <row r="199" spans="1:10" ht="24.95" customHeight="1">
      <c r="A199" s="575"/>
      <c r="B199" s="139" t="s">
        <v>675</v>
      </c>
      <c r="C199" s="585">
        <v>1</v>
      </c>
      <c r="D199" s="585" t="s">
        <v>56</v>
      </c>
      <c r="E199" s="585">
        <v>2</v>
      </c>
      <c r="F199" s="256">
        <v>0.23</v>
      </c>
      <c r="G199" s="256">
        <v>0.45</v>
      </c>
      <c r="H199" s="256">
        <v>3.15</v>
      </c>
      <c r="I199" s="256">
        <f t="shared" si="13"/>
        <v>0.65205000000000002</v>
      </c>
      <c r="J199" s="571"/>
    </row>
    <row r="200" spans="1:10" ht="24.95" customHeight="1">
      <c r="A200" s="575"/>
      <c r="B200" s="139" t="s">
        <v>693</v>
      </c>
      <c r="C200" s="585">
        <v>1</v>
      </c>
      <c r="D200" s="585" t="s">
        <v>56</v>
      </c>
      <c r="E200" s="585">
        <f>E130</f>
        <v>3</v>
      </c>
      <c r="F200" s="256">
        <v>0.23</v>
      </c>
      <c r="G200" s="256">
        <v>0.6</v>
      </c>
      <c r="H200" s="256">
        <v>3.15</v>
      </c>
      <c r="I200" s="256">
        <f t="shared" si="13"/>
        <v>1.3041</v>
      </c>
      <c r="J200" s="571"/>
    </row>
    <row r="201" spans="1:10" ht="24.95" customHeight="1">
      <c r="A201" s="575"/>
      <c r="B201" s="139" t="s">
        <v>677</v>
      </c>
      <c r="C201" s="585">
        <v>1</v>
      </c>
      <c r="D201" s="585" t="s">
        <v>56</v>
      </c>
      <c r="E201" s="585">
        <f>E131</f>
        <v>2</v>
      </c>
      <c r="F201" s="256">
        <v>0.3</v>
      </c>
      <c r="G201" s="256">
        <v>0.38</v>
      </c>
      <c r="H201" s="256">
        <v>3.15</v>
      </c>
      <c r="I201" s="256">
        <f t="shared" si="13"/>
        <v>0.71819999999999995</v>
      </c>
      <c r="J201" s="571"/>
    </row>
    <row r="202" spans="1:10" ht="24.95" customHeight="1">
      <c r="A202" s="575"/>
      <c r="B202" s="139" t="s">
        <v>678</v>
      </c>
      <c r="C202" s="585">
        <v>1</v>
      </c>
      <c r="D202" s="585" t="s">
        <v>56</v>
      </c>
      <c r="E202" s="585">
        <v>4</v>
      </c>
      <c r="F202" s="256">
        <v>0.3</v>
      </c>
      <c r="G202" s="256">
        <v>0.6</v>
      </c>
      <c r="H202" s="256">
        <v>3.15</v>
      </c>
      <c r="I202" s="256">
        <f t="shared" si="13"/>
        <v>2.2679999999999998</v>
      </c>
      <c r="J202" s="571"/>
    </row>
    <row r="203" spans="1:10" ht="24.95" customHeight="1">
      <c r="A203" s="575"/>
      <c r="B203" s="139" t="s">
        <v>679</v>
      </c>
      <c r="C203" s="585">
        <v>1</v>
      </c>
      <c r="D203" s="585" t="s">
        <v>56</v>
      </c>
      <c r="E203" s="585">
        <v>9</v>
      </c>
      <c r="F203" s="256">
        <v>0.38</v>
      </c>
      <c r="G203" s="256">
        <v>0.38</v>
      </c>
      <c r="H203" s="256">
        <v>3.15</v>
      </c>
      <c r="I203" s="256">
        <f t="shared" si="13"/>
        <v>4.0937400000000004</v>
      </c>
      <c r="J203" s="571"/>
    </row>
    <row r="204" spans="1:10" ht="24.95" customHeight="1">
      <c r="A204" s="575"/>
      <c r="B204" s="142" t="s">
        <v>695</v>
      </c>
      <c r="C204" s="585"/>
      <c r="D204" s="585"/>
      <c r="E204" s="585"/>
      <c r="F204" s="256"/>
      <c r="G204" s="256"/>
      <c r="H204" s="256"/>
      <c r="I204" s="256"/>
      <c r="J204" s="571"/>
    </row>
    <row r="205" spans="1:10" ht="24.95" customHeight="1">
      <c r="A205" s="575"/>
      <c r="B205" s="139" t="s">
        <v>639</v>
      </c>
      <c r="C205" s="585">
        <v>1</v>
      </c>
      <c r="D205" s="585" t="s">
        <v>56</v>
      </c>
      <c r="E205" s="585">
        <v>1</v>
      </c>
      <c r="F205" s="256">
        <v>64.88</v>
      </c>
      <c r="G205" s="256">
        <v>0.23</v>
      </c>
      <c r="H205" s="256">
        <v>0.15</v>
      </c>
      <c r="I205" s="256">
        <f t="shared" ref="I205:I213" si="14">PRODUCT(C205:H205)</f>
        <v>2.2383599999999997</v>
      </c>
      <c r="J205" s="571"/>
    </row>
    <row r="206" spans="1:10" ht="33.75" customHeight="1">
      <c r="A206" s="575"/>
      <c r="B206" s="139" t="s">
        <v>640</v>
      </c>
      <c r="C206" s="585">
        <v>1</v>
      </c>
      <c r="D206" s="585" t="s">
        <v>56</v>
      </c>
      <c r="E206" s="585">
        <v>1</v>
      </c>
      <c r="F206" s="256">
        <v>20.12</v>
      </c>
      <c r="G206" s="256">
        <v>0.23</v>
      </c>
      <c r="H206" s="256">
        <v>0.15</v>
      </c>
      <c r="I206" s="256">
        <f t="shared" si="14"/>
        <v>0.69413999999999998</v>
      </c>
      <c r="J206" s="571"/>
    </row>
    <row r="207" spans="1:10" ht="34.5" customHeight="1">
      <c r="A207" s="575"/>
      <c r="B207" s="139"/>
      <c r="C207" s="585">
        <v>1</v>
      </c>
      <c r="D207" s="585" t="s">
        <v>56</v>
      </c>
      <c r="E207" s="585">
        <v>1</v>
      </c>
      <c r="F207" s="256">
        <v>16.59</v>
      </c>
      <c r="G207" s="256">
        <v>0.23</v>
      </c>
      <c r="H207" s="256">
        <v>0.15</v>
      </c>
      <c r="I207" s="256">
        <f t="shared" si="14"/>
        <v>0.57235499999999995</v>
      </c>
      <c r="J207" s="571"/>
    </row>
    <row r="208" spans="1:10" ht="24.95" customHeight="1">
      <c r="A208" s="575"/>
      <c r="B208" s="139" t="s">
        <v>641</v>
      </c>
      <c r="C208" s="585">
        <v>1</v>
      </c>
      <c r="D208" s="585" t="s">
        <v>56</v>
      </c>
      <c r="E208" s="585">
        <v>1</v>
      </c>
      <c r="F208" s="256">
        <v>3.3</v>
      </c>
      <c r="G208" s="256">
        <v>0.23</v>
      </c>
      <c r="H208" s="256">
        <v>0.15</v>
      </c>
      <c r="I208" s="256">
        <f t="shared" si="14"/>
        <v>0.11384999999999999</v>
      </c>
      <c r="J208" s="571"/>
    </row>
    <row r="209" spans="1:10" ht="24.95" customHeight="1">
      <c r="A209" s="575"/>
      <c r="B209" s="139" t="s">
        <v>642</v>
      </c>
      <c r="C209" s="585">
        <v>1</v>
      </c>
      <c r="D209" s="585" t="s">
        <v>56</v>
      </c>
      <c r="E209" s="585">
        <v>3</v>
      </c>
      <c r="F209" s="256">
        <v>3.6</v>
      </c>
      <c r="G209" s="256">
        <v>0.23</v>
      </c>
      <c r="H209" s="256">
        <v>0.15</v>
      </c>
      <c r="I209" s="256">
        <f t="shared" si="14"/>
        <v>0.37260000000000004</v>
      </c>
      <c r="J209" s="571"/>
    </row>
    <row r="210" spans="1:10" ht="24.95" customHeight="1">
      <c r="A210" s="575"/>
      <c r="B210" s="139" t="s">
        <v>643</v>
      </c>
      <c r="C210" s="585">
        <v>1</v>
      </c>
      <c r="D210" s="585" t="s">
        <v>56</v>
      </c>
      <c r="E210" s="585">
        <v>2</v>
      </c>
      <c r="F210" s="256">
        <v>6</v>
      </c>
      <c r="G210" s="256">
        <v>0.23</v>
      </c>
      <c r="H210" s="256">
        <v>0.15</v>
      </c>
      <c r="I210" s="256">
        <f t="shared" si="14"/>
        <v>0.41400000000000003</v>
      </c>
      <c r="J210" s="571"/>
    </row>
    <row r="211" spans="1:10" ht="24.95" customHeight="1">
      <c r="A211" s="575"/>
      <c r="B211" s="139" t="s">
        <v>644</v>
      </c>
      <c r="C211" s="585">
        <v>1</v>
      </c>
      <c r="D211" s="585" t="s">
        <v>56</v>
      </c>
      <c r="E211" s="585">
        <v>1</v>
      </c>
      <c r="F211" s="256">
        <v>8.0299999999999994</v>
      </c>
      <c r="G211" s="256">
        <v>0.23</v>
      </c>
      <c r="H211" s="256">
        <v>0.15</v>
      </c>
      <c r="I211" s="256">
        <f t="shared" si="14"/>
        <v>0.27703499999999998</v>
      </c>
      <c r="J211" s="571"/>
    </row>
    <row r="212" spans="1:10" ht="24.95" customHeight="1">
      <c r="A212" s="575"/>
      <c r="B212" s="139" t="s">
        <v>690</v>
      </c>
      <c r="C212" s="585">
        <v>1</v>
      </c>
      <c r="D212" s="585" t="s">
        <v>56</v>
      </c>
      <c r="E212" s="585">
        <v>1</v>
      </c>
      <c r="F212" s="256">
        <v>2</v>
      </c>
      <c r="G212" s="256">
        <v>0.23</v>
      </c>
      <c r="H212" s="256">
        <v>0.15</v>
      </c>
      <c r="I212" s="256">
        <f t="shared" si="14"/>
        <v>6.9000000000000006E-2</v>
      </c>
      <c r="J212" s="571"/>
    </row>
    <row r="213" spans="1:10" ht="24.95" customHeight="1">
      <c r="A213" s="575"/>
      <c r="B213" s="139" t="s">
        <v>685</v>
      </c>
      <c r="C213" s="585">
        <v>1</v>
      </c>
      <c r="D213" s="585" t="s">
        <v>56</v>
      </c>
      <c r="E213" s="585">
        <v>1</v>
      </c>
      <c r="F213" s="256">
        <v>21.32</v>
      </c>
      <c r="G213" s="256">
        <v>0.12</v>
      </c>
      <c r="H213" s="256">
        <v>0.1</v>
      </c>
      <c r="I213" s="256">
        <f t="shared" si="14"/>
        <v>0.25584000000000001</v>
      </c>
      <c r="J213" s="571"/>
    </row>
    <row r="214" spans="1:10" ht="24.95" customHeight="1">
      <c r="A214" s="575"/>
      <c r="B214" s="142" t="s">
        <v>696</v>
      </c>
      <c r="C214" s="585"/>
      <c r="D214" s="585"/>
      <c r="E214" s="585"/>
      <c r="F214" s="256"/>
      <c r="G214" s="256"/>
      <c r="H214" s="256"/>
      <c r="I214" s="256"/>
      <c r="J214" s="571"/>
    </row>
    <row r="215" spans="1:10" ht="24.95" customHeight="1">
      <c r="A215" s="575"/>
      <c r="B215" s="139" t="s">
        <v>697</v>
      </c>
      <c r="C215" s="585">
        <v>1</v>
      </c>
      <c r="D215" s="585" t="s">
        <v>56</v>
      </c>
      <c r="E215" s="585">
        <v>1</v>
      </c>
      <c r="F215" s="256">
        <v>12.32</v>
      </c>
      <c r="G215" s="256">
        <v>20.58</v>
      </c>
      <c r="H215" s="256">
        <v>0.12</v>
      </c>
      <c r="I215" s="256">
        <f t="shared" ref="I215:I216" si="15">PRODUCT(C215:H215)</f>
        <v>30.425471999999996</v>
      </c>
      <c r="J215" s="571"/>
    </row>
    <row r="216" spans="1:10" ht="24.95" customHeight="1">
      <c r="A216" s="575"/>
      <c r="B216" s="139" t="s">
        <v>698</v>
      </c>
      <c r="C216" s="585">
        <v>1</v>
      </c>
      <c r="D216" s="585" t="s">
        <v>56</v>
      </c>
      <c r="E216" s="585">
        <v>1</v>
      </c>
      <c r="F216" s="256">
        <f>3.6+0.46</f>
        <v>4.0600000000000005</v>
      </c>
      <c r="G216" s="256">
        <v>1.2</v>
      </c>
      <c r="H216" s="256">
        <v>0.12</v>
      </c>
      <c r="I216" s="256">
        <f t="shared" si="15"/>
        <v>0.58464000000000005</v>
      </c>
      <c r="J216" s="571"/>
    </row>
    <row r="217" spans="1:10" ht="24.95" customHeight="1">
      <c r="A217" s="575"/>
      <c r="B217" s="142" t="s">
        <v>699</v>
      </c>
      <c r="C217" s="585"/>
      <c r="D217" s="585"/>
      <c r="E217" s="585"/>
      <c r="F217" s="256"/>
      <c r="G217" s="256"/>
      <c r="H217" s="256"/>
      <c r="I217" s="256"/>
      <c r="J217" s="571"/>
    </row>
    <row r="218" spans="1:10" ht="24.95" customHeight="1">
      <c r="A218" s="575"/>
      <c r="B218" s="139" t="s">
        <v>639</v>
      </c>
      <c r="C218" s="585">
        <v>1</v>
      </c>
      <c r="D218" s="585" t="s">
        <v>56</v>
      </c>
      <c r="E218" s="585">
        <v>1</v>
      </c>
      <c r="F218" s="256">
        <v>64.88</v>
      </c>
      <c r="G218" s="256">
        <f>G205</f>
        <v>0.23</v>
      </c>
      <c r="H218" s="256">
        <v>0.45</v>
      </c>
      <c r="I218" s="256">
        <f t="shared" ref="I218:I225" si="16">PRODUCT(C218:H218)</f>
        <v>6.7150800000000004</v>
      </c>
      <c r="J218" s="571"/>
    </row>
    <row r="219" spans="1:10" ht="24.95" customHeight="1">
      <c r="A219" s="575"/>
      <c r="B219" s="139" t="s">
        <v>640</v>
      </c>
      <c r="C219" s="585">
        <v>1</v>
      </c>
      <c r="D219" s="585" t="s">
        <v>56</v>
      </c>
      <c r="E219" s="585">
        <v>1</v>
      </c>
      <c r="F219" s="256">
        <v>20.12</v>
      </c>
      <c r="G219" s="256">
        <v>0.23</v>
      </c>
      <c r="H219" s="256">
        <v>0.45</v>
      </c>
      <c r="I219" s="256">
        <f t="shared" si="16"/>
        <v>2.0824199999999999</v>
      </c>
      <c r="J219" s="571"/>
    </row>
    <row r="220" spans="1:10" ht="24.95" customHeight="1">
      <c r="A220" s="575"/>
      <c r="B220" s="139"/>
      <c r="C220" s="585">
        <v>1</v>
      </c>
      <c r="D220" s="585" t="s">
        <v>56</v>
      </c>
      <c r="E220" s="585">
        <v>1</v>
      </c>
      <c r="F220" s="256">
        <v>16.59</v>
      </c>
      <c r="G220" s="256">
        <v>0.23</v>
      </c>
      <c r="H220" s="256">
        <v>0.45</v>
      </c>
      <c r="I220" s="256">
        <f t="shared" si="16"/>
        <v>1.7170650000000001</v>
      </c>
      <c r="J220" s="571"/>
    </row>
    <row r="221" spans="1:10" ht="24.95" customHeight="1">
      <c r="A221" s="575"/>
      <c r="B221" s="139" t="s">
        <v>641</v>
      </c>
      <c r="C221" s="585">
        <v>1</v>
      </c>
      <c r="D221" s="585" t="s">
        <v>56</v>
      </c>
      <c r="E221" s="585">
        <v>1</v>
      </c>
      <c r="F221" s="256">
        <v>3.3</v>
      </c>
      <c r="G221" s="256">
        <v>0.23</v>
      </c>
      <c r="H221" s="256">
        <v>0.45</v>
      </c>
      <c r="I221" s="256">
        <f t="shared" si="16"/>
        <v>0.34155000000000002</v>
      </c>
      <c r="J221" s="571"/>
    </row>
    <row r="222" spans="1:10" ht="24.95" customHeight="1">
      <c r="A222" s="575"/>
      <c r="B222" s="139" t="s">
        <v>642</v>
      </c>
      <c r="C222" s="585">
        <v>1</v>
      </c>
      <c r="D222" s="585" t="s">
        <v>56</v>
      </c>
      <c r="E222" s="585">
        <v>3</v>
      </c>
      <c r="F222" s="256">
        <v>3.6</v>
      </c>
      <c r="G222" s="256">
        <v>0.23</v>
      </c>
      <c r="H222" s="256">
        <v>0.45</v>
      </c>
      <c r="I222" s="256">
        <f t="shared" si="16"/>
        <v>1.1178000000000001</v>
      </c>
      <c r="J222" s="571"/>
    </row>
    <row r="223" spans="1:10" ht="24.95" customHeight="1">
      <c r="A223" s="575"/>
      <c r="B223" s="139" t="s">
        <v>643</v>
      </c>
      <c r="C223" s="585">
        <v>1</v>
      </c>
      <c r="D223" s="585" t="s">
        <v>56</v>
      </c>
      <c r="E223" s="585">
        <v>2</v>
      </c>
      <c r="F223" s="256">
        <v>6</v>
      </c>
      <c r="G223" s="256">
        <v>0.23</v>
      </c>
      <c r="H223" s="256">
        <v>0.45</v>
      </c>
      <c r="I223" s="256">
        <f t="shared" si="16"/>
        <v>1.2420000000000002</v>
      </c>
      <c r="J223" s="571"/>
    </row>
    <row r="224" spans="1:10" ht="24.95" customHeight="1">
      <c r="A224" s="575"/>
      <c r="B224" s="139" t="s">
        <v>690</v>
      </c>
      <c r="C224" s="585">
        <v>1</v>
      </c>
      <c r="D224" s="585" t="s">
        <v>56</v>
      </c>
      <c r="E224" s="585">
        <v>1</v>
      </c>
      <c r="F224" s="256">
        <v>2</v>
      </c>
      <c r="G224" s="256">
        <v>0.23</v>
      </c>
      <c r="H224" s="256">
        <v>0.45</v>
      </c>
      <c r="I224" s="256">
        <f t="shared" si="16"/>
        <v>0.20700000000000002</v>
      </c>
      <c r="J224" s="571"/>
    </row>
    <row r="225" spans="1:10" ht="24.95" customHeight="1">
      <c r="A225" s="575"/>
      <c r="B225" s="139" t="s">
        <v>700</v>
      </c>
      <c r="C225" s="585">
        <v>1</v>
      </c>
      <c r="D225" s="585" t="s">
        <v>56</v>
      </c>
      <c r="E225" s="585">
        <v>1</v>
      </c>
      <c r="F225" s="256">
        <v>3.6</v>
      </c>
      <c r="G225" s="256">
        <v>0.23</v>
      </c>
      <c r="H225" s="256">
        <v>0.45</v>
      </c>
      <c r="I225" s="256">
        <f t="shared" si="16"/>
        <v>0.37260000000000004</v>
      </c>
      <c r="J225" s="571"/>
    </row>
    <row r="226" spans="1:10" ht="24.95" customHeight="1">
      <c r="A226" s="575"/>
      <c r="B226" s="142" t="s">
        <v>701</v>
      </c>
      <c r="C226" s="585"/>
      <c r="D226" s="585"/>
      <c r="E226" s="585"/>
      <c r="F226" s="256"/>
      <c r="G226" s="256"/>
      <c r="H226" s="256"/>
      <c r="I226" s="256"/>
      <c r="J226" s="571"/>
    </row>
    <row r="227" spans="1:10" ht="24.95" customHeight="1">
      <c r="A227" s="575"/>
      <c r="B227" s="139" t="s">
        <v>702</v>
      </c>
      <c r="C227" s="585">
        <v>1</v>
      </c>
      <c r="D227" s="585" t="s">
        <v>56</v>
      </c>
      <c r="E227" s="585">
        <v>1</v>
      </c>
      <c r="F227" s="256">
        <v>4.5</v>
      </c>
      <c r="G227" s="256">
        <v>0.45</v>
      </c>
      <c r="H227" s="256">
        <v>0.05</v>
      </c>
      <c r="I227" s="256">
        <f t="shared" ref="I227:I238" si="17">PRODUCT(C227:H227)</f>
        <v>0.10125000000000001</v>
      </c>
      <c r="J227" s="571"/>
    </row>
    <row r="228" spans="1:10" ht="24.95" customHeight="1">
      <c r="A228" s="575"/>
      <c r="B228" s="139" t="s">
        <v>661</v>
      </c>
      <c r="C228" s="585">
        <v>1</v>
      </c>
      <c r="D228" s="585" t="s">
        <v>56</v>
      </c>
      <c r="E228" s="585">
        <v>1</v>
      </c>
      <c r="F228" s="256">
        <v>6.46</v>
      </c>
      <c r="G228" s="256">
        <v>0.6</v>
      </c>
      <c r="H228" s="256">
        <v>0.05</v>
      </c>
      <c r="I228" s="256">
        <f t="shared" si="17"/>
        <v>0.1938</v>
      </c>
      <c r="J228" s="571"/>
    </row>
    <row r="229" spans="1:10" ht="24.95" customHeight="1">
      <c r="A229" s="575"/>
      <c r="B229" s="139" t="s">
        <v>481</v>
      </c>
      <c r="C229" s="585">
        <v>1</v>
      </c>
      <c r="D229" s="585" t="s">
        <v>56</v>
      </c>
      <c r="E229" s="585">
        <v>2</v>
      </c>
      <c r="F229" s="256">
        <v>6</v>
      </c>
      <c r="G229" s="256">
        <v>0.6</v>
      </c>
      <c r="H229" s="256">
        <v>0.05</v>
      </c>
      <c r="I229" s="256">
        <f t="shared" si="17"/>
        <v>0.36</v>
      </c>
      <c r="J229" s="571"/>
    </row>
    <row r="230" spans="1:10" ht="24.95" customHeight="1">
      <c r="A230" s="575"/>
      <c r="B230" s="139" t="s">
        <v>703</v>
      </c>
      <c r="C230" s="585">
        <v>1</v>
      </c>
      <c r="D230" s="585" t="s">
        <v>56</v>
      </c>
      <c r="E230" s="585">
        <v>7</v>
      </c>
      <c r="F230" s="256">
        <v>1.96</v>
      </c>
      <c r="G230" s="256">
        <v>0.23</v>
      </c>
      <c r="H230" s="256">
        <v>0.05</v>
      </c>
      <c r="I230" s="256">
        <f t="shared" si="17"/>
        <v>0.15778</v>
      </c>
      <c r="J230" s="571"/>
    </row>
    <row r="231" spans="1:10" ht="24.95" customHeight="1">
      <c r="A231" s="575"/>
      <c r="B231" s="139" t="s">
        <v>704</v>
      </c>
      <c r="C231" s="585">
        <v>1</v>
      </c>
      <c r="D231" s="585" t="s">
        <v>56</v>
      </c>
      <c r="E231" s="585">
        <v>1</v>
      </c>
      <c r="F231" s="256">
        <v>1.81</v>
      </c>
      <c r="G231" s="256">
        <v>0.23</v>
      </c>
      <c r="H231" s="256">
        <v>0.05</v>
      </c>
      <c r="I231" s="256">
        <f t="shared" si="17"/>
        <v>2.0815E-2</v>
      </c>
      <c r="J231" s="571"/>
    </row>
    <row r="232" spans="1:10" ht="24.95" customHeight="1">
      <c r="A232" s="575"/>
      <c r="B232" s="139" t="s">
        <v>705</v>
      </c>
      <c r="C232" s="585">
        <v>1</v>
      </c>
      <c r="D232" s="585" t="s">
        <v>56</v>
      </c>
      <c r="E232" s="585">
        <v>3</v>
      </c>
      <c r="F232" s="256">
        <v>1.36</v>
      </c>
      <c r="G232" s="256">
        <v>0.23</v>
      </c>
      <c r="H232" s="256">
        <v>0.05</v>
      </c>
      <c r="I232" s="256">
        <f t="shared" si="17"/>
        <v>4.6920000000000003E-2</v>
      </c>
      <c r="J232" s="571"/>
    </row>
    <row r="233" spans="1:10" ht="24.95" customHeight="1">
      <c r="A233" s="575"/>
      <c r="B233" s="139" t="s">
        <v>706</v>
      </c>
      <c r="C233" s="585">
        <v>1</v>
      </c>
      <c r="D233" s="585" t="s">
        <v>56</v>
      </c>
      <c r="E233" s="585">
        <v>1</v>
      </c>
      <c r="F233" s="256">
        <v>1.21</v>
      </c>
      <c r="G233" s="256">
        <v>0.23</v>
      </c>
      <c r="H233" s="256">
        <v>0.05</v>
      </c>
      <c r="I233" s="256">
        <f t="shared" si="17"/>
        <v>1.3915E-2</v>
      </c>
      <c r="J233" s="571"/>
    </row>
    <row r="234" spans="1:10" ht="24.95" customHeight="1">
      <c r="A234" s="575"/>
      <c r="B234" s="139" t="s">
        <v>707</v>
      </c>
      <c r="C234" s="585">
        <v>1</v>
      </c>
      <c r="D234" s="585" t="s">
        <v>56</v>
      </c>
      <c r="E234" s="585">
        <v>1</v>
      </c>
      <c r="F234" s="256">
        <v>1.66</v>
      </c>
      <c r="G234" s="256">
        <v>0.23</v>
      </c>
      <c r="H234" s="256">
        <v>0.05</v>
      </c>
      <c r="I234" s="256">
        <f t="shared" si="17"/>
        <v>1.9089999999999999E-2</v>
      </c>
      <c r="J234" s="571"/>
    </row>
    <row r="235" spans="1:10" ht="24.95" customHeight="1">
      <c r="A235" s="575"/>
      <c r="B235" s="139" t="s">
        <v>708</v>
      </c>
      <c r="C235" s="585">
        <v>1</v>
      </c>
      <c r="D235" s="585" t="s">
        <v>56</v>
      </c>
      <c r="E235" s="585">
        <v>1</v>
      </c>
      <c r="F235" s="256">
        <v>1.96</v>
      </c>
      <c r="G235" s="256">
        <v>0.23</v>
      </c>
      <c r="H235" s="256">
        <v>0.05</v>
      </c>
      <c r="I235" s="256">
        <f t="shared" si="17"/>
        <v>2.2540000000000004E-2</v>
      </c>
      <c r="J235" s="571"/>
    </row>
    <row r="236" spans="1:10" ht="24.95" customHeight="1">
      <c r="A236" s="575"/>
      <c r="B236" s="139" t="s">
        <v>709</v>
      </c>
      <c r="C236" s="585">
        <v>1</v>
      </c>
      <c r="D236" s="585" t="s">
        <v>56</v>
      </c>
      <c r="E236" s="585">
        <v>2</v>
      </c>
      <c r="F236" s="256">
        <v>1.51</v>
      </c>
      <c r="G236" s="256">
        <v>0.23</v>
      </c>
      <c r="H236" s="256">
        <v>0.05</v>
      </c>
      <c r="I236" s="256">
        <f t="shared" si="17"/>
        <v>3.4730000000000004E-2</v>
      </c>
      <c r="J236" s="571"/>
    </row>
    <row r="237" spans="1:10" ht="24.95" customHeight="1">
      <c r="A237" s="575"/>
      <c r="B237" s="139" t="s">
        <v>710</v>
      </c>
      <c r="C237" s="585">
        <v>1</v>
      </c>
      <c r="D237" s="585" t="s">
        <v>56</v>
      </c>
      <c r="E237" s="585">
        <v>1</v>
      </c>
      <c r="F237" s="256">
        <v>2.11</v>
      </c>
      <c r="G237" s="256">
        <v>0.23</v>
      </c>
      <c r="H237" s="256">
        <v>0.05</v>
      </c>
      <c r="I237" s="256">
        <f t="shared" si="17"/>
        <v>2.4265000000000002E-2</v>
      </c>
      <c r="J237" s="571"/>
    </row>
    <row r="238" spans="1:10" ht="24.95" customHeight="1">
      <c r="A238" s="575"/>
      <c r="B238" s="139" t="s">
        <v>711</v>
      </c>
      <c r="C238" s="585">
        <v>1</v>
      </c>
      <c r="D238" s="585" t="s">
        <v>56</v>
      </c>
      <c r="E238" s="585">
        <v>2</v>
      </c>
      <c r="F238" s="256">
        <v>16.2</v>
      </c>
      <c r="G238" s="256">
        <v>0.6</v>
      </c>
      <c r="H238" s="256">
        <v>0.05</v>
      </c>
      <c r="I238" s="256">
        <f t="shared" si="17"/>
        <v>0.97199999999999998</v>
      </c>
      <c r="J238" s="571"/>
    </row>
    <row r="239" spans="1:10" ht="24.95" customHeight="1">
      <c r="A239" s="575"/>
      <c r="B239" s="142" t="s">
        <v>712</v>
      </c>
      <c r="C239" s="585"/>
      <c r="D239" s="585"/>
      <c r="E239" s="585"/>
      <c r="F239" s="256"/>
      <c r="G239" s="256"/>
      <c r="H239" s="256"/>
      <c r="I239" s="256"/>
      <c r="J239" s="571"/>
    </row>
    <row r="240" spans="1:10" ht="24.95" customHeight="1">
      <c r="A240" s="575"/>
      <c r="B240" s="142" t="s">
        <v>713</v>
      </c>
      <c r="C240" s="585">
        <v>1</v>
      </c>
      <c r="D240" s="585" t="s">
        <v>56</v>
      </c>
      <c r="E240" s="585">
        <v>7</v>
      </c>
      <c r="F240" s="256">
        <v>1.96</v>
      </c>
      <c r="G240" s="256">
        <v>0.6</v>
      </c>
      <c r="H240" s="262">
        <v>6.3E-2</v>
      </c>
      <c r="I240" s="256">
        <f t="shared" ref="I240:I249" si="18">PRODUCT(C240:H240)</f>
        <v>0.51861599999999997</v>
      </c>
      <c r="J240" s="571"/>
    </row>
    <row r="241" spans="1:10" ht="24.95" customHeight="1">
      <c r="A241" s="575"/>
      <c r="B241" s="139" t="s">
        <v>714</v>
      </c>
      <c r="C241" s="585">
        <v>1</v>
      </c>
      <c r="D241" s="585" t="s">
        <v>56</v>
      </c>
      <c r="E241" s="585">
        <v>1</v>
      </c>
      <c r="F241" s="256">
        <v>1.81</v>
      </c>
      <c r="G241" s="256">
        <v>0.6</v>
      </c>
      <c r="H241" s="262">
        <v>6.3E-2</v>
      </c>
      <c r="I241" s="256">
        <f t="shared" si="18"/>
        <v>6.8418000000000007E-2</v>
      </c>
      <c r="J241" s="571"/>
    </row>
    <row r="242" spans="1:10" ht="24.95" customHeight="1">
      <c r="A242" s="575"/>
      <c r="B242" s="139" t="s">
        <v>705</v>
      </c>
      <c r="C242" s="585">
        <v>1</v>
      </c>
      <c r="D242" s="585" t="s">
        <v>56</v>
      </c>
      <c r="E242" s="585">
        <v>3</v>
      </c>
      <c r="F242" s="256">
        <v>1.36</v>
      </c>
      <c r="G242" s="256">
        <v>0.6</v>
      </c>
      <c r="H242" s="262">
        <v>6.3E-2</v>
      </c>
      <c r="I242" s="256">
        <f t="shared" si="18"/>
        <v>0.154224</v>
      </c>
      <c r="J242" s="571"/>
    </row>
    <row r="243" spans="1:10" ht="24.95" customHeight="1">
      <c r="A243" s="575"/>
      <c r="B243" s="139" t="s">
        <v>707</v>
      </c>
      <c r="C243" s="585">
        <v>1</v>
      </c>
      <c r="D243" s="585" t="s">
        <v>56</v>
      </c>
      <c r="E243" s="585">
        <v>1</v>
      </c>
      <c r="F243" s="256">
        <v>1.66</v>
      </c>
      <c r="G243" s="256">
        <v>0.6</v>
      </c>
      <c r="H243" s="262">
        <v>6.3E-2</v>
      </c>
      <c r="I243" s="256">
        <f t="shared" si="18"/>
        <v>6.2747999999999998E-2</v>
      </c>
      <c r="J243" s="571"/>
    </row>
    <row r="244" spans="1:10" ht="24.95" customHeight="1">
      <c r="A244" s="575"/>
      <c r="B244" s="139" t="s">
        <v>710</v>
      </c>
      <c r="C244" s="585">
        <v>1</v>
      </c>
      <c r="D244" s="585" t="s">
        <v>56</v>
      </c>
      <c r="E244" s="585">
        <v>1</v>
      </c>
      <c r="F244" s="256">
        <v>2.11</v>
      </c>
      <c r="G244" s="256">
        <v>0.23</v>
      </c>
      <c r="H244" s="256">
        <v>0.05</v>
      </c>
      <c r="I244" s="256">
        <f t="shared" si="18"/>
        <v>2.4265000000000002E-2</v>
      </c>
      <c r="J244" s="571"/>
    </row>
    <row r="245" spans="1:10" ht="24.95" customHeight="1">
      <c r="A245" s="575"/>
      <c r="B245" s="139" t="s">
        <v>715</v>
      </c>
      <c r="C245" s="585">
        <v>1</v>
      </c>
      <c r="D245" s="585" t="s">
        <v>56</v>
      </c>
      <c r="E245" s="585">
        <v>1</v>
      </c>
      <c r="F245" s="256">
        <v>3.75</v>
      </c>
      <c r="G245" s="256">
        <v>1.5</v>
      </c>
      <c r="H245" s="256">
        <v>0.13</v>
      </c>
      <c r="I245" s="256">
        <f t="shared" si="18"/>
        <v>0.73125000000000007</v>
      </c>
      <c r="J245" s="571"/>
    </row>
    <row r="246" spans="1:10" ht="24.95" customHeight="1">
      <c r="A246" s="575"/>
      <c r="B246" s="139" t="s">
        <v>716</v>
      </c>
      <c r="C246" s="585">
        <v>1</v>
      </c>
      <c r="D246" s="585" t="s">
        <v>56</v>
      </c>
      <c r="E246" s="585">
        <v>1</v>
      </c>
      <c r="F246" s="256">
        <v>4.1100000000000003</v>
      </c>
      <c r="G246" s="256">
        <v>1.5</v>
      </c>
      <c r="H246" s="256">
        <v>0.13</v>
      </c>
      <c r="I246" s="256">
        <f t="shared" si="18"/>
        <v>0.80145000000000011</v>
      </c>
      <c r="J246" s="571"/>
    </row>
    <row r="247" spans="1:10" ht="24.95" customHeight="1">
      <c r="A247" s="575"/>
      <c r="B247" s="139" t="s">
        <v>717</v>
      </c>
      <c r="C247" s="585">
        <v>1</v>
      </c>
      <c r="D247" s="585" t="s">
        <v>56</v>
      </c>
      <c r="E247" s="585">
        <v>1</v>
      </c>
      <c r="F247" s="256">
        <v>3.45</v>
      </c>
      <c r="G247" s="256">
        <v>1.5</v>
      </c>
      <c r="H247" s="256">
        <v>0.13</v>
      </c>
      <c r="I247" s="256">
        <f t="shared" si="18"/>
        <v>0.67275000000000007</v>
      </c>
      <c r="J247" s="571"/>
    </row>
    <row r="248" spans="1:10" ht="24.95" customHeight="1">
      <c r="A248" s="575"/>
      <c r="B248" s="139" t="s">
        <v>718</v>
      </c>
      <c r="C248" s="585">
        <v>1</v>
      </c>
      <c r="D248" s="585">
        <v>23</v>
      </c>
      <c r="E248" s="604">
        <v>0.5</v>
      </c>
      <c r="F248" s="256">
        <v>0.3</v>
      </c>
      <c r="G248" s="256">
        <v>0.15</v>
      </c>
      <c r="H248" s="256">
        <v>1.5</v>
      </c>
      <c r="I248" s="256">
        <f t="shared" si="18"/>
        <v>0.77624999999999988</v>
      </c>
      <c r="J248" s="571"/>
    </row>
    <row r="249" spans="1:10" ht="24.95" customHeight="1">
      <c r="A249" s="575"/>
      <c r="B249" s="139" t="s">
        <v>719</v>
      </c>
      <c r="C249" s="585">
        <v>1</v>
      </c>
      <c r="D249" s="585" t="s">
        <v>56</v>
      </c>
      <c r="E249" s="585">
        <v>2</v>
      </c>
      <c r="F249" s="256">
        <v>4.1100000000000003</v>
      </c>
      <c r="G249" s="256">
        <v>0.23</v>
      </c>
      <c r="H249" s="256">
        <v>0.3</v>
      </c>
      <c r="I249" s="256">
        <f t="shared" si="18"/>
        <v>0.56718000000000002</v>
      </c>
      <c r="J249" s="571"/>
    </row>
    <row r="250" spans="1:10" ht="24.95" customHeight="1">
      <c r="A250" s="575"/>
      <c r="B250" s="142"/>
      <c r="C250" s="585"/>
      <c r="D250" s="585"/>
      <c r="E250" s="585"/>
      <c r="F250" s="256"/>
      <c r="G250" s="256"/>
      <c r="H250" s="256"/>
      <c r="I250" s="256">
        <f>SUM(I197:I249)</f>
        <v>67.221752999999993</v>
      </c>
      <c r="J250" s="571"/>
    </row>
    <row r="251" spans="1:10" ht="24.95" customHeight="1">
      <c r="A251" s="575"/>
      <c r="B251" s="142"/>
      <c r="C251" s="585"/>
      <c r="D251" s="585"/>
      <c r="E251" s="585"/>
      <c r="F251" s="256"/>
      <c r="G251" s="256"/>
      <c r="H251" s="259" t="s">
        <v>15</v>
      </c>
      <c r="I251" s="259">
        <f>ROUNDUP(I250,1-0)</f>
        <v>67.3</v>
      </c>
      <c r="J251" s="266" t="s">
        <v>16</v>
      </c>
    </row>
    <row r="252" spans="1:10" ht="24.95" customHeight="1">
      <c r="A252" s="575"/>
      <c r="B252" s="142" t="s">
        <v>553</v>
      </c>
      <c r="C252" s="585"/>
      <c r="D252" s="585"/>
      <c r="E252" s="585"/>
      <c r="F252" s="256"/>
      <c r="G252" s="256"/>
      <c r="H252" s="256"/>
      <c r="I252" s="256"/>
      <c r="J252" s="571"/>
    </row>
    <row r="253" spans="1:10" ht="24.95" customHeight="1">
      <c r="A253" s="575"/>
      <c r="B253" s="142" t="s">
        <v>694</v>
      </c>
      <c r="C253" s="585"/>
      <c r="D253" s="585"/>
      <c r="E253" s="585"/>
      <c r="F253" s="1427"/>
      <c r="G253" s="1428"/>
      <c r="H253" s="1428"/>
      <c r="I253" s="1429"/>
      <c r="J253" s="571"/>
    </row>
    <row r="254" spans="1:10" ht="24.95" customHeight="1">
      <c r="A254" s="575"/>
      <c r="B254" s="139" t="s">
        <v>692</v>
      </c>
      <c r="C254" s="585">
        <v>1</v>
      </c>
      <c r="D254" s="585" t="s">
        <v>56</v>
      </c>
      <c r="E254" s="585">
        <v>5</v>
      </c>
      <c r="F254" s="256">
        <v>0.23</v>
      </c>
      <c r="G254" s="256">
        <v>0.38</v>
      </c>
      <c r="H254" s="256">
        <v>3.15</v>
      </c>
      <c r="I254" s="256">
        <f t="shared" ref="I254:I261" si="19">PRODUCT(C254:H254)</f>
        <v>1.3765500000000002</v>
      </c>
      <c r="J254" s="571"/>
    </row>
    <row r="255" spans="1:10" ht="24.95" customHeight="1">
      <c r="A255" s="575"/>
      <c r="B255" s="139" t="s">
        <v>675</v>
      </c>
      <c r="C255" s="585">
        <v>1</v>
      </c>
      <c r="D255" s="585" t="s">
        <v>56</v>
      </c>
      <c r="E255" s="585">
        <v>1</v>
      </c>
      <c r="F255" s="256">
        <v>0.23</v>
      </c>
      <c r="G255" s="256">
        <v>0.45</v>
      </c>
      <c r="H255" s="256">
        <v>3</v>
      </c>
      <c r="I255" s="256">
        <f t="shared" si="19"/>
        <v>0.3105</v>
      </c>
      <c r="J255" s="571"/>
    </row>
    <row r="256" spans="1:10" ht="24.95" customHeight="1">
      <c r="A256" s="575"/>
      <c r="B256" s="139" t="s">
        <v>675</v>
      </c>
      <c r="C256" s="585">
        <v>1</v>
      </c>
      <c r="D256" s="585" t="s">
        <v>56</v>
      </c>
      <c r="E256" s="585">
        <v>3</v>
      </c>
      <c r="F256" s="256">
        <v>0.23</v>
      </c>
      <c r="G256" s="256">
        <v>0.45</v>
      </c>
      <c r="H256" s="256">
        <v>3.15</v>
      </c>
      <c r="I256" s="256">
        <f t="shared" si="19"/>
        <v>0.97807500000000014</v>
      </c>
      <c r="J256" s="571"/>
    </row>
    <row r="257" spans="1:10" ht="24.95" customHeight="1">
      <c r="A257" s="575"/>
      <c r="B257" s="139" t="s">
        <v>693</v>
      </c>
      <c r="C257" s="585">
        <v>1</v>
      </c>
      <c r="D257" s="585" t="s">
        <v>56</v>
      </c>
      <c r="E257" s="585">
        <v>1</v>
      </c>
      <c r="F257" s="256">
        <v>0.23</v>
      </c>
      <c r="G257" s="256">
        <v>0.6</v>
      </c>
      <c r="H257" s="256">
        <v>3</v>
      </c>
      <c r="I257" s="256">
        <f t="shared" si="19"/>
        <v>0.41400000000000003</v>
      </c>
      <c r="J257" s="571"/>
    </row>
    <row r="258" spans="1:10" ht="24.95" customHeight="1">
      <c r="A258" s="575"/>
      <c r="B258" s="139" t="s">
        <v>693</v>
      </c>
      <c r="C258" s="585">
        <v>1</v>
      </c>
      <c r="D258" s="585" t="s">
        <v>56</v>
      </c>
      <c r="E258" s="585">
        <v>2</v>
      </c>
      <c r="F258" s="256">
        <v>0.23</v>
      </c>
      <c r="G258" s="256">
        <v>0.6</v>
      </c>
      <c r="H258" s="256">
        <v>3.15</v>
      </c>
      <c r="I258" s="256">
        <f t="shared" si="19"/>
        <v>0.86940000000000006</v>
      </c>
      <c r="J258" s="571"/>
    </row>
    <row r="259" spans="1:10" ht="24.95" customHeight="1">
      <c r="A259" s="575"/>
      <c r="B259" s="139" t="s">
        <v>677</v>
      </c>
      <c r="C259" s="585">
        <v>1</v>
      </c>
      <c r="D259" s="585" t="s">
        <v>56</v>
      </c>
      <c r="E259" s="585">
        <v>2</v>
      </c>
      <c r="F259" s="256">
        <v>0.3</v>
      </c>
      <c r="G259" s="256">
        <v>0.38</v>
      </c>
      <c r="H259" s="256">
        <v>3.15</v>
      </c>
      <c r="I259" s="256">
        <f t="shared" si="19"/>
        <v>0.71819999999999995</v>
      </c>
      <c r="J259" s="571"/>
    </row>
    <row r="260" spans="1:10" ht="24.95" customHeight="1">
      <c r="A260" s="575"/>
      <c r="B260" s="139" t="s">
        <v>678</v>
      </c>
      <c r="C260" s="585">
        <v>1</v>
      </c>
      <c r="D260" s="585" t="s">
        <v>56</v>
      </c>
      <c r="E260" s="585">
        <v>4</v>
      </c>
      <c r="F260" s="256">
        <v>0.3</v>
      </c>
      <c r="G260" s="256">
        <v>0.6</v>
      </c>
      <c r="H260" s="256">
        <v>3</v>
      </c>
      <c r="I260" s="256">
        <f t="shared" si="19"/>
        <v>2.16</v>
      </c>
      <c r="J260" s="571"/>
    </row>
    <row r="261" spans="1:10" ht="24.95" customHeight="1">
      <c r="A261" s="575"/>
      <c r="B261" s="139" t="s">
        <v>679</v>
      </c>
      <c r="C261" s="585">
        <v>1</v>
      </c>
      <c r="D261" s="585" t="s">
        <v>56</v>
      </c>
      <c r="E261" s="585">
        <v>9</v>
      </c>
      <c r="F261" s="256">
        <v>0.38</v>
      </c>
      <c r="G261" s="256">
        <v>0.38</v>
      </c>
      <c r="H261" s="256">
        <v>3.15</v>
      </c>
      <c r="I261" s="256">
        <f t="shared" si="19"/>
        <v>4.0937400000000004</v>
      </c>
      <c r="J261" s="571"/>
    </row>
    <row r="262" spans="1:10" ht="24.95" customHeight="1">
      <c r="A262" s="575"/>
      <c r="B262" s="142" t="s">
        <v>695</v>
      </c>
      <c r="C262" s="585"/>
      <c r="D262" s="585"/>
      <c r="E262" s="585"/>
      <c r="F262" s="256"/>
      <c r="G262" s="256"/>
      <c r="H262" s="256"/>
      <c r="I262" s="256"/>
      <c r="J262" s="571"/>
    </row>
    <row r="263" spans="1:10" ht="24.95" customHeight="1">
      <c r="A263" s="575"/>
      <c r="B263" s="139" t="s">
        <v>639</v>
      </c>
      <c r="C263" s="585">
        <v>1</v>
      </c>
      <c r="D263" s="585" t="s">
        <v>56</v>
      </c>
      <c r="E263" s="585">
        <v>1</v>
      </c>
      <c r="F263" s="256">
        <v>64.88</v>
      </c>
      <c r="G263" s="256">
        <v>0.23</v>
      </c>
      <c r="H263" s="256">
        <v>0.15</v>
      </c>
      <c r="I263" s="256">
        <f t="shared" ref="I263:I269" si="20">PRODUCT(C263:H263)</f>
        <v>2.2383599999999997</v>
      </c>
      <c r="J263" s="571"/>
    </row>
    <row r="264" spans="1:10" ht="24.95" customHeight="1">
      <c r="A264" s="575"/>
      <c r="B264" s="139" t="s">
        <v>640</v>
      </c>
      <c r="C264" s="585">
        <v>1</v>
      </c>
      <c r="D264" s="585" t="s">
        <v>56</v>
      </c>
      <c r="E264" s="585">
        <v>1</v>
      </c>
      <c r="F264" s="256">
        <v>20.12</v>
      </c>
      <c r="G264" s="256">
        <v>0.23</v>
      </c>
      <c r="H264" s="256">
        <v>0.15</v>
      </c>
      <c r="I264" s="256">
        <f t="shared" si="20"/>
        <v>0.69413999999999998</v>
      </c>
      <c r="J264" s="571"/>
    </row>
    <row r="265" spans="1:10" ht="24.95" customHeight="1">
      <c r="A265" s="575"/>
      <c r="B265" s="139"/>
      <c r="C265" s="585">
        <v>1</v>
      </c>
      <c r="D265" s="585" t="s">
        <v>56</v>
      </c>
      <c r="E265" s="585">
        <v>1</v>
      </c>
      <c r="F265" s="256">
        <v>16.59</v>
      </c>
      <c r="G265" s="256">
        <v>0.23</v>
      </c>
      <c r="H265" s="256">
        <v>0.15</v>
      </c>
      <c r="I265" s="256">
        <f t="shared" si="20"/>
        <v>0.57235499999999995</v>
      </c>
      <c r="J265" s="571"/>
    </row>
    <row r="266" spans="1:10" ht="24.95" customHeight="1">
      <c r="A266" s="575"/>
      <c r="B266" s="139" t="s">
        <v>642</v>
      </c>
      <c r="C266" s="585">
        <v>1</v>
      </c>
      <c r="D266" s="585" t="s">
        <v>56</v>
      </c>
      <c r="E266" s="585">
        <v>3</v>
      </c>
      <c r="F266" s="256">
        <v>3.6</v>
      </c>
      <c r="G266" s="256">
        <v>0.23</v>
      </c>
      <c r="H266" s="256">
        <v>0.15</v>
      </c>
      <c r="I266" s="256">
        <f t="shared" si="20"/>
        <v>0.37260000000000004</v>
      </c>
      <c r="J266" s="571"/>
    </row>
    <row r="267" spans="1:10" ht="24.95" customHeight="1">
      <c r="A267" s="575"/>
      <c r="B267" s="139" t="s">
        <v>720</v>
      </c>
      <c r="C267" s="585">
        <v>1</v>
      </c>
      <c r="D267" s="585" t="s">
        <v>56</v>
      </c>
      <c r="E267" s="585">
        <v>2</v>
      </c>
      <c r="F267" s="256">
        <v>6</v>
      </c>
      <c r="G267" s="256">
        <v>0.23</v>
      </c>
      <c r="H267" s="256">
        <v>0.15</v>
      </c>
      <c r="I267" s="256">
        <f t="shared" si="20"/>
        <v>0.41400000000000003</v>
      </c>
      <c r="J267" s="571"/>
    </row>
    <row r="268" spans="1:10" ht="24.95" customHeight="1">
      <c r="A268" s="575"/>
      <c r="B268" s="139" t="s">
        <v>721</v>
      </c>
      <c r="C268" s="585">
        <v>1</v>
      </c>
      <c r="D268" s="585" t="s">
        <v>56</v>
      </c>
      <c r="E268" s="585">
        <v>1</v>
      </c>
      <c r="F268" s="256">
        <v>8.0299999999999994</v>
      </c>
      <c r="G268" s="256">
        <v>0.23</v>
      </c>
      <c r="H268" s="256">
        <v>0.15</v>
      </c>
      <c r="I268" s="256">
        <f t="shared" si="20"/>
        <v>0.27703499999999998</v>
      </c>
      <c r="J268" s="571"/>
    </row>
    <row r="269" spans="1:10" ht="24.95" customHeight="1">
      <c r="A269" s="575"/>
      <c r="B269" s="139" t="s">
        <v>685</v>
      </c>
      <c r="C269" s="585">
        <v>1</v>
      </c>
      <c r="D269" s="585" t="s">
        <v>56</v>
      </c>
      <c r="E269" s="585">
        <v>1</v>
      </c>
      <c r="F269" s="256">
        <v>21.32</v>
      </c>
      <c r="G269" s="256">
        <v>0.12</v>
      </c>
      <c r="H269" s="256">
        <v>0.15</v>
      </c>
      <c r="I269" s="256">
        <f t="shared" si="20"/>
        <v>0.38375999999999993</v>
      </c>
      <c r="J269" s="571"/>
    </row>
    <row r="270" spans="1:10" ht="24.95" customHeight="1">
      <c r="A270" s="575"/>
      <c r="B270" s="142" t="s">
        <v>696</v>
      </c>
      <c r="C270" s="585"/>
      <c r="D270" s="585"/>
      <c r="E270" s="585"/>
      <c r="F270" s="256"/>
      <c r="G270" s="256"/>
      <c r="H270" s="256"/>
      <c r="I270" s="256"/>
      <c r="J270" s="571"/>
    </row>
    <row r="271" spans="1:10" ht="24.95" customHeight="1">
      <c r="A271" s="575"/>
      <c r="B271" s="139" t="s">
        <v>697</v>
      </c>
      <c r="C271" s="585">
        <v>1</v>
      </c>
      <c r="D271" s="585" t="s">
        <v>56</v>
      </c>
      <c r="E271" s="585">
        <v>1</v>
      </c>
      <c r="F271" s="256">
        <v>12.32</v>
      </c>
      <c r="G271" s="256">
        <v>20.58</v>
      </c>
      <c r="H271" s="256">
        <v>0.12</v>
      </c>
      <c r="I271" s="256">
        <f t="shared" ref="I271:I316" si="21">PRODUCT(C271:H271)</f>
        <v>30.425471999999996</v>
      </c>
      <c r="J271" s="571"/>
    </row>
    <row r="272" spans="1:10" ht="24.95" customHeight="1">
      <c r="A272" s="575"/>
      <c r="B272" s="139" t="s">
        <v>698</v>
      </c>
      <c r="C272" s="585">
        <v>1</v>
      </c>
      <c r="D272" s="585" t="s">
        <v>56</v>
      </c>
      <c r="E272" s="585">
        <v>1</v>
      </c>
      <c r="F272" s="256">
        <f>3.6+0.46</f>
        <v>4.0600000000000005</v>
      </c>
      <c r="G272" s="256">
        <v>1.2</v>
      </c>
      <c r="H272" s="256">
        <v>0.12</v>
      </c>
      <c r="I272" s="256">
        <f t="shared" si="21"/>
        <v>0.58464000000000005</v>
      </c>
      <c r="J272" s="571"/>
    </row>
    <row r="273" spans="1:10" ht="24.95" customHeight="1">
      <c r="A273" s="575"/>
      <c r="B273" s="139" t="s">
        <v>665</v>
      </c>
      <c r="C273" s="585">
        <v>1</v>
      </c>
      <c r="D273" s="585" t="s">
        <v>56</v>
      </c>
      <c r="E273" s="585">
        <v>1</v>
      </c>
      <c r="F273" s="256">
        <v>11.2</v>
      </c>
      <c r="G273" s="256">
        <v>17</v>
      </c>
      <c r="H273" s="256">
        <v>0.15</v>
      </c>
      <c r="I273" s="256">
        <f t="shared" si="21"/>
        <v>28.559999999999995</v>
      </c>
      <c r="J273" s="571"/>
    </row>
    <row r="274" spans="1:10" ht="24.95" customHeight="1">
      <c r="A274" s="575"/>
      <c r="B274" s="139"/>
      <c r="C274" s="585">
        <v>2</v>
      </c>
      <c r="D274" s="585" t="s">
        <v>56</v>
      </c>
      <c r="E274" s="585">
        <v>1</v>
      </c>
      <c r="F274" s="256">
        <v>11.2</v>
      </c>
      <c r="G274" s="256">
        <v>1.2</v>
      </c>
      <c r="H274" s="256">
        <v>0.15</v>
      </c>
      <c r="I274" s="256">
        <f t="shared" si="21"/>
        <v>4.032</v>
      </c>
      <c r="J274" s="571"/>
    </row>
    <row r="275" spans="1:10" ht="24.95" customHeight="1">
      <c r="A275" s="575"/>
      <c r="B275" s="142" t="s">
        <v>722</v>
      </c>
      <c r="C275" s="585"/>
      <c r="D275" s="585"/>
      <c r="E275" s="585"/>
      <c r="F275" s="256"/>
      <c r="G275" s="256"/>
      <c r="H275" s="256"/>
      <c r="I275" s="256"/>
      <c r="J275" s="571"/>
    </row>
    <row r="276" spans="1:10" ht="24.95" customHeight="1">
      <c r="A276" s="575"/>
      <c r="B276" s="139" t="s">
        <v>639</v>
      </c>
      <c r="C276" s="585">
        <v>1</v>
      </c>
      <c r="D276" s="585" t="s">
        <v>56</v>
      </c>
      <c r="E276" s="585">
        <v>1</v>
      </c>
      <c r="F276" s="256">
        <v>64.88</v>
      </c>
      <c r="G276" s="256">
        <f>G263</f>
        <v>0.23</v>
      </c>
      <c r="H276" s="256">
        <v>0.45</v>
      </c>
      <c r="I276" s="256">
        <f t="shared" si="21"/>
        <v>6.7150800000000004</v>
      </c>
      <c r="J276" s="571"/>
    </row>
    <row r="277" spans="1:10" ht="24.95" customHeight="1">
      <c r="A277" s="575"/>
      <c r="B277" s="139" t="s">
        <v>723</v>
      </c>
      <c r="C277" s="585">
        <v>-1</v>
      </c>
      <c r="D277" s="585" t="s">
        <v>56</v>
      </c>
      <c r="E277" s="585">
        <v>1</v>
      </c>
      <c r="F277" s="256">
        <v>17</v>
      </c>
      <c r="G277" s="256">
        <v>0.23</v>
      </c>
      <c r="H277" s="256">
        <v>0.45</v>
      </c>
      <c r="I277" s="256">
        <f t="shared" si="21"/>
        <v>-1.7595000000000001</v>
      </c>
      <c r="J277" s="571"/>
    </row>
    <row r="278" spans="1:10" ht="24.95" customHeight="1">
      <c r="A278" s="575"/>
      <c r="B278" s="139" t="s">
        <v>640</v>
      </c>
      <c r="C278" s="585">
        <v>1</v>
      </c>
      <c r="D278" s="585" t="s">
        <v>56</v>
      </c>
      <c r="E278" s="585">
        <v>1</v>
      </c>
      <c r="F278" s="256">
        <v>20.12</v>
      </c>
      <c r="G278" s="256">
        <v>0.23</v>
      </c>
      <c r="H278" s="256">
        <v>0.45</v>
      </c>
      <c r="I278" s="256">
        <f t="shared" si="21"/>
        <v>2.0824199999999999</v>
      </c>
      <c r="J278" s="571"/>
    </row>
    <row r="279" spans="1:10" ht="24.95" customHeight="1">
      <c r="A279" s="575"/>
      <c r="B279" s="139"/>
      <c r="C279" s="585">
        <v>1</v>
      </c>
      <c r="D279" s="585" t="s">
        <v>56</v>
      </c>
      <c r="E279" s="585">
        <v>1</v>
      </c>
      <c r="F279" s="256">
        <v>16.59</v>
      </c>
      <c r="G279" s="256">
        <v>0.23</v>
      </c>
      <c r="H279" s="256">
        <v>0.45</v>
      </c>
      <c r="I279" s="256">
        <f t="shared" si="21"/>
        <v>1.7170650000000001</v>
      </c>
      <c r="J279" s="571"/>
    </row>
    <row r="280" spans="1:10" ht="24.95" customHeight="1">
      <c r="A280" s="575"/>
      <c r="B280" s="139" t="s">
        <v>642</v>
      </c>
      <c r="C280" s="585">
        <v>1</v>
      </c>
      <c r="D280" s="585" t="s">
        <v>56</v>
      </c>
      <c r="E280" s="585">
        <v>3</v>
      </c>
      <c r="F280" s="256">
        <v>3.6</v>
      </c>
      <c r="G280" s="256">
        <v>0.23</v>
      </c>
      <c r="H280" s="256">
        <v>0.45</v>
      </c>
      <c r="I280" s="256">
        <f t="shared" si="21"/>
        <v>1.1178000000000001</v>
      </c>
      <c r="J280" s="571"/>
    </row>
    <row r="281" spans="1:10" ht="24.95" customHeight="1">
      <c r="A281" s="575"/>
      <c r="B281" s="139" t="s">
        <v>720</v>
      </c>
      <c r="C281" s="585">
        <v>1</v>
      </c>
      <c r="D281" s="585" t="s">
        <v>56</v>
      </c>
      <c r="E281" s="585">
        <v>2</v>
      </c>
      <c r="F281" s="256">
        <v>6</v>
      </c>
      <c r="G281" s="256">
        <v>0.23</v>
      </c>
      <c r="H281" s="256">
        <v>0.45</v>
      </c>
      <c r="I281" s="256">
        <f t="shared" si="21"/>
        <v>1.2420000000000002</v>
      </c>
      <c r="J281" s="571"/>
    </row>
    <row r="282" spans="1:10" ht="24.95" customHeight="1">
      <c r="A282" s="575"/>
      <c r="B282" s="139" t="s">
        <v>721</v>
      </c>
      <c r="C282" s="585">
        <v>1</v>
      </c>
      <c r="D282" s="585" t="s">
        <v>56</v>
      </c>
      <c r="E282" s="585">
        <v>1</v>
      </c>
      <c r="F282" s="256">
        <v>8.0299999999999994</v>
      </c>
      <c r="G282" s="256">
        <v>0.23</v>
      </c>
      <c r="H282" s="256">
        <v>0.45</v>
      </c>
      <c r="I282" s="256">
        <f t="shared" si="21"/>
        <v>0.83110499999999998</v>
      </c>
      <c r="J282" s="571"/>
    </row>
    <row r="283" spans="1:10" ht="24.95" customHeight="1">
      <c r="A283" s="575"/>
      <c r="B283" s="139" t="s">
        <v>724</v>
      </c>
      <c r="C283" s="585">
        <v>1</v>
      </c>
      <c r="D283" s="585" t="s">
        <v>56</v>
      </c>
      <c r="E283" s="585">
        <v>1</v>
      </c>
      <c r="F283" s="256">
        <f>3.6+0.46</f>
        <v>4.0600000000000005</v>
      </c>
      <c r="G283" s="256">
        <v>0.23</v>
      </c>
      <c r="H283" s="256">
        <v>0.45</v>
      </c>
      <c r="I283" s="256">
        <f t="shared" si="21"/>
        <v>0.42021000000000008</v>
      </c>
      <c r="J283" s="571"/>
    </row>
    <row r="284" spans="1:10" ht="24.95" customHeight="1">
      <c r="A284" s="575"/>
      <c r="B284" s="139" t="s">
        <v>725</v>
      </c>
      <c r="C284" s="585">
        <v>1</v>
      </c>
      <c r="D284" s="585" t="s">
        <v>56</v>
      </c>
      <c r="E284" s="585">
        <v>3</v>
      </c>
      <c r="F284" s="256">
        <v>19.399999999999999</v>
      </c>
      <c r="G284" s="256">
        <v>0.23</v>
      </c>
      <c r="H284" s="256">
        <v>0.6</v>
      </c>
      <c r="I284" s="256">
        <f t="shared" si="21"/>
        <v>8.0315999999999992</v>
      </c>
      <c r="J284" s="571"/>
    </row>
    <row r="285" spans="1:10" ht="24.95" customHeight="1">
      <c r="A285" s="575"/>
      <c r="B285" s="139" t="s">
        <v>726</v>
      </c>
      <c r="C285" s="585">
        <v>1</v>
      </c>
      <c r="D285" s="585" t="s">
        <v>56</v>
      </c>
      <c r="E285" s="585">
        <v>4</v>
      </c>
      <c r="F285" s="256">
        <v>11.2</v>
      </c>
      <c r="G285" s="256">
        <v>0.23</v>
      </c>
      <c r="H285" s="256">
        <v>0.6</v>
      </c>
      <c r="I285" s="256">
        <f t="shared" si="21"/>
        <v>6.1824000000000003</v>
      </c>
      <c r="J285" s="571"/>
    </row>
    <row r="286" spans="1:10" ht="24.95" customHeight="1">
      <c r="A286" s="575"/>
      <c r="B286" s="142" t="s">
        <v>727</v>
      </c>
      <c r="C286" s="585">
        <v>1</v>
      </c>
      <c r="D286" s="585" t="s">
        <v>56</v>
      </c>
      <c r="E286" s="585">
        <v>1</v>
      </c>
      <c r="F286" s="256">
        <v>3.81</v>
      </c>
      <c r="G286" s="256">
        <v>0.6</v>
      </c>
      <c r="H286" s="256">
        <v>0.05</v>
      </c>
      <c r="I286" s="256">
        <f t="shared" si="21"/>
        <v>0.11430000000000001</v>
      </c>
      <c r="J286" s="571"/>
    </row>
    <row r="287" spans="1:10" ht="24.95" customHeight="1">
      <c r="A287" s="575"/>
      <c r="B287" s="139" t="s">
        <v>728</v>
      </c>
      <c r="C287" s="585">
        <v>1</v>
      </c>
      <c r="D287" s="585" t="s">
        <v>56</v>
      </c>
      <c r="E287" s="585">
        <v>1</v>
      </c>
      <c r="F287" s="256">
        <v>6.46</v>
      </c>
      <c r="G287" s="256">
        <v>0.6</v>
      </c>
      <c r="H287" s="256">
        <v>0.05</v>
      </c>
      <c r="I287" s="256">
        <f t="shared" si="21"/>
        <v>0.1938</v>
      </c>
      <c r="J287" s="571"/>
    </row>
    <row r="288" spans="1:10" ht="24.95" customHeight="1">
      <c r="A288" s="575"/>
      <c r="B288" s="139" t="s">
        <v>729</v>
      </c>
      <c r="C288" s="585">
        <v>1</v>
      </c>
      <c r="D288" s="585" t="s">
        <v>56</v>
      </c>
      <c r="E288" s="585">
        <v>2</v>
      </c>
      <c r="F288" s="256">
        <v>6</v>
      </c>
      <c r="G288" s="256">
        <v>0.6</v>
      </c>
      <c r="H288" s="256">
        <v>0.05</v>
      </c>
      <c r="I288" s="256">
        <f t="shared" si="21"/>
        <v>0.36</v>
      </c>
      <c r="J288" s="571"/>
    </row>
    <row r="289" spans="1:10" ht="24.95" customHeight="1">
      <c r="A289" s="575"/>
      <c r="B289" s="139" t="s">
        <v>730</v>
      </c>
      <c r="C289" s="585">
        <v>1</v>
      </c>
      <c r="D289" s="585" t="s">
        <v>56</v>
      </c>
      <c r="E289" s="585">
        <v>1</v>
      </c>
      <c r="F289" s="256">
        <v>3.3</v>
      </c>
      <c r="G289" s="256">
        <v>0.6</v>
      </c>
      <c r="H289" s="256">
        <v>0.05</v>
      </c>
      <c r="I289" s="256">
        <f t="shared" si="21"/>
        <v>9.8999999999999991E-2</v>
      </c>
      <c r="J289" s="571"/>
    </row>
    <row r="290" spans="1:10" ht="24.95" customHeight="1">
      <c r="A290" s="575"/>
      <c r="B290" s="139" t="s">
        <v>1324</v>
      </c>
      <c r="C290" s="585">
        <v>1</v>
      </c>
      <c r="D290" s="585" t="s">
        <v>56</v>
      </c>
      <c r="E290" s="585">
        <v>2</v>
      </c>
      <c r="F290" s="256">
        <v>2.2599999999999998</v>
      </c>
      <c r="G290" s="256">
        <v>0.23</v>
      </c>
      <c r="H290" s="256">
        <v>0.05</v>
      </c>
      <c r="I290" s="256">
        <f t="shared" si="21"/>
        <v>5.1979999999999998E-2</v>
      </c>
      <c r="J290" s="571"/>
    </row>
    <row r="291" spans="1:10" ht="24.95" customHeight="1">
      <c r="A291" s="575"/>
      <c r="B291" s="139" t="s">
        <v>713</v>
      </c>
      <c r="C291" s="585">
        <v>1</v>
      </c>
      <c r="D291" s="585" t="s">
        <v>56</v>
      </c>
      <c r="E291" s="585">
        <v>6</v>
      </c>
      <c r="F291" s="256">
        <v>1.96</v>
      </c>
      <c r="G291" s="256">
        <v>0.23</v>
      </c>
      <c r="H291" s="256">
        <v>0.05</v>
      </c>
      <c r="I291" s="256">
        <f t="shared" si="21"/>
        <v>0.13524</v>
      </c>
      <c r="J291" s="571"/>
    </row>
    <row r="292" spans="1:10" ht="24.95" customHeight="1">
      <c r="A292" s="575"/>
      <c r="B292" s="139" t="s">
        <v>705</v>
      </c>
      <c r="C292" s="585">
        <v>1</v>
      </c>
      <c r="D292" s="585" t="s">
        <v>56</v>
      </c>
      <c r="E292" s="585">
        <v>6</v>
      </c>
      <c r="F292" s="256">
        <v>1.36</v>
      </c>
      <c r="G292" s="256">
        <v>0.23</v>
      </c>
      <c r="H292" s="256">
        <v>0.05</v>
      </c>
      <c r="I292" s="256">
        <f t="shared" si="21"/>
        <v>9.3840000000000007E-2</v>
      </c>
      <c r="J292" s="571"/>
    </row>
    <row r="293" spans="1:10" ht="24.95" customHeight="1">
      <c r="A293" s="575"/>
      <c r="B293" s="139" t="s">
        <v>731</v>
      </c>
      <c r="C293" s="585">
        <v>1</v>
      </c>
      <c r="D293" s="585" t="s">
        <v>56</v>
      </c>
      <c r="E293" s="585">
        <v>4</v>
      </c>
      <c r="F293" s="256">
        <v>1.66</v>
      </c>
      <c r="G293" s="256">
        <v>0.23</v>
      </c>
      <c r="H293" s="256">
        <v>0.05</v>
      </c>
      <c r="I293" s="256">
        <f t="shared" si="21"/>
        <v>7.6359999999999997E-2</v>
      </c>
      <c r="J293" s="571"/>
    </row>
    <row r="294" spans="1:10" ht="24.95" customHeight="1">
      <c r="A294" s="575"/>
      <c r="B294" s="139" t="s">
        <v>707</v>
      </c>
      <c r="C294" s="585">
        <v>1</v>
      </c>
      <c r="D294" s="585" t="s">
        <v>56</v>
      </c>
      <c r="E294" s="585">
        <v>1</v>
      </c>
      <c r="F294" s="256">
        <v>1.66</v>
      </c>
      <c r="G294" s="256">
        <v>0.23</v>
      </c>
      <c r="H294" s="256">
        <v>0.05</v>
      </c>
      <c r="I294" s="256">
        <f t="shared" si="21"/>
        <v>1.9089999999999999E-2</v>
      </c>
      <c r="J294" s="571"/>
    </row>
    <row r="295" spans="1:10" ht="24.95" customHeight="1">
      <c r="A295" s="575"/>
      <c r="B295" s="139" t="s">
        <v>708</v>
      </c>
      <c r="C295" s="585">
        <v>1</v>
      </c>
      <c r="D295" s="585" t="s">
        <v>56</v>
      </c>
      <c r="E295" s="585">
        <v>1</v>
      </c>
      <c r="F295" s="256">
        <v>1.96</v>
      </c>
      <c r="G295" s="256">
        <v>0.23</v>
      </c>
      <c r="H295" s="256">
        <v>0.05</v>
      </c>
      <c r="I295" s="256">
        <f t="shared" si="21"/>
        <v>2.2540000000000004E-2</v>
      </c>
      <c r="J295" s="571"/>
    </row>
    <row r="296" spans="1:10" ht="24.95" customHeight="1">
      <c r="A296" s="575"/>
      <c r="B296" s="139" t="s">
        <v>709</v>
      </c>
      <c r="C296" s="585">
        <v>1</v>
      </c>
      <c r="D296" s="585" t="s">
        <v>56</v>
      </c>
      <c r="E296" s="585">
        <v>2</v>
      </c>
      <c r="F296" s="256">
        <v>1.51</v>
      </c>
      <c r="G296" s="256">
        <v>0.23</v>
      </c>
      <c r="H296" s="256">
        <v>0.05</v>
      </c>
      <c r="I296" s="256">
        <f t="shared" si="21"/>
        <v>3.4730000000000004E-2</v>
      </c>
      <c r="J296" s="571"/>
    </row>
    <row r="297" spans="1:10" ht="24.95" customHeight="1">
      <c r="A297" s="575"/>
      <c r="B297" s="139" t="s">
        <v>732</v>
      </c>
      <c r="C297" s="585">
        <v>1</v>
      </c>
      <c r="D297" s="585" t="s">
        <v>56</v>
      </c>
      <c r="E297" s="585">
        <v>1</v>
      </c>
      <c r="F297" s="256">
        <v>2.2599999999999998</v>
      </c>
      <c r="G297" s="256">
        <v>0.23</v>
      </c>
      <c r="H297" s="256">
        <v>0.05</v>
      </c>
      <c r="I297" s="256">
        <f t="shared" si="21"/>
        <v>2.5989999999999999E-2</v>
      </c>
      <c r="J297" s="571"/>
    </row>
    <row r="298" spans="1:10" ht="24.95" customHeight="1">
      <c r="A298" s="575"/>
      <c r="B298" s="139" t="s">
        <v>733</v>
      </c>
      <c r="C298" s="585">
        <v>1</v>
      </c>
      <c r="D298" s="585" t="s">
        <v>56</v>
      </c>
      <c r="E298" s="585">
        <v>2</v>
      </c>
      <c r="F298" s="256">
        <v>2.2599999999999998</v>
      </c>
      <c r="G298" s="256">
        <v>0.6</v>
      </c>
      <c r="H298" s="262">
        <v>6.3E-2</v>
      </c>
      <c r="I298" s="256">
        <f t="shared" si="21"/>
        <v>0.17085599999999998</v>
      </c>
      <c r="J298" s="571"/>
    </row>
    <row r="299" spans="1:10" ht="24.95" customHeight="1">
      <c r="A299" s="575"/>
      <c r="B299" s="139" t="s">
        <v>713</v>
      </c>
      <c r="C299" s="585">
        <v>1</v>
      </c>
      <c r="D299" s="585" t="s">
        <v>56</v>
      </c>
      <c r="E299" s="585">
        <v>6</v>
      </c>
      <c r="F299" s="256">
        <v>1.96</v>
      </c>
      <c r="G299" s="256">
        <v>0.6</v>
      </c>
      <c r="H299" s="262">
        <v>6.3E-2</v>
      </c>
      <c r="I299" s="256">
        <f t="shared" si="21"/>
        <v>0.44452799999999998</v>
      </c>
      <c r="J299" s="571"/>
    </row>
    <row r="300" spans="1:10" ht="24.95" customHeight="1">
      <c r="A300" s="575"/>
      <c r="B300" s="139" t="s">
        <v>705</v>
      </c>
      <c r="C300" s="585">
        <v>1</v>
      </c>
      <c r="D300" s="585" t="s">
        <v>56</v>
      </c>
      <c r="E300" s="585">
        <v>6</v>
      </c>
      <c r="F300" s="256">
        <v>1.36</v>
      </c>
      <c r="G300" s="256">
        <v>0.6</v>
      </c>
      <c r="H300" s="262">
        <v>6.3E-2</v>
      </c>
      <c r="I300" s="256">
        <f t="shared" si="21"/>
        <v>0.308448</v>
      </c>
      <c r="J300" s="571"/>
    </row>
    <row r="301" spans="1:10" ht="24.95" customHeight="1">
      <c r="A301" s="575"/>
      <c r="B301" s="139" t="s">
        <v>731</v>
      </c>
      <c r="C301" s="585">
        <v>1</v>
      </c>
      <c r="D301" s="585" t="s">
        <v>56</v>
      </c>
      <c r="E301" s="585">
        <v>4</v>
      </c>
      <c r="F301" s="256">
        <v>1.66</v>
      </c>
      <c r="G301" s="256">
        <v>0.6</v>
      </c>
      <c r="H301" s="262">
        <v>6.3E-2</v>
      </c>
      <c r="I301" s="256">
        <f t="shared" si="21"/>
        <v>0.25099199999999999</v>
      </c>
      <c r="J301" s="571"/>
    </row>
    <row r="302" spans="1:10" ht="24.95" customHeight="1">
      <c r="A302" s="575"/>
      <c r="B302" s="139" t="s">
        <v>707</v>
      </c>
      <c r="C302" s="585">
        <v>1</v>
      </c>
      <c r="D302" s="585" t="s">
        <v>56</v>
      </c>
      <c r="E302" s="585">
        <v>1</v>
      </c>
      <c r="F302" s="256">
        <v>1.66</v>
      </c>
      <c r="G302" s="256">
        <v>0.6</v>
      </c>
      <c r="H302" s="262">
        <v>6.3E-2</v>
      </c>
      <c r="I302" s="256">
        <f t="shared" si="21"/>
        <v>6.2747999999999998E-2</v>
      </c>
      <c r="J302" s="571"/>
    </row>
    <row r="303" spans="1:10" ht="24.95" customHeight="1">
      <c r="A303" s="575"/>
      <c r="B303" s="139" t="s">
        <v>708</v>
      </c>
      <c r="C303" s="585">
        <v>1</v>
      </c>
      <c r="D303" s="585" t="s">
        <v>56</v>
      </c>
      <c r="E303" s="585">
        <v>1</v>
      </c>
      <c r="F303" s="256">
        <v>1.96</v>
      </c>
      <c r="G303" s="256">
        <v>0.6</v>
      </c>
      <c r="H303" s="262">
        <v>6.3E-2</v>
      </c>
      <c r="I303" s="256">
        <f t="shared" si="21"/>
        <v>7.4088000000000001E-2</v>
      </c>
      <c r="J303" s="571"/>
    </row>
    <row r="304" spans="1:10" ht="24.95" customHeight="1">
      <c r="A304" s="575"/>
      <c r="B304" s="139" t="s">
        <v>709</v>
      </c>
      <c r="C304" s="585">
        <v>1</v>
      </c>
      <c r="D304" s="585" t="s">
        <v>56</v>
      </c>
      <c r="E304" s="585">
        <v>2</v>
      </c>
      <c r="F304" s="256">
        <v>1.51</v>
      </c>
      <c r="G304" s="256">
        <v>0.6</v>
      </c>
      <c r="H304" s="262">
        <v>6.3E-2</v>
      </c>
      <c r="I304" s="256">
        <f t="shared" si="21"/>
        <v>0.11415599999999999</v>
      </c>
      <c r="J304" s="571"/>
    </row>
    <row r="305" spans="1:11" ht="24.95" customHeight="1">
      <c r="A305" s="575"/>
      <c r="B305" s="139" t="s">
        <v>732</v>
      </c>
      <c r="C305" s="585">
        <v>1</v>
      </c>
      <c r="D305" s="585" t="s">
        <v>56</v>
      </c>
      <c r="E305" s="585">
        <v>1</v>
      </c>
      <c r="F305" s="256">
        <v>2.2599999999999998</v>
      </c>
      <c r="G305" s="256">
        <v>0.6</v>
      </c>
      <c r="H305" s="262">
        <v>6.3E-2</v>
      </c>
      <c r="I305" s="256">
        <f t="shared" si="21"/>
        <v>8.542799999999999E-2</v>
      </c>
      <c r="J305" s="571"/>
    </row>
    <row r="306" spans="1:11" ht="24.95" customHeight="1">
      <c r="A306" s="575"/>
      <c r="B306" s="139" t="s">
        <v>734</v>
      </c>
      <c r="C306" s="585">
        <v>1</v>
      </c>
      <c r="D306" s="585" t="s">
        <v>56</v>
      </c>
      <c r="E306" s="585">
        <v>4</v>
      </c>
      <c r="F306" s="256">
        <v>0.23</v>
      </c>
      <c r="G306" s="256">
        <v>0.38</v>
      </c>
      <c r="H306" s="262">
        <v>1.2</v>
      </c>
      <c r="I306" s="256">
        <f t="shared" si="21"/>
        <v>0.41952</v>
      </c>
      <c r="J306" s="571"/>
    </row>
    <row r="307" spans="1:11" ht="24.95" customHeight="1">
      <c r="A307" s="575"/>
      <c r="B307" s="139" t="s">
        <v>735</v>
      </c>
      <c r="C307" s="585">
        <v>1</v>
      </c>
      <c r="D307" s="585" t="s">
        <v>56</v>
      </c>
      <c r="E307" s="585">
        <v>1</v>
      </c>
      <c r="F307" s="256">
        <v>0.23</v>
      </c>
      <c r="G307" s="256">
        <v>0.45</v>
      </c>
      <c r="H307" s="262">
        <v>1.2</v>
      </c>
      <c r="I307" s="256">
        <f t="shared" si="21"/>
        <v>0.1242</v>
      </c>
      <c r="J307" s="571"/>
    </row>
    <row r="308" spans="1:11" ht="24.95" customHeight="1">
      <c r="A308" s="575"/>
      <c r="B308" s="142" t="s">
        <v>736</v>
      </c>
      <c r="C308" s="585">
        <v>1</v>
      </c>
      <c r="D308" s="585" t="s">
        <v>56</v>
      </c>
      <c r="E308" s="585">
        <v>1</v>
      </c>
      <c r="F308" s="256">
        <v>0.23</v>
      </c>
      <c r="G308" s="256">
        <v>0.6</v>
      </c>
      <c r="H308" s="262">
        <v>1.2</v>
      </c>
      <c r="I308" s="256">
        <f t="shared" si="21"/>
        <v>0.1656</v>
      </c>
      <c r="J308" s="571"/>
    </row>
    <row r="309" spans="1:11" ht="24.95" customHeight="1">
      <c r="A309" s="575"/>
      <c r="B309" s="139" t="s">
        <v>737</v>
      </c>
      <c r="C309" s="585">
        <v>1</v>
      </c>
      <c r="D309" s="585" t="s">
        <v>56</v>
      </c>
      <c r="E309" s="585">
        <v>2</v>
      </c>
      <c r="F309" s="256">
        <v>0.3</v>
      </c>
      <c r="G309" s="256">
        <v>0.38</v>
      </c>
      <c r="H309" s="262">
        <v>1.2</v>
      </c>
      <c r="I309" s="256">
        <f t="shared" si="21"/>
        <v>0.27359999999999995</v>
      </c>
      <c r="J309" s="571"/>
    </row>
    <row r="310" spans="1:11" ht="24.95" customHeight="1">
      <c r="A310" s="575"/>
      <c r="B310" s="139" t="s">
        <v>738</v>
      </c>
      <c r="C310" s="585">
        <v>1</v>
      </c>
      <c r="D310" s="585" t="s">
        <v>56</v>
      </c>
      <c r="E310" s="585">
        <v>2</v>
      </c>
      <c r="F310" s="256">
        <v>0.3</v>
      </c>
      <c r="G310" s="256">
        <v>0.6</v>
      </c>
      <c r="H310" s="262">
        <v>1.2</v>
      </c>
      <c r="I310" s="256">
        <f t="shared" si="21"/>
        <v>0.432</v>
      </c>
      <c r="J310" s="571"/>
    </row>
    <row r="311" spans="1:11" ht="24.95" customHeight="1">
      <c r="A311" s="575"/>
      <c r="B311" s="139" t="s">
        <v>739</v>
      </c>
      <c r="C311" s="585">
        <v>1</v>
      </c>
      <c r="D311" s="585" t="s">
        <v>56</v>
      </c>
      <c r="E311" s="585">
        <v>1</v>
      </c>
      <c r="F311" s="256">
        <v>0.38</v>
      </c>
      <c r="G311" s="256">
        <v>0.38</v>
      </c>
      <c r="H311" s="262">
        <v>1.2</v>
      </c>
      <c r="I311" s="256">
        <f t="shared" si="21"/>
        <v>0.17327999999999999</v>
      </c>
      <c r="J311" s="571"/>
    </row>
    <row r="312" spans="1:11" ht="24.95" customHeight="1">
      <c r="A312" s="575"/>
      <c r="B312" s="139" t="s">
        <v>740</v>
      </c>
      <c r="C312" s="585">
        <v>1</v>
      </c>
      <c r="D312" s="585" t="s">
        <v>56</v>
      </c>
      <c r="E312" s="585">
        <v>1</v>
      </c>
      <c r="F312" s="256">
        <v>3.75</v>
      </c>
      <c r="G312" s="256">
        <v>1.5</v>
      </c>
      <c r="H312" s="256">
        <v>0.13</v>
      </c>
      <c r="I312" s="256">
        <f t="shared" si="21"/>
        <v>0.73125000000000007</v>
      </c>
      <c r="J312" s="571"/>
    </row>
    <row r="313" spans="1:11" ht="24.95" customHeight="1">
      <c r="A313" s="575"/>
      <c r="B313" s="139" t="s">
        <v>716</v>
      </c>
      <c r="C313" s="585">
        <v>1</v>
      </c>
      <c r="D313" s="585" t="s">
        <v>56</v>
      </c>
      <c r="E313" s="585">
        <v>1</v>
      </c>
      <c r="F313" s="256">
        <v>4.1100000000000003</v>
      </c>
      <c r="G313" s="256">
        <v>1.5</v>
      </c>
      <c r="H313" s="256">
        <v>0.13</v>
      </c>
      <c r="I313" s="256">
        <f t="shared" si="21"/>
        <v>0.80145000000000011</v>
      </c>
      <c r="J313" s="571"/>
    </row>
    <row r="314" spans="1:11" ht="24.95" customHeight="1">
      <c r="A314" s="575"/>
      <c r="B314" s="139" t="s">
        <v>741</v>
      </c>
      <c r="C314" s="585">
        <v>1</v>
      </c>
      <c r="D314" s="585" t="s">
        <v>56</v>
      </c>
      <c r="E314" s="585">
        <v>1</v>
      </c>
      <c r="F314" s="256">
        <v>3.45</v>
      </c>
      <c r="G314" s="256">
        <v>1.5</v>
      </c>
      <c r="H314" s="256">
        <v>0.13</v>
      </c>
      <c r="I314" s="256">
        <f t="shared" si="21"/>
        <v>0.67275000000000007</v>
      </c>
      <c r="J314" s="571"/>
    </row>
    <row r="315" spans="1:11" ht="24.95" customHeight="1">
      <c r="A315" s="575"/>
      <c r="B315" s="139" t="s">
        <v>718</v>
      </c>
      <c r="C315" s="585">
        <v>1</v>
      </c>
      <c r="D315" s="585">
        <v>23</v>
      </c>
      <c r="E315" s="604">
        <v>0.5</v>
      </c>
      <c r="F315" s="256">
        <v>0.3</v>
      </c>
      <c r="G315" s="256">
        <v>0.15</v>
      </c>
      <c r="H315" s="256">
        <v>1.5</v>
      </c>
      <c r="I315" s="256">
        <f t="shared" si="21"/>
        <v>0.77624999999999988</v>
      </c>
      <c r="J315" s="571"/>
    </row>
    <row r="316" spans="1:11" ht="24.95" customHeight="1">
      <c r="A316" s="575"/>
      <c r="B316" s="139" t="s">
        <v>742</v>
      </c>
      <c r="C316" s="585">
        <v>1</v>
      </c>
      <c r="D316" s="585" t="s">
        <v>56</v>
      </c>
      <c r="E316" s="585">
        <v>1</v>
      </c>
      <c r="F316" s="256">
        <v>4.1100000000000003</v>
      </c>
      <c r="G316" s="256">
        <v>0.23</v>
      </c>
      <c r="H316" s="256">
        <v>0.3</v>
      </c>
      <c r="I316" s="256">
        <f t="shared" si="21"/>
        <v>0.28359000000000001</v>
      </c>
      <c r="J316" s="571"/>
    </row>
    <row r="317" spans="1:11" ht="24.95" customHeight="1">
      <c r="A317" s="575"/>
      <c r="B317" s="139"/>
      <c r="C317" s="585"/>
      <c r="D317" s="585"/>
      <c r="E317" s="585"/>
      <c r="F317" s="256"/>
      <c r="G317" s="256"/>
      <c r="H317" s="262"/>
      <c r="I317" s="256">
        <f>SUM(I254:I316)</f>
        <v>113.64661099999999</v>
      </c>
      <c r="J317" s="571"/>
      <c r="K317" s="570">
        <v>0.03</v>
      </c>
    </row>
    <row r="318" spans="1:11" ht="24.95" customHeight="1">
      <c r="A318" s="575"/>
      <c r="B318" s="139"/>
      <c r="C318" s="585"/>
      <c r="D318" s="585"/>
      <c r="E318" s="585"/>
      <c r="F318" s="256"/>
      <c r="G318" s="256"/>
      <c r="H318" s="259" t="s">
        <v>15</v>
      </c>
      <c r="I318" s="259">
        <f>ROUNDUP(I317,1-0)</f>
        <v>113.69999999999999</v>
      </c>
      <c r="J318" s="266" t="s">
        <v>16</v>
      </c>
    </row>
    <row r="319" spans="1:11" ht="24.95" customHeight="1">
      <c r="A319" s="575"/>
      <c r="B319" s="139"/>
      <c r="C319" s="585"/>
      <c r="D319" s="585"/>
      <c r="E319" s="585"/>
      <c r="F319" s="256"/>
      <c r="G319" s="256"/>
      <c r="H319" s="262"/>
      <c r="I319" s="256"/>
      <c r="J319" s="571"/>
    </row>
    <row r="320" spans="1:11" ht="24.95" customHeight="1">
      <c r="A320" s="575"/>
      <c r="B320" s="142" t="s">
        <v>743</v>
      </c>
      <c r="C320" s="585">
        <v>1</v>
      </c>
      <c r="D320" s="585" t="s">
        <v>56</v>
      </c>
      <c r="E320" s="585">
        <v>1</v>
      </c>
      <c r="F320" s="256">
        <v>0.23</v>
      </c>
      <c r="G320" s="256">
        <v>0.45</v>
      </c>
      <c r="H320" s="262">
        <v>3.3</v>
      </c>
      <c r="I320" s="256">
        <f t="shared" ref="I320:I330" si="22">PRODUCT(C320:H320)</f>
        <v>0.34155000000000002</v>
      </c>
      <c r="J320" s="571"/>
    </row>
    <row r="321" spans="1:10" ht="24.95" customHeight="1">
      <c r="A321" s="575"/>
      <c r="B321" s="139" t="s">
        <v>736</v>
      </c>
      <c r="C321" s="585">
        <v>1</v>
      </c>
      <c r="D321" s="585" t="s">
        <v>56</v>
      </c>
      <c r="E321" s="585">
        <v>1</v>
      </c>
      <c r="F321" s="256">
        <v>0.23</v>
      </c>
      <c r="G321" s="256">
        <v>0.6</v>
      </c>
      <c r="H321" s="262">
        <v>3.3</v>
      </c>
      <c r="I321" s="256">
        <f t="shared" si="22"/>
        <v>0.45540000000000003</v>
      </c>
      <c r="J321" s="571"/>
    </row>
    <row r="322" spans="1:10" ht="24.95" customHeight="1">
      <c r="A322" s="575"/>
      <c r="B322" s="139" t="s">
        <v>738</v>
      </c>
      <c r="C322" s="585">
        <v>1</v>
      </c>
      <c r="D322" s="585" t="s">
        <v>56</v>
      </c>
      <c r="E322" s="585">
        <v>2</v>
      </c>
      <c r="F322" s="256">
        <v>0.3</v>
      </c>
      <c r="G322" s="256">
        <v>0.6</v>
      </c>
      <c r="H322" s="262">
        <v>3.3</v>
      </c>
      <c r="I322" s="256">
        <f t="shared" si="22"/>
        <v>1.1879999999999999</v>
      </c>
      <c r="J322" s="571"/>
    </row>
    <row r="323" spans="1:10" ht="24.95" customHeight="1">
      <c r="A323" s="575"/>
      <c r="B323" s="139" t="s">
        <v>744</v>
      </c>
      <c r="C323" s="585">
        <v>1</v>
      </c>
      <c r="D323" s="585" t="s">
        <v>56</v>
      </c>
      <c r="E323" s="585">
        <v>1</v>
      </c>
      <c r="F323" s="256">
        <v>21.82</v>
      </c>
      <c r="G323" s="256">
        <v>0.23</v>
      </c>
      <c r="H323" s="262">
        <v>0.17499999999999999</v>
      </c>
      <c r="I323" s="256">
        <f t="shared" si="22"/>
        <v>0.87825500000000001</v>
      </c>
      <c r="J323" s="571"/>
    </row>
    <row r="324" spans="1:10" ht="24.95" customHeight="1">
      <c r="A324" s="575"/>
      <c r="B324" s="139" t="s">
        <v>745</v>
      </c>
      <c r="C324" s="585">
        <v>1</v>
      </c>
      <c r="D324" s="585" t="s">
        <v>56</v>
      </c>
      <c r="E324" s="585">
        <v>1</v>
      </c>
      <c r="F324" s="256">
        <v>7.26</v>
      </c>
      <c r="G324" s="256">
        <v>4.1100000000000003</v>
      </c>
      <c r="H324" s="262">
        <v>0.125</v>
      </c>
      <c r="I324" s="256">
        <f t="shared" si="22"/>
        <v>3.7298250000000004</v>
      </c>
      <c r="J324" s="571"/>
    </row>
    <row r="325" spans="1:10" ht="24.95" customHeight="1">
      <c r="A325" s="575"/>
      <c r="B325" s="139" t="s">
        <v>746</v>
      </c>
      <c r="C325" s="585">
        <v>1</v>
      </c>
      <c r="D325" s="585" t="s">
        <v>56</v>
      </c>
      <c r="E325" s="585">
        <v>1</v>
      </c>
      <c r="F325" s="256">
        <v>1.36</v>
      </c>
      <c r="G325" s="256">
        <v>0.6</v>
      </c>
      <c r="H325" s="262">
        <v>6.3E-2</v>
      </c>
      <c r="I325" s="256">
        <f t="shared" si="22"/>
        <v>5.1408000000000002E-2</v>
      </c>
      <c r="J325" s="571"/>
    </row>
    <row r="326" spans="1:10" ht="24.95" customHeight="1">
      <c r="A326" s="575"/>
      <c r="B326" s="220" t="s">
        <v>747</v>
      </c>
      <c r="C326" s="223">
        <v>1</v>
      </c>
      <c r="D326" s="217" t="s">
        <v>56</v>
      </c>
      <c r="E326" s="223">
        <v>2</v>
      </c>
      <c r="F326" s="218">
        <v>5.26</v>
      </c>
      <c r="G326" s="218">
        <v>1.66</v>
      </c>
      <c r="H326" s="218">
        <v>0.15</v>
      </c>
      <c r="I326" s="218">
        <f t="shared" si="22"/>
        <v>2.6194799999999994</v>
      </c>
      <c r="J326" s="571"/>
    </row>
    <row r="327" spans="1:10" ht="24.95" customHeight="1">
      <c r="A327" s="575"/>
      <c r="B327" s="219" t="s">
        <v>748</v>
      </c>
      <c r="C327" s="223">
        <v>1</v>
      </c>
      <c r="D327" s="217" t="s">
        <v>56</v>
      </c>
      <c r="E327" s="223">
        <v>2</v>
      </c>
      <c r="F327" s="218">
        <f>F326</f>
        <v>5.26</v>
      </c>
      <c r="G327" s="218">
        <v>0.23</v>
      </c>
      <c r="H327" s="218">
        <v>0.22</v>
      </c>
      <c r="I327" s="218">
        <f t="shared" si="22"/>
        <v>0.53231200000000001</v>
      </c>
      <c r="J327" s="571"/>
    </row>
    <row r="328" spans="1:10" ht="24.95" customHeight="1">
      <c r="A328" s="575"/>
      <c r="B328" s="220" t="s">
        <v>186</v>
      </c>
      <c r="C328" s="223">
        <v>1</v>
      </c>
      <c r="D328" s="217" t="s">
        <v>56</v>
      </c>
      <c r="E328" s="223">
        <v>1</v>
      </c>
      <c r="F328" s="218">
        <v>5.26</v>
      </c>
      <c r="G328" s="218">
        <f>G326</f>
        <v>1.66</v>
      </c>
      <c r="H328" s="218">
        <v>0.12</v>
      </c>
      <c r="I328" s="218">
        <f t="shared" si="22"/>
        <v>1.0477919999999998</v>
      </c>
      <c r="J328" s="571"/>
    </row>
    <row r="329" spans="1:10" ht="24.95" customHeight="1">
      <c r="A329" s="575"/>
      <c r="B329" s="220" t="s">
        <v>749</v>
      </c>
      <c r="C329" s="223">
        <v>1</v>
      </c>
      <c r="D329" s="217" t="s">
        <v>56</v>
      </c>
      <c r="E329" s="223">
        <v>-2</v>
      </c>
      <c r="F329" s="218">
        <v>0.6</v>
      </c>
      <c r="G329" s="218">
        <v>0.6</v>
      </c>
      <c r="H329" s="218">
        <v>0.1</v>
      </c>
      <c r="I329" s="218">
        <f t="shared" si="22"/>
        <v>-7.1999999999999995E-2</v>
      </c>
      <c r="J329" s="571"/>
    </row>
    <row r="330" spans="1:10" ht="24.95" customHeight="1">
      <c r="A330" s="575"/>
      <c r="B330" s="219" t="s">
        <v>750</v>
      </c>
      <c r="C330" s="223">
        <v>1</v>
      </c>
      <c r="D330" s="217" t="s">
        <v>56</v>
      </c>
      <c r="E330" s="223">
        <v>1</v>
      </c>
      <c r="F330" s="218">
        <v>12</v>
      </c>
      <c r="G330" s="579">
        <v>0.115</v>
      </c>
      <c r="H330" s="218">
        <v>1</v>
      </c>
      <c r="I330" s="218">
        <f t="shared" si="22"/>
        <v>1.3800000000000001</v>
      </c>
      <c r="J330" s="571"/>
    </row>
    <row r="331" spans="1:10" ht="24.95" customHeight="1">
      <c r="A331" s="575"/>
      <c r="B331" s="139"/>
      <c r="C331" s="585"/>
      <c r="D331" s="585"/>
      <c r="E331" s="585"/>
      <c r="F331" s="256"/>
      <c r="G331" s="256"/>
      <c r="H331" s="262"/>
      <c r="I331" s="256">
        <f>SUM(I320:I330)</f>
        <v>12.152022000000001</v>
      </c>
      <c r="J331" s="571"/>
    </row>
    <row r="332" spans="1:10" ht="24.95" customHeight="1">
      <c r="A332" s="575"/>
      <c r="B332" s="139"/>
      <c r="C332" s="585"/>
      <c r="D332" s="585"/>
      <c r="E332" s="585"/>
      <c r="F332" s="256"/>
      <c r="G332" s="256"/>
      <c r="H332" s="259" t="s">
        <v>15</v>
      </c>
      <c r="I332" s="259">
        <f>ROUNDUP(I331,1-0)</f>
        <v>12.2</v>
      </c>
      <c r="J332" s="266" t="s">
        <v>16</v>
      </c>
    </row>
    <row r="333" spans="1:10" ht="51.75" customHeight="1">
      <c r="A333" s="575">
        <v>9.5</v>
      </c>
      <c r="B333" s="142" t="s">
        <v>751</v>
      </c>
      <c r="C333" s="585"/>
      <c r="D333" s="585"/>
      <c r="E333" s="585"/>
      <c r="F333" s="256"/>
      <c r="G333" s="256"/>
      <c r="H333" s="256"/>
      <c r="I333" s="256"/>
      <c r="J333" s="571"/>
    </row>
    <row r="334" spans="1:10" ht="30.75" customHeight="1">
      <c r="A334" s="575"/>
      <c r="B334" s="142" t="s">
        <v>752</v>
      </c>
      <c r="C334" s="585"/>
      <c r="D334" s="585"/>
      <c r="E334" s="585"/>
      <c r="F334" s="256"/>
      <c r="G334" s="256"/>
      <c r="H334" s="256"/>
      <c r="I334" s="256"/>
      <c r="J334" s="571"/>
    </row>
    <row r="335" spans="1:10" ht="24.95" customHeight="1">
      <c r="A335" s="575"/>
      <c r="B335" s="139" t="s">
        <v>639</v>
      </c>
      <c r="C335" s="585">
        <v>1</v>
      </c>
      <c r="D335" s="585" t="s">
        <v>56</v>
      </c>
      <c r="E335" s="585">
        <v>1</v>
      </c>
      <c r="F335" s="256">
        <v>64.88</v>
      </c>
      <c r="G335" s="256">
        <v>0.23</v>
      </c>
      <c r="H335" s="256">
        <v>3.15</v>
      </c>
      <c r="I335" s="256">
        <f t="shared" ref="I335:I365" si="23">PRODUCT(C335:H335)</f>
        <v>47.005559999999996</v>
      </c>
      <c r="J335" s="571"/>
    </row>
    <row r="336" spans="1:10" ht="28.5" customHeight="1">
      <c r="A336" s="575"/>
      <c r="B336" s="139" t="s">
        <v>640</v>
      </c>
      <c r="C336" s="585">
        <v>1</v>
      </c>
      <c r="D336" s="585" t="s">
        <v>56</v>
      </c>
      <c r="E336" s="585">
        <v>1</v>
      </c>
      <c r="F336" s="256">
        <v>20.12</v>
      </c>
      <c r="G336" s="256">
        <v>0.23</v>
      </c>
      <c r="H336" s="256">
        <v>3.15</v>
      </c>
      <c r="I336" s="256">
        <f t="shared" si="23"/>
        <v>14.57694</v>
      </c>
      <c r="J336" s="571"/>
    </row>
    <row r="337" spans="1:17" ht="24.95" customHeight="1">
      <c r="A337" s="575"/>
      <c r="B337" s="139"/>
      <c r="C337" s="585">
        <v>1</v>
      </c>
      <c r="D337" s="585" t="s">
        <v>56</v>
      </c>
      <c r="E337" s="585">
        <v>1</v>
      </c>
      <c r="F337" s="256">
        <v>16.59</v>
      </c>
      <c r="G337" s="256">
        <v>0.23</v>
      </c>
      <c r="H337" s="256">
        <v>3.15</v>
      </c>
      <c r="I337" s="256">
        <f t="shared" si="23"/>
        <v>12.019455000000001</v>
      </c>
      <c r="J337" s="571"/>
    </row>
    <row r="338" spans="1:17" ht="24.95" customHeight="1">
      <c r="A338" s="575"/>
      <c r="B338" s="139" t="s">
        <v>641</v>
      </c>
      <c r="C338" s="585">
        <v>1</v>
      </c>
      <c r="D338" s="585" t="s">
        <v>56</v>
      </c>
      <c r="E338" s="585">
        <v>1</v>
      </c>
      <c r="F338" s="256">
        <v>3.3</v>
      </c>
      <c r="G338" s="256">
        <v>0.23</v>
      </c>
      <c r="H338" s="256">
        <v>3.15</v>
      </c>
      <c r="I338" s="256">
        <f t="shared" si="23"/>
        <v>2.3908499999999999</v>
      </c>
      <c r="J338" s="571"/>
    </row>
    <row r="339" spans="1:17" ht="24.95" customHeight="1">
      <c r="A339" s="575"/>
      <c r="B339" s="139" t="s">
        <v>642</v>
      </c>
      <c r="C339" s="585">
        <v>1</v>
      </c>
      <c r="D339" s="585" t="s">
        <v>56</v>
      </c>
      <c r="E339" s="585">
        <v>3</v>
      </c>
      <c r="F339" s="256">
        <v>3.6</v>
      </c>
      <c r="G339" s="256">
        <v>0.23</v>
      </c>
      <c r="H339" s="256">
        <v>3.15</v>
      </c>
      <c r="I339" s="256">
        <f t="shared" si="23"/>
        <v>7.8246000000000011</v>
      </c>
      <c r="J339" s="571"/>
      <c r="Q339" s="570">
        <f>0.75-0.115</f>
        <v>0.63500000000000001</v>
      </c>
    </row>
    <row r="340" spans="1:17" ht="24.95" customHeight="1">
      <c r="A340" s="575"/>
      <c r="B340" s="139" t="s">
        <v>643</v>
      </c>
      <c r="C340" s="585">
        <v>1</v>
      </c>
      <c r="D340" s="585" t="s">
        <v>56</v>
      </c>
      <c r="E340" s="585">
        <v>2</v>
      </c>
      <c r="F340" s="256">
        <v>6</v>
      </c>
      <c r="G340" s="256">
        <v>0.23</v>
      </c>
      <c r="H340" s="256">
        <v>3.15</v>
      </c>
      <c r="I340" s="256">
        <f t="shared" si="23"/>
        <v>8.6940000000000008</v>
      </c>
      <c r="J340" s="571"/>
    </row>
    <row r="341" spans="1:17" ht="24.95" customHeight="1">
      <c r="A341" s="575"/>
      <c r="B341" s="139" t="s">
        <v>644</v>
      </c>
      <c r="C341" s="585">
        <v>1</v>
      </c>
      <c r="D341" s="585" t="s">
        <v>56</v>
      </c>
      <c r="E341" s="585">
        <v>1</v>
      </c>
      <c r="F341" s="256">
        <v>8.0299999999999994</v>
      </c>
      <c r="G341" s="256">
        <v>0.23</v>
      </c>
      <c r="H341" s="256">
        <v>3.15</v>
      </c>
      <c r="I341" s="256">
        <f t="shared" si="23"/>
        <v>5.8177349999999999</v>
      </c>
      <c r="J341" s="571"/>
    </row>
    <row r="342" spans="1:17" ht="24.95" customHeight="1">
      <c r="A342" s="575"/>
      <c r="B342" s="139" t="s">
        <v>690</v>
      </c>
      <c r="C342" s="585">
        <v>1</v>
      </c>
      <c r="D342" s="585" t="s">
        <v>56</v>
      </c>
      <c r="E342" s="585">
        <v>1</v>
      </c>
      <c r="F342" s="256">
        <v>2</v>
      </c>
      <c r="G342" s="256">
        <v>0.23</v>
      </c>
      <c r="H342" s="256">
        <v>3.15</v>
      </c>
      <c r="I342" s="256">
        <f t="shared" si="23"/>
        <v>1.4490000000000001</v>
      </c>
      <c r="J342" s="571"/>
    </row>
    <row r="343" spans="1:17" ht="24.95" customHeight="1">
      <c r="A343" s="575"/>
      <c r="B343" s="139" t="s">
        <v>753</v>
      </c>
      <c r="C343" s="585">
        <v>1</v>
      </c>
      <c r="D343" s="585" t="s">
        <v>56</v>
      </c>
      <c r="E343" s="585">
        <v>1</v>
      </c>
      <c r="F343" s="256">
        <v>15.97</v>
      </c>
      <c r="G343" s="256">
        <v>0.23</v>
      </c>
      <c r="H343" s="256">
        <v>3.15</v>
      </c>
      <c r="I343" s="256">
        <f t="shared" si="23"/>
        <v>11.570265000000001</v>
      </c>
      <c r="J343" s="571"/>
    </row>
    <row r="344" spans="1:17" ht="24.95" customHeight="1">
      <c r="A344" s="575"/>
      <c r="B344" s="139" t="s">
        <v>754</v>
      </c>
      <c r="C344" s="585">
        <v>-1</v>
      </c>
      <c r="D344" s="585" t="s">
        <v>56</v>
      </c>
      <c r="E344" s="585">
        <v>1</v>
      </c>
      <c r="F344" s="256">
        <v>1.8</v>
      </c>
      <c r="G344" s="256">
        <v>0.23</v>
      </c>
      <c r="H344" s="256">
        <v>2.4</v>
      </c>
      <c r="I344" s="256">
        <f t="shared" si="23"/>
        <v>-0.99360000000000004</v>
      </c>
      <c r="J344" s="571"/>
    </row>
    <row r="345" spans="1:17" ht="24.95" customHeight="1">
      <c r="A345" s="575"/>
      <c r="B345" s="139" t="s">
        <v>706</v>
      </c>
      <c r="C345" s="585">
        <v>-1</v>
      </c>
      <c r="D345" s="585" t="s">
        <v>56</v>
      </c>
      <c r="E345" s="585">
        <v>1</v>
      </c>
      <c r="F345" s="256">
        <v>0.75</v>
      </c>
      <c r="G345" s="256">
        <v>0.23</v>
      </c>
      <c r="H345" s="256">
        <v>2.1</v>
      </c>
      <c r="I345" s="256">
        <f t="shared" si="23"/>
        <v>-0.36225000000000007</v>
      </c>
      <c r="J345" s="571"/>
    </row>
    <row r="346" spans="1:17" ht="25.5" customHeight="1">
      <c r="A346" s="575"/>
      <c r="B346" s="139" t="s">
        <v>755</v>
      </c>
      <c r="C346" s="585">
        <v>-1</v>
      </c>
      <c r="D346" s="585" t="s">
        <v>56</v>
      </c>
      <c r="E346" s="585">
        <v>1</v>
      </c>
      <c r="F346" s="256">
        <v>1.8</v>
      </c>
      <c r="G346" s="256">
        <v>0.23</v>
      </c>
      <c r="H346" s="256">
        <v>2.1</v>
      </c>
      <c r="I346" s="256">
        <f t="shared" si="23"/>
        <v>-0.86940000000000006</v>
      </c>
      <c r="J346" s="571"/>
    </row>
    <row r="347" spans="1:17" ht="24.95" customHeight="1">
      <c r="A347" s="575"/>
      <c r="B347" s="139" t="s">
        <v>756</v>
      </c>
      <c r="C347" s="585">
        <v>-1</v>
      </c>
      <c r="D347" s="585" t="s">
        <v>56</v>
      </c>
      <c r="E347" s="585">
        <v>1</v>
      </c>
      <c r="F347" s="256">
        <v>1.8</v>
      </c>
      <c r="G347" s="256">
        <v>0.23</v>
      </c>
      <c r="H347" s="256">
        <v>0.6</v>
      </c>
      <c r="I347" s="256">
        <f t="shared" si="23"/>
        <v>-0.24840000000000001</v>
      </c>
      <c r="J347" s="571"/>
    </row>
    <row r="348" spans="1:17" ht="24.95" customHeight="1">
      <c r="A348" s="575"/>
      <c r="B348" s="139" t="s">
        <v>757</v>
      </c>
      <c r="C348" s="585">
        <v>-1</v>
      </c>
      <c r="D348" s="585" t="s">
        <v>56</v>
      </c>
      <c r="E348" s="585">
        <v>2</v>
      </c>
      <c r="F348" s="256">
        <v>0.75</v>
      </c>
      <c r="G348" s="256">
        <v>0.23</v>
      </c>
      <c r="H348" s="256">
        <v>2.4</v>
      </c>
      <c r="I348" s="256">
        <f t="shared" si="23"/>
        <v>-0.82800000000000007</v>
      </c>
      <c r="J348" s="571"/>
    </row>
    <row r="349" spans="1:17" ht="32.25" customHeight="1">
      <c r="A349" s="575"/>
      <c r="B349" s="139" t="s">
        <v>756</v>
      </c>
      <c r="C349" s="585">
        <v>-1</v>
      </c>
      <c r="D349" s="585" t="s">
        <v>56</v>
      </c>
      <c r="E349" s="585">
        <v>2</v>
      </c>
      <c r="F349" s="256">
        <v>1.2</v>
      </c>
      <c r="G349" s="256">
        <v>0.23</v>
      </c>
      <c r="H349" s="256">
        <v>0.6</v>
      </c>
      <c r="I349" s="256">
        <f t="shared" si="23"/>
        <v>-0.33119999999999999</v>
      </c>
      <c r="J349" s="571"/>
    </row>
    <row r="350" spans="1:17" ht="28.5" customHeight="1">
      <c r="A350" s="575"/>
      <c r="B350" s="139" t="s">
        <v>758</v>
      </c>
      <c r="C350" s="585">
        <v>-1</v>
      </c>
      <c r="D350" s="585" t="s">
        <v>56</v>
      </c>
      <c r="E350" s="585">
        <v>1</v>
      </c>
      <c r="F350" s="256">
        <v>1</v>
      </c>
      <c r="G350" s="256">
        <v>0.23</v>
      </c>
      <c r="H350" s="256">
        <v>2.4</v>
      </c>
      <c r="I350" s="256">
        <f t="shared" si="23"/>
        <v>-0.55200000000000005</v>
      </c>
      <c r="J350" s="571"/>
    </row>
    <row r="351" spans="1:17" ht="24.95" customHeight="1">
      <c r="A351" s="575"/>
      <c r="B351" s="139" t="s">
        <v>756</v>
      </c>
      <c r="C351" s="585">
        <v>-1</v>
      </c>
      <c r="D351" s="585" t="s">
        <v>56</v>
      </c>
      <c r="E351" s="585">
        <v>1</v>
      </c>
      <c r="F351" s="256">
        <v>1.8</v>
      </c>
      <c r="G351" s="256">
        <v>0.23</v>
      </c>
      <c r="H351" s="256">
        <v>0.6</v>
      </c>
      <c r="I351" s="256">
        <f t="shared" si="23"/>
        <v>-0.24840000000000001</v>
      </c>
      <c r="J351" s="571"/>
    </row>
    <row r="352" spans="1:17" ht="24.95" customHeight="1">
      <c r="A352" s="575"/>
      <c r="B352" s="142" t="s">
        <v>759</v>
      </c>
      <c r="C352" s="585">
        <v>-1</v>
      </c>
      <c r="D352" s="585" t="s">
        <v>56</v>
      </c>
      <c r="E352" s="585">
        <v>3</v>
      </c>
      <c r="F352" s="256">
        <v>1.2</v>
      </c>
      <c r="G352" s="256">
        <v>0.23</v>
      </c>
      <c r="H352" s="256">
        <v>2.4</v>
      </c>
      <c r="I352" s="256">
        <f t="shared" si="23"/>
        <v>-1.9871999999999999</v>
      </c>
      <c r="J352" s="571"/>
    </row>
    <row r="353" spans="1:10" ht="24.95" customHeight="1">
      <c r="A353" s="575"/>
      <c r="B353" s="139" t="s">
        <v>756</v>
      </c>
      <c r="C353" s="585">
        <v>-1</v>
      </c>
      <c r="D353" s="585" t="s">
        <v>56</v>
      </c>
      <c r="E353" s="585">
        <v>3</v>
      </c>
      <c r="F353" s="256">
        <v>1.2</v>
      </c>
      <c r="G353" s="256">
        <v>0.23</v>
      </c>
      <c r="H353" s="256">
        <v>0.6</v>
      </c>
      <c r="I353" s="256">
        <f t="shared" si="23"/>
        <v>-0.49679999999999996</v>
      </c>
      <c r="J353" s="571"/>
    </row>
    <row r="354" spans="1:10" ht="24.95" customHeight="1">
      <c r="A354" s="575"/>
      <c r="B354" s="139" t="s">
        <v>760</v>
      </c>
      <c r="C354" s="585">
        <v>-1</v>
      </c>
      <c r="D354" s="585" t="s">
        <v>56</v>
      </c>
      <c r="E354" s="585">
        <v>1</v>
      </c>
      <c r="F354" s="256">
        <v>1.2</v>
      </c>
      <c r="G354" s="256">
        <v>0.23</v>
      </c>
      <c r="H354" s="256">
        <v>2.4</v>
      </c>
      <c r="I354" s="256">
        <f t="shared" si="23"/>
        <v>-0.66239999999999999</v>
      </c>
      <c r="J354" s="571"/>
    </row>
    <row r="355" spans="1:10" ht="24.95" customHeight="1">
      <c r="A355" s="575"/>
      <c r="B355" s="139" t="s">
        <v>756</v>
      </c>
      <c r="C355" s="585">
        <v>-1</v>
      </c>
      <c r="D355" s="585" t="s">
        <v>56</v>
      </c>
      <c r="E355" s="585">
        <v>1</v>
      </c>
      <c r="F355" s="256">
        <v>2.1</v>
      </c>
      <c r="G355" s="256">
        <v>0.23</v>
      </c>
      <c r="H355" s="256">
        <v>0.6</v>
      </c>
      <c r="I355" s="256">
        <f t="shared" si="23"/>
        <v>-0.2898</v>
      </c>
      <c r="J355" s="571"/>
    </row>
    <row r="356" spans="1:10" ht="24.95" customHeight="1">
      <c r="A356" s="575"/>
      <c r="B356" s="139" t="s">
        <v>761</v>
      </c>
      <c r="C356" s="585">
        <v>-1</v>
      </c>
      <c r="D356" s="585" t="s">
        <v>56</v>
      </c>
      <c r="E356" s="585">
        <v>1</v>
      </c>
      <c r="F356" s="256">
        <v>1.8</v>
      </c>
      <c r="G356" s="256">
        <v>0.23</v>
      </c>
      <c r="H356" s="256">
        <v>2.4</v>
      </c>
      <c r="I356" s="256">
        <f t="shared" si="23"/>
        <v>-0.99360000000000004</v>
      </c>
      <c r="J356" s="571"/>
    </row>
    <row r="357" spans="1:10" ht="24.95" customHeight="1">
      <c r="A357" s="575"/>
      <c r="B357" s="139" t="s">
        <v>756</v>
      </c>
      <c r="C357" s="585">
        <v>-1</v>
      </c>
      <c r="D357" s="585" t="s">
        <v>56</v>
      </c>
      <c r="E357" s="585">
        <v>1</v>
      </c>
      <c r="F357" s="256">
        <v>1.8</v>
      </c>
      <c r="G357" s="256">
        <v>0.23</v>
      </c>
      <c r="H357" s="256">
        <v>0.6</v>
      </c>
      <c r="I357" s="256">
        <f t="shared" si="23"/>
        <v>-0.24840000000000001</v>
      </c>
      <c r="J357" s="571"/>
    </row>
    <row r="358" spans="1:10" ht="24.95" customHeight="1">
      <c r="A358" s="575"/>
      <c r="B358" s="139" t="s">
        <v>762</v>
      </c>
      <c r="C358" s="585">
        <v>-1</v>
      </c>
      <c r="D358" s="585" t="s">
        <v>56</v>
      </c>
      <c r="E358" s="585">
        <v>2</v>
      </c>
      <c r="F358" s="256">
        <v>0.9</v>
      </c>
      <c r="G358" s="256">
        <v>0.23</v>
      </c>
      <c r="H358" s="256">
        <v>2.4</v>
      </c>
      <c r="I358" s="256">
        <f t="shared" si="23"/>
        <v>-0.99360000000000004</v>
      </c>
      <c r="J358" s="571"/>
    </row>
    <row r="359" spans="1:10" ht="24.95" customHeight="1">
      <c r="A359" s="575"/>
      <c r="B359" s="139" t="s">
        <v>713</v>
      </c>
      <c r="C359" s="585">
        <v>-1</v>
      </c>
      <c r="D359" s="585" t="s">
        <v>56</v>
      </c>
      <c r="E359" s="585">
        <v>7</v>
      </c>
      <c r="F359" s="256">
        <v>1.5</v>
      </c>
      <c r="G359" s="256">
        <v>0.23</v>
      </c>
      <c r="H359" s="256">
        <v>1.65</v>
      </c>
      <c r="I359" s="256">
        <f t="shared" si="23"/>
        <v>-3.98475</v>
      </c>
      <c r="J359" s="571"/>
    </row>
    <row r="360" spans="1:10" ht="24.95" customHeight="1">
      <c r="A360" s="575"/>
      <c r="B360" s="139" t="s">
        <v>704</v>
      </c>
      <c r="C360" s="585">
        <v>-1</v>
      </c>
      <c r="D360" s="585" t="s">
        <v>56</v>
      </c>
      <c r="E360" s="585">
        <v>1</v>
      </c>
      <c r="F360" s="256">
        <v>0.9</v>
      </c>
      <c r="G360" s="256">
        <v>0.23</v>
      </c>
      <c r="H360" s="256">
        <v>1.65</v>
      </c>
      <c r="I360" s="256">
        <f t="shared" si="23"/>
        <v>-0.34155000000000002</v>
      </c>
      <c r="J360" s="571"/>
    </row>
    <row r="361" spans="1:10" ht="24.95" customHeight="1">
      <c r="A361" s="575"/>
      <c r="B361" s="239" t="s">
        <v>705</v>
      </c>
      <c r="C361" s="585">
        <v>-1</v>
      </c>
      <c r="D361" s="585" t="s">
        <v>56</v>
      </c>
      <c r="E361" s="585">
        <v>3</v>
      </c>
      <c r="F361" s="256">
        <v>1.2</v>
      </c>
      <c r="G361" s="256">
        <v>0.23</v>
      </c>
      <c r="H361" s="256">
        <v>1.65</v>
      </c>
      <c r="I361" s="256">
        <f t="shared" si="23"/>
        <v>-1.3661999999999999</v>
      </c>
      <c r="J361" s="571"/>
    </row>
    <row r="362" spans="1:10" ht="24.95" customHeight="1">
      <c r="A362" s="575"/>
      <c r="B362" s="139" t="s">
        <v>706</v>
      </c>
      <c r="C362" s="585">
        <v>-1</v>
      </c>
      <c r="D362" s="585" t="s">
        <v>56</v>
      </c>
      <c r="E362" s="585">
        <v>1</v>
      </c>
      <c r="F362" s="256">
        <v>1.8</v>
      </c>
      <c r="G362" s="256">
        <v>0.23</v>
      </c>
      <c r="H362" s="256">
        <v>2.4</v>
      </c>
      <c r="I362" s="256">
        <f t="shared" si="23"/>
        <v>-0.99360000000000004</v>
      </c>
      <c r="J362" s="266"/>
    </row>
    <row r="363" spans="1:10" ht="24.95" customHeight="1">
      <c r="A363" s="575"/>
      <c r="B363" s="139" t="s">
        <v>707</v>
      </c>
      <c r="C363" s="585">
        <v>-1</v>
      </c>
      <c r="D363" s="585" t="s">
        <v>56</v>
      </c>
      <c r="E363" s="585">
        <v>1</v>
      </c>
      <c r="F363" s="256">
        <v>1.2</v>
      </c>
      <c r="G363" s="256">
        <v>0.23</v>
      </c>
      <c r="H363" s="256">
        <v>1.65</v>
      </c>
      <c r="I363" s="256">
        <f t="shared" si="23"/>
        <v>-0.45540000000000003</v>
      </c>
      <c r="J363" s="571"/>
    </row>
    <row r="364" spans="1:10" ht="24.95" customHeight="1">
      <c r="A364" s="575"/>
      <c r="B364" s="139" t="s">
        <v>708</v>
      </c>
      <c r="C364" s="585">
        <v>-1</v>
      </c>
      <c r="D364" s="585" t="s">
        <v>56</v>
      </c>
      <c r="E364" s="585">
        <v>1</v>
      </c>
      <c r="F364" s="256">
        <v>1.5</v>
      </c>
      <c r="G364" s="256">
        <v>0.23</v>
      </c>
      <c r="H364" s="256">
        <v>1.65</v>
      </c>
      <c r="I364" s="256">
        <f t="shared" si="23"/>
        <v>-0.56925000000000003</v>
      </c>
      <c r="J364" s="571"/>
    </row>
    <row r="365" spans="1:10" ht="24.95" customHeight="1">
      <c r="A365" s="575"/>
      <c r="B365" s="139" t="s">
        <v>709</v>
      </c>
      <c r="C365" s="585">
        <v>-1</v>
      </c>
      <c r="D365" s="585" t="s">
        <v>56</v>
      </c>
      <c r="E365" s="585">
        <v>2</v>
      </c>
      <c r="F365" s="256">
        <v>1.05</v>
      </c>
      <c r="G365" s="256">
        <v>0.23</v>
      </c>
      <c r="H365" s="256">
        <v>1.65</v>
      </c>
      <c r="I365" s="256">
        <f t="shared" si="23"/>
        <v>-0.79695000000000005</v>
      </c>
      <c r="J365" s="266"/>
    </row>
    <row r="366" spans="1:10" ht="24.95" customHeight="1">
      <c r="A366" s="575"/>
      <c r="B366" s="142" t="s">
        <v>763</v>
      </c>
      <c r="C366" s="585"/>
      <c r="D366" s="585"/>
      <c r="E366" s="585"/>
      <c r="F366" s="256"/>
      <c r="G366" s="256"/>
      <c r="H366" s="256"/>
      <c r="I366" s="256"/>
      <c r="J366" s="571"/>
    </row>
    <row r="367" spans="1:10" ht="24.95" customHeight="1">
      <c r="A367" s="575"/>
      <c r="B367" s="139" t="s">
        <v>639</v>
      </c>
      <c r="C367" s="585">
        <v>-1</v>
      </c>
      <c r="D367" s="585" t="s">
        <v>56</v>
      </c>
      <c r="E367" s="585">
        <v>1</v>
      </c>
      <c r="F367" s="256">
        <v>64.88</v>
      </c>
      <c r="G367" s="256">
        <v>0.23</v>
      </c>
      <c r="H367" s="256">
        <v>0.15</v>
      </c>
      <c r="I367" s="256">
        <f t="shared" ref="I367:I390" si="24">PRODUCT(C367:H367)</f>
        <v>-2.2383599999999997</v>
      </c>
      <c r="J367" s="571"/>
    </row>
    <row r="368" spans="1:10" ht="24.95" customHeight="1">
      <c r="A368" s="575"/>
      <c r="B368" s="139" t="s">
        <v>640</v>
      </c>
      <c r="C368" s="585">
        <v>-1</v>
      </c>
      <c r="D368" s="585" t="s">
        <v>56</v>
      </c>
      <c r="E368" s="585">
        <v>1</v>
      </c>
      <c r="F368" s="256">
        <v>20.12</v>
      </c>
      <c r="G368" s="256">
        <v>0.23</v>
      </c>
      <c r="H368" s="256">
        <v>0.15</v>
      </c>
      <c r="I368" s="256">
        <f t="shared" si="24"/>
        <v>-0.69413999999999998</v>
      </c>
      <c r="J368" s="571"/>
    </row>
    <row r="369" spans="1:10" ht="24.95" customHeight="1">
      <c r="A369" s="575"/>
      <c r="B369" s="139"/>
      <c r="C369" s="585">
        <v>-1</v>
      </c>
      <c r="D369" s="585" t="s">
        <v>56</v>
      </c>
      <c r="E369" s="585">
        <v>1</v>
      </c>
      <c r="F369" s="256">
        <v>16.59</v>
      </c>
      <c r="G369" s="256">
        <v>0.23</v>
      </c>
      <c r="H369" s="256">
        <v>0.15</v>
      </c>
      <c r="I369" s="256">
        <f t="shared" si="24"/>
        <v>-0.57235499999999995</v>
      </c>
      <c r="J369" s="571"/>
    </row>
    <row r="370" spans="1:10" ht="24.95" customHeight="1">
      <c r="A370" s="575"/>
      <c r="B370" s="139" t="s">
        <v>641</v>
      </c>
      <c r="C370" s="585">
        <v>-1</v>
      </c>
      <c r="D370" s="585" t="s">
        <v>56</v>
      </c>
      <c r="E370" s="585">
        <v>1</v>
      </c>
      <c r="F370" s="256">
        <v>3.3</v>
      </c>
      <c r="G370" s="256">
        <v>0.23</v>
      </c>
      <c r="H370" s="256">
        <v>0.15</v>
      </c>
      <c r="I370" s="256">
        <f t="shared" si="24"/>
        <v>-0.11384999999999999</v>
      </c>
      <c r="J370" s="571"/>
    </row>
    <row r="371" spans="1:10" ht="24.95" customHeight="1">
      <c r="A371" s="575"/>
      <c r="B371" s="139" t="s">
        <v>642</v>
      </c>
      <c r="C371" s="585">
        <v>-1</v>
      </c>
      <c r="D371" s="585" t="s">
        <v>56</v>
      </c>
      <c r="E371" s="585">
        <v>3</v>
      </c>
      <c r="F371" s="256">
        <v>3.6</v>
      </c>
      <c r="G371" s="256">
        <v>0.23</v>
      </c>
      <c r="H371" s="256">
        <v>0.15</v>
      </c>
      <c r="I371" s="256">
        <f t="shared" si="24"/>
        <v>-0.37260000000000004</v>
      </c>
      <c r="J371" s="571"/>
    </row>
    <row r="372" spans="1:10" ht="24.95" customHeight="1">
      <c r="A372" s="575"/>
      <c r="B372" s="139" t="s">
        <v>643</v>
      </c>
      <c r="C372" s="585">
        <v>-1</v>
      </c>
      <c r="D372" s="585" t="s">
        <v>56</v>
      </c>
      <c r="E372" s="585">
        <v>2</v>
      </c>
      <c r="F372" s="256">
        <v>6</v>
      </c>
      <c r="G372" s="256">
        <v>0.23</v>
      </c>
      <c r="H372" s="256">
        <v>0.15</v>
      </c>
      <c r="I372" s="256">
        <f t="shared" si="24"/>
        <v>-0.41400000000000003</v>
      </c>
      <c r="J372" s="571"/>
    </row>
    <row r="373" spans="1:10" ht="24.95" customHeight="1">
      <c r="A373" s="575"/>
      <c r="B373" s="139" t="s">
        <v>644</v>
      </c>
      <c r="C373" s="585">
        <v>-1</v>
      </c>
      <c r="D373" s="585" t="s">
        <v>56</v>
      </c>
      <c r="E373" s="585">
        <v>1</v>
      </c>
      <c r="F373" s="256">
        <v>8.0299999999999994</v>
      </c>
      <c r="G373" s="256">
        <v>0.23</v>
      </c>
      <c r="H373" s="256">
        <v>0.15</v>
      </c>
      <c r="I373" s="256">
        <f t="shared" si="24"/>
        <v>-0.27703499999999998</v>
      </c>
      <c r="J373" s="571"/>
    </row>
    <row r="374" spans="1:10" ht="24.95" customHeight="1">
      <c r="A374" s="575"/>
      <c r="B374" s="139" t="s">
        <v>690</v>
      </c>
      <c r="C374" s="585">
        <v>-1</v>
      </c>
      <c r="D374" s="585" t="s">
        <v>56</v>
      </c>
      <c r="E374" s="585">
        <v>1</v>
      </c>
      <c r="F374" s="256">
        <v>2</v>
      </c>
      <c r="G374" s="256">
        <v>0.23</v>
      </c>
      <c r="H374" s="256">
        <v>0.15</v>
      </c>
      <c r="I374" s="256">
        <f t="shared" si="24"/>
        <v>-6.9000000000000006E-2</v>
      </c>
      <c r="J374" s="571"/>
    </row>
    <row r="375" spans="1:10" ht="24.95" customHeight="1">
      <c r="A375" s="575"/>
      <c r="B375" s="139" t="s">
        <v>703</v>
      </c>
      <c r="C375" s="585">
        <v>-1</v>
      </c>
      <c r="D375" s="585" t="s">
        <v>56</v>
      </c>
      <c r="E375" s="585">
        <v>7</v>
      </c>
      <c r="F375" s="256">
        <v>1.96</v>
      </c>
      <c r="G375" s="256">
        <v>0.23</v>
      </c>
      <c r="H375" s="256">
        <v>0.05</v>
      </c>
      <c r="I375" s="256">
        <f t="shared" si="24"/>
        <v>-0.15778</v>
      </c>
      <c r="J375" s="571"/>
    </row>
    <row r="376" spans="1:10" ht="24.95" customHeight="1">
      <c r="A376" s="575"/>
      <c r="B376" s="139" t="s">
        <v>704</v>
      </c>
      <c r="C376" s="585">
        <v>-1</v>
      </c>
      <c r="D376" s="585" t="s">
        <v>56</v>
      </c>
      <c r="E376" s="585">
        <v>1</v>
      </c>
      <c r="F376" s="256">
        <v>1.81</v>
      </c>
      <c r="G376" s="256">
        <v>0.23</v>
      </c>
      <c r="H376" s="256">
        <v>0.05</v>
      </c>
      <c r="I376" s="256">
        <f t="shared" si="24"/>
        <v>-2.0815E-2</v>
      </c>
      <c r="J376" s="571"/>
    </row>
    <row r="377" spans="1:10" ht="24.95" customHeight="1">
      <c r="A377" s="575"/>
      <c r="B377" s="139" t="s">
        <v>705</v>
      </c>
      <c r="C377" s="585">
        <v>-1</v>
      </c>
      <c r="D377" s="585" t="s">
        <v>56</v>
      </c>
      <c r="E377" s="585">
        <v>3</v>
      </c>
      <c r="F377" s="256">
        <v>1.36</v>
      </c>
      <c r="G377" s="256">
        <v>0.23</v>
      </c>
      <c r="H377" s="256">
        <v>0.05</v>
      </c>
      <c r="I377" s="256">
        <f t="shared" si="24"/>
        <v>-4.6920000000000003E-2</v>
      </c>
      <c r="J377" s="571"/>
    </row>
    <row r="378" spans="1:10" ht="24.95" customHeight="1">
      <c r="A378" s="575"/>
      <c r="B378" s="139" t="s">
        <v>706</v>
      </c>
      <c r="C378" s="585">
        <v>-1</v>
      </c>
      <c r="D378" s="585" t="s">
        <v>56</v>
      </c>
      <c r="E378" s="585">
        <v>1</v>
      </c>
      <c r="F378" s="256">
        <v>1.21</v>
      </c>
      <c r="G378" s="256">
        <v>0.23</v>
      </c>
      <c r="H378" s="256">
        <v>0.05</v>
      </c>
      <c r="I378" s="256">
        <f t="shared" si="24"/>
        <v>-1.3915E-2</v>
      </c>
      <c r="J378" s="571"/>
    </row>
    <row r="379" spans="1:10" ht="24.95" customHeight="1">
      <c r="A379" s="575"/>
      <c r="B379" s="139" t="s">
        <v>707</v>
      </c>
      <c r="C379" s="585">
        <v>-1</v>
      </c>
      <c r="D379" s="585" t="s">
        <v>56</v>
      </c>
      <c r="E379" s="585">
        <v>1</v>
      </c>
      <c r="F379" s="256">
        <v>1.66</v>
      </c>
      <c r="G379" s="256">
        <v>0.23</v>
      </c>
      <c r="H379" s="256">
        <v>0.05</v>
      </c>
      <c r="I379" s="256">
        <f t="shared" si="24"/>
        <v>-1.9089999999999999E-2</v>
      </c>
      <c r="J379" s="571"/>
    </row>
    <row r="380" spans="1:10" ht="24.95" customHeight="1">
      <c r="A380" s="575"/>
      <c r="B380" s="139" t="s">
        <v>708</v>
      </c>
      <c r="C380" s="585">
        <v>-1</v>
      </c>
      <c r="D380" s="585" t="s">
        <v>56</v>
      </c>
      <c r="E380" s="585">
        <v>1</v>
      </c>
      <c r="F380" s="256">
        <v>1.96</v>
      </c>
      <c r="G380" s="256">
        <v>0.23</v>
      </c>
      <c r="H380" s="256">
        <v>0.05</v>
      </c>
      <c r="I380" s="256">
        <f t="shared" si="24"/>
        <v>-2.2540000000000004E-2</v>
      </c>
      <c r="J380" s="571"/>
    </row>
    <row r="381" spans="1:10" ht="24.95" customHeight="1">
      <c r="A381" s="575"/>
      <c r="B381" s="139" t="s">
        <v>709</v>
      </c>
      <c r="C381" s="585">
        <v>-1</v>
      </c>
      <c r="D381" s="585" t="s">
        <v>56</v>
      </c>
      <c r="E381" s="585">
        <v>2</v>
      </c>
      <c r="F381" s="256">
        <v>1.51</v>
      </c>
      <c r="G381" s="256">
        <v>0.23</v>
      </c>
      <c r="H381" s="256">
        <v>0.05</v>
      </c>
      <c r="I381" s="256">
        <f t="shared" si="24"/>
        <v>-3.4730000000000004E-2</v>
      </c>
      <c r="J381" s="571"/>
    </row>
    <row r="382" spans="1:10" ht="24.95" customHeight="1">
      <c r="A382" s="575"/>
      <c r="B382" s="139" t="s">
        <v>710</v>
      </c>
      <c r="C382" s="585">
        <v>-1</v>
      </c>
      <c r="D382" s="585" t="s">
        <v>56</v>
      </c>
      <c r="E382" s="585">
        <v>1</v>
      </c>
      <c r="F382" s="256">
        <v>2.11</v>
      </c>
      <c r="G382" s="256">
        <v>0.23</v>
      </c>
      <c r="H382" s="256">
        <v>0.05</v>
      </c>
      <c r="I382" s="256">
        <f t="shared" si="24"/>
        <v>-2.4265000000000002E-2</v>
      </c>
      <c r="J382" s="571"/>
    </row>
    <row r="383" spans="1:10" ht="24.95" customHeight="1">
      <c r="A383" s="575"/>
      <c r="B383" s="139" t="s">
        <v>692</v>
      </c>
      <c r="C383" s="585">
        <v>-1</v>
      </c>
      <c r="D383" s="585" t="s">
        <v>56</v>
      </c>
      <c r="E383" s="585">
        <v>5</v>
      </c>
      <c r="F383" s="256">
        <v>0.23</v>
      </c>
      <c r="G383" s="256">
        <v>0.38</v>
      </c>
      <c r="H383" s="256">
        <v>3.15</v>
      </c>
      <c r="I383" s="256">
        <f t="shared" si="24"/>
        <v>-1.3765500000000002</v>
      </c>
      <c r="J383" s="571"/>
    </row>
    <row r="384" spans="1:10" ht="24.95" customHeight="1">
      <c r="A384" s="575"/>
      <c r="B384" s="139" t="s">
        <v>675</v>
      </c>
      <c r="C384" s="585">
        <v>-1</v>
      </c>
      <c r="D384" s="585" t="s">
        <v>56</v>
      </c>
      <c r="E384" s="585">
        <v>1</v>
      </c>
      <c r="F384" s="256">
        <v>0.23</v>
      </c>
      <c r="G384" s="256">
        <v>0.45</v>
      </c>
      <c r="H384" s="256">
        <v>3</v>
      </c>
      <c r="I384" s="256">
        <f t="shared" si="24"/>
        <v>-0.3105</v>
      </c>
      <c r="J384" s="266"/>
    </row>
    <row r="385" spans="1:11" ht="24.95" customHeight="1">
      <c r="A385" s="575"/>
      <c r="B385" s="139" t="s">
        <v>675</v>
      </c>
      <c r="C385" s="585">
        <v>-1</v>
      </c>
      <c r="D385" s="585" t="s">
        <v>56</v>
      </c>
      <c r="E385" s="585">
        <v>3</v>
      </c>
      <c r="F385" s="256">
        <v>0.23</v>
      </c>
      <c r="G385" s="256">
        <v>0.45</v>
      </c>
      <c r="H385" s="256">
        <v>3.15</v>
      </c>
      <c r="I385" s="256">
        <f t="shared" si="24"/>
        <v>-0.97807500000000014</v>
      </c>
      <c r="J385" s="571"/>
    </row>
    <row r="386" spans="1:11" ht="24.95" customHeight="1">
      <c r="A386" s="575"/>
      <c r="B386" s="139" t="s">
        <v>693</v>
      </c>
      <c r="C386" s="585">
        <v>-1</v>
      </c>
      <c r="D386" s="585" t="s">
        <v>56</v>
      </c>
      <c r="E386" s="585">
        <v>1</v>
      </c>
      <c r="F386" s="256">
        <v>0.23</v>
      </c>
      <c r="G386" s="256">
        <v>0.6</v>
      </c>
      <c r="H386" s="256">
        <v>3</v>
      </c>
      <c r="I386" s="256">
        <f t="shared" si="24"/>
        <v>-0.41400000000000003</v>
      </c>
      <c r="J386" s="571"/>
    </row>
    <row r="387" spans="1:11" ht="24.95" customHeight="1">
      <c r="A387" s="575"/>
      <c r="B387" s="139" t="s">
        <v>693</v>
      </c>
      <c r="C387" s="585">
        <v>-1</v>
      </c>
      <c r="D387" s="585" t="s">
        <v>56</v>
      </c>
      <c r="E387" s="585">
        <v>2</v>
      </c>
      <c r="F387" s="256">
        <v>0.23</v>
      </c>
      <c r="G387" s="256">
        <v>0.6</v>
      </c>
      <c r="H387" s="256">
        <v>3.15</v>
      </c>
      <c r="I387" s="256">
        <f t="shared" si="24"/>
        <v>-0.86940000000000006</v>
      </c>
      <c r="J387" s="571"/>
    </row>
    <row r="388" spans="1:11" ht="24.95" customHeight="1">
      <c r="A388" s="575"/>
      <c r="B388" s="139" t="s">
        <v>677</v>
      </c>
      <c r="C388" s="585">
        <v>-1</v>
      </c>
      <c r="D388" s="585" t="s">
        <v>56</v>
      </c>
      <c r="E388" s="585">
        <v>2</v>
      </c>
      <c r="F388" s="256">
        <v>0.3</v>
      </c>
      <c r="G388" s="256">
        <v>0.38</v>
      </c>
      <c r="H388" s="256">
        <v>3.15</v>
      </c>
      <c r="I388" s="256">
        <f t="shared" si="24"/>
        <v>-0.71819999999999995</v>
      </c>
      <c r="J388" s="571"/>
    </row>
    <row r="389" spans="1:11" ht="24.95" customHeight="1">
      <c r="A389" s="575"/>
      <c r="B389" s="139" t="s">
        <v>678</v>
      </c>
      <c r="C389" s="585">
        <v>-1</v>
      </c>
      <c r="D389" s="585" t="s">
        <v>56</v>
      </c>
      <c r="E389" s="585">
        <v>4</v>
      </c>
      <c r="F389" s="256">
        <v>0.3</v>
      </c>
      <c r="G389" s="256">
        <v>0.6</v>
      </c>
      <c r="H389" s="256">
        <v>3</v>
      </c>
      <c r="I389" s="256">
        <f t="shared" si="24"/>
        <v>-2.16</v>
      </c>
      <c r="J389" s="571"/>
    </row>
    <row r="390" spans="1:11" ht="24.95" customHeight="1">
      <c r="A390" s="575"/>
      <c r="B390" s="139" t="s">
        <v>679</v>
      </c>
      <c r="C390" s="585">
        <v>-1</v>
      </c>
      <c r="D390" s="585" t="s">
        <v>56</v>
      </c>
      <c r="E390" s="585">
        <v>9</v>
      </c>
      <c r="F390" s="256">
        <v>0.38</v>
      </c>
      <c r="G390" s="256">
        <v>0.38</v>
      </c>
      <c r="H390" s="256">
        <v>3.15</v>
      </c>
      <c r="I390" s="256">
        <f t="shared" si="24"/>
        <v>-4.0937400000000004</v>
      </c>
      <c r="J390" s="571"/>
    </row>
    <row r="391" spans="1:11" ht="24.95" customHeight="1">
      <c r="A391" s="575"/>
      <c r="B391" s="142"/>
      <c r="C391" s="585"/>
      <c r="D391" s="585"/>
      <c r="E391" s="585"/>
      <c r="F391" s="256"/>
      <c r="G391" s="256"/>
      <c r="H391" s="256"/>
      <c r="I391" s="256">
        <f>SUM(I335:I390)</f>
        <v>76.723794999999981</v>
      </c>
      <c r="J391" s="571"/>
      <c r="K391" s="570">
        <v>0.06</v>
      </c>
    </row>
    <row r="392" spans="1:11" ht="24.95" customHeight="1">
      <c r="A392" s="575"/>
      <c r="B392" s="142"/>
      <c r="C392" s="585"/>
      <c r="D392" s="585"/>
      <c r="E392" s="585"/>
      <c r="F392" s="256"/>
      <c r="G392" s="256"/>
      <c r="H392" s="259" t="s">
        <v>15</v>
      </c>
      <c r="I392" s="259">
        <f>ROUNDUP(I391,1-0)</f>
        <v>76.8</v>
      </c>
      <c r="J392" s="266" t="s">
        <v>16</v>
      </c>
    </row>
    <row r="393" spans="1:11" ht="24.95" customHeight="1">
      <c r="A393" s="575"/>
      <c r="B393" s="142" t="s">
        <v>764</v>
      </c>
      <c r="C393" s="585"/>
      <c r="D393" s="585"/>
      <c r="E393" s="585"/>
      <c r="F393" s="256"/>
      <c r="G393" s="256"/>
      <c r="H393" s="256"/>
      <c r="I393" s="256"/>
      <c r="J393" s="571"/>
    </row>
    <row r="394" spans="1:11" ht="24.95" customHeight="1">
      <c r="A394" s="575"/>
      <c r="B394" s="139" t="s">
        <v>765</v>
      </c>
      <c r="C394" s="585">
        <v>1</v>
      </c>
      <c r="D394" s="585" t="s">
        <v>56</v>
      </c>
      <c r="E394" s="585">
        <v>1</v>
      </c>
      <c r="F394" s="256">
        <v>64.88</v>
      </c>
      <c r="G394" s="256">
        <v>0.23</v>
      </c>
      <c r="H394" s="256">
        <v>3.3</v>
      </c>
      <c r="I394" s="256">
        <f t="shared" ref="I394:I435" si="25">PRODUCT(C394:H394)</f>
        <v>49.243919999999996</v>
      </c>
      <c r="J394" s="571"/>
    </row>
    <row r="395" spans="1:11" ht="24.95" customHeight="1">
      <c r="A395" s="575"/>
      <c r="B395" s="139" t="s">
        <v>766</v>
      </c>
      <c r="C395" s="585">
        <v>1</v>
      </c>
      <c r="D395" s="585" t="s">
        <v>56</v>
      </c>
      <c r="E395" s="585">
        <v>1</v>
      </c>
      <c r="F395" s="256">
        <v>14.18</v>
      </c>
      <c r="G395" s="256">
        <v>0.23</v>
      </c>
      <c r="H395" s="256">
        <v>3.3</v>
      </c>
      <c r="I395" s="256">
        <f t="shared" si="25"/>
        <v>10.76262</v>
      </c>
      <c r="J395" s="571"/>
    </row>
    <row r="396" spans="1:11" ht="24.95" customHeight="1">
      <c r="A396" s="575"/>
      <c r="B396" s="139" t="s">
        <v>767</v>
      </c>
      <c r="C396" s="585">
        <v>1</v>
      </c>
      <c r="D396" s="585" t="s">
        <v>56</v>
      </c>
      <c r="E396" s="585">
        <v>1</v>
      </c>
      <c r="F396" s="256">
        <v>16.809999999999999</v>
      </c>
      <c r="G396" s="256">
        <v>0.23</v>
      </c>
      <c r="H396" s="256">
        <v>3.3</v>
      </c>
      <c r="I396" s="256">
        <f t="shared" si="25"/>
        <v>12.758789999999999</v>
      </c>
      <c r="J396" s="571"/>
    </row>
    <row r="397" spans="1:11" ht="24.95" customHeight="1">
      <c r="A397" s="575"/>
      <c r="B397" s="139" t="s">
        <v>768</v>
      </c>
      <c r="C397" s="585">
        <v>1</v>
      </c>
      <c r="D397" s="585" t="s">
        <v>56</v>
      </c>
      <c r="E397" s="585">
        <v>2</v>
      </c>
      <c r="F397" s="256">
        <v>6</v>
      </c>
      <c r="G397" s="256">
        <v>0.23</v>
      </c>
      <c r="H397" s="256">
        <v>3.3</v>
      </c>
      <c r="I397" s="256">
        <f t="shared" si="25"/>
        <v>9.1080000000000005</v>
      </c>
      <c r="J397" s="571"/>
    </row>
    <row r="398" spans="1:11" ht="24.95" customHeight="1">
      <c r="A398" s="575"/>
      <c r="B398" s="139" t="s">
        <v>769</v>
      </c>
      <c r="C398" s="585">
        <v>1</v>
      </c>
      <c r="D398" s="585" t="s">
        <v>56</v>
      </c>
      <c r="E398" s="585">
        <v>3</v>
      </c>
      <c r="F398" s="256">
        <v>3.6</v>
      </c>
      <c r="G398" s="256">
        <v>0.23</v>
      </c>
      <c r="H398" s="256">
        <v>3.3</v>
      </c>
      <c r="I398" s="256">
        <f t="shared" si="25"/>
        <v>8.1972000000000005</v>
      </c>
      <c r="J398" s="571"/>
    </row>
    <row r="399" spans="1:11" ht="24.95" customHeight="1">
      <c r="A399" s="575"/>
      <c r="B399" s="139" t="s">
        <v>770</v>
      </c>
      <c r="C399" s="585">
        <v>1</v>
      </c>
      <c r="D399" s="585" t="s">
        <v>56</v>
      </c>
      <c r="E399" s="585">
        <v>1</v>
      </c>
      <c r="F399" s="256">
        <v>64.88</v>
      </c>
      <c r="G399" s="256">
        <v>0.23</v>
      </c>
      <c r="H399" s="256">
        <v>1.2</v>
      </c>
      <c r="I399" s="256">
        <f t="shared" si="25"/>
        <v>17.906879999999997</v>
      </c>
      <c r="J399" s="571"/>
    </row>
    <row r="400" spans="1:11" ht="24.95" customHeight="1">
      <c r="A400" s="575"/>
      <c r="B400" s="139" t="s">
        <v>771</v>
      </c>
      <c r="C400" s="585">
        <v>-1</v>
      </c>
      <c r="D400" s="585" t="s">
        <v>56</v>
      </c>
      <c r="E400" s="585">
        <v>1</v>
      </c>
      <c r="F400" s="256">
        <v>8</v>
      </c>
      <c r="G400" s="256">
        <v>0.23</v>
      </c>
      <c r="H400" s="256">
        <v>1.2</v>
      </c>
      <c r="I400" s="256">
        <f t="shared" si="25"/>
        <v>-2.2080000000000002</v>
      </c>
      <c r="J400" s="571"/>
    </row>
    <row r="401" spans="1:10" ht="24.95" customHeight="1">
      <c r="A401" s="575"/>
      <c r="B401" s="139" t="s">
        <v>772</v>
      </c>
      <c r="C401" s="585">
        <v>1</v>
      </c>
      <c r="D401" s="585" t="s">
        <v>56</v>
      </c>
      <c r="E401" s="585">
        <v>1</v>
      </c>
      <c r="F401" s="256">
        <v>39.4</v>
      </c>
      <c r="G401" s="256">
        <v>0.23</v>
      </c>
      <c r="H401" s="256">
        <v>1.2</v>
      </c>
      <c r="I401" s="256">
        <f t="shared" si="25"/>
        <v>10.8744</v>
      </c>
      <c r="J401" s="571"/>
    </row>
    <row r="402" spans="1:10" ht="24.95" customHeight="1">
      <c r="A402" s="575"/>
      <c r="B402" s="139" t="s">
        <v>773</v>
      </c>
      <c r="C402" s="585">
        <v>-1</v>
      </c>
      <c r="D402" s="585" t="s">
        <v>56</v>
      </c>
      <c r="E402" s="585">
        <v>7</v>
      </c>
      <c r="F402" s="256">
        <v>1.2</v>
      </c>
      <c r="G402" s="256">
        <v>0.23</v>
      </c>
      <c r="H402" s="256">
        <v>2.4</v>
      </c>
      <c r="I402" s="256">
        <f t="shared" si="25"/>
        <v>-4.6368</v>
      </c>
      <c r="J402" s="571"/>
    </row>
    <row r="403" spans="1:10" ht="24.95" customHeight="1">
      <c r="A403" s="575"/>
      <c r="B403" s="139" t="s">
        <v>756</v>
      </c>
      <c r="C403" s="585">
        <v>-1</v>
      </c>
      <c r="D403" s="585" t="s">
        <v>56</v>
      </c>
      <c r="E403" s="585">
        <v>7</v>
      </c>
      <c r="F403" s="256">
        <v>1.2</v>
      </c>
      <c r="G403" s="256">
        <v>0.23</v>
      </c>
      <c r="H403" s="256">
        <v>0.6</v>
      </c>
      <c r="I403" s="256">
        <f t="shared" si="25"/>
        <v>-1.1592</v>
      </c>
      <c r="J403" s="571"/>
    </row>
    <row r="404" spans="1:10" ht="24.95" customHeight="1">
      <c r="A404" s="575"/>
      <c r="B404" s="139" t="s">
        <v>755</v>
      </c>
      <c r="C404" s="585">
        <v>-1</v>
      </c>
      <c r="D404" s="585" t="s">
        <v>56</v>
      </c>
      <c r="E404" s="585">
        <v>2</v>
      </c>
      <c r="F404" s="256">
        <v>0.75</v>
      </c>
      <c r="G404" s="256">
        <v>0.23</v>
      </c>
      <c r="H404" s="256">
        <v>2.4</v>
      </c>
      <c r="I404" s="256">
        <f t="shared" si="25"/>
        <v>-0.82800000000000007</v>
      </c>
      <c r="J404" s="571"/>
    </row>
    <row r="405" spans="1:10" ht="24.95" customHeight="1">
      <c r="A405" s="575"/>
      <c r="B405" s="139" t="s">
        <v>762</v>
      </c>
      <c r="C405" s="585">
        <v>-1</v>
      </c>
      <c r="D405" s="585" t="s">
        <v>56</v>
      </c>
      <c r="E405" s="585">
        <v>2</v>
      </c>
      <c r="F405" s="256">
        <v>0.9</v>
      </c>
      <c r="G405" s="256">
        <v>0.23</v>
      </c>
      <c r="H405" s="256">
        <v>2.4</v>
      </c>
      <c r="I405" s="256">
        <f t="shared" si="25"/>
        <v>-0.99360000000000004</v>
      </c>
      <c r="J405" s="571"/>
    </row>
    <row r="406" spans="1:10" ht="24.95" customHeight="1">
      <c r="A406" s="575"/>
      <c r="B406" s="139" t="s">
        <v>774</v>
      </c>
      <c r="C406" s="585">
        <v>-1</v>
      </c>
      <c r="D406" s="585" t="s">
        <v>56</v>
      </c>
      <c r="E406" s="585">
        <v>2</v>
      </c>
      <c r="F406" s="256">
        <v>1.8</v>
      </c>
      <c r="G406" s="256">
        <v>0.23</v>
      </c>
      <c r="H406" s="256">
        <v>1.65</v>
      </c>
      <c r="I406" s="256">
        <f t="shared" si="25"/>
        <v>-1.3662000000000001</v>
      </c>
      <c r="J406" s="571"/>
    </row>
    <row r="407" spans="1:10" ht="24.95" customHeight="1">
      <c r="A407" s="575"/>
      <c r="B407" s="139" t="s">
        <v>713</v>
      </c>
      <c r="C407" s="585">
        <v>-1</v>
      </c>
      <c r="D407" s="585" t="s">
        <v>56</v>
      </c>
      <c r="E407" s="585">
        <v>6</v>
      </c>
      <c r="F407" s="256">
        <v>1.5</v>
      </c>
      <c r="G407" s="256">
        <v>0.23</v>
      </c>
      <c r="H407" s="256">
        <v>1.65</v>
      </c>
      <c r="I407" s="256">
        <f t="shared" si="25"/>
        <v>-3.4155000000000002</v>
      </c>
      <c r="J407" s="571"/>
    </row>
    <row r="408" spans="1:10" ht="24.95" customHeight="1">
      <c r="A408" s="575"/>
      <c r="B408" s="139" t="s">
        <v>705</v>
      </c>
      <c r="C408" s="585">
        <v>-1</v>
      </c>
      <c r="D408" s="585" t="s">
        <v>56</v>
      </c>
      <c r="E408" s="585">
        <v>6</v>
      </c>
      <c r="F408" s="256">
        <v>0.9</v>
      </c>
      <c r="G408" s="256">
        <v>0.23</v>
      </c>
      <c r="H408" s="256">
        <v>1.65</v>
      </c>
      <c r="I408" s="256">
        <f t="shared" si="25"/>
        <v>-2.0493000000000001</v>
      </c>
      <c r="J408" s="571"/>
    </row>
    <row r="409" spans="1:10" ht="24.95" customHeight="1">
      <c r="A409" s="575"/>
      <c r="B409" s="139" t="s">
        <v>731</v>
      </c>
      <c r="C409" s="585">
        <v>-1</v>
      </c>
      <c r="D409" s="585" t="s">
        <v>56</v>
      </c>
      <c r="E409" s="585">
        <v>4</v>
      </c>
      <c r="F409" s="256">
        <v>1.2</v>
      </c>
      <c r="G409" s="256">
        <v>0.23</v>
      </c>
      <c r="H409" s="256">
        <v>1.65</v>
      </c>
      <c r="I409" s="256">
        <f t="shared" si="25"/>
        <v>-1.8216000000000001</v>
      </c>
      <c r="J409" s="571"/>
    </row>
    <row r="410" spans="1:10" ht="24.95" customHeight="1">
      <c r="A410" s="575"/>
      <c r="B410" s="139" t="s">
        <v>707</v>
      </c>
      <c r="C410" s="585">
        <v>-1</v>
      </c>
      <c r="D410" s="585" t="s">
        <v>56</v>
      </c>
      <c r="E410" s="585">
        <v>1</v>
      </c>
      <c r="F410" s="256">
        <v>1.2</v>
      </c>
      <c r="G410" s="256">
        <v>0.23</v>
      </c>
      <c r="H410" s="256">
        <v>1.65</v>
      </c>
      <c r="I410" s="256">
        <f t="shared" si="25"/>
        <v>-0.45540000000000003</v>
      </c>
      <c r="J410" s="571"/>
    </row>
    <row r="411" spans="1:10" ht="24.95" customHeight="1">
      <c r="A411" s="575"/>
      <c r="B411" s="139" t="s">
        <v>708</v>
      </c>
      <c r="C411" s="585">
        <v>-1</v>
      </c>
      <c r="D411" s="585" t="s">
        <v>56</v>
      </c>
      <c r="E411" s="585">
        <v>1</v>
      </c>
      <c r="F411" s="256">
        <v>1.5</v>
      </c>
      <c r="G411" s="256">
        <v>0.23</v>
      </c>
      <c r="H411" s="256">
        <v>1.65</v>
      </c>
      <c r="I411" s="256">
        <f t="shared" si="25"/>
        <v>-0.56925000000000003</v>
      </c>
      <c r="J411" s="571"/>
    </row>
    <row r="412" spans="1:10" ht="24.95" customHeight="1">
      <c r="A412" s="575"/>
      <c r="B412" s="139" t="s">
        <v>709</v>
      </c>
      <c r="C412" s="585">
        <v>-1</v>
      </c>
      <c r="D412" s="585" t="s">
        <v>56</v>
      </c>
      <c r="E412" s="585">
        <v>2</v>
      </c>
      <c r="F412" s="256">
        <v>1.05</v>
      </c>
      <c r="G412" s="256">
        <v>0.23</v>
      </c>
      <c r="H412" s="256">
        <v>1.65</v>
      </c>
      <c r="I412" s="256">
        <f t="shared" si="25"/>
        <v>-0.79695000000000005</v>
      </c>
      <c r="J412" s="571"/>
    </row>
    <row r="413" spans="1:10" ht="24.95" customHeight="1">
      <c r="A413" s="575"/>
      <c r="B413" s="139" t="s">
        <v>775</v>
      </c>
      <c r="C413" s="585">
        <v>-1</v>
      </c>
      <c r="D413" s="585" t="s">
        <v>56</v>
      </c>
      <c r="E413" s="585">
        <v>5</v>
      </c>
      <c r="F413" s="256">
        <v>0.23</v>
      </c>
      <c r="G413" s="256">
        <v>0.38</v>
      </c>
      <c r="H413" s="256">
        <v>3.15</v>
      </c>
      <c r="I413" s="256">
        <f t="shared" si="25"/>
        <v>-1.3765500000000002</v>
      </c>
      <c r="J413" s="571"/>
    </row>
    <row r="414" spans="1:10" ht="24.95" customHeight="1">
      <c r="A414" s="575"/>
      <c r="B414" s="139" t="s">
        <v>675</v>
      </c>
      <c r="C414" s="585">
        <v>-1</v>
      </c>
      <c r="D414" s="585" t="s">
        <v>56</v>
      </c>
      <c r="E414" s="585">
        <v>1</v>
      </c>
      <c r="F414" s="256">
        <v>0.23</v>
      </c>
      <c r="G414" s="256">
        <v>0.45</v>
      </c>
      <c r="H414" s="256">
        <v>3</v>
      </c>
      <c r="I414" s="256">
        <f t="shared" si="25"/>
        <v>-0.3105</v>
      </c>
      <c r="J414" s="571"/>
    </row>
    <row r="415" spans="1:10" ht="24.95" customHeight="1">
      <c r="A415" s="575"/>
      <c r="B415" s="139" t="s">
        <v>675</v>
      </c>
      <c r="C415" s="585">
        <v>-1</v>
      </c>
      <c r="D415" s="585" t="s">
        <v>56</v>
      </c>
      <c r="E415" s="585">
        <v>3</v>
      </c>
      <c r="F415" s="256">
        <v>0.23</v>
      </c>
      <c r="G415" s="256">
        <v>0.45</v>
      </c>
      <c r="H415" s="256">
        <v>3.15</v>
      </c>
      <c r="I415" s="256">
        <f t="shared" si="25"/>
        <v>-0.97807500000000014</v>
      </c>
      <c r="J415" s="571"/>
    </row>
    <row r="416" spans="1:10" ht="24.95" customHeight="1">
      <c r="A416" s="575"/>
      <c r="B416" s="139" t="s">
        <v>693</v>
      </c>
      <c r="C416" s="585">
        <v>-1</v>
      </c>
      <c r="D416" s="585" t="s">
        <v>56</v>
      </c>
      <c r="E416" s="585">
        <v>1</v>
      </c>
      <c r="F416" s="256">
        <v>0.23</v>
      </c>
      <c r="G416" s="256">
        <v>0.6</v>
      </c>
      <c r="H416" s="256">
        <v>3</v>
      </c>
      <c r="I416" s="256">
        <f t="shared" si="25"/>
        <v>-0.41400000000000003</v>
      </c>
      <c r="J416" s="571"/>
    </row>
    <row r="417" spans="1:10" ht="24.95" customHeight="1">
      <c r="A417" s="575"/>
      <c r="B417" s="139" t="s">
        <v>693</v>
      </c>
      <c r="C417" s="585">
        <v>-1</v>
      </c>
      <c r="D417" s="585" t="s">
        <v>56</v>
      </c>
      <c r="E417" s="585">
        <v>2</v>
      </c>
      <c r="F417" s="256">
        <v>0.23</v>
      </c>
      <c r="G417" s="256">
        <v>0.6</v>
      </c>
      <c r="H417" s="256">
        <v>3.15</v>
      </c>
      <c r="I417" s="256">
        <f t="shared" si="25"/>
        <v>-0.86940000000000006</v>
      </c>
      <c r="J417" s="571"/>
    </row>
    <row r="418" spans="1:10" ht="24.95" customHeight="1">
      <c r="A418" s="575"/>
      <c r="B418" s="139" t="s">
        <v>677</v>
      </c>
      <c r="C418" s="585">
        <v>-1</v>
      </c>
      <c r="D418" s="585" t="s">
        <v>56</v>
      </c>
      <c r="E418" s="585">
        <v>2</v>
      </c>
      <c r="F418" s="256">
        <v>0.3</v>
      </c>
      <c r="G418" s="256">
        <v>0.38</v>
      </c>
      <c r="H418" s="256">
        <v>3.15</v>
      </c>
      <c r="I418" s="256">
        <f t="shared" si="25"/>
        <v>-0.71819999999999995</v>
      </c>
      <c r="J418" s="571"/>
    </row>
    <row r="419" spans="1:10" ht="24.95" customHeight="1">
      <c r="A419" s="575"/>
      <c r="B419" s="139" t="s">
        <v>678</v>
      </c>
      <c r="C419" s="585">
        <v>-1</v>
      </c>
      <c r="D419" s="585" t="s">
        <v>56</v>
      </c>
      <c r="E419" s="585">
        <v>4</v>
      </c>
      <c r="F419" s="256">
        <v>0.3</v>
      </c>
      <c r="G419" s="256">
        <v>0.6</v>
      </c>
      <c r="H419" s="256">
        <v>3</v>
      </c>
      <c r="I419" s="256">
        <f t="shared" si="25"/>
        <v>-2.16</v>
      </c>
      <c r="J419" s="571"/>
    </row>
    <row r="420" spans="1:10" ht="24.95" customHeight="1">
      <c r="A420" s="575"/>
      <c r="B420" s="139" t="s">
        <v>679</v>
      </c>
      <c r="C420" s="585">
        <v>-1</v>
      </c>
      <c r="D420" s="585" t="s">
        <v>56</v>
      </c>
      <c r="E420" s="585">
        <v>9</v>
      </c>
      <c r="F420" s="256">
        <v>0.38</v>
      </c>
      <c r="G420" s="256">
        <v>0.38</v>
      </c>
      <c r="H420" s="256">
        <v>3.15</v>
      </c>
      <c r="I420" s="256">
        <f t="shared" si="25"/>
        <v>-4.0937400000000004</v>
      </c>
      <c r="J420" s="571"/>
    </row>
    <row r="421" spans="1:10" ht="24.95" customHeight="1">
      <c r="A421" s="575"/>
      <c r="B421" s="139" t="s">
        <v>639</v>
      </c>
      <c r="C421" s="585">
        <v>-1</v>
      </c>
      <c r="D421" s="585" t="s">
        <v>56</v>
      </c>
      <c r="E421" s="585">
        <v>1</v>
      </c>
      <c r="F421" s="256">
        <v>64.88</v>
      </c>
      <c r="G421" s="256">
        <v>0.23</v>
      </c>
      <c r="H421" s="256">
        <v>0.15</v>
      </c>
      <c r="I421" s="256">
        <f t="shared" si="25"/>
        <v>-2.2383599999999997</v>
      </c>
      <c r="J421" s="571"/>
    </row>
    <row r="422" spans="1:10" ht="24.95" customHeight="1">
      <c r="A422" s="575"/>
      <c r="B422" s="139" t="s">
        <v>640</v>
      </c>
      <c r="C422" s="585">
        <v>-1</v>
      </c>
      <c r="D422" s="585" t="s">
        <v>56</v>
      </c>
      <c r="E422" s="585">
        <v>1</v>
      </c>
      <c r="F422" s="256">
        <v>20.12</v>
      </c>
      <c r="G422" s="256">
        <v>0.23</v>
      </c>
      <c r="H422" s="256">
        <v>0.15</v>
      </c>
      <c r="I422" s="256">
        <f t="shared" si="25"/>
        <v>-0.69413999999999998</v>
      </c>
      <c r="J422" s="571"/>
    </row>
    <row r="423" spans="1:10" ht="24.95" customHeight="1">
      <c r="A423" s="575"/>
      <c r="B423" s="139"/>
      <c r="C423" s="585">
        <v>-1</v>
      </c>
      <c r="D423" s="585" t="s">
        <v>56</v>
      </c>
      <c r="E423" s="585">
        <v>1</v>
      </c>
      <c r="F423" s="256">
        <v>16.59</v>
      </c>
      <c r="G423" s="256">
        <v>0.23</v>
      </c>
      <c r="H423" s="256">
        <v>0.15</v>
      </c>
      <c r="I423" s="256">
        <f t="shared" si="25"/>
        <v>-0.57235499999999995</v>
      </c>
      <c r="J423" s="571"/>
    </row>
    <row r="424" spans="1:10" ht="24.95" customHeight="1">
      <c r="A424" s="575"/>
      <c r="B424" s="139" t="s">
        <v>642</v>
      </c>
      <c r="C424" s="585">
        <v>-1</v>
      </c>
      <c r="D424" s="585" t="s">
        <v>56</v>
      </c>
      <c r="E424" s="585">
        <v>3</v>
      </c>
      <c r="F424" s="256">
        <v>3.6</v>
      </c>
      <c r="G424" s="256">
        <v>0.23</v>
      </c>
      <c r="H424" s="256">
        <v>0.15</v>
      </c>
      <c r="I424" s="256">
        <f t="shared" si="25"/>
        <v>-0.37260000000000004</v>
      </c>
      <c r="J424" s="571"/>
    </row>
    <row r="425" spans="1:10" ht="24.95" customHeight="1">
      <c r="A425" s="575"/>
      <c r="B425" s="139" t="s">
        <v>720</v>
      </c>
      <c r="C425" s="585">
        <v>-1</v>
      </c>
      <c r="D425" s="585" t="s">
        <v>56</v>
      </c>
      <c r="E425" s="585">
        <v>2</v>
      </c>
      <c r="F425" s="256">
        <v>6</v>
      </c>
      <c r="G425" s="256">
        <v>0.23</v>
      </c>
      <c r="H425" s="256">
        <v>0.15</v>
      </c>
      <c r="I425" s="256">
        <f t="shared" si="25"/>
        <v>-0.41400000000000003</v>
      </c>
      <c r="J425" s="571"/>
    </row>
    <row r="426" spans="1:10" ht="24.95" customHeight="1">
      <c r="A426" s="575"/>
      <c r="B426" s="139" t="s">
        <v>721</v>
      </c>
      <c r="C426" s="585">
        <v>-1</v>
      </c>
      <c r="D426" s="585" t="s">
        <v>56</v>
      </c>
      <c r="E426" s="585">
        <v>1</v>
      </c>
      <c r="F426" s="256">
        <v>8.0299999999999994</v>
      </c>
      <c r="G426" s="256">
        <v>0.23</v>
      </c>
      <c r="H426" s="256">
        <v>0.15</v>
      </c>
      <c r="I426" s="256">
        <f t="shared" si="25"/>
        <v>-0.27703499999999998</v>
      </c>
      <c r="J426" s="571"/>
    </row>
    <row r="427" spans="1:10" ht="24.95" customHeight="1">
      <c r="A427" s="575"/>
      <c r="B427" s="139" t="s">
        <v>1324</v>
      </c>
      <c r="C427" s="585">
        <v>-1</v>
      </c>
      <c r="D427" s="585" t="s">
        <v>56</v>
      </c>
      <c r="E427" s="585">
        <v>2</v>
      </c>
      <c r="F427" s="256">
        <v>2.2599999999999998</v>
      </c>
      <c r="G427" s="256">
        <v>0.23</v>
      </c>
      <c r="H427" s="256">
        <v>0.05</v>
      </c>
      <c r="I427" s="256">
        <f t="shared" si="25"/>
        <v>-5.1979999999999998E-2</v>
      </c>
      <c r="J427" s="571"/>
    </row>
    <row r="428" spans="1:10" ht="24.95" customHeight="1">
      <c r="A428" s="575"/>
      <c r="B428" s="139" t="s">
        <v>713</v>
      </c>
      <c r="C428" s="585">
        <v>-1</v>
      </c>
      <c r="D428" s="585" t="s">
        <v>56</v>
      </c>
      <c r="E428" s="585">
        <v>6</v>
      </c>
      <c r="F428" s="256">
        <v>1.96</v>
      </c>
      <c r="G428" s="256">
        <v>0.23</v>
      </c>
      <c r="H428" s="256">
        <v>0.05</v>
      </c>
      <c r="I428" s="256">
        <f t="shared" si="25"/>
        <v>-0.13524</v>
      </c>
      <c r="J428" s="571"/>
    </row>
    <row r="429" spans="1:10" ht="24.95" customHeight="1">
      <c r="A429" s="575"/>
      <c r="B429" s="139" t="s">
        <v>705</v>
      </c>
      <c r="C429" s="585">
        <v>-1</v>
      </c>
      <c r="D429" s="585" t="s">
        <v>56</v>
      </c>
      <c r="E429" s="585">
        <v>6</v>
      </c>
      <c r="F429" s="256">
        <v>1.36</v>
      </c>
      <c r="G429" s="256">
        <v>0.23</v>
      </c>
      <c r="H429" s="256">
        <v>0.05</v>
      </c>
      <c r="I429" s="256">
        <f t="shared" si="25"/>
        <v>-9.3840000000000007E-2</v>
      </c>
      <c r="J429" s="571"/>
    </row>
    <row r="430" spans="1:10" ht="24.95" customHeight="1">
      <c r="A430" s="575"/>
      <c r="B430" s="139" t="s">
        <v>731</v>
      </c>
      <c r="C430" s="585">
        <v>-1</v>
      </c>
      <c r="D430" s="585" t="s">
        <v>56</v>
      </c>
      <c r="E430" s="585">
        <v>4</v>
      </c>
      <c r="F430" s="256">
        <v>1.66</v>
      </c>
      <c r="G430" s="256">
        <v>0.23</v>
      </c>
      <c r="H430" s="256">
        <v>0.05</v>
      </c>
      <c r="I430" s="256">
        <f t="shared" si="25"/>
        <v>-7.6359999999999997E-2</v>
      </c>
      <c r="J430" s="571"/>
    </row>
    <row r="431" spans="1:10" ht="24.95" customHeight="1">
      <c r="A431" s="575"/>
      <c r="B431" s="139" t="s">
        <v>707</v>
      </c>
      <c r="C431" s="585">
        <v>-1</v>
      </c>
      <c r="D431" s="585" t="s">
        <v>56</v>
      </c>
      <c r="E431" s="585">
        <v>1</v>
      </c>
      <c r="F431" s="256">
        <v>1.66</v>
      </c>
      <c r="G431" s="256">
        <v>0.23</v>
      </c>
      <c r="H431" s="256">
        <v>0.05</v>
      </c>
      <c r="I431" s="256">
        <f t="shared" si="25"/>
        <v>-1.9089999999999999E-2</v>
      </c>
      <c r="J431" s="571"/>
    </row>
    <row r="432" spans="1:10" ht="24.95" customHeight="1">
      <c r="A432" s="575"/>
      <c r="B432" s="139" t="s">
        <v>708</v>
      </c>
      <c r="C432" s="585">
        <v>-1</v>
      </c>
      <c r="D432" s="585" t="s">
        <v>56</v>
      </c>
      <c r="E432" s="585">
        <v>1</v>
      </c>
      <c r="F432" s="256">
        <v>1.96</v>
      </c>
      <c r="G432" s="256">
        <v>0.23</v>
      </c>
      <c r="H432" s="256">
        <v>0.05</v>
      </c>
      <c r="I432" s="256">
        <f t="shared" si="25"/>
        <v>-2.2540000000000004E-2</v>
      </c>
      <c r="J432" s="571"/>
    </row>
    <row r="433" spans="1:11" ht="24.95" customHeight="1">
      <c r="A433" s="575"/>
      <c r="B433" s="139" t="s">
        <v>709</v>
      </c>
      <c r="C433" s="585">
        <v>-1</v>
      </c>
      <c r="D433" s="585" t="s">
        <v>56</v>
      </c>
      <c r="E433" s="585">
        <v>2</v>
      </c>
      <c r="F433" s="256">
        <v>1.51</v>
      </c>
      <c r="G433" s="256">
        <v>0.23</v>
      </c>
      <c r="H433" s="256">
        <v>0.05</v>
      </c>
      <c r="I433" s="256">
        <f t="shared" si="25"/>
        <v>-3.4730000000000004E-2</v>
      </c>
      <c r="J433" s="571"/>
    </row>
    <row r="434" spans="1:11" ht="24.95" customHeight="1">
      <c r="A434" s="575"/>
      <c r="B434" s="139" t="s">
        <v>732</v>
      </c>
      <c r="C434" s="585">
        <v>-1</v>
      </c>
      <c r="D434" s="585" t="s">
        <v>56</v>
      </c>
      <c r="E434" s="585">
        <v>1</v>
      </c>
      <c r="F434" s="256">
        <v>2.2599999999999998</v>
      </c>
      <c r="G434" s="256">
        <v>0.23</v>
      </c>
      <c r="H434" s="256">
        <v>0.05</v>
      </c>
      <c r="I434" s="256">
        <f t="shared" si="25"/>
        <v>-2.5989999999999999E-2</v>
      </c>
      <c r="J434" s="571"/>
    </row>
    <row r="435" spans="1:11" ht="24.95" customHeight="1">
      <c r="A435" s="575"/>
      <c r="B435" s="139" t="s">
        <v>753</v>
      </c>
      <c r="C435" s="585">
        <v>1</v>
      </c>
      <c r="D435" s="585" t="s">
        <v>56</v>
      </c>
      <c r="E435" s="585">
        <v>1</v>
      </c>
      <c r="F435" s="256">
        <v>15.97</v>
      </c>
      <c r="G435" s="256">
        <v>0.23</v>
      </c>
      <c r="H435" s="256">
        <v>3.15</v>
      </c>
      <c r="I435" s="256">
        <f t="shared" si="25"/>
        <v>11.570265000000001</v>
      </c>
      <c r="J435" s="571"/>
    </row>
    <row r="436" spans="1:11" ht="24.95" customHeight="1">
      <c r="A436" s="575"/>
      <c r="B436" s="142"/>
      <c r="C436" s="585"/>
      <c r="D436" s="585"/>
      <c r="E436" s="585"/>
      <c r="F436" s="256"/>
      <c r="G436" s="256"/>
      <c r="H436" s="256"/>
      <c r="I436" s="256">
        <f>SUM(I394:I435)</f>
        <v>94.173550000000006</v>
      </c>
      <c r="J436" s="571"/>
      <c r="K436" s="570">
        <v>0.04</v>
      </c>
    </row>
    <row r="437" spans="1:11" ht="24.95" customHeight="1">
      <c r="A437" s="575"/>
      <c r="B437" s="142"/>
      <c r="C437" s="585"/>
      <c r="D437" s="585"/>
      <c r="E437" s="585"/>
      <c r="F437" s="256"/>
      <c r="G437" s="256"/>
      <c r="H437" s="259" t="s">
        <v>15</v>
      </c>
      <c r="I437" s="259">
        <f>ROUNDUP(I436,1-0)</f>
        <v>94.199999999999989</v>
      </c>
      <c r="J437" s="266" t="s">
        <v>16</v>
      </c>
    </row>
    <row r="438" spans="1:11" ht="24.95" customHeight="1">
      <c r="A438" s="575"/>
      <c r="B438" s="142"/>
      <c r="C438" s="585"/>
      <c r="D438" s="585"/>
      <c r="E438" s="585"/>
      <c r="F438" s="256"/>
      <c r="G438" s="256"/>
      <c r="H438" s="256"/>
      <c r="I438" s="256"/>
      <c r="J438" s="571"/>
    </row>
    <row r="439" spans="1:11" ht="24.95" customHeight="1">
      <c r="A439" s="575"/>
      <c r="B439" s="142" t="s">
        <v>776</v>
      </c>
      <c r="C439" s="585">
        <v>1</v>
      </c>
      <c r="D439" s="585" t="s">
        <v>56</v>
      </c>
      <c r="E439" s="585">
        <v>1</v>
      </c>
      <c r="F439" s="256">
        <v>23.2</v>
      </c>
      <c r="G439" s="256">
        <v>0.23</v>
      </c>
      <c r="H439" s="262">
        <v>3.3</v>
      </c>
      <c r="I439" s="256">
        <f t="shared" ref="I439:I444" si="26">PRODUCT(C439:H439)</f>
        <v>17.608799999999999</v>
      </c>
      <c r="J439" s="571"/>
    </row>
    <row r="440" spans="1:11" ht="24.95" customHeight="1">
      <c r="A440" s="575"/>
      <c r="B440" s="139" t="s">
        <v>777</v>
      </c>
      <c r="C440" s="585">
        <v>1</v>
      </c>
      <c r="D440" s="585" t="s">
        <v>56</v>
      </c>
      <c r="E440" s="585">
        <v>1</v>
      </c>
      <c r="F440" s="256">
        <v>23.2</v>
      </c>
      <c r="G440" s="256">
        <v>0.23</v>
      </c>
      <c r="H440" s="262">
        <v>0.45</v>
      </c>
      <c r="I440" s="256">
        <f t="shared" si="26"/>
        <v>2.4012000000000002</v>
      </c>
      <c r="J440" s="571"/>
    </row>
    <row r="441" spans="1:11" ht="24.95" customHeight="1">
      <c r="A441" s="575"/>
      <c r="B441" s="142" t="s">
        <v>778</v>
      </c>
      <c r="C441" s="585">
        <v>-1</v>
      </c>
      <c r="D441" s="585" t="s">
        <v>56</v>
      </c>
      <c r="E441" s="585">
        <v>1</v>
      </c>
      <c r="F441" s="256">
        <v>0.23</v>
      </c>
      <c r="G441" s="256">
        <v>0.45</v>
      </c>
      <c r="H441" s="262">
        <v>3.3</v>
      </c>
      <c r="I441" s="256">
        <f t="shared" si="26"/>
        <v>-0.34155000000000002</v>
      </c>
      <c r="J441" s="571"/>
    </row>
    <row r="442" spans="1:11" ht="24.95" customHeight="1">
      <c r="A442" s="575"/>
      <c r="B442" s="139" t="s">
        <v>736</v>
      </c>
      <c r="C442" s="585">
        <v>-1</v>
      </c>
      <c r="D442" s="585" t="s">
        <v>56</v>
      </c>
      <c r="E442" s="585">
        <v>1</v>
      </c>
      <c r="F442" s="256">
        <v>0.23</v>
      </c>
      <c r="G442" s="256">
        <v>0.6</v>
      </c>
      <c r="H442" s="262">
        <v>3.3</v>
      </c>
      <c r="I442" s="256">
        <f t="shared" si="26"/>
        <v>-0.45540000000000003</v>
      </c>
      <c r="J442" s="571"/>
    </row>
    <row r="443" spans="1:11" ht="24.95" customHeight="1">
      <c r="A443" s="575"/>
      <c r="B443" s="139" t="s">
        <v>738</v>
      </c>
      <c r="C443" s="585">
        <v>-1</v>
      </c>
      <c r="D443" s="585" t="s">
        <v>56</v>
      </c>
      <c r="E443" s="585">
        <v>2</v>
      </c>
      <c r="F443" s="256">
        <v>0.3</v>
      </c>
      <c r="G443" s="256">
        <v>0.6</v>
      </c>
      <c r="H443" s="262">
        <v>3.3</v>
      </c>
      <c r="I443" s="256">
        <f t="shared" si="26"/>
        <v>-1.1879999999999999</v>
      </c>
      <c r="J443" s="571"/>
    </row>
    <row r="444" spans="1:11" ht="24.95" customHeight="1">
      <c r="A444" s="575"/>
      <c r="B444" s="139" t="s">
        <v>779</v>
      </c>
      <c r="C444" s="585">
        <v>-1</v>
      </c>
      <c r="D444" s="585" t="s">
        <v>56</v>
      </c>
      <c r="E444" s="585">
        <v>1</v>
      </c>
      <c r="F444" s="256">
        <v>0.9</v>
      </c>
      <c r="G444" s="256">
        <v>0.23</v>
      </c>
      <c r="H444" s="262">
        <v>2.1</v>
      </c>
      <c r="I444" s="256">
        <f t="shared" si="26"/>
        <v>-0.43470000000000003</v>
      </c>
      <c r="J444" s="571"/>
    </row>
    <row r="445" spans="1:11" ht="24.95" customHeight="1">
      <c r="A445" s="575"/>
      <c r="B445" s="221" t="s">
        <v>780</v>
      </c>
      <c r="C445" s="223"/>
      <c r="D445" s="217"/>
      <c r="E445" s="223"/>
      <c r="F445" s="218"/>
      <c r="G445" s="218"/>
      <c r="H445" s="218"/>
      <c r="I445" s="218"/>
      <c r="J445" s="571"/>
    </row>
    <row r="446" spans="1:11" ht="24.95" customHeight="1">
      <c r="A446" s="575"/>
      <c r="B446" s="220" t="s">
        <v>781</v>
      </c>
      <c r="C446" s="223">
        <v>1</v>
      </c>
      <c r="D446" s="217" t="s">
        <v>56</v>
      </c>
      <c r="E446" s="223">
        <v>2</v>
      </c>
      <c r="F446" s="218">
        <v>1.2</v>
      </c>
      <c r="G446" s="218">
        <v>0.23</v>
      </c>
      <c r="H446" s="218">
        <v>0.75</v>
      </c>
      <c r="I446" s="218">
        <f t="shared" ref="I446" si="27">PRODUCT(C446:H446)</f>
        <v>0.41400000000000003</v>
      </c>
      <c r="J446" s="571"/>
    </row>
    <row r="447" spans="1:11" ht="27" customHeight="1">
      <c r="A447" s="575"/>
      <c r="B447" s="139"/>
      <c r="C447" s="585"/>
      <c r="D447" s="585"/>
      <c r="E447" s="585"/>
      <c r="F447" s="256"/>
      <c r="G447" s="256"/>
      <c r="H447" s="259"/>
      <c r="I447" s="259">
        <f>SUM(I439:I446)</f>
        <v>18.004349999999999</v>
      </c>
      <c r="J447" s="266"/>
    </row>
    <row r="448" spans="1:11" ht="31.5" customHeight="1">
      <c r="A448" s="575"/>
      <c r="B448" s="139"/>
      <c r="C448" s="585"/>
      <c r="D448" s="585"/>
      <c r="E448" s="585"/>
      <c r="F448" s="256"/>
      <c r="G448" s="256"/>
      <c r="H448" s="259" t="s">
        <v>15</v>
      </c>
      <c r="I448" s="259">
        <f>ROUNDUP(I447,1-0)</f>
        <v>18.100000000000001</v>
      </c>
      <c r="J448" s="266" t="s">
        <v>16</v>
      </c>
    </row>
    <row r="449" spans="1:11" ht="52.5" customHeight="1">
      <c r="A449" s="575">
        <v>10.5</v>
      </c>
      <c r="B449" s="142" t="s">
        <v>782</v>
      </c>
      <c r="C449" s="585"/>
      <c r="D449" s="585"/>
      <c r="E449" s="585"/>
      <c r="F449" s="256"/>
      <c r="G449" s="256"/>
      <c r="H449" s="256"/>
      <c r="I449" s="256"/>
      <c r="J449" s="571"/>
    </row>
    <row r="450" spans="1:11" ht="24.95" customHeight="1">
      <c r="A450" s="575"/>
      <c r="B450" s="142" t="s">
        <v>783</v>
      </c>
      <c r="C450" s="585"/>
      <c r="D450" s="585"/>
      <c r="E450" s="585"/>
      <c r="F450" s="256"/>
      <c r="G450" s="256"/>
      <c r="H450" s="256"/>
      <c r="I450" s="256"/>
      <c r="J450" s="571"/>
    </row>
    <row r="451" spans="1:11" ht="24.95" customHeight="1">
      <c r="A451" s="575"/>
      <c r="B451" s="139" t="s">
        <v>661</v>
      </c>
      <c r="C451" s="585">
        <v>1</v>
      </c>
      <c r="D451" s="585" t="s">
        <v>56</v>
      </c>
      <c r="E451" s="585">
        <v>1</v>
      </c>
      <c r="F451" s="256">
        <v>3.42</v>
      </c>
      <c r="G451" s="256"/>
      <c r="H451" s="262">
        <v>3.15</v>
      </c>
      <c r="I451" s="256">
        <f t="shared" ref="I451:I461" si="28">PRODUCT(C451:H451)</f>
        <v>10.773</v>
      </c>
      <c r="J451" s="571"/>
    </row>
    <row r="452" spans="1:11" ht="24.95" customHeight="1">
      <c r="A452" s="575"/>
      <c r="B452" s="139" t="s">
        <v>784</v>
      </c>
      <c r="C452" s="585">
        <v>1</v>
      </c>
      <c r="D452" s="585" t="s">
        <v>56</v>
      </c>
      <c r="E452" s="585">
        <v>1</v>
      </c>
      <c r="F452" s="256">
        <v>3.08</v>
      </c>
      <c r="G452" s="256"/>
      <c r="H452" s="262">
        <v>3.15</v>
      </c>
      <c r="I452" s="256">
        <f t="shared" si="28"/>
        <v>9.702</v>
      </c>
      <c r="J452" s="571"/>
    </row>
    <row r="453" spans="1:11" ht="24.95" customHeight="1">
      <c r="A453" s="575"/>
      <c r="B453" s="139" t="s">
        <v>785</v>
      </c>
      <c r="C453" s="585">
        <v>1</v>
      </c>
      <c r="D453" s="585" t="s">
        <v>56</v>
      </c>
      <c r="E453" s="585">
        <v>1</v>
      </c>
      <c r="F453" s="256">
        <v>1.5</v>
      </c>
      <c r="G453" s="256"/>
      <c r="H453" s="262">
        <v>3.15</v>
      </c>
      <c r="I453" s="256">
        <f t="shared" si="28"/>
        <v>4.7249999999999996</v>
      </c>
      <c r="J453" s="571"/>
    </row>
    <row r="454" spans="1:11" ht="24.95" customHeight="1">
      <c r="A454" s="575"/>
      <c r="B454" s="139" t="s">
        <v>786</v>
      </c>
      <c r="C454" s="585">
        <v>1</v>
      </c>
      <c r="D454" s="585" t="s">
        <v>56</v>
      </c>
      <c r="E454" s="585">
        <v>1</v>
      </c>
      <c r="F454" s="256">
        <v>2.6</v>
      </c>
      <c r="G454" s="256"/>
      <c r="H454" s="262">
        <v>3.15</v>
      </c>
      <c r="I454" s="256">
        <f t="shared" si="28"/>
        <v>8.19</v>
      </c>
      <c r="J454" s="571"/>
    </row>
    <row r="455" spans="1:11" ht="24.95" customHeight="1">
      <c r="A455" s="575"/>
      <c r="B455" s="139" t="s">
        <v>787</v>
      </c>
      <c r="C455" s="585">
        <v>1</v>
      </c>
      <c r="D455" s="585" t="s">
        <v>56</v>
      </c>
      <c r="E455" s="585">
        <v>2</v>
      </c>
      <c r="F455" s="256">
        <v>1.5</v>
      </c>
      <c r="G455" s="256"/>
      <c r="H455" s="262">
        <v>3.15</v>
      </c>
      <c r="I455" s="256">
        <f t="shared" si="28"/>
        <v>9.4499999999999993</v>
      </c>
      <c r="J455" s="571"/>
    </row>
    <row r="456" spans="1:11" ht="24.95" customHeight="1">
      <c r="A456" s="575"/>
      <c r="B456" s="139" t="s">
        <v>788</v>
      </c>
      <c r="C456" s="585">
        <v>1</v>
      </c>
      <c r="D456" s="585" t="s">
        <v>56</v>
      </c>
      <c r="E456" s="585">
        <v>1</v>
      </c>
      <c r="F456" s="256">
        <v>1.5</v>
      </c>
      <c r="G456" s="256"/>
      <c r="H456" s="262">
        <v>3.15</v>
      </c>
      <c r="I456" s="256">
        <f t="shared" si="28"/>
        <v>4.7249999999999996</v>
      </c>
      <c r="J456" s="571"/>
    </row>
    <row r="457" spans="1:11" ht="24.95" customHeight="1">
      <c r="A457" s="575"/>
      <c r="B457" s="139" t="s">
        <v>789</v>
      </c>
      <c r="C457" s="585">
        <v>1</v>
      </c>
      <c r="D457" s="585" t="s">
        <v>56</v>
      </c>
      <c r="E457" s="585">
        <v>1</v>
      </c>
      <c r="F457" s="256">
        <v>1.45</v>
      </c>
      <c r="G457" s="256"/>
      <c r="H457" s="262">
        <v>3.15</v>
      </c>
      <c r="I457" s="256">
        <f t="shared" si="28"/>
        <v>4.5674999999999999</v>
      </c>
      <c r="J457" s="571"/>
    </row>
    <row r="458" spans="1:11" ht="24.95" customHeight="1">
      <c r="A458" s="575"/>
      <c r="B458" s="139" t="s">
        <v>790</v>
      </c>
      <c r="C458" s="585">
        <v>1</v>
      </c>
      <c r="D458" s="585" t="s">
        <v>56</v>
      </c>
      <c r="E458" s="585">
        <v>1</v>
      </c>
      <c r="F458" s="256">
        <v>1.51</v>
      </c>
      <c r="G458" s="256"/>
      <c r="H458" s="262">
        <v>3.15</v>
      </c>
      <c r="I458" s="256">
        <f t="shared" si="28"/>
        <v>4.7565</v>
      </c>
      <c r="J458" s="571"/>
    </row>
    <row r="459" spans="1:11" ht="24.95" customHeight="1">
      <c r="A459" s="575"/>
      <c r="B459" s="139" t="s">
        <v>790</v>
      </c>
      <c r="C459" s="585">
        <v>1</v>
      </c>
      <c r="D459" s="585" t="s">
        <v>56</v>
      </c>
      <c r="E459" s="585">
        <v>1</v>
      </c>
      <c r="F459" s="256">
        <v>2.81</v>
      </c>
      <c r="G459" s="256"/>
      <c r="H459" s="262">
        <v>3.15</v>
      </c>
      <c r="I459" s="256">
        <f t="shared" si="28"/>
        <v>8.8514999999999997</v>
      </c>
      <c r="J459" s="571"/>
    </row>
    <row r="460" spans="1:11" ht="24.95" customHeight="1">
      <c r="A460" s="575"/>
      <c r="B460" s="139" t="s">
        <v>791</v>
      </c>
      <c r="C460" s="585">
        <v>1</v>
      </c>
      <c r="D460" s="585" t="s">
        <v>56</v>
      </c>
      <c r="E460" s="585">
        <v>1</v>
      </c>
      <c r="F460" s="256">
        <v>0.45</v>
      </c>
      <c r="G460" s="256"/>
      <c r="H460" s="262">
        <v>3.15</v>
      </c>
      <c r="I460" s="256">
        <f t="shared" si="28"/>
        <v>1.4175</v>
      </c>
      <c r="J460" s="571"/>
    </row>
    <row r="461" spans="1:11" ht="24.95" customHeight="1">
      <c r="A461" s="575"/>
      <c r="B461" s="139" t="s">
        <v>792</v>
      </c>
      <c r="C461" s="585">
        <v>-1</v>
      </c>
      <c r="D461" s="585" t="s">
        <v>56</v>
      </c>
      <c r="E461" s="585">
        <v>7</v>
      </c>
      <c r="F461" s="256">
        <v>0.75</v>
      </c>
      <c r="G461" s="256"/>
      <c r="H461" s="262">
        <v>2.1</v>
      </c>
      <c r="I461" s="256">
        <f t="shared" si="28"/>
        <v>-11.025</v>
      </c>
      <c r="J461" s="571"/>
    </row>
    <row r="462" spans="1:11" ht="24.95" customHeight="1">
      <c r="A462" s="575"/>
      <c r="B462" s="139"/>
      <c r="C462" s="585"/>
      <c r="D462" s="585"/>
      <c r="E462" s="585"/>
      <c r="F462" s="256"/>
      <c r="G462" s="256"/>
      <c r="H462" s="256"/>
      <c r="I462" s="256">
        <f>SUM(I451:I461)</f>
        <v>56.133000000000017</v>
      </c>
      <c r="J462" s="571"/>
      <c r="K462" s="570">
        <v>0.01</v>
      </c>
    </row>
    <row r="463" spans="1:11" ht="24.95" customHeight="1">
      <c r="A463" s="575"/>
      <c r="B463" s="139"/>
      <c r="C463" s="585"/>
      <c r="D463" s="585"/>
      <c r="E463" s="585"/>
      <c r="F463" s="256"/>
      <c r="G463" s="256"/>
      <c r="H463" s="259" t="s">
        <v>15</v>
      </c>
      <c r="I463" s="259">
        <f>ROUNDUP(I462,1-0)</f>
        <v>56.2</v>
      </c>
      <c r="J463" s="266" t="s">
        <v>37</v>
      </c>
    </row>
    <row r="464" spans="1:11" ht="24.95" customHeight="1">
      <c r="A464" s="575"/>
      <c r="B464" s="142" t="s">
        <v>793</v>
      </c>
      <c r="C464" s="585"/>
      <c r="D464" s="585"/>
      <c r="E464" s="585"/>
      <c r="F464" s="256"/>
      <c r="G464" s="256"/>
      <c r="H464" s="256"/>
      <c r="I464" s="256"/>
      <c r="J464" s="571"/>
    </row>
    <row r="465" spans="1:11" ht="24.95" customHeight="1">
      <c r="A465" s="575"/>
      <c r="B465" s="139" t="s">
        <v>784</v>
      </c>
      <c r="C465" s="585">
        <v>1</v>
      </c>
      <c r="D465" s="585" t="s">
        <v>56</v>
      </c>
      <c r="E465" s="585">
        <v>2</v>
      </c>
      <c r="F465" s="256">
        <v>1.58</v>
      </c>
      <c r="G465" s="256"/>
      <c r="H465" s="262">
        <v>3.15</v>
      </c>
      <c r="I465" s="256">
        <f t="shared" ref="I465:I471" si="29">PRODUCT(C465:H465)</f>
        <v>9.9540000000000006</v>
      </c>
      <c r="J465" s="571"/>
    </row>
    <row r="466" spans="1:11" ht="24.95" customHeight="1">
      <c r="A466" s="575"/>
      <c r="B466" s="139" t="s">
        <v>794</v>
      </c>
      <c r="C466" s="585">
        <v>1</v>
      </c>
      <c r="D466" s="585" t="s">
        <v>56</v>
      </c>
      <c r="E466" s="585">
        <v>1</v>
      </c>
      <c r="F466" s="256">
        <v>0.75</v>
      </c>
      <c r="G466" s="256"/>
      <c r="H466" s="262">
        <v>1</v>
      </c>
      <c r="I466" s="256">
        <f t="shared" si="29"/>
        <v>0.75</v>
      </c>
      <c r="J466" s="571"/>
    </row>
    <row r="467" spans="1:11" ht="24.95" customHeight="1">
      <c r="A467" s="575"/>
      <c r="B467" s="139" t="s">
        <v>787</v>
      </c>
      <c r="C467" s="585">
        <v>1</v>
      </c>
      <c r="D467" s="585" t="s">
        <v>56</v>
      </c>
      <c r="E467" s="585">
        <v>2</v>
      </c>
      <c r="F467" s="256">
        <v>1.65</v>
      </c>
      <c r="G467" s="256"/>
      <c r="H467" s="262">
        <v>3.15</v>
      </c>
      <c r="I467" s="256">
        <f t="shared" si="29"/>
        <v>10.395</v>
      </c>
      <c r="J467" s="571"/>
    </row>
    <row r="468" spans="1:11" ht="24.95" customHeight="1">
      <c r="A468" s="575"/>
      <c r="B468" s="139" t="s">
        <v>795</v>
      </c>
      <c r="C468" s="585">
        <v>1</v>
      </c>
      <c r="D468" s="585" t="s">
        <v>56</v>
      </c>
      <c r="E468" s="585">
        <v>2</v>
      </c>
      <c r="F468" s="256">
        <v>1.5</v>
      </c>
      <c r="G468" s="256"/>
      <c r="H468" s="262">
        <v>3.15</v>
      </c>
      <c r="I468" s="256">
        <f t="shared" si="29"/>
        <v>9.4499999999999993</v>
      </c>
      <c r="J468" s="571"/>
    </row>
    <row r="469" spans="1:11" ht="24.95" customHeight="1">
      <c r="A469" s="575"/>
      <c r="B469" s="139" t="s">
        <v>796</v>
      </c>
      <c r="C469" s="585">
        <v>1</v>
      </c>
      <c r="D469" s="585" t="s">
        <v>56</v>
      </c>
      <c r="E469" s="585">
        <v>2</v>
      </c>
      <c r="F469" s="256">
        <v>4.24</v>
      </c>
      <c r="G469" s="256"/>
      <c r="H469" s="262">
        <v>3.15</v>
      </c>
      <c r="I469" s="256">
        <f t="shared" si="29"/>
        <v>26.712</v>
      </c>
      <c r="J469" s="571"/>
    </row>
    <row r="470" spans="1:11" ht="24.95" customHeight="1">
      <c r="A470" s="575"/>
      <c r="B470" s="139" t="s">
        <v>797</v>
      </c>
      <c r="C470" s="585">
        <v>1</v>
      </c>
      <c r="D470" s="585" t="s">
        <v>56</v>
      </c>
      <c r="E470" s="585">
        <v>1</v>
      </c>
      <c r="F470" s="256">
        <v>1.2</v>
      </c>
      <c r="G470" s="256"/>
      <c r="H470" s="262">
        <v>2.1</v>
      </c>
      <c r="I470" s="256">
        <f t="shared" si="29"/>
        <v>2.52</v>
      </c>
      <c r="J470" s="571"/>
    </row>
    <row r="471" spans="1:11" ht="24.95" customHeight="1">
      <c r="A471" s="575"/>
      <c r="B471" s="139" t="s">
        <v>792</v>
      </c>
      <c r="C471" s="585">
        <v>-1</v>
      </c>
      <c r="D471" s="585" t="s">
        <v>56</v>
      </c>
      <c r="E471" s="585">
        <v>7</v>
      </c>
      <c r="F471" s="256">
        <v>0.75</v>
      </c>
      <c r="G471" s="256"/>
      <c r="H471" s="262">
        <v>2.1</v>
      </c>
      <c r="I471" s="256">
        <f t="shared" si="29"/>
        <v>-11.025</v>
      </c>
      <c r="J471" s="266"/>
    </row>
    <row r="472" spans="1:11" ht="24.95" customHeight="1">
      <c r="A472" s="575"/>
      <c r="B472" s="139"/>
      <c r="C472" s="585"/>
      <c r="D472" s="585"/>
      <c r="E472" s="585"/>
      <c r="F472" s="256"/>
      <c r="G472" s="256"/>
      <c r="H472" s="256"/>
      <c r="I472" s="256">
        <f>SUM(I465:I471)</f>
        <v>48.756</v>
      </c>
      <c r="J472" s="266"/>
      <c r="K472" s="570">
        <v>0</v>
      </c>
    </row>
    <row r="473" spans="1:11" ht="24.95" customHeight="1">
      <c r="A473" s="575"/>
      <c r="B473" s="139"/>
      <c r="C473" s="585"/>
      <c r="D473" s="585"/>
      <c r="E473" s="585"/>
      <c r="F473" s="256"/>
      <c r="G473" s="256"/>
      <c r="H473" s="259" t="s">
        <v>15</v>
      </c>
      <c r="I473" s="259">
        <f>ROUNDUP(I472,1-0)</f>
        <v>48.800000000000004</v>
      </c>
      <c r="J473" s="266" t="s">
        <v>37</v>
      </c>
    </row>
    <row r="474" spans="1:11" ht="24.95" customHeight="1">
      <c r="A474" s="575"/>
      <c r="B474" s="221" t="s">
        <v>798</v>
      </c>
      <c r="C474" s="223"/>
      <c r="D474" s="217"/>
      <c r="E474" s="223"/>
      <c r="F474" s="218"/>
      <c r="G474" s="218"/>
      <c r="H474" s="218"/>
      <c r="I474" s="218"/>
      <c r="J474" s="583"/>
    </row>
    <row r="475" spans="1:11" ht="24.95" customHeight="1">
      <c r="A475" s="575"/>
      <c r="B475" s="220" t="s">
        <v>799</v>
      </c>
      <c r="C475" s="223">
        <v>1</v>
      </c>
      <c r="D475" s="217" t="s">
        <v>56</v>
      </c>
      <c r="E475" s="223">
        <v>2</v>
      </c>
      <c r="F475" s="218">
        <v>12</v>
      </c>
      <c r="G475" s="218"/>
      <c r="H475" s="218">
        <v>1</v>
      </c>
      <c r="I475" s="218">
        <f t="shared" ref="I475" si="30">PRODUCT(C475:H475)</f>
        <v>24</v>
      </c>
      <c r="J475" s="583"/>
    </row>
    <row r="476" spans="1:11" ht="24.95" customHeight="1">
      <c r="A476" s="575"/>
      <c r="B476" s="220"/>
      <c r="C476" s="223"/>
      <c r="D476" s="217"/>
      <c r="E476" s="223"/>
      <c r="F476" s="218"/>
      <c r="G476" s="218"/>
      <c r="H476" s="259" t="s">
        <v>15</v>
      </c>
      <c r="I476" s="600">
        <f>ROUNDUP(I475,1)</f>
        <v>24</v>
      </c>
      <c r="J476" s="266" t="s">
        <v>37</v>
      </c>
    </row>
    <row r="477" spans="1:11" ht="24.95" customHeight="1">
      <c r="A477" s="575"/>
      <c r="B477" s="139"/>
      <c r="C477" s="585"/>
      <c r="D477" s="585"/>
      <c r="E477" s="585"/>
      <c r="F477" s="256"/>
      <c r="G477" s="256"/>
      <c r="H477" s="259"/>
      <c r="I477" s="259"/>
      <c r="J477" s="266"/>
    </row>
    <row r="478" spans="1:11" ht="24.95" customHeight="1">
      <c r="A478" s="575"/>
      <c r="B478" s="139"/>
      <c r="C478" s="585"/>
      <c r="D478" s="585"/>
      <c r="E478" s="585"/>
      <c r="F478" s="256"/>
      <c r="G478" s="256"/>
      <c r="H478" s="259"/>
      <c r="I478" s="259"/>
      <c r="J478" s="266"/>
    </row>
    <row r="479" spans="1:11" ht="24.95" customHeight="1">
      <c r="A479" s="575">
        <v>11.5</v>
      </c>
      <c r="B479" s="142" t="s">
        <v>800</v>
      </c>
      <c r="C479" s="585"/>
      <c r="D479" s="585"/>
      <c r="E479" s="585"/>
      <c r="F479" s="256"/>
      <c r="G479" s="256"/>
      <c r="H479" s="256"/>
      <c r="I479" s="256"/>
      <c r="J479" s="571"/>
    </row>
    <row r="480" spans="1:11" ht="24.95" customHeight="1">
      <c r="A480" s="575"/>
      <c r="B480" s="142" t="s">
        <v>801</v>
      </c>
      <c r="C480" s="585"/>
      <c r="D480" s="585"/>
      <c r="E480" s="585"/>
      <c r="F480" s="256"/>
      <c r="G480" s="256"/>
      <c r="H480" s="256"/>
      <c r="I480" s="256"/>
      <c r="J480" s="571"/>
    </row>
    <row r="481" spans="1:11" ht="24.95" customHeight="1">
      <c r="A481" s="575"/>
      <c r="B481" s="139" t="s">
        <v>702</v>
      </c>
      <c r="C481" s="585">
        <v>1</v>
      </c>
      <c r="D481" s="585" t="s">
        <v>56</v>
      </c>
      <c r="E481" s="585">
        <v>3</v>
      </c>
      <c r="F481" s="256">
        <v>0.45</v>
      </c>
      <c r="G481" s="256"/>
      <c r="H481" s="256">
        <v>2.4</v>
      </c>
      <c r="I481" s="256">
        <f>PRODUCT(C481:H481)</f>
        <v>3.24</v>
      </c>
      <c r="J481" s="266"/>
    </row>
    <row r="482" spans="1:11" ht="24.95" customHeight="1">
      <c r="A482" s="575"/>
      <c r="B482" s="139" t="s">
        <v>802</v>
      </c>
      <c r="C482" s="585">
        <v>1</v>
      </c>
      <c r="D482" s="585" t="s">
        <v>56</v>
      </c>
      <c r="E482" s="585">
        <v>5</v>
      </c>
      <c r="F482" s="256">
        <v>0.6</v>
      </c>
      <c r="G482" s="256"/>
      <c r="H482" s="256">
        <v>2.4</v>
      </c>
      <c r="I482" s="256">
        <f>PRODUCT(C482:H482)</f>
        <v>7.1999999999999993</v>
      </c>
      <c r="J482" s="571"/>
    </row>
    <row r="483" spans="1:11" ht="24.95" customHeight="1">
      <c r="A483" s="575"/>
      <c r="B483" s="139" t="s">
        <v>485</v>
      </c>
      <c r="C483" s="585">
        <v>1</v>
      </c>
      <c r="D483" s="585" t="s">
        <v>56</v>
      </c>
      <c r="E483" s="585">
        <v>18</v>
      </c>
      <c r="F483" s="256">
        <v>0.6</v>
      </c>
      <c r="G483" s="256"/>
      <c r="H483" s="256">
        <v>2.4</v>
      </c>
      <c r="I483" s="256">
        <f>PRODUCT(C483:H483)</f>
        <v>25.919999999999998</v>
      </c>
      <c r="J483" s="571"/>
    </row>
    <row r="484" spans="1:11" ht="24.95" customHeight="1">
      <c r="A484" s="575"/>
      <c r="B484" s="139" t="s">
        <v>485</v>
      </c>
      <c r="C484" s="585">
        <v>1</v>
      </c>
      <c r="D484" s="585" t="s">
        <v>56</v>
      </c>
      <c r="E484" s="585">
        <v>2</v>
      </c>
      <c r="F484" s="256">
        <v>0.6</v>
      </c>
      <c r="G484" s="256"/>
      <c r="H484" s="256">
        <v>2.4</v>
      </c>
      <c r="I484" s="256">
        <f>PRODUCT(C484:H484)</f>
        <v>2.88</v>
      </c>
      <c r="J484" s="571"/>
    </row>
    <row r="485" spans="1:11" ht="24.95" customHeight="1">
      <c r="A485" s="575"/>
      <c r="B485" s="139"/>
      <c r="C485" s="585"/>
      <c r="D485" s="585"/>
      <c r="E485" s="585"/>
      <c r="F485" s="256"/>
      <c r="G485" s="256"/>
      <c r="H485" s="259"/>
      <c r="I485" s="259">
        <f>SUM(I481:I484)</f>
        <v>39.24</v>
      </c>
      <c r="J485" s="266"/>
      <c r="K485" s="570">
        <v>0.01</v>
      </c>
    </row>
    <row r="486" spans="1:11" ht="24.95" customHeight="1">
      <c r="A486" s="575"/>
      <c r="B486" s="139"/>
      <c r="C486" s="585"/>
      <c r="D486" s="585"/>
      <c r="E486" s="585"/>
      <c r="F486" s="256"/>
      <c r="G486" s="256"/>
      <c r="H486" s="259" t="s">
        <v>15</v>
      </c>
      <c r="I486" s="259">
        <f>ROUNDUP(I485,1-0)</f>
        <v>39.300000000000004</v>
      </c>
      <c r="J486" s="266" t="s">
        <v>37</v>
      </c>
    </row>
    <row r="487" spans="1:11" ht="24.95" customHeight="1">
      <c r="A487" s="575"/>
      <c r="B487" s="139" t="s">
        <v>803</v>
      </c>
      <c r="C487" s="585"/>
      <c r="D487" s="585"/>
      <c r="E487" s="585"/>
      <c r="F487" s="256"/>
      <c r="G487" s="256"/>
      <c r="H487" s="259"/>
      <c r="I487" s="259"/>
      <c r="J487" s="266"/>
    </row>
    <row r="488" spans="1:11" ht="24.95" customHeight="1">
      <c r="A488" s="575"/>
      <c r="B488" s="139" t="s">
        <v>804</v>
      </c>
      <c r="C488" s="585">
        <v>1</v>
      </c>
      <c r="D488" s="585" t="s">
        <v>56</v>
      </c>
      <c r="E488" s="585">
        <v>3</v>
      </c>
      <c r="F488" s="256">
        <v>0.6</v>
      </c>
      <c r="G488" s="256"/>
      <c r="H488" s="256">
        <v>2.4</v>
      </c>
      <c r="I488" s="256">
        <f>PRODUCT(C488:H488)</f>
        <v>4.3199999999999994</v>
      </c>
      <c r="J488" s="266"/>
    </row>
    <row r="489" spans="1:11" ht="24.95" customHeight="1">
      <c r="A489" s="575"/>
      <c r="B489" s="139" t="s">
        <v>805</v>
      </c>
      <c r="C489" s="585">
        <v>3</v>
      </c>
      <c r="D489" s="585" t="s">
        <v>56</v>
      </c>
      <c r="E489" s="585">
        <v>5</v>
      </c>
      <c r="F489" s="256">
        <v>0.6</v>
      </c>
      <c r="G489" s="256"/>
      <c r="H489" s="256">
        <v>2.4</v>
      </c>
      <c r="I489" s="256">
        <f>PRODUCT(C489:H489)</f>
        <v>21.599999999999998</v>
      </c>
      <c r="J489" s="266"/>
    </row>
    <row r="490" spans="1:11" ht="24.95" customHeight="1">
      <c r="A490" s="575"/>
      <c r="B490" s="139"/>
      <c r="C490" s="585"/>
      <c r="D490" s="585"/>
      <c r="E490" s="585"/>
      <c r="F490" s="256"/>
      <c r="G490" s="256"/>
      <c r="H490" s="259"/>
      <c r="I490" s="259">
        <f>SUM(I488:I489)</f>
        <v>25.919999999999998</v>
      </c>
      <c r="J490" s="266"/>
      <c r="K490" s="570">
        <v>0.03</v>
      </c>
    </row>
    <row r="491" spans="1:11" ht="24.95" customHeight="1">
      <c r="A491" s="575"/>
      <c r="B491" s="139"/>
      <c r="C491" s="585"/>
      <c r="D491" s="585"/>
      <c r="E491" s="585"/>
      <c r="F491" s="256"/>
      <c r="G491" s="256"/>
      <c r="H491" s="259" t="s">
        <v>15</v>
      </c>
      <c r="I491" s="259">
        <f>ROUNDUP(I490,1-0)</f>
        <v>26</v>
      </c>
      <c r="J491" s="266" t="s">
        <v>37</v>
      </c>
    </row>
    <row r="492" spans="1:11" ht="24.95" customHeight="1">
      <c r="A492" s="575"/>
      <c r="B492" s="139"/>
      <c r="C492" s="585"/>
      <c r="D492" s="585"/>
      <c r="E492" s="585"/>
      <c r="F492" s="256"/>
      <c r="G492" s="256"/>
      <c r="H492" s="259"/>
      <c r="I492" s="259"/>
      <c r="J492" s="266"/>
    </row>
    <row r="493" spans="1:11" ht="24.95" customHeight="1">
      <c r="A493" s="575">
        <v>12.1</v>
      </c>
      <c r="B493" s="142" t="s">
        <v>806</v>
      </c>
      <c r="C493" s="585"/>
      <c r="D493" s="585"/>
      <c r="E493" s="585"/>
      <c r="F493" s="256"/>
      <c r="G493" s="256"/>
      <c r="H493" s="259"/>
      <c r="I493" s="259"/>
      <c r="J493" s="266"/>
    </row>
    <row r="494" spans="1:11" ht="24.95" customHeight="1">
      <c r="A494" s="575"/>
      <c r="B494" s="142" t="s">
        <v>807</v>
      </c>
      <c r="C494" s="585"/>
      <c r="D494" s="585"/>
      <c r="E494" s="585"/>
      <c r="F494" s="256"/>
      <c r="G494" s="256"/>
      <c r="H494" s="259"/>
      <c r="I494" s="259"/>
      <c r="J494" s="266"/>
    </row>
    <row r="495" spans="1:11" ht="24.95" customHeight="1">
      <c r="A495" s="575"/>
      <c r="B495" s="142" t="s">
        <v>808</v>
      </c>
      <c r="C495" s="585">
        <v>1</v>
      </c>
      <c r="D495" s="585" t="s">
        <v>56</v>
      </c>
      <c r="E495" s="585">
        <v>1</v>
      </c>
      <c r="F495" s="256">
        <v>8.5</v>
      </c>
      <c r="G495" s="256"/>
      <c r="H495" s="256">
        <v>0.9</v>
      </c>
      <c r="I495" s="256">
        <f>PRODUCT(C495:H495)</f>
        <v>7.65</v>
      </c>
      <c r="J495" s="266"/>
    </row>
    <row r="496" spans="1:11" ht="24.95" customHeight="1">
      <c r="A496" s="575"/>
      <c r="B496" s="142"/>
      <c r="C496" s="585"/>
      <c r="D496" s="585"/>
      <c r="E496" s="585"/>
      <c r="F496" s="256"/>
      <c r="G496" s="256"/>
      <c r="H496" s="259" t="s">
        <v>15</v>
      </c>
      <c r="I496" s="259">
        <f>ROUNDUP(I495,1-0)</f>
        <v>7.6999999999999993</v>
      </c>
      <c r="J496" s="266" t="s">
        <v>37</v>
      </c>
    </row>
    <row r="497" spans="1:13" ht="24.95" customHeight="1">
      <c r="A497" s="575"/>
      <c r="B497" s="142" t="s">
        <v>803</v>
      </c>
      <c r="C497" s="585"/>
      <c r="D497" s="585"/>
      <c r="E497" s="585"/>
      <c r="F497" s="256"/>
      <c r="G497" s="256"/>
      <c r="H497" s="259"/>
      <c r="I497" s="259"/>
      <c r="J497" s="266"/>
    </row>
    <row r="498" spans="1:13" ht="24.95" customHeight="1">
      <c r="A498" s="575"/>
      <c r="B498" s="142" t="s">
        <v>808</v>
      </c>
      <c r="C498" s="585">
        <v>1</v>
      </c>
      <c r="D498" s="585" t="s">
        <v>56</v>
      </c>
      <c r="E498" s="585">
        <v>1</v>
      </c>
      <c r="F498" s="256">
        <v>10</v>
      </c>
      <c r="G498" s="256"/>
      <c r="H498" s="256">
        <v>0.9</v>
      </c>
      <c r="I498" s="256">
        <f>PRODUCT(C498:H498)</f>
        <v>9</v>
      </c>
      <c r="J498" s="266"/>
    </row>
    <row r="499" spans="1:13" ht="24.95" customHeight="1">
      <c r="A499" s="575"/>
      <c r="B499" s="142"/>
      <c r="C499" s="585"/>
      <c r="D499" s="585"/>
      <c r="E499" s="585"/>
      <c r="F499" s="256"/>
      <c r="G499" s="256"/>
      <c r="H499" s="259" t="s">
        <v>15</v>
      </c>
      <c r="I499" s="259">
        <f>ROUNDUP(I498,1-0)</f>
        <v>9</v>
      </c>
      <c r="J499" s="266" t="s">
        <v>37</v>
      </c>
    </row>
    <row r="500" spans="1:13" ht="24.95" customHeight="1">
      <c r="A500" s="572">
        <v>13.1</v>
      </c>
      <c r="B500" s="573" t="s">
        <v>809</v>
      </c>
      <c r="C500" s="563"/>
      <c r="D500" s="563"/>
      <c r="E500" s="564"/>
      <c r="F500" s="565"/>
      <c r="G500" s="565"/>
      <c r="H500" s="565"/>
      <c r="I500" s="259"/>
      <c r="J500" s="266"/>
    </row>
    <row r="501" spans="1:13" ht="24.95" customHeight="1">
      <c r="A501" s="575"/>
      <c r="B501" s="139" t="s">
        <v>636</v>
      </c>
      <c r="C501" s="585">
        <v>1</v>
      </c>
      <c r="D501" s="585" t="s">
        <v>56</v>
      </c>
      <c r="E501" s="585">
        <v>14</v>
      </c>
      <c r="F501" s="256">
        <v>1.8</v>
      </c>
      <c r="G501" s="256">
        <v>1.8</v>
      </c>
      <c r="H501" s="256">
        <v>0.1</v>
      </c>
      <c r="I501" s="256">
        <f>PRODUCT(E501:H501)</f>
        <v>4.5360000000000005</v>
      </c>
      <c r="J501" s="571"/>
      <c r="L501" s="570" t="e">
        <f>C501*D501*E501*F501*G501*H501*I501</f>
        <v>#VALUE!</v>
      </c>
      <c r="M501" s="570">
        <f>(C501*E501*F501*G501*H501)</f>
        <v>4.5360000000000005</v>
      </c>
    </row>
    <row r="502" spans="1:13" ht="24.95" customHeight="1">
      <c r="A502" s="575"/>
      <c r="B502" s="139" t="s">
        <v>637</v>
      </c>
      <c r="C502" s="585">
        <v>1</v>
      </c>
      <c r="D502" s="585" t="s">
        <v>56</v>
      </c>
      <c r="E502" s="585">
        <v>4</v>
      </c>
      <c r="F502" s="256">
        <v>2.2999999999999998</v>
      </c>
      <c r="G502" s="256">
        <v>2.2999999999999998</v>
      </c>
      <c r="H502" s="256">
        <v>0.1</v>
      </c>
      <c r="I502" s="256">
        <f>PRODUCT(E502:H502)</f>
        <v>2.1159999999999997</v>
      </c>
      <c r="J502" s="571"/>
    </row>
    <row r="503" spans="1:13" ht="24.95" customHeight="1">
      <c r="A503" s="575"/>
      <c r="B503" s="139" t="s">
        <v>638</v>
      </c>
      <c r="C503" s="585">
        <v>1</v>
      </c>
      <c r="D503" s="585" t="s">
        <v>56</v>
      </c>
      <c r="E503" s="585">
        <v>9</v>
      </c>
      <c r="F503" s="256">
        <v>2.4</v>
      </c>
      <c r="G503" s="256">
        <v>2.4</v>
      </c>
      <c r="H503" s="256">
        <v>0.1</v>
      </c>
      <c r="I503" s="256">
        <f>PRODUCT(E503:H503)</f>
        <v>5.1840000000000002</v>
      </c>
      <c r="J503" s="571"/>
    </row>
    <row r="504" spans="1:13" ht="24.95" customHeight="1">
      <c r="A504" s="575"/>
      <c r="B504" s="139" t="s">
        <v>691</v>
      </c>
      <c r="C504" s="585">
        <v>1</v>
      </c>
      <c r="D504" s="585" t="s">
        <v>56</v>
      </c>
      <c r="E504" s="585">
        <v>9</v>
      </c>
      <c r="F504" s="256">
        <v>1.36</v>
      </c>
      <c r="G504" s="256">
        <v>1.36</v>
      </c>
      <c r="H504" s="256">
        <v>0.1</v>
      </c>
      <c r="I504" s="256">
        <f t="shared" ref="I504" si="31">PRODUCT(E504:H504)</f>
        <v>1.6646400000000001</v>
      </c>
      <c r="J504" s="571"/>
    </row>
    <row r="505" spans="1:13" ht="24.95" customHeight="1">
      <c r="A505" s="575"/>
      <c r="B505" s="142" t="s">
        <v>672</v>
      </c>
      <c r="C505" s="585"/>
      <c r="D505" s="585"/>
      <c r="E505" s="585"/>
      <c r="F505" s="256"/>
      <c r="G505" s="256"/>
      <c r="H505" s="256"/>
      <c r="I505" s="256"/>
      <c r="J505" s="571"/>
    </row>
    <row r="506" spans="1:13" ht="24.95" customHeight="1">
      <c r="A506" s="575"/>
      <c r="B506" s="139" t="s">
        <v>639</v>
      </c>
      <c r="C506" s="585">
        <v>1</v>
      </c>
      <c r="D506" s="585" t="s">
        <v>56</v>
      </c>
      <c r="E506" s="585">
        <v>1</v>
      </c>
      <c r="F506" s="256">
        <v>64.88</v>
      </c>
      <c r="G506" s="256">
        <v>0.38</v>
      </c>
      <c r="H506" s="256">
        <v>0.1</v>
      </c>
      <c r="I506" s="256">
        <f t="shared" ref="I506:I514" si="32">PRODUCT(E506:H506)</f>
        <v>2.4654400000000001</v>
      </c>
      <c r="J506" s="571"/>
      <c r="L506" s="570">
        <f>SUM(I504:I506)</f>
        <v>4.1300800000000004</v>
      </c>
    </row>
    <row r="507" spans="1:13" ht="24.95" customHeight="1">
      <c r="A507" s="575"/>
      <c r="B507" s="139" t="s">
        <v>640</v>
      </c>
      <c r="C507" s="585">
        <v>1</v>
      </c>
      <c r="D507" s="585" t="s">
        <v>56</v>
      </c>
      <c r="E507" s="585">
        <v>1</v>
      </c>
      <c r="F507" s="256">
        <v>20.12</v>
      </c>
      <c r="G507" s="256">
        <v>0.38</v>
      </c>
      <c r="H507" s="256">
        <v>0.1</v>
      </c>
      <c r="I507" s="256">
        <f t="shared" si="32"/>
        <v>0.76456000000000013</v>
      </c>
      <c r="J507" s="571"/>
    </row>
    <row r="508" spans="1:13" ht="25.5" customHeight="1">
      <c r="A508" s="575"/>
      <c r="B508" s="139"/>
      <c r="C508" s="585">
        <v>1</v>
      </c>
      <c r="D508" s="585" t="s">
        <v>56</v>
      </c>
      <c r="E508" s="585">
        <v>1</v>
      </c>
      <c r="F508" s="256">
        <v>16.59</v>
      </c>
      <c r="G508" s="256">
        <v>0.38</v>
      </c>
      <c r="H508" s="256">
        <v>0.1</v>
      </c>
      <c r="I508" s="256">
        <f t="shared" si="32"/>
        <v>0.63041999999999998</v>
      </c>
      <c r="J508" s="571"/>
    </row>
    <row r="509" spans="1:13" ht="24.95" customHeight="1">
      <c r="A509" s="575"/>
      <c r="B509" s="139" t="s">
        <v>641</v>
      </c>
      <c r="C509" s="585">
        <v>1</v>
      </c>
      <c r="D509" s="585" t="s">
        <v>56</v>
      </c>
      <c r="E509" s="585">
        <v>1</v>
      </c>
      <c r="F509" s="256">
        <v>3.3</v>
      </c>
      <c r="G509" s="256">
        <v>0.38</v>
      </c>
      <c r="H509" s="256">
        <v>0.1</v>
      </c>
      <c r="I509" s="256">
        <f t="shared" si="32"/>
        <v>0.12540000000000001</v>
      </c>
      <c r="J509" s="571"/>
    </row>
    <row r="510" spans="1:13" ht="24.95" customHeight="1">
      <c r="A510" s="575"/>
      <c r="B510" s="139" t="s">
        <v>642</v>
      </c>
      <c r="C510" s="585">
        <v>1</v>
      </c>
      <c r="D510" s="585" t="s">
        <v>56</v>
      </c>
      <c r="E510" s="585">
        <v>3</v>
      </c>
      <c r="F510" s="256">
        <v>3.6</v>
      </c>
      <c r="G510" s="256">
        <v>0.38</v>
      </c>
      <c r="H510" s="256">
        <v>0.1</v>
      </c>
      <c r="I510" s="256">
        <f t="shared" si="32"/>
        <v>0.41040000000000004</v>
      </c>
      <c r="J510" s="571"/>
    </row>
    <row r="511" spans="1:13" ht="24.95" customHeight="1">
      <c r="A511" s="575"/>
      <c r="B511" s="139" t="s">
        <v>643</v>
      </c>
      <c r="C511" s="585">
        <v>1</v>
      </c>
      <c r="D511" s="585" t="s">
        <v>56</v>
      </c>
      <c r="E511" s="585">
        <v>2</v>
      </c>
      <c r="F511" s="256">
        <v>6</v>
      </c>
      <c r="G511" s="256">
        <v>0.38</v>
      </c>
      <c r="H511" s="256">
        <v>0.1</v>
      </c>
      <c r="I511" s="256">
        <f t="shared" si="32"/>
        <v>0.45600000000000007</v>
      </c>
      <c r="J511" s="571"/>
    </row>
    <row r="512" spans="1:13" ht="24.95" customHeight="1">
      <c r="A512" s="575"/>
      <c r="B512" s="139" t="s">
        <v>644</v>
      </c>
      <c r="C512" s="585">
        <v>1</v>
      </c>
      <c r="D512" s="585" t="s">
        <v>56</v>
      </c>
      <c r="E512" s="585">
        <v>1</v>
      </c>
      <c r="F512" s="256">
        <v>8.0299999999999994</v>
      </c>
      <c r="G512" s="256">
        <v>0.38</v>
      </c>
      <c r="H512" s="256">
        <v>0.1</v>
      </c>
      <c r="I512" s="256">
        <f t="shared" si="32"/>
        <v>0.30513999999999997</v>
      </c>
      <c r="J512" s="571"/>
    </row>
    <row r="513" spans="1:10" ht="24.95" customHeight="1">
      <c r="A513" s="575"/>
      <c r="B513" s="139" t="s">
        <v>645</v>
      </c>
      <c r="C513" s="585">
        <v>1</v>
      </c>
      <c r="D513" s="585" t="s">
        <v>56</v>
      </c>
      <c r="E513" s="585">
        <v>2</v>
      </c>
      <c r="F513" s="256">
        <v>17</v>
      </c>
      <c r="G513" s="256">
        <v>0.38</v>
      </c>
      <c r="H513" s="256">
        <v>0.1</v>
      </c>
      <c r="I513" s="256">
        <f t="shared" si="32"/>
        <v>1.292</v>
      </c>
      <c r="J513" s="571"/>
    </row>
    <row r="514" spans="1:10" ht="24.95" customHeight="1">
      <c r="A514" s="575"/>
      <c r="B514" s="139" t="s">
        <v>646</v>
      </c>
      <c r="C514" s="585">
        <v>1</v>
      </c>
      <c r="D514" s="585" t="s">
        <v>56</v>
      </c>
      <c r="E514" s="585">
        <v>4</v>
      </c>
      <c r="F514" s="256">
        <v>10.97</v>
      </c>
      <c r="G514" s="256">
        <v>0.38</v>
      </c>
      <c r="H514" s="256">
        <v>0.1</v>
      </c>
      <c r="I514" s="256">
        <f t="shared" si="32"/>
        <v>1.6674400000000003</v>
      </c>
      <c r="J514" s="571"/>
    </row>
    <row r="515" spans="1:10" ht="24.95" customHeight="1">
      <c r="A515" s="566"/>
      <c r="B515" s="567" t="s">
        <v>810</v>
      </c>
      <c r="C515" s="563"/>
      <c r="D515" s="563"/>
      <c r="E515" s="563"/>
      <c r="F515" s="580"/>
      <c r="G515" s="580"/>
      <c r="H515" s="565"/>
      <c r="I515" s="259"/>
      <c r="J515" s="266"/>
    </row>
    <row r="516" spans="1:10" ht="24.95" customHeight="1">
      <c r="A516" s="566"/>
      <c r="B516" s="139" t="s">
        <v>682</v>
      </c>
      <c r="C516" s="585">
        <v>1</v>
      </c>
      <c r="D516" s="585" t="s">
        <v>56</v>
      </c>
      <c r="E516" s="585">
        <v>14</v>
      </c>
      <c r="F516" s="256">
        <v>1.5</v>
      </c>
      <c r="G516" s="256">
        <v>1.5</v>
      </c>
      <c r="H516" s="256">
        <v>0.38</v>
      </c>
      <c r="I516" s="256">
        <f>PRODUCT(C516:H516)</f>
        <v>11.97</v>
      </c>
      <c r="J516" s="266"/>
    </row>
    <row r="517" spans="1:10" ht="24.95" customHeight="1">
      <c r="A517" s="566"/>
      <c r="B517" s="139" t="s">
        <v>675</v>
      </c>
      <c r="C517" s="585">
        <v>1</v>
      </c>
      <c r="D517" s="585" t="s">
        <v>56</v>
      </c>
      <c r="E517" s="585">
        <v>4</v>
      </c>
      <c r="F517" s="256">
        <v>2</v>
      </c>
      <c r="G517" s="256">
        <v>2</v>
      </c>
      <c r="H517" s="256">
        <v>0.45</v>
      </c>
      <c r="I517" s="256">
        <f>PRODUCT(C517:H517)</f>
        <v>7.2</v>
      </c>
      <c r="J517" s="266"/>
    </row>
    <row r="518" spans="1:10" ht="24.95" customHeight="1">
      <c r="A518" s="566"/>
      <c r="B518" s="139" t="s">
        <v>683</v>
      </c>
      <c r="C518" s="585">
        <v>1</v>
      </c>
      <c r="D518" s="585" t="s">
        <v>56</v>
      </c>
      <c r="E518" s="585">
        <v>7</v>
      </c>
      <c r="F518" s="256">
        <v>2.1</v>
      </c>
      <c r="G518" s="256">
        <v>2.1</v>
      </c>
      <c r="H518" s="256">
        <v>0.45</v>
      </c>
      <c r="I518" s="256">
        <f>PRODUCT(C518:H518)</f>
        <v>13.891500000000002</v>
      </c>
      <c r="J518" s="266"/>
    </row>
    <row r="519" spans="1:10" ht="24.95" customHeight="1">
      <c r="A519" s="566"/>
      <c r="B519" s="139" t="s">
        <v>677</v>
      </c>
      <c r="C519" s="585">
        <v>1</v>
      </c>
      <c r="D519" s="585" t="s">
        <v>56</v>
      </c>
      <c r="E519" s="585">
        <v>2</v>
      </c>
      <c r="F519" s="256">
        <v>2.1</v>
      </c>
      <c r="G519" s="256">
        <v>2.1</v>
      </c>
      <c r="H519" s="256">
        <v>0.6</v>
      </c>
      <c r="I519" s="256">
        <f>PRODUCT(C519:H519)</f>
        <v>5.2919999999999998</v>
      </c>
      <c r="J519" s="266"/>
    </row>
    <row r="520" spans="1:10" ht="24.95" customHeight="1">
      <c r="A520" s="566"/>
      <c r="B520" s="567" t="s">
        <v>811</v>
      </c>
      <c r="C520" s="563"/>
      <c r="D520" s="563"/>
      <c r="E520" s="563"/>
      <c r="F520" s="580"/>
      <c r="G520" s="580"/>
      <c r="H520" s="565"/>
      <c r="I520" s="259"/>
      <c r="J520" s="266"/>
    </row>
    <row r="521" spans="1:10" ht="24.95" customHeight="1">
      <c r="A521" s="566"/>
      <c r="B521" s="139" t="s">
        <v>674</v>
      </c>
      <c r="C521" s="585">
        <v>1</v>
      </c>
      <c r="D521" s="585" t="s">
        <v>56</v>
      </c>
      <c r="E521" s="585">
        <v>5</v>
      </c>
      <c r="F521" s="256">
        <v>0.23</v>
      </c>
      <c r="G521" s="256">
        <v>0.38</v>
      </c>
      <c r="H521" s="256">
        <v>1.49</v>
      </c>
      <c r="I521" s="256">
        <f t="shared" ref="I521:I526" si="33">PRODUCT(C521:H521)</f>
        <v>0.6511300000000001</v>
      </c>
      <c r="J521" s="266"/>
    </row>
    <row r="522" spans="1:10" ht="24.95" customHeight="1">
      <c r="A522" s="566"/>
      <c r="B522" s="139" t="s">
        <v>675</v>
      </c>
      <c r="C522" s="585">
        <v>1</v>
      </c>
      <c r="D522" s="585" t="s">
        <v>56</v>
      </c>
      <c r="E522" s="585">
        <v>4</v>
      </c>
      <c r="F522" s="256">
        <v>0.23</v>
      </c>
      <c r="G522" s="256">
        <v>0.45</v>
      </c>
      <c r="H522" s="256">
        <v>1.42</v>
      </c>
      <c r="I522" s="256">
        <f t="shared" si="33"/>
        <v>0.58788000000000007</v>
      </c>
      <c r="J522" s="266"/>
    </row>
    <row r="523" spans="1:10" ht="24.95" customHeight="1">
      <c r="A523" s="566"/>
      <c r="B523" s="139" t="s">
        <v>676</v>
      </c>
      <c r="C523" s="585">
        <v>1</v>
      </c>
      <c r="D523" s="585" t="s">
        <v>56</v>
      </c>
      <c r="E523" s="585">
        <v>3</v>
      </c>
      <c r="F523" s="256">
        <v>0.23</v>
      </c>
      <c r="G523" s="256">
        <v>0.6</v>
      </c>
      <c r="H523" s="256">
        <v>1.42</v>
      </c>
      <c r="I523" s="256">
        <f t="shared" si="33"/>
        <v>0.58788000000000007</v>
      </c>
      <c r="J523" s="266"/>
    </row>
    <row r="524" spans="1:10" ht="24.95" customHeight="1">
      <c r="A524" s="566"/>
      <c r="B524" s="139" t="s">
        <v>677</v>
      </c>
      <c r="C524" s="585">
        <v>1</v>
      </c>
      <c r="D524" s="585" t="s">
        <v>56</v>
      </c>
      <c r="E524" s="585">
        <v>2</v>
      </c>
      <c r="F524" s="256">
        <v>0.3</v>
      </c>
      <c r="G524" s="256">
        <v>0.38</v>
      </c>
      <c r="H524" s="256">
        <v>1.27</v>
      </c>
      <c r="I524" s="256">
        <f t="shared" si="33"/>
        <v>0.28955999999999998</v>
      </c>
      <c r="J524" s="266"/>
    </row>
    <row r="525" spans="1:10" ht="24.95" customHeight="1">
      <c r="A525" s="566"/>
      <c r="B525" s="139" t="s">
        <v>678</v>
      </c>
      <c r="C525" s="585">
        <v>1</v>
      </c>
      <c r="D525" s="585" t="s">
        <v>56</v>
      </c>
      <c r="E525" s="585">
        <v>4</v>
      </c>
      <c r="F525" s="256">
        <v>0.3</v>
      </c>
      <c r="G525" s="256">
        <v>0.6</v>
      </c>
      <c r="H525" s="256">
        <v>1.42</v>
      </c>
      <c r="I525" s="256">
        <f t="shared" si="33"/>
        <v>1.0224</v>
      </c>
      <c r="J525" s="266"/>
    </row>
    <row r="526" spans="1:10" ht="24.95" customHeight="1">
      <c r="A526" s="566"/>
      <c r="B526" s="139" t="s">
        <v>679</v>
      </c>
      <c r="C526" s="585">
        <v>1</v>
      </c>
      <c r="D526" s="585" t="s">
        <v>56</v>
      </c>
      <c r="E526" s="585">
        <v>9</v>
      </c>
      <c r="F526" s="256">
        <v>0.3</v>
      </c>
      <c r="G526" s="256">
        <v>0.38</v>
      </c>
      <c r="H526" s="256">
        <f>H521</f>
        <v>1.49</v>
      </c>
      <c r="I526" s="256">
        <f t="shared" si="33"/>
        <v>1.5287399999999998</v>
      </c>
      <c r="J526" s="266"/>
    </row>
    <row r="527" spans="1:10" ht="24.95" customHeight="1">
      <c r="A527" s="566"/>
      <c r="B527" s="568" t="s">
        <v>95</v>
      </c>
      <c r="C527" s="563"/>
      <c r="D527" s="563"/>
      <c r="E527" s="569"/>
      <c r="F527" s="580"/>
      <c r="G527" s="580"/>
      <c r="H527" s="565"/>
      <c r="I527" s="259"/>
      <c r="J527" s="266"/>
    </row>
    <row r="528" spans="1:10" ht="24.95" customHeight="1">
      <c r="A528" s="566"/>
      <c r="B528" s="139" t="s">
        <v>639</v>
      </c>
      <c r="C528" s="585">
        <v>1</v>
      </c>
      <c r="D528" s="585" t="s">
        <v>56</v>
      </c>
      <c r="E528" s="585">
        <v>1</v>
      </c>
      <c r="F528" s="256">
        <v>64.88</v>
      </c>
      <c r="G528" s="256">
        <v>0.23</v>
      </c>
      <c r="H528" s="256">
        <v>0.38</v>
      </c>
      <c r="I528" s="256">
        <f t="shared" ref="I528:I536" si="34">PRODUCT(C528:H528)</f>
        <v>5.6705119999999996</v>
      </c>
      <c r="J528" s="266"/>
    </row>
    <row r="529" spans="1:11" ht="24.95" customHeight="1">
      <c r="A529" s="566"/>
      <c r="B529" s="139" t="s">
        <v>640</v>
      </c>
      <c r="C529" s="585">
        <v>1</v>
      </c>
      <c r="D529" s="585" t="s">
        <v>56</v>
      </c>
      <c r="E529" s="585">
        <v>1</v>
      </c>
      <c r="F529" s="256">
        <v>20.12</v>
      </c>
      <c r="G529" s="256">
        <v>0.23</v>
      </c>
      <c r="H529" s="256">
        <v>0.38</v>
      </c>
      <c r="I529" s="256">
        <f t="shared" si="34"/>
        <v>1.7584880000000001</v>
      </c>
      <c r="J529" s="266"/>
    </row>
    <row r="530" spans="1:11" ht="24.95" customHeight="1">
      <c r="A530" s="566"/>
      <c r="B530" s="139"/>
      <c r="C530" s="585">
        <v>1</v>
      </c>
      <c r="D530" s="585" t="s">
        <v>56</v>
      </c>
      <c r="E530" s="585">
        <v>1</v>
      </c>
      <c r="F530" s="256">
        <v>16.59</v>
      </c>
      <c r="G530" s="256">
        <v>0.23</v>
      </c>
      <c r="H530" s="256">
        <v>0.38</v>
      </c>
      <c r="I530" s="256">
        <f t="shared" si="34"/>
        <v>1.4499660000000001</v>
      </c>
      <c r="J530" s="266"/>
    </row>
    <row r="531" spans="1:11" ht="24.95" customHeight="1">
      <c r="A531" s="566"/>
      <c r="B531" s="139" t="s">
        <v>641</v>
      </c>
      <c r="C531" s="585">
        <v>1</v>
      </c>
      <c r="D531" s="585" t="s">
        <v>56</v>
      </c>
      <c r="E531" s="585">
        <v>1</v>
      </c>
      <c r="F531" s="256">
        <v>3.3</v>
      </c>
      <c r="G531" s="256">
        <v>0.23</v>
      </c>
      <c r="H531" s="256">
        <v>0.38</v>
      </c>
      <c r="I531" s="256">
        <f t="shared" si="34"/>
        <v>0.28842000000000001</v>
      </c>
      <c r="J531" s="266"/>
    </row>
    <row r="532" spans="1:11" ht="24.95" customHeight="1">
      <c r="A532" s="566"/>
      <c r="B532" s="139" t="s">
        <v>642</v>
      </c>
      <c r="C532" s="585">
        <v>1</v>
      </c>
      <c r="D532" s="585" t="s">
        <v>56</v>
      </c>
      <c r="E532" s="585">
        <v>3</v>
      </c>
      <c r="F532" s="256">
        <v>3.6</v>
      </c>
      <c r="G532" s="256">
        <v>0.23</v>
      </c>
      <c r="H532" s="256">
        <v>0.38</v>
      </c>
      <c r="I532" s="256">
        <f t="shared" si="34"/>
        <v>0.9439200000000002</v>
      </c>
      <c r="J532" s="266"/>
    </row>
    <row r="533" spans="1:11" ht="24.95" customHeight="1">
      <c r="A533" s="566"/>
      <c r="B533" s="139" t="s">
        <v>643</v>
      </c>
      <c r="C533" s="585">
        <v>1</v>
      </c>
      <c r="D533" s="585" t="s">
        <v>56</v>
      </c>
      <c r="E533" s="585">
        <v>2</v>
      </c>
      <c r="F533" s="256">
        <v>6</v>
      </c>
      <c r="G533" s="256">
        <v>0.23</v>
      </c>
      <c r="H533" s="256">
        <v>0.38</v>
      </c>
      <c r="I533" s="256">
        <f t="shared" si="34"/>
        <v>1.0488000000000002</v>
      </c>
      <c r="J533" s="266"/>
    </row>
    <row r="534" spans="1:11" ht="24.95" customHeight="1">
      <c r="A534" s="566"/>
      <c r="B534" s="139" t="s">
        <v>644</v>
      </c>
      <c r="C534" s="585">
        <v>1</v>
      </c>
      <c r="D534" s="585" t="s">
        <v>56</v>
      </c>
      <c r="E534" s="585">
        <v>1</v>
      </c>
      <c r="F534" s="256">
        <v>8.0299999999999994</v>
      </c>
      <c r="G534" s="256">
        <v>0.23</v>
      </c>
      <c r="H534" s="256">
        <v>0.38</v>
      </c>
      <c r="I534" s="256">
        <f t="shared" si="34"/>
        <v>0.70182200000000006</v>
      </c>
      <c r="J534" s="266"/>
    </row>
    <row r="535" spans="1:11" ht="24.95" customHeight="1">
      <c r="A535" s="566"/>
      <c r="B535" s="139" t="s">
        <v>645</v>
      </c>
      <c r="C535" s="585">
        <v>1</v>
      </c>
      <c r="D535" s="585" t="s">
        <v>56</v>
      </c>
      <c r="E535" s="585">
        <v>2</v>
      </c>
      <c r="F535" s="256">
        <v>17</v>
      </c>
      <c r="G535" s="256">
        <v>0.23</v>
      </c>
      <c r="H535" s="256">
        <v>0.38</v>
      </c>
      <c r="I535" s="256">
        <f t="shared" si="34"/>
        <v>2.9716</v>
      </c>
      <c r="J535" s="266"/>
    </row>
    <row r="536" spans="1:11" ht="24.95" customHeight="1">
      <c r="A536" s="566"/>
      <c r="B536" s="139" t="s">
        <v>646</v>
      </c>
      <c r="C536" s="585">
        <v>1</v>
      </c>
      <c r="D536" s="585" t="s">
        <v>56</v>
      </c>
      <c r="E536" s="585">
        <v>4</v>
      </c>
      <c r="F536" s="256">
        <v>10.97</v>
      </c>
      <c r="G536" s="256">
        <v>0.23</v>
      </c>
      <c r="H536" s="256">
        <v>0.38</v>
      </c>
      <c r="I536" s="256">
        <f t="shared" si="34"/>
        <v>3.8351120000000005</v>
      </c>
      <c r="J536" s="266"/>
    </row>
    <row r="537" spans="1:11" ht="24.95" customHeight="1">
      <c r="A537" s="575"/>
      <c r="B537" s="142"/>
      <c r="C537" s="585"/>
      <c r="D537" s="585"/>
      <c r="E537" s="585"/>
      <c r="F537" s="256"/>
      <c r="G537" s="256"/>
      <c r="H537" s="259"/>
      <c r="I537" s="259">
        <f>+SUM(I501:I536)</f>
        <v>83.307170000000013</v>
      </c>
      <c r="J537" s="266"/>
    </row>
    <row r="538" spans="1:11" ht="24.95" customHeight="1">
      <c r="A538" s="575"/>
      <c r="B538" s="142"/>
      <c r="C538" s="585"/>
      <c r="D538" s="585"/>
      <c r="E538" s="585"/>
      <c r="F538" s="256"/>
      <c r="G538" s="256"/>
      <c r="H538" s="259" t="s">
        <v>15</v>
      </c>
      <c r="I538" s="259">
        <f>ROUNDUP(I537,1-0)</f>
        <v>83.399999999999991</v>
      </c>
      <c r="J538" s="266" t="s">
        <v>37</v>
      </c>
    </row>
    <row r="539" spans="1:11" ht="24.95" customHeight="1">
      <c r="A539" s="575"/>
      <c r="B539" s="142"/>
      <c r="C539" s="585"/>
      <c r="D539" s="585"/>
      <c r="E539" s="585"/>
      <c r="F539" s="256"/>
      <c r="G539" s="256"/>
      <c r="H539" s="259"/>
      <c r="I539" s="259"/>
      <c r="J539" s="266"/>
    </row>
    <row r="540" spans="1:11" ht="24.95" customHeight="1">
      <c r="A540" s="575"/>
      <c r="B540" s="139"/>
      <c r="C540" s="585"/>
      <c r="D540" s="585"/>
      <c r="E540" s="585"/>
      <c r="F540" s="256"/>
      <c r="G540" s="256"/>
      <c r="H540" s="259"/>
      <c r="I540" s="259"/>
      <c r="J540" s="266"/>
      <c r="K540" s="605"/>
    </row>
    <row r="541" spans="1:11" ht="24.95" customHeight="1">
      <c r="A541" s="575">
        <v>16.100000000000001</v>
      </c>
      <c r="B541" s="139" t="s">
        <v>812</v>
      </c>
      <c r="C541" s="585"/>
      <c r="D541" s="585"/>
      <c r="E541" s="585"/>
      <c r="F541" s="256"/>
      <c r="G541" s="256"/>
      <c r="H541" s="259"/>
      <c r="I541" s="259"/>
      <c r="J541" s="266"/>
      <c r="K541" s="605"/>
    </row>
    <row r="542" spans="1:11" ht="24.95" customHeight="1">
      <c r="A542" s="575"/>
      <c r="B542" s="139" t="s">
        <v>813</v>
      </c>
      <c r="C542" s="585"/>
      <c r="D542" s="585"/>
      <c r="E542" s="585"/>
      <c r="F542" s="256"/>
      <c r="G542" s="256"/>
      <c r="H542" s="259"/>
      <c r="I542" s="259"/>
      <c r="J542" s="266"/>
      <c r="K542" s="605"/>
    </row>
    <row r="543" spans="1:11" ht="24.95" customHeight="1">
      <c r="A543" s="575"/>
      <c r="B543" s="139" t="s">
        <v>814</v>
      </c>
      <c r="C543" s="585">
        <v>1</v>
      </c>
      <c r="D543" s="585"/>
      <c r="E543" s="585">
        <v>3</v>
      </c>
      <c r="F543" s="256">
        <v>1.8</v>
      </c>
      <c r="G543" s="256"/>
      <c r="H543" s="256">
        <v>0.6</v>
      </c>
      <c r="I543" s="256">
        <f t="shared" ref="I543:I552" si="35">PRODUCT(C543:H543)</f>
        <v>3.24</v>
      </c>
      <c r="J543" s="571"/>
      <c r="K543" s="605"/>
    </row>
    <row r="544" spans="1:11" ht="24.95" customHeight="1">
      <c r="A544" s="575"/>
      <c r="B544" s="139" t="s">
        <v>756</v>
      </c>
      <c r="C544" s="585">
        <v>1</v>
      </c>
      <c r="D544" s="585"/>
      <c r="E544" s="585">
        <v>4</v>
      </c>
      <c r="F544" s="256">
        <v>1.2</v>
      </c>
      <c r="G544" s="256"/>
      <c r="H544" s="256">
        <v>0.6</v>
      </c>
      <c r="I544" s="256">
        <f t="shared" si="35"/>
        <v>2.88</v>
      </c>
      <c r="J544" s="571"/>
      <c r="K544" s="605"/>
    </row>
    <row r="545" spans="1:11" ht="24.95" customHeight="1">
      <c r="A545" s="575"/>
      <c r="B545" s="139" t="s">
        <v>815</v>
      </c>
      <c r="C545" s="585">
        <v>1</v>
      </c>
      <c r="D545" s="585"/>
      <c r="E545" s="585">
        <v>2</v>
      </c>
      <c r="F545" s="256">
        <v>0.9</v>
      </c>
      <c r="G545" s="256"/>
      <c r="H545" s="256">
        <v>0.9</v>
      </c>
      <c r="I545" s="256">
        <f t="shared" si="35"/>
        <v>1.62</v>
      </c>
      <c r="J545" s="571"/>
      <c r="K545" s="605"/>
    </row>
    <row r="546" spans="1:11" ht="24.95" customHeight="1">
      <c r="A546" s="575"/>
      <c r="B546" s="139" t="s">
        <v>816</v>
      </c>
      <c r="C546" s="585">
        <v>1</v>
      </c>
      <c r="D546" s="585"/>
      <c r="E546" s="585">
        <v>2</v>
      </c>
      <c r="F546" s="256">
        <v>0.9</v>
      </c>
      <c r="G546" s="256"/>
      <c r="H546" s="256">
        <v>0.9</v>
      </c>
      <c r="I546" s="256">
        <f t="shared" si="35"/>
        <v>1.62</v>
      </c>
      <c r="J546" s="571"/>
      <c r="K546" s="605"/>
    </row>
    <row r="547" spans="1:11" ht="24.95" customHeight="1">
      <c r="A547" s="575"/>
      <c r="B547" s="139"/>
      <c r="C547" s="585"/>
      <c r="D547" s="585"/>
      <c r="E547" s="585"/>
      <c r="F547" s="256"/>
      <c r="G547" s="256"/>
      <c r="H547" s="256"/>
      <c r="I547" s="256">
        <f>+SUM(I543:I546)</f>
        <v>9.36</v>
      </c>
      <c r="J547" s="571"/>
      <c r="K547" s="605"/>
    </row>
    <row r="548" spans="1:11" ht="24.95" customHeight="1">
      <c r="A548" s="575"/>
      <c r="B548" s="139"/>
      <c r="C548" s="585"/>
      <c r="D548" s="585"/>
      <c r="E548" s="585"/>
      <c r="F548" s="256"/>
      <c r="G548" s="256"/>
      <c r="H548" s="259" t="s">
        <v>15</v>
      </c>
      <c r="I548" s="259">
        <f>ROUNDUP(I547,1-0)</f>
        <v>9.4</v>
      </c>
      <c r="J548" s="266" t="s">
        <v>37</v>
      </c>
      <c r="K548" s="605"/>
    </row>
    <row r="549" spans="1:11" ht="24.95" customHeight="1">
      <c r="A549" s="575"/>
      <c r="B549" s="139" t="s">
        <v>817</v>
      </c>
      <c r="C549" s="585"/>
      <c r="D549" s="585"/>
      <c r="E549" s="585"/>
      <c r="F549" s="256"/>
      <c r="G549" s="256"/>
      <c r="H549" s="256"/>
      <c r="I549" s="256"/>
      <c r="J549" s="571"/>
      <c r="K549" s="605"/>
    </row>
    <row r="550" spans="1:11" ht="24.95" customHeight="1">
      <c r="A550" s="575"/>
      <c r="B550" s="139" t="s">
        <v>816</v>
      </c>
      <c r="C550" s="585">
        <f>C851</f>
        <v>1</v>
      </c>
      <c r="D550" s="585"/>
      <c r="E550" s="585">
        <v>5</v>
      </c>
      <c r="F550" s="256">
        <v>0.9</v>
      </c>
      <c r="G550" s="256"/>
      <c r="H550" s="256">
        <v>0.9</v>
      </c>
      <c r="I550" s="256">
        <f t="shared" si="35"/>
        <v>4.05</v>
      </c>
      <c r="J550" s="571"/>
      <c r="K550" s="605"/>
    </row>
    <row r="551" spans="1:11" ht="24.95" customHeight="1">
      <c r="A551" s="575"/>
      <c r="B551" s="139" t="s">
        <v>815</v>
      </c>
      <c r="C551" s="585">
        <v>1</v>
      </c>
      <c r="D551" s="585"/>
      <c r="E551" s="585">
        <v>2</v>
      </c>
      <c r="F551" s="256">
        <v>0.9</v>
      </c>
      <c r="G551" s="256"/>
      <c r="H551" s="256">
        <v>0.9</v>
      </c>
      <c r="I551" s="256">
        <f t="shared" si="35"/>
        <v>1.62</v>
      </c>
      <c r="J551" s="571"/>
      <c r="K551" s="605"/>
    </row>
    <row r="552" spans="1:11" ht="24.95" customHeight="1">
      <c r="A552" s="575"/>
      <c r="B552" s="139" t="s">
        <v>756</v>
      </c>
      <c r="C552" s="585">
        <v>2</v>
      </c>
      <c r="D552" s="585"/>
      <c r="E552" s="585">
        <v>2</v>
      </c>
      <c r="F552" s="256">
        <v>0.9</v>
      </c>
      <c r="G552" s="256"/>
      <c r="H552" s="256">
        <v>0.9</v>
      </c>
      <c r="I552" s="256">
        <f t="shared" si="35"/>
        <v>3.24</v>
      </c>
      <c r="J552" s="571"/>
      <c r="K552" s="605"/>
    </row>
    <row r="553" spans="1:11" ht="24.95" customHeight="1">
      <c r="A553" s="575"/>
      <c r="B553" s="139"/>
      <c r="C553" s="585"/>
      <c r="D553" s="585"/>
      <c r="E553" s="585"/>
      <c r="F553" s="256"/>
      <c r="G553" s="256"/>
      <c r="H553" s="256"/>
      <c r="I553" s="256">
        <f>SUM(I550:I552)</f>
        <v>8.91</v>
      </c>
      <c r="J553" s="571"/>
      <c r="K553" s="605"/>
    </row>
    <row r="554" spans="1:11" ht="24.95" customHeight="1">
      <c r="A554" s="575"/>
      <c r="B554" s="139"/>
      <c r="C554" s="585"/>
      <c r="D554" s="585"/>
      <c r="E554" s="585"/>
      <c r="F554" s="256"/>
      <c r="G554" s="256"/>
      <c r="H554" s="259" t="s">
        <v>15</v>
      </c>
      <c r="I554" s="259">
        <f>ROUNDUP(I553,1-0)</f>
        <v>9</v>
      </c>
      <c r="J554" s="266" t="s">
        <v>37</v>
      </c>
      <c r="K554" s="605"/>
    </row>
    <row r="555" spans="1:11" ht="24.95" customHeight="1">
      <c r="A555" s="575"/>
      <c r="B555" s="139"/>
      <c r="C555" s="585"/>
      <c r="D555" s="585"/>
      <c r="E555" s="585"/>
      <c r="F555" s="256"/>
      <c r="G555" s="256"/>
      <c r="H555" s="259"/>
      <c r="I555" s="259"/>
      <c r="J555" s="266"/>
      <c r="K555" s="605"/>
    </row>
    <row r="556" spans="1:11" ht="24.95" customHeight="1">
      <c r="A556" s="575">
        <v>21.2</v>
      </c>
      <c r="B556" s="142" t="s">
        <v>818</v>
      </c>
      <c r="C556" s="585"/>
      <c r="D556" s="585"/>
      <c r="E556" s="585"/>
      <c r="F556" s="256"/>
      <c r="G556" s="256"/>
      <c r="H556" s="256"/>
      <c r="I556" s="256"/>
      <c r="J556" s="571"/>
    </row>
    <row r="557" spans="1:11" ht="24.95" customHeight="1">
      <c r="A557" s="575"/>
      <c r="B557" s="142" t="s">
        <v>819</v>
      </c>
      <c r="C557" s="585"/>
      <c r="D557" s="585"/>
      <c r="E557" s="585"/>
      <c r="F557" s="256"/>
      <c r="G557" s="256"/>
      <c r="H557" s="256"/>
      <c r="I557" s="256"/>
      <c r="J557" s="571"/>
    </row>
    <row r="558" spans="1:11" ht="24.95" customHeight="1">
      <c r="A558" s="575"/>
      <c r="B558" s="139" t="s">
        <v>820</v>
      </c>
      <c r="C558" s="585">
        <v>2</v>
      </c>
      <c r="D558" s="585"/>
      <c r="E558" s="585">
        <v>2</v>
      </c>
      <c r="F558" s="256">
        <v>0.1</v>
      </c>
      <c r="G558" s="262">
        <v>7.4999999999999997E-2</v>
      </c>
      <c r="H558" s="256">
        <v>2.4</v>
      </c>
      <c r="I558" s="262">
        <f>PRODUCT(C558:H558)</f>
        <v>7.1999999999999995E-2</v>
      </c>
      <c r="J558" s="571"/>
    </row>
    <row r="559" spans="1:11" ht="24.95" customHeight="1">
      <c r="A559" s="575"/>
      <c r="B559" s="139" t="s">
        <v>821</v>
      </c>
      <c r="C559" s="585">
        <v>2</v>
      </c>
      <c r="D559" s="585"/>
      <c r="E559" s="585">
        <v>14</v>
      </c>
      <c r="F559" s="256">
        <v>0.1</v>
      </c>
      <c r="G559" s="262">
        <v>7.4999999999999997E-2</v>
      </c>
      <c r="H559" s="256">
        <v>2.4</v>
      </c>
      <c r="I559" s="262">
        <f>PRODUCT(C559:H559)</f>
        <v>0.504</v>
      </c>
      <c r="J559" s="266"/>
    </row>
    <row r="560" spans="1:11" ht="24.95" customHeight="1">
      <c r="A560" s="575"/>
      <c r="B560" s="139"/>
      <c r="C560" s="585"/>
      <c r="D560" s="585"/>
      <c r="E560" s="585"/>
      <c r="F560" s="256"/>
      <c r="G560" s="256"/>
      <c r="H560" s="259"/>
      <c r="I560" s="581">
        <f>SUM(I558:I559)</f>
        <v>0.57599999999999996</v>
      </c>
      <c r="J560" s="266"/>
    </row>
    <row r="561" spans="1:10" ht="24.95" customHeight="1">
      <c r="A561" s="575"/>
      <c r="B561" s="139"/>
      <c r="C561" s="585"/>
      <c r="D561" s="585"/>
      <c r="E561" s="585"/>
      <c r="F561" s="256"/>
      <c r="G561" s="256"/>
      <c r="H561" s="259" t="s">
        <v>15</v>
      </c>
      <c r="I561" s="606">
        <f>ROUNDUP(I560,1-0)</f>
        <v>0.6</v>
      </c>
      <c r="J561" s="266" t="s">
        <v>16</v>
      </c>
    </row>
    <row r="562" spans="1:10" ht="24.95" customHeight="1">
      <c r="A562" s="575"/>
      <c r="B562" s="142" t="s">
        <v>822</v>
      </c>
      <c r="C562" s="585"/>
      <c r="D562" s="585"/>
      <c r="E562" s="585"/>
      <c r="F562" s="256"/>
      <c r="G562" s="256"/>
      <c r="H562" s="256"/>
      <c r="I562" s="256"/>
      <c r="J562" s="571"/>
    </row>
    <row r="563" spans="1:10" ht="24.95" customHeight="1">
      <c r="A563" s="575"/>
      <c r="B563" s="139" t="s">
        <v>820</v>
      </c>
      <c r="C563" s="585">
        <v>1</v>
      </c>
      <c r="D563" s="585"/>
      <c r="E563" s="585">
        <v>3</v>
      </c>
      <c r="F563" s="256">
        <v>0.1</v>
      </c>
      <c r="G563" s="262">
        <v>7.4999999999999997E-2</v>
      </c>
      <c r="H563" s="256">
        <v>1.8</v>
      </c>
      <c r="I563" s="262">
        <f>PRODUCT(C563:H563)</f>
        <v>4.0500000000000008E-2</v>
      </c>
      <c r="J563" s="571"/>
    </row>
    <row r="564" spans="1:10" ht="24.95" customHeight="1">
      <c r="A564" s="575"/>
      <c r="B564" s="139" t="s">
        <v>823</v>
      </c>
      <c r="C564" s="585">
        <v>2</v>
      </c>
      <c r="D564" s="585"/>
      <c r="E564" s="585">
        <v>14</v>
      </c>
      <c r="F564" s="256">
        <v>0.1</v>
      </c>
      <c r="G564" s="262">
        <v>7.4999999999999997E-2</v>
      </c>
      <c r="H564" s="256">
        <v>1.8</v>
      </c>
      <c r="I564" s="262">
        <f>PRODUCT(C564:H564)</f>
        <v>0.37800000000000006</v>
      </c>
      <c r="J564" s="266"/>
    </row>
    <row r="565" spans="1:10" ht="24.95" customHeight="1">
      <c r="A565" s="575"/>
      <c r="B565" s="139"/>
      <c r="C565" s="585"/>
      <c r="D565" s="585"/>
      <c r="E565" s="585"/>
      <c r="F565" s="256"/>
      <c r="G565" s="256"/>
      <c r="H565" s="259"/>
      <c r="I565" s="581">
        <f>SUM(I563:I564)</f>
        <v>0.41850000000000009</v>
      </c>
      <c r="J565" s="266"/>
    </row>
    <row r="566" spans="1:10" ht="24.95" customHeight="1">
      <c r="A566" s="575"/>
      <c r="B566" s="139"/>
      <c r="C566" s="585"/>
      <c r="D566" s="585"/>
      <c r="E566" s="585"/>
      <c r="F566" s="256"/>
      <c r="G566" s="256"/>
      <c r="H566" s="259" t="s">
        <v>15</v>
      </c>
      <c r="I566" s="259">
        <f>ROUNDUP(I565,1-0)</f>
        <v>0.5</v>
      </c>
      <c r="J566" s="266" t="s">
        <v>16</v>
      </c>
    </row>
    <row r="567" spans="1:10" ht="24.95" customHeight="1">
      <c r="A567" s="575">
        <v>23.3</v>
      </c>
      <c r="B567" s="142" t="s">
        <v>824</v>
      </c>
      <c r="C567" s="585"/>
      <c r="D567" s="585"/>
      <c r="E567" s="585"/>
      <c r="F567" s="256"/>
      <c r="G567" s="256"/>
      <c r="H567" s="259"/>
      <c r="I567" s="259"/>
      <c r="J567" s="266"/>
    </row>
    <row r="568" spans="1:10" ht="24.95" customHeight="1">
      <c r="A568" s="575"/>
      <c r="B568" s="139" t="s">
        <v>825</v>
      </c>
      <c r="C568" s="585">
        <v>1</v>
      </c>
      <c r="D568" s="585"/>
      <c r="E568" s="585">
        <v>13</v>
      </c>
      <c r="F568" s="256"/>
      <c r="G568" s="256"/>
      <c r="H568" s="256"/>
      <c r="I568" s="256">
        <f>PRODUCT(C568:H568)</f>
        <v>13</v>
      </c>
      <c r="J568" s="571"/>
    </row>
    <row r="569" spans="1:10" ht="24.95" customHeight="1">
      <c r="A569" s="575"/>
      <c r="B569" s="139"/>
      <c r="C569" s="585"/>
      <c r="D569" s="585"/>
      <c r="E569" s="585"/>
      <c r="F569" s="256"/>
      <c r="G569" s="256"/>
      <c r="H569" s="259" t="s">
        <v>15</v>
      </c>
      <c r="I569" s="259">
        <f>SUM(I568)</f>
        <v>13</v>
      </c>
      <c r="J569" s="266" t="s">
        <v>522</v>
      </c>
    </row>
    <row r="570" spans="1:10" ht="24.95" customHeight="1">
      <c r="A570" s="575">
        <v>25</v>
      </c>
      <c r="B570" s="142" t="s">
        <v>826</v>
      </c>
      <c r="C570" s="585"/>
      <c r="D570" s="585"/>
      <c r="E570" s="585"/>
      <c r="F570" s="256"/>
      <c r="G570" s="256"/>
      <c r="H570" s="256"/>
      <c r="I570" s="256"/>
      <c r="J570" s="571"/>
    </row>
    <row r="571" spans="1:10" ht="24.95" customHeight="1">
      <c r="A571" s="575"/>
      <c r="B571" s="139" t="str">
        <f>B568</f>
        <v>Entrance Door &amp; Store,sot,sfo,watcroom</v>
      </c>
      <c r="C571" s="585">
        <v>14</v>
      </c>
      <c r="D571" s="585"/>
      <c r="E571" s="585">
        <v>6</v>
      </c>
      <c r="F571" s="256"/>
      <c r="G571" s="256"/>
      <c r="H571" s="256"/>
      <c r="I571" s="256">
        <f>PRODUCT(C571:H571)</f>
        <v>84</v>
      </c>
      <c r="J571" s="571"/>
    </row>
    <row r="572" spans="1:10" ht="24.95" customHeight="1">
      <c r="A572" s="575"/>
      <c r="B572" s="139"/>
      <c r="C572" s="585"/>
      <c r="D572" s="585"/>
      <c r="E572" s="585"/>
      <c r="F572" s="256"/>
      <c r="G572" s="256"/>
      <c r="H572" s="259" t="s">
        <v>203</v>
      </c>
      <c r="I572" s="259">
        <f>I571</f>
        <v>84</v>
      </c>
      <c r="J572" s="266" t="s">
        <v>522</v>
      </c>
    </row>
    <row r="573" spans="1:10" ht="24.95" customHeight="1">
      <c r="A573" s="575">
        <v>26</v>
      </c>
      <c r="B573" s="142" t="s">
        <v>827</v>
      </c>
      <c r="C573" s="585"/>
      <c r="D573" s="585"/>
      <c r="E573" s="585"/>
      <c r="F573" s="256"/>
      <c r="G573" s="256"/>
      <c r="H573" s="256"/>
      <c r="I573" s="256"/>
      <c r="J573" s="571"/>
    </row>
    <row r="574" spans="1:10" ht="24.95" customHeight="1">
      <c r="A574" s="575"/>
      <c r="B574" s="139" t="s">
        <v>653</v>
      </c>
      <c r="C574" s="585">
        <v>1</v>
      </c>
      <c r="D574" s="585" t="s">
        <v>56</v>
      </c>
      <c r="E574" s="585">
        <v>1</v>
      </c>
      <c r="F574" s="256">
        <v>3.6</v>
      </c>
      <c r="G574" s="256">
        <v>5</v>
      </c>
      <c r="H574" s="256">
        <v>0.1</v>
      </c>
      <c r="I574" s="256">
        <f t="shared" ref="I574:I588" si="36">PRODUCT(E574:H574)</f>
        <v>1.8</v>
      </c>
      <c r="J574" s="571"/>
    </row>
    <row r="575" spans="1:10" ht="24.95" customHeight="1">
      <c r="A575" s="575"/>
      <c r="B575" s="139" t="s">
        <v>654</v>
      </c>
      <c r="C575" s="585">
        <v>1</v>
      </c>
      <c r="D575" s="585" t="s">
        <v>56</v>
      </c>
      <c r="E575" s="585">
        <v>1</v>
      </c>
      <c r="F575" s="256">
        <v>3.6</v>
      </c>
      <c r="G575" s="256">
        <v>2</v>
      </c>
      <c r="H575" s="256">
        <v>0.1</v>
      </c>
      <c r="I575" s="256">
        <f t="shared" si="36"/>
        <v>0.72000000000000008</v>
      </c>
      <c r="J575" s="571"/>
    </row>
    <row r="576" spans="1:10" ht="24.95" customHeight="1">
      <c r="A576" s="575"/>
      <c r="B576" s="139" t="s">
        <v>655</v>
      </c>
      <c r="C576" s="585">
        <v>1</v>
      </c>
      <c r="D576" s="585" t="s">
        <v>56</v>
      </c>
      <c r="E576" s="585">
        <v>1</v>
      </c>
      <c r="F576" s="256">
        <v>3.6</v>
      </c>
      <c r="G576" s="256">
        <v>7.55</v>
      </c>
      <c r="H576" s="256">
        <v>0.1</v>
      </c>
      <c r="I576" s="256">
        <f t="shared" si="36"/>
        <v>2.718</v>
      </c>
      <c r="J576" s="571"/>
    </row>
    <row r="577" spans="1:11" ht="24.95" customHeight="1">
      <c r="A577" s="575"/>
      <c r="B577" s="139" t="s">
        <v>656</v>
      </c>
      <c r="C577" s="585">
        <v>1</v>
      </c>
      <c r="D577" s="585" t="s">
        <v>56</v>
      </c>
      <c r="E577" s="585">
        <v>1</v>
      </c>
      <c r="F577" s="262">
        <v>3.72</v>
      </c>
      <c r="G577" s="256">
        <v>5.94</v>
      </c>
      <c r="H577" s="256">
        <v>0.1</v>
      </c>
      <c r="I577" s="256">
        <f t="shared" si="36"/>
        <v>2.2096800000000001</v>
      </c>
      <c r="J577" s="571"/>
    </row>
    <row r="578" spans="1:11" ht="24.95" customHeight="1">
      <c r="A578" s="575"/>
      <c r="B578" s="139" t="s">
        <v>657</v>
      </c>
      <c r="C578" s="585">
        <v>1</v>
      </c>
      <c r="D578" s="585" t="s">
        <v>56</v>
      </c>
      <c r="E578" s="585">
        <v>1</v>
      </c>
      <c r="F578" s="256">
        <v>1.65</v>
      </c>
      <c r="G578" s="256">
        <v>2.66</v>
      </c>
      <c r="H578" s="256">
        <v>0.1</v>
      </c>
      <c r="I578" s="256">
        <f t="shared" si="36"/>
        <v>0.43890000000000007</v>
      </c>
      <c r="J578" s="571"/>
    </row>
    <row r="579" spans="1:11" ht="24.95" customHeight="1">
      <c r="A579" s="575"/>
      <c r="B579" s="139" t="s">
        <v>658</v>
      </c>
      <c r="C579" s="585">
        <v>1</v>
      </c>
      <c r="D579" s="585" t="s">
        <v>56</v>
      </c>
      <c r="E579" s="585">
        <v>1</v>
      </c>
      <c r="F579" s="256">
        <v>1.8</v>
      </c>
      <c r="G579" s="256">
        <v>14.04</v>
      </c>
      <c r="H579" s="256">
        <v>0.1</v>
      </c>
      <c r="I579" s="256">
        <f t="shared" si="36"/>
        <v>2.5272000000000001</v>
      </c>
      <c r="J579" s="571"/>
    </row>
    <row r="580" spans="1:11" ht="24.95" customHeight="1">
      <c r="A580" s="575"/>
      <c r="B580" s="139" t="s">
        <v>659</v>
      </c>
      <c r="C580" s="585">
        <v>1</v>
      </c>
      <c r="D580" s="585" t="s">
        <v>56</v>
      </c>
      <c r="E580" s="585">
        <v>1</v>
      </c>
      <c r="F580" s="256">
        <v>3.3</v>
      </c>
      <c r="G580" s="256">
        <v>3.3</v>
      </c>
      <c r="H580" s="256">
        <v>0.1</v>
      </c>
      <c r="I580" s="256">
        <f t="shared" si="36"/>
        <v>1.089</v>
      </c>
      <c r="J580" s="571"/>
    </row>
    <row r="581" spans="1:11" ht="24.95" customHeight="1">
      <c r="A581" s="575"/>
      <c r="B581" s="139" t="s">
        <v>660</v>
      </c>
      <c r="C581" s="585">
        <v>1</v>
      </c>
      <c r="D581" s="585" t="s">
        <v>56</v>
      </c>
      <c r="E581" s="585">
        <v>1</v>
      </c>
      <c r="F581" s="256">
        <v>4.5</v>
      </c>
      <c r="G581" s="256">
        <v>3.3</v>
      </c>
      <c r="H581" s="256">
        <v>0.1</v>
      </c>
      <c r="I581" s="256">
        <f t="shared" si="36"/>
        <v>1.4850000000000001</v>
      </c>
      <c r="J581" s="266"/>
    </row>
    <row r="582" spans="1:11" ht="24.95" customHeight="1">
      <c r="A582" s="575"/>
      <c r="B582" s="139" t="s">
        <v>661</v>
      </c>
      <c r="C582" s="585">
        <v>1</v>
      </c>
      <c r="D582" s="585" t="s">
        <v>56</v>
      </c>
      <c r="E582" s="585">
        <v>1</v>
      </c>
      <c r="F582" s="256">
        <v>6</v>
      </c>
      <c r="G582" s="256">
        <v>6</v>
      </c>
      <c r="H582" s="256">
        <v>0.1</v>
      </c>
      <c r="I582" s="256">
        <f t="shared" si="36"/>
        <v>3.6</v>
      </c>
      <c r="J582" s="571"/>
    </row>
    <row r="583" spans="1:11" ht="24.95" customHeight="1">
      <c r="A583" s="575"/>
      <c r="B583" s="139" t="s">
        <v>662</v>
      </c>
      <c r="C583" s="585">
        <v>1</v>
      </c>
      <c r="D583" s="585" t="s">
        <v>56</v>
      </c>
      <c r="E583" s="585">
        <v>1</v>
      </c>
      <c r="F583" s="256">
        <v>5.03</v>
      </c>
      <c r="G583" s="256">
        <v>2</v>
      </c>
      <c r="H583" s="256">
        <v>0.1</v>
      </c>
      <c r="I583" s="256">
        <f t="shared" si="36"/>
        <v>1.006</v>
      </c>
      <c r="J583" s="571"/>
    </row>
    <row r="584" spans="1:11" ht="24.95" customHeight="1">
      <c r="A584" s="575"/>
      <c r="B584" s="139" t="s">
        <v>663</v>
      </c>
      <c r="C584" s="585">
        <v>1</v>
      </c>
      <c r="D584" s="585" t="s">
        <v>56</v>
      </c>
      <c r="E584" s="585">
        <v>1</v>
      </c>
      <c r="F584" s="256">
        <v>1.2</v>
      </c>
      <c r="G584" s="256">
        <v>2</v>
      </c>
      <c r="H584" s="256">
        <v>0.1</v>
      </c>
      <c r="I584" s="256">
        <f t="shared" si="36"/>
        <v>0.24</v>
      </c>
      <c r="J584" s="571"/>
    </row>
    <row r="585" spans="1:11" ht="24.95" customHeight="1">
      <c r="A585" s="575"/>
      <c r="B585" s="139" t="s">
        <v>664</v>
      </c>
      <c r="C585" s="585">
        <v>1</v>
      </c>
      <c r="D585" s="585" t="s">
        <v>56</v>
      </c>
      <c r="E585" s="585">
        <v>1</v>
      </c>
      <c r="F585" s="256">
        <v>6</v>
      </c>
      <c r="G585" s="256">
        <v>8.0299999999999994</v>
      </c>
      <c r="H585" s="256">
        <v>0.1</v>
      </c>
      <c r="I585" s="256">
        <f t="shared" si="36"/>
        <v>4.8179999999999996</v>
      </c>
      <c r="J585" s="571"/>
    </row>
    <row r="586" spans="1:11" ht="24.95" customHeight="1">
      <c r="A586" s="575"/>
      <c r="B586" s="139" t="s">
        <v>665</v>
      </c>
      <c r="C586" s="585">
        <v>1</v>
      </c>
      <c r="D586" s="585" t="s">
        <v>56</v>
      </c>
      <c r="E586" s="585">
        <v>1</v>
      </c>
      <c r="F586" s="256">
        <v>10.97</v>
      </c>
      <c r="G586" s="256">
        <f>17-0.46</f>
        <v>16.54</v>
      </c>
      <c r="H586" s="256">
        <v>0.15</v>
      </c>
      <c r="I586" s="256">
        <f t="shared" si="36"/>
        <v>27.216570000000001</v>
      </c>
      <c r="J586" s="571"/>
    </row>
    <row r="587" spans="1:11" ht="24.95" customHeight="1">
      <c r="A587" s="575"/>
      <c r="B587" s="139"/>
      <c r="C587" s="585">
        <v>1</v>
      </c>
      <c r="D587" s="585" t="s">
        <v>56</v>
      </c>
      <c r="E587" s="585">
        <v>1</v>
      </c>
      <c r="F587" s="256">
        <v>11.2</v>
      </c>
      <c r="G587" s="256">
        <v>1.2</v>
      </c>
      <c r="H587" s="256">
        <v>0.15</v>
      </c>
      <c r="I587" s="256">
        <f t="shared" si="36"/>
        <v>2.016</v>
      </c>
      <c r="J587" s="571"/>
    </row>
    <row r="588" spans="1:11" ht="24.95" customHeight="1">
      <c r="A588" s="575"/>
      <c r="B588" s="139"/>
      <c r="C588" s="585">
        <v>1</v>
      </c>
      <c r="D588" s="585" t="s">
        <v>56</v>
      </c>
      <c r="E588" s="585">
        <v>1</v>
      </c>
      <c r="F588" s="256">
        <v>11.2</v>
      </c>
      <c r="G588" s="256">
        <v>5.4</v>
      </c>
      <c r="H588" s="256">
        <v>0.15</v>
      </c>
      <c r="I588" s="256">
        <f t="shared" si="36"/>
        <v>9.0719999999999992</v>
      </c>
      <c r="J588" s="571"/>
    </row>
    <row r="589" spans="1:11" ht="24.95" customHeight="1">
      <c r="A589" s="575"/>
      <c r="B589" s="139"/>
      <c r="C589" s="585"/>
      <c r="D589" s="585"/>
      <c r="E589" s="585"/>
      <c r="F589" s="256"/>
      <c r="G589" s="256"/>
      <c r="H589" s="259"/>
      <c r="I589" s="256">
        <f>SUM(I574:I588)</f>
        <v>60.95635</v>
      </c>
      <c r="J589" s="266"/>
      <c r="K589" s="570">
        <v>0.01</v>
      </c>
    </row>
    <row r="590" spans="1:11" ht="24.95" customHeight="1">
      <c r="A590" s="575"/>
      <c r="B590" s="139"/>
      <c r="C590" s="585"/>
      <c r="D590" s="585"/>
      <c r="E590" s="585"/>
      <c r="F590" s="256"/>
      <c r="G590" s="256"/>
      <c r="H590" s="259" t="s">
        <v>15</v>
      </c>
      <c r="I590" s="259">
        <f>ROUNDUP(I589,1-0)</f>
        <v>61</v>
      </c>
      <c r="J590" s="266" t="s">
        <v>16</v>
      </c>
    </row>
    <row r="591" spans="1:11" ht="36" customHeight="1">
      <c r="A591" s="575">
        <v>28</v>
      </c>
      <c r="B591" s="142" t="s">
        <v>828</v>
      </c>
      <c r="C591" s="585"/>
      <c r="D591" s="585"/>
      <c r="E591" s="585"/>
      <c r="F591" s="256"/>
      <c r="G591" s="256"/>
      <c r="H591" s="256"/>
      <c r="I591" s="256"/>
      <c r="J591" s="571"/>
    </row>
    <row r="592" spans="1:11" ht="24.95" customHeight="1">
      <c r="A592" s="575"/>
      <c r="B592" s="139" t="s">
        <v>665</v>
      </c>
      <c r="C592" s="585">
        <v>1</v>
      </c>
      <c r="D592" s="585" t="s">
        <v>56</v>
      </c>
      <c r="E592" s="585">
        <v>1</v>
      </c>
      <c r="F592" s="256">
        <v>10.97</v>
      </c>
      <c r="G592" s="256">
        <f>17-0.46</f>
        <v>16.54</v>
      </c>
      <c r="H592" s="256"/>
      <c r="I592" s="256">
        <f t="shared" ref="I592:I599" si="37">PRODUCT(C592:H592)</f>
        <v>181.44380000000001</v>
      </c>
      <c r="J592" s="571"/>
    </row>
    <row r="593" spans="1:11" ht="24.95" customHeight="1">
      <c r="A593" s="575"/>
      <c r="B593" s="139"/>
      <c r="C593" s="585">
        <v>1</v>
      </c>
      <c r="D593" s="585" t="s">
        <v>56</v>
      </c>
      <c r="E593" s="585">
        <v>1</v>
      </c>
      <c r="F593" s="256">
        <v>11.2</v>
      </c>
      <c r="G593" s="256">
        <v>1.2</v>
      </c>
      <c r="H593" s="256"/>
      <c r="I593" s="256">
        <f t="shared" si="37"/>
        <v>13.44</v>
      </c>
      <c r="J593" s="571"/>
    </row>
    <row r="594" spans="1:11" ht="24.95" customHeight="1">
      <c r="A594" s="575"/>
      <c r="B594" s="139"/>
      <c r="C594" s="585">
        <v>1</v>
      </c>
      <c r="D594" s="585" t="s">
        <v>56</v>
      </c>
      <c r="E594" s="585">
        <v>1</v>
      </c>
      <c r="F594" s="256">
        <v>11.2</v>
      </c>
      <c r="G594" s="256">
        <v>5.4</v>
      </c>
      <c r="H594" s="256"/>
      <c r="I594" s="256">
        <f t="shared" si="37"/>
        <v>60.48</v>
      </c>
      <c r="J594" s="571"/>
    </row>
    <row r="595" spans="1:11" ht="24.95" customHeight="1">
      <c r="A595" s="575"/>
      <c r="B595" s="139" t="s">
        <v>829</v>
      </c>
      <c r="C595" s="585">
        <f>C452</f>
        <v>1</v>
      </c>
      <c r="D595" s="585" t="s">
        <v>56</v>
      </c>
      <c r="E595" s="585">
        <v>1</v>
      </c>
      <c r="F595" s="256">
        <v>11.2</v>
      </c>
      <c r="G595" s="256">
        <v>5.4</v>
      </c>
      <c r="H595" s="256"/>
      <c r="I595" s="256">
        <f t="shared" si="37"/>
        <v>60.48</v>
      </c>
      <c r="J595" s="571"/>
    </row>
    <row r="596" spans="1:11" ht="24.95" customHeight="1">
      <c r="A596" s="575"/>
      <c r="B596" s="139" t="s">
        <v>830</v>
      </c>
      <c r="C596" s="585">
        <v>1</v>
      </c>
      <c r="D596" s="585" t="s">
        <v>56</v>
      </c>
      <c r="E596" s="585">
        <v>9</v>
      </c>
      <c r="F596" s="256">
        <v>0.6</v>
      </c>
      <c r="G596" s="256">
        <v>0.6</v>
      </c>
      <c r="H596" s="256"/>
      <c r="I596" s="256">
        <f t="shared" si="37"/>
        <v>3.2399999999999998</v>
      </c>
      <c r="J596" s="571"/>
    </row>
    <row r="597" spans="1:11" ht="24.95" customHeight="1">
      <c r="A597" s="575"/>
      <c r="B597" s="139" t="s">
        <v>831</v>
      </c>
      <c r="C597" s="585">
        <v>1</v>
      </c>
      <c r="D597" s="585" t="s">
        <v>56</v>
      </c>
      <c r="E597" s="585">
        <v>2</v>
      </c>
      <c r="F597" s="256">
        <v>3.65</v>
      </c>
      <c r="G597" s="256">
        <v>1.5</v>
      </c>
      <c r="H597" s="256"/>
      <c r="I597" s="256">
        <f t="shared" si="37"/>
        <v>10.95</v>
      </c>
      <c r="J597" s="571"/>
    </row>
    <row r="598" spans="1:11" ht="24.95" customHeight="1">
      <c r="A598" s="575"/>
      <c r="B598" s="139" t="s">
        <v>718</v>
      </c>
      <c r="C598" s="585">
        <v>1</v>
      </c>
      <c r="D598" s="585" t="s">
        <v>56</v>
      </c>
      <c r="E598" s="585">
        <v>46</v>
      </c>
      <c r="F598" s="256">
        <v>1.5</v>
      </c>
      <c r="G598" s="256">
        <v>0.45</v>
      </c>
      <c r="H598" s="256"/>
      <c r="I598" s="256">
        <f t="shared" si="37"/>
        <v>31.05</v>
      </c>
      <c r="J598" s="571"/>
    </row>
    <row r="599" spans="1:11" ht="24.95" customHeight="1">
      <c r="A599" s="575"/>
      <c r="B599" s="139" t="s">
        <v>832</v>
      </c>
      <c r="C599" s="585">
        <v>1</v>
      </c>
      <c r="D599" s="585" t="s">
        <v>56</v>
      </c>
      <c r="E599" s="585">
        <v>2</v>
      </c>
      <c r="F599" s="256">
        <v>3.65</v>
      </c>
      <c r="G599" s="256">
        <v>2</v>
      </c>
      <c r="H599" s="256"/>
      <c r="I599" s="256">
        <f t="shared" si="37"/>
        <v>14.6</v>
      </c>
      <c r="J599" s="571"/>
    </row>
    <row r="600" spans="1:11" ht="24.95" customHeight="1">
      <c r="A600" s="575"/>
      <c r="B600" s="139"/>
      <c r="C600" s="585"/>
      <c r="D600" s="585"/>
      <c r="E600" s="585"/>
      <c r="F600" s="256"/>
      <c r="G600" s="256"/>
      <c r="H600" s="259"/>
      <c r="I600" s="256">
        <f>SUM(I592:I599)</f>
        <v>375.68380000000002</v>
      </c>
      <c r="J600" s="266"/>
      <c r="K600" s="570">
        <v>0.04</v>
      </c>
    </row>
    <row r="601" spans="1:11" ht="24.95" customHeight="1">
      <c r="A601" s="575"/>
      <c r="B601" s="139"/>
      <c r="C601" s="585"/>
      <c r="D601" s="585"/>
      <c r="E601" s="585"/>
      <c r="F601" s="256"/>
      <c r="G601" s="256"/>
      <c r="H601" s="259" t="s">
        <v>203</v>
      </c>
      <c r="I601" s="259">
        <f>ROUNDUP(I600,1-0)</f>
        <v>375.70000000000005</v>
      </c>
      <c r="J601" s="266" t="s">
        <v>833</v>
      </c>
    </row>
    <row r="602" spans="1:11" ht="24.95" customHeight="1">
      <c r="A602" s="575">
        <v>30</v>
      </c>
      <c r="B602" s="142" t="s">
        <v>834</v>
      </c>
      <c r="C602" s="585"/>
      <c r="D602" s="585"/>
      <c r="E602" s="585"/>
      <c r="F602" s="256"/>
      <c r="G602" s="256"/>
      <c r="H602" s="259"/>
      <c r="I602" s="259"/>
      <c r="J602" s="266"/>
    </row>
    <row r="603" spans="1:11" ht="24.95" customHeight="1">
      <c r="A603" s="575"/>
      <c r="B603" s="139" t="s">
        <v>835</v>
      </c>
      <c r="C603" s="585">
        <v>1</v>
      </c>
      <c r="D603" s="585"/>
      <c r="E603" s="585">
        <v>1</v>
      </c>
      <c r="F603" s="607">
        <v>6</v>
      </c>
      <c r="G603" s="256">
        <v>8.0299999999999994</v>
      </c>
      <c r="H603" s="256"/>
      <c r="I603" s="256">
        <f>PRODUCT(C603:H603)</f>
        <v>48.179999999999993</v>
      </c>
      <c r="J603" s="266"/>
    </row>
    <row r="604" spans="1:11" ht="24.95" customHeight="1">
      <c r="A604" s="575"/>
      <c r="B604" s="139"/>
      <c r="C604" s="585"/>
      <c r="D604" s="585"/>
      <c r="E604" s="585"/>
      <c r="F604" s="262"/>
      <c r="G604" s="256"/>
      <c r="H604" s="256"/>
      <c r="I604" s="256">
        <f>SUM(I603:I603)</f>
        <v>48.179999999999993</v>
      </c>
      <c r="J604" s="266"/>
    </row>
    <row r="605" spans="1:11" ht="24.95" customHeight="1">
      <c r="A605" s="575"/>
      <c r="B605" s="139"/>
      <c r="C605" s="585"/>
      <c r="D605" s="585"/>
      <c r="E605" s="585"/>
      <c r="F605" s="262"/>
      <c r="G605" s="256"/>
      <c r="H605" s="259" t="s">
        <v>15</v>
      </c>
      <c r="I605" s="259">
        <f>ROUNDUP(I604,1-0)</f>
        <v>48.2</v>
      </c>
      <c r="J605" s="266" t="s">
        <v>37</v>
      </c>
    </row>
    <row r="606" spans="1:11" ht="24.95" customHeight="1">
      <c r="A606" s="608">
        <v>31</v>
      </c>
      <c r="B606" s="608" t="s">
        <v>836</v>
      </c>
      <c r="C606" s="609"/>
      <c r="D606" s="609"/>
      <c r="E606" s="609"/>
      <c r="F606" s="610"/>
      <c r="G606" s="611"/>
      <c r="H606" s="610"/>
      <c r="I606" s="611"/>
      <c r="J606" s="612"/>
    </row>
    <row r="607" spans="1:11" ht="24.95" customHeight="1">
      <c r="A607" s="608"/>
      <c r="B607" s="613" t="s">
        <v>837</v>
      </c>
      <c r="C607" s="609">
        <v>1</v>
      </c>
      <c r="D607" s="609" t="s">
        <v>56</v>
      </c>
      <c r="E607" s="609">
        <v>6</v>
      </c>
      <c r="F607" s="610">
        <v>1.5</v>
      </c>
      <c r="G607" s="610">
        <v>1.2</v>
      </c>
      <c r="H607" s="610">
        <v>0.3</v>
      </c>
      <c r="I607" s="610">
        <f>PRODUCT(C607:H607)</f>
        <v>3.2399999999999998</v>
      </c>
      <c r="J607" s="612"/>
    </row>
    <row r="608" spans="1:11" ht="24.95" customHeight="1">
      <c r="A608" s="608"/>
      <c r="B608" s="613" t="s">
        <v>234</v>
      </c>
      <c r="C608" s="609"/>
      <c r="D608" s="609"/>
      <c r="E608" s="609"/>
      <c r="F608" s="610"/>
      <c r="G608" s="610"/>
      <c r="H608" s="610"/>
      <c r="I608" s="610">
        <v>0.01</v>
      </c>
      <c r="J608" s="612"/>
    </row>
    <row r="609" spans="1:10" ht="24.95" customHeight="1">
      <c r="A609" s="608"/>
      <c r="B609" s="613"/>
      <c r="C609" s="609"/>
      <c r="D609" s="609"/>
      <c r="E609" s="609"/>
      <c r="F609" s="610"/>
      <c r="G609" s="610"/>
      <c r="H609" s="610"/>
      <c r="I609" s="614">
        <f>SUM(I607:I608)</f>
        <v>3.2499999999999996</v>
      </c>
      <c r="J609" s="615" t="s">
        <v>833</v>
      </c>
    </row>
    <row r="610" spans="1:10" ht="24.95" customHeight="1">
      <c r="A610" s="575"/>
      <c r="B610" s="139"/>
      <c r="C610" s="585"/>
      <c r="D610" s="585"/>
      <c r="E610" s="585"/>
      <c r="F610" s="256"/>
      <c r="G610" s="256"/>
      <c r="H610" s="259"/>
      <c r="I610" s="259"/>
      <c r="J610" s="266"/>
    </row>
    <row r="611" spans="1:10" ht="24.95" customHeight="1">
      <c r="A611" s="575">
        <v>33</v>
      </c>
      <c r="B611" s="142" t="s">
        <v>838</v>
      </c>
      <c r="C611" s="585"/>
      <c r="D611" s="585"/>
      <c r="E611" s="585"/>
      <c r="F611" s="256"/>
      <c r="G611" s="256"/>
      <c r="H611" s="256"/>
      <c r="I611" s="256"/>
      <c r="J611" s="571"/>
    </row>
    <row r="612" spans="1:10" ht="24.95" customHeight="1">
      <c r="A612" s="575"/>
      <c r="B612" s="142" t="s">
        <v>839</v>
      </c>
      <c r="C612" s="585"/>
      <c r="D612" s="585"/>
      <c r="E612" s="585"/>
      <c r="F612" s="256"/>
      <c r="G612" s="256"/>
      <c r="H612" s="256"/>
      <c r="I612" s="256"/>
      <c r="J612" s="571"/>
    </row>
    <row r="613" spans="1:10" ht="24.95" customHeight="1">
      <c r="A613" s="575"/>
      <c r="B613" s="139" t="s">
        <v>840</v>
      </c>
      <c r="C613" s="585">
        <v>1</v>
      </c>
      <c r="D613" s="585" t="s">
        <v>56</v>
      </c>
      <c r="E613" s="585">
        <v>1</v>
      </c>
      <c r="F613" s="256">
        <v>63.96</v>
      </c>
      <c r="G613" s="256"/>
      <c r="H613" s="256">
        <v>1.45</v>
      </c>
      <c r="I613" s="256">
        <f t="shared" ref="I613:I622" si="38">PRODUCT(C613:H613)</f>
        <v>92.742000000000004</v>
      </c>
      <c r="J613" s="571"/>
    </row>
    <row r="614" spans="1:10" ht="24.95" customHeight="1">
      <c r="A614" s="575"/>
      <c r="B614" s="139" t="s">
        <v>841</v>
      </c>
      <c r="C614" s="585">
        <v>1</v>
      </c>
      <c r="D614" s="585" t="s">
        <v>56</v>
      </c>
      <c r="E614" s="585">
        <v>1</v>
      </c>
      <c r="F614" s="256">
        <v>65.8</v>
      </c>
      <c r="G614" s="256"/>
      <c r="H614" s="256">
        <v>8.65</v>
      </c>
      <c r="I614" s="256">
        <f t="shared" si="38"/>
        <v>569.16999999999996</v>
      </c>
      <c r="J614" s="571"/>
    </row>
    <row r="615" spans="1:10" ht="24.95" customHeight="1">
      <c r="A615" s="575"/>
      <c r="B615" s="139" t="s">
        <v>842</v>
      </c>
      <c r="C615" s="585">
        <v>1</v>
      </c>
      <c r="D615" s="585" t="s">
        <v>56</v>
      </c>
      <c r="E615" s="585">
        <v>2</v>
      </c>
      <c r="F615" s="256">
        <v>65.8</v>
      </c>
      <c r="G615" s="256"/>
      <c r="H615" s="256">
        <v>1.2</v>
      </c>
      <c r="I615" s="256">
        <f t="shared" si="38"/>
        <v>157.91999999999999</v>
      </c>
      <c r="J615" s="571"/>
    </row>
    <row r="616" spans="1:10" ht="24.95" customHeight="1">
      <c r="A616" s="575"/>
      <c r="B616" s="139" t="s">
        <v>843</v>
      </c>
      <c r="C616" s="585">
        <v>1</v>
      </c>
      <c r="D616" s="585" t="s">
        <v>56</v>
      </c>
      <c r="E616" s="585">
        <v>1</v>
      </c>
      <c r="F616" s="256">
        <v>64.88</v>
      </c>
      <c r="G616" s="256"/>
      <c r="H616" s="256">
        <v>0.23</v>
      </c>
      <c r="I616" s="256">
        <f t="shared" si="38"/>
        <v>14.9224</v>
      </c>
      <c r="J616" s="571"/>
    </row>
    <row r="617" spans="1:10" ht="24.95" customHeight="1">
      <c r="A617" s="575"/>
      <c r="B617" s="139" t="s">
        <v>844</v>
      </c>
      <c r="C617" s="585">
        <v>1</v>
      </c>
      <c r="D617" s="585" t="s">
        <v>56</v>
      </c>
      <c r="E617" s="585">
        <v>1</v>
      </c>
      <c r="F617" s="256">
        <v>44.3</v>
      </c>
      <c r="G617" s="256"/>
      <c r="H617" s="256">
        <v>1.2</v>
      </c>
      <c r="I617" s="256">
        <f t="shared" si="38"/>
        <v>53.16</v>
      </c>
      <c r="J617" s="571"/>
    </row>
    <row r="618" spans="1:10" ht="24.95" customHeight="1">
      <c r="A618" s="575"/>
      <c r="B618" s="139" t="s">
        <v>843</v>
      </c>
      <c r="C618" s="585">
        <v>1</v>
      </c>
      <c r="D618" s="585" t="s">
        <v>56</v>
      </c>
      <c r="E618" s="585">
        <v>1</v>
      </c>
      <c r="F618" s="256">
        <v>43.38</v>
      </c>
      <c r="G618" s="256"/>
      <c r="H618" s="256">
        <v>0.23</v>
      </c>
      <c r="I618" s="256">
        <f t="shared" si="38"/>
        <v>9.9774000000000012</v>
      </c>
      <c r="J618" s="571"/>
    </row>
    <row r="619" spans="1:10" ht="24.95" customHeight="1">
      <c r="A619" s="575"/>
      <c r="B619" s="139" t="s">
        <v>845</v>
      </c>
      <c r="C619" s="585">
        <v>1</v>
      </c>
      <c r="D619" s="585" t="s">
        <v>56</v>
      </c>
      <c r="E619" s="585">
        <v>1</v>
      </c>
      <c r="F619" s="256">
        <v>42.46</v>
      </c>
      <c r="G619" s="256"/>
      <c r="H619" s="256">
        <v>1.2</v>
      </c>
      <c r="I619" s="256">
        <f t="shared" si="38"/>
        <v>50.951999999999998</v>
      </c>
      <c r="J619" s="571"/>
    </row>
    <row r="620" spans="1:10" ht="24.95" customHeight="1">
      <c r="A620" s="575"/>
      <c r="B620" s="139" t="s">
        <v>846</v>
      </c>
      <c r="C620" s="585">
        <v>1</v>
      </c>
      <c r="D620" s="585" t="s">
        <v>56</v>
      </c>
      <c r="E620" s="585">
        <v>1</v>
      </c>
      <c r="F620" s="256">
        <v>22.74</v>
      </c>
      <c r="G620" s="256"/>
      <c r="H620" s="256">
        <v>4.05</v>
      </c>
      <c r="I620" s="256">
        <f t="shared" si="38"/>
        <v>92.096999999999994</v>
      </c>
      <c r="J620" s="571"/>
    </row>
    <row r="621" spans="1:10" ht="24.95" customHeight="1">
      <c r="A621" s="575"/>
      <c r="B621" s="139" t="s">
        <v>843</v>
      </c>
      <c r="C621" s="585">
        <v>1</v>
      </c>
      <c r="D621" s="585" t="s">
        <v>56</v>
      </c>
      <c r="E621" s="585">
        <v>1</v>
      </c>
      <c r="F621" s="256">
        <v>21.82</v>
      </c>
      <c r="G621" s="256"/>
      <c r="H621" s="256">
        <v>0.23</v>
      </c>
      <c r="I621" s="256">
        <f t="shared" si="38"/>
        <v>5.0186000000000002</v>
      </c>
      <c r="J621" s="571"/>
    </row>
    <row r="622" spans="1:10" ht="24.95" customHeight="1">
      <c r="A622" s="575"/>
      <c r="B622" s="139" t="s">
        <v>845</v>
      </c>
      <c r="C622" s="585">
        <v>1</v>
      </c>
      <c r="D622" s="585" t="s">
        <v>56</v>
      </c>
      <c r="E622" s="585">
        <v>1</v>
      </c>
      <c r="F622" s="256">
        <v>20.9</v>
      </c>
      <c r="G622" s="256"/>
      <c r="H622" s="256">
        <v>0.45</v>
      </c>
      <c r="I622" s="256">
        <f t="shared" si="38"/>
        <v>9.4049999999999994</v>
      </c>
      <c r="J622" s="571"/>
    </row>
    <row r="623" spans="1:10" ht="24.95" customHeight="1">
      <c r="A623" s="575"/>
      <c r="B623" s="142" t="s">
        <v>847</v>
      </c>
      <c r="C623" s="585"/>
      <c r="D623" s="585"/>
      <c r="E623" s="585"/>
      <c r="F623" s="256"/>
      <c r="G623" s="256"/>
      <c r="H623" s="256"/>
      <c r="I623" s="256"/>
      <c r="J623" s="571"/>
    </row>
    <row r="624" spans="1:10" ht="24.95" customHeight="1">
      <c r="A624" s="575"/>
      <c r="B624" s="139" t="s">
        <v>848</v>
      </c>
      <c r="C624" s="585">
        <v>-1</v>
      </c>
      <c r="D624" s="585" t="s">
        <v>56</v>
      </c>
      <c r="E624" s="585">
        <v>1</v>
      </c>
      <c r="F624" s="256">
        <v>1.2</v>
      </c>
      <c r="G624" s="256"/>
      <c r="H624" s="256">
        <v>2.4</v>
      </c>
      <c r="I624" s="256">
        <f t="shared" ref="I624:I634" si="39">PRODUCT(C624:H624)</f>
        <v>-2.88</v>
      </c>
      <c r="J624" s="571"/>
    </row>
    <row r="625" spans="1:10" ht="24.95" customHeight="1">
      <c r="A625" s="575"/>
      <c r="B625" s="139" t="s">
        <v>849</v>
      </c>
      <c r="C625" s="585">
        <v>-1</v>
      </c>
      <c r="D625" s="585" t="s">
        <v>56</v>
      </c>
      <c r="E625" s="585">
        <v>2</v>
      </c>
      <c r="F625" s="256">
        <v>0.8</v>
      </c>
      <c r="G625" s="256"/>
      <c r="H625" s="256">
        <v>2.1</v>
      </c>
      <c r="I625" s="256">
        <f t="shared" si="39"/>
        <v>-3.3600000000000003</v>
      </c>
      <c r="J625" s="571"/>
    </row>
    <row r="626" spans="1:10" ht="24.95" customHeight="1">
      <c r="A626" s="575"/>
      <c r="B626" s="139" t="s">
        <v>850</v>
      </c>
      <c r="C626" s="585">
        <v>-1</v>
      </c>
      <c r="D626" s="585" t="s">
        <v>56</v>
      </c>
      <c r="E626" s="585">
        <v>2</v>
      </c>
      <c r="F626" s="256">
        <v>1.8</v>
      </c>
      <c r="G626" s="256"/>
      <c r="H626" s="256">
        <v>0.6</v>
      </c>
      <c r="I626" s="256">
        <f t="shared" si="39"/>
        <v>-2.16</v>
      </c>
      <c r="J626" s="571"/>
    </row>
    <row r="627" spans="1:10" ht="24.95" customHeight="1">
      <c r="A627" s="575"/>
      <c r="B627" s="139" t="s">
        <v>117</v>
      </c>
      <c r="C627" s="585">
        <v>-2</v>
      </c>
      <c r="D627" s="585" t="s">
        <v>56</v>
      </c>
      <c r="E627" s="585">
        <v>1</v>
      </c>
      <c r="F627" s="256">
        <v>1.8</v>
      </c>
      <c r="G627" s="256"/>
      <c r="H627" s="256">
        <v>1.65</v>
      </c>
      <c r="I627" s="256">
        <f t="shared" si="39"/>
        <v>-5.9399999999999995</v>
      </c>
      <c r="J627" s="571"/>
    </row>
    <row r="628" spans="1:10" ht="24.95" customHeight="1">
      <c r="A628" s="575"/>
      <c r="B628" s="139" t="s">
        <v>122</v>
      </c>
      <c r="C628" s="585">
        <v>-1</v>
      </c>
      <c r="D628" s="585" t="s">
        <v>56</v>
      </c>
      <c r="E628" s="585">
        <v>8</v>
      </c>
      <c r="F628" s="256">
        <v>1.5</v>
      </c>
      <c r="G628" s="256"/>
      <c r="H628" s="256">
        <v>1.65</v>
      </c>
      <c r="I628" s="256">
        <f t="shared" si="39"/>
        <v>-19.799999999999997</v>
      </c>
      <c r="J628" s="571"/>
    </row>
    <row r="629" spans="1:10" ht="24.95" customHeight="1">
      <c r="A629" s="575"/>
      <c r="B629" s="139" t="s">
        <v>851</v>
      </c>
      <c r="C629" s="585">
        <v>-1</v>
      </c>
      <c r="D629" s="585" t="s">
        <v>56</v>
      </c>
      <c r="E629" s="585">
        <v>8</v>
      </c>
      <c r="F629" s="256">
        <v>0.9</v>
      </c>
      <c r="G629" s="256"/>
      <c r="H629" s="256">
        <v>1.65</v>
      </c>
      <c r="I629" s="256">
        <f t="shared" si="39"/>
        <v>-11.879999999999999</v>
      </c>
      <c r="J629" s="571"/>
    </row>
    <row r="630" spans="1:10" ht="24.95" customHeight="1">
      <c r="A630" s="575"/>
      <c r="B630" s="139" t="s">
        <v>852</v>
      </c>
      <c r="C630" s="585">
        <v>-1</v>
      </c>
      <c r="D630" s="585" t="s">
        <v>56</v>
      </c>
      <c r="E630" s="585">
        <v>4</v>
      </c>
      <c r="F630" s="256">
        <v>1.2</v>
      </c>
      <c r="G630" s="256"/>
      <c r="H630" s="256">
        <v>1.65</v>
      </c>
      <c r="I630" s="256">
        <f t="shared" si="39"/>
        <v>-7.919999999999999</v>
      </c>
      <c r="J630" s="571"/>
    </row>
    <row r="631" spans="1:10" ht="24.95" customHeight="1">
      <c r="A631" s="575"/>
      <c r="B631" s="139" t="s">
        <v>853</v>
      </c>
      <c r="C631" s="585">
        <v>-1</v>
      </c>
      <c r="D631" s="585" t="s">
        <v>56</v>
      </c>
      <c r="E631" s="585">
        <v>13</v>
      </c>
      <c r="F631" s="256">
        <v>0.9</v>
      </c>
      <c r="G631" s="256"/>
      <c r="H631" s="256">
        <v>0.9</v>
      </c>
      <c r="I631" s="256">
        <f t="shared" si="39"/>
        <v>-10.530000000000001</v>
      </c>
      <c r="J631" s="571"/>
    </row>
    <row r="632" spans="1:10" ht="24.95" customHeight="1">
      <c r="A632" s="575"/>
      <c r="B632" s="139" t="s">
        <v>854</v>
      </c>
      <c r="C632" s="585">
        <v>-2</v>
      </c>
      <c r="D632" s="585" t="s">
        <v>56</v>
      </c>
      <c r="E632" s="585">
        <v>2</v>
      </c>
      <c r="F632" s="256">
        <v>0.9</v>
      </c>
      <c r="G632" s="256"/>
      <c r="H632" s="256">
        <v>0.9</v>
      </c>
      <c r="I632" s="256">
        <f t="shared" si="39"/>
        <v>-3.24</v>
      </c>
      <c r="J632" s="571"/>
    </row>
    <row r="633" spans="1:10" ht="24.95" customHeight="1">
      <c r="A633" s="575"/>
      <c r="B633" s="139" t="s">
        <v>850</v>
      </c>
      <c r="C633" s="585">
        <v>-2</v>
      </c>
      <c r="D633" s="585" t="s">
        <v>56</v>
      </c>
      <c r="E633" s="585">
        <v>2</v>
      </c>
      <c r="F633" s="256">
        <v>0.9</v>
      </c>
      <c r="G633" s="256"/>
      <c r="H633" s="256">
        <v>0.9</v>
      </c>
      <c r="I633" s="256">
        <f t="shared" si="39"/>
        <v>-3.24</v>
      </c>
      <c r="J633" s="571"/>
    </row>
    <row r="634" spans="1:10" ht="24.95" customHeight="1">
      <c r="A634" s="575"/>
      <c r="B634" s="139" t="s">
        <v>855</v>
      </c>
      <c r="C634" s="585">
        <v>-1</v>
      </c>
      <c r="D634" s="585" t="s">
        <v>56</v>
      </c>
      <c r="E634" s="585">
        <v>1</v>
      </c>
      <c r="F634" s="256">
        <v>0.9</v>
      </c>
      <c r="G634" s="256"/>
      <c r="H634" s="256">
        <v>2.1</v>
      </c>
      <c r="I634" s="256">
        <f t="shared" si="39"/>
        <v>-1.8900000000000001</v>
      </c>
      <c r="J634" s="571"/>
    </row>
    <row r="635" spans="1:10" ht="24.75" customHeight="1">
      <c r="A635" s="575"/>
      <c r="B635" s="142" t="s">
        <v>856</v>
      </c>
      <c r="C635" s="585"/>
      <c r="D635" s="585"/>
      <c r="E635" s="585"/>
      <c r="F635" s="256"/>
      <c r="G635" s="256"/>
      <c r="H635" s="256"/>
      <c r="I635" s="256"/>
      <c r="J635" s="571"/>
    </row>
    <row r="636" spans="1:10" ht="24.75" customHeight="1">
      <c r="A636" s="575"/>
      <c r="B636" s="139" t="s">
        <v>849</v>
      </c>
      <c r="C636" s="585">
        <v>1</v>
      </c>
      <c r="D636" s="585" t="s">
        <v>56</v>
      </c>
      <c r="E636" s="585">
        <v>2</v>
      </c>
      <c r="F636" s="256">
        <v>5.8</v>
      </c>
      <c r="G636" s="256"/>
      <c r="H636" s="256">
        <v>0.18</v>
      </c>
      <c r="I636" s="256">
        <f t="shared" ref="I636:I646" si="40">PRODUCT(C636:H636)</f>
        <v>2.0880000000000001</v>
      </c>
      <c r="J636" s="571"/>
    </row>
    <row r="637" spans="1:10" ht="24.75" customHeight="1">
      <c r="A637" s="575"/>
      <c r="B637" s="139" t="s">
        <v>850</v>
      </c>
      <c r="C637" s="585">
        <v>1</v>
      </c>
      <c r="D637" s="585" t="s">
        <v>56</v>
      </c>
      <c r="E637" s="585">
        <v>2</v>
      </c>
      <c r="F637" s="256">
        <v>4.8</v>
      </c>
      <c r="G637" s="256"/>
      <c r="H637" s="256">
        <v>0.18</v>
      </c>
      <c r="I637" s="256">
        <f t="shared" si="40"/>
        <v>1.728</v>
      </c>
      <c r="J637" s="571"/>
    </row>
    <row r="638" spans="1:10" ht="24.75" customHeight="1">
      <c r="A638" s="575"/>
      <c r="B638" s="139" t="s">
        <v>117</v>
      </c>
      <c r="C638" s="585">
        <v>2</v>
      </c>
      <c r="D638" s="585" t="s">
        <v>56</v>
      </c>
      <c r="E638" s="585">
        <v>1</v>
      </c>
      <c r="F638" s="256">
        <v>6.9</v>
      </c>
      <c r="G638" s="256"/>
      <c r="H638" s="256">
        <v>0.18</v>
      </c>
      <c r="I638" s="256">
        <f t="shared" si="40"/>
        <v>2.484</v>
      </c>
      <c r="J638" s="571"/>
    </row>
    <row r="639" spans="1:10" ht="24.75" customHeight="1">
      <c r="A639" s="575"/>
      <c r="B639" s="139" t="s">
        <v>122</v>
      </c>
      <c r="C639" s="585">
        <v>1</v>
      </c>
      <c r="D639" s="585" t="s">
        <v>56</v>
      </c>
      <c r="E639" s="585">
        <v>8</v>
      </c>
      <c r="F639" s="256">
        <v>6.3</v>
      </c>
      <c r="G639" s="256"/>
      <c r="H639" s="256">
        <v>0.18</v>
      </c>
      <c r="I639" s="256">
        <f t="shared" si="40"/>
        <v>9.0719999999999992</v>
      </c>
      <c r="J639" s="571"/>
    </row>
    <row r="640" spans="1:10" ht="24.75" customHeight="1">
      <c r="A640" s="575"/>
      <c r="B640" s="139" t="s">
        <v>851</v>
      </c>
      <c r="C640" s="585">
        <v>1</v>
      </c>
      <c r="D640" s="585" t="s">
        <v>56</v>
      </c>
      <c r="E640" s="585">
        <v>8</v>
      </c>
      <c r="F640" s="256">
        <v>5.0999999999999996</v>
      </c>
      <c r="G640" s="256"/>
      <c r="H640" s="256">
        <v>0.18</v>
      </c>
      <c r="I640" s="256">
        <f t="shared" si="40"/>
        <v>7.3439999999999994</v>
      </c>
      <c r="J640" s="571"/>
    </row>
    <row r="641" spans="1:11" ht="24.75" customHeight="1">
      <c r="A641" s="575"/>
      <c r="B641" s="139" t="s">
        <v>852</v>
      </c>
      <c r="C641" s="585">
        <v>1</v>
      </c>
      <c r="D641" s="585" t="s">
        <v>56</v>
      </c>
      <c r="E641" s="585">
        <v>4</v>
      </c>
      <c r="F641" s="256">
        <v>5.7</v>
      </c>
      <c r="G641" s="256"/>
      <c r="H641" s="256">
        <v>0.18</v>
      </c>
      <c r="I641" s="256">
        <f t="shared" si="40"/>
        <v>4.1040000000000001</v>
      </c>
      <c r="J641" s="571"/>
    </row>
    <row r="642" spans="1:11" ht="24.75" customHeight="1">
      <c r="A642" s="575"/>
      <c r="B642" s="139" t="s">
        <v>853</v>
      </c>
      <c r="C642" s="585">
        <v>1</v>
      </c>
      <c r="D642" s="585" t="s">
        <v>56</v>
      </c>
      <c r="E642" s="585">
        <v>13</v>
      </c>
      <c r="F642" s="256">
        <v>3.6</v>
      </c>
      <c r="G642" s="256"/>
      <c r="H642" s="256">
        <v>0.18</v>
      </c>
      <c r="I642" s="256">
        <f t="shared" si="40"/>
        <v>8.4240000000000013</v>
      </c>
      <c r="J642" s="571"/>
    </row>
    <row r="643" spans="1:11" ht="24.75" customHeight="1">
      <c r="A643" s="575"/>
      <c r="B643" s="139" t="s">
        <v>854</v>
      </c>
      <c r="C643" s="585">
        <v>2</v>
      </c>
      <c r="D643" s="585" t="s">
        <v>56</v>
      </c>
      <c r="E643" s="585">
        <v>2</v>
      </c>
      <c r="F643" s="256">
        <v>3.6</v>
      </c>
      <c r="G643" s="256"/>
      <c r="H643" s="256">
        <v>0.18</v>
      </c>
      <c r="I643" s="256">
        <f t="shared" si="40"/>
        <v>2.5920000000000001</v>
      </c>
      <c r="J643" s="571"/>
    </row>
    <row r="644" spans="1:11" ht="24.75" customHeight="1">
      <c r="A644" s="575"/>
      <c r="B644" s="139" t="s">
        <v>850</v>
      </c>
      <c r="C644" s="585">
        <v>2</v>
      </c>
      <c r="D644" s="585" t="s">
        <v>56</v>
      </c>
      <c r="E644" s="585">
        <v>2</v>
      </c>
      <c r="F644" s="256">
        <v>3.6</v>
      </c>
      <c r="G644" s="256"/>
      <c r="H644" s="256">
        <v>0.18</v>
      </c>
      <c r="I644" s="256">
        <f t="shared" si="40"/>
        <v>2.5920000000000001</v>
      </c>
      <c r="J644" s="571"/>
    </row>
    <row r="645" spans="1:11" ht="24.75" customHeight="1">
      <c r="A645" s="575"/>
      <c r="B645" s="139" t="s">
        <v>855</v>
      </c>
      <c r="C645" s="585">
        <v>1</v>
      </c>
      <c r="D645" s="585" t="s">
        <v>56</v>
      </c>
      <c r="E645" s="585">
        <v>1</v>
      </c>
      <c r="F645" s="256">
        <v>6</v>
      </c>
      <c r="G645" s="256"/>
      <c r="H645" s="256">
        <v>0.18</v>
      </c>
      <c r="I645" s="256">
        <f t="shared" si="40"/>
        <v>1.08</v>
      </c>
      <c r="J645" s="571"/>
    </row>
    <row r="646" spans="1:11" ht="24.75" customHeight="1">
      <c r="A646" s="575"/>
      <c r="B646" s="139" t="s">
        <v>857</v>
      </c>
      <c r="C646" s="585">
        <v>1</v>
      </c>
      <c r="D646" s="585" t="s">
        <v>56</v>
      </c>
      <c r="E646" s="585">
        <v>1</v>
      </c>
      <c r="F646" s="256">
        <v>16.2</v>
      </c>
      <c r="G646" s="256"/>
      <c r="H646" s="256">
        <v>7.05</v>
      </c>
      <c r="I646" s="256">
        <f t="shared" si="40"/>
        <v>114.21</v>
      </c>
      <c r="J646" s="571"/>
    </row>
    <row r="647" spans="1:11" ht="24.75" customHeight="1">
      <c r="A647" s="575"/>
      <c r="B647" s="221" t="s">
        <v>780</v>
      </c>
      <c r="C647" s="223"/>
      <c r="D647" s="217"/>
      <c r="E647" s="223"/>
      <c r="F647" s="218"/>
      <c r="G647" s="218"/>
      <c r="H647" s="218"/>
      <c r="I647" s="218"/>
      <c r="J647" s="571"/>
    </row>
    <row r="648" spans="1:11" ht="24.75" customHeight="1">
      <c r="A648" s="575"/>
      <c r="B648" s="220" t="s">
        <v>858</v>
      </c>
      <c r="C648" s="223">
        <v>1</v>
      </c>
      <c r="D648" s="217" t="s">
        <v>56</v>
      </c>
      <c r="E648" s="223">
        <v>2</v>
      </c>
      <c r="F648" s="218">
        <v>12.92</v>
      </c>
      <c r="G648" s="218"/>
      <c r="H648" s="218">
        <v>1</v>
      </c>
      <c r="I648" s="218">
        <f t="shared" ref="I648" si="41">PRODUCT(C648:H648)</f>
        <v>25.84</v>
      </c>
      <c r="J648" s="571"/>
    </row>
    <row r="649" spans="1:11" ht="24.75" customHeight="1">
      <c r="A649" s="575"/>
      <c r="B649" s="142"/>
      <c r="C649" s="585"/>
      <c r="D649" s="585"/>
      <c r="E649" s="585"/>
      <c r="F649" s="256"/>
      <c r="G649" s="256"/>
      <c r="H649" s="259"/>
      <c r="I649" s="256">
        <f>SUM(I613:I648)</f>
        <v>1164.0823999999998</v>
      </c>
      <c r="J649" s="266"/>
      <c r="K649" s="570">
        <v>0.17</v>
      </c>
    </row>
    <row r="650" spans="1:11" ht="24.75" customHeight="1">
      <c r="A650" s="575"/>
      <c r="B650" s="142"/>
      <c r="C650" s="585"/>
      <c r="D650" s="585"/>
      <c r="E650" s="585"/>
      <c r="F650" s="256"/>
      <c r="G650" s="256"/>
      <c r="H650" s="259" t="s">
        <v>15</v>
      </c>
      <c r="I650" s="259">
        <f>ROUNDUP(I649,1-0)</f>
        <v>1164.0999999999999</v>
      </c>
      <c r="J650" s="266" t="s">
        <v>37</v>
      </c>
    </row>
    <row r="651" spans="1:11" ht="24.95" customHeight="1">
      <c r="A651" s="575"/>
      <c r="B651" s="142" t="s">
        <v>859</v>
      </c>
      <c r="C651" s="585"/>
      <c r="D651" s="585"/>
      <c r="E651" s="585"/>
      <c r="F651" s="256"/>
      <c r="G651" s="256"/>
      <c r="H651" s="256"/>
      <c r="I651" s="256"/>
      <c r="J651" s="571"/>
    </row>
    <row r="652" spans="1:11" ht="24.95" customHeight="1">
      <c r="A652" s="575"/>
      <c r="B652" s="142" t="s">
        <v>813</v>
      </c>
      <c r="C652" s="585"/>
      <c r="D652" s="585"/>
      <c r="E652" s="585"/>
      <c r="F652" s="256"/>
      <c r="G652" s="256"/>
      <c r="H652" s="256"/>
      <c r="I652" s="256"/>
      <c r="J652" s="571"/>
    </row>
    <row r="653" spans="1:11" ht="24.95" customHeight="1">
      <c r="A653" s="575"/>
      <c r="B653" s="139" t="s">
        <v>702</v>
      </c>
      <c r="C653" s="585">
        <v>1</v>
      </c>
      <c r="D653" s="585" t="s">
        <v>56</v>
      </c>
      <c r="E653" s="585">
        <v>1</v>
      </c>
      <c r="F653" s="256">
        <v>15.6</v>
      </c>
      <c r="G653" s="256"/>
      <c r="H653" s="256">
        <v>3.48</v>
      </c>
      <c r="I653" s="256">
        <f t="shared" ref="I653:I689" si="42">PRODUCT(C653:H653)</f>
        <v>54.287999999999997</v>
      </c>
      <c r="J653" s="571"/>
    </row>
    <row r="654" spans="1:11" ht="24.95" customHeight="1">
      <c r="A654" s="575"/>
      <c r="B654" s="139" t="s">
        <v>659</v>
      </c>
      <c r="C654" s="585">
        <v>1</v>
      </c>
      <c r="D654" s="585" t="s">
        <v>56</v>
      </c>
      <c r="E654" s="585">
        <v>1</v>
      </c>
      <c r="F654" s="256">
        <v>13.2</v>
      </c>
      <c r="G654" s="256"/>
      <c r="H654" s="256">
        <v>3.48</v>
      </c>
      <c r="I654" s="256">
        <f t="shared" si="42"/>
        <v>45.936</v>
      </c>
      <c r="J654" s="571"/>
    </row>
    <row r="655" spans="1:11" ht="24.95" customHeight="1">
      <c r="A655" s="575"/>
      <c r="B655" s="139" t="s">
        <v>860</v>
      </c>
      <c r="C655" s="585">
        <v>-1</v>
      </c>
      <c r="D655" s="585" t="s">
        <v>56</v>
      </c>
      <c r="E655" s="585">
        <v>1</v>
      </c>
      <c r="F655" s="256">
        <v>1.8</v>
      </c>
      <c r="G655" s="256"/>
      <c r="H655" s="256">
        <v>3.48</v>
      </c>
      <c r="I655" s="256">
        <f t="shared" si="42"/>
        <v>-6.2640000000000002</v>
      </c>
      <c r="J655" s="571"/>
    </row>
    <row r="656" spans="1:11" ht="24.95" customHeight="1">
      <c r="A656" s="575"/>
      <c r="B656" s="139" t="s">
        <v>653</v>
      </c>
      <c r="C656" s="585">
        <v>1</v>
      </c>
      <c r="D656" s="585" t="s">
        <v>56</v>
      </c>
      <c r="E656" s="585">
        <v>1</v>
      </c>
      <c r="F656" s="256">
        <v>13.55</v>
      </c>
      <c r="G656" s="256"/>
      <c r="H656" s="256">
        <v>3.48</v>
      </c>
      <c r="I656" s="256">
        <f t="shared" si="42"/>
        <v>47.154000000000003</v>
      </c>
      <c r="J656" s="571"/>
    </row>
    <row r="657" spans="1:10" ht="24.95" customHeight="1">
      <c r="A657" s="575"/>
      <c r="B657" s="139" t="s">
        <v>861</v>
      </c>
      <c r="C657" s="585">
        <v>1</v>
      </c>
      <c r="D657" s="585" t="s">
        <v>56</v>
      </c>
      <c r="E657" s="585">
        <v>1</v>
      </c>
      <c r="F657" s="256">
        <v>7.6</v>
      </c>
      <c r="G657" s="256"/>
      <c r="H657" s="256">
        <v>3.48</v>
      </c>
      <c r="I657" s="256">
        <f t="shared" si="42"/>
        <v>26.448</v>
      </c>
      <c r="J657" s="571"/>
    </row>
    <row r="658" spans="1:10" ht="24.95" customHeight="1">
      <c r="A658" s="575"/>
      <c r="B658" s="139" t="s">
        <v>661</v>
      </c>
      <c r="C658" s="585">
        <v>1</v>
      </c>
      <c r="D658" s="585" t="s">
        <v>56</v>
      </c>
      <c r="E658" s="585">
        <v>1</v>
      </c>
      <c r="F658" s="256">
        <v>24</v>
      </c>
      <c r="G658" s="256"/>
      <c r="H658" s="256">
        <v>3.48</v>
      </c>
      <c r="I658" s="256">
        <f t="shared" si="42"/>
        <v>83.52</v>
      </c>
      <c r="J658" s="571"/>
    </row>
    <row r="659" spans="1:10" ht="24.95" customHeight="1">
      <c r="A659" s="575"/>
      <c r="B659" s="139" t="s">
        <v>862</v>
      </c>
      <c r="C659" s="585">
        <v>1</v>
      </c>
      <c r="D659" s="585" t="s">
        <v>56</v>
      </c>
      <c r="E659" s="585">
        <v>1</v>
      </c>
      <c r="F659" s="256">
        <v>7.8</v>
      </c>
      <c r="G659" s="256"/>
      <c r="H659" s="256">
        <v>3.48</v>
      </c>
      <c r="I659" s="256">
        <f t="shared" si="42"/>
        <v>27.143999999999998</v>
      </c>
      <c r="J659" s="571"/>
    </row>
    <row r="660" spans="1:10" ht="24.95" customHeight="1">
      <c r="A660" s="575"/>
      <c r="B660" s="139" t="s">
        <v>863</v>
      </c>
      <c r="C660" s="585">
        <v>1</v>
      </c>
      <c r="D660" s="585" t="s">
        <v>56</v>
      </c>
      <c r="E660" s="585">
        <v>1</v>
      </c>
      <c r="F660" s="256">
        <v>29.88</v>
      </c>
      <c r="G660" s="256"/>
      <c r="H660" s="256">
        <v>3.48</v>
      </c>
      <c r="I660" s="256">
        <f t="shared" si="42"/>
        <v>103.9824</v>
      </c>
      <c r="J660" s="571"/>
    </row>
    <row r="661" spans="1:10" ht="24.95" customHeight="1">
      <c r="A661" s="575"/>
      <c r="B661" s="139" t="s">
        <v>864</v>
      </c>
      <c r="C661" s="585">
        <v>1</v>
      </c>
      <c r="D661" s="585" t="s">
        <v>56</v>
      </c>
      <c r="E661" s="585">
        <v>1</v>
      </c>
      <c r="F661" s="256">
        <v>12.06</v>
      </c>
      <c r="G661" s="256"/>
      <c r="H661" s="256">
        <v>3.48</v>
      </c>
      <c r="I661" s="256">
        <f t="shared" si="42"/>
        <v>41.968800000000002</v>
      </c>
      <c r="J661" s="571"/>
    </row>
    <row r="662" spans="1:10" ht="24.95" customHeight="1">
      <c r="A662" s="575"/>
      <c r="B662" s="139" t="s">
        <v>865</v>
      </c>
      <c r="C662" s="585">
        <v>1</v>
      </c>
      <c r="D662" s="585" t="s">
        <v>56</v>
      </c>
      <c r="E662" s="585">
        <v>1</v>
      </c>
      <c r="F662" s="256">
        <v>4.4000000000000004</v>
      </c>
      <c r="G662" s="256"/>
      <c r="H662" s="256">
        <v>3.48</v>
      </c>
      <c r="I662" s="256">
        <f t="shared" si="42"/>
        <v>15.312000000000001</v>
      </c>
      <c r="J662" s="571"/>
    </row>
    <row r="663" spans="1:10" ht="24.95" customHeight="1">
      <c r="A663" s="575"/>
      <c r="B663" s="139" t="s">
        <v>866</v>
      </c>
      <c r="C663" s="585">
        <v>1</v>
      </c>
      <c r="D663" s="585" t="s">
        <v>56</v>
      </c>
      <c r="E663" s="585">
        <v>1</v>
      </c>
      <c r="F663" s="256">
        <v>28.06</v>
      </c>
      <c r="G663" s="256"/>
      <c r="H663" s="256">
        <v>3.48</v>
      </c>
      <c r="I663" s="256">
        <f t="shared" si="42"/>
        <v>97.648799999999994</v>
      </c>
      <c r="J663" s="571"/>
    </row>
    <row r="664" spans="1:10" ht="24.95" customHeight="1">
      <c r="A664" s="575"/>
      <c r="B664" s="139" t="s">
        <v>867</v>
      </c>
      <c r="C664" s="585">
        <v>1</v>
      </c>
      <c r="D664" s="585" t="s">
        <v>56</v>
      </c>
      <c r="E664" s="585">
        <v>1</v>
      </c>
      <c r="F664" s="256">
        <v>22.3</v>
      </c>
      <c r="G664" s="256"/>
      <c r="H664" s="256">
        <v>3.48</v>
      </c>
      <c r="I664" s="256">
        <f t="shared" si="42"/>
        <v>77.603999999999999</v>
      </c>
      <c r="J664" s="571"/>
    </row>
    <row r="665" spans="1:10" ht="24.95" customHeight="1">
      <c r="A665" s="575"/>
      <c r="B665" s="139" t="s">
        <v>868</v>
      </c>
      <c r="C665" s="585">
        <v>1</v>
      </c>
      <c r="D665" s="585" t="s">
        <v>56</v>
      </c>
      <c r="E665" s="585">
        <v>1</v>
      </c>
      <c r="F665" s="256">
        <v>10.51</v>
      </c>
      <c r="G665" s="256"/>
      <c r="H665" s="256">
        <v>3.48</v>
      </c>
      <c r="I665" s="256">
        <f t="shared" si="42"/>
        <v>36.574799999999996</v>
      </c>
      <c r="J665" s="571"/>
    </row>
    <row r="666" spans="1:10" ht="24.95" customHeight="1">
      <c r="A666" s="575"/>
      <c r="B666" s="139" t="s">
        <v>869</v>
      </c>
      <c r="C666" s="585">
        <v>1</v>
      </c>
      <c r="D666" s="585" t="s">
        <v>56</v>
      </c>
      <c r="E666" s="585">
        <v>2</v>
      </c>
      <c r="F666" s="256">
        <v>0.75</v>
      </c>
      <c r="G666" s="256"/>
      <c r="H666" s="256">
        <v>1</v>
      </c>
      <c r="I666" s="256">
        <f t="shared" si="42"/>
        <v>1.5</v>
      </c>
      <c r="J666" s="571"/>
    </row>
    <row r="667" spans="1:10" ht="24.95" customHeight="1">
      <c r="A667" s="575"/>
      <c r="B667" s="139" t="s">
        <v>870</v>
      </c>
      <c r="C667" s="585">
        <v>1</v>
      </c>
      <c r="D667" s="585" t="s">
        <v>56</v>
      </c>
      <c r="E667" s="585">
        <v>1</v>
      </c>
      <c r="F667" s="256">
        <v>5.7</v>
      </c>
      <c r="G667" s="256"/>
      <c r="H667" s="256">
        <v>3.48</v>
      </c>
      <c r="I667" s="256">
        <f t="shared" si="42"/>
        <v>19.836000000000002</v>
      </c>
      <c r="J667" s="571"/>
    </row>
    <row r="668" spans="1:10" ht="24.95" customHeight="1">
      <c r="A668" s="575"/>
      <c r="B668" s="139" t="s">
        <v>871</v>
      </c>
      <c r="C668" s="585">
        <v>1</v>
      </c>
      <c r="D668" s="585" t="s">
        <v>56</v>
      </c>
      <c r="E668" s="585">
        <v>1</v>
      </c>
      <c r="F668" s="256">
        <v>6.16</v>
      </c>
      <c r="G668" s="256"/>
      <c r="H668" s="256">
        <v>3.48</v>
      </c>
      <c r="I668" s="256">
        <f t="shared" si="42"/>
        <v>21.436800000000002</v>
      </c>
      <c r="J668" s="571"/>
    </row>
    <row r="669" spans="1:10" ht="24.95" customHeight="1">
      <c r="A669" s="575"/>
      <c r="B669" s="139" t="s">
        <v>872</v>
      </c>
      <c r="C669" s="585">
        <v>1</v>
      </c>
      <c r="D669" s="585" t="s">
        <v>56</v>
      </c>
      <c r="E669" s="585">
        <v>1</v>
      </c>
      <c r="F669" s="256">
        <v>9.82</v>
      </c>
      <c r="G669" s="256"/>
      <c r="H669" s="256">
        <v>3.48</v>
      </c>
      <c r="I669" s="256">
        <f t="shared" si="42"/>
        <v>34.1736</v>
      </c>
      <c r="J669" s="571"/>
    </row>
    <row r="670" spans="1:10" ht="24.95" customHeight="1">
      <c r="A670" s="575"/>
      <c r="B670" s="139" t="s">
        <v>797</v>
      </c>
      <c r="C670" s="585">
        <v>1</v>
      </c>
      <c r="D670" s="585" t="s">
        <v>56</v>
      </c>
      <c r="E670" s="585">
        <v>2</v>
      </c>
      <c r="F670" s="256">
        <v>0.9</v>
      </c>
      <c r="G670" s="256"/>
      <c r="H670" s="256">
        <v>2.1</v>
      </c>
      <c r="I670" s="256">
        <f t="shared" si="42"/>
        <v>3.7800000000000002</v>
      </c>
      <c r="J670" s="571"/>
    </row>
    <row r="671" spans="1:10" ht="24.95" customHeight="1">
      <c r="A671" s="575"/>
      <c r="B671" s="139" t="s">
        <v>873</v>
      </c>
      <c r="C671" s="585">
        <v>1</v>
      </c>
      <c r="D671" s="585" t="s">
        <v>56</v>
      </c>
      <c r="E671" s="585">
        <v>2</v>
      </c>
      <c r="F671" s="256">
        <v>6</v>
      </c>
      <c r="G671" s="256"/>
      <c r="H671" s="256">
        <v>3.48</v>
      </c>
      <c r="I671" s="256">
        <f t="shared" si="42"/>
        <v>41.76</v>
      </c>
      <c r="J671" s="571"/>
    </row>
    <row r="672" spans="1:10" ht="24.95" customHeight="1">
      <c r="A672" s="575"/>
      <c r="B672" s="139" t="s">
        <v>874</v>
      </c>
      <c r="C672" s="585">
        <v>1</v>
      </c>
      <c r="D672" s="585" t="s">
        <v>56</v>
      </c>
      <c r="E672" s="585">
        <v>2</v>
      </c>
      <c r="F672" s="256">
        <v>5.7</v>
      </c>
      <c r="G672" s="256"/>
      <c r="H672" s="256">
        <v>3.48</v>
      </c>
      <c r="I672" s="256">
        <f t="shared" si="42"/>
        <v>39.672000000000004</v>
      </c>
      <c r="J672" s="571"/>
    </row>
    <row r="673" spans="1:10" ht="24.95" customHeight="1">
      <c r="A673" s="575"/>
      <c r="B673" s="142" t="s">
        <v>817</v>
      </c>
      <c r="C673" s="585"/>
      <c r="D673" s="585"/>
      <c r="E673" s="585"/>
      <c r="F673" s="256"/>
      <c r="G673" s="256"/>
      <c r="H673" s="256"/>
      <c r="I673" s="256"/>
      <c r="J673" s="571"/>
    </row>
    <row r="674" spans="1:10" ht="24.95" customHeight="1">
      <c r="A674" s="575"/>
      <c r="B674" s="139" t="s">
        <v>867</v>
      </c>
      <c r="C674" s="585">
        <v>1</v>
      </c>
      <c r="D674" s="585" t="s">
        <v>56</v>
      </c>
      <c r="E674" s="585">
        <v>1</v>
      </c>
      <c r="F674" s="256">
        <v>22.3</v>
      </c>
      <c r="G674" s="256"/>
      <c r="H674" s="256">
        <v>3.48</v>
      </c>
      <c r="I674" s="256">
        <f t="shared" ref="I674" si="43">PRODUCT(C674:H674)</f>
        <v>77.603999999999999</v>
      </c>
      <c r="J674" s="571"/>
    </row>
    <row r="675" spans="1:10" ht="24.95" customHeight="1">
      <c r="A675" s="575"/>
      <c r="B675" s="139" t="s">
        <v>875</v>
      </c>
      <c r="C675" s="585">
        <v>1</v>
      </c>
      <c r="D675" s="585" t="s">
        <v>56</v>
      </c>
      <c r="E675" s="585">
        <v>1</v>
      </c>
      <c r="F675" s="256">
        <v>19.54</v>
      </c>
      <c r="G675" s="256"/>
      <c r="H675" s="256">
        <v>3.48</v>
      </c>
      <c r="I675" s="256">
        <f>PRODUCT(C675:H675)</f>
        <v>67.999200000000002</v>
      </c>
      <c r="J675" s="571"/>
    </row>
    <row r="676" spans="1:10" ht="24.95" customHeight="1">
      <c r="A676" s="575"/>
      <c r="B676" s="139" t="s">
        <v>876</v>
      </c>
      <c r="C676" s="585">
        <v>1</v>
      </c>
      <c r="D676" s="585" t="s">
        <v>56</v>
      </c>
      <c r="E676" s="585">
        <v>2</v>
      </c>
      <c r="F676" s="256">
        <v>6</v>
      </c>
      <c r="G676" s="256"/>
      <c r="H676" s="256">
        <v>1.2</v>
      </c>
      <c r="I676" s="256">
        <f t="shared" si="42"/>
        <v>14.399999999999999</v>
      </c>
      <c r="J676" s="571"/>
    </row>
    <row r="677" spans="1:10" ht="24.95" customHeight="1">
      <c r="A677" s="575"/>
      <c r="B677" s="139" t="s">
        <v>877</v>
      </c>
      <c r="C677" s="585">
        <v>1</v>
      </c>
      <c r="D677" s="585" t="s">
        <v>56</v>
      </c>
      <c r="E677" s="585">
        <v>1</v>
      </c>
      <c r="F677" s="256">
        <v>22.66</v>
      </c>
      <c r="G677" s="256"/>
      <c r="H677" s="256">
        <v>3.48</v>
      </c>
      <c r="I677" s="256">
        <f>PRODUCT(C677:H677)</f>
        <v>78.856800000000007</v>
      </c>
      <c r="J677" s="571"/>
    </row>
    <row r="678" spans="1:10" ht="24.95" customHeight="1">
      <c r="A678" s="575"/>
      <c r="B678" s="139" t="s">
        <v>878</v>
      </c>
      <c r="C678" s="585">
        <v>1</v>
      </c>
      <c r="D678" s="585" t="s">
        <v>56</v>
      </c>
      <c r="E678" s="585">
        <v>1</v>
      </c>
      <c r="F678" s="256">
        <v>32.72</v>
      </c>
      <c r="G678" s="256"/>
      <c r="H678" s="256">
        <v>3.48</v>
      </c>
      <c r="I678" s="256">
        <f>PRODUCT(C678:H678)</f>
        <v>113.8656</v>
      </c>
      <c r="J678" s="571"/>
    </row>
    <row r="679" spans="1:10" ht="24.95" customHeight="1">
      <c r="A679" s="575"/>
      <c r="B679" s="139" t="s">
        <v>879</v>
      </c>
      <c r="C679" s="585">
        <v>1</v>
      </c>
      <c r="D679" s="585" t="s">
        <v>56</v>
      </c>
      <c r="E679" s="585">
        <v>1</v>
      </c>
      <c r="F679" s="256">
        <v>24</v>
      </c>
      <c r="G679" s="256"/>
      <c r="H679" s="256">
        <v>3.48</v>
      </c>
      <c r="I679" s="256">
        <f t="shared" si="42"/>
        <v>83.52</v>
      </c>
      <c r="J679" s="571"/>
    </row>
    <row r="680" spans="1:10" ht="24.95" customHeight="1">
      <c r="A680" s="575"/>
      <c r="B680" s="139" t="s">
        <v>880</v>
      </c>
      <c r="C680" s="585">
        <v>1</v>
      </c>
      <c r="D680" s="585" t="s">
        <v>56</v>
      </c>
      <c r="E680" s="585">
        <v>1</v>
      </c>
      <c r="F680" s="256">
        <v>27.34</v>
      </c>
      <c r="G680" s="256"/>
      <c r="H680" s="256">
        <v>3.48</v>
      </c>
      <c r="I680" s="256">
        <f t="shared" si="42"/>
        <v>95.143199999999993</v>
      </c>
      <c r="J680" s="571"/>
    </row>
    <row r="681" spans="1:10" ht="24.95" customHeight="1">
      <c r="A681" s="575"/>
      <c r="B681" s="139" t="s">
        <v>868</v>
      </c>
      <c r="C681" s="585">
        <v>1</v>
      </c>
      <c r="D681" s="585" t="s">
        <v>56</v>
      </c>
      <c r="E681" s="585">
        <v>1</v>
      </c>
      <c r="F681" s="256">
        <v>5.56</v>
      </c>
      <c r="G681" s="256"/>
      <c r="H681" s="256">
        <v>3.48</v>
      </c>
      <c r="I681" s="256">
        <f t="shared" si="42"/>
        <v>19.348799999999997</v>
      </c>
      <c r="J681" s="571"/>
    </row>
    <row r="682" spans="1:10" ht="24.95" customHeight="1">
      <c r="A682" s="575"/>
      <c r="B682" s="616" t="s">
        <v>869</v>
      </c>
      <c r="C682" s="585">
        <v>1</v>
      </c>
      <c r="D682" s="585" t="s">
        <v>56</v>
      </c>
      <c r="E682" s="585">
        <v>2</v>
      </c>
      <c r="F682" s="256">
        <v>0.75</v>
      </c>
      <c r="G682" s="256"/>
      <c r="H682" s="256">
        <v>1</v>
      </c>
      <c r="I682" s="256">
        <f t="shared" si="42"/>
        <v>1.5</v>
      </c>
      <c r="J682" s="571"/>
    </row>
    <row r="683" spans="1:10" ht="24.95" customHeight="1">
      <c r="A683" s="575"/>
      <c r="B683" s="139" t="s">
        <v>881</v>
      </c>
      <c r="C683" s="585">
        <v>1</v>
      </c>
      <c r="D683" s="585" t="s">
        <v>56</v>
      </c>
      <c r="E683" s="585">
        <v>1</v>
      </c>
      <c r="F683" s="256">
        <v>6.16</v>
      </c>
      <c r="G683" s="256"/>
      <c r="H683" s="256">
        <v>3.48</v>
      </c>
      <c r="I683" s="256">
        <f t="shared" si="42"/>
        <v>21.436800000000002</v>
      </c>
      <c r="J683" s="571"/>
    </row>
    <row r="684" spans="1:10" ht="24.95" customHeight="1">
      <c r="A684" s="575"/>
      <c r="B684" s="139" t="s">
        <v>882</v>
      </c>
      <c r="C684" s="585">
        <v>1</v>
      </c>
      <c r="D684" s="585" t="s">
        <v>56</v>
      </c>
      <c r="E684" s="585">
        <v>1</v>
      </c>
      <c r="F684" s="256">
        <v>12.98</v>
      </c>
      <c r="G684" s="256"/>
      <c r="H684" s="256">
        <v>3.48</v>
      </c>
      <c r="I684" s="256">
        <f t="shared" si="42"/>
        <v>45.170400000000001</v>
      </c>
      <c r="J684" s="571"/>
    </row>
    <row r="685" spans="1:10" ht="24.95" customHeight="1">
      <c r="A685" s="575"/>
      <c r="B685" s="139" t="s">
        <v>797</v>
      </c>
      <c r="C685" s="585">
        <v>1</v>
      </c>
      <c r="D685" s="585" t="s">
        <v>56</v>
      </c>
      <c r="E685" s="585">
        <v>2</v>
      </c>
      <c r="F685" s="256">
        <v>0.9</v>
      </c>
      <c r="G685" s="256"/>
      <c r="H685" s="256">
        <v>2.1</v>
      </c>
      <c r="I685" s="256">
        <f t="shared" si="42"/>
        <v>3.7800000000000002</v>
      </c>
      <c r="J685" s="571"/>
    </row>
    <row r="686" spans="1:10" ht="24.95" customHeight="1">
      <c r="A686" s="575"/>
      <c r="B686" s="139" t="s">
        <v>883</v>
      </c>
      <c r="C686" s="585">
        <v>1</v>
      </c>
      <c r="D686" s="585" t="s">
        <v>56</v>
      </c>
      <c r="E686" s="585">
        <v>2</v>
      </c>
      <c r="F686" s="256">
        <v>6</v>
      </c>
      <c r="G686" s="256"/>
      <c r="H686" s="256">
        <v>3.48</v>
      </c>
      <c r="I686" s="256">
        <f t="shared" si="42"/>
        <v>41.76</v>
      </c>
      <c r="J686" s="571"/>
    </row>
    <row r="687" spans="1:10" ht="24.95" customHeight="1">
      <c r="A687" s="575"/>
      <c r="B687" s="139" t="s">
        <v>884</v>
      </c>
      <c r="C687" s="585">
        <v>1</v>
      </c>
      <c r="D687" s="585" t="s">
        <v>56</v>
      </c>
      <c r="E687" s="585">
        <v>3</v>
      </c>
      <c r="F687" s="256">
        <v>5.7</v>
      </c>
      <c r="G687" s="256"/>
      <c r="H687" s="256">
        <v>3.48</v>
      </c>
      <c r="I687" s="256">
        <f t="shared" si="42"/>
        <v>59.508000000000003</v>
      </c>
      <c r="J687" s="571"/>
    </row>
    <row r="688" spans="1:10" ht="24.95" customHeight="1">
      <c r="A688" s="575"/>
      <c r="B688" s="139" t="s">
        <v>885</v>
      </c>
      <c r="C688" s="585">
        <v>1</v>
      </c>
      <c r="D688" s="585" t="s">
        <v>56</v>
      </c>
      <c r="E688" s="585">
        <v>1</v>
      </c>
      <c r="F688" s="256">
        <v>16.2</v>
      </c>
      <c r="G688" s="256"/>
      <c r="H688" s="256">
        <v>6.75</v>
      </c>
      <c r="I688" s="256">
        <f t="shared" si="42"/>
        <v>109.35</v>
      </c>
      <c r="J688" s="571"/>
    </row>
    <row r="689" spans="1:10" ht="24.95" customHeight="1">
      <c r="A689" s="575"/>
      <c r="B689" s="139" t="s">
        <v>679</v>
      </c>
      <c r="C689" s="585">
        <v>1</v>
      </c>
      <c r="D689" s="585" t="s">
        <v>56</v>
      </c>
      <c r="E689" s="585">
        <v>8</v>
      </c>
      <c r="F689" s="256">
        <v>1.52</v>
      </c>
      <c r="G689" s="256"/>
      <c r="H689" s="256">
        <v>6.75</v>
      </c>
      <c r="I689" s="256">
        <f t="shared" si="42"/>
        <v>82.08</v>
      </c>
      <c r="J689" s="571"/>
    </row>
    <row r="690" spans="1:10" ht="24.95" customHeight="1">
      <c r="A690" s="575"/>
      <c r="B690" s="142" t="s">
        <v>886</v>
      </c>
      <c r="C690" s="585"/>
      <c r="D690" s="585"/>
      <c r="E690" s="585"/>
      <c r="F690" s="256"/>
      <c r="G690" s="256"/>
      <c r="H690" s="256"/>
      <c r="I690" s="256"/>
      <c r="J690" s="571"/>
    </row>
    <row r="691" spans="1:10" ht="24.95" customHeight="1">
      <c r="A691" s="575"/>
      <c r="B691" s="139" t="s">
        <v>702</v>
      </c>
      <c r="C691" s="585">
        <v>2</v>
      </c>
      <c r="D691" s="585" t="s">
        <v>56</v>
      </c>
      <c r="E691" s="585">
        <v>3</v>
      </c>
      <c r="F691" s="256">
        <v>0.45</v>
      </c>
      <c r="G691" s="256"/>
      <c r="H691" s="256">
        <v>2.4</v>
      </c>
      <c r="I691" s="256">
        <f t="shared" ref="I691:I696" si="44">PRODUCT(C691:H691)</f>
        <v>6.48</v>
      </c>
      <c r="J691" s="266"/>
    </row>
    <row r="692" spans="1:10" ht="24.95" customHeight="1">
      <c r="A692" s="575"/>
      <c r="B692" s="139" t="s">
        <v>802</v>
      </c>
      <c r="C692" s="585">
        <v>2</v>
      </c>
      <c r="D692" s="585" t="s">
        <v>56</v>
      </c>
      <c r="E692" s="585">
        <v>5</v>
      </c>
      <c r="F692" s="256">
        <v>0.6</v>
      </c>
      <c r="G692" s="256"/>
      <c r="H692" s="256">
        <v>2.4</v>
      </c>
      <c r="I692" s="256">
        <f t="shared" si="44"/>
        <v>14.399999999999999</v>
      </c>
      <c r="J692" s="571"/>
    </row>
    <row r="693" spans="1:10" ht="24.95" customHeight="1">
      <c r="A693" s="575"/>
      <c r="B693" s="139" t="s">
        <v>485</v>
      </c>
      <c r="C693" s="585">
        <v>2</v>
      </c>
      <c r="D693" s="585" t="s">
        <v>56</v>
      </c>
      <c r="E693" s="585">
        <v>18</v>
      </c>
      <c r="F693" s="256">
        <v>0.6</v>
      </c>
      <c r="G693" s="256"/>
      <c r="H693" s="256">
        <v>2.4</v>
      </c>
      <c r="I693" s="256">
        <f t="shared" si="44"/>
        <v>51.839999999999996</v>
      </c>
      <c r="J693" s="571"/>
    </row>
    <row r="694" spans="1:10" ht="24.95" customHeight="1">
      <c r="A694" s="575"/>
      <c r="B694" s="139" t="s">
        <v>485</v>
      </c>
      <c r="C694" s="585">
        <v>2</v>
      </c>
      <c r="D694" s="585" t="s">
        <v>56</v>
      </c>
      <c r="E694" s="585">
        <v>2</v>
      </c>
      <c r="F694" s="256">
        <v>0.6</v>
      </c>
      <c r="G694" s="256"/>
      <c r="H694" s="256">
        <v>2.4</v>
      </c>
      <c r="I694" s="256">
        <f t="shared" si="44"/>
        <v>5.76</v>
      </c>
      <c r="J694" s="571"/>
    </row>
    <row r="695" spans="1:10" ht="24.95" customHeight="1">
      <c r="A695" s="575"/>
      <c r="B695" s="139" t="s">
        <v>804</v>
      </c>
      <c r="C695" s="585">
        <v>2</v>
      </c>
      <c r="D695" s="585" t="s">
        <v>56</v>
      </c>
      <c r="E695" s="585">
        <v>3</v>
      </c>
      <c r="F695" s="256">
        <v>0.6</v>
      </c>
      <c r="G695" s="256"/>
      <c r="H695" s="256">
        <v>2.4</v>
      </c>
      <c r="I695" s="256">
        <f t="shared" si="44"/>
        <v>8.6399999999999988</v>
      </c>
      <c r="J695" s="571"/>
    </row>
    <row r="696" spans="1:10" ht="24.95" customHeight="1">
      <c r="A696" s="575"/>
      <c r="B696" s="139" t="s">
        <v>805</v>
      </c>
      <c r="C696" s="585">
        <v>6</v>
      </c>
      <c r="D696" s="585" t="s">
        <v>56</v>
      </c>
      <c r="E696" s="585">
        <v>5</v>
      </c>
      <c r="F696" s="256">
        <v>0.6</v>
      </c>
      <c r="G696" s="256"/>
      <c r="H696" s="256">
        <v>2.4</v>
      </c>
      <c r="I696" s="256">
        <f t="shared" si="44"/>
        <v>43.199999999999996</v>
      </c>
      <c r="J696" s="571"/>
    </row>
    <row r="697" spans="1:10" ht="24.75" customHeight="1">
      <c r="A697" s="575"/>
      <c r="B697" s="142" t="s">
        <v>847</v>
      </c>
      <c r="C697" s="585"/>
      <c r="D697" s="585"/>
      <c r="E697" s="585"/>
      <c r="F697" s="256"/>
      <c r="G697" s="256"/>
      <c r="H697" s="256"/>
      <c r="I697" s="256"/>
      <c r="J697" s="571"/>
    </row>
    <row r="698" spans="1:10" ht="24.75" customHeight="1">
      <c r="A698" s="575"/>
      <c r="B698" s="139" t="s">
        <v>887</v>
      </c>
      <c r="C698" s="585">
        <v>-1</v>
      </c>
      <c r="D698" s="585" t="s">
        <v>56</v>
      </c>
      <c r="E698" s="585">
        <v>1</v>
      </c>
      <c r="F698" s="256">
        <v>1.8</v>
      </c>
      <c r="G698" s="256"/>
      <c r="H698" s="256">
        <v>2.4</v>
      </c>
      <c r="I698" s="256">
        <f t="shared" ref="I698:I725" si="45">PRODUCT(C698:H698)</f>
        <v>-4.32</v>
      </c>
      <c r="J698" s="571"/>
    </row>
    <row r="699" spans="1:10" ht="24.75" customHeight="1">
      <c r="A699" s="575"/>
      <c r="B699" s="139" t="s">
        <v>888</v>
      </c>
      <c r="C699" s="585">
        <v>-1</v>
      </c>
      <c r="D699" s="585" t="s">
        <v>56</v>
      </c>
      <c r="E699" s="585">
        <v>1</v>
      </c>
      <c r="F699" s="256">
        <v>0.75</v>
      </c>
      <c r="G699" s="256"/>
      <c r="H699" s="256">
        <v>2.1</v>
      </c>
      <c r="I699" s="256">
        <f t="shared" si="45"/>
        <v>-1.5750000000000002</v>
      </c>
      <c r="J699" s="571"/>
    </row>
    <row r="700" spans="1:10" ht="24.75" customHeight="1">
      <c r="A700" s="575"/>
      <c r="B700" s="139" t="s">
        <v>849</v>
      </c>
      <c r="C700" s="585">
        <v>-1</v>
      </c>
      <c r="D700" s="585" t="s">
        <v>56</v>
      </c>
      <c r="E700" s="585">
        <v>2</v>
      </c>
      <c r="F700" s="256">
        <v>0.8</v>
      </c>
      <c r="G700" s="256"/>
      <c r="H700" s="256">
        <v>2.4</v>
      </c>
      <c r="I700" s="256">
        <f t="shared" si="45"/>
        <v>-3.84</v>
      </c>
      <c r="J700" s="571"/>
    </row>
    <row r="701" spans="1:10" ht="24.75" customHeight="1">
      <c r="A701" s="575"/>
      <c r="B701" s="139" t="s">
        <v>850</v>
      </c>
      <c r="C701" s="585">
        <v>-1</v>
      </c>
      <c r="D701" s="585" t="s">
        <v>56</v>
      </c>
      <c r="E701" s="585">
        <v>2</v>
      </c>
      <c r="F701" s="256">
        <v>1.8</v>
      </c>
      <c r="G701" s="256"/>
      <c r="H701" s="256">
        <v>0.6</v>
      </c>
      <c r="I701" s="256">
        <f t="shared" si="45"/>
        <v>-2.16</v>
      </c>
      <c r="J701" s="571"/>
    </row>
    <row r="702" spans="1:10" ht="24.75" customHeight="1">
      <c r="A702" s="575"/>
      <c r="B702" s="139" t="s">
        <v>889</v>
      </c>
      <c r="C702" s="585">
        <v>-1</v>
      </c>
      <c r="D702" s="585" t="s">
        <v>56</v>
      </c>
      <c r="E702" s="585">
        <v>2</v>
      </c>
      <c r="F702" s="256">
        <v>0.75</v>
      </c>
      <c r="G702" s="256"/>
      <c r="H702" s="256">
        <v>2.4</v>
      </c>
      <c r="I702" s="256">
        <f t="shared" si="45"/>
        <v>-3.5999999999999996</v>
      </c>
      <c r="J702" s="571"/>
    </row>
    <row r="703" spans="1:10" ht="24.75" customHeight="1">
      <c r="A703" s="575"/>
      <c r="B703" s="139" t="s">
        <v>76</v>
      </c>
      <c r="C703" s="585">
        <v>-1</v>
      </c>
      <c r="D703" s="585" t="s">
        <v>56</v>
      </c>
      <c r="E703" s="585">
        <v>1</v>
      </c>
      <c r="F703" s="256">
        <v>1</v>
      </c>
      <c r="G703" s="256"/>
      <c r="H703" s="256">
        <v>2.4</v>
      </c>
      <c r="I703" s="256">
        <f t="shared" si="45"/>
        <v>-2.4</v>
      </c>
      <c r="J703" s="571"/>
    </row>
    <row r="704" spans="1:10" ht="24.75" customHeight="1">
      <c r="A704" s="575"/>
      <c r="B704" s="139" t="s">
        <v>850</v>
      </c>
      <c r="C704" s="585">
        <v>-1</v>
      </c>
      <c r="D704" s="585" t="s">
        <v>56</v>
      </c>
      <c r="E704" s="585">
        <v>2</v>
      </c>
      <c r="F704" s="256">
        <v>1.2</v>
      </c>
      <c r="G704" s="256"/>
      <c r="H704" s="256">
        <v>0.6</v>
      </c>
      <c r="I704" s="256">
        <f t="shared" si="45"/>
        <v>-1.44</v>
      </c>
      <c r="J704" s="571"/>
    </row>
    <row r="705" spans="1:10" ht="24.75" customHeight="1">
      <c r="A705" s="575"/>
      <c r="B705" s="139" t="s">
        <v>850</v>
      </c>
      <c r="C705" s="585">
        <v>-1</v>
      </c>
      <c r="D705" s="585" t="s">
        <v>56</v>
      </c>
      <c r="E705" s="585">
        <v>1</v>
      </c>
      <c r="F705" s="256">
        <v>1.8</v>
      </c>
      <c r="G705" s="256"/>
      <c r="H705" s="256">
        <v>0.6</v>
      </c>
      <c r="I705" s="256">
        <f t="shared" si="45"/>
        <v>-1.08</v>
      </c>
      <c r="J705" s="571"/>
    </row>
    <row r="706" spans="1:10" ht="24.75" customHeight="1">
      <c r="A706" s="575"/>
      <c r="B706" s="139" t="s">
        <v>848</v>
      </c>
      <c r="C706" s="585">
        <v>-1</v>
      </c>
      <c r="D706" s="585" t="s">
        <v>56</v>
      </c>
      <c r="E706" s="585">
        <v>3</v>
      </c>
      <c r="F706" s="256">
        <v>1.2</v>
      </c>
      <c r="G706" s="256"/>
      <c r="H706" s="256">
        <v>2.4</v>
      </c>
      <c r="I706" s="256">
        <f t="shared" si="45"/>
        <v>-8.6399999999999988</v>
      </c>
      <c r="J706" s="571"/>
    </row>
    <row r="707" spans="1:10" ht="24.75" customHeight="1">
      <c r="A707" s="575"/>
      <c r="B707" s="139" t="s">
        <v>850</v>
      </c>
      <c r="C707" s="585">
        <v>-1</v>
      </c>
      <c r="D707" s="585" t="s">
        <v>56</v>
      </c>
      <c r="E707" s="585">
        <v>3</v>
      </c>
      <c r="F707" s="256">
        <v>1.2</v>
      </c>
      <c r="G707" s="256"/>
      <c r="H707" s="256">
        <v>0.6</v>
      </c>
      <c r="I707" s="256">
        <f t="shared" si="45"/>
        <v>-2.1599999999999997</v>
      </c>
      <c r="J707" s="571"/>
    </row>
    <row r="708" spans="1:10" ht="24.75" customHeight="1">
      <c r="A708" s="575"/>
      <c r="B708" s="139" t="s">
        <v>890</v>
      </c>
      <c r="C708" s="585">
        <v>-1</v>
      </c>
      <c r="D708" s="585" t="s">
        <v>56</v>
      </c>
      <c r="E708" s="585">
        <v>1</v>
      </c>
      <c r="F708" s="256">
        <v>1.2</v>
      </c>
      <c r="G708" s="256"/>
      <c r="H708" s="256">
        <v>2.4</v>
      </c>
      <c r="I708" s="256">
        <f t="shared" si="45"/>
        <v>-2.88</v>
      </c>
      <c r="J708" s="571"/>
    </row>
    <row r="709" spans="1:10" ht="24.75" customHeight="1">
      <c r="A709" s="575"/>
      <c r="B709" s="139" t="s">
        <v>850</v>
      </c>
      <c r="C709" s="585">
        <v>-1</v>
      </c>
      <c r="D709" s="585" t="s">
        <v>56</v>
      </c>
      <c r="E709" s="585">
        <v>1</v>
      </c>
      <c r="F709" s="256">
        <v>2.1</v>
      </c>
      <c r="G709" s="256"/>
      <c r="H709" s="256">
        <v>0.6</v>
      </c>
      <c r="I709" s="256">
        <f t="shared" si="45"/>
        <v>-1.26</v>
      </c>
      <c r="J709" s="571"/>
    </row>
    <row r="710" spans="1:10" ht="24.75" customHeight="1">
      <c r="A710" s="575"/>
      <c r="B710" s="139" t="s">
        <v>891</v>
      </c>
      <c r="C710" s="585">
        <v>-1</v>
      </c>
      <c r="D710" s="585" t="s">
        <v>56</v>
      </c>
      <c r="E710" s="585">
        <v>2</v>
      </c>
      <c r="F710" s="256">
        <v>1.8</v>
      </c>
      <c r="G710" s="256"/>
      <c r="H710" s="256">
        <v>2.4</v>
      </c>
      <c r="I710" s="256">
        <f t="shared" si="45"/>
        <v>-8.64</v>
      </c>
      <c r="J710" s="571"/>
    </row>
    <row r="711" spans="1:10" ht="24.75" customHeight="1">
      <c r="A711" s="575"/>
      <c r="B711" s="139" t="s">
        <v>850</v>
      </c>
      <c r="C711" s="585">
        <v>-1</v>
      </c>
      <c r="D711" s="585" t="s">
        <v>56</v>
      </c>
      <c r="E711" s="585">
        <v>2</v>
      </c>
      <c r="F711" s="256">
        <v>1.8</v>
      </c>
      <c r="G711" s="256"/>
      <c r="H711" s="256">
        <v>0.6</v>
      </c>
      <c r="I711" s="256">
        <f t="shared" si="45"/>
        <v>-2.16</v>
      </c>
      <c r="J711" s="571"/>
    </row>
    <row r="712" spans="1:10" ht="24.75" customHeight="1">
      <c r="A712" s="575"/>
      <c r="B712" s="139" t="s">
        <v>892</v>
      </c>
      <c r="C712" s="585">
        <v>-1</v>
      </c>
      <c r="D712" s="585" t="s">
        <v>56</v>
      </c>
      <c r="E712" s="585">
        <v>4</v>
      </c>
      <c r="F712" s="256">
        <v>0.9</v>
      </c>
      <c r="G712" s="256"/>
      <c r="H712" s="256">
        <v>2.4</v>
      </c>
      <c r="I712" s="256">
        <f t="shared" si="45"/>
        <v>-8.64</v>
      </c>
      <c r="J712" s="571"/>
    </row>
    <row r="713" spans="1:10" ht="24.75" customHeight="1">
      <c r="A713" s="575"/>
      <c r="B713" s="139" t="s">
        <v>889</v>
      </c>
      <c r="C713" s="585">
        <v>-1</v>
      </c>
      <c r="D713" s="585" t="s">
        <v>56</v>
      </c>
      <c r="E713" s="585">
        <v>7</v>
      </c>
      <c r="F713" s="256">
        <v>1.2</v>
      </c>
      <c r="G713" s="256"/>
      <c r="H713" s="256">
        <v>2.4</v>
      </c>
      <c r="I713" s="256">
        <f t="shared" si="45"/>
        <v>-20.16</v>
      </c>
      <c r="J713" s="571"/>
    </row>
    <row r="714" spans="1:10" ht="24.75" customHeight="1">
      <c r="A714" s="575"/>
      <c r="B714" s="139" t="s">
        <v>850</v>
      </c>
      <c r="C714" s="585">
        <v>-1</v>
      </c>
      <c r="D714" s="585" t="s">
        <v>56</v>
      </c>
      <c r="E714" s="585">
        <v>7</v>
      </c>
      <c r="F714" s="256">
        <v>1.2</v>
      </c>
      <c r="G714" s="256"/>
      <c r="H714" s="256">
        <v>0.6</v>
      </c>
      <c r="I714" s="256">
        <f t="shared" si="45"/>
        <v>-5.04</v>
      </c>
      <c r="J714" s="571"/>
    </row>
    <row r="715" spans="1:10" ht="24.75" customHeight="1">
      <c r="A715" s="575"/>
      <c r="B715" s="139" t="s">
        <v>849</v>
      </c>
      <c r="C715" s="585">
        <v>-1</v>
      </c>
      <c r="D715" s="585" t="s">
        <v>56</v>
      </c>
      <c r="E715" s="585">
        <v>2</v>
      </c>
      <c r="F715" s="256">
        <v>0.75</v>
      </c>
      <c r="G715" s="256"/>
      <c r="H715" s="256">
        <v>2.4</v>
      </c>
      <c r="I715" s="256">
        <f t="shared" si="45"/>
        <v>-3.5999999999999996</v>
      </c>
      <c r="J715" s="571"/>
    </row>
    <row r="716" spans="1:10" ht="24.75" customHeight="1">
      <c r="A716" s="575"/>
      <c r="B716" s="139" t="s">
        <v>893</v>
      </c>
      <c r="C716" s="585">
        <v>-2</v>
      </c>
      <c r="D716" s="585" t="s">
        <v>56</v>
      </c>
      <c r="E716" s="585">
        <v>6</v>
      </c>
      <c r="F716" s="256">
        <v>0.75</v>
      </c>
      <c r="G716" s="256"/>
      <c r="H716" s="256">
        <v>2.1</v>
      </c>
      <c r="I716" s="256">
        <f t="shared" si="45"/>
        <v>-18.900000000000002</v>
      </c>
      <c r="J716" s="571"/>
    </row>
    <row r="717" spans="1:10" ht="24.75" customHeight="1">
      <c r="A717" s="575"/>
      <c r="B717" s="139" t="s">
        <v>117</v>
      </c>
      <c r="C717" s="585">
        <v>-1</v>
      </c>
      <c r="D717" s="585" t="s">
        <v>56</v>
      </c>
      <c r="E717" s="585">
        <v>2</v>
      </c>
      <c r="F717" s="256">
        <v>1.8</v>
      </c>
      <c r="G717" s="256"/>
      <c r="H717" s="256">
        <v>1.65</v>
      </c>
      <c r="I717" s="256">
        <f t="shared" si="45"/>
        <v>-5.9399999999999995</v>
      </c>
      <c r="J717" s="571"/>
    </row>
    <row r="718" spans="1:10" ht="24.75" customHeight="1">
      <c r="A718" s="575"/>
      <c r="B718" s="139" t="s">
        <v>122</v>
      </c>
      <c r="C718" s="585">
        <v>-1</v>
      </c>
      <c r="D718" s="585" t="s">
        <v>56</v>
      </c>
      <c r="E718" s="585">
        <v>13</v>
      </c>
      <c r="F718" s="256">
        <v>1.5</v>
      </c>
      <c r="G718" s="256"/>
      <c r="H718" s="256">
        <v>1.65</v>
      </c>
      <c r="I718" s="256">
        <f t="shared" si="45"/>
        <v>-32.174999999999997</v>
      </c>
      <c r="J718" s="571"/>
    </row>
    <row r="719" spans="1:10" ht="24.75" customHeight="1">
      <c r="A719" s="575"/>
      <c r="B719" s="139" t="s">
        <v>894</v>
      </c>
      <c r="C719" s="585">
        <v>-1</v>
      </c>
      <c r="D719" s="585" t="s">
        <v>56</v>
      </c>
      <c r="E719" s="585">
        <v>1</v>
      </c>
      <c r="F719" s="256">
        <v>1.35</v>
      </c>
      <c r="G719" s="256"/>
      <c r="H719" s="256">
        <v>1.65</v>
      </c>
      <c r="I719" s="256">
        <f t="shared" si="45"/>
        <v>-2.2275</v>
      </c>
      <c r="J719" s="571"/>
    </row>
    <row r="720" spans="1:10" ht="24.75" customHeight="1">
      <c r="A720" s="575"/>
      <c r="B720" s="139" t="s">
        <v>851</v>
      </c>
      <c r="C720" s="585">
        <v>-1</v>
      </c>
      <c r="D720" s="585" t="s">
        <v>56</v>
      </c>
      <c r="E720" s="585">
        <v>10</v>
      </c>
      <c r="F720" s="256">
        <v>0.9</v>
      </c>
      <c r="G720" s="256"/>
      <c r="H720" s="256">
        <v>1.65</v>
      </c>
      <c r="I720" s="256">
        <f t="shared" si="45"/>
        <v>-14.85</v>
      </c>
      <c r="J720" s="571"/>
    </row>
    <row r="721" spans="1:10" ht="24.75" customHeight="1">
      <c r="A721" s="575"/>
      <c r="B721" s="139" t="s">
        <v>852</v>
      </c>
      <c r="C721" s="585">
        <v>-1</v>
      </c>
      <c r="D721" s="585" t="s">
        <v>56</v>
      </c>
      <c r="E721" s="585">
        <v>4</v>
      </c>
      <c r="F721" s="256">
        <v>1.2</v>
      </c>
      <c r="G721" s="256"/>
      <c r="H721" s="256">
        <v>1.65</v>
      </c>
      <c r="I721" s="256">
        <f t="shared" si="45"/>
        <v>-7.919999999999999</v>
      </c>
      <c r="J721" s="571"/>
    </row>
    <row r="722" spans="1:10" ht="24.75" customHeight="1">
      <c r="A722" s="575"/>
      <c r="B722" s="139" t="s">
        <v>895</v>
      </c>
      <c r="C722" s="585">
        <v>-1</v>
      </c>
      <c r="D722" s="585" t="s">
        <v>56</v>
      </c>
      <c r="E722" s="585">
        <v>2</v>
      </c>
      <c r="F722" s="256">
        <v>1.2</v>
      </c>
      <c r="G722" s="256"/>
      <c r="H722" s="256">
        <v>1.65</v>
      </c>
      <c r="I722" s="256">
        <f t="shared" si="45"/>
        <v>-3.9599999999999995</v>
      </c>
      <c r="J722" s="571"/>
    </row>
    <row r="723" spans="1:10" ht="24.75" customHeight="1">
      <c r="A723" s="575"/>
      <c r="B723" s="139" t="s">
        <v>896</v>
      </c>
      <c r="C723" s="585">
        <v>-1</v>
      </c>
      <c r="D723" s="585" t="s">
        <v>56</v>
      </c>
      <c r="E723" s="585">
        <v>2</v>
      </c>
      <c r="F723" s="256">
        <v>1.5</v>
      </c>
      <c r="G723" s="256"/>
      <c r="H723" s="256">
        <v>1.65</v>
      </c>
      <c r="I723" s="256">
        <f t="shared" si="45"/>
        <v>-4.9499999999999993</v>
      </c>
      <c r="J723" s="571"/>
    </row>
    <row r="724" spans="1:10" ht="24.75" customHeight="1">
      <c r="A724" s="575"/>
      <c r="B724" s="139" t="s">
        <v>897</v>
      </c>
      <c r="C724" s="585">
        <v>-1</v>
      </c>
      <c r="D724" s="585" t="s">
        <v>56</v>
      </c>
      <c r="E724" s="585">
        <v>4</v>
      </c>
      <c r="F724" s="256">
        <v>1.05</v>
      </c>
      <c r="G724" s="256"/>
      <c r="H724" s="256">
        <v>1.65</v>
      </c>
      <c r="I724" s="256">
        <f t="shared" si="45"/>
        <v>-6.93</v>
      </c>
      <c r="J724" s="571"/>
    </row>
    <row r="725" spans="1:10" ht="24.75" customHeight="1">
      <c r="A725" s="575"/>
      <c r="B725" s="139" t="s">
        <v>898</v>
      </c>
      <c r="C725" s="585">
        <v>-1</v>
      </c>
      <c r="D725" s="585" t="s">
        <v>56</v>
      </c>
      <c r="E725" s="585">
        <v>21</v>
      </c>
      <c r="F725" s="256">
        <v>0.9</v>
      </c>
      <c r="G725" s="256"/>
      <c r="H725" s="256">
        <v>0.9</v>
      </c>
      <c r="I725" s="256">
        <f t="shared" si="45"/>
        <v>-17.010000000000002</v>
      </c>
      <c r="J725" s="571"/>
    </row>
    <row r="726" spans="1:10" ht="24.95" customHeight="1">
      <c r="A726" s="575"/>
      <c r="B726" s="142" t="s">
        <v>899</v>
      </c>
      <c r="C726" s="585"/>
      <c r="D726" s="585"/>
      <c r="E726" s="585"/>
      <c r="F726" s="256"/>
      <c r="G726" s="256"/>
      <c r="H726" s="256"/>
      <c r="I726" s="256"/>
      <c r="J726" s="571"/>
    </row>
    <row r="727" spans="1:10" ht="24.95" customHeight="1">
      <c r="A727" s="575"/>
      <c r="B727" s="139" t="s">
        <v>888</v>
      </c>
      <c r="C727" s="585">
        <v>1</v>
      </c>
      <c r="D727" s="585" t="s">
        <v>56</v>
      </c>
      <c r="E727" s="585">
        <v>1</v>
      </c>
      <c r="F727" s="256">
        <v>5.7</v>
      </c>
      <c r="G727" s="256"/>
      <c r="H727" s="256">
        <v>0.18</v>
      </c>
      <c r="I727" s="256">
        <f t="shared" ref="I727:I754" si="46">PRODUCT(C727:H727)</f>
        <v>1.026</v>
      </c>
      <c r="J727" s="571"/>
    </row>
    <row r="728" spans="1:10" ht="24.95" customHeight="1">
      <c r="A728" s="575"/>
      <c r="B728" s="139" t="s">
        <v>849</v>
      </c>
      <c r="C728" s="585">
        <v>1</v>
      </c>
      <c r="D728" s="585" t="s">
        <v>56</v>
      </c>
      <c r="E728" s="585">
        <v>2</v>
      </c>
      <c r="F728" s="256">
        <v>6.4</v>
      </c>
      <c r="G728" s="256"/>
      <c r="H728" s="256">
        <v>0.18</v>
      </c>
      <c r="I728" s="256">
        <f t="shared" si="46"/>
        <v>2.3039999999999998</v>
      </c>
      <c r="J728" s="571"/>
    </row>
    <row r="729" spans="1:10" ht="24.95" customHeight="1">
      <c r="A729" s="575"/>
      <c r="B729" s="139" t="s">
        <v>850</v>
      </c>
      <c r="C729" s="585">
        <v>1</v>
      </c>
      <c r="D729" s="585" t="s">
        <v>56</v>
      </c>
      <c r="E729" s="585">
        <v>2</v>
      </c>
      <c r="F729" s="256">
        <v>2.16</v>
      </c>
      <c r="G729" s="256"/>
      <c r="H729" s="256">
        <v>0.18</v>
      </c>
      <c r="I729" s="256">
        <f t="shared" si="46"/>
        <v>0.77760000000000007</v>
      </c>
      <c r="J729" s="571"/>
    </row>
    <row r="730" spans="1:10" ht="24.95" customHeight="1">
      <c r="A730" s="575"/>
      <c r="B730" s="139" t="s">
        <v>889</v>
      </c>
      <c r="C730" s="585">
        <v>1</v>
      </c>
      <c r="D730" s="585" t="s">
        <v>56</v>
      </c>
      <c r="E730" s="585">
        <v>2</v>
      </c>
      <c r="F730" s="256">
        <v>6.3</v>
      </c>
      <c r="G730" s="256"/>
      <c r="H730" s="256">
        <v>0.18</v>
      </c>
      <c r="I730" s="256">
        <f t="shared" si="46"/>
        <v>2.2679999999999998</v>
      </c>
      <c r="J730" s="571"/>
    </row>
    <row r="731" spans="1:10" ht="24.95" customHeight="1">
      <c r="A731" s="575"/>
      <c r="B731" s="139" t="s">
        <v>76</v>
      </c>
      <c r="C731" s="585">
        <v>1</v>
      </c>
      <c r="D731" s="585" t="s">
        <v>56</v>
      </c>
      <c r="E731" s="585">
        <v>1</v>
      </c>
      <c r="F731" s="256">
        <v>6.8</v>
      </c>
      <c r="G731" s="256"/>
      <c r="H731" s="256">
        <v>0.18</v>
      </c>
      <c r="I731" s="256">
        <f t="shared" si="46"/>
        <v>1.224</v>
      </c>
      <c r="J731" s="571"/>
    </row>
    <row r="732" spans="1:10" ht="24.95" customHeight="1">
      <c r="A732" s="575"/>
      <c r="B732" s="139" t="s">
        <v>850</v>
      </c>
      <c r="C732" s="585">
        <v>1</v>
      </c>
      <c r="D732" s="585" t="s">
        <v>56</v>
      </c>
      <c r="E732" s="585">
        <v>2</v>
      </c>
      <c r="F732" s="256">
        <v>3.6</v>
      </c>
      <c r="G732" s="256"/>
      <c r="H732" s="256">
        <v>0.18</v>
      </c>
      <c r="I732" s="256">
        <f t="shared" si="46"/>
        <v>1.296</v>
      </c>
      <c r="J732" s="571"/>
    </row>
    <row r="733" spans="1:10" ht="24.95" customHeight="1">
      <c r="A733" s="575"/>
      <c r="B733" s="139" t="s">
        <v>850</v>
      </c>
      <c r="C733" s="585">
        <v>1</v>
      </c>
      <c r="D733" s="585" t="s">
        <v>56</v>
      </c>
      <c r="E733" s="585">
        <v>1</v>
      </c>
      <c r="F733" s="256">
        <v>4.8</v>
      </c>
      <c r="G733" s="256"/>
      <c r="H733" s="256">
        <v>0.18</v>
      </c>
      <c r="I733" s="256">
        <f t="shared" si="46"/>
        <v>0.86399999999999999</v>
      </c>
      <c r="J733" s="571"/>
    </row>
    <row r="734" spans="1:10" ht="24.95" customHeight="1">
      <c r="A734" s="575"/>
      <c r="B734" s="139" t="s">
        <v>848</v>
      </c>
      <c r="C734" s="585">
        <v>1</v>
      </c>
      <c r="D734" s="585" t="s">
        <v>56</v>
      </c>
      <c r="E734" s="585">
        <v>3</v>
      </c>
      <c r="F734" s="256">
        <v>7.2</v>
      </c>
      <c r="G734" s="256"/>
      <c r="H734" s="256">
        <v>0.18</v>
      </c>
      <c r="I734" s="256">
        <f t="shared" si="46"/>
        <v>3.8879999999999999</v>
      </c>
      <c r="J734" s="571"/>
    </row>
    <row r="735" spans="1:10" ht="24.95" customHeight="1">
      <c r="A735" s="575"/>
      <c r="B735" s="139" t="s">
        <v>850</v>
      </c>
      <c r="C735" s="585">
        <v>1</v>
      </c>
      <c r="D735" s="585" t="s">
        <v>56</v>
      </c>
      <c r="E735" s="585">
        <v>3</v>
      </c>
      <c r="F735" s="256">
        <v>3.6</v>
      </c>
      <c r="G735" s="256"/>
      <c r="H735" s="256">
        <v>0.18</v>
      </c>
      <c r="I735" s="256">
        <f t="shared" si="46"/>
        <v>1.944</v>
      </c>
      <c r="J735" s="571"/>
    </row>
    <row r="736" spans="1:10" ht="24.95" customHeight="1">
      <c r="A736" s="575"/>
      <c r="B736" s="139" t="s">
        <v>890</v>
      </c>
      <c r="C736" s="585">
        <v>1</v>
      </c>
      <c r="D736" s="585" t="s">
        <v>56</v>
      </c>
      <c r="E736" s="585">
        <v>1</v>
      </c>
      <c r="F736" s="256">
        <v>7.2</v>
      </c>
      <c r="G736" s="256"/>
      <c r="H736" s="256">
        <v>0.18</v>
      </c>
      <c r="I736" s="256">
        <f t="shared" si="46"/>
        <v>1.296</v>
      </c>
      <c r="J736" s="571"/>
    </row>
    <row r="737" spans="1:10" ht="24.95" customHeight="1">
      <c r="A737" s="575"/>
      <c r="B737" s="139" t="s">
        <v>850</v>
      </c>
      <c r="C737" s="585">
        <v>1</v>
      </c>
      <c r="D737" s="585" t="s">
        <v>56</v>
      </c>
      <c r="E737" s="585">
        <v>1</v>
      </c>
      <c r="F737" s="256">
        <v>5.4</v>
      </c>
      <c r="G737" s="256"/>
      <c r="H737" s="256">
        <v>0.18</v>
      </c>
      <c r="I737" s="256">
        <f t="shared" si="46"/>
        <v>0.97199999999999998</v>
      </c>
      <c r="J737" s="571"/>
    </row>
    <row r="738" spans="1:10" ht="24.95" customHeight="1">
      <c r="A738" s="575"/>
      <c r="B738" s="139" t="s">
        <v>891</v>
      </c>
      <c r="C738" s="585">
        <v>1</v>
      </c>
      <c r="D738" s="585" t="s">
        <v>56</v>
      </c>
      <c r="E738" s="585">
        <v>2</v>
      </c>
      <c r="F738" s="256">
        <v>8.4</v>
      </c>
      <c r="G738" s="256"/>
      <c r="H738" s="256">
        <v>0.18</v>
      </c>
      <c r="I738" s="256">
        <f t="shared" si="46"/>
        <v>3.024</v>
      </c>
      <c r="J738" s="571"/>
    </row>
    <row r="739" spans="1:10" ht="24.95" customHeight="1">
      <c r="A739" s="575"/>
      <c r="B739" s="139" t="s">
        <v>850</v>
      </c>
      <c r="C739" s="585">
        <v>1</v>
      </c>
      <c r="D739" s="585" t="s">
        <v>56</v>
      </c>
      <c r="E739" s="585">
        <v>2</v>
      </c>
      <c r="F739" s="256">
        <v>4.8</v>
      </c>
      <c r="G739" s="256"/>
      <c r="H739" s="256">
        <v>0.18</v>
      </c>
      <c r="I739" s="256">
        <f t="shared" si="46"/>
        <v>1.728</v>
      </c>
      <c r="J739" s="571"/>
    </row>
    <row r="740" spans="1:10" ht="24.95" customHeight="1">
      <c r="A740" s="575"/>
      <c r="B740" s="139" t="s">
        <v>892</v>
      </c>
      <c r="C740" s="585">
        <v>1</v>
      </c>
      <c r="D740" s="585" t="s">
        <v>56</v>
      </c>
      <c r="E740" s="585">
        <v>4</v>
      </c>
      <c r="F740" s="256">
        <v>6.6</v>
      </c>
      <c r="G740" s="256"/>
      <c r="H740" s="256">
        <v>0.18</v>
      </c>
      <c r="I740" s="256">
        <f t="shared" si="46"/>
        <v>4.7519999999999998</v>
      </c>
      <c r="J740" s="571"/>
    </row>
    <row r="741" spans="1:10" ht="24.95" customHeight="1">
      <c r="A741" s="575"/>
      <c r="B741" s="139" t="s">
        <v>889</v>
      </c>
      <c r="C741" s="585">
        <v>1</v>
      </c>
      <c r="D741" s="585" t="s">
        <v>56</v>
      </c>
      <c r="E741" s="585">
        <v>7</v>
      </c>
      <c r="F741" s="256">
        <v>7.2</v>
      </c>
      <c r="G741" s="256"/>
      <c r="H741" s="256">
        <v>0.18</v>
      </c>
      <c r="I741" s="256">
        <f t="shared" si="46"/>
        <v>9.0719999999999992</v>
      </c>
      <c r="J741" s="571"/>
    </row>
    <row r="742" spans="1:10" ht="24.95" customHeight="1">
      <c r="A742" s="575"/>
      <c r="B742" s="139" t="s">
        <v>850</v>
      </c>
      <c r="C742" s="585">
        <v>1</v>
      </c>
      <c r="D742" s="585" t="s">
        <v>56</v>
      </c>
      <c r="E742" s="585">
        <v>7</v>
      </c>
      <c r="F742" s="256">
        <v>3.6</v>
      </c>
      <c r="G742" s="256"/>
      <c r="H742" s="256">
        <v>0.18</v>
      </c>
      <c r="I742" s="256">
        <f t="shared" si="46"/>
        <v>4.5359999999999996</v>
      </c>
      <c r="J742" s="571"/>
    </row>
    <row r="743" spans="1:10" ht="24.95" customHeight="1">
      <c r="A743" s="575"/>
      <c r="B743" s="139" t="s">
        <v>849</v>
      </c>
      <c r="C743" s="585">
        <v>1</v>
      </c>
      <c r="D743" s="585" t="s">
        <v>56</v>
      </c>
      <c r="E743" s="585">
        <v>2</v>
      </c>
      <c r="F743" s="256">
        <v>6.3</v>
      </c>
      <c r="G743" s="256"/>
      <c r="H743" s="256">
        <v>0.18</v>
      </c>
      <c r="I743" s="256">
        <f t="shared" si="46"/>
        <v>2.2679999999999998</v>
      </c>
      <c r="J743" s="571"/>
    </row>
    <row r="744" spans="1:10" ht="24.95" customHeight="1">
      <c r="A744" s="575"/>
      <c r="B744" s="139" t="s">
        <v>893</v>
      </c>
      <c r="C744" s="585">
        <v>2</v>
      </c>
      <c r="D744" s="585" t="s">
        <v>56</v>
      </c>
      <c r="E744" s="585">
        <v>6</v>
      </c>
      <c r="F744" s="256">
        <v>5.7</v>
      </c>
      <c r="G744" s="256"/>
      <c r="H744" s="256">
        <v>0.18</v>
      </c>
      <c r="I744" s="256">
        <f t="shared" si="46"/>
        <v>12.312000000000001</v>
      </c>
      <c r="J744" s="571"/>
    </row>
    <row r="745" spans="1:10" ht="24.95" customHeight="1">
      <c r="A745" s="575"/>
      <c r="B745" s="139" t="s">
        <v>117</v>
      </c>
      <c r="C745" s="585">
        <v>1</v>
      </c>
      <c r="D745" s="585" t="s">
        <v>56</v>
      </c>
      <c r="E745" s="585">
        <v>2</v>
      </c>
      <c r="F745" s="256">
        <v>6.9</v>
      </c>
      <c r="G745" s="256"/>
      <c r="H745" s="256">
        <v>0.18</v>
      </c>
      <c r="I745" s="256">
        <f t="shared" si="46"/>
        <v>2.484</v>
      </c>
      <c r="J745" s="571"/>
    </row>
    <row r="746" spans="1:10" ht="24.95" customHeight="1">
      <c r="A746" s="575"/>
      <c r="B746" s="139" t="s">
        <v>122</v>
      </c>
      <c r="C746" s="585">
        <v>1</v>
      </c>
      <c r="D746" s="585" t="s">
        <v>56</v>
      </c>
      <c r="E746" s="585">
        <v>13</v>
      </c>
      <c r="F746" s="256">
        <v>6.3</v>
      </c>
      <c r="G746" s="256"/>
      <c r="H746" s="256">
        <v>0.18</v>
      </c>
      <c r="I746" s="256">
        <f t="shared" si="46"/>
        <v>14.741999999999997</v>
      </c>
      <c r="J746" s="571"/>
    </row>
    <row r="747" spans="1:10" ht="24.95" customHeight="1">
      <c r="A747" s="575"/>
      <c r="B747" s="139" t="s">
        <v>894</v>
      </c>
      <c r="C747" s="585">
        <v>1</v>
      </c>
      <c r="D747" s="585" t="s">
        <v>56</v>
      </c>
      <c r="E747" s="585">
        <v>1</v>
      </c>
      <c r="F747" s="256">
        <v>6</v>
      </c>
      <c r="G747" s="256"/>
      <c r="H747" s="256">
        <v>0.18</v>
      </c>
      <c r="I747" s="256">
        <f t="shared" si="46"/>
        <v>1.08</v>
      </c>
      <c r="J747" s="571"/>
    </row>
    <row r="748" spans="1:10" ht="24.95" customHeight="1">
      <c r="A748" s="575"/>
      <c r="B748" s="139" t="s">
        <v>851</v>
      </c>
      <c r="C748" s="585">
        <v>1</v>
      </c>
      <c r="D748" s="585" t="s">
        <v>56</v>
      </c>
      <c r="E748" s="585">
        <v>10</v>
      </c>
      <c r="F748" s="256">
        <v>5.0999999999999996</v>
      </c>
      <c r="G748" s="256"/>
      <c r="H748" s="256">
        <v>0.18</v>
      </c>
      <c r="I748" s="256">
        <f t="shared" si="46"/>
        <v>9.18</v>
      </c>
      <c r="J748" s="571"/>
    </row>
    <row r="749" spans="1:10" ht="24.95" customHeight="1">
      <c r="A749" s="575"/>
      <c r="B749" s="139" t="s">
        <v>852</v>
      </c>
      <c r="C749" s="585">
        <v>1</v>
      </c>
      <c r="D749" s="585" t="s">
        <v>56</v>
      </c>
      <c r="E749" s="585">
        <v>4</v>
      </c>
      <c r="F749" s="256">
        <v>5.7</v>
      </c>
      <c r="G749" s="256"/>
      <c r="H749" s="256">
        <v>0.18</v>
      </c>
      <c r="I749" s="256">
        <f t="shared" si="46"/>
        <v>4.1040000000000001</v>
      </c>
      <c r="J749" s="571"/>
    </row>
    <row r="750" spans="1:10" ht="24.95" customHeight="1">
      <c r="A750" s="575"/>
      <c r="B750" s="139" t="s">
        <v>895</v>
      </c>
      <c r="C750" s="585">
        <v>1</v>
      </c>
      <c r="D750" s="585" t="s">
        <v>56</v>
      </c>
      <c r="E750" s="585">
        <v>2</v>
      </c>
      <c r="F750" s="256">
        <v>5.7</v>
      </c>
      <c r="G750" s="256"/>
      <c r="H750" s="256">
        <v>0.18</v>
      </c>
      <c r="I750" s="256">
        <f t="shared" si="46"/>
        <v>2.052</v>
      </c>
      <c r="J750" s="571"/>
    </row>
    <row r="751" spans="1:10" ht="24.95" customHeight="1">
      <c r="A751" s="575"/>
      <c r="B751" s="139" t="s">
        <v>896</v>
      </c>
      <c r="C751" s="585">
        <v>1</v>
      </c>
      <c r="D751" s="585" t="s">
        <v>56</v>
      </c>
      <c r="E751" s="585">
        <v>2</v>
      </c>
      <c r="F751" s="256">
        <v>6.3</v>
      </c>
      <c r="G751" s="256"/>
      <c r="H751" s="256">
        <v>0.18</v>
      </c>
      <c r="I751" s="256">
        <f t="shared" si="46"/>
        <v>2.2679999999999998</v>
      </c>
      <c r="J751" s="571"/>
    </row>
    <row r="752" spans="1:10" ht="24.95" customHeight="1">
      <c r="A752" s="575"/>
      <c r="B752" s="139" t="s">
        <v>897</v>
      </c>
      <c r="C752" s="585">
        <v>1</v>
      </c>
      <c r="D752" s="585" t="s">
        <v>56</v>
      </c>
      <c r="E752" s="585">
        <v>4</v>
      </c>
      <c r="F752" s="256">
        <v>5.4</v>
      </c>
      <c r="G752" s="256"/>
      <c r="H752" s="256">
        <v>0.18</v>
      </c>
      <c r="I752" s="256">
        <f t="shared" si="46"/>
        <v>3.8879999999999999</v>
      </c>
      <c r="J752" s="571"/>
    </row>
    <row r="753" spans="1:11" ht="24.95" customHeight="1">
      <c r="A753" s="575"/>
      <c r="B753" s="139" t="s">
        <v>898</v>
      </c>
      <c r="C753" s="585">
        <v>1</v>
      </c>
      <c r="D753" s="585" t="s">
        <v>56</v>
      </c>
      <c r="E753" s="585">
        <v>21</v>
      </c>
      <c r="F753" s="256">
        <v>3.6</v>
      </c>
      <c r="G753" s="256"/>
      <c r="H753" s="256">
        <v>0.18</v>
      </c>
      <c r="I753" s="256">
        <f t="shared" si="46"/>
        <v>13.608000000000001</v>
      </c>
      <c r="J753" s="571"/>
    </row>
    <row r="754" spans="1:11" ht="24.75" customHeight="1">
      <c r="A754" s="575"/>
      <c r="B754" s="139" t="s">
        <v>857</v>
      </c>
      <c r="C754" s="585">
        <v>1</v>
      </c>
      <c r="D754" s="585" t="s">
        <v>56</v>
      </c>
      <c r="E754" s="585">
        <v>1</v>
      </c>
      <c r="F754" s="256">
        <v>16.2</v>
      </c>
      <c r="G754" s="256"/>
      <c r="H754" s="256">
        <v>6.75</v>
      </c>
      <c r="I754" s="256">
        <f t="shared" si="46"/>
        <v>109.35</v>
      </c>
      <c r="J754" s="571"/>
    </row>
    <row r="755" spans="1:11" ht="24.95" customHeight="1">
      <c r="A755" s="575"/>
      <c r="B755" s="139"/>
      <c r="C755" s="585"/>
      <c r="D755" s="585"/>
      <c r="E755" s="585"/>
      <c r="F755" s="256"/>
      <c r="G755" s="256"/>
      <c r="H755" s="256"/>
      <c r="I755" s="256">
        <f>SUM(I653:I754)</f>
        <v>1878.9680999999985</v>
      </c>
      <c r="J755" s="571"/>
      <c r="K755" s="570">
        <v>0.01</v>
      </c>
    </row>
    <row r="756" spans="1:11" ht="24.95" customHeight="1">
      <c r="A756" s="575"/>
      <c r="B756" s="139"/>
      <c r="C756" s="585"/>
      <c r="D756" s="585"/>
      <c r="E756" s="585"/>
      <c r="F756" s="256"/>
      <c r="G756" s="256"/>
      <c r="H756" s="259" t="s">
        <v>15</v>
      </c>
      <c r="I756" s="259">
        <f>ROUNDUP(I755,1-0)</f>
        <v>1879</v>
      </c>
      <c r="J756" s="266" t="s">
        <v>37</v>
      </c>
    </row>
    <row r="757" spans="1:11" ht="24.95" customHeight="1">
      <c r="A757" s="575"/>
      <c r="B757" s="139"/>
      <c r="C757" s="585"/>
      <c r="D757" s="585"/>
      <c r="E757" s="585"/>
      <c r="F757" s="256"/>
      <c r="G757" s="256"/>
      <c r="H757" s="256"/>
      <c r="I757" s="256"/>
      <c r="J757" s="571"/>
    </row>
    <row r="758" spans="1:11" ht="24.95" customHeight="1">
      <c r="A758" s="575"/>
      <c r="B758" s="142" t="s">
        <v>859</v>
      </c>
      <c r="C758" s="585"/>
      <c r="D758" s="585"/>
      <c r="E758" s="585"/>
      <c r="F758" s="256"/>
      <c r="G758" s="256"/>
      <c r="H758" s="256"/>
      <c r="I758" s="256">
        <f>I756</f>
        <v>1879</v>
      </c>
      <c r="J758" s="571"/>
    </row>
    <row r="759" spans="1:11" ht="24.95" customHeight="1">
      <c r="A759" s="575"/>
      <c r="B759" s="142" t="s">
        <v>900</v>
      </c>
      <c r="C759" s="585"/>
      <c r="D759" s="585"/>
      <c r="E759" s="585"/>
      <c r="F759" s="256"/>
      <c r="G759" s="256"/>
      <c r="H759" s="256"/>
      <c r="I759" s="256">
        <f>I650</f>
        <v>1164.0999999999999</v>
      </c>
      <c r="J759" s="571"/>
    </row>
    <row r="760" spans="1:11" ht="24.95" customHeight="1">
      <c r="A760" s="575"/>
      <c r="B760" s="142" t="s">
        <v>57</v>
      </c>
      <c r="C760" s="585"/>
      <c r="D760" s="585"/>
      <c r="E760" s="585"/>
      <c r="F760" s="256"/>
      <c r="G760" s="256"/>
      <c r="H760" s="256"/>
      <c r="I760" s="259">
        <f>SUM(I758:I759)</f>
        <v>3043.1</v>
      </c>
      <c r="J760" s="266" t="s">
        <v>833</v>
      </c>
    </row>
    <row r="761" spans="1:11" ht="24.95" customHeight="1">
      <c r="A761" s="575"/>
      <c r="B761" s="142"/>
      <c r="C761" s="585"/>
      <c r="D761" s="585"/>
      <c r="E761" s="585"/>
      <c r="F761" s="256"/>
      <c r="G761" s="256"/>
      <c r="H761" s="256"/>
      <c r="I761" s="259"/>
      <c r="J761" s="571"/>
    </row>
    <row r="762" spans="1:11" ht="24.95" customHeight="1">
      <c r="A762" s="575">
        <v>34</v>
      </c>
      <c r="B762" s="142" t="s">
        <v>901</v>
      </c>
      <c r="C762" s="585"/>
      <c r="D762" s="585"/>
      <c r="E762" s="585"/>
      <c r="F762" s="256"/>
      <c r="G762" s="256"/>
      <c r="H762" s="256"/>
      <c r="I762" s="256"/>
      <c r="J762" s="266"/>
    </row>
    <row r="763" spans="1:11" ht="24.95" customHeight="1">
      <c r="A763" s="575"/>
      <c r="B763" s="139" t="s">
        <v>902</v>
      </c>
      <c r="C763" s="585">
        <v>1</v>
      </c>
      <c r="D763" s="585"/>
      <c r="E763" s="585">
        <v>1</v>
      </c>
      <c r="F763" s="256">
        <v>11</v>
      </c>
      <c r="G763" s="256"/>
      <c r="H763" s="256">
        <v>1.5</v>
      </c>
      <c r="I763" s="256">
        <f>PRODUCT(C763:H763)</f>
        <v>16.5</v>
      </c>
      <c r="J763" s="571"/>
    </row>
    <row r="764" spans="1:11" ht="24.95" customHeight="1">
      <c r="A764" s="575"/>
      <c r="B764" s="139"/>
      <c r="C764" s="585">
        <v>1</v>
      </c>
      <c r="D764" s="585"/>
      <c r="E764" s="585">
        <v>1</v>
      </c>
      <c r="F764" s="256">
        <v>11.92</v>
      </c>
      <c r="G764" s="256">
        <v>0.2</v>
      </c>
      <c r="H764" s="256"/>
      <c r="I764" s="256">
        <f>PRODUCT(C764:H764)</f>
        <v>2.3839999999999999</v>
      </c>
      <c r="J764" s="571"/>
    </row>
    <row r="765" spans="1:11" ht="24.95" customHeight="1">
      <c r="A765" s="575"/>
      <c r="B765" s="139" t="s">
        <v>830</v>
      </c>
      <c r="C765" s="585">
        <v>1</v>
      </c>
      <c r="D765" s="585">
        <v>9</v>
      </c>
      <c r="E765" s="585"/>
      <c r="F765" s="256">
        <v>2.4</v>
      </c>
      <c r="G765" s="256">
        <v>1</v>
      </c>
      <c r="H765" s="256"/>
      <c r="I765" s="256">
        <f>PRODUCT(C765:H765)</f>
        <v>21.599999999999998</v>
      </c>
      <c r="J765" s="571"/>
    </row>
    <row r="766" spans="1:11" ht="24.95" customHeight="1">
      <c r="A766" s="575"/>
      <c r="B766" s="139"/>
      <c r="C766" s="585"/>
      <c r="D766" s="585"/>
      <c r="E766" s="585"/>
      <c r="F766" s="256"/>
      <c r="G766" s="256"/>
      <c r="H766" s="256"/>
      <c r="I766" s="256">
        <f>SUM(I763:I765)</f>
        <v>40.483999999999995</v>
      </c>
      <c r="J766" s="571"/>
    </row>
    <row r="767" spans="1:11" ht="24.95" customHeight="1">
      <c r="A767" s="575"/>
      <c r="B767" s="139"/>
      <c r="C767" s="585"/>
      <c r="D767" s="585"/>
      <c r="E767" s="585"/>
      <c r="F767" s="256"/>
      <c r="G767" s="256"/>
      <c r="H767" s="259" t="s">
        <v>15</v>
      </c>
      <c r="I767" s="259">
        <f>ROUNDUP(I766,1-0)</f>
        <v>40.5</v>
      </c>
      <c r="J767" s="571" t="s">
        <v>37</v>
      </c>
    </row>
    <row r="768" spans="1:11" ht="24.95" customHeight="1">
      <c r="A768" s="575"/>
      <c r="B768" s="139"/>
      <c r="C768" s="585"/>
      <c r="D768" s="585"/>
      <c r="E768" s="585"/>
      <c r="F768" s="256"/>
      <c r="G768" s="256"/>
      <c r="H768" s="256"/>
      <c r="I768" s="256"/>
      <c r="J768" s="571"/>
    </row>
    <row r="769" spans="1:10" ht="30" customHeight="1">
      <c r="A769" s="575">
        <v>35</v>
      </c>
      <c r="B769" s="142" t="s">
        <v>903</v>
      </c>
      <c r="C769" s="585"/>
      <c r="D769" s="585"/>
      <c r="E769" s="585"/>
      <c r="F769" s="256"/>
      <c r="G769" s="256"/>
      <c r="H769" s="256"/>
      <c r="I769" s="256"/>
      <c r="J769" s="571"/>
    </row>
    <row r="770" spans="1:10" ht="30" customHeight="1">
      <c r="A770" s="575"/>
      <c r="B770" s="142" t="s">
        <v>904</v>
      </c>
      <c r="C770" s="585"/>
      <c r="D770" s="585"/>
      <c r="E770" s="585"/>
      <c r="F770" s="256"/>
      <c r="G770" s="256"/>
      <c r="H770" s="256"/>
      <c r="I770" s="256"/>
      <c r="J770" s="571"/>
    </row>
    <row r="771" spans="1:10" ht="30" customHeight="1">
      <c r="A771" s="575"/>
      <c r="B771" s="139" t="s">
        <v>905</v>
      </c>
      <c r="C771" s="585">
        <v>1</v>
      </c>
      <c r="D771" s="585" t="s">
        <v>56</v>
      </c>
      <c r="E771" s="585">
        <v>1</v>
      </c>
      <c r="F771" s="256">
        <v>4.5</v>
      </c>
      <c r="G771" s="256">
        <v>3.3</v>
      </c>
      <c r="H771" s="256"/>
      <c r="I771" s="256">
        <f t="shared" ref="I771:I820" si="47">G771*F771*E771*C771</f>
        <v>14.85</v>
      </c>
      <c r="J771" s="571"/>
    </row>
    <row r="772" spans="1:10" ht="30" customHeight="1">
      <c r="A772" s="575"/>
      <c r="B772" s="139" t="s">
        <v>906</v>
      </c>
      <c r="C772" s="585">
        <v>1</v>
      </c>
      <c r="D772" s="585" t="s">
        <v>56</v>
      </c>
      <c r="E772" s="585">
        <v>1</v>
      </c>
      <c r="F772" s="256">
        <v>3.3</v>
      </c>
      <c r="G772" s="256">
        <v>3.3</v>
      </c>
      <c r="H772" s="256"/>
      <c r="I772" s="256">
        <f t="shared" si="47"/>
        <v>10.889999999999999</v>
      </c>
      <c r="J772" s="571"/>
    </row>
    <row r="773" spans="1:10" ht="30" customHeight="1">
      <c r="A773" s="575"/>
      <c r="B773" s="139" t="s">
        <v>653</v>
      </c>
      <c r="C773" s="585">
        <v>1</v>
      </c>
      <c r="D773" s="585" t="s">
        <v>56</v>
      </c>
      <c r="E773" s="585">
        <v>1</v>
      </c>
      <c r="F773" s="256">
        <v>3.6</v>
      </c>
      <c r="G773" s="256">
        <v>5</v>
      </c>
      <c r="H773" s="256"/>
      <c r="I773" s="256">
        <f t="shared" si="47"/>
        <v>18</v>
      </c>
      <c r="J773" s="571"/>
    </row>
    <row r="774" spans="1:10" ht="30" customHeight="1">
      <c r="A774" s="575"/>
      <c r="B774" s="139" t="s">
        <v>907</v>
      </c>
      <c r="C774" s="585">
        <v>1</v>
      </c>
      <c r="D774" s="585" t="s">
        <v>56</v>
      </c>
      <c r="E774" s="585">
        <v>1</v>
      </c>
      <c r="F774" s="256">
        <v>3.6</v>
      </c>
      <c r="G774" s="256">
        <v>2</v>
      </c>
      <c r="H774" s="256"/>
      <c r="I774" s="256">
        <f t="shared" si="47"/>
        <v>7.2</v>
      </c>
      <c r="J774" s="571"/>
    </row>
    <row r="775" spans="1:10" ht="30" customHeight="1">
      <c r="A775" s="575"/>
      <c r="B775" s="139" t="s">
        <v>908</v>
      </c>
      <c r="C775" s="585">
        <v>1</v>
      </c>
      <c r="D775" s="585" t="s">
        <v>56</v>
      </c>
      <c r="E775" s="585">
        <v>1</v>
      </c>
      <c r="F775" s="256">
        <v>6</v>
      </c>
      <c r="G775" s="256">
        <v>6</v>
      </c>
      <c r="H775" s="256"/>
      <c r="I775" s="256">
        <f t="shared" si="47"/>
        <v>36</v>
      </c>
      <c r="J775" s="571"/>
    </row>
    <row r="776" spans="1:10" ht="30" customHeight="1">
      <c r="A776" s="575"/>
      <c r="B776" s="139" t="s">
        <v>909</v>
      </c>
      <c r="C776" s="585">
        <v>1</v>
      </c>
      <c r="D776" s="585" t="s">
        <v>56</v>
      </c>
      <c r="E776" s="585">
        <v>1</v>
      </c>
      <c r="F776" s="256">
        <v>3.6</v>
      </c>
      <c r="G776" s="256">
        <v>2.75</v>
      </c>
      <c r="H776" s="256"/>
      <c r="I776" s="256">
        <f t="shared" si="47"/>
        <v>9.9</v>
      </c>
      <c r="J776" s="571"/>
    </row>
    <row r="777" spans="1:10" ht="30" customHeight="1">
      <c r="A777" s="575"/>
      <c r="B777" s="139" t="s">
        <v>864</v>
      </c>
      <c r="C777" s="585">
        <v>1</v>
      </c>
      <c r="D777" s="585" t="s">
        <v>56</v>
      </c>
      <c r="E777" s="585">
        <v>1</v>
      </c>
      <c r="F777" s="256">
        <v>1.8</v>
      </c>
      <c r="G777" s="256">
        <v>14.04</v>
      </c>
      <c r="H777" s="256"/>
      <c r="I777" s="256">
        <f t="shared" si="47"/>
        <v>25.271999999999998</v>
      </c>
      <c r="J777" s="571"/>
    </row>
    <row r="778" spans="1:10" ht="30" customHeight="1">
      <c r="A778" s="575"/>
      <c r="B778" s="139"/>
      <c r="C778" s="585">
        <v>1</v>
      </c>
      <c r="D778" s="585" t="s">
        <v>56</v>
      </c>
      <c r="E778" s="585">
        <v>1</v>
      </c>
      <c r="F778" s="256">
        <v>5.03</v>
      </c>
      <c r="G778" s="256">
        <v>2</v>
      </c>
      <c r="H778" s="256"/>
      <c r="I778" s="256">
        <f t="shared" si="47"/>
        <v>10.06</v>
      </c>
      <c r="J778" s="571"/>
    </row>
    <row r="779" spans="1:10" ht="30" customHeight="1">
      <c r="A779" s="575"/>
      <c r="B779" s="139" t="s">
        <v>910</v>
      </c>
      <c r="C779" s="585">
        <v>1</v>
      </c>
      <c r="D779" s="585" t="s">
        <v>56</v>
      </c>
      <c r="E779" s="585">
        <v>1</v>
      </c>
      <c r="F779" s="256">
        <v>1.2</v>
      </c>
      <c r="G779" s="256">
        <v>2.1</v>
      </c>
      <c r="H779" s="256"/>
      <c r="I779" s="256">
        <f t="shared" si="47"/>
        <v>2.52</v>
      </c>
      <c r="J779" s="571"/>
    </row>
    <row r="780" spans="1:10" ht="30" customHeight="1">
      <c r="A780" s="575"/>
      <c r="B780" s="139" t="s">
        <v>911</v>
      </c>
      <c r="C780" s="585">
        <v>1</v>
      </c>
      <c r="D780" s="585" t="s">
        <v>56</v>
      </c>
      <c r="E780" s="585">
        <v>1</v>
      </c>
      <c r="F780" s="256">
        <v>6</v>
      </c>
      <c r="G780" s="256">
        <v>8.0299999999999994</v>
      </c>
      <c r="H780" s="256"/>
      <c r="I780" s="256">
        <f t="shared" si="47"/>
        <v>48.179999999999993</v>
      </c>
      <c r="J780" s="571"/>
    </row>
    <row r="781" spans="1:10" ht="30" customHeight="1">
      <c r="A781" s="575"/>
      <c r="B781" s="139" t="s">
        <v>912</v>
      </c>
      <c r="C781" s="585">
        <v>1</v>
      </c>
      <c r="D781" s="585" t="s">
        <v>56</v>
      </c>
      <c r="E781" s="585">
        <v>1</v>
      </c>
      <c r="F781" s="262">
        <v>3.7149999999999999</v>
      </c>
      <c r="G781" s="256">
        <v>5.94</v>
      </c>
      <c r="H781" s="256"/>
      <c r="I781" s="256">
        <f t="shared" si="47"/>
        <v>22.0671</v>
      </c>
      <c r="J781" s="571"/>
    </row>
    <row r="782" spans="1:10" ht="30" customHeight="1">
      <c r="A782" s="575"/>
      <c r="B782" s="139" t="s">
        <v>657</v>
      </c>
      <c r="C782" s="585">
        <v>1</v>
      </c>
      <c r="D782" s="585" t="s">
        <v>56</v>
      </c>
      <c r="E782" s="585">
        <v>1</v>
      </c>
      <c r="F782" s="256">
        <v>1.65</v>
      </c>
      <c r="G782" s="256">
        <v>2.66</v>
      </c>
      <c r="H782" s="256"/>
      <c r="I782" s="256">
        <f t="shared" si="47"/>
        <v>4.3890000000000002</v>
      </c>
      <c r="J782" s="571"/>
    </row>
    <row r="783" spans="1:10" ht="24.95" customHeight="1">
      <c r="A783" s="575"/>
      <c r="B783" s="139" t="s">
        <v>913</v>
      </c>
      <c r="C783" s="585">
        <v>1</v>
      </c>
      <c r="D783" s="585" t="s">
        <v>56</v>
      </c>
      <c r="E783" s="585">
        <v>1</v>
      </c>
      <c r="F783" s="256">
        <v>3.75</v>
      </c>
      <c r="G783" s="256">
        <v>1.5</v>
      </c>
      <c r="H783" s="256"/>
      <c r="I783" s="256">
        <f t="shared" si="47"/>
        <v>5.625</v>
      </c>
      <c r="J783" s="571"/>
    </row>
    <row r="784" spans="1:10" ht="24.95" customHeight="1">
      <c r="A784" s="575"/>
      <c r="B784" s="139" t="s">
        <v>831</v>
      </c>
      <c r="C784" s="585">
        <v>1</v>
      </c>
      <c r="D784" s="585" t="s">
        <v>56</v>
      </c>
      <c r="E784" s="585">
        <v>1</v>
      </c>
      <c r="F784" s="256">
        <v>3.65</v>
      </c>
      <c r="G784" s="256">
        <v>1.5</v>
      </c>
      <c r="H784" s="256"/>
      <c r="I784" s="256">
        <f t="shared" si="47"/>
        <v>5.4749999999999996</v>
      </c>
      <c r="J784" s="266"/>
    </row>
    <row r="785" spans="1:10" ht="24.95" customHeight="1">
      <c r="A785" s="575"/>
      <c r="B785" s="139" t="s">
        <v>914</v>
      </c>
      <c r="C785" s="585">
        <v>1</v>
      </c>
      <c r="D785" s="585" t="s">
        <v>56</v>
      </c>
      <c r="E785" s="585">
        <v>1</v>
      </c>
      <c r="F785" s="256">
        <v>3.45</v>
      </c>
      <c r="G785" s="256">
        <v>1.5</v>
      </c>
      <c r="H785" s="256"/>
      <c r="I785" s="256">
        <f t="shared" si="47"/>
        <v>5.1750000000000007</v>
      </c>
      <c r="J785" s="571"/>
    </row>
    <row r="786" spans="1:10" ht="24.95" customHeight="1">
      <c r="A786" s="575"/>
      <c r="B786" s="139" t="s">
        <v>915</v>
      </c>
      <c r="C786" s="585">
        <v>1</v>
      </c>
      <c r="D786" s="585" t="s">
        <v>56</v>
      </c>
      <c r="E786" s="585">
        <v>1</v>
      </c>
      <c r="F786" s="256">
        <v>3.65</v>
      </c>
      <c r="G786" s="256">
        <v>2</v>
      </c>
      <c r="H786" s="256"/>
      <c r="I786" s="256">
        <f t="shared" si="47"/>
        <v>7.3</v>
      </c>
      <c r="J786" s="571"/>
    </row>
    <row r="787" spans="1:10" ht="24.95" customHeight="1">
      <c r="A787" s="575"/>
      <c r="B787" s="139" t="s">
        <v>916</v>
      </c>
      <c r="C787" s="585">
        <v>1</v>
      </c>
      <c r="D787" s="585" t="s">
        <v>56</v>
      </c>
      <c r="E787" s="585">
        <v>2</v>
      </c>
      <c r="F787" s="256">
        <v>4.5</v>
      </c>
      <c r="G787" s="256">
        <v>0.45</v>
      </c>
      <c r="H787" s="256"/>
      <c r="I787" s="256">
        <f t="shared" si="47"/>
        <v>4.05</v>
      </c>
      <c r="J787" s="571"/>
    </row>
    <row r="788" spans="1:10" ht="24.95" customHeight="1">
      <c r="A788" s="575"/>
      <c r="B788" s="139" t="s">
        <v>917</v>
      </c>
      <c r="C788" s="585">
        <v>1</v>
      </c>
      <c r="D788" s="585" t="s">
        <v>56</v>
      </c>
      <c r="E788" s="585">
        <v>2</v>
      </c>
      <c r="F788" s="256">
        <v>6</v>
      </c>
      <c r="G788" s="256">
        <v>0.6</v>
      </c>
      <c r="H788" s="256"/>
      <c r="I788" s="256">
        <f t="shared" si="47"/>
        <v>7.1999999999999993</v>
      </c>
      <c r="J788" s="571"/>
    </row>
    <row r="789" spans="1:10" ht="24.95" customHeight="1">
      <c r="A789" s="575"/>
      <c r="B789" s="139" t="s">
        <v>918</v>
      </c>
      <c r="C789" s="585">
        <v>1</v>
      </c>
      <c r="D789" s="585" t="s">
        <v>56</v>
      </c>
      <c r="E789" s="585">
        <v>2</v>
      </c>
      <c r="F789" s="256">
        <v>25.78</v>
      </c>
      <c r="G789" s="256">
        <v>0.6</v>
      </c>
      <c r="H789" s="256"/>
      <c r="I789" s="256">
        <f t="shared" si="47"/>
        <v>30.936</v>
      </c>
      <c r="J789" s="571"/>
    </row>
    <row r="790" spans="1:10" ht="24.95" customHeight="1">
      <c r="A790" s="575"/>
      <c r="B790" s="139" t="s">
        <v>919</v>
      </c>
      <c r="C790" s="585">
        <v>2</v>
      </c>
      <c r="D790" s="585" t="s">
        <v>56</v>
      </c>
      <c r="E790" s="585">
        <v>2</v>
      </c>
      <c r="F790" s="256">
        <v>16.2</v>
      </c>
      <c r="G790" s="256">
        <v>0.6</v>
      </c>
      <c r="H790" s="256"/>
      <c r="I790" s="256">
        <f t="shared" si="47"/>
        <v>38.879999999999995</v>
      </c>
      <c r="J790" s="571"/>
    </row>
    <row r="791" spans="1:10" ht="24.95" customHeight="1">
      <c r="A791" s="575"/>
      <c r="B791" s="142" t="s">
        <v>817</v>
      </c>
      <c r="C791" s="585"/>
      <c r="D791" s="585"/>
      <c r="E791" s="585"/>
      <c r="F791" s="256"/>
      <c r="G791" s="256"/>
      <c r="H791" s="256"/>
      <c r="I791" s="256"/>
      <c r="J791" s="571"/>
    </row>
    <row r="792" spans="1:10" ht="24.95" customHeight="1">
      <c r="A792" s="575"/>
      <c r="B792" s="139" t="s">
        <v>875</v>
      </c>
      <c r="C792" s="585">
        <v>1</v>
      </c>
      <c r="D792" s="585" t="s">
        <v>56</v>
      </c>
      <c r="E792" s="585">
        <v>1</v>
      </c>
      <c r="F792" s="256">
        <v>3.6</v>
      </c>
      <c r="G792" s="256">
        <v>6.17</v>
      </c>
      <c r="H792" s="256"/>
      <c r="I792" s="256">
        <f t="shared" si="47"/>
        <v>22.212</v>
      </c>
      <c r="J792" s="571"/>
    </row>
    <row r="793" spans="1:10" ht="24.95" customHeight="1">
      <c r="A793" s="575"/>
      <c r="B793" s="139" t="s">
        <v>920</v>
      </c>
      <c r="C793" s="585">
        <v>1</v>
      </c>
      <c r="D793" s="585" t="s">
        <v>56</v>
      </c>
      <c r="E793" s="585">
        <v>1</v>
      </c>
      <c r="F793" s="256">
        <v>3.35</v>
      </c>
      <c r="G793" s="256">
        <v>1.2</v>
      </c>
      <c r="H793" s="256"/>
      <c r="I793" s="256">
        <f t="shared" si="47"/>
        <v>4.0199999999999996</v>
      </c>
      <c r="J793" s="571"/>
    </row>
    <row r="794" spans="1:10" ht="24.95" customHeight="1">
      <c r="A794" s="575"/>
      <c r="B794" s="139" t="s">
        <v>921</v>
      </c>
      <c r="C794" s="585">
        <v>1</v>
      </c>
      <c r="D794" s="585" t="s">
        <v>56</v>
      </c>
      <c r="E794" s="585">
        <v>1</v>
      </c>
      <c r="F794" s="256">
        <v>3.6</v>
      </c>
      <c r="G794" s="256">
        <v>2.75</v>
      </c>
      <c r="H794" s="256"/>
      <c r="I794" s="256">
        <f t="shared" si="47"/>
        <v>9.9</v>
      </c>
      <c r="J794" s="571"/>
    </row>
    <row r="795" spans="1:10" ht="24.95" customHeight="1">
      <c r="A795" s="575"/>
      <c r="B795" s="139" t="s">
        <v>877</v>
      </c>
      <c r="C795" s="585">
        <v>1</v>
      </c>
      <c r="D795" s="585" t="s">
        <v>56</v>
      </c>
      <c r="E795" s="585">
        <v>1</v>
      </c>
      <c r="F795" s="256">
        <v>8.0299999999999994</v>
      </c>
      <c r="G795" s="256">
        <v>3.3</v>
      </c>
      <c r="H795" s="256"/>
      <c r="I795" s="256">
        <f t="shared" si="47"/>
        <v>26.498999999999995</v>
      </c>
      <c r="J795" s="571"/>
    </row>
    <row r="796" spans="1:10" ht="24.95" customHeight="1">
      <c r="A796" s="575"/>
      <c r="B796" s="139"/>
      <c r="C796" s="585">
        <v>1</v>
      </c>
      <c r="D796" s="585" t="s">
        <v>56</v>
      </c>
      <c r="E796" s="585">
        <v>1</v>
      </c>
      <c r="F796" s="256">
        <v>1.8</v>
      </c>
      <c r="G796" s="256">
        <v>1.1499999999999999</v>
      </c>
      <c r="H796" s="256"/>
      <c r="I796" s="256">
        <f t="shared" si="47"/>
        <v>2.0699999999999998</v>
      </c>
      <c r="J796" s="571"/>
    </row>
    <row r="797" spans="1:10" ht="24.95" customHeight="1">
      <c r="A797" s="575"/>
      <c r="B797" s="139" t="s">
        <v>922</v>
      </c>
      <c r="C797" s="585">
        <v>1</v>
      </c>
      <c r="D797" s="585" t="s">
        <v>56</v>
      </c>
      <c r="E797" s="585">
        <v>1</v>
      </c>
      <c r="F797" s="256">
        <v>12.77</v>
      </c>
      <c r="G797" s="256">
        <v>1.8</v>
      </c>
      <c r="H797" s="256"/>
      <c r="I797" s="256">
        <f t="shared" si="47"/>
        <v>22.986000000000001</v>
      </c>
      <c r="J797" s="571"/>
    </row>
    <row r="798" spans="1:10" ht="24.95" customHeight="1">
      <c r="A798" s="575"/>
      <c r="B798" s="139" t="s">
        <v>879</v>
      </c>
      <c r="C798" s="585">
        <v>1</v>
      </c>
      <c r="D798" s="585" t="s">
        <v>56</v>
      </c>
      <c r="E798" s="585">
        <v>1</v>
      </c>
      <c r="F798" s="256">
        <v>6</v>
      </c>
      <c r="G798" s="256">
        <v>6</v>
      </c>
      <c r="H798" s="256"/>
      <c r="I798" s="256">
        <f t="shared" si="47"/>
        <v>36</v>
      </c>
      <c r="J798" s="571"/>
    </row>
    <row r="799" spans="1:10" ht="24.95" customHeight="1">
      <c r="A799" s="575"/>
      <c r="B799" s="139" t="s">
        <v>923</v>
      </c>
      <c r="C799" s="585">
        <v>1</v>
      </c>
      <c r="D799" s="585" t="s">
        <v>56</v>
      </c>
      <c r="E799" s="585">
        <v>1</v>
      </c>
      <c r="F799" s="256">
        <v>6</v>
      </c>
      <c r="G799" s="256">
        <v>10.36</v>
      </c>
      <c r="H799" s="256"/>
      <c r="I799" s="256">
        <f t="shared" si="47"/>
        <v>62.16</v>
      </c>
      <c r="J799" s="571"/>
    </row>
    <row r="800" spans="1:10" ht="24.95" customHeight="1">
      <c r="A800" s="575"/>
      <c r="B800" s="139" t="s">
        <v>912</v>
      </c>
      <c r="C800" s="585">
        <v>1</v>
      </c>
      <c r="D800" s="585" t="s">
        <v>56</v>
      </c>
      <c r="E800" s="585">
        <v>1</v>
      </c>
      <c r="F800" s="262">
        <v>3.7149999999999999</v>
      </c>
      <c r="G800" s="256">
        <v>5.94</v>
      </c>
      <c r="H800" s="256"/>
      <c r="I800" s="256">
        <f t="shared" si="47"/>
        <v>22.0671</v>
      </c>
      <c r="J800" s="571"/>
    </row>
    <row r="801" spans="1:10" ht="24.95" customHeight="1">
      <c r="A801" s="575"/>
      <c r="B801" s="139"/>
      <c r="C801" s="585">
        <v>1</v>
      </c>
      <c r="D801" s="585" t="s">
        <v>56</v>
      </c>
      <c r="E801" s="585">
        <v>1</v>
      </c>
      <c r="F801" s="256">
        <v>1.65</v>
      </c>
      <c r="G801" s="256">
        <v>2.66</v>
      </c>
      <c r="H801" s="256"/>
      <c r="I801" s="256">
        <f t="shared" si="47"/>
        <v>4.3890000000000002</v>
      </c>
      <c r="J801" s="571"/>
    </row>
    <row r="802" spans="1:10" ht="24.95" customHeight="1">
      <c r="A802" s="575"/>
      <c r="B802" s="139" t="s">
        <v>924</v>
      </c>
      <c r="C802" s="585">
        <v>1</v>
      </c>
      <c r="D802" s="585" t="s">
        <v>56</v>
      </c>
      <c r="E802" s="585">
        <v>2</v>
      </c>
      <c r="F802" s="256">
        <v>3.35</v>
      </c>
      <c r="G802" s="256">
        <v>0.6</v>
      </c>
      <c r="H802" s="256"/>
      <c r="I802" s="256">
        <f t="shared" si="47"/>
        <v>4.0199999999999996</v>
      </c>
      <c r="J802" s="571"/>
    </row>
    <row r="803" spans="1:10" ht="24.95" customHeight="1">
      <c r="A803" s="575"/>
      <c r="B803" s="139" t="s">
        <v>925</v>
      </c>
      <c r="C803" s="585">
        <v>1</v>
      </c>
      <c r="D803" s="585" t="s">
        <v>56</v>
      </c>
      <c r="E803" s="585">
        <v>2</v>
      </c>
      <c r="F803" s="256">
        <v>6</v>
      </c>
      <c r="G803" s="256">
        <v>0.6</v>
      </c>
      <c r="H803" s="256"/>
      <c r="I803" s="256">
        <f t="shared" si="47"/>
        <v>7.1999999999999993</v>
      </c>
      <c r="J803" s="571"/>
    </row>
    <row r="804" spans="1:10" ht="24.95" customHeight="1">
      <c r="A804" s="575"/>
      <c r="B804" s="139" t="s">
        <v>926</v>
      </c>
      <c r="C804" s="585">
        <v>1</v>
      </c>
      <c r="D804" s="585" t="s">
        <v>56</v>
      </c>
      <c r="E804" s="585">
        <v>2</v>
      </c>
      <c r="F804" s="256">
        <v>6</v>
      </c>
      <c r="G804" s="256">
        <v>0.6</v>
      </c>
      <c r="H804" s="256"/>
      <c r="I804" s="256">
        <f t="shared" si="47"/>
        <v>7.1999999999999993</v>
      </c>
      <c r="J804" s="571"/>
    </row>
    <row r="805" spans="1:10" ht="24.95" customHeight="1">
      <c r="A805" s="575"/>
      <c r="B805" s="139"/>
      <c r="C805" s="585">
        <v>1</v>
      </c>
      <c r="D805" s="585" t="s">
        <v>56</v>
      </c>
      <c r="E805" s="585">
        <v>2</v>
      </c>
      <c r="F805" s="256">
        <f>10.36-0.6</f>
        <v>9.76</v>
      </c>
      <c r="G805" s="256">
        <v>0.6</v>
      </c>
      <c r="H805" s="256"/>
      <c r="I805" s="256">
        <f t="shared" si="47"/>
        <v>11.712</v>
      </c>
      <c r="J805" s="571"/>
    </row>
    <row r="806" spans="1:10" ht="24.95" customHeight="1">
      <c r="A806" s="575"/>
      <c r="B806" s="139" t="s">
        <v>927</v>
      </c>
      <c r="C806" s="585">
        <v>1</v>
      </c>
      <c r="D806" s="585" t="s">
        <v>56</v>
      </c>
      <c r="E806" s="585">
        <v>1</v>
      </c>
      <c r="F806" s="256">
        <v>3.75</v>
      </c>
      <c r="G806" s="256">
        <v>1.5</v>
      </c>
      <c r="H806" s="256"/>
      <c r="I806" s="256">
        <f t="shared" si="47"/>
        <v>5.625</v>
      </c>
      <c r="J806" s="571"/>
    </row>
    <row r="807" spans="1:10" ht="24.95" customHeight="1">
      <c r="A807" s="575"/>
      <c r="B807" s="139" t="s">
        <v>831</v>
      </c>
      <c r="C807" s="585">
        <v>1</v>
      </c>
      <c r="D807" s="585" t="s">
        <v>56</v>
      </c>
      <c r="E807" s="585">
        <v>1</v>
      </c>
      <c r="F807" s="256">
        <v>3.65</v>
      </c>
      <c r="G807" s="256">
        <v>1.5</v>
      </c>
      <c r="H807" s="256"/>
      <c r="I807" s="256">
        <f t="shared" si="47"/>
        <v>5.4749999999999996</v>
      </c>
      <c r="J807" s="571"/>
    </row>
    <row r="808" spans="1:10" ht="24.95" customHeight="1">
      <c r="A808" s="575"/>
      <c r="B808" s="139" t="s">
        <v>928</v>
      </c>
      <c r="C808" s="585">
        <v>1</v>
      </c>
      <c r="D808" s="585" t="s">
        <v>56</v>
      </c>
      <c r="E808" s="585">
        <v>1</v>
      </c>
      <c r="F808" s="256">
        <v>3.45</v>
      </c>
      <c r="G808" s="256">
        <v>1.5</v>
      </c>
      <c r="H808" s="256"/>
      <c r="I808" s="256">
        <f t="shared" si="47"/>
        <v>5.1750000000000007</v>
      </c>
      <c r="J808" s="571"/>
    </row>
    <row r="809" spans="1:10" ht="24.95" customHeight="1">
      <c r="A809" s="575"/>
      <c r="B809" s="139" t="s">
        <v>915</v>
      </c>
      <c r="C809" s="585">
        <v>1</v>
      </c>
      <c r="D809" s="585" t="s">
        <v>56</v>
      </c>
      <c r="E809" s="585">
        <v>1</v>
      </c>
      <c r="F809" s="256">
        <v>3.65</v>
      </c>
      <c r="G809" s="256">
        <v>2</v>
      </c>
      <c r="H809" s="256"/>
      <c r="I809" s="256">
        <f t="shared" si="47"/>
        <v>7.3</v>
      </c>
      <c r="J809" s="571"/>
    </row>
    <row r="810" spans="1:10" ht="24.95" customHeight="1">
      <c r="A810" s="575"/>
      <c r="B810" s="139" t="s">
        <v>929</v>
      </c>
      <c r="C810" s="585">
        <v>1</v>
      </c>
      <c r="D810" s="585" t="s">
        <v>56</v>
      </c>
      <c r="E810" s="585">
        <v>1</v>
      </c>
      <c r="F810" s="256">
        <v>0.9</v>
      </c>
      <c r="G810" s="256">
        <v>1.8</v>
      </c>
      <c r="H810" s="256"/>
      <c r="I810" s="256">
        <f t="shared" si="47"/>
        <v>1.62</v>
      </c>
      <c r="J810" s="571"/>
    </row>
    <row r="811" spans="1:10" ht="24.95" customHeight="1">
      <c r="A811" s="575"/>
      <c r="B811" s="139" t="s">
        <v>930</v>
      </c>
      <c r="C811" s="585">
        <v>1</v>
      </c>
      <c r="D811" s="585" t="s">
        <v>56</v>
      </c>
      <c r="E811" s="585">
        <v>1</v>
      </c>
      <c r="F811" s="256">
        <v>11.2</v>
      </c>
      <c r="G811" s="256">
        <v>19.399999999999999</v>
      </c>
      <c r="H811" s="256"/>
      <c r="I811" s="256">
        <f t="shared" si="47"/>
        <v>217.27999999999997</v>
      </c>
      <c r="J811" s="571"/>
    </row>
    <row r="812" spans="1:10" ht="24.95" customHeight="1">
      <c r="A812" s="575"/>
      <c r="B812" s="139" t="s">
        <v>931</v>
      </c>
      <c r="C812" s="585">
        <v>1</v>
      </c>
      <c r="D812" s="585" t="s">
        <v>56</v>
      </c>
      <c r="E812" s="585">
        <v>1</v>
      </c>
      <c r="F812" s="256">
        <v>7.55</v>
      </c>
      <c r="G812" s="256">
        <v>3.65</v>
      </c>
      <c r="H812" s="256"/>
      <c r="I812" s="256">
        <f t="shared" si="47"/>
        <v>27.557499999999997</v>
      </c>
      <c r="J812" s="571"/>
    </row>
    <row r="813" spans="1:10" ht="24.95" customHeight="1">
      <c r="A813" s="575"/>
      <c r="B813" s="139" t="s">
        <v>932</v>
      </c>
      <c r="C813" s="585">
        <v>2</v>
      </c>
      <c r="D813" s="585" t="s">
        <v>56</v>
      </c>
      <c r="E813" s="585">
        <v>2</v>
      </c>
      <c r="F813" s="256">
        <v>2.2599999999999998</v>
      </c>
      <c r="G813" s="256">
        <v>0.6</v>
      </c>
      <c r="H813" s="256"/>
      <c r="I813" s="256">
        <f t="shared" si="47"/>
        <v>5.4239999999999995</v>
      </c>
      <c r="J813" s="571"/>
    </row>
    <row r="814" spans="1:10" ht="24.95" customHeight="1">
      <c r="A814" s="575"/>
      <c r="B814" s="139" t="s">
        <v>713</v>
      </c>
      <c r="C814" s="585">
        <v>2</v>
      </c>
      <c r="D814" s="585" t="s">
        <v>56</v>
      </c>
      <c r="E814" s="585">
        <v>13</v>
      </c>
      <c r="F814" s="256">
        <v>1.96</v>
      </c>
      <c r="G814" s="256">
        <v>0.6</v>
      </c>
      <c r="H814" s="256"/>
      <c r="I814" s="256">
        <f t="shared" si="47"/>
        <v>30.575999999999997</v>
      </c>
      <c r="J814" s="571"/>
    </row>
    <row r="815" spans="1:10" ht="24.95" customHeight="1">
      <c r="A815" s="575"/>
      <c r="B815" s="139" t="s">
        <v>704</v>
      </c>
      <c r="C815" s="585">
        <v>2</v>
      </c>
      <c r="D815" s="585" t="s">
        <v>56</v>
      </c>
      <c r="E815" s="585">
        <v>1</v>
      </c>
      <c r="F815" s="256">
        <v>1.81</v>
      </c>
      <c r="G815" s="256">
        <v>0.6</v>
      </c>
      <c r="H815" s="256"/>
      <c r="I815" s="256">
        <f t="shared" si="47"/>
        <v>2.1720000000000002</v>
      </c>
      <c r="J815" s="571"/>
    </row>
    <row r="816" spans="1:10" ht="24.95" customHeight="1">
      <c r="A816" s="575"/>
      <c r="B816" s="139" t="s">
        <v>705</v>
      </c>
      <c r="C816" s="585">
        <v>2</v>
      </c>
      <c r="D816" s="585" t="s">
        <v>56</v>
      </c>
      <c r="E816" s="585">
        <v>10</v>
      </c>
      <c r="F816" s="256">
        <v>1.36</v>
      </c>
      <c r="G816" s="256">
        <v>0.6</v>
      </c>
      <c r="H816" s="256"/>
      <c r="I816" s="256">
        <f t="shared" si="47"/>
        <v>16.32</v>
      </c>
      <c r="J816" s="571"/>
    </row>
    <row r="817" spans="1:11" ht="24.95" customHeight="1">
      <c r="A817" s="575"/>
      <c r="B817" s="139" t="s">
        <v>731</v>
      </c>
      <c r="C817" s="585">
        <v>2</v>
      </c>
      <c r="D817" s="585" t="s">
        <v>56</v>
      </c>
      <c r="E817" s="585">
        <v>4</v>
      </c>
      <c r="F817" s="256">
        <v>1.66</v>
      </c>
      <c r="G817" s="256">
        <v>0.6</v>
      </c>
      <c r="H817" s="256"/>
      <c r="I817" s="256">
        <f t="shared" si="47"/>
        <v>7.9679999999999991</v>
      </c>
      <c r="J817" s="571"/>
    </row>
    <row r="818" spans="1:11" ht="24.95" customHeight="1">
      <c r="A818" s="575"/>
      <c r="B818" s="139" t="s">
        <v>707</v>
      </c>
      <c r="C818" s="585">
        <v>2</v>
      </c>
      <c r="D818" s="585" t="s">
        <v>56</v>
      </c>
      <c r="E818" s="585">
        <v>2</v>
      </c>
      <c r="F818" s="256">
        <v>1.66</v>
      </c>
      <c r="G818" s="256">
        <v>0.6</v>
      </c>
      <c r="H818" s="256"/>
      <c r="I818" s="256">
        <f t="shared" si="47"/>
        <v>3.9839999999999995</v>
      </c>
      <c r="J818" s="571"/>
    </row>
    <row r="819" spans="1:11" ht="24.95" customHeight="1">
      <c r="A819" s="575"/>
      <c r="B819" s="139" t="s">
        <v>708</v>
      </c>
      <c r="C819" s="585">
        <v>2</v>
      </c>
      <c r="D819" s="585" t="s">
        <v>56</v>
      </c>
      <c r="E819" s="585">
        <v>2</v>
      </c>
      <c r="F819" s="256">
        <v>1.96</v>
      </c>
      <c r="G819" s="256">
        <v>0.6</v>
      </c>
      <c r="H819" s="256"/>
      <c r="I819" s="256">
        <f t="shared" si="47"/>
        <v>4.7039999999999997</v>
      </c>
      <c r="J819" s="571"/>
    </row>
    <row r="820" spans="1:11" ht="24.95" customHeight="1">
      <c r="A820" s="575"/>
      <c r="B820" s="139" t="s">
        <v>709</v>
      </c>
      <c r="C820" s="585">
        <v>2</v>
      </c>
      <c r="D820" s="585" t="s">
        <v>56</v>
      </c>
      <c r="E820" s="585">
        <v>2</v>
      </c>
      <c r="F820" s="256">
        <v>1.51</v>
      </c>
      <c r="G820" s="256">
        <v>0.6</v>
      </c>
      <c r="H820" s="256"/>
      <c r="I820" s="256">
        <f t="shared" si="47"/>
        <v>3.6239999999999997</v>
      </c>
      <c r="J820" s="571"/>
    </row>
    <row r="821" spans="1:11" ht="24.95" customHeight="1">
      <c r="A821" s="575"/>
      <c r="B821" s="139"/>
      <c r="C821" s="585"/>
      <c r="D821" s="585"/>
      <c r="E821" s="585"/>
      <c r="F821" s="256"/>
      <c r="G821" s="256"/>
      <c r="H821" s="256"/>
      <c r="I821" s="256">
        <f>SUM(I771:I820)</f>
        <v>901.20870000000002</v>
      </c>
      <c r="J821" s="571"/>
      <c r="K821" s="570">
        <v>0.04</v>
      </c>
    </row>
    <row r="822" spans="1:11" ht="24.95" customHeight="1">
      <c r="A822" s="575"/>
      <c r="B822" s="139"/>
      <c r="C822" s="585"/>
      <c r="D822" s="585"/>
      <c r="E822" s="585"/>
      <c r="F822" s="256"/>
      <c r="G822" s="256"/>
      <c r="H822" s="259" t="s">
        <v>15</v>
      </c>
      <c r="I822" s="259">
        <f>ROUNDUP(I821,1-0)</f>
        <v>901.30000000000007</v>
      </c>
      <c r="J822" s="266" t="s">
        <v>37</v>
      </c>
    </row>
    <row r="823" spans="1:11" ht="42.75" customHeight="1">
      <c r="A823" s="220">
        <v>35.1</v>
      </c>
      <c r="B823" s="219" t="s">
        <v>189</v>
      </c>
      <c r="C823" s="223"/>
      <c r="D823" s="217"/>
      <c r="E823" s="223"/>
      <c r="F823" s="218"/>
      <c r="G823" s="218"/>
      <c r="H823" s="218"/>
      <c r="I823" s="218"/>
      <c r="J823" s="583"/>
    </row>
    <row r="824" spans="1:11" ht="24.95" customHeight="1">
      <c r="A824" s="220"/>
      <c r="B824" s="221" t="s">
        <v>193</v>
      </c>
      <c r="C824" s="223"/>
      <c r="D824" s="217"/>
      <c r="E824" s="223"/>
      <c r="F824" s="218"/>
      <c r="G824" s="218"/>
      <c r="H824" s="218"/>
      <c r="I824" s="218"/>
      <c r="J824" s="583"/>
    </row>
    <row r="825" spans="1:11" ht="24.95" customHeight="1">
      <c r="A825" s="220"/>
      <c r="B825" s="220" t="s">
        <v>933</v>
      </c>
      <c r="C825" s="223">
        <v>1</v>
      </c>
      <c r="D825" s="217" t="s">
        <v>56</v>
      </c>
      <c r="E825" s="223">
        <v>2</v>
      </c>
      <c r="F825" s="218">
        <v>12</v>
      </c>
      <c r="G825" s="218"/>
      <c r="H825" s="218">
        <v>1</v>
      </c>
      <c r="I825" s="218">
        <f t="shared" ref="I825" si="48">PRODUCT(C825:H825)</f>
        <v>24</v>
      </c>
      <c r="J825" s="583"/>
    </row>
    <row r="826" spans="1:11" ht="24.95" customHeight="1">
      <c r="A826" s="220"/>
      <c r="B826" s="220" t="s">
        <v>190</v>
      </c>
      <c r="C826" s="223">
        <v>1</v>
      </c>
      <c r="D826" s="217" t="s">
        <v>56</v>
      </c>
      <c r="E826" s="223">
        <v>2</v>
      </c>
      <c r="F826" s="579">
        <f>F792</f>
        <v>3.6</v>
      </c>
      <c r="G826" s="218">
        <v>1.66</v>
      </c>
      <c r="H826" s="218" t="s">
        <v>36</v>
      </c>
      <c r="I826" s="218">
        <f>C826*E826*F826*G826</f>
        <v>11.952</v>
      </c>
      <c r="J826" s="583"/>
    </row>
    <row r="827" spans="1:11" ht="24.95" customHeight="1">
      <c r="A827" s="220"/>
      <c r="B827" s="220"/>
      <c r="C827" s="223"/>
      <c r="D827" s="217"/>
      <c r="E827" s="223"/>
      <c r="F827" s="579"/>
      <c r="G827" s="218"/>
      <c r="H827" s="218"/>
      <c r="I827" s="218">
        <f>+SUM(I825:I826)</f>
        <v>35.951999999999998</v>
      </c>
      <c r="J827" s="583"/>
    </row>
    <row r="828" spans="1:11" ht="24.95" customHeight="1">
      <c r="A828" s="220"/>
      <c r="B828" s="220"/>
      <c r="C828" s="223"/>
      <c r="D828" s="217"/>
      <c r="E828" s="223"/>
      <c r="F828" s="218"/>
      <c r="G828" s="218"/>
      <c r="H828" s="259" t="s">
        <v>15</v>
      </c>
      <c r="I828" s="600">
        <f>ROUNDUP(I827,1)</f>
        <v>36</v>
      </c>
      <c r="J828" s="266" t="s">
        <v>37</v>
      </c>
    </row>
    <row r="829" spans="1:11" ht="24.95" customHeight="1">
      <c r="A829" s="575"/>
      <c r="B829" s="139"/>
      <c r="C829" s="585"/>
      <c r="D829" s="585"/>
      <c r="E829" s="585"/>
      <c r="F829" s="256"/>
      <c r="G829" s="256"/>
      <c r="H829" s="256"/>
      <c r="I829" s="256"/>
      <c r="J829" s="571"/>
    </row>
    <row r="830" spans="1:11" ht="29.45" customHeight="1">
      <c r="A830" s="575">
        <v>36.1</v>
      </c>
      <c r="B830" s="142" t="s">
        <v>934</v>
      </c>
      <c r="C830" s="585"/>
      <c r="D830" s="585"/>
      <c r="E830" s="585"/>
      <c r="F830" s="256"/>
      <c r="G830" s="256"/>
      <c r="H830" s="256"/>
      <c r="I830" s="256"/>
      <c r="J830" s="266"/>
    </row>
    <row r="831" spans="1:11" ht="24.95" customHeight="1">
      <c r="A831" s="575"/>
      <c r="B831" s="142" t="s">
        <v>935</v>
      </c>
      <c r="C831" s="585"/>
      <c r="D831" s="585"/>
      <c r="E831" s="585"/>
      <c r="F831" s="256"/>
      <c r="G831" s="256"/>
      <c r="H831" s="256"/>
      <c r="I831" s="256"/>
      <c r="J831" s="571"/>
    </row>
    <row r="832" spans="1:11" ht="24.95" customHeight="1">
      <c r="A832" s="575"/>
      <c r="B832" s="139" t="s">
        <v>936</v>
      </c>
      <c r="C832" s="585">
        <v>1</v>
      </c>
      <c r="D832" s="585"/>
      <c r="E832" s="585">
        <v>1</v>
      </c>
      <c r="F832" s="256">
        <v>94.96</v>
      </c>
      <c r="G832" s="256"/>
      <c r="H832" s="256"/>
      <c r="I832" s="256">
        <f>PRODUCT(C832:H832)</f>
        <v>94.96</v>
      </c>
      <c r="J832" s="571"/>
    </row>
    <row r="833" spans="1:10" ht="24.95" customHeight="1">
      <c r="A833" s="575"/>
      <c r="B833" s="139" t="s">
        <v>937</v>
      </c>
      <c r="C833" s="585">
        <v>1</v>
      </c>
      <c r="D833" s="585"/>
      <c r="E833" s="585">
        <v>1</v>
      </c>
      <c r="F833" s="256">
        <v>48.97</v>
      </c>
      <c r="G833" s="256"/>
      <c r="H833" s="256"/>
      <c r="I833" s="256">
        <f>PRODUCT(C833:H833)</f>
        <v>48.97</v>
      </c>
      <c r="J833" s="571"/>
    </row>
    <row r="834" spans="1:10" ht="24.95" customHeight="1">
      <c r="A834" s="575"/>
      <c r="B834" s="139"/>
      <c r="C834" s="585"/>
      <c r="D834" s="585"/>
      <c r="E834" s="585"/>
      <c r="F834" s="256"/>
      <c r="G834" s="256"/>
      <c r="H834" s="256"/>
      <c r="I834" s="256">
        <f>SUM(I832:I833)</f>
        <v>143.93</v>
      </c>
      <c r="J834" s="571"/>
    </row>
    <row r="835" spans="1:10" ht="24.95" customHeight="1">
      <c r="A835" s="575"/>
      <c r="B835" s="139"/>
      <c r="C835" s="585"/>
      <c r="D835" s="585"/>
      <c r="E835" s="585"/>
      <c r="F835" s="256"/>
      <c r="G835" s="256"/>
      <c r="H835" s="259" t="s">
        <v>96</v>
      </c>
      <c r="I835" s="259">
        <f>ROUNDUP(I834,1-0)</f>
        <v>144</v>
      </c>
      <c r="J835" s="266" t="s">
        <v>61</v>
      </c>
    </row>
    <row r="836" spans="1:10" ht="24.95" customHeight="1">
      <c r="A836" s="575"/>
      <c r="B836" s="142" t="s">
        <v>938</v>
      </c>
      <c r="C836" s="585"/>
      <c r="D836" s="585"/>
      <c r="E836" s="585"/>
      <c r="F836" s="256"/>
      <c r="G836" s="256"/>
      <c r="H836" s="256"/>
      <c r="I836" s="256"/>
      <c r="J836" s="571"/>
    </row>
    <row r="837" spans="1:10" ht="24.95" customHeight="1">
      <c r="A837" s="575"/>
      <c r="B837" s="139" t="s">
        <v>936</v>
      </c>
      <c r="C837" s="585">
        <v>1</v>
      </c>
      <c r="D837" s="585"/>
      <c r="E837" s="585">
        <v>1</v>
      </c>
      <c r="F837" s="256">
        <f>F832</f>
        <v>94.96</v>
      </c>
      <c r="G837" s="256"/>
      <c r="H837" s="256"/>
      <c r="I837" s="256">
        <f>PRODUCT(C837:H837)</f>
        <v>94.96</v>
      </c>
      <c r="J837" s="571"/>
    </row>
    <row r="838" spans="1:10" ht="24.95" customHeight="1">
      <c r="A838" s="575"/>
      <c r="B838" s="139" t="s">
        <v>939</v>
      </c>
      <c r="C838" s="585">
        <v>1</v>
      </c>
      <c r="D838" s="585"/>
      <c r="E838" s="585">
        <v>1</v>
      </c>
      <c r="F838" s="256">
        <f>F833</f>
        <v>48.97</v>
      </c>
      <c r="G838" s="256"/>
      <c r="H838" s="256"/>
      <c r="I838" s="256">
        <f>I833</f>
        <v>48.97</v>
      </c>
      <c r="J838" s="571"/>
    </row>
    <row r="839" spans="1:10" ht="24.95" customHeight="1">
      <c r="A839" s="575"/>
      <c r="B839" s="139"/>
      <c r="C839" s="585"/>
      <c r="D839" s="585"/>
      <c r="E839" s="585"/>
      <c r="F839" s="256"/>
      <c r="G839" s="256"/>
      <c r="H839" s="256"/>
      <c r="I839" s="256">
        <f>SUM(I837:I838)</f>
        <v>143.93</v>
      </c>
      <c r="J839" s="571"/>
    </row>
    <row r="840" spans="1:10" ht="24.95" customHeight="1">
      <c r="A840" s="575"/>
      <c r="B840" s="139"/>
      <c r="C840" s="585"/>
      <c r="D840" s="585"/>
      <c r="E840" s="585"/>
      <c r="F840" s="256"/>
      <c r="G840" s="256"/>
      <c r="H840" s="259" t="s">
        <v>15</v>
      </c>
      <c r="I840" s="259">
        <f>ROUNDUP(I839,1-0)</f>
        <v>144</v>
      </c>
      <c r="J840" s="266" t="s">
        <v>61</v>
      </c>
    </row>
    <row r="841" spans="1:10" ht="24.95" customHeight="1">
      <c r="A841" s="575"/>
      <c r="B841" s="142" t="s">
        <v>940</v>
      </c>
      <c r="C841" s="585"/>
      <c r="D841" s="585"/>
      <c r="E841" s="585"/>
      <c r="F841" s="256"/>
      <c r="G841" s="256"/>
      <c r="H841" s="256"/>
      <c r="I841" s="256"/>
      <c r="J841" s="571"/>
    </row>
    <row r="842" spans="1:10" ht="24.95" customHeight="1">
      <c r="A842" s="575"/>
      <c r="B842" s="139" t="s">
        <v>941</v>
      </c>
      <c r="C842" s="585">
        <v>1</v>
      </c>
      <c r="D842" s="585"/>
      <c r="E842" s="585">
        <v>1</v>
      </c>
      <c r="F842" s="256">
        <f>F837</f>
        <v>94.96</v>
      </c>
      <c r="G842" s="256"/>
      <c r="H842" s="256"/>
      <c r="I842" s="256">
        <f>PRODUCT(C842:H842)</f>
        <v>94.96</v>
      </c>
      <c r="J842" s="571"/>
    </row>
    <row r="843" spans="1:10" ht="24.95" customHeight="1">
      <c r="A843" s="575"/>
      <c r="B843" s="139" t="s">
        <v>939</v>
      </c>
      <c r="C843" s="585">
        <v>1</v>
      </c>
      <c r="D843" s="585"/>
      <c r="E843" s="585">
        <v>1</v>
      </c>
      <c r="F843" s="256">
        <f>F838</f>
        <v>48.97</v>
      </c>
      <c r="G843" s="256"/>
      <c r="H843" s="256"/>
      <c r="I843" s="256">
        <f>I838</f>
        <v>48.97</v>
      </c>
      <c r="J843" s="571"/>
    </row>
    <row r="844" spans="1:10" ht="24.95" customHeight="1">
      <c r="A844" s="575"/>
      <c r="B844" s="139"/>
      <c r="C844" s="585"/>
      <c r="D844" s="585"/>
      <c r="E844" s="585"/>
      <c r="F844" s="256"/>
      <c r="G844" s="256"/>
      <c r="H844" s="256"/>
      <c r="I844" s="256">
        <f>SUM(I842:I843)</f>
        <v>143.93</v>
      </c>
      <c r="J844" s="266"/>
    </row>
    <row r="845" spans="1:10" ht="22.5" customHeight="1">
      <c r="A845" s="575"/>
      <c r="B845" s="139"/>
      <c r="C845" s="585"/>
      <c r="D845" s="585"/>
      <c r="E845" s="585"/>
      <c r="F845" s="256"/>
      <c r="G845" s="256"/>
      <c r="H845" s="259" t="s">
        <v>15</v>
      </c>
      <c r="I845" s="259">
        <f>ROUNDUP(I844,1-0)</f>
        <v>144</v>
      </c>
      <c r="J845" s="266" t="s">
        <v>61</v>
      </c>
    </row>
    <row r="846" spans="1:10" ht="24.95" customHeight="1">
      <c r="A846" s="575">
        <v>37.1</v>
      </c>
      <c r="B846" s="142" t="s">
        <v>942</v>
      </c>
      <c r="C846" s="585"/>
      <c r="D846" s="585"/>
      <c r="E846" s="585"/>
      <c r="F846" s="256"/>
      <c r="G846" s="256"/>
      <c r="H846" s="256"/>
      <c r="I846" s="256"/>
      <c r="J846" s="571"/>
    </row>
    <row r="847" spans="1:10" ht="24.95" customHeight="1">
      <c r="A847" s="575"/>
      <c r="B847" s="139" t="s">
        <v>943</v>
      </c>
      <c r="C847" s="585"/>
      <c r="D847" s="585"/>
      <c r="E847" s="585"/>
      <c r="F847" s="256"/>
      <c r="G847" s="256"/>
      <c r="H847" s="256"/>
      <c r="I847" s="256"/>
      <c r="J847" s="571"/>
    </row>
    <row r="848" spans="1:10" ht="24.95" customHeight="1">
      <c r="A848" s="575"/>
      <c r="B848" s="139" t="s">
        <v>944</v>
      </c>
      <c r="C848" s="585">
        <v>1</v>
      </c>
      <c r="D848" s="585"/>
      <c r="E848" s="585">
        <v>1</v>
      </c>
      <c r="F848" s="256">
        <f>I822</f>
        <v>901.30000000000007</v>
      </c>
      <c r="G848" s="256"/>
      <c r="H848" s="256"/>
      <c r="I848" s="259">
        <f>F848*E848</f>
        <v>901.30000000000007</v>
      </c>
      <c r="J848" s="266" t="s">
        <v>37</v>
      </c>
    </row>
    <row r="849" spans="1:10" ht="24.95" customHeight="1">
      <c r="A849" s="575"/>
      <c r="B849" s="139"/>
      <c r="C849" s="585"/>
      <c r="D849" s="585"/>
      <c r="E849" s="585"/>
      <c r="F849" s="256"/>
      <c r="G849" s="256"/>
      <c r="H849" s="256"/>
      <c r="I849" s="256"/>
      <c r="J849" s="571"/>
    </row>
    <row r="850" spans="1:10" ht="30">
      <c r="A850" s="575">
        <v>39</v>
      </c>
      <c r="B850" s="142" t="s">
        <v>945</v>
      </c>
      <c r="C850" s="585"/>
      <c r="D850" s="585"/>
      <c r="E850" s="585"/>
      <c r="F850" s="256"/>
      <c r="G850" s="256"/>
      <c r="H850" s="256"/>
      <c r="I850" s="256"/>
      <c r="J850" s="571"/>
    </row>
    <row r="851" spans="1:10" ht="24.95" customHeight="1">
      <c r="A851" s="575"/>
      <c r="B851" s="139" t="s">
        <v>946</v>
      </c>
      <c r="C851" s="585">
        <v>1</v>
      </c>
      <c r="D851" s="585"/>
      <c r="E851" s="585">
        <v>3</v>
      </c>
      <c r="F851" s="256">
        <v>7</v>
      </c>
      <c r="G851" s="256"/>
      <c r="H851" s="256">
        <v>0.6</v>
      </c>
      <c r="I851" s="256">
        <f>PRODUCT(C851:H851)</f>
        <v>12.6</v>
      </c>
      <c r="J851" s="571"/>
    </row>
    <row r="852" spans="1:10" ht="24.95" customHeight="1">
      <c r="A852" s="575"/>
      <c r="B852" s="139" t="s">
        <v>947</v>
      </c>
      <c r="C852" s="585">
        <v>1</v>
      </c>
      <c r="D852" s="585"/>
      <c r="E852" s="585">
        <v>4</v>
      </c>
      <c r="F852" s="256">
        <v>4</v>
      </c>
      <c r="G852" s="256"/>
      <c r="H852" s="256">
        <v>0.6</v>
      </c>
      <c r="I852" s="256">
        <f>PRODUCT(C852:H852)</f>
        <v>9.6</v>
      </c>
      <c r="J852" s="571"/>
    </row>
    <row r="853" spans="1:10" ht="24.95" customHeight="1">
      <c r="A853" s="575"/>
      <c r="B853" s="139" t="s">
        <v>948</v>
      </c>
      <c r="C853" s="585">
        <v>1</v>
      </c>
      <c r="D853" s="585"/>
      <c r="E853" s="585">
        <v>1</v>
      </c>
      <c r="F853" s="256">
        <v>1</v>
      </c>
      <c r="G853" s="256"/>
      <c r="H853" s="256">
        <v>2.1</v>
      </c>
      <c r="I853" s="256">
        <f>PRODUCT(C853:H853)</f>
        <v>2.1</v>
      </c>
      <c r="J853" s="571"/>
    </row>
    <row r="854" spans="1:10" ht="24.95" customHeight="1">
      <c r="A854" s="575"/>
      <c r="B854" s="139" t="s">
        <v>949</v>
      </c>
      <c r="C854" s="585">
        <v>1</v>
      </c>
      <c r="D854" s="585"/>
      <c r="E854" s="585">
        <v>1</v>
      </c>
      <c r="F854" s="256">
        <v>0.9</v>
      </c>
      <c r="G854" s="256"/>
      <c r="H854" s="256">
        <v>2.1</v>
      </c>
      <c r="I854" s="256">
        <f>PRODUCT(C854:H854)</f>
        <v>1.8900000000000001</v>
      </c>
      <c r="J854" s="571"/>
    </row>
    <row r="855" spans="1:10" ht="24.95" customHeight="1">
      <c r="A855" s="575"/>
      <c r="B855" s="139" t="s">
        <v>950</v>
      </c>
      <c r="C855" s="585">
        <v>1</v>
      </c>
      <c r="D855" s="585"/>
      <c r="E855" s="585">
        <v>1</v>
      </c>
      <c r="F855" s="256">
        <v>3.14</v>
      </c>
      <c r="G855" s="256">
        <v>0.03</v>
      </c>
      <c r="H855" s="256">
        <v>10</v>
      </c>
      <c r="I855" s="256">
        <f>PRODUCT(C855:H855)</f>
        <v>0.94200000000000006</v>
      </c>
      <c r="J855" s="571"/>
    </row>
    <row r="856" spans="1:10" ht="24.95" customHeight="1">
      <c r="A856" s="575"/>
      <c r="B856" s="139"/>
      <c r="C856" s="585"/>
      <c r="D856" s="585"/>
      <c r="E856" s="585"/>
      <c r="F856" s="256"/>
      <c r="G856" s="256"/>
      <c r="H856" s="256"/>
      <c r="I856" s="256">
        <f>SUM(I851:I855)</f>
        <v>27.132000000000001</v>
      </c>
      <c r="J856" s="571"/>
    </row>
    <row r="857" spans="1:10" ht="24.95" customHeight="1">
      <c r="A857" s="575"/>
      <c r="B857" s="139"/>
      <c r="C857" s="585"/>
      <c r="D857" s="585"/>
      <c r="E857" s="585"/>
      <c r="F857" s="256"/>
      <c r="G857" s="256"/>
      <c r="H857" s="256"/>
      <c r="I857" s="259">
        <f>ROUNDUP(I856,1-0)</f>
        <v>27.200000000000003</v>
      </c>
      <c r="J857" s="571"/>
    </row>
    <row r="858" spans="1:10" ht="24.95" customHeight="1">
      <c r="A858" s="575"/>
      <c r="B858" s="139" t="s">
        <v>951</v>
      </c>
      <c r="C858" s="585"/>
      <c r="D858" s="585"/>
      <c r="E858" s="585"/>
      <c r="F858" s="256"/>
      <c r="G858" s="256">
        <f>I857</f>
        <v>27.200000000000003</v>
      </c>
      <c r="H858" s="256">
        <v>35</v>
      </c>
      <c r="I858" s="259">
        <f>G858*H858</f>
        <v>952.00000000000011</v>
      </c>
      <c r="J858" s="266" t="s">
        <v>165</v>
      </c>
    </row>
    <row r="859" spans="1:10" ht="24.95" customHeight="1">
      <c r="A859" s="575"/>
      <c r="B859" s="139"/>
      <c r="C859" s="585"/>
      <c r="D859" s="585"/>
      <c r="E859" s="585"/>
      <c r="F859" s="256"/>
      <c r="G859" s="256"/>
      <c r="H859" s="256" t="s">
        <v>203</v>
      </c>
      <c r="I859" s="259">
        <f>ROUNDUP(I858,1-0)</f>
        <v>952</v>
      </c>
      <c r="J859" s="266" t="s">
        <v>165</v>
      </c>
    </row>
    <row r="860" spans="1:10" ht="24.95" customHeight="1">
      <c r="A860" s="575"/>
      <c r="B860" s="139"/>
      <c r="C860" s="585"/>
      <c r="D860" s="585"/>
      <c r="E860" s="585"/>
      <c r="F860" s="256"/>
      <c r="G860" s="256"/>
      <c r="H860" s="256"/>
      <c r="I860" s="259"/>
      <c r="J860" s="266"/>
    </row>
    <row r="861" spans="1:10" ht="24.95" customHeight="1">
      <c r="A861" s="575">
        <v>24</v>
      </c>
      <c r="B861" s="139" t="s">
        <v>952</v>
      </c>
      <c r="C861" s="585"/>
      <c r="D861" s="585"/>
      <c r="E861" s="585"/>
      <c r="F861" s="256"/>
      <c r="G861" s="256"/>
      <c r="H861" s="256"/>
      <c r="I861" s="259"/>
      <c r="J861" s="266"/>
    </row>
    <row r="862" spans="1:10" ht="24.95" customHeight="1">
      <c r="A862" s="575"/>
      <c r="B862" s="142" t="s">
        <v>953</v>
      </c>
      <c r="C862" s="585">
        <v>1</v>
      </c>
      <c r="D862" s="585"/>
      <c r="E862" s="585">
        <v>2</v>
      </c>
      <c r="F862" s="256">
        <v>1.8</v>
      </c>
      <c r="G862" s="256"/>
      <c r="H862" s="256">
        <v>1.65</v>
      </c>
      <c r="I862" s="256">
        <v>5.94</v>
      </c>
      <c r="J862" s="266"/>
    </row>
    <row r="863" spans="1:10" ht="24.95" customHeight="1">
      <c r="A863" s="575"/>
      <c r="B863" s="142" t="s">
        <v>713</v>
      </c>
      <c r="C863" s="585">
        <v>1</v>
      </c>
      <c r="D863" s="585"/>
      <c r="E863" s="585">
        <v>13</v>
      </c>
      <c r="F863" s="256">
        <v>1.5</v>
      </c>
      <c r="G863" s="256"/>
      <c r="H863" s="256">
        <v>1.65</v>
      </c>
      <c r="I863" s="256">
        <v>32.18</v>
      </c>
      <c r="J863" s="266"/>
    </row>
    <row r="864" spans="1:10" ht="24.95" customHeight="1">
      <c r="A864" s="575"/>
      <c r="B864" s="142" t="s">
        <v>704</v>
      </c>
      <c r="C864" s="585">
        <v>1</v>
      </c>
      <c r="D864" s="585"/>
      <c r="E864" s="585">
        <v>1</v>
      </c>
      <c r="F864" s="256">
        <v>1.35</v>
      </c>
      <c r="G864" s="256"/>
      <c r="H864" s="256">
        <v>1.65</v>
      </c>
      <c r="I864" s="256">
        <v>2.23</v>
      </c>
      <c r="J864" s="266"/>
    </row>
    <row r="865" spans="1:10" ht="24.95" customHeight="1">
      <c r="A865" s="575"/>
      <c r="B865" s="142" t="s">
        <v>705</v>
      </c>
      <c r="C865" s="585">
        <v>1</v>
      </c>
      <c r="D865" s="585"/>
      <c r="E865" s="585">
        <v>10</v>
      </c>
      <c r="F865" s="256">
        <v>0.9</v>
      </c>
      <c r="G865" s="256"/>
      <c r="H865" s="256">
        <v>1.65</v>
      </c>
      <c r="I865" s="256">
        <v>14.85</v>
      </c>
      <c r="J865" s="266"/>
    </row>
    <row r="866" spans="1:10" ht="24.95" customHeight="1">
      <c r="A866" s="575"/>
      <c r="B866" s="142" t="s">
        <v>731</v>
      </c>
      <c r="C866" s="585">
        <v>1</v>
      </c>
      <c r="D866" s="585"/>
      <c r="E866" s="585">
        <v>4</v>
      </c>
      <c r="F866" s="256">
        <v>1.2</v>
      </c>
      <c r="G866" s="256"/>
      <c r="H866" s="256">
        <v>1.65</v>
      </c>
      <c r="I866" s="256">
        <v>7.92</v>
      </c>
      <c r="J866" s="266"/>
    </row>
    <row r="867" spans="1:10" ht="24.95" customHeight="1">
      <c r="A867" s="575"/>
      <c r="B867" s="142" t="s">
        <v>707</v>
      </c>
      <c r="C867" s="585">
        <v>1</v>
      </c>
      <c r="D867" s="585"/>
      <c r="E867" s="585">
        <v>2</v>
      </c>
      <c r="F867" s="256">
        <v>1.2</v>
      </c>
      <c r="G867" s="256"/>
      <c r="H867" s="256">
        <v>1.65</v>
      </c>
      <c r="I867" s="256">
        <v>3.96</v>
      </c>
      <c r="J867" s="266"/>
    </row>
    <row r="868" spans="1:10" ht="24.95" customHeight="1">
      <c r="A868" s="575"/>
      <c r="B868" s="142" t="s">
        <v>708</v>
      </c>
      <c r="C868" s="585">
        <v>1</v>
      </c>
      <c r="D868" s="585"/>
      <c r="E868" s="585">
        <v>2</v>
      </c>
      <c r="F868" s="256">
        <v>1.5</v>
      </c>
      <c r="G868" s="256"/>
      <c r="H868" s="256">
        <v>1.65</v>
      </c>
      <c r="I868" s="256">
        <v>4.95</v>
      </c>
      <c r="J868" s="266"/>
    </row>
    <row r="869" spans="1:10" ht="24.95" customHeight="1">
      <c r="A869" s="575"/>
      <c r="B869" s="142" t="s">
        <v>709</v>
      </c>
      <c r="C869" s="585">
        <v>1</v>
      </c>
      <c r="D869" s="585"/>
      <c r="E869" s="585">
        <v>4</v>
      </c>
      <c r="F869" s="256">
        <v>1.05</v>
      </c>
      <c r="G869" s="256"/>
      <c r="H869" s="256">
        <v>1.65</v>
      </c>
      <c r="I869" s="256">
        <v>6.93</v>
      </c>
      <c r="J869" s="266"/>
    </row>
    <row r="870" spans="1:10" ht="24.95" customHeight="1">
      <c r="A870" s="575"/>
      <c r="B870" s="142" t="s">
        <v>755</v>
      </c>
      <c r="C870" s="585">
        <v>1</v>
      </c>
      <c r="D870" s="585"/>
      <c r="E870" s="585">
        <v>2</v>
      </c>
      <c r="F870" s="256">
        <v>0.75</v>
      </c>
      <c r="G870" s="256"/>
      <c r="H870" s="256">
        <v>2.4</v>
      </c>
      <c r="I870" s="256">
        <v>3.6</v>
      </c>
      <c r="J870" s="266"/>
    </row>
    <row r="871" spans="1:10" ht="24.95" customHeight="1">
      <c r="A871" s="575"/>
      <c r="B871" s="142" t="s">
        <v>755</v>
      </c>
      <c r="C871" s="585">
        <v>1</v>
      </c>
      <c r="D871" s="585"/>
      <c r="E871" s="585">
        <v>1</v>
      </c>
      <c r="F871" s="256">
        <v>0.8</v>
      </c>
      <c r="G871" s="256"/>
      <c r="H871" s="256">
        <v>2.1</v>
      </c>
      <c r="I871" s="256">
        <v>1.68</v>
      </c>
      <c r="J871" s="266"/>
    </row>
    <row r="872" spans="1:10" ht="24.95" customHeight="1">
      <c r="A872" s="575"/>
      <c r="B872" s="142" t="s">
        <v>706</v>
      </c>
      <c r="C872" s="585">
        <v>1</v>
      </c>
      <c r="D872" s="585"/>
      <c r="E872" s="585">
        <v>1</v>
      </c>
      <c r="F872" s="256">
        <v>0.75</v>
      </c>
      <c r="G872" s="256"/>
      <c r="H872" s="256">
        <v>2.1</v>
      </c>
      <c r="I872" s="256">
        <v>1.58</v>
      </c>
      <c r="J872" s="266"/>
    </row>
    <row r="873" spans="1:10" ht="24.95" customHeight="1">
      <c r="A873" s="575"/>
      <c r="B873" s="142" t="s">
        <v>814</v>
      </c>
      <c r="C873" s="585">
        <v>1</v>
      </c>
      <c r="D873" s="585"/>
      <c r="E873" s="585">
        <v>3</v>
      </c>
      <c r="F873" s="256">
        <v>1.8</v>
      </c>
      <c r="G873" s="256"/>
      <c r="H873" s="256">
        <v>0.6</v>
      </c>
      <c r="I873" s="256">
        <v>3.24</v>
      </c>
      <c r="J873" s="266"/>
    </row>
    <row r="874" spans="1:10" ht="24.95" customHeight="1">
      <c r="A874" s="575"/>
      <c r="B874" s="142" t="s">
        <v>756</v>
      </c>
      <c r="C874" s="585">
        <v>1</v>
      </c>
      <c r="D874" s="585"/>
      <c r="E874" s="585">
        <v>12</v>
      </c>
      <c r="F874" s="256">
        <v>1.2</v>
      </c>
      <c r="G874" s="256"/>
      <c r="H874" s="256">
        <v>0.6</v>
      </c>
      <c r="I874" s="256">
        <v>8.64</v>
      </c>
      <c r="J874" s="266"/>
    </row>
    <row r="875" spans="1:10" ht="24.95" customHeight="1">
      <c r="A875" s="575"/>
      <c r="B875" s="142" t="s">
        <v>756</v>
      </c>
      <c r="C875" s="585">
        <v>1</v>
      </c>
      <c r="D875" s="585"/>
      <c r="E875" s="585">
        <v>1</v>
      </c>
      <c r="F875" s="256">
        <v>2.1</v>
      </c>
      <c r="G875" s="256"/>
      <c r="H875" s="256">
        <v>0.6</v>
      </c>
      <c r="I875" s="256">
        <v>1.26</v>
      </c>
      <c r="J875" s="266"/>
    </row>
    <row r="876" spans="1:10" ht="24.95" customHeight="1">
      <c r="A876" s="575"/>
      <c r="B876" s="142" t="s">
        <v>816</v>
      </c>
      <c r="C876" s="585">
        <v>1</v>
      </c>
      <c r="D876" s="585"/>
      <c r="E876" s="585">
        <v>13</v>
      </c>
      <c r="F876" s="256">
        <v>0.9</v>
      </c>
      <c r="G876" s="256"/>
      <c r="H876" s="256">
        <v>0.9</v>
      </c>
      <c r="I876" s="256">
        <v>10.53</v>
      </c>
      <c r="J876" s="266"/>
    </row>
    <row r="877" spans="1:10" ht="24.95" customHeight="1">
      <c r="A877" s="575"/>
      <c r="B877" s="142" t="s">
        <v>815</v>
      </c>
      <c r="C877" s="585">
        <v>2</v>
      </c>
      <c r="D877" s="585"/>
      <c r="E877" s="585">
        <v>2</v>
      </c>
      <c r="F877" s="256">
        <v>0.9</v>
      </c>
      <c r="G877" s="256"/>
      <c r="H877" s="256">
        <v>0.9</v>
      </c>
      <c r="I877" s="256">
        <v>3.24</v>
      </c>
      <c r="J877" s="266"/>
    </row>
    <row r="878" spans="1:10" ht="24.95" customHeight="1">
      <c r="A878" s="575"/>
      <c r="B878" s="142" t="s">
        <v>756</v>
      </c>
      <c r="C878" s="585">
        <v>2</v>
      </c>
      <c r="D878" s="585"/>
      <c r="E878" s="585">
        <v>2</v>
      </c>
      <c r="F878" s="256">
        <v>0.9</v>
      </c>
      <c r="G878" s="256"/>
      <c r="H878" s="256">
        <v>0.9</v>
      </c>
      <c r="I878" s="256">
        <v>3.24</v>
      </c>
      <c r="J878" s="266"/>
    </row>
    <row r="879" spans="1:10" ht="24.95" customHeight="1">
      <c r="A879" s="575"/>
      <c r="B879" s="139"/>
      <c r="C879" s="585"/>
      <c r="D879" s="585"/>
      <c r="E879" s="585"/>
      <c r="F879" s="256"/>
      <c r="G879" s="256"/>
      <c r="H879" s="256"/>
      <c r="I879" s="259">
        <f>+SUM(I862:I878)</f>
        <v>115.97</v>
      </c>
      <c r="J879" s="266"/>
    </row>
    <row r="880" spans="1:10" ht="24.95" customHeight="1">
      <c r="A880" s="575"/>
      <c r="B880" s="139"/>
      <c r="C880" s="585"/>
      <c r="D880" s="585"/>
      <c r="E880" s="585"/>
      <c r="F880" s="256"/>
      <c r="G880" s="256"/>
      <c r="H880" s="256"/>
      <c r="I880" s="259">
        <f>ROUNDUP(I879,1-0)</f>
        <v>116</v>
      </c>
      <c r="J880" s="266"/>
    </row>
    <row r="881" spans="1:10" ht="24.95" customHeight="1">
      <c r="A881" s="575"/>
      <c r="B881" s="139"/>
      <c r="C881" s="585"/>
      <c r="D881" s="585"/>
      <c r="E881" s="585"/>
      <c r="F881" s="256"/>
      <c r="G881" s="256">
        <f>I880</f>
        <v>116</v>
      </c>
      <c r="H881" s="256">
        <v>35</v>
      </c>
      <c r="I881" s="259">
        <f>G881*H881</f>
        <v>4060</v>
      </c>
      <c r="J881" s="266" t="s">
        <v>165</v>
      </c>
    </row>
    <row r="882" spans="1:10" ht="24.95" customHeight="1">
      <c r="A882" s="575"/>
      <c r="B882" s="139"/>
      <c r="C882" s="585"/>
      <c r="D882" s="585"/>
      <c r="E882" s="585"/>
      <c r="F882" s="256"/>
      <c r="G882" s="256"/>
      <c r="H882" s="256"/>
      <c r="I882" s="259"/>
      <c r="J882" s="266"/>
    </row>
    <row r="883" spans="1:10" ht="24.95" customHeight="1">
      <c r="A883" s="575">
        <v>40</v>
      </c>
      <c r="B883" s="142" t="s">
        <v>954</v>
      </c>
      <c r="C883" s="585"/>
      <c r="D883" s="585"/>
      <c r="E883" s="585"/>
      <c r="F883" s="256"/>
      <c r="G883" s="256"/>
      <c r="H883" s="256"/>
      <c r="I883" s="256"/>
      <c r="J883" s="266"/>
    </row>
    <row r="884" spans="1:10" ht="24.95" customHeight="1">
      <c r="A884" s="575"/>
      <c r="B884" s="139" t="s">
        <v>955</v>
      </c>
      <c r="C884" s="585">
        <v>1</v>
      </c>
      <c r="D884" s="585"/>
      <c r="E884" s="585">
        <v>8</v>
      </c>
      <c r="F884" s="256">
        <v>1.2</v>
      </c>
      <c r="G884" s="256"/>
      <c r="H884" s="256">
        <v>2.4</v>
      </c>
      <c r="I884" s="256">
        <f>SUM(C884:H884)</f>
        <v>12.6</v>
      </c>
      <c r="J884" s="571"/>
    </row>
    <row r="885" spans="1:10" ht="24.95" customHeight="1">
      <c r="A885" s="575"/>
      <c r="B885" s="139" t="s">
        <v>955</v>
      </c>
      <c r="C885" s="585">
        <v>1</v>
      </c>
      <c r="D885" s="585"/>
      <c r="E885" s="585">
        <v>7</v>
      </c>
      <c r="F885" s="256">
        <v>0.9</v>
      </c>
      <c r="G885" s="256"/>
      <c r="H885" s="256">
        <v>2.4</v>
      </c>
      <c r="I885" s="256">
        <f>SUM(C885:H885)</f>
        <v>11.3</v>
      </c>
      <c r="J885" s="571"/>
    </row>
    <row r="886" spans="1:10" ht="24.95" customHeight="1">
      <c r="A886" s="575"/>
      <c r="B886" s="139"/>
      <c r="C886" s="585"/>
      <c r="D886" s="585"/>
      <c r="E886" s="585"/>
      <c r="F886" s="1430" t="s">
        <v>956</v>
      </c>
      <c r="G886" s="1430"/>
      <c r="H886" s="1430"/>
      <c r="I886" s="256">
        <f>SUM(I884:I885)</f>
        <v>23.9</v>
      </c>
      <c r="J886" s="571"/>
    </row>
    <row r="887" spans="1:10" ht="24.95" customHeight="1">
      <c r="A887" s="575"/>
      <c r="B887" s="139"/>
      <c r="C887" s="585"/>
      <c r="D887" s="585"/>
      <c r="E887" s="585"/>
      <c r="F887" s="256"/>
      <c r="G887" s="256"/>
      <c r="H887" s="259" t="s">
        <v>15</v>
      </c>
      <c r="I887" s="259">
        <f>ROUNDUP(I886,1-0)</f>
        <v>23.9</v>
      </c>
      <c r="J887" s="266" t="s">
        <v>37</v>
      </c>
    </row>
    <row r="888" spans="1:10" ht="24.95" customHeight="1">
      <c r="A888" s="575">
        <v>41</v>
      </c>
      <c r="B888" s="142" t="s">
        <v>957</v>
      </c>
      <c r="C888" s="585"/>
      <c r="D888" s="585"/>
      <c r="E888" s="585"/>
      <c r="F888" s="256"/>
      <c r="G888" s="256"/>
      <c r="H888" s="256"/>
      <c r="I888" s="256"/>
      <c r="J888" s="571"/>
    </row>
    <row r="889" spans="1:10" ht="24.95" customHeight="1">
      <c r="A889" s="575"/>
      <c r="B889" s="139" t="s">
        <v>953</v>
      </c>
      <c r="C889" s="585">
        <v>1</v>
      </c>
      <c r="D889" s="585"/>
      <c r="E889" s="585">
        <v>2</v>
      </c>
      <c r="F889" s="256">
        <v>1.8</v>
      </c>
      <c r="G889" s="256"/>
      <c r="H889" s="256">
        <v>1.65</v>
      </c>
      <c r="I889" s="256">
        <v>5.94</v>
      </c>
      <c r="J889" s="571"/>
    </row>
    <row r="890" spans="1:10" ht="24.95" customHeight="1">
      <c r="A890" s="575"/>
      <c r="B890" s="139" t="s">
        <v>713</v>
      </c>
      <c r="C890" s="585">
        <v>1</v>
      </c>
      <c r="D890" s="585"/>
      <c r="E890" s="585">
        <v>13</v>
      </c>
      <c r="F890" s="256">
        <v>1.5</v>
      </c>
      <c r="G890" s="256"/>
      <c r="H890" s="256">
        <v>1.65</v>
      </c>
      <c r="I890" s="256">
        <v>32.18</v>
      </c>
      <c r="J890" s="571"/>
    </row>
    <row r="891" spans="1:10" ht="24.95" customHeight="1">
      <c r="A891" s="575"/>
      <c r="B891" s="139" t="s">
        <v>704</v>
      </c>
      <c r="C891" s="585">
        <v>1</v>
      </c>
      <c r="D891" s="585"/>
      <c r="E891" s="585">
        <v>1</v>
      </c>
      <c r="F891" s="256">
        <v>1.35</v>
      </c>
      <c r="G891" s="256"/>
      <c r="H891" s="256">
        <v>1.65</v>
      </c>
      <c r="I891" s="256">
        <v>2.23</v>
      </c>
      <c r="J891" s="571"/>
    </row>
    <row r="892" spans="1:10" ht="24.95" customHeight="1">
      <c r="A892" s="575"/>
      <c r="B892" s="139" t="s">
        <v>705</v>
      </c>
      <c r="C892" s="585">
        <v>1</v>
      </c>
      <c r="D892" s="585"/>
      <c r="E892" s="585">
        <v>10</v>
      </c>
      <c r="F892" s="256">
        <v>0.9</v>
      </c>
      <c r="G892" s="256"/>
      <c r="H892" s="256">
        <v>1.65</v>
      </c>
      <c r="I892" s="256">
        <v>14.85</v>
      </c>
      <c r="J892" s="571"/>
    </row>
    <row r="893" spans="1:10" ht="24.95" customHeight="1">
      <c r="A893" s="575"/>
      <c r="B893" s="139" t="s">
        <v>731</v>
      </c>
      <c r="C893" s="585">
        <v>1</v>
      </c>
      <c r="D893" s="585"/>
      <c r="E893" s="585">
        <v>4</v>
      </c>
      <c r="F893" s="256">
        <v>1.2</v>
      </c>
      <c r="G893" s="256"/>
      <c r="H893" s="256">
        <v>1.65</v>
      </c>
      <c r="I893" s="256">
        <v>7.92</v>
      </c>
      <c r="J893" s="571"/>
    </row>
    <row r="894" spans="1:10" ht="24.95" customHeight="1">
      <c r="A894" s="575"/>
      <c r="B894" s="139" t="s">
        <v>707</v>
      </c>
      <c r="C894" s="585">
        <v>1</v>
      </c>
      <c r="D894" s="585"/>
      <c r="E894" s="585">
        <v>2</v>
      </c>
      <c r="F894" s="256">
        <v>1.2</v>
      </c>
      <c r="G894" s="256"/>
      <c r="H894" s="256">
        <v>1.65</v>
      </c>
      <c r="I894" s="256">
        <v>3.96</v>
      </c>
      <c r="J894" s="571"/>
    </row>
    <row r="895" spans="1:10" ht="24.95" customHeight="1">
      <c r="A895" s="575"/>
      <c r="B895" s="139" t="s">
        <v>708</v>
      </c>
      <c r="C895" s="585">
        <v>1</v>
      </c>
      <c r="D895" s="585"/>
      <c r="E895" s="585">
        <v>2</v>
      </c>
      <c r="F895" s="256">
        <v>1.5</v>
      </c>
      <c r="G895" s="256"/>
      <c r="H895" s="256">
        <v>1.65</v>
      </c>
      <c r="I895" s="256">
        <v>4.95</v>
      </c>
      <c r="J895" s="571"/>
    </row>
    <row r="896" spans="1:10" ht="24.95" customHeight="1">
      <c r="A896" s="575"/>
      <c r="B896" s="139" t="s">
        <v>709</v>
      </c>
      <c r="C896" s="585">
        <v>1</v>
      </c>
      <c r="D896" s="585"/>
      <c r="E896" s="585">
        <v>4</v>
      </c>
      <c r="F896" s="256">
        <v>1.05</v>
      </c>
      <c r="G896" s="256"/>
      <c r="H896" s="256">
        <v>1.65</v>
      </c>
      <c r="I896" s="256">
        <v>6.93</v>
      </c>
      <c r="J896" s="571"/>
    </row>
    <row r="897" spans="1:10" ht="24.95" customHeight="1">
      <c r="A897" s="575"/>
      <c r="B897" s="139" t="s">
        <v>755</v>
      </c>
      <c r="C897" s="585">
        <v>1</v>
      </c>
      <c r="D897" s="585"/>
      <c r="E897" s="585">
        <v>2</v>
      </c>
      <c r="F897" s="256">
        <v>0.75</v>
      </c>
      <c r="G897" s="256"/>
      <c r="H897" s="256">
        <v>2.4</v>
      </c>
      <c r="I897" s="256">
        <v>3.6</v>
      </c>
      <c r="J897" s="571"/>
    </row>
    <row r="898" spans="1:10" ht="24.95" customHeight="1">
      <c r="A898" s="575"/>
      <c r="B898" s="139" t="s">
        <v>755</v>
      </c>
      <c r="C898" s="585">
        <v>1</v>
      </c>
      <c r="D898" s="585"/>
      <c r="E898" s="585">
        <v>1</v>
      </c>
      <c r="F898" s="256">
        <v>0.8</v>
      </c>
      <c r="G898" s="256"/>
      <c r="H898" s="256">
        <v>2.1</v>
      </c>
      <c r="I898" s="256">
        <v>1.68</v>
      </c>
      <c r="J898" s="571"/>
    </row>
    <row r="899" spans="1:10" ht="24.95" customHeight="1">
      <c r="A899" s="575"/>
      <c r="B899" s="139" t="s">
        <v>706</v>
      </c>
      <c r="C899" s="585">
        <v>1</v>
      </c>
      <c r="D899" s="585"/>
      <c r="E899" s="585">
        <v>1</v>
      </c>
      <c r="F899" s="256">
        <v>0.75</v>
      </c>
      <c r="G899" s="256"/>
      <c r="H899" s="256">
        <v>2.1</v>
      </c>
      <c r="I899" s="256">
        <v>1.58</v>
      </c>
      <c r="J899" s="571"/>
    </row>
    <row r="900" spans="1:10" ht="24.95" customHeight="1">
      <c r="A900" s="575"/>
      <c r="B900" s="139" t="s">
        <v>814</v>
      </c>
      <c r="C900" s="585">
        <v>1</v>
      </c>
      <c r="D900" s="585"/>
      <c r="E900" s="585">
        <v>3</v>
      </c>
      <c r="F900" s="256">
        <v>1.8</v>
      </c>
      <c r="G900" s="256"/>
      <c r="H900" s="256">
        <v>0.6</v>
      </c>
      <c r="I900" s="256">
        <v>3.24</v>
      </c>
      <c r="J900" s="571"/>
    </row>
    <row r="901" spans="1:10" ht="24.95" customHeight="1">
      <c r="A901" s="575"/>
      <c r="B901" s="139" t="s">
        <v>756</v>
      </c>
      <c r="C901" s="585">
        <v>1</v>
      </c>
      <c r="D901" s="585"/>
      <c r="E901" s="585">
        <v>12</v>
      </c>
      <c r="F901" s="256">
        <v>1.2</v>
      </c>
      <c r="G901" s="256"/>
      <c r="H901" s="256">
        <v>0.6</v>
      </c>
      <c r="I901" s="256">
        <v>8.64</v>
      </c>
      <c r="J901" s="571"/>
    </row>
    <row r="902" spans="1:10" ht="24.95" customHeight="1">
      <c r="A902" s="575"/>
      <c r="B902" s="139" t="s">
        <v>756</v>
      </c>
      <c r="C902" s="585">
        <v>1</v>
      </c>
      <c r="D902" s="585"/>
      <c r="E902" s="585">
        <v>1</v>
      </c>
      <c r="F902" s="256">
        <v>2.1</v>
      </c>
      <c r="G902" s="256"/>
      <c r="H902" s="256">
        <v>0.6</v>
      </c>
      <c r="I902" s="256">
        <v>1.26</v>
      </c>
      <c r="J902" s="571"/>
    </row>
    <row r="903" spans="1:10" ht="24.95" customHeight="1">
      <c r="A903" s="575"/>
      <c r="B903" s="139" t="s">
        <v>816</v>
      </c>
      <c r="C903" s="585">
        <v>1</v>
      </c>
      <c r="D903" s="585"/>
      <c r="E903" s="585">
        <v>13</v>
      </c>
      <c r="F903" s="256">
        <v>0.9</v>
      </c>
      <c r="G903" s="256"/>
      <c r="H903" s="256">
        <v>0.9</v>
      </c>
      <c r="I903" s="256">
        <v>10.53</v>
      </c>
      <c r="J903" s="571"/>
    </row>
    <row r="904" spans="1:10" ht="24.95" customHeight="1">
      <c r="A904" s="575"/>
      <c r="B904" s="139" t="s">
        <v>815</v>
      </c>
      <c r="C904" s="585">
        <v>2</v>
      </c>
      <c r="D904" s="585"/>
      <c r="E904" s="585">
        <v>2</v>
      </c>
      <c r="F904" s="256">
        <v>0.9</v>
      </c>
      <c r="G904" s="256"/>
      <c r="H904" s="256">
        <v>0.9</v>
      </c>
      <c r="I904" s="256">
        <v>3.24</v>
      </c>
      <c r="J904" s="571"/>
    </row>
    <row r="905" spans="1:10" ht="24.95" customHeight="1">
      <c r="A905" s="575"/>
      <c r="B905" s="139" t="s">
        <v>756</v>
      </c>
      <c r="C905" s="585">
        <v>2</v>
      </c>
      <c r="D905" s="585"/>
      <c r="E905" s="585">
        <v>2</v>
      </c>
      <c r="F905" s="256">
        <v>0.9</v>
      </c>
      <c r="G905" s="256"/>
      <c r="H905" s="256">
        <v>0.9</v>
      </c>
      <c r="I905" s="256">
        <v>3.24</v>
      </c>
      <c r="J905" s="571"/>
    </row>
    <row r="906" spans="1:10" ht="24.95" customHeight="1">
      <c r="A906" s="575"/>
      <c r="B906" s="139" t="s">
        <v>946</v>
      </c>
      <c r="C906" s="585">
        <v>1</v>
      </c>
      <c r="D906" s="585"/>
      <c r="E906" s="585">
        <v>3</v>
      </c>
      <c r="F906" s="256">
        <v>7</v>
      </c>
      <c r="G906" s="256"/>
      <c r="H906" s="256">
        <v>0.6</v>
      </c>
      <c r="I906" s="256">
        <v>12.6</v>
      </c>
      <c r="J906" s="571"/>
    </row>
    <row r="907" spans="1:10" ht="24.95" customHeight="1">
      <c r="A907" s="575"/>
      <c r="B907" s="139" t="s">
        <v>947</v>
      </c>
      <c r="C907" s="585">
        <v>1</v>
      </c>
      <c r="D907" s="585"/>
      <c r="E907" s="585">
        <v>4</v>
      </c>
      <c r="F907" s="256">
        <v>4</v>
      </c>
      <c r="G907" s="256"/>
      <c r="H907" s="256">
        <v>0.6</v>
      </c>
      <c r="I907" s="256">
        <v>9.6</v>
      </c>
      <c r="J907" s="571"/>
    </row>
    <row r="908" spans="1:10" ht="24.95" customHeight="1">
      <c r="A908" s="575"/>
      <c r="B908" s="139" t="s">
        <v>958</v>
      </c>
      <c r="C908" s="585">
        <v>1</v>
      </c>
      <c r="D908" s="585"/>
      <c r="E908" s="585">
        <v>1</v>
      </c>
      <c r="F908" s="256">
        <v>3.14</v>
      </c>
      <c r="G908" s="256">
        <v>0.03</v>
      </c>
      <c r="H908" s="256">
        <f>$I$925</f>
        <v>50</v>
      </c>
      <c r="I908" s="256">
        <f>PRODUCT(C908:H908)</f>
        <v>4.71</v>
      </c>
      <c r="J908" s="266"/>
    </row>
    <row r="909" spans="1:10" ht="24.95" customHeight="1">
      <c r="A909" s="575"/>
      <c r="B909" s="139" t="s">
        <v>959</v>
      </c>
      <c r="C909" s="585">
        <v>1</v>
      </c>
      <c r="D909" s="585"/>
      <c r="E909" s="585">
        <v>1</v>
      </c>
      <c r="F909" s="256">
        <v>3.14</v>
      </c>
      <c r="G909" s="256">
        <v>2.5000000000000001E-2</v>
      </c>
      <c r="H909" s="256">
        <f>I928</f>
        <v>60</v>
      </c>
      <c r="I909" s="256">
        <f>PRODUCT(C909:H909)</f>
        <v>4.7100000000000009</v>
      </c>
      <c r="J909" s="571"/>
    </row>
    <row r="910" spans="1:10" ht="24.95" customHeight="1">
      <c r="A910" s="575"/>
      <c r="B910" s="139"/>
      <c r="C910" s="585"/>
      <c r="D910" s="585"/>
      <c r="E910" s="585"/>
      <c r="F910" s="256"/>
      <c r="G910" s="256"/>
      <c r="H910" s="256"/>
      <c r="I910" s="256">
        <f>SUM(I889:I909)</f>
        <v>147.59</v>
      </c>
      <c r="J910" s="571"/>
    </row>
    <row r="911" spans="1:10" ht="24.95" customHeight="1">
      <c r="A911" s="575"/>
      <c r="B911" s="139"/>
      <c r="C911" s="585"/>
      <c r="D911" s="585"/>
      <c r="E911" s="585"/>
      <c r="F911" s="256"/>
      <c r="G911" s="256"/>
      <c r="H911" s="259" t="s">
        <v>15</v>
      </c>
      <c r="I911" s="259">
        <f>ROUNDUP(I910,1-0)</f>
        <v>147.6</v>
      </c>
      <c r="J911" s="266" t="s">
        <v>37</v>
      </c>
    </row>
    <row r="912" spans="1:10" ht="24.95" customHeight="1">
      <c r="A912" s="575"/>
      <c r="B912" s="139"/>
      <c r="C912" s="585"/>
      <c r="D912" s="585"/>
      <c r="E912" s="585"/>
      <c r="F912" s="256"/>
      <c r="G912" s="256"/>
      <c r="H912" s="259"/>
      <c r="I912" s="259"/>
      <c r="J912" s="266"/>
    </row>
    <row r="913" spans="1:10" ht="24.95" customHeight="1">
      <c r="A913" s="575"/>
      <c r="B913" s="139"/>
      <c r="C913" s="585"/>
      <c r="D913" s="585"/>
      <c r="E913" s="585"/>
      <c r="F913" s="256"/>
      <c r="G913" s="256"/>
      <c r="H913" s="259"/>
      <c r="I913" s="259"/>
      <c r="J913" s="266"/>
    </row>
    <row r="914" spans="1:10" ht="24" customHeight="1">
      <c r="A914" s="617">
        <v>46</v>
      </c>
      <c r="B914" s="139" t="s">
        <v>960</v>
      </c>
      <c r="C914" s="585">
        <v>1</v>
      </c>
      <c r="D914" s="585"/>
      <c r="E914" s="585">
        <v>4</v>
      </c>
      <c r="F914" s="256">
        <v>2</v>
      </c>
      <c r="G914" s="256"/>
      <c r="H914" s="256"/>
      <c r="I914" s="259">
        <f>PRODUCT(C914:H914)</f>
        <v>8</v>
      </c>
      <c r="J914" s="266" t="s">
        <v>61</v>
      </c>
    </row>
    <row r="915" spans="1:10" ht="24.95" customHeight="1">
      <c r="A915" s="617">
        <v>47</v>
      </c>
      <c r="B915" s="139" t="s">
        <v>961</v>
      </c>
      <c r="C915" s="585">
        <v>1</v>
      </c>
      <c r="D915" s="585"/>
      <c r="E915" s="585">
        <v>8</v>
      </c>
      <c r="F915" s="256"/>
      <c r="G915" s="256"/>
      <c r="H915" s="256"/>
      <c r="I915" s="259">
        <f>PRODUCT(C915:H915)</f>
        <v>8</v>
      </c>
      <c r="J915" s="266" t="s">
        <v>522</v>
      </c>
    </row>
    <row r="916" spans="1:10" ht="24.95" customHeight="1">
      <c r="A916" s="617">
        <v>48</v>
      </c>
      <c r="B916" s="139" t="s">
        <v>962</v>
      </c>
      <c r="C916" s="585">
        <v>1</v>
      </c>
      <c r="D916" s="585"/>
      <c r="E916" s="585">
        <v>10</v>
      </c>
      <c r="F916" s="256"/>
      <c r="G916" s="256"/>
      <c r="H916" s="256"/>
      <c r="I916" s="259">
        <f>PRODUCT(C916:H916)</f>
        <v>10</v>
      </c>
      <c r="J916" s="266" t="s">
        <v>522</v>
      </c>
    </row>
    <row r="917" spans="1:10" ht="35.25" customHeight="1">
      <c r="A917" s="617">
        <v>49</v>
      </c>
      <c r="B917" s="139" t="s">
        <v>963</v>
      </c>
      <c r="C917" s="585"/>
      <c r="D917" s="585"/>
      <c r="E917" s="585"/>
      <c r="F917" s="256"/>
      <c r="G917" s="256"/>
      <c r="H917" s="256"/>
      <c r="I917" s="256"/>
      <c r="J917" s="571"/>
    </row>
    <row r="918" spans="1:10" ht="24.95" customHeight="1">
      <c r="A918" s="617"/>
      <c r="B918" s="139" t="s">
        <v>964</v>
      </c>
      <c r="C918" s="585">
        <v>20</v>
      </c>
      <c r="D918" s="585"/>
      <c r="E918" s="585">
        <v>5</v>
      </c>
      <c r="F918" s="256"/>
      <c r="G918" s="256"/>
      <c r="H918" s="256"/>
      <c r="I918" s="259">
        <f>PRODUCT(C918:H918)</f>
        <v>100</v>
      </c>
      <c r="J918" s="266" t="s">
        <v>522</v>
      </c>
    </row>
    <row r="919" spans="1:10" ht="24.95" customHeight="1">
      <c r="A919" s="617">
        <v>50.3</v>
      </c>
      <c r="B919" s="139" t="s">
        <v>965</v>
      </c>
      <c r="C919" s="585">
        <v>1</v>
      </c>
      <c r="D919" s="585"/>
      <c r="E919" s="585">
        <v>15</v>
      </c>
      <c r="F919" s="256"/>
      <c r="G919" s="256"/>
      <c r="H919" s="256"/>
      <c r="I919" s="259">
        <f>PRODUCT(C919:H919)</f>
        <v>15</v>
      </c>
      <c r="J919" s="266" t="s">
        <v>522</v>
      </c>
    </row>
    <row r="920" spans="1:10" ht="24.95" customHeight="1">
      <c r="A920" s="617">
        <v>50.4</v>
      </c>
      <c r="B920" s="139" t="s">
        <v>966</v>
      </c>
      <c r="C920" s="585">
        <v>1</v>
      </c>
      <c r="D920" s="585"/>
      <c r="E920" s="585">
        <f>E919</f>
        <v>15</v>
      </c>
      <c r="F920" s="256"/>
      <c r="G920" s="256"/>
      <c r="H920" s="256"/>
      <c r="I920" s="259">
        <f>PRODUCT(C920:H920)</f>
        <v>15</v>
      </c>
      <c r="J920" s="266" t="s">
        <v>522</v>
      </c>
    </row>
    <row r="921" spans="1:10" ht="37.5" customHeight="1">
      <c r="A921" s="617">
        <v>50.5</v>
      </c>
      <c r="B921" s="139" t="s">
        <v>967</v>
      </c>
      <c r="C921" s="585">
        <v>1</v>
      </c>
      <c r="D921" s="585"/>
      <c r="E921" s="585">
        <v>1</v>
      </c>
      <c r="F921" s="256"/>
      <c r="G921" s="256"/>
      <c r="H921" s="256"/>
      <c r="I921" s="259">
        <f>PRODUCT(C921:H921)</f>
        <v>1</v>
      </c>
      <c r="J921" s="266" t="s">
        <v>522</v>
      </c>
    </row>
    <row r="922" spans="1:10" ht="24.95" customHeight="1">
      <c r="A922" s="617">
        <v>52.2</v>
      </c>
      <c r="B922" s="139" t="s">
        <v>968</v>
      </c>
      <c r="C922" s="585"/>
      <c r="D922" s="585"/>
      <c r="E922" s="585"/>
      <c r="F922" s="256"/>
      <c r="G922" s="256"/>
      <c r="H922" s="256"/>
      <c r="I922" s="256"/>
      <c r="J922" s="266"/>
    </row>
    <row r="923" spans="1:10" ht="24.95" customHeight="1">
      <c r="A923" s="617"/>
      <c r="B923" s="139" t="s">
        <v>969</v>
      </c>
      <c r="C923" s="585"/>
      <c r="D923" s="585"/>
      <c r="E923" s="585"/>
      <c r="F923" s="256"/>
      <c r="G923" s="256"/>
      <c r="H923" s="256"/>
      <c r="I923" s="256"/>
      <c r="J923" s="571"/>
    </row>
    <row r="924" spans="1:10" ht="24.95" customHeight="1">
      <c r="A924" s="575"/>
      <c r="B924" s="139" t="s">
        <v>970</v>
      </c>
      <c r="C924" s="585">
        <v>1</v>
      </c>
      <c r="D924" s="585"/>
      <c r="E924" s="585">
        <v>1</v>
      </c>
      <c r="F924" s="256">
        <v>50</v>
      </c>
      <c r="G924" s="256"/>
      <c r="H924" s="256"/>
      <c r="I924" s="256">
        <f>PRODUCT(C924:H924)</f>
        <v>50</v>
      </c>
      <c r="J924" s="571"/>
    </row>
    <row r="925" spans="1:10" ht="24.95" customHeight="1">
      <c r="A925" s="575"/>
      <c r="B925" s="139"/>
      <c r="C925" s="585"/>
      <c r="D925" s="585"/>
      <c r="E925" s="585"/>
      <c r="F925" s="256"/>
      <c r="G925" s="256"/>
      <c r="H925" s="259" t="s">
        <v>15</v>
      </c>
      <c r="I925" s="259">
        <f>I924</f>
        <v>50</v>
      </c>
      <c r="J925" s="266" t="s">
        <v>61</v>
      </c>
    </row>
    <row r="926" spans="1:10" ht="24.95" customHeight="1">
      <c r="A926" s="575"/>
      <c r="B926" s="142" t="s">
        <v>971</v>
      </c>
      <c r="C926" s="585"/>
      <c r="D926" s="585"/>
      <c r="E926" s="585"/>
      <c r="F926" s="256"/>
      <c r="G926" s="256"/>
      <c r="H926" s="256"/>
      <c r="I926" s="256"/>
      <c r="J926" s="571"/>
    </row>
    <row r="927" spans="1:10" ht="24.95" customHeight="1">
      <c r="A927" s="575"/>
      <c r="B927" s="139" t="s">
        <v>972</v>
      </c>
      <c r="C927" s="585">
        <v>1</v>
      </c>
      <c r="D927" s="585"/>
      <c r="E927" s="585">
        <v>1</v>
      </c>
      <c r="F927" s="256">
        <v>60</v>
      </c>
      <c r="G927" s="256"/>
      <c r="H927" s="256"/>
      <c r="I927" s="256">
        <f>PRODUCT(C927:H927)</f>
        <v>60</v>
      </c>
      <c r="J927" s="571"/>
    </row>
    <row r="928" spans="1:10" ht="24.95" customHeight="1">
      <c r="A928" s="575"/>
      <c r="B928" s="139"/>
      <c r="C928" s="585"/>
      <c r="D928" s="585"/>
      <c r="E928" s="585"/>
      <c r="F928" s="256"/>
      <c r="G928" s="256"/>
      <c r="H928" s="259" t="s">
        <v>15</v>
      </c>
      <c r="I928" s="259">
        <f>I927</f>
        <v>60</v>
      </c>
      <c r="J928" s="266" t="s">
        <v>61</v>
      </c>
    </row>
    <row r="929" spans="1:10" ht="24.95" customHeight="1">
      <c r="A929" s="575"/>
      <c r="B929" s="142" t="s">
        <v>973</v>
      </c>
      <c r="C929" s="585"/>
      <c r="D929" s="585"/>
      <c r="E929" s="585"/>
      <c r="F929" s="256"/>
      <c r="G929" s="256"/>
      <c r="H929" s="256"/>
      <c r="I929" s="256"/>
      <c r="J929" s="571"/>
    </row>
    <row r="930" spans="1:10" ht="24.95" customHeight="1">
      <c r="A930" s="575"/>
      <c r="B930" s="139" t="s">
        <v>974</v>
      </c>
      <c r="C930" s="585">
        <v>2</v>
      </c>
      <c r="D930" s="585"/>
      <c r="E930" s="585">
        <v>3</v>
      </c>
      <c r="F930" s="256">
        <v>10</v>
      </c>
      <c r="G930" s="256"/>
      <c r="H930" s="256"/>
      <c r="I930" s="256">
        <f>PRODUCT(C930:H930)</f>
        <v>60</v>
      </c>
      <c r="J930" s="571"/>
    </row>
    <row r="931" spans="1:10" ht="24.95" customHeight="1">
      <c r="A931" s="575"/>
      <c r="B931" s="139"/>
      <c r="C931" s="585"/>
      <c r="D931" s="585"/>
      <c r="E931" s="585"/>
      <c r="F931" s="256"/>
      <c r="G931" s="256"/>
      <c r="H931" s="259" t="s">
        <v>15</v>
      </c>
      <c r="I931" s="259">
        <f>I930</f>
        <v>60</v>
      </c>
      <c r="J931" s="266" t="s">
        <v>61</v>
      </c>
    </row>
    <row r="932" spans="1:10" ht="24.95" customHeight="1">
      <c r="A932" s="575">
        <v>52.1</v>
      </c>
      <c r="B932" s="142" t="s">
        <v>975</v>
      </c>
      <c r="C932" s="585"/>
      <c r="D932" s="585"/>
      <c r="E932" s="585"/>
      <c r="F932" s="256"/>
      <c r="G932" s="256"/>
      <c r="H932" s="256"/>
      <c r="I932" s="256"/>
      <c r="J932" s="571"/>
    </row>
    <row r="933" spans="1:10" ht="24.95" customHeight="1">
      <c r="A933" s="575"/>
      <c r="B933" s="139" t="s">
        <v>976</v>
      </c>
      <c r="C933" s="585">
        <v>1</v>
      </c>
      <c r="D933" s="585"/>
      <c r="E933" s="585">
        <v>5</v>
      </c>
      <c r="F933" s="256">
        <v>3</v>
      </c>
      <c r="G933" s="256"/>
      <c r="H933" s="256"/>
      <c r="I933" s="259">
        <f>PRODUCT(C933:H933)</f>
        <v>15</v>
      </c>
      <c r="J933" s="266" t="s">
        <v>61</v>
      </c>
    </row>
    <row r="934" spans="1:10" ht="24.95" customHeight="1">
      <c r="A934" s="575"/>
      <c r="B934" s="139"/>
      <c r="C934" s="585"/>
      <c r="D934" s="585"/>
      <c r="E934" s="585"/>
      <c r="F934" s="256"/>
      <c r="G934" s="256"/>
      <c r="H934" s="256"/>
      <c r="I934" s="259"/>
      <c r="J934" s="266"/>
    </row>
    <row r="935" spans="1:10" ht="27.75" customHeight="1">
      <c r="A935" s="575">
        <v>60.1</v>
      </c>
      <c r="B935" s="142" t="s">
        <v>977</v>
      </c>
      <c r="C935" s="585"/>
      <c r="D935" s="585"/>
      <c r="E935" s="585"/>
      <c r="F935" s="256"/>
      <c r="G935" s="256"/>
      <c r="H935" s="256"/>
      <c r="I935" s="259"/>
      <c r="J935" s="266"/>
    </row>
    <row r="936" spans="1:10" ht="24.95" customHeight="1">
      <c r="A936" s="575"/>
      <c r="B936" s="139" t="s">
        <v>978</v>
      </c>
      <c r="C936" s="585">
        <v>2</v>
      </c>
      <c r="D936" s="585"/>
      <c r="E936" s="585">
        <v>11</v>
      </c>
      <c r="F936" s="256"/>
      <c r="G936" s="256"/>
      <c r="H936" s="256"/>
      <c r="I936" s="259">
        <f>PRODUCT(C936:H936)</f>
        <v>22</v>
      </c>
      <c r="J936" s="266" t="s">
        <v>522</v>
      </c>
    </row>
    <row r="937" spans="1:10" ht="24.95" customHeight="1">
      <c r="A937" s="575"/>
      <c r="B937" s="142" t="s">
        <v>979</v>
      </c>
      <c r="C937" s="585"/>
      <c r="D937" s="585"/>
      <c r="E937" s="585"/>
      <c r="F937" s="256"/>
      <c r="G937" s="256"/>
      <c r="H937" s="256"/>
      <c r="I937" s="256"/>
      <c r="J937" s="266"/>
    </row>
    <row r="938" spans="1:10" ht="65.25" customHeight="1">
      <c r="A938" s="575" t="s">
        <v>980</v>
      </c>
      <c r="B938" s="142" t="s">
        <v>208</v>
      </c>
      <c r="C938" s="585"/>
      <c r="D938" s="585"/>
      <c r="E938" s="585"/>
      <c r="F938" s="256"/>
      <c r="G938" s="256"/>
      <c r="H938" s="256"/>
      <c r="I938" s="256"/>
      <c r="J938" s="571"/>
    </row>
    <row r="939" spans="1:10" ht="24.95" customHeight="1">
      <c r="A939" s="575"/>
      <c r="B939" s="142" t="s">
        <v>307</v>
      </c>
      <c r="C939" s="585"/>
      <c r="D939" s="585"/>
      <c r="E939" s="585"/>
      <c r="F939" s="256"/>
      <c r="G939" s="256"/>
      <c r="H939" s="256"/>
      <c r="I939" s="256"/>
      <c r="J939" s="571"/>
    </row>
    <row r="940" spans="1:10" ht="24.95" customHeight="1">
      <c r="A940" s="575"/>
      <c r="B940" s="139" t="s">
        <v>981</v>
      </c>
      <c r="C940" s="585">
        <v>2</v>
      </c>
      <c r="D940" s="585"/>
      <c r="E940" s="585">
        <v>3</v>
      </c>
      <c r="F940" s="256"/>
      <c r="G940" s="256"/>
      <c r="H940" s="256"/>
      <c r="I940" s="256">
        <f t="shared" ref="I940:I955" si="49">PRODUCT(C940:H940)</f>
        <v>6</v>
      </c>
      <c r="J940" s="571"/>
    </row>
    <row r="941" spans="1:10" ht="24.95" customHeight="1">
      <c r="A941" s="575"/>
      <c r="B941" s="139" t="s">
        <v>982</v>
      </c>
      <c r="C941" s="585">
        <v>2</v>
      </c>
      <c r="D941" s="585"/>
      <c r="E941" s="585">
        <v>3</v>
      </c>
      <c r="F941" s="256"/>
      <c r="G941" s="256"/>
      <c r="H941" s="256"/>
      <c r="I941" s="256">
        <f t="shared" si="49"/>
        <v>6</v>
      </c>
      <c r="J941" s="571"/>
    </row>
    <row r="942" spans="1:10" ht="24.95" customHeight="1">
      <c r="A942" s="575"/>
      <c r="B942" s="139" t="s">
        <v>653</v>
      </c>
      <c r="C942" s="585">
        <v>1</v>
      </c>
      <c r="D942" s="585"/>
      <c r="E942" s="585">
        <v>2</v>
      </c>
      <c r="F942" s="256"/>
      <c r="G942" s="256"/>
      <c r="H942" s="256"/>
      <c r="I942" s="256">
        <f t="shared" si="49"/>
        <v>2</v>
      </c>
      <c r="J942" s="571"/>
    </row>
    <row r="943" spans="1:10" ht="24.95" customHeight="1">
      <c r="A943" s="575"/>
      <c r="B943" s="139" t="s">
        <v>983</v>
      </c>
      <c r="C943" s="585">
        <v>1</v>
      </c>
      <c r="D943" s="585"/>
      <c r="E943" s="585">
        <v>1</v>
      </c>
      <c r="F943" s="256"/>
      <c r="G943" s="256"/>
      <c r="H943" s="256"/>
      <c r="I943" s="256">
        <f t="shared" si="49"/>
        <v>1</v>
      </c>
      <c r="J943" s="266"/>
    </row>
    <row r="944" spans="1:10" ht="24.95" customHeight="1">
      <c r="A944" s="575"/>
      <c r="B944" s="139" t="s">
        <v>984</v>
      </c>
      <c r="C944" s="585">
        <v>2</v>
      </c>
      <c r="D944" s="585"/>
      <c r="E944" s="585">
        <v>1</v>
      </c>
      <c r="F944" s="256"/>
      <c r="G944" s="256"/>
      <c r="H944" s="256"/>
      <c r="I944" s="256">
        <f t="shared" si="49"/>
        <v>2</v>
      </c>
      <c r="J944" s="571"/>
    </row>
    <row r="945" spans="1:10" ht="24.95" customHeight="1">
      <c r="A945" s="575"/>
      <c r="B945" s="139" t="s">
        <v>985</v>
      </c>
      <c r="C945" s="585">
        <v>2</v>
      </c>
      <c r="D945" s="585"/>
      <c r="E945" s="585">
        <v>3</v>
      </c>
      <c r="F945" s="256"/>
      <c r="G945" s="256"/>
      <c r="H945" s="256"/>
      <c r="I945" s="256">
        <f t="shared" si="49"/>
        <v>6</v>
      </c>
      <c r="J945" s="571"/>
    </row>
    <row r="946" spans="1:10" ht="24.95" customHeight="1">
      <c r="A946" s="575"/>
      <c r="B946" s="139" t="s">
        <v>986</v>
      </c>
      <c r="C946" s="585">
        <v>1</v>
      </c>
      <c r="D946" s="585"/>
      <c r="E946" s="585">
        <v>2</v>
      </c>
      <c r="F946" s="256"/>
      <c r="G946" s="256"/>
      <c r="H946" s="256"/>
      <c r="I946" s="256">
        <f t="shared" si="49"/>
        <v>2</v>
      </c>
      <c r="J946" s="571"/>
    </row>
    <row r="947" spans="1:10" ht="24.95" customHeight="1">
      <c r="A947" s="575"/>
      <c r="B947" s="139" t="s">
        <v>987</v>
      </c>
      <c r="C947" s="585">
        <v>2</v>
      </c>
      <c r="D947" s="585"/>
      <c r="E947" s="585">
        <v>3</v>
      </c>
      <c r="F947" s="256"/>
      <c r="G947" s="256"/>
      <c r="H947" s="256"/>
      <c r="I947" s="256">
        <f t="shared" si="49"/>
        <v>6</v>
      </c>
      <c r="J947" s="571"/>
    </row>
    <row r="948" spans="1:10" ht="24.95" customHeight="1">
      <c r="A948" s="575"/>
      <c r="B948" s="139" t="s">
        <v>702</v>
      </c>
      <c r="C948" s="585">
        <v>1</v>
      </c>
      <c r="D948" s="585"/>
      <c r="E948" s="585">
        <v>1</v>
      </c>
      <c r="F948" s="256"/>
      <c r="G948" s="256"/>
      <c r="H948" s="256"/>
      <c r="I948" s="256">
        <f t="shared" si="49"/>
        <v>1</v>
      </c>
      <c r="J948" s="571"/>
    </row>
    <row r="949" spans="1:10" ht="24.95" customHeight="1">
      <c r="A949" s="575"/>
      <c r="B949" s="139" t="s">
        <v>661</v>
      </c>
      <c r="C949" s="585">
        <v>1</v>
      </c>
      <c r="D949" s="585"/>
      <c r="E949" s="585">
        <v>2</v>
      </c>
      <c r="F949" s="256"/>
      <c r="G949" s="256"/>
      <c r="H949" s="256"/>
      <c r="I949" s="256">
        <f t="shared" si="49"/>
        <v>2</v>
      </c>
      <c r="J949" s="571"/>
    </row>
    <row r="950" spans="1:10" ht="24.95" customHeight="1">
      <c r="A950" s="575"/>
      <c r="B950" s="139" t="s">
        <v>659</v>
      </c>
      <c r="C950" s="585">
        <v>1</v>
      </c>
      <c r="D950" s="585"/>
      <c r="E950" s="585">
        <v>1</v>
      </c>
      <c r="F950" s="256"/>
      <c r="G950" s="256"/>
      <c r="H950" s="256"/>
      <c r="I950" s="256">
        <f t="shared" si="49"/>
        <v>1</v>
      </c>
      <c r="J950" s="571"/>
    </row>
    <row r="951" spans="1:10" ht="24.95" customHeight="1">
      <c r="A951" s="575"/>
      <c r="B951" s="139" t="s">
        <v>988</v>
      </c>
      <c r="C951" s="585">
        <v>2</v>
      </c>
      <c r="D951" s="585"/>
      <c r="E951" s="585">
        <v>3</v>
      </c>
      <c r="F951" s="256"/>
      <c r="G951" s="256"/>
      <c r="H951" s="256"/>
      <c r="I951" s="256">
        <f t="shared" si="49"/>
        <v>6</v>
      </c>
      <c r="J951" s="571"/>
    </row>
    <row r="952" spans="1:10" ht="24.95" customHeight="1">
      <c r="A952" s="575"/>
      <c r="B952" s="139" t="s">
        <v>875</v>
      </c>
      <c r="C952" s="585">
        <v>1</v>
      </c>
      <c r="D952" s="585"/>
      <c r="E952" s="585">
        <v>1</v>
      </c>
      <c r="F952" s="256"/>
      <c r="G952" s="256"/>
      <c r="H952" s="256"/>
      <c r="I952" s="256">
        <f t="shared" si="49"/>
        <v>1</v>
      </c>
      <c r="J952" s="571"/>
    </row>
    <row r="953" spans="1:10" ht="24.95" customHeight="1">
      <c r="A953" s="575"/>
      <c r="B953" s="139" t="s">
        <v>989</v>
      </c>
      <c r="C953" s="585">
        <v>2</v>
      </c>
      <c r="D953" s="585"/>
      <c r="E953" s="585">
        <v>2</v>
      </c>
      <c r="F953" s="256"/>
      <c r="G953" s="256"/>
      <c r="H953" s="256"/>
      <c r="I953" s="256">
        <f t="shared" si="49"/>
        <v>4</v>
      </c>
      <c r="J953" s="571"/>
    </row>
    <row r="954" spans="1:10" ht="24.95" customHeight="1">
      <c r="A954" s="575"/>
      <c r="B954" s="139" t="s">
        <v>990</v>
      </c>
      <c r="C954" s="585">
        <v>1</v>
      </c>
      <c r="D954" s="585"/>
      <c r="E954" s="585">
        <v>2</v>
      </c>
      <c r="F954" s="256"/>
      <c r="G954" s="256"/>
      <c r="H954" s="256"/>
      <c r="I954" s="256">
        <f t="shared" si="49"/>
        <v>2</v>
      </c>
      <c r="J954" s="571"/>
    </row>
    <row r="955" spans="1:10" ht="24.95" customHeight="1">
      <c r="A955" s="575"/>
      <c r="B955" s="139" t="s">
        <v>991</v>
      </c>
      <c r="C955" s="585">
        <v>1</v>
      </c>
      <c r="D955" s="585"/>
      <c r="E955" s="585">
        <v>2</v>
      </c>
      <c r="F955" s="256"/>
      <c r="G955" s="256"/>
      <c r="H955" s="256"/>
      <c r="I955" s="256">
        <f t="shared" si="49"/>
        <v>2</v>
      </c>
      <c r="J955" s="571"/>
    </row>
    <row r="956" spans="1:10" ht="24.95" customHeight="1">
      <c r="A956" s="575"/>
      <c r="B956" s="139"/>
      <c r="C956" s="585"/>
      <c r="D956" s="585"/>
      <c r="E956" s="585"/>
      <c r="F956" s="256"/>
      <c r="G956" s="256"/>
      <c r="H956" s="259" t="s">
        <v>15</v>
      </c>
      <c r="I956" s="259">
        <f>SUM(I940:I955)</f>
        <v>50</v>
      </c>
      <c r="J956" s="266" t="s">
        <v>522</v>
      </c>
    </row>
    <row r="957" spans="1:10" ht="24.95" customHeight="1">
      <c r="A957" s="575"/>
      <c r="B957" s="142" t="s">
        <v>309</v>
      </c>
      <c r="C957" s="585"/>
      <c r="D957" s="585"/>
      <c r="E957" s="585"/>
      <c r="F957" s="256"/>
      <c r="G957" s="256"/>
      <c r="H957" s="256"/>
      <c r="I957" s="256"/>
      <c r="J957" s="571"/>
    </row>
    <row r="958" spans="1:10" ht="24.95" customHeight="1">
      <c r="A958" s="575"/>
      <c r="B958" s="139" t="s">
        <v>981</v>
      </c>
      <c r="C958" s="585">
        <v>2</v>
      </c>
      <c r="D958" s="585"/>
      <c r="E958" s="585">
        <v>2</v>
      </c>
      <c r="F958" s="256"/>
      <c r="G958" s="256"/>
      <c r="H958" s="256"/>
      <c r="I958" s="256">
        <f t="shared" ref="I958:I969" si="50">PRODUCT(C958:H958)</f>
        <v>4</v>
      </c>
      <c r="J958" s="571"/>
    </row>
    <row r="959" spans="1:10" ht="24.95" customHeight="1">
      <c r="A959" s="575"/>
      <c r="B959" s="139" t="s">
        <v>653</v>
      </c>
      <c r="C959" s="585">
        <v>1</v>
      </c>
      <c r="D959" s="585"/>
      <c r="E959" s="585">
        <v>2</v>
      </c>
      <c r="F959" s="256"/>
      <c r="G959" s="256"/>
      <c r="H959" s="256"/>
      <c r="I959" s="256">
        <f t="shared" si="50"/>
        <v>2</v>
      </c>
      <c r="J959" s="571"/>
    </row>
    <row r="960" spans="1:10" ht="24.95" customHeight="1">
      <c r="A960" s="575"/>
      <c r="B960" s="139" t="s">
        <v>983</v>
      </c>
      <c r="C960" s="585">
        <v>1</v>
      </c>
      <c r="D960" s="585"/>
      <c r="E960" s="585">
        <v>1</v>
      </c>
      <c r="F960" s="256"/>
      <c r="G960" s="256"/>
      <c r="H960" s="256"/>
      <c r="I960" s="256">
        <f t="shared" si="50"/>
        <v>1</v>
      </c>
      <c r="J960" s="266"/>
    </row>
    <row r="961" spans="1:10" ht="24.95" customHeight="1">
      <c r="A961" s="575"/>
      <c r="B961" s="139" t="s">
        <v>985</v>
      </c>
      <c r="C961" s="585">
        <v>2</v>
      </c>
      <c r="D961" s="585"/>
      <c r="E961" s="585">
        <v>3</v>
      </c>
      <c r="F961" s="256"/>
      <c r="G961" s="256"/>
      <c r="H961" s="256"/>
      <c r="I961" s="256">
        <f t="shared" si="50"/>
        <v>6</v>
      </c>
      <c r="J961" s="571"/>
    </row>
    <row r="962" spans="1:10" ht="24.95" customHeight="1">
      <c r="A962" s="575"/>
      <c r="B962" s="139" t="s">
        <v>987</v>
      </c>
      <c r="C962" s="585">
        <v>2</v>
      </c>
      <c r="D962" s="585"/>
      <c r="E962" s="585">
        <v>5</v>
      </c>
      <c r="F962" s="256"/>
      <c r="G962" s="256"/>
      <c r="H962" s="256"/>
      <c r="I962" s="256">
        <f t="shared" si="50"/>
        <v>10</v>
      </c>
      <c r="J962" s="571"/>
    </row>
    <row r="963" spans="1:10" ht="24.95" customHeight="1">
      <c r="A963" s="575"/>
      <c r="B963" s="139" t="s">
        <v>702</v>
      </c>
      <c r="C963" s="585">
        <v>1</v>
      </c>
      <c r="D963" s="585"/>
      <c r="E963" s="585">
        <v>1</v>
      </c>
      <c r="F963" s="256"/>
      <c r="G963" s="256"/>
      <c r="H963" s="256"/>
      <c r="I963" s="256">
        <f t="shared" si="50"/>
        <v>1</v>
      </c>
      <c r="J963" s="571"/>
    </row>
    <row r="964" spans="1:10" ht="24.95" customHeight="1">
      <c r="A964" s="575"/>
      <c r="B964" s="139" t="s">
        <v>661</v>
      </c>
      <c r="C964" s="585">
        <v>1</v>
      </c>
      <c r="D964" s="585"/>
      <c r="E964" s="585">
        <v>1</v>
      </c>
      <c r="F964" s="256"/>
      <c r="G964" s="256"/>
      <c r="H964" s="256"/>
      <c r="I964" s="256">
        <f t="shared" si="50"/>
        <v>1</v>
      </c>
      <c r="J964" s="571"/>
    </row>
    <row r="965" spans="1:10" ht="24.95" customHeight="1">
      <c r="A965" s="575"/>
      <c r="B965" s="139" t="s">
        <v>659</v>
      </c>
      <c r="C965" s="585">
        <v>1</v>
      </c>
      <c r="D965" s="585"/>
      <c r="E965" s="585">
        <v>1</v>
      </c>
      <c r="F965" s="256"/>
      <c r="G965" s="256"/>
      <c r="H965" s="256"/>
      <c r="I965" s="256">
        <f t="shared" si="50"/>
        <v>1</v>
      </c>
      <c r="J965" s="571"/>
    </row>
    <row r="966" spans="1:10" ht="24.95" customHeight="1">
      <c r="A966" s="575"/>
      <c r="B966" s="139" t="s">
        <v>988</v>
      </c>
      <c r="C966" s="585">
        <v>2</v>
      </c>
      <c r="D966" s="585"/>
      <c r="E966" s="585">
        <v>5</v>
      </c>
      <c r="F966" s="256"/>
      <c r="G966" s="256"/>
      <c r="H966" s="256"/>
      <c r="I966" s="256">
        <f t="shared" si="50"/>
        <v>10</v>
      </c>
      <c r="J966" s="571"/>
    </row>
    <row r="967" spans="1:10" ht="24.95" customHeight="1">
      <c r="A967" s="575"/>
      <c r="B967" s="139" t="s">
        <v>875</v>
      </c>
      <c r="C967" s="585">
        <v>1</v>
      </c>
      <c r="D967" s="585"/>
      <c r="E967" s="585">
        <v>1</v>
      </c>
      <c r="F967" s="256"/>
      <c r="G967" s="256"/>
      <c r="H967" s="256"/>
      <c r="I967" s="256">
        <f t="shared" si="50"/>
        <v>1</v>
      </c>
      <c r="J967" s="571"/>
    </row>
    <row r="968" spans="1:10" ht="24.95" customHeight="1">
      <c r="A968" s="575"/>
      <c r="B968" s="139" t="s">
        <v>989</v>
      </c>
      <c r="C968" s="585">
        <v>1</v>
      </c>
      <c r="D968" s="585"/>
      <c r="E968" s="585">
        <v>3</v>
      </c>
      <c r="F968" s="256"/>
      <c r="G968" s="256"/>
      <c r="H968" s="256"/>
      <c r="I968" s="256">
        <f t="shared" si="50"/>
        <v>3</v>
      </c>
      <c r="J968" s="571"/>
    </row>
    <row r="969" spans="1:10" ht="24.95" customHeight="1">
      <c r="A969" s="575"/>
      <c r="B969" s="139" t="s">
        <v>990</v>
      </c>
      <c r="C969" s="585">
        <v>1</v>
      </c>
      <c r="D969" s="585"/>
      <c r="E969" s="585">
        <v>1</v>
      </c>
      <c r="F969" s="256"/>
      <c r="G969" s="256"/>
      <c r="H969" s="256"/>
      <c r="I969" s="256">
        <f t="shared" si="50"/>
        <v>1</v>
      </c>
      <c r="J969" s="571"/>
    </row>
    <row r="970" spans="1:10" ht="24.95" customHeight="1">
      <c r="A970" s="575"/>
      <c r="B970" s="139"/>
      <c r="C970" s="585"/>
      <c r="D970" s="585"/>
      <c r="E970" s="585"/>
      <c r="F970" s="256"/>
      <c r="G970" s="256"/>
      <c r="H970" s="259" t="s">
        <v>203</v>
      </c>
      <c r="I970" s="259">
        <f>SUM(I958:I969)</f>
        <v>41</v>
      </c>
      <c r="J970" s="266" t="s">
        <v>992</v>
      </c>
    </row>
    <row r="971" spans="1:10" ht="24.95" customHeight="1">
      <c r="A971" s="575"/>
      <c r="B971" s="139"/>
      <c r="C971" s="585"/>
      <c r="D971" s="585"/>
      <c r="E971" s="585"/>
      <c r="F971" s="256"/>
      <c r="G971" s="256"/>
      <c r="H971" s="256"/>
      <c r="I971" s="256"/>
      <c r="J971" s="571"/>
    </row>
    <row r="972" spans="1:10" ht="24.95" customHeight="1">
      <c r="A972" s="575"/>
      <c r="B972" s="142" t="s">
        <v>993</v>
      </c>
      <c r="C972" s="585">
        <v>1</v>
      </c>
      <c r="D972" s="585"/>
      <c r="E972" s="585">
        <v>1</v>
      </c>
      <c r="F972" s="256"/>
      <c r="G972" s="256"/>
      <c r="H972" s="259"/>
      <c r="I972" s="259">
        <v>2</v>
      </c>
      <c r="J972" s="266" t="s">
        <v>522</v>
      </c>
    </row>
    <row r="973" spans="1:10" ht="24.95" customHeight="1">
      <c r="A973" s="575"/>
      <c r="B973" s="142"/>
      <c r="C973" s="585"/>
      <c r="D973" s="585"/>
      <c r="E973" s="585"/>
      <c r="F973" s="256"/>
      <c r="G973" s="256"/>
      <c r="H973" s="256"/>
      <c r="I973" s="256"/>
      <c r="J973" s="266"/>
    </row>
    <row r="974" spans="1:10" ht="87" customHeight="1">
      <c r="A974" s="575" t="s">
        <v>994</v>
      </c>
      <c r="B974" s="142" t="s">
        <v>174</v>
      </c>
      <c r="C974" s="585"/>
      <c r="D974" s="585"/>
      <c r="E974" s="585"/>
      <c r="F974" s="256"/>
      <c r="G974" s="256"/>
      <c r="H974" s="256"/>
      <c r="I974" s="256"/>
      <c r="J974" s="571"/>
    </row>
    <row r="975" spans="1:10" ht="24.95" customHeight="1">
      <c r="A975" s="575"/>
      <c r="B975" s="139" t="s">
        <v>995</v>
      </c>
      <c r="C975" s="585">
        <v>1</v>
      </c>
      <c r="D975" s="585"/>
      <c r="E975" s="585">
        <v>1</v>
      </c>
      <c r="F975" s="256"/>
      <c r="G975" s="256"/>
      <c r="H975" s="256"/>
      <c r="I975" s="256">
        <f t="shared" ref="I975:I983" si="51">PRODUCT(C975:H975)</f>
        <v>1</v>
      </c>
      <c r="J975" s="571"/>
    </row>
    <row r="976" spans="1:10" ht="24.95" customHeight="1">
      <c r="A976" s="575"/>
      <c r="B976" s="139" t="s">
        <v>661</v>
      </c>
      <c r="C976" s="585">
        <v>1</v>
      </c>
      <c r="D976" s="585"/>
      <c r="E976" s="585">
        <v>2</v>
      </c>
      <c r="F976" s="256"/>
      <c r="G976" s="256"/>
      <c r="H976" s="256"/>
      <c r="I976" s="256">
        <f t="shared" si="51"/>
        <v>2</v>
      </c>
      <c r="J976" s="571"/>
    </row>
    <row r="977" spans="1:10" ht="24.95" customHeight="1">
      <c r="A977" s="575"/>
      <c r="B977" s="139" t="s">
        <v>485</v>
      </c>
      <c r="C977" s="585">
        <v>1</v>
      </c>
      <c r="D977" s="585"/>
      <c r="E977" s="585">
        <v>2</v>
      </c>
      <c r="F977" s="256"/>
      <c r="G977" s="256"/>
      <c r="H977" s="256"/>
      <c r="I977" s="256">
        <f t="shared" si="51"/>
        <v>2</v>
      </c>
      <c r="J977" s="571"/>
    </row>
    <row r="978" spans="1:10" ht="24.95" customHeight="1">
      <c r="A978" s="575"/>
      <c r="B978" s="139" t="s">
        <v>485</v>
      </c>
      <c r="C978" s="585">
        <v>1</v>
      </c>
      <c r="D978" s="585"/>
      <c r="E978" s="585">
        <v>1</v>
      </c>
      <c r="F978" s="256"/>
      <c r="G978" s="256"/>
      <c r="H978" s="256"/>
      <c r="I978" s="256">
        <f t="shared" si="51"/>
        <v>1</v>
      </c>
      <c r="J978" s="571"/>
    </row>
    <row r="979" spans="1:10" ht="24.95" customHeight="1">
      <c r="A979" s="575"/>
      <c r="B979" s="139" t="s">
        <v>996</v>
      </c>
      <c r="C979" s="585">
        <v>1</v>
      </c>
      <c r="D979" s="585"/>
      <c r="E979" s="585">
        <v>1</v>
      </c>
      <c r="F979" s="256"/>
      <c r="G979" s="256"/>
      <c r="H979" s="256"/>
      <c r="I979" s="256">
        <f t="shared" si="51"/>
        <v>1</v>
      </c>
      <c r="J979" s="571"/>
    </row>
    <row r="980" spans="1:10" ht="24.95" customHeight="1">
      <c r="A980" s="575"/>
      <c r="B980" s="139" t="s">
        <v>997</v>
      </c>
      <c r="C980" s="585">
        <v>1</v>
      </c>
      <c r="D980" s="585"/>
      <c r="E980" s="585">
        <v>1</v>
      </c>
      <c r="F980" s="256"/>
      <c r="G980" s="256"/>
      <c r="H980" s="256"/>
      <c r="I980" s="256">
        <f t="shared" si="51"/>
        <v>1</v>
      </c>
      <c r="J980" s="571"/>
    </row>
    <row r="981" spans="1:10" ht="24.95" customHeight="1">
      <c r="A981" s="575"/>
      <c r="B981" s="139" t="s">
        <v>877</v>
      </c>
      <c r="C981" s="585">
        <v>1</v>
      </c>
      <c r="D981" s="585"/>
      <c r="E981" s="585">
        <v>1</v>
      </c>
      <c r="F981" s="256"/>
      <c r="G981" s="256"/>
      <c r="H981" s="256"/>
      <c r="I981" s="256">
        <f t="shared" si="51"/>
        <v>1</v>
      </c>
      <c r="J981" s="571"/>
    </row>
    <row r="982" spans="1:10" ht="24.95" customHeight="1">
      <c r="A982" s="575"/>
      <c r="B982" s="139" t="s">
        <v>996</v>
      </c>
      <c r="C982" s="585">
        <v>1</v>
      </c>
      <c r="D982" s="585"/>
      <c r="E982" s="585">
        <v>1</v>
      </c>
      <c r="F982" s="256"/>
      <c r="G982" s="256"/>
      <c r="H982" s="256"/>
      <c r="I982" s="256">
        <f t="shared" si="51"/>
        <v>1</v>
      </c>
      <c r="J982" s="571"/>
    </row>
    <row r="983" spans="1:10" ht="24.95" customHeight="1">
      <c r="A983" s="575"/>
      <c r="B983" s="139" t="s">
        <v>989</v>
      </c>
      <c r="C983" s="585">
        <v>3</v>
      </c>
      <c r="D983" s="585"/>
      <c r="E983" s="585">
        <v>2</v>
      </c>
      <c r="F983" s="256"/>
      <c r="G983" s="256"/>
      <c r="H983" s="256"/>
      <c r="I983" s="256">
        <f t="shared" si="51"/>
        <v>6</v>
      </c>
      <c r="J983" s="571"/>
    </row>
    <row r="984" spans="1:10" ht="24.95" customHeight="1">
      <c r="A984" s="575"/>
      <c r="B984" s="139"/>
      <c r="C984" s="585"/>
      <c r="D984" s="585"/>
      <c r="E984" s="585"/>
      <c r="F984" s="256"/>
      <c r="G984" s="256"/>
      <c r="H984" s="259" t="s">
        <v>203</v>
      </c>
      <c r="I984" s="259">
        <f>SUM(I975:I983)</f>
        <v>16</v>
      </c>
      <c r="J984" s="266" t="s">
        <v>992</v>
      </c>
    </row>
    <row r="985" spans="1:10" ht="24.95" customHeight="1">
      <c r="A985" s="575">
        <v>66</v>
      </c>
      <c r="B985" s="139" t="s">
        <v>998</v>
      </c>
      <c r="C985" s="585"/>
      <c r="D985" s="585"/>
      <c r="E985" s="585"/>
      <c r="F985" s="256"/>
      <c r="G985" s="256"/>
      <c r="H985" s="259"/>
      <c r="I985" s="259"/>
      <c r="J985" s="266"/>
    </row>
    <row r="986" spans="1:10" ht="24.95" customHeight="1">
      <c r="A986" s="575"/>
      <c r="B986" s="139" t="s">
        <v>716</v>
      </c>
      <c r="C986" s="585">
        <v>1</v>
      </c>
      <c r="D986" s="585" t="s">
        <v>56</v>
      </c>
      <c r="E986" s="585">
        <v>2</v>
      </c>
      <c r="F986" s="256">
        <v>1</v>
      </c>
      <c r="G986" s="256"/>
      <c r="H986" s="259"/>
      <c r="I986" s="256">
        <f>PRODUCT(C986:H986)</f>
        <v>2</v>
      </c>
      <c r="J986" s="266" t="s">
        <v>4</v>
      </c>
    </row>
    <row r="987" spans="1:10" ht="99" customHeight="1">
      <c r="A987" s="575" t="s">
        <v>999</v>
      </c>
      <c r="B987" s="142" t="s">
        <v>172</v>
      </c>
      <c r="C987" s="585"/>
      <c r="D987" s="585"/>
      <c r="E987" s="585"/>
      <c r="F987" s="256"/>
      <c r="G987" s="256"/>
      <c r="H987" s="256"/>
      <c r="I987" s="256"/>
      <c r="J987" s="571"/>
    </row>
    <row r="988" spans="1:10" ht="24.95" customHeight="1">
      <c r="A988" s="575"/>
      <c r="B988" s="139" t="s">
        <v>995</v>
      </c>
      <c r="C988" s="585">
        <v>1</v>
      </c>
      <c r="D988" s="585"/>
      <c r="E988" s="585">
        <v>1</v>
      </c>
      <c r="F988" s="256"/>
      <c r="G988" s="256"/>
      <c r="H988" s="256"/>
      <c r="I988" s="256">
        <v>1</v>
      </c>
      <c r="J988" s="571"/>
    </row>
    <row r="989" spans="1:10" ht="24.95" customHeight="1">
      <c r="A989" s="575"/>
      <c r="B989" s="139" t="s">
        <v>661</v>
      </c>
      <c r="C989" s="585">
        <v>1</v>
      </c>
      <c r="D989" s="585"/>
      <c r="E989" s="585">
        <v>2</v>
      </c>
      <c r="F989" s="256"/>
      <c r="G989" s="256"/>
      <c r="H989" s="256"/>
      <c r="I989" s="256">
        <v>2</v>
      </c>
      <c r="J989" s="266"/>
    </row>
    <row r="990" spans="1:10" ht="24.95" customHeight="1">
      <c r="A990" s="575"/>
      <c r="B990" s="139" t="s">
        <v>485</v>
      </c>
      <c r="C990" s="585">
        <v>1</v>
      </c>
      <c r="D990" s="585"/>
      <c r="E990" s="585">
        <v>2</v>
      </c>
      <c r="F990" s="256"/>
      <c r="G990" s="256"/>
      <c r="H990" s="256"/>
      <c r="I990" s="256">
        <v>2</v>
      </c>
      <c r="J990" s="571"/>
    </row>
    <row r="991" spans="1:10" ht="24.95" customHeight="1">
      <c r="A991" s="575"/>
      <c r="B991" s="139" t="s">
        <v>485</v>
      </c>
      <c r="C991" s="585">
        <v>1</v>
      </c>
      <c r="D991" s="585"/>
      <c r="E991" s="585">
        <v>1</v>
      </c>
      <c r="F991" s="256"/>
      <c r="G991" s="256"/>
      <c r="H991" s="256"/>
      <c r="I991" s="256">
        <v>1</v>
      </c>
      <c r="J991" s="571"/>
    </row>
    <row r="992" spans="1:10" ht="24.95" customHeight="1">
      <c r="A992" s="575"/>
      <c r="B992" s="139" t="s">
        <v>996</v>
      </c>
      <c r="C992" s="585">
        <v>1</v>
      </c>
      <c r="D992" s="585"/>
      <c r="E992" s="585">
        <v>1</v>
      </c>
      <c r="F992" s="256"/>
      <c r="G992" s="256"/>
      <c r="H992" s="256"/>
      <c r="I992" s="256">
        <v>1</v>
      </c>
      <c r="J992" s="571"/>
    </row>
    <row r="993" spans="1:10" ht="24.95" customHeight="1">
      <c r="A993" s="575"/>
      <c r="B993" s="139" t="s">
        <v>997</v>
      </c>
      <c r="C993" s="585">
        <v>1</v>
      </c>
      <c r="D993" s="585"/>
      <c r="E993" s="585">
        <v>1</v>
      </c>
      <c r="F993" s="256"/>
      <c r="G993" s="256"/>
      <c r="H993" s="256"/>
      <c r="I993" s="256">
        <v>1</v>
      </c>
      <c r="J993" s="571"/>
    </row>
    <row r="994" spans="1:10" ht="24.95" customHeight="1">
      <c r="A994" s="575"/>
      <c r="B994" s="139" t="s">
        <v>877</v>
      </c>
      <c r="C994" s="585">
        <v>1</v>
      </c>
      <c r="D994" s="585"/>
      <c r="E994" s="585">
        <v>1</v>
      </c>
      <c r="F994" s="256"/>
      <c r="G994" s="256"/>
      <c r="H994" s="256"/>
      <c r="I994" s="256">
        <v>1</v>
      </c>
      <c r="J994" s="571"/>
    </row>
    <row r="995" spans="1:10" ht="24.95" customHeight="1">
      <c r="A995" s="575"/>
      <c r="B995" s="139" t="s">
        <v>996</v>
      </c>
      <c r="C995" s="585">
        <v>1</v>
      </c>
      <c r="D995" s="585"/>
      <c r="E995" s="585">
        <v>1</v>
      </c>
      <c r="F995" s="256"/>
      <c r="G995" s="256"/>
      <c r="H995" s="256"/>
      <c r="I995" s="256">
        <v>1</v>
      </c>
      <c r="J995" s="571"/>
    </row>
    <row r="996" spans="1:10" ht="24.95" customHeight="1">
      <c r="A996" s="575"/>
      <c r="B996" s="139" t="s">
        <v>989</v>
      </c>
      <c r="C996" s="585">
        <v>3</v>
      </c>
      <c r="D996" s="585"/>
      <c r="E996" s="585">
        <v>2</v>
      </c>
      <c r="F996" s="256"/>
      <c r="G996" s="256"/>
      <c r="H996" s="256"/>
      <c r="I996" s="256">
        <v>6</v>
      </c>
      <c r="J996" s="571"/>
    </row>
    <row r="997" spans="1:10" ht="24.95" customHeight="1">
      <c r="A997" s="575"/>
      <c r="B997" s="139"/>
      <c r="C997" s="585"/>
      <c r="D997" s="585"/>
      <c r="E997" s="585"/>
      <c r="F997" s="256"/>
      <c r="G997" s="256"/>
      <c r="H997" s="256" t="s">
        <v>203</v>
      </c>
      <c r="I997" s="256">
        <f>SUM(I988:I996)</f>
        <v>16</v>
      </c>
      <c r="J997" s="571" t="s">
        <v>992</v>
      </c>
    </row>
    <row r="998" spans="1:10" ht="96" customHeight="1">
      <c r="A998" s="575" t="s">
        <v>1000</v>
      </c>
      <c r="B998" s="142" t="s">
        <v>173</v>
      </c>
      <c r="C998" s="585"/>
      <c r="D998" s="585"/>
      <c r="E998" s="585"/>
      <c r="F998" s="256"/>
      <c r="G998" s="256"/>
      <c r="H998" s="256"/>
      <c r="I998" s="256"/>
      <c r="J998" s="571"/>
    </row>
    <row r="999" spans="1:10" ht="24.95" customHeight="1">
      <c r="A999" s="575"/>
      <c r="B999" s="139" t="s">
        <v>995</v>
      </c>
      <c r="C999" s="585">
        <v>1</v>
      </c>
      <c r="D999" s="585"/>
      <c r="E999" s="585">
        <v>1</v>
      </c>
      <c r="F999" s="256"/>
      <c r="G999" s="256"/>
      <c r="H999" s="256"/>
      <c r="I999" s="256">
        <v>1</v>
      </c>
      <c r="J999" s="571"/>
    </row>
    <row r="1000" spans="1:10" ht="24.95" customHeight="1">
      <c r="A1000" s="575"/>
      <c r="B1000" s="139" t="s">
        <v>661</v>
      </c>
      <c r="C1000" s="585">
        <v>1</v>
      </c>
      <c r="D1000" s="585"/>
      <c r="E1000" s="585">
        <v>2</v>
      </c>
      <c r="F1000" s="256"/>
      <c r="G1000" s="256"/>
      <c r="H1000" s="256"/>
      <c r="I1000" s="256">
        <v>2</v>
      </c>
      <c r="J1000" s="571"/>
    </row>
    <row r="1001" spans="1:10" ht="24.95" customHeight="1">
      <c r="A1001" s="575"/>
      <c r="B1001" s="139" t="s">
        <v>485</v>
      </c>
      <c r="C1001" s="585">
        <v>1</v>
      </c>
      <c r="D1001" s="585"/>
      <c r="E1001" s="585">
        <v>1</v>
      </c>
      <c r="F1001" s="256"/>
      <c r="G1001" s="256"/>
      <c r="H1001" s="256"/>
      <c r="I1001" s="256">
        <v>2</v>
      </c>
      <c r="J1001" s="571"/>
    </row>
    <row r="1002" spans="1:10" ht="24.95" customHeight="1">
      <c r="A1002" s="575"/>
      <c r="B1002" s="139" t="s">
        <v>485</v>
      </c>
      <c r="C1002" s="585">
        <v>1</v>
      </c>
      <c r="D1002" s="585"/>
      <c r="E1002" s="585">
        <v>1</v>
      </c>
      <c r="F1002" s="256"/>
      <c r="G1002" s="256"/>
      <c r="H1002" s="256"/>
      <c r="I1002" s="256">
        <v>1</v>
      </c>
      <c r="J1002" s="571"/>
    </row>
    <row r="1003" spans="1:10" ht="24.95" customHeight="1">
      <c r="A1003" s="575"/>
      <c r="B1003" s="139" t="s">
        <v>997</v>
      </c>
      <c r="C1003" s="585">
        <v>1</v>
      </c>
      <c r="D1003" s="585"/>
      <c r="E1003" s="585">
        <v>1</v>
      </c>
      <c r="F1003" s="256"/>
      <c r="G1003" s="256"/>
      <c r="H1003" s="256"/>
      <c r="I1003" s="256">
        <v>1</v>
      </c>
      <c r="J1003" s="571"/>
    </row>
    <row r="1004" spans="1:10" ht="24.95" customHeight="1">
      <c r="A1004" s="575"/>
      <c r="B1004" s="139" t="s">
        <v>877</v>
      </c>
      <c r="C1004" s="585">
        <v>1</v>
      </c>
      <c r="D1004" s="585"/>
      <c r="E1004" s="585">
        <v>1</v>
      </c>
      <c r="F1004" s="256"/>
      <c r="G1004" s="256"/>
      <c r="H1004" s="256"/>
      <c r="I1004" s="256">
        <v>1</v>
      </c>
      <c r="J1004" s="571"/>
    </row>
    <row r="1005" spans="1:10" ht="24.95" customHeight="1">
      <c r="A1005" s="575"/>
      <c r="B1005" s="139" t="s">
        <v>989</v>
      </c>
      <c r="C1005" s="585">
        <v>3</v>
      </c>
      <c r="D1005" s="585"/>
      <c r="E1005" s="585">
        <v>2</v>
      </c>
      <c r="F1005" s="256"/>
      <c r="G1005" s="256"/>
      <c r="H1005" s="256"/>
      <c r="I1005" s="256">
        <v>6</v>
      </c>
      <c r="J1005" s="571"/>
    </row>
    <row r="1006" spans="1:10" ht="24.95" customHeight="1">
      <c r="A1006" s="575"/>
      <c r="B1006" s="139"/>
      <c r="C1006" s="585"/>
      <c r="D1006" s="585"/>
      <c r="E1006" s="585"/>
      <c r="F1006" s="256"/>
      <c r="G1006" s="256"/>
      <c r="H1006" s="256" t="s">
        <v>203</v>
      </c>
      <c r="I1006" s="256">
        <f>SUM(I999:I1005)</f>
        <v>14</v>
      </c>
      <c r="J1006" s="571"/>
    </row>
    <row r="1007" spans="1:10" ht="24.95" customHeight="1">
      <c r="A1007" s="575"/>
      <c r="B1007" s="142"/>
      <c r="C1007" s="585"/>
      <c r="D1007" s="585"/>
      <c r="E1007" s="585"/>
      <c r="F1007" s="256"/>
      <c r="G1007" s="256"/>
      <c r="H1007" s="256"/>
      <c r="I1007" s="256"/>
      <c r="J1007" s="266"/>
    </row>
    <row r="1008" spans="1:10" ht="24.95" customHeight="1">
      <c r="A1008" s="575">
        <v>69.099999999999994</v>
      </c>
      <c r="B1008" s="139" t="s">
        <v>1001</v>
      </c>
      <c r="C1008" s="585"/>
      <c r="D1008" s="585"/>
      <c r="E1008" s="585"/>
      <c r="F1008" s="256"/>
      <c r="G1008" s="256"/>
      <c r="H1008" s="256"/>
      <c r="I1008" s="256"/>
      <c r="J1008" s="571"/>
    </row>
    <row r="1009" spans="1:11" ht="24.95" customHeight="1">
      <c r="A1009" s="575"/>
      <c r="B1009" s="139" t="s">
        <v>802</v>
      </c>
      <c r="C1009" s="585">
        <v>1</v>
      </c>
      <c r="D1009" s="585"/>
      <c r="E1009" s="585">
        <v>1</v>
      </c>
      <c r="F1009" s="256"/>
      <c r="G1009" s="256"/>
      <c r="H1009" s="256"/>
      <c r="I1009" s="256">
        <v>1</v>
      </c>
      <c r="J1009" s="571"/>
    </row>
    <row r="1010" spans="1:11" ht="24.95" customHeight="1">
      <c r="A1010" s="575"/>
      <c r="B1010" s="139" t="s">
        <v>1002</v>
      </c>
      <c r="C1010" s="585">
        <v>2</v>
      </c>
      <c r="D1010" s="585"/>
      <c r="E1010" s="585">
        <v>3</v>
      </c>
      <c r="F1010" s="256"/>
      <c r="G1010" s="256"/>
      <c r="H1010" s="256"/>
      <c r="I1010" s="256">
        <v>6</v>
      </c>
      <c r="J1010" s="571"/>
    </row>
    <row r="1011" spans="1:11" ht="24.95" customHeight="1">
      <c r="A1011" s="575"/>
      <c r="B1011" s="139" t="s">
        <v>486</v>
      </c>
      <c r="C1011" s="585">
        <v>2</v>
      </c>
      <c r="D1011" s="585"/>
      <c r="E1011" s="585">
        <v>1</v>
      </c>
      <c r="F1011" s="256"/>
      <c r="G1011" s="256"/>
      <c r="H1011" s="256"/>
      <c r="I1011" s="256">
        <f>PRODUCT(C1011:H1011)</f>
        <v>2</v>
      </c>
      <c r="J1011" s="266"/>
      <c r="K1011" s="605"/>
    </row>
    <row r="1012" spans="1:11" ht="24.95" customHeight="1">
      <c r="A1012" s="575"/>
      <c r="B1012" s="139" t="s">
        <v>1003</v>
      </c>
      <c r="C1012" s="585">
        <v>1</v>
      </c>
      <c r="D1012" s="585"/>
      <c r="E1012" s="585">
        <v>4</v>
      </c>
      <c r="F1012" s="256"/>
      <c r="G1012" s="256"/>
      <c r="H1012" s="256"/>
      <c r="I1012" s="256">
        <f>PRODUCT(C1012:H1012)</f>
        <v>4</v>
      </c>
      <c r="J1012" s="266"/>
      <c r="K1012" s="605"/>
    </row>
    <row r="1013" spans="1:11" ht="24.95" customHeight="1">
      <c r="A1013" s="575"/>
      <c r="B1013" s="139" t="s">
        <v>486</v>
      </c>
      <c r="C1013" s="585">
        <v>3</v>
      </c>
      <c r="D1013" s="585"/>
      <c r="E1013" s="585">
        <v>2</v>
      </c>
      <c r="F1013" s="256"/>
      <c r="G1013" s="256"/>
      <c r="H1013" s="256"/>
      <c r="I1013" s="256">
        <v>6</v>
      </c>
      <c r="J1013" s="266"/>
      <c r="K1013" s="605"/>
    </row>
    <row r="1014" spans="1:11" ht="24.95" customHeight="1">
      <c r="A1014" s="575"/>
      <c r="B1014" s="139" t="s">
        <v>1004</v>
      </c>
      <c r="C1014" s="585">
        <v>1</v>
      </c>
      <c r="D1014" s="585"/>
      <c r="E1014" s="585">
        <v>1</v>
      </c>
      <c r="F1014" s="256"/>
      <c r="G1014" s="256"/>
      <c r="H1014" s="256"/>
      <c r="I1014" s="256">
        <v>1</v>
      </c>
      <c r="J1014" s="266"/>
      <c r="K1014" s="605"/>
    </row>
    <row r="1015" spans="1:11" ht="24.95" customHeight="1">
      <c r="A1015" s="575"/>
      <c r="B1015" s="139"/>
      <c r="C1015" s="585"/>
      <c r="D1015" s="585"/>
      <c r="E1015" s="585"/>
      <c r="F1015" s="256"/>
      <c r="G1015" s="256"/>
      <c r="H1015" s="259" t="s">
        <v>203</v>
      </c>
      <c r="I1015" s="259">
        <f>SUM(I1009:I1014)</f>
        <v>20</v>
      </c>
      <c r="J1015" s="266" t="s">
        <v>992</v>
      </c>
      <c r="K1015" s="605"/>
    </row>
    <row r="1016" spans="1:11" ht="24.95" customHeight="1">
      <c r="A1016" s="575"/>
      <c r="B1016" s="139"/>
      <c r="C1016" s="585"/>
      <c r="D1016" s="585"/>
      <c r="E1016" s="585"/>
      <c r="F1016" s="256"/>
      <c r="G1016" s="256"/>
      <c r="H1016" s="256"/>
      <c r="I1016" s="256"/>
      <c r="J1016" s="571"/>
    </row>
    <row r="1017" spans="1:11" ht="24.95" customHeight="1">
      <c r="A1017" s="575">
        <v>70.099999999999994</v>
      </c>
      <c r="B1017" s="139" t="s">
        <v>1005</v>
      </c>
      <c r="C1017" s="585">
        <v>2</v>
      </c>
      <c r="D1017" s="585" t="s">
        <v>56</v>
      </c>
      <c r="E1017" s="585">
        <v>3</v>
      </c>
      <c r="F1017" s="256">
        <v>1</v>
      </c>
      <c r="G1017" s="256"/>
      <c r="H1017" s="256"/>
      <c r="I1017" s="259">
        <v>6</v>
      </c>
      <c r="J1017" s="266" t="s">
        <v>4</v>
      </c>
    </row>
    <row r="1018" spans="1:11" ht="24.95" customHeight="1">
      <c r="A1018" s="575"/>
      <c r="B1018" s="139"/>
      <c r="C1018" s="585"/>
      <c r="D1018" s="585"/>
      <c r="E1018" s="585"/>
      <c r="F1018" s="256"/>
      <c r="G1018" s="256"/>
      <c r="H1018" s="256"/>
      <c r="I1018" s="259"/>
      <c r="J1018" s="266"/>
    </row>
    <row r="1019" spans="1:11" ht="24.95" customHeight="1">
      <c r="A1019" s="567">
        <v>70.2</v>
      </c>
      <c r="B1019" s="567" t="s">
        <v>1006</v>
      </c>
      <c r="C1019" s="563"/>
      <c r="D1019" s="563"/>
      <c r="E1019" s="564"/>
      <c r="F1019" s="565"/>
      <c r="G1019" s="565"/>
      <c r="H1019" s="565"/>
      <c r="I1019" s="256"/>
      <c r="J1019" s="571"/>
    </row>
    <row r="1020" spans="1:11" ht="24.95" customHeight="1">
      <c r="A1020" s="567"/>
      <c r="B1020" s="566" t="s">
        <v>479</v>
      </c>
      <c r="C1020" s="563">
        <v>1</v>
      </c>
      <c r="D1020" s="585" t="s">
        <v>56</v>
      </c>
      <c r="E1020" s="563">
        <v>10</v>
      </c>
      <c r="F1020" s="565"/>
      <c r="G1020" s="565"/>
      <c r="H1020" s="565"/>
      <c r="I1020" s="565">
        <f t="shared" ref="I1020:I1034" si="52">PRODUCT(C1020:H1020)</f>
        <v>10</v>
      </c>
      <c r="J1020" s="571"/>
    </row>
    <row r="1021" spans="1:11" ht="24.95" customHeight="1">
      <c r="A1021" s="567"/>
      <c r="B1021" s="566" t="s">
        <v>1007</v>
      </c>
      <c r="C1021" s="563">
        <v>1</v>
      </c>
      <c r="D1021" s="585" t="s">
        <v>56</v>
      </c>
      <c r="E1021" s="563">
        <v>2</v>
      </c>
      <c r="F1021" s="565"/>
      <c r="G1021" s="565"/>
      <c r="H1021" s="565"/>
      <c r="I1021" s="565">
        <f t="shared" si="52"/>
        <v>2</v>
      </c>
      <c r="J1021" s="571"/>
    </row>
    <row r="1022" spans="1:11" ht="24.95" customHeight="1">
      <c r="A1022" s="567"/>
      <c r="B1022" s="566" t="s">
        <v>1008</v>
      </c>
      <c r="C1022" s="563">
        <v>1</v>
      </c>
      <c r="D1022" s="585" t="s">
        <v>56</v>
      </c>
      <c r="E1022" s="563">
        <v>2</v>
      </c>
      <c r="F1022" s="565"/>
      <c r="G1022" s="565"/>
      <c r="H1022" s="565"/>
      <c r="I1022" s="565">
        <f t="shared" si="52"/>
        <v>2</v>
      </c>
      <c r="J1022" s="571"/>
    </row>
    <row r="1023" spans="1:11" ht="24.95" customHeight="1">
      <c r="A1023" s="567"/>
      <c r="B1023" s="566" t="s">
        <v>987</v>
      </c>
      <c r="C1023" s="563">
        <v>1</v>
      </c>
      <c r="D1023" s="585" t="s">
        <v>56</v>
      </c>
      <c r="E1023" s="563">
        <v>10</v>
      </c>
      <c r="F1023" s="565"/>
      <c r="G1023" s="565"/>
      <c r="H1023" s="565"/>
      <c r="I1023" s="565">
        <f t="shared" si="52"/>
        <v>10</v>
      </c>
      <c r="J1023" s="571"/>
    </row>
    <row r="1024" spans="1:11" ht="24.95" customHeight="1">
      <c r="A1024" s="567"/>
      <c r="B1024" s="566" t="s">
        <v>653</v>
      </c>
      <c r="C1024" s="563">
        <v>1</v>
      </c>
      <c r="D1024" s="585" t="s">
        <v>56</v>
      </c>
      <c r="E1024" s="563">
        <v>2</v>
      </c>
      <c r="F1024" s="565"/>
      <c r="G1024" s="565"/>
      <c r="H1024" s="565"/>
      <c r="I1024" s="565">
        <f t="shared" si="52"/>
        <v>2</v>
      </c>
      <c r="J1024" s="571"/>
    </row>
    <row r="1025" spans="1:10" ht="24.95" customHeight="1">
      <c r="A1025" s="567"/>
      <c r="B1025" s="566" t="s">
        <v>1009</v>
      </c>
      <c r="C1025" s="563">
        <v>1</v>
      </c>
      <c r="D1025" s="585" t="s">
        <v>56</v>
      </c>
      <c r="E1025" s="563">
        <v>2</v>
      </c>
      <c r="F1025" s="565"/>
      <c r="G1025" s="565"/>
      <c r="H1025" s="565"/>
      <c r="I1025" s="565">
        <f t="shared" si="52"/>
        <v>2</v>
      </c>
      <c r="J1025" s="571"/>
    </row>
    <row r="1026" spans="1:10" ht="24.95" customHeight="1">
      <c r="A1026" s="567"/>
      <c r="B1026" s="566" t="s">
        <v>1010</v>
      </c>
      <c r="C1026" s="563">
        <v>1</v>
      </c>
      <c r="D1026" s="585" t="s">
        <v>56</v>
      </c>
      <c r="E1026" s="563">
        <v>4</v>
      </c>
      <c r="F1026" s="565"/>
      <c r="G1026" s="565"/>
      <c r="H1026" s="565"/>
      <c r="I1026" s="565">
        <f t="shared" si="52"/>
        <v>4</v>
      </c>
      <c r="J1026" s="571"/>
    </row>
    <row r="1027" spans="1:10" ht="24.95" customHeight="1">
      <c r="A1027" s="567"/>
      <c r="B1027" s="566" t="s">
        <v>985</v>
      </c>
      <c r="C1027" s="563">
        <v>2</v>
      </c>
      <c r="D1027" s="585" t="s">
        <v>56</v>
      </c>
      <c r="E1027" s="563">
        <v>4</v>
      </c>
      <c r="F1027" s="565"/>
      <c r="G1027" s="565"/>
      <c r="H1027" s="565"/>
      <c r="I1027" s="565">
        <f t="shared" si="52"/>
        <v>8</v>
      </c>
      <c r="J1027" s="571"/>
    </row>
    <row r="1028" spans="1:10" ht="24.95" customHeight="1">
      <c r="A1028" s="567"/>
      <c r="B1028" s="566" t="s">
        <v>1011</v>
      </c>
      <c r="C1028" s="563">
        <v>1</v>
      </c>
      <c r="D1028" s="585" t="s">
        <v>56</v>
      </c>
      <c r="E1028" s="563">
        <v>4</v>
      </c>
      <c r="F1028" s="565"/>
      <c r="G1028" s="565"/>
      <c r="H1028" s="565"/>
      <c r="I1028" s="565">
        <f t="shared" si="52"/>
        <v>4</v>
      </c>
      <c r="J1028" s="571"/>
    </row>
    <row r="1029" spans="1:10" ht="24.95" customHeight="1">
      <c r="A1029" s="567"/>
      <c r="B1029" s="566" t="s">
        <v>989</v>
      </c>
      <c r="C1029" s="563">
        <v>1</v>
      </c>
      <c r="D1029" s="585" t="s">
        <v>56</v>
      </c>
      <c r="E1029" s="563">
        <v>4</v>
      </c>
      <c r="F1029" s="565"/>
      <c r="G1029" s="565"/>
      <c r="H1029" s="565"/>
      <c r="I1029" s="565">
        <f t="shared" si="52"/>
        <v>4</v>
      </c>
      <c r="J1029" s="571"/>
    </row>
    <row r="1030" spans="1:10" ht="24.95" customHeight="1">
      <c r="A1030" s="567"/>
      <c r="B1030" s="566" t="s">
        <v>875</v>
      </c>
      <c r="C1030" s="563">
        <v>1</v>
      </c>
      <c r="D1030" s="585" t="s">
        <v>56</v>
      </c>
      <c r="E1030" s="563">
        <v>2</v>
      </c>
      <c r="F1030" s="565"/>
      <c r="G1030" s="565"/>
      <c r="H1030" s="565"/>
      <c r="I1030" s="565">
        <f t="shared" si="52"/>
        <v>2</v>
      </c>
      <c r="J1030" s="571"/>
    </row>
    <row r="1031" spans="1:10" ht="24.95" customHeight="1">
      <c r="A1031" s="567"/>
      <c r="B1031" s="566" t="s">
        <v>1012</v>
      </c>
      <c r="C1031" s="563">
        <v>1</v>
      </c>
      <c r="D1031" s="585" t="s">
        <v>56</v>
      </c>
      <c r="E1031" s="563">
        <v>5</v>
      </c>
      <c r="F1031" s="565"/>
      <c r="G1031" s="565"/>
      <c r="H1031" s="565"/>
      <c r="I1031" s="565">
        <f t="shared" si="52"/>
        <v>5</v>
      </c>
      <c r="J1031" s="571"/>
    </row>
    <row r="1032" spans="1:10" ht="24.95" customHeight="1">
      <c r="A1032" s="567"/>
      <c r="B1032" s="566" t="s">
        <v>1009</v>
      </c>
      <c r="C1032" s="563">
        <v>1</v>
      </c>
      <c r="D1032" s="585" t="s">
        <v>56</v>
      </c>
      <c r="E1032" s="563">
        <v>2</v>
      </c>
      <c r="F1032" s="565"/>
      <c r="G1032" s="565"/>
      <c r="H1032" s="565"/>
      <c r="I1032" s="565">
        <f t="shared" si="52"/>
        <v>2</v>
      </c>
      <c r="J1032" s="571"/>
    </row>
    <row r="1033" spans="1:10" ht="54.75" customHeight="1">
      <c r="A1033" s="567"/>
      <c r="B1033" s="566" t="s">
        <v>989</v>
      </c>
      <c r="C1033" s="563">
        <v>2</v>
      </c>
      <c r="D1033" s="585" t="s">
        <v>56</v>
      </c>
      <c r="E1033" s="563">
        <v>4</v>
      </c>
      <c r="F1033" s="565"/>
      <c r="G1033" s="565"/>
      <c r="H1033" s="565"/>
      <c r="I1033" s="565">
        <f t="shared" si="52"/>
        <v>8</v>
      </c>
      <c r="J1033" s="571"/>
    </row>
    <row r="1034" spans="1:10" ht="24.95" customHeight="1">
      <c r="A1034" s="567"/>
      <c r="B1034" s="566" t="s">
        <v>1013</v>
      </c>
      <c r="C1034" s="563">
        <v>2</v>
      </c>
      <c r="D1034" s="585" t="s">
        <v>56</v>
      </c>
      <c r="E1034" s="563">
        <v>4</v>
      </c>
      <c r="F1034" s="565"/>
      <c r="G1034" s="565"/>
      <c r="H1034" s="565"/>
      <c r="I1034" s="565">
        <f t="shared" si="52"/>
        <v>8</v>
      </c>
      <c r="J1034" s="571"/>
    </row>
    <row r="1035" spans="1:10" ht="24.95" customHeight="1">
      <c r="A1035" s="567"/>
      <c r="B1035" s="566"/>
      <c r="C1035" s="563"/>
      <c r="D1035" s="242"/>
      <c r="E1035" s="563"/>
      <c r="F1035" s="565"/>
      <c r="G1035" s="565"/>
      <c r="H1035" s="565"/>
      <c r="I1035" s="574">
        <f>+SUM(I1020:I1034)</f>
        <v>73</v>
      </c>
      <c r="J1035" s="266" t="s">
        <v>4</v>
      </c>
    </row>
    <row r="1036" spans="1:10" ht="24.95" customHeight="1">
      <c r="A1036" s="575"/>
      <c r="B1036" s="139"/>
      <c r="C1036" s="585"/>
      <c r="D1036" s="585"/>
      <c r="E1036" s="585"/>
      <c r="F1036" s="256"/>
      <c r="G1036" s="256"/>
      <c r="H1036" s="256"/>
      <c r="I1036" s="259"/>
      <c r="J1036" s="266"/>
    </row>
    <row r="1037" spans="1:10" ht="42" customHeight="1">
      <c r="A1037" s="575">
        <v>71.2</v>
      </c>
      <c r="B1037" s="142" t="s">
        <v>1014</v>
      </c>
      <c r="C1037" s="585"/>
      <c r="D1037" s="585"/>
      <c r="E1037" s="585"/>
      <c r="F1037" s="256"/>
      <c r="G1037" s="256"/>
      <c r="H1037" s="256"/>
      <c r="I1037" s="256"/>
      <c r="J1037" s="266"/>
    </row>
    <row r="1038" spans="1:10" ht="24.95" customHeight="1">
      <c r="A1038" s="575"/>
      <c r="B1038" s="139"/>
      <c r="C1038" s="585">
        <v>1</v>
      </c>
      <c r="D1038" s="585"/>
      <c r="E1038" s="585">
        <v>2</v>
      </c>
      <c r="F1038" s="256"/>
      <c r="G1038" s="256"/>
      <c r="H1038" s="259" t="s">
        <v>15</v>
      </c>
      <c r="I1038" s="259">
        <f>PRODUCT(C1038:H1038)</f>
        <v>2</v>
      </c>
      <c r="J1038" s="266" t="s">
        <v>522</v>
      </c>
    </row>
    <row r="1039" spans="1:10" ht="24.95" customHeight="1">
      <c r="A1039" s="575">
        <v>72</v>
      </c>
      <c r="B1039" s="142" t="s">
        <v>1015</v>
      </c>
      <c r="C1039" s="585"/>
      <c r="D1039" s="585"/>
      <c r="E1039" s="585"/>
      <c r="F1039" s="256"/>
      <c r="G1039" s="256"/>
      <c r="H1039" s="256"/>
      <c r="I1039" s="256"/>
      <c r="J1039" s="571"/>
    </row>
    <row r="1040" spans="1:10" ht="24.95" customHeight="1">
      <c r="A1040" s="575"/>
      <c r="B1040" s="139" t="s">
        <v>995</v>
      </c>
      <c r="C1040" s="585">
        <v>1</v>
      </c>
      <c r="D1040" s="585"/>
      <c r="E1040" s="585">
        <v>1</v>
      </c>
      <c r="F1040" s="256"/>
      <c r="G1040" s="256"/>
      <c r="H1040" s="256"/>
      <c r="I1040" s="256">
        <v>1</v>
      </c>
      <c r="J1040" s="571"/>
    </row>
    <row r="1041" spans="1:10" ht="24.95" customHeight="1">
      <c r="A1041" s="575"/>
      <c r="B1041" s="139" t="s">
        <v>661</v>
      </c>
      <c r="C1041" s="585">
        <v>1</v>
      </c>
      <c r="D1041" s="585"/>
      <c r="E1041" s="585">
        <v>2</v>
      </c>
      <c r="F1041" s="256"/>
      <c r="G1041" s="256"/>
      <c r="H1041" s="256"/>
      <c r="I1041" s="256">
        <v>2</v>
      </c>
      <c r="J1041" s="571"/>
    </row>
    <row r="1042" spans="1:10" ht="24.95" customHeight="1">
      <c r="A1042" s="575"/>
      <c r="B1042" s="139" t="s">
        <v>485</v>
      </c>
      <c r="C1042" s="585">
        <v>1</v>
      </c>
      <c r="D1042" s="585"/>
      <c r="E1042" s="585">
        <v>2</v>
      </c>
      <c r="F1042" s="256"/>
      <c r="G1042" s="256"/>
      <c r="H1042" s="256"/>
      <c r="I1042" s="256">
        <v>2</v>
      </c>
      <c r="J1042" s="571"/>
    </row>
    <row r="1043" spans="1:10" ht="24.95" customHeight="1">
      <c r="A1043" s="575"/>
      <c r="B1043" s="139" t="s">
        <v>485</v>
      </c>
      <c r="C1043" s="585">
        <v>1</v>
      </c>
      <c r="D1043" s="585"/>
      <c r="E1043" s="585">
        <v>1</v>
      </c>
      <c r="F1043" s="256"/>
      <c r="G1043" s="256"/>
      <c r="H1043" s="256"/>
      <c r="I1043" s="256">
        <v>1</v>
      </c>
      <c r="J1043" s="571"/>
    </row>
    <row r="1044" spans="1:10" ht="24.95" customHeight="1">
      <c r="A1044" s="575"/>
      <c r="B1044" s="139" t="s">
        <v>996</v>
      </c>
      <c r="C1044" s="585">
        <v>1</v>
      </c>
      <c r="D1044" s="585"/>
      <c r="E1044" s="585">
        <v>1</v>
      </c>
      <c r="F1044" s="256"/>
      <c r="G1044" s="256"/>
      <c r="H1044" s="256"/>
      <c r="I1044" s="256">
        <v>1</v>
      </c>
      <c r="J1044" s="571"/>
    </row>
    <row r="1045" spans="1:10" ht="24.95" customHeight="1">
      <c r="A1045" s="575"/>
      <c r="B1045" s="139" t="s">
        <v>997</v>
      </c>
      <c r="C1045" s="585">
        <v>1</v>
      </c>
      <c r="D1045" s="585"/>
      <c r="E1045" s="585">
        <v>1</v>
      </c>
      <c r="F1045" s="256"/>
      <c r="G1045" s="256"/>
      <c r="H1045" s="256"/>
      <c r="I1045" s="256">
        <v>1</v>
      </c>
      <c r="J1045" s="571"/>
    </row>
    <row r="1046" spans="1:10" ht="24.95" customHeight="1">
      <c r="A1046" s="575"/>
      <c r="B1046" s="139" t="s">
        <v>877</v>
      </c>
      <c r="C1046" s="585">
        <v>1</v>
      </c>
      <c r="D1046" s="585"/>
      <c r="E1046" s="585">
        <v>1</v>
      </c>
      <c r="F1046" s="256"/>
      <c r="G1046" s="256"/>
      <c r="H1046" s="256"/>
      <c r="I1046" s="256">
        <v>1</v>
      </c>
      <c r="J1046" s="571"/>
    </row>
    <row r="1047" spans="1:10" ht="24.95" customHeight="1">
      <c r="A1047" s="575"/>
      <c r="B1047" s="139" t="s">
        <v>996</v>
      </c>
      <c r="C1047" s="585">
        <v>1</v>
      </c>
      <c r="D1047" s="585"/>
      <c r="E1047" s="585">
        <v>1</v>
      </c>
      <c r="F1047" s="256"/>
      <c r="G1047" s="256"/>
      <c r="H1047" s="256"/>
      <c r="I1047" s="256">
        <v>1</v>
      </c>
      <c r="J1047" s="571"/>
    </row>
    <row r="1048" spans="1:10" ht="33.75" customHeight="1">
      <c r="A1048" s="575"/>
      <c r="B1048" s="139" t="s">
        <v>989</v>
      </c>
      <c r="C1048" s="585">
        <v>3</v>
      </c>
      <c r="D1048" s="585"/>
      <c r="E1048" s="585">
        <v>2</v>
      </c>
      <c r="F1048" s="256"/>
      <c r="G1048" s="256"/>
      <c r="H1048" s="256"/>
      <c r="I1048" s="256">
        <v>6</v>
      </c>
      <c r="J1048" s="571"/>
    </row>
    <row r="1049" spans="1:10" ht="29.25" customHeight="1">
      <c r="A1049" s="575"/>
      <c r="B1049" s="139"/>
      <c r="C1049" s="585"/>
      <c r="D1049" s="585"/>
      <c r="E1049" s="585"/>
      <c r="F1049" s="256"/>
      <c r="G1049" s="256"/>
      <c r="H1049" s="259" t="s">
        <v>203</v>
      </c>
      <c r="I1049" s="259">
        <v>16</v>
      </c>
      <c r="J1049" s="266" t="s">
        <v>992</v>
      </c>
    </row>
    <row r="1050" spans="1:10" ht="29.25" customHeight="1">
      <c r="A1050" s="575">
        <v>73.099999999999994</v>
      </c>
      <c r="B1050" s="142" t="s">
        <v>1016</v>
      </c>
      <c r="C1050" s="585">
        <v>1</v>
      </c>
      <c r="D1050" s="585"/>
      <c r="E1050" s="585">
        <v>2</v>
      </c>
      <c r="F1050" s="256"/>
      <c r="G1050" s="256"/>
      <c r="H1050" s="259" t="s">
        <v>15</v>
      </c>
      <c r="I1050" s="259">
        <f>E1050</f>
        <v>2</v>
      </c>
      <c r="J1050" s="266" t="s">
        <v>522</v>
      </c>
    </row>
    <row r="1051" spans="1:10" ht="29.25" customHeight="1">
      <c r="A1051" s="575">
        <v>74</v>
      </c>
      <c r="B1051" s="142" t="s">
        <v>1017</v>
      </c>
      <c r="C1051" s="585"/>
      <c r="D1051" s="585"/>
      <c r="E1051" s="585"/>
      <c r="F1051" s="256"/>
      <c r="G1051" s="256"/>
      <c r="H1051" s="256"/>
      <c r="I1051" s="256"/>
      <c r="J1051" s="266"/>
    </row>
    <row r="1052" spans="1:10" ht="29.25" customHeight="1">
      <c r="A1052" s="575"/>
      <c r="B1052" s="139" t="s">
        <v>995</v>
      </c>
      <c r="C1052" s="585">
        <v>1</v>
      </c>
      <c r="D1052" s="585"/>
      <c r="E1052" s="585">
        <v>1</v>
      </c>
      <c r="F1052" s="256"/>
      <c r="G1052" s="256"/>
      <c r="H1052" s="256"/>
      <c r="I1052" s="256">
        <v>1</v>
      </c>
      <c r="J1052" s="266"/>
    </row>
    <row r="1053" spans="1:10" ht="24.95" customHeight="1">
      <c r="A1053" s="575"/>
      <c r="B1053" s="139" t="s">
        <v>661</v>
      </c>
      <c r="C1053" s="585">
        <v>1</v>
      </c>
      <c r="D1053" s="585"/>
      <c r="E1053" s="585">
        <v>2</v>
      </c>
      <c r="F1053" s="256"/>
      <c r="G1053" s="256"/>
      <c r="H1053" s="256"/>
      <c r="I1053" s="256">
        <v>2</v>
      </c>
      <c r="J1053" s="266"/>
    </row>
    <row r="1054" spans="1:10" ht="24.95" customHeight="1">
      <c r="A1054" s="575"/>
      <c r="B1054" s="139" t="s">
        <v>485</v>
      </c>
      <c r="C1054" s="585">
        <v>1</v>
      </c>
      <c r="D1054" s="585"/>
      <c r="E1054" s="585">
        <v>2</v>
      </c>
      <c r="F1054" s="256"/>
      <c r="G1054" s="256"/>
      <c r="H1054" s="256"/>
      <c r="I1054" s="256">
        <v>2</v>
      </c>
      <c r="J1054" s="266"/>
    </row>
    <row r="1055" spans="1:10" ht="24.95" customHeight="1">
      <c r="A1055" s="575"/>
      <c r="B1055" s="139" t="s">
        <v>485</v>
      </c>
      <c r="C1055" s="585">
        <v>1</v>
      </c>
      <c r="D1055" s="585"/>
      <c r="E1055" s="585">
        <v>1</v>
      </c>
      <c r="F1055" s="256"/>
      <c r="G1055" s="256"/>
      <c r="H1055" s="256"/>
      <c r="I1055" s="256">
        <v>1</v>
      </c>
      <c r="J1055" s="266"/>
    </row>
    <row r="1056" spans="1:10" ht="24.95" customHeight="1">
      <c r="A1056" s="575"/>
      <c r="B1056" s="139" t="s">
        <v>996</v>
      </c>
      <c r="C1056" s="585">
        <v>1</v>
      </c>
      <c r="D1056" s="585"/>
      <c r="E1056" s="585">
        <v>1</v>
      </c>
      <c r="F1056" s="256"/>
      <c r="G1056" s="256"/>
      <c r="H1056" s="256"/>
      <c r="I1056" s="256">
        <v>1</v>
      </c>
      <c r="J1056" s="266"/>
    </row>
    <row r="1057" spans="1:10" ht="24.95" customHeight="1">
      <c r="A1057" s="575"/>
      <c r="B1057" s="139" t="s">
        <v>997</v>
      </c>
      <c r="C1057" s="585">
        <v>1</v>
      </c>
      <c r="D1057" s="585"/>
      <c r="E1057" s="585">
        <v>1</v>
      </c>
      <c r="F1057" s="256"/>
      <c r="G1057" s="256"/>
      <c r="H1057" s="256"/>
      <c r="I1057" s="256">
        <v>1</v>
      </c>
      <c r="J1057" s="266"/>
    </row>
    <row r="1058" spans="1:10" ht="24.95" customHeight="1">
      <c r="A1058" s="575"/>
      <c r="B1058" s="139" t="s">
        <v>877</v>
      </c>
      <c r="C1058" s="585">
        <v>1</v>
      </c>
      <c r="D1058" s="585"/>
      <c r="E1058" s="585">
        <v>1</v>
      </c>
      <c r="F1058" s="256"/>
      <c r="G1058" s="256"/>
      <c r="H1058" s="256"/>
      <c r="I1058" s="256">
        <v>1</v>
      </c>
      <c r="J1058" s="266"/>
    </row>
    <row r="1059" spans="1:10" ht="24.95" customHeight="1">
      <c r="A1059" s="575"/>
      <c r="B1059" s="139" t="s">
        <v>996</v>
      </c>
      <c r="C1059" s="585">
        <v>1</v>
      </c>
      <c r="D1059" s="585"/>
      <c r="E1059" s="585">
        <v>1</v>
      </c>
      <c r="F1059" s="256"/>
      <c r="G1059" s="256"/>
      <c r="H1059" s="256"/>
      <c r="I1059" s="256">
        <v>1</v>
      </c>
      <c r="J1059" s="266"/>
    </row>
    <row r="1060" spans="1:10" ht="24.95" customHeight="1">
      <c r="A1060" s="575"/>
      <c r="B1060" s="139" t="s">
        <v>989</v>
      </c>
      <c r="C1060" s="585">
        <v>3</v>
      </c>
      <c r="D1060" s="585"/>
      <c r="E1060" s="585">
        <v>2</v>
      </c>
      <c r="F1060" s="256"/>
      <c r="G1060" s="256"/>
      <c r="H1060" s="256"/>
      <c r="I1060" s="256">
        <v>6</v>
      </c>
      <c r="J1060" s="266"/>
    </row>
    <row r="1061" spans="1:10" ht="24.95" customHeight="1">
      <c r="A1061" s="575"/>
      <c r="B1061" s="142"/>
      <c r="C1061" s="585"/>
      <c r="D1061" s="585"/>
      <c r="E1061" s="585"/>
      <c r="F1061" s="256"/>
      <c r="G1061" s="256"/>
      <c r="H1061" s="256" t="s">
        <v>203</v>
      </c>
      <c r="I1061" s="256">
        <f>SUM(I1052:I1060)</f>
        <v>16</v>
      </c>
      <c r="J1061" s="266" t="s">
        <v>992</v>
      </c>
    </row>
    <row r="1062" spans="1:10" ht="24.95" customHeight="1">
      <c r="A1062" s="575"/>
      <c r="B1062" s="139"/>
      <c r="C1062" s="585"/>
      <c r="D1062" s="585"/>
      <c r="E1062" s="585"/>
      <c r="F1062" s="256"/>
      <c r="G1062" s="256"/>
      <c r="H1062" s="259"/>
      <c r="I1062" s="463"/>
      <c r="J1062" s="266"/>
    </row>
    <row r="1063" spans="1:10" ht="24.95" customHeight="1">
      <c r="A1063" s="575">
        <v>76</v>
      </c>
      <c r="B1063" s="142" t="s">
        <v>1018</v>
      </c>
      <c r="C1063" s="585">
        <v>1</v>
      </c>
      <c r="D1063" s="585"/>
      <c r="E1063" s="585">
        <v>1</v>
      </c>
      <c r="F1063" s="256">
        <v>23</v>
      </c>
      <c r="G1063" s="256"/>
      <c r="H1063" s="256"/>
      <c r="I1063" s="259">
        <f>PRODUCT(C1063:H1063)</f>
        <v>23</v>
      </c>
      <c r="J1063" s="266" t="s">
        <v>61</v>
      </c>
    </row>
    <row r="1064" spans="1:10" ht="24.95" customHeight="1">
      <c r="A1064" s="575">
        <v>77.3</v>
      </c>
      <c r="B1064" s="142" t="s">
        <v>1019</v>
      </c>
      <c r="C1064" s="585"/>
      <c r="D1064" s="585"/>
      <c r="E1064" s="585"/>
      <c r="F1064" s="256"/>
      <c r="G1064" s="256"/>
      <c r="H1064" s="256"/>
      <c r="I1064" s="256"/>
      <c r="J1064" s="571"/>
    </row>
    <row r="1065" spans="1:10" ht="24.95" customHeight="1">
      <c r="A1065" s="575"/>
      <c r="B1065" s="139" t="s">
        <v>1020</v>
      </c>
      <c r="C1065" s="585">
        <v>2</v>
      </c>
      <c r="D1065" s="585"/>
      <c r="E1065" s="585">
        <v>1</v>
      </c>
      <c r="F1065" s="256"/>
      <c r="G1065" s="256"/>
      <c r="H1065" s="256"/>
      <c r="I1065" s="256">
        <f>PRODUCT(C1065:H1065)</f>
        <v>2</v>
      </c>
      <c r="J1065" s="571"/>
    </row>
    <row r="1066" spans="1:10" ht="24.95" customHeight="1">
      <c r="A1066" s="575"/>
      <c r="B1066" s="139" t="s">
        <v>989</v>
      </c>
      <c r="C1066" s="585">
        <v>3</v>
      </c>
      <c r="D1066" s="585"/>
      <c r="E1066" s="585">
        <v>1</v>
      </c>
      <c r="F1066" s="256"/>
      <c r="G1066" s="256"/>
      <c r="H1066" s="256"/>
      <c r="I1066" s="256">
        <f>PRODUCT(C1066:H1066)</f>
        <v>3</v>
      </c>
      <c r="J1066" s="571"/>
    </row>
    <row r="1067" spans="1:10" ht="24.95" customHeight="1">
      <c r="A1067" s="575"/>
      <c r="B1067" s="139"/>
      <c r="C1067" s="585"/>
      <c r="D1067" s="585"/>
      <c r="E1067" s="585"/>
      <c r="F1067" s="256"/>
      <c r="G1067" s="256"/>
      <c r="H1067" s="256"/>
      <c r="I1067" s="259">
        <f>SUM(I1065:I1066)</f>
        <v>5</v>
      </c>
      <c r="J1067" s="266" t="s">
        <v>4</v>
      </c>
    </row>
    <row r="1068" spans="1:10" ht="47.25" customHeight="1">
      <c r="A1068" s="575">
        <v>77.400000000000006</v>
      </c>
      <c r="B1068" s="142" t="s">
        <v>1021</v>
      </c>
      <c r="C1068" s="585"/>
      <c r="D1068" s="585"/>
      <c r="E1068" s="585"/>
      <c r="F1068" s="256"/>
      <c r="G1068" s="256"/>
      <c r="H1068" s="256"/>
      <c r="I1068" s="256"/>
      <c r="J1068" s="571"/>
    </row>
    <row r="1069" spans="1:10" ht="24.95" customHeight="1">
      <c r="A1069" s="575"/>
      <c r="B1069" s="139" t="s">
        <v>1022</v>
      </c>
      <c r="C1069" s="585">
        <v>1</v>
      </c>
      <c r="D1069" s="585"/>
      <c r="E1069" s="585">
        <v>1</v>
      </c>
      <c r="F1069" s="256">
        <v>6</v>
      </c>
      <c r="G1069" s="256"/>
      <c r="H1069" s="256"/>
      <c r="I1069" s="259">
        <f>PRODUCT(C1069:H1069)</f>
        <v>6</v>
      </c>
      <c r="J1069" s="266"/>
    </row>
    <row r="1070" spans="1:10" ht="24.95" customHeight="1">
      <c r="A1070" s="575"/>
      <c r="B1070" s="139" t="s">
        <v>1023</v>
      </c>
      <c r="C1070" s="585">
        <v>4</v>
      </c>
      <c r="D1070" s="585"/>
      <c r="E1070" s="585">
        <v>1</v>
      </c>
      <c r="F1070" s="256">
        <v>6</v>
      </c>
      <c r="G1070" s="256"/>
      <c r="H1070" s="256"/>
      <c r="I1070" s="259">
        <f>PRODUCT(C1070:H1070)</f>
        <v>24</v>
      </c>
      <c r="J1070" s="266"/>
    </row>
    <row r="1071" spans="1:10" ht="24.95" customHeight="1">
      <c r="A1071" s="575"/>
      <c r="B1071" s="139"/>
      <c r="C1071" s="585"/>
      <c r="D1071" s="585"/>
      <c r="E1071" s="585"/>
      <c r="F1071" s="256"/>
      <c r="G1071" s="256"/>
      <c r="H1071" s="256" t="s">
        <v>203</v>
      </c>
      <c r="I1071" s="259">
        <f>SUM(I1069:I1070)</f>
        <v>30</v>
      </c>
      <c r="J1071" s="266" t="s">
        <v>61</v>
      </c>
    </row>
    <row r="1072" spans="1:10" ht="24.95" customHeight="1">
      <c r="A1072" s="575"/>
      <c r="B1072" s="139"/>
      <c r="C1072" s="585"/>
      <c r="D1072" s="585"/>
      <c r="E1072" s="585"/>
      <c r="F1072" s="256"/>
      <c r="G1072" s="256"/>
      <c r="H1072" s="256"/>
      <c r="I1072" s="259"/>
      <c r="J1072" s="266"/>
    </row>
    <row r="1073" spans="1:10" ht="24.95" customHeight="1">
      <c r="A1073" s="575">
        <v>78</v>
      </c>
      <c r="B1073" s="142" t="s">
        <v>1024</v>
      </c>
      <c r="C1073" s="585">
        <v>1</v>
      </c>
      <c r="D1073" s="585"/>
      <c r="E1073" s="585">
        <v>2</v>
      </c>
      <c r="F1073" s="256"/>
      <c r="G1073" s="256"/>
      <c r="H1073" s="256"/>
      <c r="I1073" s="259">
        <f>PRODUCT(C1073:H1073)</f>
        <v>2</v>
      </c>
      <c r="J1073" s="266" t="s">
        <v>522</v>
      </c>
    </row>
    <row r="1074" spans="1:10" ht="24.95" customHeight="1">
      <c r="A1074" s="575">
        <v>81</v>
      </c>
      <c r="B1074" s="142" t="s">
        <v>1025</v>
      </c>
      <c r="C1074" s="585">
        <v>1</v>
      </c>
      <c r="D1074" s="585"/>
      <c r="E1074" s="585">
        <v>1</v>
      </c>
      <c r="F1074" s="256">
        <v>1</v>
      </c>
      <c r="G1074" s="256"/>
      <c r="H1074" s="256">
        <v>0.75</v>
      </c>
      <c r="I1074" s="256">
        <f>PRODUCT(C1074:H1074)</f>
        <v>0.75</v>
      </c>
      <c r="J1074" s="266"/>
    </row>
    <row r="1075" spans="1:10" ht="24.95" customHeight="1">
      <c r="A1075" s="575"/>
      <c r="B1075" s="142"/>
      <c r="C1075" s="585"/>
      <c r="D1075" s="585"/>
      <c r="E1075" s="585"/>
      <c r="F1075" s="256"/>
      <c r="G1075" s="256"/>
      <c r="H1075" s="259" t="s">
        <v>15</v>
      </c>
      <c r="I1075" s="259">
        <f>ROUNDUP(I1074,1-0)</f>
        <v>0.79999999999999993</v>
      </c>
      <c r="J1075" s="266" t="s">
        <v>37</v>
      </c>
    </row>
    <row r="1076" spans="1:10" ht="24.95" customHeight="1">
      <c r="A1076" s="575">
        <v>86</v>
      </c>
      <c r="B1076" s="142" t="s">
        <v>1026</v>
      </c>
      <c r="C1076" s="585"/>
      <c r="D1076" s="585"/>
      <c r="E1076" s="585"/>
      <c r="F1076" s="256"/>
      <c r="G1076" s="256"/>
      <c r="H1076" s="256"/>
      <c r="I1076" s="256"/>
      <c r="J1076" s="266"/>
    </row>
    <row r="1077" spans="1:10" ht="24.95" customHeight="1">
      <c r="A1077" s="575"/>
      <c r="B1077" s="139" t="s">
        <v>1027</v>
      </c>
      <c r="C1077" s="585">
        <v>1</v>
      </c>
      <c r="D1077" s="585"/>
      <c r="E1077" s="585">
        <v>1</v>
      </c>
      <c r="F1077" s="256">
        <v>239.23</v>
      </c>
      <c r="G1077" s="256"/>
      <c r="H1077" s="256"/>
      <c r="I1077" s="256">
        <f>PRODUCT(C1077:H1077)</f>
        <v>239.23</v>
      </c>
      <c r="J1077" s="266"/>
    </row>
    <row r="1078" spans="1:10" ht="24.95" customHeight="1">
      <c r="A1078" s="575"/>
      <c r="B1078" s="139"/>
      <c r="C1078" s="585"/>
      <c r="D1078" s="585"/>
      <c r="E1078" s="585"/>
      <c r="F1078" s="256"/>
      <c r="G1078" s="256"/>
      <c r="H1078" s="259" t="s">
        <v>15</v>
      </c>
      <c r="I1078" s="259">
        <f>ROUNDUP(I1077,1-0)</f>
        <v>239.29999999999998</v>
      </c>
      <c r="J1078" s="266" t="s">
        <v>37</v>
      </c>
    </row>
    <row r="1079" spans="1:10" ht="24.95" customHeight="1">
      <c r="A1079" s="575">
        <v>87.1</v>
      </c>
      <c r="B1079" s="142" t="s">
        <v>1028</v>
      </c>
      <c r="C1079" s="585">
        <v>1</v>
      </c>
      <c r="D1079" s="585"/>
      <c r="E1079" s="585">
        <v>2</v>
      </c>
      <c r="F1079" s="256"/>
      <c r="G1079" s="256"/>
      <c r="H1079" s="256"/>
      <c r="I1079" s="259">
        <f>PRODUCT(C1079:H1079)</f>
        <v>2</v>
      </c>
      <c r="J1079" s="266" t="s">
        <v>522</v>
      </c>
    </row>
    <row r="1080" spans="1:10" ht="24.95" customHeight="1">
      <c r="A1080" s="575"/>
      <c r="B1080" s="142"/>
      <c r="C1080" s="585"/>
      <c r="D1080" s="585"/>
      <c r="E1080" s="585"/>
      <c r="F1080" s="256"/>
      <c r="G1080" s="256"/>
      <c r="H1080" s="256"/>
      <c r="I1080" s="259"/>
      <c r="J1080" s="266"/>
    </row>
    <row r="1081" spans="1:10" ht="24.95" customHeight="1">
      <c r="A1081" s="575">
        <v>112.1</v>
      </c>
      <c r="B1081" s="618" t="s">
        <v>1029</v>
      </c>
      <c r="C1081" s="585"/>
      <c r="D1081" s="585"/>
      <c r="E1081" s="585"/>
      <c r="F1081" s="256"/>
      <c r="G1081" s="256"/>
      <c r="H1081" s="256"/>
      <c r="I1081" s="256"/>
      <c r="J1081" s="571"/>
    </row>
    <row r="1082" spans="1:10" ht="24.95" customHeight="1">
      <c r="A1082" s="575"/>
      <c r="B1082" s="139" t="s">
        <v>1030</v>
      </c>
      <c r="C1082" s="585">
        <v>1</v>
      </c>
      <c r="D1082" s="585">
        <v>3</v>
      </c>
      <c r="E1082" s="585"/>
      <c r="F1082" s="256"/>
      <c r="G1082" s="256"/>
      <c r="H1082" s="256"/>
      <c r="I1082" s="256">
        <v>3</v>
      </c>
      <c r="J1082" s="571"/>
    </row>
    <row r="1083" spans="1:10" ht="24.95" customHeight="1">
      <c r="A1083" s="575"/>
      <c r="B1083" s="139" t="s">
        <v>477</v>
      </c>
      <c r="C1083" s="585">
        <v>1</v>
      </c>
      <c r="D1083" s="585">
        <v>1</v>
      </c>
      <c r="E1083" s="585"/>
      <c r="F1083" s="256"/>
      <c r="G1083" s="256"/>
      <c r="H1083" s="256"/>
      <c r="I1083" s="256">
        <v>1</v>
      </c>
      <c r="J1083" s="571"/>
    </row>
    <row r="1084" spans="1:10" ht="24.95" customHeight="1">
      <c r="A1084" s="575"/>
      <c r="B1084" s="139" t="s">
        <v>1031</v>
      </c>
      <c r="C1084" s="585">
        <v>1</v>
      </c>
      <c r="D1084" s="585">
        <v>3</v>
      </c>
      <c r="E1084" s="585"/>
      <c r="F1084" s="256"/>
      <c r="G1084" s="256"/>
      <c r="H1084" s="256"/>
      <c r="I1084" s="256">
        <v>3</v>
      </c>
      <c r="J1084" s="571"/>
    </row>
    <row r="1085" spans="1:10" ht="24.95" customHeight="1">
      <c r="A1085" s="575"/>
      <c r="B1085" s="139"/>
      <c r="C1085" s="585"/>
      <c r="D1085" s="585"/>
      <c r="E1085" s="585"/>
      <c r="F1085" s="256"/>
      <c r="G1085" s="256"/>
      <c r="H1085" s="256"/>
      <c r="I1085" s="256">
        <f>SUM(I1082:I1084)</f>
        <v>7</v>
      </c>
      <c r="J1085" s="571" t="s">
        <v>1032</v>
      </c>
    </row>
    <row r="1086" spans="1:10" ht="24.95" customHeight="1">
      <c r="A1086" s="575"/>
      <c r="B1086" s="142" t="s">
        <v>1033</v>
      </c>
      <c r="C1086" s="585"/>
      <c r="D1086" s="585"/>
      <c r="E1086" s="585"/>
      <c r="F1086" s="256"/>
      <c r="G1086" s="256"/>
      <c r="H1086" s="256"/>
      <c r="I1086" s="256"/>
      <c r="J1086" s="571"/>
    </row>
    <row r="1087" spans="1:10" ht="24.95" customHeight="1">
      <c r="A1087" s="575">
        <v>14.1</v>
      </c>
      <c r="B1087" s="142" t="s">
        <v>1034</v>
      </c>
      <c r="C1087" s="585"/>
      <c r="D1087" s="585"/>
      <c r="E1087" s="585"/>
      <c r="F1087" s="256"/>
      <c r="G1087" s="256"/>
      <c r="H1087" s="256"/>
      <c r="I1087" s="256"/>
      <c r="J1087" s="571"/>
    </row>
    <row r="1088" spans="1:10" ht="24.95" customHeight="1">
      <c r="A1088" s="575"/>
      <c r="B1088" s="142" t="s">
        <v>111</v>
      </c>
      <c r="C1088" s="585"/>
      <c r="D1088" s="585"/>
      <c r="E1088" s="585"/>
      <c r="F1088" s="256"/>
      <c r="G1088" s="256"/>
      <c r="H1088" s="256"/>
      <c r="I1088" s="256"/>
      <c r="J1088" s="571"/>
    </row>
    <row r="1089" spans="1:14" ht="24.95" customHeight="1">
      <c r="A1089" s="575"/>
      <c r="B1089" s="139" t="s">
        <v>702</v>
      </c>
      <c r="C1089" s="585">
        <v>1</v>
      </c>
      <c r="D1089" s="585" t="s">
        <v>56</v>
      </c>
      <c r="E1089" s="585">
        <v>4</v>
      </c>
      <c r="F1089" s="256">
        <v>4.5</v>
      </c>
      <c r="G1089" s="256">
        <v>0.45</v>
      </c>
      <c r="H1089" s="256"/>
      <c r="I1089" s="256">
        <f t="shared" ref="I1089:I1094" si="53">PRODUCT(C1089:H1089)</f>
        <v>8.1</v>
      </c>
      <c r="J1089" s="266"/>
    </row>
    <row r="1090" spans="1:14" ht="24.95" customHeight="1">
      <c r="A1090" s="575"/>
      <c r="B1090" s="139" t="s">
        <v>802</v>
      </c>
      <c r="C1090" s="585">
        <v>1</v>
      </c>
      <c r="D1090" s="585" t="s">
        <v>56</v>
      </c>
      <c r="E1090" s="585">
        <v>4</v>
      </c>
      <c r="F1090" s="256">
        <v>6</v>
      </c>
      <c r="G1090" s="256">
        <v>0.6</v>
      </c>
      <c r="H1090" s="256"/>
      <c r="I1090" s="256">
        <f t="shared" si="53"/>
        <v>14.399999999999999</v>
      </c>
      <c r="J1090" s="571"/>
    </row>
    <row r="1091" spans="1:14" ht="24.95" customHeight="1">
      <c r="A1091" s="575"/>
      <c r="B1091" s="139" t="s">
        <v>485</v>
      </c>
      <c r="C1091" s="585">
        <v>1</v>
      </c>
      <c r="D1091" s="585" t="s">
        <v>56</v>
      </c>
      <c r="E1091" s="585">
        <v>4</v>
      </c>
      <c r="F1091" s="256">
        <v>6</v>
      </c>
      <c r="G1091" s="256">
        <v>0.6</v>
      </c>
      <c r="H1091" s="256"/>
      <c r="I1091" s="256">
        <f t="shared" si="53"/>
        <v>14.399999999999999</v>
      </c>
      <c r="J1091" s="571"/>
    </row>
    <row r="1092" spans="1:14" ht="24.95" customHeight="1">
      <c r="A1092" s="575"/>
      <c r="B1092" s="139" t="s">
        <v>485</v>
      </c>
      <c r="C1092" s="585">
        <v>1</v>
      </c>
      <c r="D1092" s="585" t="s">
        <v>56</v>
      </c>
      <c r="E1092" s="585">
        <v>4</v>
      </c>
      <c r="F1092" s="256">
        <v>7.43</v>
      </c>
      <c r="G1092" s="256">
        <v>0.6</v>
      </c>
      <c r="H1092" s="256"/>
      <c r="I1092" s="256">
        <f t="shared" si="53"/>
        <v>17.831999999999997</v>
      </c>
      <c r="J1092" s="571"/>
    </row>
    <row r="1093" spans="1:14" ht="24.95" customHeight="1">
      <c r="A1093" s="575"/>
      <c r="B1093" s="139" t="s">
        <v>1035</v>
      </c>
      <c r="C1093" s="585">
        <v>2</v>
      </c>
      <c r="D1093" s="585"/>
      <c r="E1093" s="585">
        <v>12</v>
      </c>
      <c r="F1093" s="256">
        <v>1.5</v>
      </c>
      <c r="G1093" s="256">
        <v>0.6</v>
      </c>
      <c r="H1093" s="256"/>
      <c r="I1093" s="256">
        <f t="shared" si="53"/>
        <v>21.599999999999998</v>
      </c>
      <c r="J1093" s="266"/>
    </row>
    <row r="1094" spans="1:14" ht="24.95" customHeight="1">
      <c r="A1094" s="575"/>
      <c r="B1094" s="139" t="s">
        <v>484</v>
      </c>
      <c r="C1094" s="585">
        <v>3</v>
      </c>
      <c r="D1094" s="585"/>
      <c r="E1094" s="585">
        <v>4</v>
      </c>
      <c r="F1094" s="256">
        <v>1.2</v>
      </c>
      <c r="G1094" s="256">
        <v>0.45</v>
      </c>
      <c r="H1094" s="256"/>
      <c r="I1094" s="256">
        <f t="shared" si="53"/>
        <v>6.4799999999999995</v>
      </c>
      <c r="J1094" s="571"/>
    </row>
    <row r="1095" spans="1:14" ht="24.95" customHeight="1">
      <c r="A1095" s="575"/>
      <c r="B1095" s="139"/>
      <c r="C1095" s="585"/>
      <c r="D1095" s="585"/>
      <c r="E1095" s="585"/>
      <c r="F1095" s="256"/>
      <c r="G1095" s="256"/>
      <c r="H1095" s="256"/>
      <c r="I1095" s="256">
        <f>SUM(I1089:I1094)</f>
        <v>82.811999999999998</v>
      </c>
      <c r="J1095" s="571"/>
    </row>
    <row r="1096" spans="1:14" ht="24.95" customHeight="1">
      <c r="A1096" s="575"/>
      <c r="B1096" s="139"/>
      <c r="C1096" s="585"/>
      <c r="D1096" s="585"/>
      <c r="E1096" s="585"/>
      <c r="F1096" s="256"/>
      <c r="G1096" s="256"/>
      <c r="H1096" s="259" t="s">
        <v>15</v>
      </c>
      <c r="I1096" s="259">
        <f>ROUNDUP(I1095,1-0)</f>
        <v>82.899999999999991</v>
      </c>
      <c r="J1096" s="266" t="s">
        <v>37</v>
      </c>
    </row>
    <row r="1097" spans="1:14" ht="24.95" customHeight="1">
      <c r="A1097" s="575"/>
      <c r="B1097" s="142" t="s">
        <v>803</v>
      </c>
      <c r="C1097" s="585"/>
      <c r="D1097" s="585"/>
      <c r="E1097" s="585"/>
      <c r="F1097" s="256"/>
      <c r="G1097" s="256"/>
      <c r="H1097" s="259"/>
      <c r="I1097" s="256"/>
      <c r="J1097" s="266"/>
    </row>
    <row r="1098" spans="1:14" ht="24.95" customHeight="1">
      <c r="A1098" s="575"/>
      <c r="B1098" s="139" t="s">
        <v>879</v>
      </c>
      <c r="C1098" s="585">
        <v>1</v>
      </c>
      <c r="D1098" s="585" t="s">
        <v>56</v>
      </c>
      <c r="E1098" s="585">
        <v>4</v>
      </c>
      <c r="F1098" s="256">
        <v>6</v>
      </c>
      <c r="G1098" s="256">
        <v>0.6</v>
      </c>
      <c r="H1098" s="259"/>
      <c r="I1098" s="256">
        <f>PRODUCT(C1098:H1098)</f>
        <v>14.399999999999999</v>
      </c>
      <c r="J1098" s="266"/>
    </row>
    <row r="1099" spans="1:14" ht="24.95" customHeight="1">
      <c r="A1099" s="575"/>
      <c r="B1099" s="139" t="s">
        <v>875</v>
      </c>
      <c r="C1099" s="585">
        <v>1</v>
      </c>
      <c r="D1099" s="585" t="s">
        <v>56</v>
      </c>
      <c r="E1099" s="585">
        <v>4</v>
      </c>
      <c r="F1099" s="256">
        <v>3.35</v>
      </c>
      <c r="G1099" s="256">
        <v>0.6</v>
      </c>
      <c r="H1099" s="259"/>
      <c r="I1099" s="256">
        <f>PRODUCT(C1099:H1099)</f>
        <v>8.0399999999999991</v>
      </c>
      <c r="J1099" s="266"/>
    </row>
    <row r="1100" spans="1:14" ht="45" customHeight="1">
      <c r="A1100" s="575"/>
      <c r="B1100" s="139" t="s">
        <v>923</v>
      </c>
      <c r="C1100" s="585">
        <v>1</v>
      </c>
      <c r="D1100" s="585" t="s">
        <v>56</v>
      </c>
      <c r="E1100" s="585">
        <v>4</v>
      </c>
      <c r="F1100" s="256">
        <v>5.7</v>
      </c>
      <c r="G1100" s="256">
        <v>0.6</v>
      </c>
      <c r="H1100" s="259"/>
      <c r="I1100" s="256">
        <f>PRODUCT(C1100:H1100)</f>
        <v>13.68</v>
      </c>
      <c r="J1100" s="266"/>
    </row>
    <row r="1101" spans="1:14" ht="24.95" customHeight="1">
      <c r="A1101" s="575"/>
      <c r="B1101" s="139"/>
      <c r="C1101" s="585"/>
      <c r="D1101" s="585"/>
      <c r="E1101" s="585"/>
      <c r="F1101" s="256"/>
      <c r="G1101" s="256"/>
      <c r="H1101" s="259"/>
      <c r="I1101" s="256">
        <f>SUM(I1098:I1100)</f>
        <v>36.119999999999997</v>
      </c>
      <c r="J1101" s="266"/>
    </row>
    <row r="1102" spans="1:14" ht="24.95" customHeight="1">
      <c r="A1102" s="575"/>
      <c r="B1102" s="139"/>
      <c r="C1102" s="585"/>
      <c r="D1102" s="585"/>
      <c r="E1102" s="585"/>
      <c r="F1102" s="256"/>
      <c r="G1102" s="256"/>
      <c r="H1102" s="259" t="s">
        <v>15</v>
      </c>
      <c r="I1102" s="259">
        <f>ROUNDUP(I1101,1-0)</f>
        <v>36.200000000000003</v>
      </c>
      <c r="J1102" s="266" t="s">
        <v>37</v>
      </c>
      <c r="M1102" s="570">
        <f>G1125+F1125</f>
        <v>6</v>
      </c>
      <c r="N1102" s="570">
        <f>M1102*2</f>
        <v>12</v>
      </c>
    </row>
    <row r="1103" spans="1:14" ht="32.25" customHeight="1">
      <c r="A1103" s="575" t="s">
        <v>39</v>
      </c>
      <c r="B1103" s="142" t="s">
        <v>1036</v>
      </c>
      <c r="C1103" s="585"/>
      <c r="D1103" s="585"/>
      <c r="E1103" s="585"/>
      <c r="F1103" s="256"/>
      <c r="G1103" s="256"/>
      <c r="H1103" s="259"/>
      <c r="I1103" s="259"/>
      <c r="J1103" s="266"/>
      <c r="M1103" s="570">
        <f>G1126+F1126</f>
        <v>8</v>
      </c>
      <c r="N1103" s="570">
        <f>M1103*2</f>
        <v>16</v>
      </c>
    </row>
    <row r="1104" spans="1:14" ht="24.95" customHeight="1">
      <c r="A1104" s="567" t="s">
        <v>1037</v>
      </c>
      <c r="B1104" s="568" t="s">
        <v>1038</v>
      </c>
      <c r="C1104" s="563"/>
      <c r="D1104" s="563"/>
      <c r="E1104" s="564"/>
      <c r="F1104" s="565"/>
      <c r="G1104" s="565"/>
      <c r="H1104" s="565"/>
      <c r="I1104" s="259"/>
      <c r="J1104" s="266"/>
      <c r="M1104" s="570">
        <f>G1127+F1127</f>
        <v>8.4</v>
      </c>
      <c r="N1104" s="570">
        <f>M1104*2</f>
        <v>16.8</v>
      </c>
    </row>
    <row r="1105" spans="1:14" ht="24.95" customHeight="1">
      <c r="A1105" s="567"/>
      <c r="B1105" s="576" t="s">
        <v>1039</v>
      </c>
      <c r="C1105" s="563">
        <v>1</v>
      </c>
      <c r="D1105" s="585" t="s">
        <v>56</v>
      </c>
      <c r="E1105" s="563">
        <v>9</v>
      </c>
      <c r="F1105" s="565">
        <v>1.06</v>
      </c>
      <c r="G1105" s="565">
        <v>1.06</v>
      </c>
      <c r="H1105" s="565"/>
      <c r="I1105" s="565">
        <f>PRODUCT(C1105:H1105)</f>
        <v>10.112400000000001</v>
      </c>
      <c r="J1105" s="266"/>
      <c r="M1105" s="570">
        <f>G1128+F1128</f>
        <v>8.4</v>
      </c>
      <c r="N1105" s="570">
        <f>M1105*2</f>
        <v>16.8</v>
      </c>
    </row>
    <row r="1106" spans="1:14" ht="24.95" customHeight="1">
      <c r="A1106" s="575"/>
      <c r="B1106" s="139"/>
      <c r="C1106" s="585"/>
      <c r="D1106" s="585"/>
      <c r="E1106" s="585"/>
      <c r="F1106" s="256"/>
      <c r="G1106" s="256"/>
      <c r="H1106" s="259" t="s">
        <v>15</v>
      </c>
      <c r="I1106" s="259">
        <f>ROUNDUP(I1105,1-0)</f>
        <v>10.199999999999999</v>
      </c>
      <c r="J1106" s="266" t="s">
        <v>37</v>
      </c>
    </row>
    <row r="1107" spans="1:14" ht="24.95" customHeight="1">
      <c r="A1107" s="567" t="s">
        <v>1040</v>
      </c>
      <c r="B1107" s="568" t="s">
        <v>1041</v>
      </c>
      <c r="C1107" s="585"/>
      <c r="D1107" s="585"/>
      <c r="E1107" s="585"/>
      <c r="F1107" s="256"/>
      <c r="G1107" s="256"/>
      <c r="H1107" s="259"/>
      <c r="I1107" s="259"/>
      <c r="J1107" s="266"/>
    </row>
    <row r="1108" spans="1:14" ht="27" customHeight="1">
      <c r="A1108" s="575"/>
      <c r="B1108" s="139" t="s">
        <v>702</v>
      </c>
      <c r="C1108" s="585">
        <v>1</v>
      </c>
      <c r="D1108" s="585" t="s">
        <v>56</v>
      </c>
      <c r="E1108" s="585">
        <v>4</v>
      </c>
      <c r="F1108" s="256">
        <v>4.5</v>
      </c>
      <c r="G1108" s="256">
        <v>0.45</v>
      </c>
      <c r="H1108" s="256"/>
      <c r="I1108" s="256">
        <f t="shared" ref="I1108:I1113" si="54">PRODUCT(C1108:H1108)</f>
        <v>8.1</v>
      </c>
      <c r="J1108" s="266"/>
    </row>
    <row r="1109" spans="1:14" ht="24.95" customHeight="1">
      <c r="A1109" s="575"/>
      <c r="B1109" s="139" t="s">
        <v>802</v>
      </c>
      <c r="C1109" s="585">
        <v>1</v>
      </c>
      <c r="D1109" s="585" t="s">
        <v>56</v>
      </c>
      <c r="E1109" s="585">
        <v>4</v>
      </c>
      <c r="F1109" s="256">
        <v>6</v>
      </c>
      <c r="G1109" s="256">
        <v>0.6</v>
      </c>
      <c r="H1109" s="256"/>
      <c r="I1109" s="256">
        <f t="shared" si="54"/>
        <v>14.399999999999999</v>
      </c>
      <c r="J1109" s="571"/>
    </row>
    <row r="1110" spans="1:14" ht="24.95" customHeight="1">
      <c r="A1110" s="575"/>
      <c r="B1110" s="139" t="s">
        <v>485</v>
      </c>
      <c r="C1110" s="585">
        <v>1</v>
      </c>
      <c r="D1110" s="585" t="s">
        <v>56</v>
      </c>
      <c r="E1110" s="585">
        <v>4</v>
      </c>
      <c r="F1110" s="256">
        <v>6</v>
      </c>
      <c r="G1110" s="256">
        <v>0.6</v>
      </c>
      <c r="H1110" s="256"/>
      <c r="I1110" s="256">
        <f t="shared" si="54"/>
        <v>14.399999999999999</v>
      </c>
      <c r="J1110" s="571"/>
    </row>
    <row r="1111" spans="1:14" ht="24.95" customHeight="1">
      <c r="A1111" s="575"/>
      <c r="B1111" s="139" t="s">
        <v>485</v>
      </c>
      <c r="C1111" s="585">
        <v>1</v>
      </c>
      <c r="D1111" s="585" t="s">
        <v>56</v>
      </c>
      <c r="E1111" s="585">
        <v>4</v>
      </c>
      <c r="F1111" s="256">
        <v>7.43</v>
      </c>
      <c r="G1111" s="256">
        <v>0.6</v>
      </c>
      <c r="H1111" s="256"/>
      <c r="I1111" s="256">
        <f t="shared" si="54"/>
        <v>17.831999999999997</v>
      </c>
      <c r="J1111" s="571"/>
    </row>
    <row r="1112" spans="1:14" ht="24.95" customHeight="1">
      <c r="A1112" s="575"/>
      <c r="B1112" s="139" t="s">
        <v>1035</v>
      </c>
      <c r="C1112" s="585">
        <v>2</v>
      </c>
      <c r="D1112" s="585"/>
      <c r="E1112" s="585">
        <v>12</v>
      </c>
      <c r="F1112" s="256">
        <v>1.5</v>
      </c>
      <c r="G1112" s="256">
        <v>0.6</v>
      </c>
      <c r="H1112" s="256"/>
      <c r="I1112" s="256">
        <f t="shared" si="54"/>
        <v>21.599999999999998</v>
      </c>
      <c r="J1112" s="266"/>
    </row>
    <row r="1113" spans="1:14" ht="24.95" customHeight="1">
      <c r="A1113" s="575"/>
      <c r="B1113" s="139" t="s">
        <v>484</v>
      </c>
      <c r="C1113" s="585">
        <v>3</v>
      </c>
      <c r="D1113" s="585"/>
      <c r="E1113" s="585">
        <v>4</v>
      </c>
      <c r="F1113" s="256">
        <v>1.2</v>
      </c>
      <c r="G1113" s="256">
        <v>0.45</v>
      </c>
      <c r="H1113" s="256"/>
      <c r="I1113" s="256">
        <f t="shared" si="54"/>
        <v>6.4799999999999995</v>
      </c>
      <c r="J1113" s="571"/>
    </row>
    <row r="1114" spans="1:14" ht="24.95" customHeight="1">
      <c r="A1114" s="575"/>
      <c r="B1114" s="139"/>
      <c r="C1114" s="585"/>
      <c r="D1114" s="585"/>
      <c r="E1114" s="585"/>
      <c r="F1114" s="256"/>
      <c r="G1114" s="256"/>
      <c r="H1114" s="256"/>
      <c r="I1114" s="256">
        <f>SUM(I1108:I1113)</f>
        <v>82.811999999999998</v>
      </c>
      <c r="J1114" s="571"/>
    </row>
    <row r="1115" spans="1:14" ht="24.95" customHeight="1">
      <c r="A1115" s="575"/>
      <c r="B1115" s="139"/>
      <c r="C1115" s="585"/>
      <c r="D1115" s="585"/>
      <c r="E1115" s="585"/>
      <c r="F1115" s="256"/>
      <c r="G1115" s="256"/>
      <c r="H1115" s="259" t="s">
        <v>15</v>
      </c>
      <c r="I1115" s="259">
        <f>ROUNDUP(I1114,1-0)</f>
        <v>82.899999999999991</v>
      </c>
      <c r="J1115" s="266" t="s">
        <v>37</v>
      </c>
    </row>
    <row r="1116" spans="1:14" ht="24.95" customHeight="1">
      <c r="A1116" s="567"/>
      <c r="B1116" s="142" t="s">
        <v>803</v>
      </c>
      <c r="C1116" s="585"/>
      <c r="D1116" s="585"/>
      <c r="E1116" s="585"/>
      <c r="F1116" s="256"/>
      <c r="G1116" s="256"/>
      <c r="H1116" s="259"/>
      <c r="I1116" s="256"/>
      <c r="J1116" s="266"/>
    </row>
    <row r="1117" spans="1:14" ht="24.95" customHeight="1">
      <c r="A1117" s="567"/>
      <c r="B1117" s="139" t="s">
        <v>879</v>
      </c>
      <c r="C1117" s="585">
        <v>1</v>
      </c>
      <c r="D1117" s="585" t="s">
        <v>56</v>
      </c>
      <c r="E1117" s="585">
        <v>4</v>
      </c>
      <c r="F1117" s="256">
        <v>6</v>
      </c>
      <c r="G1117" s="256">
        <v>0.6</v>
      </c>
      <c r="H1117" s="259"/>
      <c r="I1117" s="256">
        <f>PRODUCT(C1117:H1117)</f>
        <v>14.399999999999999</v>
      </c>
      <c r="J1117" s="266"/>
    </row>
    <row r="1118" spans="1:14" ht="24.95" customHeight="1">
      <c r="A1118" s="567"/>
      <c r="B1118" s="139" t="s">
        <v>875</v>
      </c>
      <c r="C1118" s="585">
        <v>1</v>
      </c>
      <c r="D1118" s="585" t="s">
        <v>56</v>
      </c>
      <c r="E1118" s="585">
        <v>4</v>
      </c>
      <c r="F1118" s="256">
        <v>3.35</v>
      </c>
      <c r="G1118" s="256">
        <v>0.6</v>
      </c>
      <c r="H1118" s="259"/>
      <c r="I1118" s="256">
        <f>PRODUCT(C1118:H1118)</f>
        <v>8.0399999999999991</v>
      </c>
      <c r="J1118" s="266"/>
    </row>
    <row r="1119" spans="1:14" ht="24.95" customHeight="1">
      <c r="A1119" s="567"/>
      <c r="B1119" s="139" t="s">
        <v>923</v>
      </c>
      <c r="C1119" s="585">
        <v>1</v>
      </c>
      <c r="D1119" s="585" t="s">
        <v>56</v>
      </c>
      <c r="E1119" s="585">
        <v>4</v>
      </c>
      <c r="F1119" s="256">
        <v>5.7</v>
      </c>
      <c r="G1119" s="256">
        <v>0.6</v>
      </c>
      <c r="H1119" s="259"/>
      <c r="I1119" s="256">
        <f>PRODUCT(C1119:H1119)</f>
        <v>13.68</v>
      </c>
      <c r="J1119" s="266"/>
    </row>
    <row r="1120" spans="1:14" ht="45.75" customHeight="1">
      <c r="A1120" s="567"/>
      <c r="B1120" s="139"/>
      <c r="C1120" s="585"/>
      <c r="D1120" s="585"/>
      <c r="E1120" s="585"/>
      <c r="F1120" s="256"/>
      <c r="G1120" s="256"/>
      <c r="H1120" s="259"/>
      <c r="I1120" s="256">
        <f>SUM(I1117:I1119)</f>
        <v>36.119999999999997</v>
      </c>
      <c r="J1120" s="266"/>
    </row>
    <row r="1121" spans="1:10" ht="24.95" customHeight="1">
      <c r="A1121" s="575"/>
      <c r="B1121" s="139"/>
      <c r="C1121" s="585"/>
      <c r="D1121" s="585"/>
      <c r="E1121" s="585"/>
      <c r="F1121" s="256"/>
      <c r="G1121" s="256"/>
      <c r="H1121" s="259" t="s">
        <v>15</v>
      </c>
      <c r="I1121" s="259">
        <f>ROUNDUP(I1120,1-0)</f>
        <v>36.200000000000003</v>
      </c>
      <c r="J1121" s="266" t="s">
        <v>37</v>
      </c>
    </row>
    <row r="1122" spans="1:10" ht="24.95" customHeight="1">
      <c r="A1122" s="575"/>
      <c r="B1122" s="142" t="s">
        <v>549</v>
      </c>
      <c r="C1122" s="585"/>
      <c r="D1122" s="585"/>
      <c r="E1122" s="585"/>
      <c r="F1122" s="256"/>
      <c r="G1122" s="256"/>
      <c r="H1122" s="256"/>
      <c r="I1122" s="256"/>
      <c r="J1122" s="571"/>
    </row>
    <row r="1123" spans="1:10" ht="48" customHeight="1">
      <c r="A1123" s="575">
        <v>18.100000000000001</v>
      </c>
      <c r="B1123" s="142" t="s">
        <v>1042</v>
      </c>
      <c r="C1123" s="585"/>
      <c r="D1123" s="585"/>
      <c r="E1123" s="585"/>
      <c r="F1123" s="256"/>
      <c r="G1123" s="256"/>
      <c r="H1123" s="256"/>
      <c r="I1123" s="256"/>
      <c r="J1123" s="571"/>
    </row>
    <row r="1124" spans="1:10" ht="24.95" customHeight="1">
      <c r="A1124" s="575"/>
      <c r="B1124" s="142" t="s">
        <v>635</v>
      </c>
      <c r="C1124" s="585"/>
      <c r="D1124" s="585"/>
      <c r="E1124" s="585"/>
      <c r="F1124" s="256"/>
      <c r="G1124" s="256"/>
      <c r="H1124" s="256"/>
      <c r="I1124" s="256"/>
      <c r="J1124" s="571"/>
    </row>
    <row r="1125" spans="1:10" ht="24.95" customHeight="1">
      <c r="A1125" s="575"/>
      <c r="B1125" s="139" t="s">
        <v>1043</v>
      </c>
      <c r="C1125" s="585">
        <v>1</v>
      </c>
      <c r="D1125" s="585" t="s">
        <v>56</v>
      </c>
      <c r="E1125" s="585">
        <v>14</v>
      </c>
      <c r="F1125" s="256">
        <v>6</v>
      </c>
      <c r="G1125" s="256"/>
      <c r="H1125" s="256">
        <v>0.38</v>
      </c>
      <c r="I1125" s="256">
        <f>PRODUCT(C1125:H1125)</f>
        <v>31.92</v>
      </c>
      <c r="J1125" s="571"/>
    </row>
    <row r="1126" spans="1:10" ht="24.95" customHeight="1">
      <c r="A1126" s="575"/>
      <c r="B1126" s="139" t="s">
        <v>637</v>
      </c>
      <c r="C1126" s="585">
        <v>1</v>
      </c>
      <c r="D1126" s="585" t="s">
        <v>56</v>
      </c>
      <c r="E1126" s="585">
        <v>4</v>
      </c>
      <c r="F1126" s="256">
        <v>8</v>
      </c>
      <c r="G1126" s="256"/>
      <c r="H1126" s="256">
        <v>0.45</v>
      </c>
      <c r="I1126" s="256">
        <f>PRODUCT(C1126:H1126)</f>
        <v>14.4</v>
      </c>
      <c r="J1126" s="571"/>
    </row>
    <row r="1127" spans="1:10" ht="24.95" customHeight="1">
      <c r="A1127" s="575"/>
      <c r="B1127" s="139" t="s">
        <v>1044</v>
      </c>
      <c r="C1127" s="585">
        <v>1</v>
      </c>
      <c r="D1127" s="585" t="s">
        <v>56</v>
      </c>
      <c r="E1127" s="585">
        <v>7</v>
      </c>
      <c r="F1127" s="256">
        <v>8.4</v>
      </c>
      <c r="G1127" s="256"/>
      <c r="H1127" s="256">
        <v>0.45</v>
      </c>
      <c r="I1127" s="256">
        <f>PRODUCT(C1127:H1127)</f>
        <v>26.46</v>
      </c>
      <c r="J1127" s="571"/>
    </row>
    <row r="1128" spans="1:10" ht="24.95" customHeight="1">
      <c r="A1128" s="575"/>
      <c r="B1128" s="139" t="s">
        <v>1045</v>
      </c>
      <c r="C1128" s="585">
        <v>1</v>
      </c>
      <c r="D1128" s="585" t="s">
        <v>56</v>
      </c>
      <c r="E1128" s="585">
        <v>2</v>
      </c>
      <c r="F1128" s="256">
        <v>8.4</v>
      </c>
      <c r="G1128" s="256"/>
      <c r="H1128" s="256">
        <v>0.6</v>
      </c>
      <c r="I1128" s="256">
        <f>PRODUCT(C1128:H1128)</f>
        <v>10.08</v>
      </c>
      <c r="J1128" s="571"/>
    </row>
    <row r="1129" spans="1:10" ht="24.95" customHeight="1">
      <c r="A1129" s="575"/>
      <c r="B1129" s="139"/>
      <c r="C1129" s="585"/>
      <c r="D1129" s="585"/>
      <c r="E1129" s="585"/>
      <c r="F1129" s="256"/>
      <c r="G1129" s="256"/>
      <c r="H1129" s="256"/>
      <c r="I1129" s="256"/>
      <c r="J1129" s="571"/>
    </row>
    <row r="1130" spans="1:10" ht="24.95" customHeight="1">
      <c r="A1130" s="575"/>
      <c r="B1130" s="142" t="s">
        <v>672</v>
      </c>
      <c r="C1130" s="585"/>
      <c r="D1130" s="585"/>
      <c r="E1130" s="585"/>
      <c r="F1130" s="256"/>
      <c r="G1130" s="256"/>
      <c r="H1130" s="256"/>
      <c r="I1130" s="256"/>
      <c r="J1130" s="571"/>
    </row>
    <row r="1131" spans="1:10" ht="24.95" customHeight="1">
      <c r="A1131" s="575"/>
      <c r="B1131" s="139" t="s">
        <v>1046</v>
      </c>
      <c r="C1131" s="585">
        <v>1</v>
      </c>
      <c r="D1131" s="585" t="s">
        <v>56</v>
      </c>
      <c r="E1131" s="585">
        <v>1</v>
      </c>
      <c r="F1131" s="256">
        <v>65.8</v>
      </c>
      <c r="G1131" s="256"/>
      <c r="H1131" s="256">
        <v>0.38</v>
      </c>
      <c r="I1131" s="256">
        <f t="shared" ref="I1131:I1148" si="55">PRODUCT(C1131:H1131)</f>
        <v>25.003999999999998</v>
      </c>
      <c r="J1131" s="571"/>
    </row>
    <row r="1132" spans="1:10" ht="24.95" customHeight="1">
      <c r="A1132" s="575"/>
      <c r="B1132" s="139" t="s">
        <v>1047</v>
      </c>
      <c r="C1132" s="585">
        <v>1</v>
      </c>
      <c r="D1132" s="585" t="s">
        <v>56</v>
      </c>
      <c r="E1132" s="585">
        <v>1</v>
      </c>
      <c r="F1132" s="256">
        <v>19.68</v>
      </c>
      <c r="G1132" s="256"/>
      <c r="H1132" s="256">
        <v>0.38</v>
      </c>
      <c r="I1132" s="256">
        <f t="shared" si="55"/>
        <v>7.4783999999999997</v>
      </c>
      <c r="J1132" s="571"/>
    </row>
    <row r="1133" spans="1:10" ht="24.95" customHeight="1">
      <c r="A1133" s="575"/>
      <c r="B1133" s="139" t="s">
        <v>1048</v>
      </c>
      <c r="C1133" s="585">
        <v>1</v>
      </c>
      <c r="D1133" s="585" t="s">
        <v>56</v>
      </c>
      <c r="E1133" s="585">
        <v>1</v>
      </c>
      <c r="F1133" s="256">
        <v>17.559999999999999</v>
      </c>
      <c r="G1133" s="256"/>
      <c r="H1133" s="256">
        <v>0.38</v>
      </c>
      <c r="I1133" s="256">
        <f t="shared" si="55"/>
        <v>6.6727999999999996</v>
      </c>
      <c r="J1133" s="571"/>
    </row>
    <row r="1134" spans="1:10" ht="24.95" customHeight="1">
      <c r="A1134" s="575"/>
      <c r="B1134" s="139" t="s">
        <v>1049</v>
      </c>
      <c r="C1134" s="585">
        <v>1</v>
      </c>
      <c r="D1134" s="585" t="s">
        <v>56</v>
      </c>
      <c r="E1134" s="585">
        <v>1</v>
      </c>
      <c r="F1134" s="256">
        <v>10.74</v>
      </c>
      <c r="G1134" s="256"/>
      <c r="H1134" s="256">
        <v>0.38</v>
      </c>
      <c r="I1134" s="256">
        <f t="shared" si="55"/>
        <v>4.0811999999999999</v>
      </c>
      <c r="J1134" s="571"/>
    </row>
    <row r="1135" spans="1:10" ht="24.95" customHeight="1">
      <c r="A1135" s="575"/>
      <c r="B1135" s="139" t="s">
        <v>1050</v>
      </c>
      <c r="C1135" s="585">
        <v>1</v>
      </c>
      <c r="D1135" s="585" t="s">
        <v>56</v>
      </c>
      <c r="E1135" s="585">
        <v>1</v>
      </c>
      <c r="F1135" s="256">
        <v>19.54</v>
      </c>
      <c r="G1135" s="256"/>
      <c r="H1135" s="256">
        <v>0.38</v>
      </c>
      <c r="I1135" s="256">
        <f t="shared" si="55"/>
        <v>7.4251999999999994</v>
      </c>
      <c r="J1135" s="571"/>
    </row>
    <row r="1136" spans="1:10" ht="24.95" customHeight="1">
      <c r="A1136" s="575"/>
      <c r="B1136" s="139" t="s">
        <v>1051</v>
      </c>
      <c r="C1136" s="585">
        <v>1</v>
      </c>
      <c r="D1136" s="585" t="s">
        <v>56</v>
      </c>
      <c r="E1136" s="585">
        <v>1</v>
      </c>
      <c r="F1136" s="256">
        <v>36.78</v>
      </c>
      <c r="G1136" s="256"/>
      <c r="H1136" s="256">
        <v>0.38</v>
      </c>
      <c r="I1136" s="256">
        <f t="shared" si="55"/>
        <v>13.9764</v>
      </c>
      <c r="J1136" s="571"/>
    </row>
    <row r="1137" spans="1:10" ht="24.95" customHeight="1">
      <c r="A1137" s="575"/>
      <c r="B1137" s="139" t="s">
        <v>989</v>
      </c>
      <c r="C1137" s="585">
        <v>1</v>
      </c>
      <c r="D1137" s="585" t="s">
        <v>56</v>
      </c>
      <c r="E1137" s="585">
        <v>1</v>
      </c>
      <c r="F1137" s="256">
        <v>28.06</v>
      </c>
      <c r="G1137" s="256"/>
      <c r="H1137" s="256">
        <v>0.38</v>
      </c>
      <c r="I1137" s="256">
        <f t="shared" si="55"/>
        <v>10.662799999999999</v>
      </c>
      <c r="J1137" s="571"/>
    </row>
    <row r="1138" spans="1:10" ht="33.75" customHeight="1">
      <c r="A1138" s="575"/>
      <c r="B1138" s="139" t="s">
        <v>662</v>
      </c>
      <c r="C1138" s="585">
        <v>1</v>
      </c>
      <c r="D1138" s="585" t="s">
        <v>56</v>
      </c>
      <c r="E1138" s="585">
        <v>1</v>
      </c>
      <c r="F1138" s="256">
        <v>16</v>
      </c>
      <c r="G1138" s="256"/>
      <c r="H1138" s="256">
        <v>0.38</v>
      </c>
      <c r="I1138" s="256">
        <f t="shared" si="55"/>
        <v>6.08</v>
      </c>
      <c r="J1138" s="571"/>
    </row>
    <row r="1139" spans="1:10" ht="24.95" customHeight="1">
      <c r="A1139" s="575"/>
      <c r="B1139" s="139" t="s">
        <v>477</v>
      </c>
      <c r="C1139" s="585">
        <v>1</v>
      </c>
      <c r="D1139" s="585" t="s">
        <v>56</v>
      </c>
      <c r="E1139" s="585">
        <v>1</v>
      </c>
      <c r="F1139" s="256">
        <v>24</v>
      </c>
      <c r="G1139" s="256"/>
      <c r="H1139" s="256">
        <v>0.38</v>
      </c>
      <c r="I1139" s="256">
        <f t="shared" si="55"/>
        <v>9.120000000000001</v>
      </c>
      <c r="J1139" s="571"/>
    </row>
    <row r="1140" spans="1:10" ht="24.95" customHeight="1">
      <c r="A1140" s="575"/>
      <c r="B1140" s="139" t="s">
        <v>1052</v>
      </c>
      <c r="C1140" s="585">
        <v>1</v>
      </c>
      <c r="D1140" s="585" t="s">
        <v>56</v>
      </c>
      <c r="E1140" s="585">
        <v>1</v>
      </c>
      <c r="F1140" s="256">
        <v>15.6</v>
      </c>
      <c r="G1140" s="256"/>
      <c r="H1140" s="256">
        <v>0.38</v>
      </c>
      <c r="I1140" s="256">
        <f t="shared" si="55"/>
        <v>5.9279999999999999</v>
      </c>
      <c r="J1140" s="571"/>
    </row>
    <row r="1141" spans="1:10" ht="30" customHeight="1">
      <c r="A1141" s="575"/>
      <c r="B1141" s="139" t="s">
        <v>659</v>
      </c>
      <c r="C1141" s="585">
        <v>1</v>
      </c>
      <c r="D1141" s="585" t="s">
        <v>56</v>
      </c>
      <c r="E1141" s="585">
        <v>1</v>
      </c>
      <c r="F1141" s="256">
        <v>13.2</v>
      </c>
      <c r="G1141" s="256"/>
      <c r="H1141" s="256">
        <v>0.38</v>
      </c>
      <c r="I1141" s="256">
        <f t="shared" si="55"/>
        <v>5.016</v>
      </c>
      <c r="J1141" s="571"/>
    </row>
    <row r="1142" spans="1:10" ht="24.95" customHeight="1">
      <c r="A1142" s="575"/>
      <c r="B1142" s="139" t="s">
        <v>1053</v>
      </c>
      <c r="C1142" s="585">
        <v>1</v>
      </c>
      <c r="D1142" s="585" t="s">
        <v>56</v>
      </c>
      <c r="E1142" s="585">
        <v>1</v>
      </c>
      <c r="F1142" s="256">
        <v>39.4</v>
      </c>
      <c r="G1142" s="256"/>
      <c r="H1142" s="256">
        <v>0.38</v>
      </c>
      <c r="I1142" s="256">
        <f t="shared" si="55"/>
        <v>14.972</v>
      </c>
      <c r="J1142" s="571"/>
    </row>
    <row r="1143" spans="1:10" ht="24.95" customHeight="1">
      <c r="A1143" s="575"/>
      <c r="B1143" s="139" t="s">
        <v>1054</v>
      </c>
      <c r="C1143" s="585">
        <v>1</v>
      </c>
      <c r="D1143" s="585" t="s">
        <v>56</v>
      </c>
      <c r="E1143" s="585">
        <v>1</v>
      </c>
      <c r="F1143" s="256">
        <v>23.52</v>
      </c>
      <c r="G1143" s="256"/>
      <c r="H1143" s="256">
        <v>0.38</v>
      </c>
      <c r="I1143" s="256">
        <f t="shared" si="55"/>
        <v>8.9375999999999998</v>
      </c>
      <c r="J1143" s="571"/>
    </row>
    <row r="1144" spans="1:10" ht="24.95" customHeight="1">
      <c r="A1144" s="575"/>
      <c r="B1144" s="139"/>
      <c r="C1144" s="585">
        <v>1</v>
      </c>
      <c r="D1144" s="585" t="s">
        <v>56</v>
      </c>
      <c r="E1144" s="585">
        <v>1</v>
      </c>
      <c r="F1144" s="256">
        <v>25.36</v>
      </c>
      <c r="G1144" s="256"/>
      <c r="H1144" s="256">
        <v>0.38</v>
      </c>
      <c r="I1144" s="256">
        <f t="shared" si="55"/>
        <v>9.6367999999999991</v>
      </c>
      <c r="J1144" s="571"/>
    </row>
    <row r="1145" spans="1:10" ht="24.95" customHeight="1">
      <c r="A1145" s="575"/>
      <c r="B1145" s="139"/>
      <c r="C1145" s="585">
        <v>1</v>
      </c>
      <c r="D1145" s="585" t="s">
        <v>56</v>
      </c>
      <c r="E1145" s="585">
        <v>1</v>
      </c>
      <c r="F1145" s="256">
        <v>181</v>
      </c>
      <c r="G1145" s="256"/>
      <c r="H1145" s="256">
        <v>0.38</v>
      </c>
      <c r="I1145" s="256">
        <f t="shared" si="55"/>
        <v>68.78</v>
      </c>
      <c r="J1145" s="571"/>
    </row>
    <row r="1146" spans="1:10" ht="24.95" customHeight="1">
      <c r="A1146" s="575"/>
      <c r="B1146" s="139"/>
      <c r="C1146" s="585">
        <v>1</v>
      </c>
      <c r="D1146" s="585" t="s">
        <v>56</v>
      </c>
      <c r="E1146" s="585">
        <v>1</v>
      </c>
      <c r="F1146" s="256">
        <v>19.72</v>
      </c>
      <c r="G1146" s="256"/>
      <c r="H1146" s="256">
        <v>0.38</v>
      </c>
      <c r="I1146" s="256">
        <f t="shared" si="55"/>
        <v>7.4935999999999998</v>
      </c>
      <c r="J1146" s="571"/>
    </row>
    <row r="1147" spans="1:10" ht="24.95" customHeight="1">
      <c r="A1147" s="575"/>
      <c r="B1147" s="139"/>
      <c r="C1147" s="585">
        <v>1</v>
      </c>
      <c r="D1147" s="585" t="s">
        <v>56</v>
      </c>
      <c r="E1147" s="585">
        <v>1</v>
      </c>
      <c r="F1147" s="256">
        <v>20.32</v>
      </c>
      <c r="G1147" s="256"/>
      <c r="H1147" s="256">
        <v>0.38</v>
      </c>
      <c r="I1147" s="256">
        <f t="shared" si="55"/>
        <v>7.7216000000000005</v>
      </c>
      <c r="J1147" s="571"/>
    </row>
    <row r="1148" spans="1:10" ht="24.95" customHeight="1">
      <c r="A1148" s="575"/>
      <c r="B1148" s="139"/>
      <c r="C1148" s="585">
        <v>1</v>
      </c>
      <c r="D1148" s="585" t="s">
        <v>56</v>
      </c>
      <c r="E1148" s="585">
        <v>1</v>
      </c>
      <c r="F1148" s="256">
        <v>22</v>
      </c>
      <c r="G1148" s="256"/>
      <c r="H1148" s="256">
        <v>0.38</v>
      </c>
      <c r="I1148" s="256">
        <f t="shared" si="55"/>
        <v>8.36</v>
      </c>
      <c r="J1148" s="571"/>
    </row>
    <row r="1149" spans="1:10" ht="24.95" customHeight="1">
      <c r="A1149" s="575"/>
      <c r="B1149" s="142" t="s">
        <v>1300</v>
      </c>
      <c r="C1149" s="585"/>
      <c r="D1149" s="585"/>
      <c r="E1149" s="585"/>
      <c r="F1149" s="256"/>
      <c r="G1149" s="256"/>
      <c r="H1149" s="256"/>
      <c r="I1149" s="256"/>
      <c r="J1149" s="571"/>
    </row>
    <row r="1150" spans="1:10" ht="24.95" customHeight="1">
      <c r="A1150" s="575"/>
      <c r="B1150" s="139" t="s">
        <v>639</v>
      </c>
      <c r="C1150" s="585">
        <v>1</v>
      </c>
      <c r="D1150" s="585" t="s">
        <v>56</v>
      </c>
      <c r="E1150" s="585">
        <v>1</v>
      </c>
      <c r="F1150" s="256">
        <v>64.88</v>
      </c>
      <c r="G1150" s="256"/>
      <c r="H1150" s="256">
        <v>0.15</v>
      </c>
      <c r="I1150" s="256">
        <f t="shared" ref="I1150:I1160" si="56">PRODUCT(C1150:H1150)</f>
        <v>9.7319999999999993</v>
      </c>
      <c r="J1150" s="571"/>
    </row>
    <row r="1151" spans="1:10" ht="24.95" customHeight="1">
      <c r="A1151" s="575"/>
      <c r="B1151" s="139" t="s">
        <v>640</v>
      </c>
      <c r="C1151" s="585">
        <v>2</v>
      </c>
      <c r="D1151" s="585" t="s">
        <v>56</v>
      </c>
      <c r="E1151" s="585">
        <v>1</v>
      </c>
      <c r="F1151" s="256">
        <v>20.12</v>
      </c>
      <c r="G1151" s="256"/>
      <c r="H1151" s="256">
        <v>0.15</v>
      </c>
      <c r="I1151" s="256">
        <f t="shared" si="56"/>
        <v>6.0360000000000005</v>
      </c>
      <c r="J1151" s="571"/>
    </row>
    <row r="1152" spans="1:10" ht="24.95" customHeight="1">
      <c r="A1152" s="575"/>
      <c r="B1152" s="139"/>
      <c r="C1152" s="585">
        <v>2</v>
      </c>
      <c r="D1152" s="585" t="s">
        <v>56</v>
      </c>
      <c r="E1152" s="585">
        <v>1</v>
      </c>
      <c r="F1152" s="256">
        <v>16.59</v>
      </c>
      <c r="G1152" s="256"/>
      <c r="H1152" s="256">
        <v>0.15</v>
      </c>
      <c r="I1152" s="256">
        <f t="shared" si="56"/>
        <v>4.9769999999999994</v>
      </c>
      <c r="J1152" s="571"/>
    </row>
    <row r="1153" spans="1:10" ht="24.95" customHeight="1">
      <c r="A1153" s="575"/>
      <c r="B1153" s="139" t="s">
        <v>641</v>
      </c>
      <c r="C1153" s="585">
        <v>2</v>
      </c>
      <c r="D1153" s="585" t="s">
        <v>56</v>
      </c>
      <c r="E1153" s="585">
        <v>1</v>
      </c>
      <c r="F1153" s="256">
        <v>3.3</v>
      </c>
      <c r="G1153" s="256"/>
      <c r="H1153" s="256">
        <v>0.15</v>
      </c>
      <c r="I1153" s="256">
        <f t="shared" si="56"/>
        <v>0.98999999999999988</v>
      </c>
      <c r="J1153" s="571"/>
    </row>
    <row r="1154" spans="1:10" ht="24.95" customHeight="1">
      <c r="A1154" s="575"/>
      <c r="B1154" s="139" t="s">
        <v>642</v>
      </c>
      <c r="C1154" s="585">
        <v>2</v>
      </c>
      <c r="D1154" s="585" t="s">
        <v>56</v>
      </c>
      <c r="E1154" s="585">
        <v>3</v>
      </c>
      <c r="F1154" s="256">
        <v>3.6</v>
      </c>
      <c r="G1154" s="256"/>
      <c r="H1154" s="256">
        <v>0.15</v>
      </c>
      <c r="I1154" s="256">
        <f t="shared" si="56"/>
        <v>3.24</v>
      </c>
      <c r="J1154" s="571"/>
    </row>
    <row r="1155" spans="1:10" ht="24.95" customHeight="1">
      <c r="A1155" s="575"/>
      <c r="B1155" s="139" t="s">
        <v>643</v>
      </c>
      <c r="C1155" s="585">
        <v>2</v>
      </c>
      <c r="D1155" s="585" t="s">
        <v>56</v>
      </c>
      <c r="E1155" s="585">
        <v>2</v>
      </c>
      <c r="F1155" s="256">
        <v>6</v>
      </c>
      <c r="G1155" s="256"/>
      <c r="H1155" s="256">
        <v>0.15</v>
      </c>
      <c r="I1155" s="256">
        <f t="shared" si="56"/>
        <v>3.5999999999999996</v>
      </c>
      <c r="J1155" s="571"/>
    </row>
    <row r="1156" spans="1:10" ht="24.95" customHeight="1">
      <c r="A1156" s="575"/>
      <c r="B1156" s="139" t="s">
        <v>644</v>
      </c>
      <c r="C1156" s="585">
        <v>2</v>
      </c>
      <c r="D1156" s="585" t="s">
        <v>56</v>
      </c>
      <c r="E1156" s="585">
        <v>1</v>
      </c>
      <c r="F1156" s="256">
        <v>8.0299999999999994</v>
      </c>
      <c r="G1156" s="256"/>
      <c r="H1156" s="256">
        <v>0.15</v>
      </c>
      <c r="I1156" s="256">
        <f t="shared" si="56"/>
        <v>2.4089999999999998</v>
      </c>
      <c r="J1156" s="571"/>
    </row>
    <row r="1157" spans="1:10" ht="24.95" customHeight="1">
      <c r="A1157" s="575"/>
      <c r="B1157" s="139" t="s">
        <v>645</v>
      </c>
      <c r="C1157" s="585">
        <v>2</v>
      </c>
      <c r="D1157" s="585" t="s">
        <v>56</v>
      </c>
      <c r="E1157" s="585">
        <v>2</v>
      </c>
      <c r="F1157" s="256">
        <v>17</v>
      </c>
      <c r="G1157" s="256"/>
      <c r="H1157" s="256">
        <v>0.15</v>
      </c>
      <c r="I1157" s="256">
        <f t="shared" si="56"/>
        <v>10.199999999999999</v>
      </c>
      <c r="J1157" s="571"/>
    </row>
    <row r="1158" spans="1:10" ht="24.95" customHeight="1">
      <c r="A1158" s="575"/>
      <c r="B1158" s="139" t="s">
        <v>646</v>
      </c>
      <c r="C1158" s="585">
        <v>2</v>
      </c>
      <c r="D1158" s="585" t="s">
        <v>56</v>
      </c>
      <c r="E1158" s="585">
        <v>4</v>
      </c>
      <c r="F1158" s="256">
        <v>10.97</v>
      </c>
      <c r="G1158" s="256"/>
      <c r="H1158" s="256">
        <v>0.15</v>
      </c>
      <c r="I1158" s="256">
        <f t="shared" si="56"/>
        <v>13.164</v>
      </c>
      <c r="J1158" s="571"/>
    </row>
    <row r="1159" spans="1:10" ht="24.95" customHeight="1">
      <c r="A1159" s="575"/>
      <c r="B1159" s="139" t="s">
        <v>690</v>
      </c>
      <c r="C1159" s="585">
        <v>2</v>
      </c>
      <c r="D1159" s="585" t="s">
        <v>56</v>
      </c>
      <c r="E1159" s="585">
        <v>1</v>
      </c>
      <c r="F1159" s="256">
        <v>2</v>
      </c>
      <c r="G1159" s="256"/>
      <c r="H1159" s="256">
        <v>0.15</v>
      </c>
      <c r="I1159" s="256">
        <f t="shared" si="56"/>
        <v>0.6</v>
      </c>
      <c r="J1159" s="571"/>
    </row>
    <row r="1160" spans="1:10" ht="24.95" customHeight="1">
      <c r="A1160" s="575"/>
      <c r="B1160" s="139" t="s">
        <v>685</v>
      </c>
      <c r="C1160" s="585">
        <v>2</v>
      </c>
      <c r="D1160" s="585" t="s">
        <v>56</v>
      </c>
      <c r="E1160" s="585">
        <v>1</v>
      </c>
      <c r="F1160" s="256">
        <v>21.32</v>
      </c>
      <c r="G1160" s="256"/>
      <c r="H1160" s="256">
        <v>0.15</v>
      </c>
      <c r="I1160" s="256">
        <f t="shared" si="56"/>
        <v>6.3959999999999999</v>
      </c>
      <c r="J1160" s="571"/>
    </row>
    <row r="1161" spans="1:10" ht="24.95" customHeight="1">
      <c r="A1161" s="575"/>
      <c r="B1161" s="142" t="s">
        <v>1297</v>
      </c>
      <c r="C1161" s="585"/>
      <c r="D1161" s="585"/>
      <c r="E1161" s="585"/>
      <c r="F1161" s="256"/>
      <c r="G1161" s="256"/>
      <c r="H1161" s="256"/>
      <c r="I1161" s="256"/>
      <c r="J1161" s="571"/>
    </row>
    <row r="1162" spans="1:10" ht="24.95" customHeight="1">
      <c r="A1162" s="575"/>
      <c r="B1162" s="139" t="s">
        <v>639</v>
      </c>
      <c r="C1162" s="585">
        <v>1</v>
      </c>
      <c r="D1162" s="585" t="s">
        <v>56</v>
      </c>
      <c r="E1162" s="585">
        <v>1</v>
      </c>
      <c r="F1162" s="256">
        <v>64.88</v>
      </c>
      <c r="G1162" s="256"/>
      <c r="H1162" s="256">
        <v>0.26</v>
      </c>
      <c r="I1162" s="256">
        <f t="shared" ref="I1162:I1174" si="57">PRODUCT(C1162:H1162)</f>
        <v>16.8688</v>
      </c>
      <c r="J1162" s="571"/>
    </row>
    <row r="1163" spans="1:10" ht="24.95" customHeight="1">
      <c r="A1163" s="575"/>
      <c r="B1163" s="139" t="s">
        <v>640</v>
      </c>
      <c r="C1163" s="585">
        <v>2</v>
      </c>
      <c r="D1163" s="585" t="s">
        <v>56</v>
      </c>
      <c r="E1163" s="585">
        <v>1</v>
      </c>
      <c r="F1163" s="256">
        <v>20.12</v>
      </c>
      <c r="G1163" s="256"/>
      <c r="H1163" s="256">
        <v>0.26</v>
      </c>
      <c r="I1163" s="256">
        <f t="shared" si="57"/>
        <v>10.462400000000001</v>
      </c>
      <c r="J1163" s="571"/>
    </row>
    <row r="1164" spans="1:10" ht="24.95" customHeight="1">
      <c r="A1164" s="575"/>
      <c r="B1164" s="139"/>
      <c r="C1164" s="585">
        <v>2</v>
      </c>
      <c r="D1164" s="585" t="s">
        <v>56</v>
      </c>
      <c r="E1164" s="585">
        <v>1</v>
      </c>
      <c r="F1164" s="256">
        <v>16.59</v>
      </c>
      <c r="G1164" s="256"/>
      <c r="H1164" s="256">
        <v>0.26</v>
      </c>
      <c r="I1164" s="256">
        <f t="shared" si="57"/>
        <v>8.6267999999999994</v>
      </c>
      <c r="J1164" s="571"/>
    </row>
    <row r="1165" spans="1:10" ht="24.95" customHeight="1">
      <c r="A1165" s="575"/>
      <c r="B1165" s="139" t="s">
        <v>641</v>
      </c>
      <c r="C1165" s="585">
        <v>2</v>
      </c>
      <c r="D1165" s="585" t="s">
        <v>56</v>
      </c>
      <c r="E1165" s="585">
        <v>1</v>
      </c>
      <c r="F1165" s="256">
        <v>3.3</v>
      </c>
      <c r="G1165" s="256"/>
      <c r="H1165" s="256">
        <v>0.26</v>
      </c>
      <c r="I1165" s="256">
        <f t="shared" si="57"/>
        <v>1.716</v>
      </c>
      <c r="J1165" s="571"/>
    </row>
    <row r="1166" spans="1:10" ht="24.95" customHeight="1">
      <c r="A1166" s="575"/>
      <c r="B1166" s="139" t="s">
        <v>642</v>
      </c>
      <c r="C1166" s="585">
        <v>2</v>
      </c>
      <c r="D1166" s="585" t="s">
        <v>56</v>
      </c>
      <c r="E1166" s="585">
        <v>3</v>
      </c>
      <c r="F1166" s="256">
        <v>3.6</v>
      </c>
      <c r="G1166" s="256"/>
      <c r="H1166" s="256">
        <v>0.26</v>
      </c>
      <c r="I1166" s="256">
        <f t="shared" si="57"/>
        <v>5.6160000000000005</v>
      </c>
      <c r="J1166" s="571"/>
    </row>
    <row r="1167" spans="1:10" ht="24.95" customHeight="1">
      <c r="A1167" s="575"/>
      <c r="B1167" s="139" t="s">
        <v>643</v>
      </c>
      <c r="C1167" s="585">
        <v>2</v>
      </c>
      <c r="D1167" s="585" t="s">
        <v>56</v>
      </c>
      <c r="E1167" s="585">
        <v>2</v>
      </c>
      <c r="F1167" s="256">
        <v>6</v>
      </c>
      <c r="G1167" s="256"/>
      <c r="H1167" s="256">
        <v>0.26</v>
      </c>
      <c r="I1167" s="256">
        <f t="shared" si="57"/>
        <v>6.24</v>
      </c>
      <c r="J1167" s="571"/>
    </row>
    <row r="1168" spans="1:10" ht="24.95" customHeight="1">
      <c r="A1168" s="575"/>
      <c r="B1168" s="139" t="s">
        <v>644</v>
      </c>
      <c r="C1168" s="585">
        <v>2</v>
      </c>
      <c r="D1168" s="585" t="s">
        <v>56</v>
      </c>
      <c r="E1168" s="585">
        <v>1</v>
      </c>
      <c r="F1168" s="256">
        <v>8.0299999999999994</v>
      </c>
      <c r="G1168" s="256"/>
      <c r="H1168" s="256">
        <v>0.26</v>
      </c>
      <c r="I1168" s="256">
        <f t="shared" si="57"/>
        <v>4.1756000000000002</v>
      </c>
      <c r="J1168" s="571"/>
    </row>
    <row r="1169" spans="1:10" ht="24.95" customHeight="1">
      <c r="A1169" s="575"/>
      <c r="B1169" s="139" t="s">
        <v>645</v>
      </c>
      <c r="C1169" s="585">
        <v>2</v>
      </c>
      <c r="D1169" s="585" t="s">
        <v>56</v>
      </c>
      <c r="E1169" s="585">
        <v>2</v>
      </c>
      <c r="F1169" s="256">
        <v>17</v>
      </c>
      <c r="G1169" s="256"/>
      <c r="H1169" s="256">
        <v>0.26</v>
      </c>
      <c r="I1169" s="256">
        <f t="shared" si="57"/>
        <v>17.68</v>
      </c>
      <c r="J1169" s="571"/>
    </row>
    <row r="1170" spans="1:10" ht="24.95" customHeight="1">
      <c r="A1170" s="575"/>
      <c r="B1170" s="139" t="s">
        <v>646</v>
      </c>
      <c r="C1170" s="585">
        <v>2</v>
      </c>
      <c r="D1170" s="585" t="s">
        <v>56</v>
      </c>
      <c r="E1170" s="585">
        <v>4</v>
      </c>
      <c r="F1170" s="256">
        <v>10.97</v>
      </c>
      <c r="G1170" s="256"/>
      <c r="H1170" s="256">
        <v>0.26</v>
      </c>
      <c r="I1170" s="256">
        <f t="shared" si="57"/>
        <v>22.817600000000002</v>
      </c>
      <c r="J1170" s="571"/>
    </row>
    <row r="1171" spans="1:10" ht="24.95" customHeight="1">
      <c r="A1171" s="575"/>
      <c r="B1171" s="139" t="s">
        <v>690</v>
      </c>
      <c r="C1171" s="585">
        <v>2</v>
      </c>
      <c r="D1171" s="585" t="s">
        <v>56</v>
      </c>
      <c r="E1171" s="585">
        <v>1</v>
      </c>
      <c r="F1171" s="256">
        <v>2</v>
      </c>
      <c r="G1171" s="256"/>
      <c r="H1171" s="256">
        <v>0.26</v>
      </c>
      <c r="I1171" s="256">
        <f t="shared" si="57"/>
        <v>1.04</v>
      </c>
      <c r="J1171" s="571"/>
    </row>
    <row r="1172" spans="1:10" ht="24.95" customHeight="1">
      <c r="A1172" s="575"/>
      <c r="B1172" s="139" t="s">
        <v>685</v>
      </c>
      <c r="C1172" s="585">
        <v>2</v>
      </c>
      <c r="D1172" s="585" t="s">
        <v>56</v>
      </c>
      <c r="E1172" s="585">
        <v>1</v>
      </c>
      <c r="F1172" s="256">
        <v>21.32</v>
      </c>
      <c r="G1172" s="256"/>
      <c r="H1172" s="256">
        <v>0.26</v>
      </c>
      <c r="I1172" s="256">
        <f t="shared" si="57"/>
        <v>11.086400000000001</v>
      </c>
      <c r="J1172" s="571"/>
    </row>
    <row r="1173" spans="1:10" ht="24.95" customHeight="1">
      <c r="A1173" s="575"/>
      <c r="B1173" s="139" t="s">
        <v>1302</v>
      </c>
      <c r="C1173" s="585">
        <v>1</v>
      </c>
      <c r="D1173" s="585" t="s">
        <v>56</v>
      </c>
      <c r="E1173" s="585">
        <v>1</v>
      </c>
      <c r="F1173" s="256">
        <v>41.8</v>
      </c>
      <c r="G1173" s="256"/>
      <c r="H1173" s="256">
        <v>0.12</v>
      </c>
      <c r="I1173" s="256">
        <f t="shared" si="57"/>
        <v>5.0159999999999991</v>
      </c>
      <c r="J1173" s="571"/>
    </row>
    <row r="1174" spans="1:10" ht="24.95" customHeight="1">
      <c r="A1174" s="575"/>
      <c r="B1174" s="139" t="s">
        <v>1301</v>
      </c>
      <c r="C1174" s="585">
        <v>1</v>
      </c>
      <c r="D1174" s="585" t="s">
        <v>56</v>
      </c>
      <c r="E1174" s="585">
        <v>1</v>
      </c>
      <c r="F1174" s="256">
        <v>46.42</v>
      </c>
      <c r="G1174" s="256"/>
      <c r="H1174" s="256">
        <v>0.12</v>
      </c>
      <c r="I1174" s="256">
        <f t="shared" si="57"/>
        <v>5.5704000000000002</v>
      </c>
      <c r="J1174" s="571"/>
    </row>
    <row r="1175" spans="1:10" ht="24.95" customHeight="1">
      <c r="A1175" s="575"/>
      <c r="B1175" s="139"/>
      <c r="C1175" s="585"/>
      <c r="D1175" s="585"/>
      <c r="E1175" s="585"/>
      <c r="F1175" s="256"/>
      <c r="G1175" s="256"/>
      <c r="H1175" s="256"/>
      <c r="I1175" s="256">
        <f>SUM(I1125:I1160)</f>
        <v>371.55040000000014</v>
      </c>
      <c r="J1175" s="571"/>
    </row>
    <row r="1176" spans="1:10" ht="24.95" customHeight="1">
      <c r="A1176" s="575"/>
      <c r="B1176" s="139"/>
      <c r="C1176" s="585"/>
      <c r="D1176" s="585"/>
      <c r="E1176" s="585"/>
      <c r="F1176" s="256"/>
      <c r="G1176" s="256"/>
      <c r="H1176" s="259" t="s">
        <v>15</v>
      </c>
      <c r="I1176" s="259">
        <f>ROUNDUP(I1175,1-0)</f>
        <v>371.6</v>
      </c>
      <c r="J1176" s="266" t="s">
        <v>37</v>
      </c>
    </row>
    <row r="1177" spans="1:10" ht="65.25" customHeight="1">
      <c r="A1177" s="575"/>
      <c r="B1177" s="142" t="s">
        <v>1055</v>
      </c>
      <c r="C1177" s="585"/>
      <c r="D1177" s="585"/>
      <c r="E1177" s="585"/>
      <c r="F1177" s="256"/>
      <c r="G1177" s="256"/>
      <c r="H1177" s="256"/>
      <c r="I1177" s="256"/>
      <c r="J1177" s="571"/>
    </row>
    <row r="1178" spans="1:10" ht="24.95" customHeight="1">
      <c r="A1178" s="575"/>
      <c r="B1178" s="142" t="str">
        <f>B204</f>
        <v>LintelBeam</v>
      </c>
      <c r="C1178" s="585"/>
      <c r="D1178" s="585"/>
      <c r="E1178" s="585"/>
      <c r="F1178" s="256"/>
      <c r="G1178" s="256"/>
      <c r="H1178" s="256"/>
      <c r="I1178" s="256"/>
      <c r="J1178" s="571"/>
    </row>
    <row r="1179" spans="1:10" ht="24.95" customHeight="1">
      <c r="A1179" s="575"/>
      <c r="B1179" s="142" t="s">
        <v>813</v>
      </c>
      <c r="C1179" s="585"/>
      <c r="D1179" s="585"/>
      <c r="E1179" s="585"/>
      <c r="F1179" s="256"/>
      <c r="G1179" s="256"/>
      <c r="H1179" s="256"/>
      <c r="I1179" s="256"/>
      <c r="J1179" s="571"/>
    </row>
    <row r="1180" spans="1:10" ht="24.95" customHeight="1">
      <c r="A1180" s="575"/>
      <c r="B1180" s="139" t="s">
        <v>639</v>
      </c>
      <c r="C1180" s="585">
        <v>2</v>
      </c>
      <c r="D1180" s="585" t="s">
        <v>56</v>
      </c>
      <c r="E1180" s="585">
        <v>1</v>
      </c>
      <c r="F1180" s="256">
        <v>64.88</v>
      </c>
      <c r="G1180" s="256"/>
      <c r="H1180" s="256">
        <v>0.15</v>
      </c>
      <c r="I1180" s="256">
        <f t="shared" ref="I1180:I1188" si="58">PRODUCT(C1180:H1180)</f>
        <v>19.463999999999999</v>
      </c>
      <c r="J1180" s="571"/>
    </row>
    <row r="1181" spans="1:10" ht="24.95" customHeight="1">
      <c r="A1181" s="575"/>
      <c r="B1181" s="139" t="s">
        <v>640</v>
      </c>
      <c r="C1181" s="585">
        <v>2</v>
      </c>
      <c r="D1181" s="585" t="s">
        <v>56</v>
      </c>
      <c r="E1181" s="585">
        <v>1</v>
      </c>
      <c r="F1181" s="256">
        <v>20.12</v>
      </c>
      <c r="G1181" s="256"/>
      <c r="H1181" s="256">
        <v>0.15</v>
      </c>
      <c r="I1181" s="256">
        <f t="shared" si="58"/>
        <v>6.0360000000000005</v>
      </c>
      <c r="J1181" s="571"/>
    </row>
    <row r="1182" spans="1:10" ht="24.95" customHeight="1">
      <c r="A1182" s="575"/>
      <c r="B1182" s="139"/>
      <c r="C1182" s="585">
        <v>2</v>
      </c>
      <c r="D1182" s="585" t="s">
        <v>56</v>
      </c>
      <c r="E1182" s="585">
        <v>1</v>
      </c>
      <c r="F1182" s="256">
        <v>16.59</v>
      </c>
      <c r="G1182" s="256"/>
      <c r="H1182" s="256">
        <v>0.15</v>
      </c>
      <c r="I1182" s="256">
        <f t="shared" si="58"/>
        <v>4.9769999999999994</v>
      </c>
      <c r="J1182" s="571"/>
    </row>
    <row r="1183" spans="1:10" ht="24.95" customHeight="1">
      <c r="A1183" s="575"/>
      <c r="B1183" s="139" t="s">
        <v>641</v>
      </c>
      <c r="C1183" s="585">
        <v>2</v>
      </c>
      <c r="D1183" s="585" t="s">
        <v>56</v>
      </c>
      <c r="E1183" s="585">
        <v>1</v>
      </c>
      <c r="F1183" s="256">
        <v>3.3</v>
      </c>
      <c r="G1183" s="256"/>
      <c r="H1183" s="256">
        <v>0.15</v>
      </c>
      <c r="I1183" s="256">
        <f t="shared" si="58"/>
        <v>0.98999999999999988</v>
      </c>
      <c r="J1183" s="571"/>
    </row>
    <row r="1184" spans="1:10" ht="24.95" customHeight="1">
      <c r="A1184" s="575"/>
      <c r="B1184" s="139" t="s">
        <v>642</v>
      </c>
      <c r="C1184" s="585">
        <v>2</v>
      </c>
      <c r="D1184" s="585" t="s">
        <v>56</v>
      </c>
      <c r="E1184" s="585">
        <v>3</v>
      </c>
      <c r="F1184" s="256">
        <v>3.6</v>
      </c>
      <c r="G1184" s="256"/>
      <c r="H1184" s="256">
        <v>0.15</v>
      </c>
      <c r="I1184" s="256">
        <f t="shared" si="58"/>
        <v>3.24</v>
      </c>
      <c r="J1184" s="571"/>
    </row>
    <row r="1185" spans="1:10" ht="24.95" customHeight="1">
      <c r="A1185" s="575"/>
      <c r="B1185" s="139" t="s">
        <v>643</v>
      </c>
      <c r="C1185" s="585">
        <v>2</v>
      </c>
      <c r="D1185" s="585" t="s">
        <v>56</v>
      </c>
      <c r="E1185" s="585">
        <v>2</v>
      </c>
      <c r="F1185" s="256">
        <v>6</v>
      </c>
      <c r="G1185" s="256"/>
      <c r="H1185" s="256">
        <v>0.15</v>
      </c>
      <c r="I1185" s="256">
        <f t="shared" si="58"/>
        <v>3.5999999999999996</v>
      </c>
      <c r="J1185" s="571"/>
    </row>
    <row r="1186" spans="1:10" ht="24.95" customHeight="1">
      <c r="A1186" s="575"/>
      <c r="B1186" s="139" t="s">
        <v>644</v>
      </c>
      <c r="C1186" s="585">
        <v>2</v>
      </c>
      <c r="D1186" s="585" t="s">
        <v>56</v>
      </c>
      <c r="E1186" s="585">
        <v>1</v>
      </c>
      <c r="F1186" s="256">
        <v>8.0299999999999994</v>
      </c>
      <c r="G1186" s="256"/>
      <c r="H1186" s="256">
        <v>0.15</v>
      </c>
      <c r="I1186" s="256">
        <f t="shared" si="58"/>
        <v>2.4089999999999998</v>
      </c>
      <c r="J1186" s="571"/>
    </row>
    <row r="1187" spans="1:10" ht="24.95" customHeight="1">
      <c r="A1187" s="575"/>
      <c r="B1187" s="139" t="s">
        <v>690</v>
      </c>
      <c r="C1187" s="585">
        <v>2</v>
      </c>
      <c r="D1187" s="585" t="s">
        <v>56</v>
      </c>
      <c r="E1187" s="585">
        <v>1</v>
      </c>
      <c r="F1187" s="256">
        <v>2</v>
      </c>
      <c r="G1187" s="256"/>
      <c r="H1187" s="256">
        <v>0.15</v>
      </c>
      <c r="I1187" s="256">
        <f t="shared" si="58"/>
        <v>0.6</v>
      </c>
      <c r="J1187" s="571"/>
    </row>
    <row r="1188" spans="1:10" ht="24.95" customHeight="1">
      <c r="A1188" s="575"/>
      <c r="B1188" s="139" t="s">
        <v>685</v>
      </c>
      <c r="C1188" s="585">
        <v>2</v>
      </c>
      <c r="D1188" s="585" t="s">
        <v>56</v>
      </c>
      <c r="E1188" s="585">
        <v>1</v>
      </c>
      <c r="F1188" s="256">
        <v>21.32</v>
      </c>
      <c r="G1188" s="256"/>
      <c r="H1188" s="256">
        <v>0.1</v>
      </c>
      <c r="I1188" s="256">
        <f t="shared" si="58"/>
        <v>4.2640000000000002</v>
      </c>
      <c r="J1188" s="571"/>
    </row>
    <row r="1189" spans="1:10" ht="24.95" customHeight="1">
      <c r="A1189" s="575"/>
      <c r="B1189" s="142" t="s">
        <v>701</v>
      </c>
      <c r="C1189" s="585"/>
      <c r="D1189" s="585"/>
      <c r="E1189" s="585"/>
      <c r="F1189" s="256"/>
      <c r="G1189" s="256"/>
      <c r="H1189" s="256"/>
      <c r="I1189" s="256"/>
      <c r="J1189" s="571"/>
    </row>
    <row r="1190" spans="1:10" ht="24.95" customHeight="1">
      <c r="A1190" s="575"/>
      <c r="B1190" s="139" t="s">
        <v>702</v>
      </c>
      <c r="C1190" s="585">
        <v>1</v>
      </c>
      <c r="D1190" s="585" t="s">
        <v>56</v>
      </c>
      <c r="E1190" s="585">
        <v>2</v>
      </c>
      <c r="F1190" s="256">
        <v>4.96</v>
      </c>
      <c r="G1190" s="256"/>
      <c r="H1190" s="256">
        <v>0.05</v>
      </c>
      <c r="I1190" s="256">
        <f t="shared" ref="I1190:I1238" si="59">PRODUCT(C1190:H1190)</f>
        <v>0.496</v>
      </c>
      <c r="J1190" s="571"/>
    </row>
    <row r="1191" spans="1:10" ht="24.95" customHeight="1">
      <c r="A1191" s="575"/>
      <c r="B1191" s="139" t="s">
        <v>661</v>
      </c>
      <c r="C1191" s="585">
        <v>1</v>
      </c>
      <c r="D1191" s="585" t="s">
        <v>56</v>
      </c>
      <c r="E1191" s="585">
        <v>2</v>
      </c>
      <c r="F1191" s="256">
        <v>6.46</v>
      </c>
      <c r="G1191" s="256"/>
      <c r="H1191" s="256">
        <v>0.05</v>
      </c>
      <c r="I1191" s="256">
        <f t="shared" si="59"/>
        <v>0.64600000000000002</v>
      </c>
      <c r="J1191" s="571"/>
    </row>
    <row r="1192" spans="1:10" ht="24.95" customHeight="1">
      <c r="A1192" s="575"/>
      <c r="B1192" s="139" t="s">
        <v>481</v>
      </c>
      <c r="C1192" s="585">
        <v>2</v>
      </c>
      <c r="D1192" s="585" t="s">
        <v>56</v>
      </c>
      <c r="E1192" s="585">
        <v>2</v>
      </c>
      <c r="F1192" s="256">
        <v>5.56</v>
      </c>
      <c r="G1192" s="256"/>
      <c r="H1192" s="256">
        <v>0.05</v>
      </c>
      <c r="I1192" s="256">
        <f t="shared" si="59"/>
        <v>1.1119999999999999</v>
      </c>
      <c r="J1192" s="571"/>
    </row>
    <row r="1193" spans="1:10" ht="24.95" customHeight="1">
      <c r="A1193" s="575"/>
      <c r="B1193" s="139" t="s">
        <v>1056</v>
      </c>
      <c r="C1193" s="585">
        <v>2</v>
      </c>
      <c r="D1193" s="585" t="s">
        <v>56</v>
      </c>
      <c r="E1193" s="585">
        <v>2</v>
      </c>
      <c r="F1193" s="256">
        <v>7.19</v>
      </c>
      <c r="G1193" s="256"/>
      <c r="H1193" s="256">
        <v>0.05</v>
      </c>
      <c r="I1193" s="256">
        <f t="shared" si="59"/>
        <v>1.4380000000000002</v>
      </c>
      <c r="J1193" s="571"/>
    </row>
    <row r="1194" spans="1:10" ht="24.95" customHeight="1">
      <c r="A1194" s="575"/>
      <c r="B1194" s="139" t="s">
        <v>703</v>
      </c>
      <c r="C1194" s="585">
        <v>1</v>
      </c>
      <c r="D1194" s="585" t="s">
        <v>56</v>
      </c>
      <c r="E1194" s="585">
        <v>7</v>
      </c>
      <c r="F1194" s="256">
        <v>4.38</v>
      </c>
      <c r="G1194" s="256"/>
      <c r="H1194" s="256">
        <v>0.05</v>
      </c>
      <c r="I1194" s="256">
        <f t="shared" si="59"/>
        <v>1.5330000000000001</v>
      </c>
      <c r="J1194" s="571"/>
    </row>
    <row r="1195" spans="1:10" ht="24.95" customHeight="1">
      <c r="A1195" s="575"/>
      <c r="B1195" s="139" t="s">
        <v>704</v>
      </c>
      <c r="C1195" s="585">
        <v>1</v>
      </c>
      <c r="D1195" s="585" t="s">
        <v>56</v>
      </c>
      <c r="E1195" s="585">
        <v>1</v>
      </c>
      <c r="F1195" s="256">
        <v>4.08</v>
      </c>
      <c r="G1195" s="256"/>
      <c r="H1195" s="256">
        <v>0.05</v>
      </c>
      <c r="I1195" s="256">
        <f t="shared" si="59"/>
        <v>0.20400000000000001</v>
      </c>
      <c r="J1195" s="571"/>
    </row>
    <row r="1196" spans="1:10" ht="24.95" customHeight="1">
      <c r="A1196" s="575"/>
      <c r="B1196" s="139" t="s">
        <v>705</v>
      </c>
      <c r="C1196" s="585">
        <v>1</v>
      </c>
      <c r="D1196" s="585" t="s">
        <v>56</v>
      </c>
      <c r="E1196" s="585">
        <v>3</v>
      </c>
      <c r="F1196" s="256">
        <v>3.18</v>
      </c>
      <c r="G1196" s="256"/>
      <c r="H1196" s="256">
        <v>0.05</v>
      </c>
      <c r="I1196" s="256">
        <f t="shared" si="59"/>
        <v>0.47700000000000009</v>
      </c>
      <c r="J1196" s="571"/>
    </row>
    <row r="1197" spans="1:10" ht="24.95" customHeight="1">
      <c r="A1197" s="575"/>
      <c r="B1197" s="139" t="s">
        <v>706</v>
      </c>
      <c r="C1197" s="585">
        <v>1</v>
      </c>
      <c r="D1197" s="585" t="s">
        <v>56</v>
      </c>
      <c r="E1197" s="585">
        <v>1</v>
      </c>
      <c r="F1197" s="256">
        <v>2.88</v>
      </c>
      <c r="G1197" s="256"/>
      <c r="H1197" s="256">
        <v>0.05</v>
      </c>
      <c r="I1197" s="256">
        <f t="shared" si="59"/>
        <v>0.14399999999999999</v>
      </c>
      <c r="J1197" s="571"/>
    </row>
    <row r="1198" spans="1:10" ht="24.95" customHeight="1">
      <c r="A1198" s="575"/>
      <c r="B1198" s="139" t="s">
        <v>707</v>
      </c>
      <c r="C1198" s="585">
        <v>1</v>
      </c>
      <c r="D1198" s="585" t="s">
        <v>56</v>
      </c>
      <c r="E1198" s="585">
        <v>1</v>
      </c>
      <c r="F1198" s="256">
        <v>3.78</v>
      </c>
      <c r="G1198" s="256"/>
      <c r="H1198" s="256">
        <v>0.05</v>
      </c>
      <c r="I1198" s="256">
        <f t="shared" si="59"/>
        <v>0.189</v>
      </c>
      <c r="J1198" s="571"/>
    </row>
    <row r="1199" spans="1:10" ht="24.95" customHeight="1">
      <c r="A1199" s="575"/>
      <c r="B1199" s="139" t="s">
        <v>708</v>
      </c>
      <c r="C1199" s="585">
        <v>1</v>
      </c>
      <c r="D1199" s="585" t="s">
        <v>56</v>
      </c>
      <c r="E1199" s="585">
        <v>1</v>
      </c>
      <c r="F1199" s="256">
        <v>4.38</v>
      </c>
      <c r="G1199" s="256"/>
      <c r="H1199" s="256">
        <v>0.05</v>
      </c>
      <c r="I1199" s="256">
        <f t="shared" si="59"/>
        <v>0.219</v>
      </c>
      <c r="J1199" s="571"/>
    </row>
    <row r="1200" spans="1:10" ht="24.95" customHeight="1">
      <c r="A1200" s="575"/>
      <c r="B1200" s="139" t="s">
        <v>709</v>
      </c>
      <c r="C1200" s="585">
        <v>1</v>
      </c>
      <c r="D1200" s="585" t="s">
        <v>56</v>
      </c>
      <c r="E1200" s="585">
        <v>2</v>
      </c>
      <c r="F1200" s="256">
        <v>3.48</v>
      </c>
      <c r="G1200" s="256"/>
      <c r="H1200" s="256">
        <v>0.05</v>
      </c>
      <c r="I1200" s="256">
        <f t="shared" si="59"/>
        <v>0.34800000000000003</v>
      </c>
      <c r="J1200" s="571"/>
    </row>
    <row r="1201" spans="1:10" ht="24.95" customHeight="1">
      <c r="A1201" s="575"/>
      <c r="B1201" s="139" t="s">
        <v>710</v>
      </c>
      <c r="C1201" s="585">
        <v>1</v>
      </c>
      <c r="D1201" s="585" t="s">
        <v>56</v>
      </c>
      <c r="E1201" s="585">
        <v>1</v>
      </c>
      <c r="F1201" s="256">
        <v>4.68</v>
      </c>
      <c r="G1201" s="256"/>
      <c r="H1201" s="256">
        <v>0.05</v>
      </c>
      <c r="I1201" s="256">
        <f t="shared" si="59"/>
        <v>0.23399999999999999</v>
      </c>
      <c r="J1201" s="571"/>
    </row>
    <row r="1202" spans="1:10" ht="24.95" customHeight="1">
      <c r="A1202" s="575"/>
      <c r="B1202" s="139" t="s">
        <v>1057</v>
      </c>
      <c r="C1202" s="585">
        <v>2</v>
      </c>
      <c r="D1202" s="585" t="s">
        <v>56</v>
      </c>
      <c r="E1202" s="585">
        <v>2</v>
      </c>
      <c r="F1202" s="256">
        <v>16.2</v>
      </c>
      <c r="G1202" s="256"/>
      <c r="H1202" s="256">
        <v>0.05</v>
      </c>
      <c r="I1202" s="256">
        <f t="shared" si="59"/>
        <v>3.24</v>
      </c>
      <c r="J1202" s="571"/>
    </row>
    <row r="1203" spans="1:10" ht="24.95" customHeight="1">
      <c r="A1203" s="575"/>
      <c r="B1203" s="139" t="s">
        <v>715</v>
      </c>
      <c r="C1203" s="585">
        <v>2</v>
      </c>
      <c r="D1203" s="585" t="s">
        <v>56</v>
      </c>
      <c r="E1203" s="585">
        <v>1</v>
      </c>
      <c r="F1203" s="256">
        <v>3.75</v>
      </c>
      <c r="G1203" s="256"/>
      <c r="H1203" s="256">
        <v>1.5</v>
      </c>
      <c r="I1203" s="256">
        <f t="shared" si="59"/>
        <v>11.25</v>
      </c>
      <c r="J1203" s="571"/>
    </row>
    <row r="1204" spans="1:10" ht="24.95" customHeight="1">
      <c r="A1204" s="575"/>
      <c r="B1204" s="139" t="s">
        <v>716</v>
      </c>
      <c r="C1204" s="585">
        <v>2</v>
      </c>
      <c r="D1204" s="585" t="s">
        <v>56</v>
      </c>
      <c r="E1204" s="585">
        <v>1</v>
      </c>
      <c r="F1204" s="256">
        <v>4.1100000000000003</v>
      </c>
      <c r="G1204" s="256"/>
      <c r="H1204" s="256">
        <v>1.5</v>
      </c>
      <c r="I1204" s="256">
        <f t="shared" si="59"/>
        <v>12.330000000000002</v>
      </c>
      <c r="J1204" s="571"/>
    </row>
    <row r="1205" spans="1:10" ht="24.95" customHeight="1">
      <c r="A1205" s="575"/>
      <c r="B1205" s="139" t="s">
        <v>717</v>
      </c>
      <c r="C1205" s="585">
        <v>2</v>
      </c>
      <c r="D1205" s="585" t="s">
        <v>56</v>
      </c>
      <c r="E1205" s="585">
        <v>1</v>
      </c>
      <c r="F1205" s="256">
        <v>3.45</v>
      </c>
      <c r="G1205" s="256"/>
      <c r="H1205" s="256">
        <v>1.5</v>
      </c>
      <c r="I1205" s="256">
        <f t="shared" si="59"/>
        <v>10.350000000000001</v>
      </c>
      <c r="J1205" s="571"/>
    </row>
    <row r="1206" spans="1:10" ht="24.95" customHeight="1">
      <c r="A1206" s="575"/>
      <c r="B1206" s="139" t="s">
        <v>718</v>
      </c>
      <c r="C1206" s="585">
        <v>2</v>
      </c>
      <c r="D1206" s="585" t="s">
        <v>56</v>
      </c>
      <c r="E1206" s="585">
        <v>23</v>
      </c>
      <c r="F1206" s="256">
        <v>0.45</v>
      </c>
      <c r="G1206" s="256"/>
      <c r="H1206" s="256">
        <v>1.5</v>
      </c>
      <c r="I1206" s="256">
        <f t="shared" si="59"/>
        <v>31.049999999999997</v>
      </c>
      <c r="J1206" s="571"/>
    </row>
    <row r="1207" spans="1:10" ht="24.95" customHeight="1">
      <c r="A1207" s="575"/>
      <c r="B1207" s="139" t="s">
        <v>719</v>
      </c>
      <c r="C1207" s="585">
        <v>2</v>
      </c>
      <c r="D1207" s="585" t="s">
        <v>56</v>
      </c>
      <c r="E1207" s="585">
        <v>2</v>
      </c>
      <c r="F1207" s="256">
        <v>4.1100000000000003</v>
      </c>
      <c r="G1207" s="256"/>
      <c r="H1207" s="256">
        <v>0.3</v>
      </c>
      <c r="I1207" s="256">
        <f t="shared" si="59"/>
        <v>4.9320000000000004</v>
      </c>
      <c r="J1207" s="571"/>
    </row>
    <row r="1208" spans="1:10" ht="33.75" customHeight="1">
      <c r="A1208" s="575"/>
      <c r="B1208" s="142" t="s">
        <v>817</v>
      </c>
      <c r="C1208" s="585"/>
      <c r="D1208" s="585"/>
      <c r="E1208" s="585"/>
      <c r="F1208" s="256"/>
      <c r="G1208" s="256"/>
      <c r="H1208" s="256"/>
      <c r="I1208" s="256"/>
      <c r="J1208" s="571"/>
    </row>
    <row r="1209" spans="1:10" ht="36.75" customHeight="1">
      <c r="A1209" s="575"/>
      <c r="B1209" s="139" t="s">
        <v>639</v>
      </c>
      <c r="C1209" s="585">
        <v>2</v>
      </c>
      <c r="D1209" s="585" t="s">
        <v>56</v>
      </c>
      <c r="E1209" s="585">
        <v>1</v>
      </c>
      <c r="F1209" s="256">
        <v>64.88</v>
      </c>
      <c r="G1209" s="256"/>
      <c r="H1209" s="256">
        <v>0.15</v>
      </c>
      <c r="I1209" s="256">
        <f t="shared" si="59"/>
        <v>19.463999999999999</v>
      </c>
      <c r="J1209" s="571"/>
    </row>
    <row r="1210" spans="1:10" ht="24.95" customHeight="1">
      <c r="A1210" s="575"/>
      <c r="B1210" s="139" t="s">
        <v>640</v>
      </c>
      <c r="C1210" s="585">
        <v>2</v>
      </c>
      <c r="D1210" s="585" t="s">
        <v>56</v>
      </c>
      <c r="E1210" s="585">
        <v>1</v>
      </c>
      <c r="F1210" s="256">
        <v>20.12</v>
      </c>
      <c r="G1210" s="256"/>
      <c r="H1210" s="256">
        <v>0.15</v>
      </c>
      <c r="I1210" s="256">
        <f t="shared" si="59"/>
        <v>6.0360000000000005</v>
      </c>
      <c r="J1210" s="571"/>
    </row>
    <row r="1211" spans="1:10" ht="24.95" customHeight="1">
      <c r="A1211" s="575"/>
      <c r="B1211" s="139"/>
      <c r="C1211" s="585">
        <v>2</v>
      </c>
      <c r="D1211" s="585" t="s">
        <v>56</v>
      </c>
      <c r="E1211" s="585">
        <v>1</v>
      </c>
      <c r="F1211" s="256">
        <v>16.59</v>
      </c>
      <c r="G1211" s="256"/>
      <c r="H1211" s="256">
        <v>0.15</v>
      </c>
      <c r="I1211" s="256">
        <f t="shared" si="59"/>
        <v>4.9769999999999994</v>
      </c>
      <c r="J1211" s="571"/>
    </row>
    <row r="1212" spans="1:10" ht="24.95" customHeight="1">
      <c r="A1212" s="575"/>
      <c r="B1212" s="139" t="s">
        <v>642</v>
      </c>
      <c r="C1212" s="585">
        <v>2</v>
      </c>
      <c r="D1212" s="585" t="s">
        <v>56</v>
      </c>
      <c r="E1212" s="585">
        <v>3</v>
      </c>
      <c r="F1212" s="256">
        <v>3.6</v>
      </c>
      <c r="G1212" s="256"/>
      <c r="H1212" s="256">
        <v>0.15</v>
      </c>
      <c r="I1212" s="256">
        <f t="shared" si="59"/>
        <v>3.24</v>
      </c>
      <c r="J1212" s="571"/>
    </row>
    <row r="1213" spans="1:10" ht="24.95" customHeight="1">
      <c r="A1213" s="575"/>
      <c r="B1213" s="139" t="s">
        <v>720</v>
      </c>
      <c r="C1213" s="585">
        <v>2</v>
      </c>
      <c r="D1213" s="585" t="s">
        <v>56</v>
      </c>
      <c r="E1213" s="585">
        <v>2</v>
      </c>
      <c r="F1213" s="256">
        <v>6</v>
      </c>
      <c r="G1213" s="256"/>
      <c r="H1213" s="256">
        <v>0.15</v>
      </c>
      <c r="I1213" s="256">
        <f t="shared" si="59"/>
        <v>3.5999999999999996</v>
      </c>
      <c r="J1213" s="571"/>
    </row>
    <row r="1214" spans="1:10" ht="24.95" customHeight="1">
      <c r="A1214" s="575"/>
      <c r="B1214" s="139" t="s">
        <v>721</v>
      </c>
      <c r="C1214" s="585">
        <v>2</v>
      </c>
      <c r="D1214" s="585" t="s">
        <v>56</v>
      </c>
      <c r="E1214" s="585">
        <v>1</v>
      </c>
      <c r="F1214" s="256">
        <v>8.0299999999999994</v>
      </c>
      <c r="G1214" s="256"/>
      <c r="H1214" s="256">
        <v>0.15</v>
      </c>
      <c r="I1214" s="256">
        <f t="shared" si="59"/>
        <v>2.4089999999999998</v>
      </c>
      <c r="J1214" s="571"/>
    </row>
    <row r="1215" spans="1:10" ht="24.95" customHeight="1">
      <c r="A1215" s="575"/>
      <c r="B1215" s="139" t="s">
        <v>685</v>
      </c>
      <c r="C1215" s="585">
        <v>2</v>
      </c>
      <c r="D1215" s="585" t="s">
        <v>56</v>
      </c>
      <c r="E1215" s="585">
        <v>1</v>
      </c>
      <c r="F1215" s="256">
        <v>21.32</v>
      </c>
      <c r="G1215" s="256"/>
      <c r="H1215" s="256">
        <v>0.15</v>
      </c>
      <c r="I1215" s="256">
        <f t="shared" si="59"/>
        <v>6.3959999999999999</v>
      </c>
      <c r="J1215" s="571"/>
    </row>
    <row r="1216" spans="1:10" ht="24.95" customHeight="1">
      <c r="A1216" s="575"/>
      <c r="B1216" s="142" t="s">
        <v>727</v>
      </c>
      <c r="C1216" s="585">
        <v>2</v>
      </c>
      <c r="D1216" s="585" t="s">
        <v>56</v>
      </c>
      <c r="E1216" s="585">
        <v>1</v>
      </c>
      <c r="F1216" s="256">
        <v>3.81</v>
      </c>
      <c r="G1216" s="256"/>
      <c r="H1216" s="256">
        <v>0.05</v>
      </c>
      <c r="I1216" s="256">
        <f t="shared" si="59"/>
        <v>0.38100000000000001</v>
      </c>
      <c r="J1216" s="571"/>
    </row>
    <row r="1217" spans="1:10" ht="24.95" customHeight="1">
      <c r="A1217" s="575"/>
      <c r="B1217" s="139" t="s">
        <v>728</v>
      </c>
      <c r="C1217" s="585">
        <v>2</v>
      </c>
      <c r="D1217" s="585" t="s">
        <v>56</v>
      </c>
      <c r="E1217" s="585">
        <v>1</v>
      </c>
      <c r="F1217" s="256">
        <v>6.46</v>
      </c>
      <c r="G1217" s="256"/>
      <c r="H1217" s="256">
        <v>0.05</v>
      </c>
      <c r="I1217" s="256">
        <f t="shared" si="59"/>
        <v>0.64600000000000002</v>
      </c>
      <c r="J1217" s="571"/>
    </row>
    <row r="1218" spans="1:10" ht="31.15" customHeight="1">
      <c r="A1218" s="575"/>
      <c r="B1218" s="139" t="s">
        <v>728</v>
      </c>
      <c r="C1218" s="585">
        <v>2</v>
      </c>
      <c r="D1218" s="585" t="s">
        <v>56</v>
      </c>
      <c r="E1218" s="585">
        <v>1</v>
      </c>
      <c r="F1218" s="256">
        <v>6.16</v>
      </c>
      <c r="G1218" s="256"/>
      <c r="H1218" s="256">
        <v>0.05</v>
      </c>
      <c r="I1218" s="256">
        <f t="shared" si="59"/>
        <v>0.6160000000000001</v>
      </c>
      <c r="J1218" s="571"/>
    </row>
    <row r="1219" spans="1:10" ht="24.95" customHeight="1">
      <c r="A1219" s="575"/>
      <c r="B1219" s="139" t="s">
        <v>728</v>
      </c>
      <c r="C1219" s="585">
        <v>2</v>
      </c>
      <c r="D1219" s="585" t="s">
        <v>56</v>
      </c>
      <c r="E1219" s="585">
        <v>1</v>
      </c>
      <c r="F1219" s="256">
        <v>5.56</v>
      </c>
      <c r="G1219" s="256"/>
      <c r="H1219" s="256">
        <v>0.05</v>
      </c>
      <c r="I1219" s="256">
        <f t="shared" si="59"/>
        <v>0.55599999999999994</v>
      </c>
      <c r="J1219" s="571"/>
    </row>
    <row r="1220" spans="1:10" ht="39" customHeight="1">
      <c r="A1220" s="575"/>
      <c r="B1220" s="139" t="s">
        <v>1324</v>
      </c>
      <c r="C1220" s="585">
        <v>1</v>
      </c>
      <c r="D1220" s="585" t="s">
        <v>56</v>
      </c>
      <c r="E1220" s="585">
        <v>2</v>
      </c>
      <c r="F1220" s="256">
        <v>4.9800000000000004</v>
      </c>
      <c r="G1220" s="256"/>
      <c r="H1220" s="256">
        <v>0.05</v>
      </c>
      <c r="I1220" s="256">
        <f t="shared" si="59"/>
        <v>0.49800000000000005</v>
      </c>
      <c r="J1220" s="571"/>
    </row>
    <row r="1221" spans="1:10" ht="37.5" customHeight="1">
      <c r="A1221" s="575"/>
      <c r="B1221" s="139" t="s">
        <v>713</v>
      </c>
      <c r="C1221" s="585">
        <v>1</v>
      </c>
      <c r="D1221" s="585" t="s">
        <v>56</v>
      </c>
      <c r="E1221" s="585">
        <v>6</v>
      </c>
      <c r="F1221" s="256">
        <v>4.38</v>
      </c>
      <c r="G1221" s="256"/>
      <c r="H1221" s="256">
        <v>0.05</v>
      </c>
      <c r="I1221" s="256">
        <f t="shared" si="59"/>
        <v>1.3140000000000001</v>
      </c>
      <c r="J1221" s="571"/>
    </row>
    <row r="1222" spans="1:10" ht="24.95" customHeight="1">
      <c r="A1222" s="575"/>
      <c r="B1222" s="139" t="s">
        <v>705</v>
      </c>
      <c r="C1222" s="585">
        <v>1</v>
      </c>
      <c r="D1222" s="585" t="s">
        <v>56</v>
      </c>
      <c r="E1222" s="585">
        <v>6</v>
      </c>
      <c r="F1222" s="256">
        <v>3.18</v>
      </c>
      <c r="G1222" s="256"/>
      <c r="H1222" s="256">
        <v>0.05</v>
      </c>
      <c r="I1222" s="256">
        <f t="shared" si="59"/>
        <v>0.95400000000000018</v>
      </c>
      <c r="J1222" s="571"/>
    </row>
    <row r="1223" spans="1:10" ht="24.95" customHeight="1">
      <c r="A1223" s="575"/>
      <c r="B1223" s="139" t="s">
        <v>731</v>
      </c>
      <c r="C1223" s="585">
        <v>1</v>
      </c>
      <c r="D1223" s="585" t="s">
        <v>56</v>
      </c>
      <c r="E1223" s="585">
        <v>4</v>
      </c>
      <c r="F1223" s="256">
        <v>3.78</v>
      </c>
      <c r="G1223" s="256"/>
      <c r="H1223" s="256">
        <v>0.05</v>
      </c>
      <c r="I1223" s="256">
        <f t="shared" si="59"/>
        <v>0.75600000000000001</v>
      </c>
      <c r="J1223" s="571"/>
    </row>
    <row r="1224" spans="1:10" ht="24.95" customHeight="1">
      <c r="A1224" s="575"/>
      <c r="B1224" s="139" t="s">
        <v>707</v>
      </c>
      <c r="C1224" s="585">
        <v>1</v>
      </c>
      <c r="D1224" s="585" t="s">
        <v>56</v>
      </c>
      <c r="E1224" s="585">
        <v>1</v>
      </c>
      <c r="F1224" s="256">
        <v>3.78</v>
      </c>
      <c r="G1224" s="256"/>
      <c r="H1224" s="256">
        <v>0.05</v>
      </c>
      <c r="I1224" s="256">
        <f t="shared" si="59"/>
        <v>0.189</v>
      </c>
      <c r="J1224" s="571"/>
    </row>
    <row r="1225" spans="1:10" ht="24.95" customHeight="1">
      <c r="A1225" s="575"/>
      <c r="B1225" s="139" t="s">
        <v>708</v>
      </c>
      <c r="C1225" s="585">
        <v>1</v>
      </c>
      <c r="D1225" s="585" t="s">
        <v>56</v>
      </c>
      <c r="E1225" s="585">
        <v>1</v>
      </c>
      <c r="F1225" s="256">
        <v>4.38</v>
      </c>
      <c r="G1225" s="256"/>
      <c r="H1225" s="256">
        <v>0.05</v>
      </c>
      <c r="I1225" s="256">
        <f t="shared" si="59"/>
        <v>0.219</v>
      </c>
      <c r="J1225" s="571"/>
    </row>
    <row r="1226" spans="1:10" ht="24.95" customHeight="1">
      <c r="A1226" s="575"/>
      <c r="B1226" s="139" t="s">
        <v>709</v>
      </c>
      <c r="C1226" s="585">
        <v>1</v>
      </c>
      <c r="D1226" s="585" t="s">
        <v>56</v>
      </c>
      <c r="E1226" s="585">
        <v>2</v>
      </c>
      <c r="F1226" s="256">
        <v>3.48</v>
      </c>
      <c r="G1226" s="256"/>
      <c r="H1226" s="256">
        <v>0.05</v>
      </c>
      <c r="I1226" s="256">
        <f t="shared" si="59"/>
        <v>0.34800000000000003</v>
      </c>
      <c r="J1226" s="571"/>
    </row>
    <row r="1227" spans="1:10" ht="24.95" customHeight="1">
      <c r="A1227" s="575"/>
      <c r="B1227" s="139" t="s">
        <v>732</v>
      </c>
      <c r="C1227" s="585">
        <v>1</v>
      </c>
      <c r="D1227" s="585" t="s">
        <v>56</v>
      </c>
      <c r="E1227" s="585">
        <v>1</v>
      </c>
      <c r="F1227" s="256">
        <v>4.9800000000000004</v>
      </c>
      <c r="G1227" s="256"/>
      <c r="H1227" s="256">
        <v>0.05</v>
      </c>
      <c r="I1227" s="256">
        <f t="shared" si="59"/>
        <v>0.24900000000000003</v>
      </c>
      <c r="J1227" s="571"/>
    </row>
    <row r="1228" spans="1:10" ht="24.95" customHeight="1">
      <c r="A1228" s="575"/>
      <c r="B1228" s="139" t="s">
        <v>734</v>
      </c>
      <c r="C1228" s="585">
        <v>1</v>
      </c>
      <c r="D1228" s="585" t="s">
        <v>56</v>
      </c>
      <c r="E1228" s="585">
        <v>4</v>
      </c>
      <c r="F1228" s="256">
        <v>1.22</v>
      </c>
      <c r="G1228" s="256"/>
      <c r="H1228" s="262">
        <v>1.2</v>
      </c>
      <c r="I1228" s="256">
        <f t="shared" si="59"/>
        <v>5.8559999999999999</v>
      </c>
      <c r="J1228" s="571"/>
    </row>
    <row r="1229" spans="1:10" ht="24.95" customHeight="1">
      <c r="A1229" s="575"/>
      <c r="B1229" s="139" t="s">
        <v>735</v>
      </c>
      <c r="C1229" s="585">
        <v>1</v>
      </c>
      <c r="D1229" s="585" t="s">
        <v>56</v>
      </c>
      <c r="E1229" s="585">
        <v>1</v>
      </c>
      <c r="F1229" s="256">
        <v>1.36</v>
      </c>
      <c r="G1229" s="256"/>
      <c r="H1229" s="262">
        <v>1.2</v>
      </c>
      <c r="I1229" s="256">
        <f t="shared" si="59"/>
        <v>1.6320000000000001</v>
      </c>
      <c r="J1229" s="571"/>
    </row>
    <row r="1230" spans="1:10" ht="24.95" customHeight="1">
      <c r="A1230" s="575"/>
      <c r="B1230" s="142" t="s">
        <v>736</v>
      </c>
      <c r="C1230" s="585">
        <v>1</v>
      </c>
      <c r="D1230" s="585" t="s">
        <v>56</v>
      </c>
      <c r="E1230" s="585">
        <v>1</v>
      </c>
      <c r="F1230" s="256">
        <v>1.66</v>
      </c>
      <c r="G1230" s="256"/>
      <c r="H1230" s="262">
        <v>1.2</v>
      </c>
      <c r="I1230" s="256">
        <f t="shared" si="59"/>
        <v>1.9919999999999998</v>
      </c>
      <c r="J1230" s="571"/>
    </row>
    <row r="1231" spans="1:10" ht="24.95" customHeight="1">
      <c r="A1231" s="575"/>
      <c r="B1231" s="139" t="s">
        <v>737</v>
      </c>
      <c r="C1231" s="585">
        <v>1</v>
      </c>
      <c r="D1231" s="585" t="s">
        <v>56</v>
      </c>
      <c r="E1231" s="585">
        <v>2</v>
      </c>
      <c r="F1231" s="256">
        <v>1.36</v>
      </c>
      <c r="G1231" s="256"/>
      <c r="H1231" s="262">
        <v>1.2</v>
      </c>
      <c r="I1231" s="256">
        <f t="shared" si="59"/>
        <v>3.2640000000000002</v>
      </c>
      <c r="J1231" s="571"/>
    </row>
    <row r="1232" spans="1:10" ht="24.95" customHeight="1">
      <c r="A1232" s="575"/>
      <c r="B1232" s="139" t="s">
        <v>738</v>
      </c>
      <c r="C1232" s="585">
        <v>1</v>
      </c>
      <c r="D1232" s="585" t="s">
        <v>56</v>
      </c>
      <c r="E1232" s="585">
        <v>2</v>
      </c>
      <c r="F1232" s="256">
        <v>1.8</v>
      </c>
      <c r="G1232" s="256"/>
      <c r="H1232" s="262">
        <v>1.2</v>
      </c>
      <c r="I1232" s="256">
        <f t="shared" si="59"/>
        <v>4.32</v>
      </c>
      <c r="J1232" s="571"/>
    </row>
    <row r="1233" spans="1:10" ht="24.95" customHeight="1">
      <c r="A1233" s="575"/>
      <c r="B1233" s="139" t="s">
        <v>739</v>
      </c>
      <c r="C1233" s="585">
        <v>1</v>
      </c>
      <c r="D1233" s="585" t="s">
        <v>56</v>
      </c>
      <c r="E1233" s="585">
        <v>1</v>
      </c>
      <c r="F1233" s="256">
        <v>1.52</v>
      </c>
      <c r="G1233" s="256"/>
      <c r="H1233" s="262">
        <v>1.2</v>
      </c>
      <c r="I1233" s="256">
        <f t="shared" si="59"/>
        <v>1.8239999999999998</v>
      </c>
      <c r="J1233" s="571"/>
    </row>
    <row r="1234" spans="1:10" ht="24.95" customHeight="1">
      <c r="A1234" s="575"/>
      <c r="B1234" s="139" t="s">
        <v>740</v>
      </c>
      <c r="C1234" s="585">
        <v>1</v>
      </c>
      <c r="D1234" s="585" t="s">
        <v>56</v>
      </c>
      <c r="E1234" s="585">
        <v>1</v>
      </c>
      <c r="F1234" s="256">
        <v>3.75</v>
      </c>
      <c r="G1234" s="256"/>
      <c r="H1234" s="256">
        <v>1.5</v>
      </c>
      <c r="I1234" s="256">
        <f t="shared" si="59"/>
        <v>5.625</v>
      </c>
      <c r="J1234" s="571"/>
    </row>
    <row r="1235" spans="1:10" ht="24.95" customHeight="1">
      <c r="A1235" s="575"/>
      <c r="B1235" s="139" t="s">
        <v>716</v>
      </c>
      <c r="C1235" s="585">
        <v>1</v>
      </c>
      <c r="D1235" s="585" t="s">
        <v>56</v>
      </c>
      <c r="E1235" s="585">
        <v>1</v>
      </c>
      <c r="F1235" s="256">
        <v>4.1100000000000003</v>
      </c>
      <c r="G1235" s="256"/>
      <c r="H1235" s="256">
        <v>1.5</v>
      </c>
      <c r="I1235" s="256">
        <f t="shared" si="59"/>
        <v>6.1650000000000009</v>
      </c>
      <c r="J1235" s="571"/>
    </row>
    <row r="1236" spans="1:10" ht="24.95" customHeight="1">
      <c r="A1236" s="575"/>
      <c r="B1236" s="139" t="s">
        <v>741</v>
      </c>
      <c r="C1236" s="585">
        <v>1</v>
      </c>
      <c r="D1236" s="585" t="s">
        <v>56</v>
      </c>
      <c r="E1236" s="585">
        <v>1</v>
      </c>
      <c r="F1236" s="256">
        <v>3.45</v>
      </c>
      <c r="G1236" s="256"/>
      <c r="H1236" s="256">
        <v>1.5</v>
      </c>
      <c r="I1236" s="256">
        <f t="shared" si="59"/>
        <v>5.1750000000000007</v>
      </c>
      <c r="J1236" s="571"/>
    </row>
    <row r="1237" spans="1:10" ht="24.95" customHeight="1">
      <c r="A1237" s="575"/>
      <c r="B1237" s="139" t="s">
        <v>718</v>
      </c>
      <c r="C1237" s="585">
        <v>1</v>
      </c>
      <c r="D1237" s="585" t="s">
        <v>56</v>
      </c>
      <c r="E1237" s="585">
        <v>23</v>
      </c>
      <c r="F1237" s="256">
        <v>0.45</v>
      </c>
      <c r="G1237" s="256"/>
      <c r="H1237" s="256">
        <v>1.5</v>
      </c>
      <c r="I1237" s="256">
        <f t="shared" si="59"/>
        <v>15.524999999999999</v>
      </c>
      <c r="J1237" s="571"/>
    </row>
    <row r="1238" spans="1:10" ht="24.95" customHeight="1">
      <c r="A1238" s="575"/>
      <c r="B1238" s="139" t="s">
        <v>742</v>
      </c>
      <c r="C1238" s="585">
        <v>1</v>
      </c>
      <c r="D1238" s="585" t="s">
        <v>56</v>
      </c>
      <c r="E1238" s="585">
        <v>2</v>
      </c>
      <c r="F1238" s="256">
        <v>4.1100000000000003</v>
      </c>
      <c r="G1238" s="256"/>
      <c r="H1238" s="256">
        <v>0.3</v>
      </c>
      <c r="I1238" s="256">
        <f t="shared" si="59"/>
        <v>2.4660000000000002</v>
      </c>
      <c r="J1238" s="571"/>
    </row>
    <row r="1239" spans="1:10" ht="24.95" customHeight="1">
      <c r="A1239" s="575"/>
      <c r="B1239" s="142" t="s">
        <v>1058</v>
      </c>
      <c r="C1239" s="585"/>
      <c r="D1239" s="585"/>
      <c r="E1239" s="585"/>
      <c r="F1239" s="256"/>
      <c r="G1239" s="256"/>
      <c r="H1239" s="256"/>
      <c r="I1239" s="256"/>
      <c r="J1239" s="571"/>
    </row>
    <row r="1240" spans="1:10" ht="24.95" customHeight="1">
      <c r="A1240" s="575"/>
      <c r="B1240" s="139" t="s">
        <v>639</v>
      </c>
      <c r="C1240" s="585">
        <v>2</v>
      </c>
      <c r="D1240" s="585" t="s">
        <v>56</v>
      </c>
      <c r="E1240" s="585">
        <v>1</v>
      </c>
      <c r="F1240" s="256">
        <v>64.88</v>
      </c>
      <c r="G1240" s="256"/>
      <c r="H1240" s="256">
        <v>0.45</v>
      </c>
      <c r="I1240" s="256">
        <f t="shared" ref="I1240:I1260" si="60">PRODUCT(C1240:H1240)</f>
        <v>58.391999999999996</v>
      </c>
      <c r="J1240" s="571"/>
    </row>
    <row r="1241" spans="1:10" ht="24.95" customHeight="1">
      <c r="A1241" s="575"/>
      <c r="B1241" s="139" t="s">
        <v>640</v>
      </c>
      <c r="C1241" s="585">
        <v>2</v>
      </c>
      <c r="D1241" s="585" t="s">
        <v>56</v>
      </c>
      <c r="E1241" s="585">
        <v>1</v>
      </c>
      <c r="F1241" s="256">
        <v>20.12</v>
      </c>
      <c r="G1241" s="256"/>
      <c r="H1241" s="256">
        <v>0.45</v>
      </c>
      <c r="I1241" s="256">
        <f t="shared" si="60"/>
        <v>18.108000000000001</v>
      </c>
      <c r="J1241" s="571"/>
    </row>
    <row r="1242" spans="1:10" ht="24.95" customHeight="1">
      <c r="A1242" s="575"/>
      <c r="B1242" s="139"/>
      <c r="C1242" s="585">
        <v>2</v>
      </c>
      <c r="D1242" s="585" t="s">
        <v>56</v>
      </c>
      <c r="E1242" s="585">
        <v>1</v>
      </c>
      <c r="F1242" s="256">
        <v>16.59</v>
      </c>
      <c r="G1242" s="256"/>
      <c r="H1242" s="256">
        <v>0.45</v>
      </c>
      <c r="I1242" s="256">
        <f t="shared" si="60"/>
        <v>14.931000000000001</v>
      </c>
      <c r="J1242" s="571"/>
    </row>
    <row r="1243" spans="1:10" ht="24.95" customHeight="1">
      <c r="A1243" s="575"/>
      <c r="B1243" s="139" t="s">
        <v>641</v>
      </c>
      <c r="C1243" s="585">
        <v>2</v>
      </c>
      <c r="D1243" s="585" t="s">
        <v>56</v>
      </c>
      <c r="E1243" s="585">
        <v>1</v>
      </c>
      <c r="F1243" s="256">
        <v>3.3</v>
      </c>
      <c r="G1243" s="256"/>
      <c r="H1243" s="256">
        <v>0.45</v>
      </c>
      <c r="I1243" s="256">
        <f t="shared" si="60"/>
        <v>2.9699999999999998</v>
      </c>
      <c r="J1243" s="571"/>
    </row>
    <row r="1244" spans="1:10" ht="24.95" customHeight="1">
      <c r="A1244" s="575"/>
      <c r="B1244" s="139" t="s">
        <v>642</v>
      </c>
      <c r="C1244" s="585">
        <v>2</v>
      </c>
      <c r="D1244" s="585" t="s">
        <v>56</v>
      </c>
      <c r="E1244" s="585">
        <v>3</v>
      </c>
      <c r="F1244" s="256">
        <v>3.6</v>
      </c>
      <c r="G1244" s="256"/>
      <c r="H1244" s="256">
        <v>0.45</v>
      </c>
      <c r="I1244" s="256">
        <f t="shared" si="60"/>
        <v>9.7200000000000006</v>
      </c>
      <c r="J1244" s="571"/>
    </row>
    <row r="1245" spans="1:10" ht="24.95" customHeight="1">
      <c r="A1245" s="575"/>
      <c r="B1245" s="139" t="s">
        <v>643</v>
      </c>
      <c r="C1245" s="585">
        <v>2</v>
      </c>
      <c r="D1245" s="585" t="s">
        <v>56</v>
      </c>
      <c r="E1245" s="585">
        <v>2</v>
      </c>
      <c r="F1245" s="256">
        <v>6</v>
      </c>
      <c r="G1245" s="256"/>
      <c r="H1245" s="256">
        <v>0.45</v>
      </c>
      <c r="I1245" s="256">
        <f t="shared" si="60"/>
        <v>10.8</v>
      </c>
      <c r="J1245" s="571"/>
    </row>
    <row r="1246" spans="1:10" ht="24.95" customHeight="1">
      <c r="A1246" s="575"/>
      <c r="B1246" s="139" t="s">
        <v>690</v>
      </c>
      <c r="C1246" s="585">
        <v>2</v>
      </c>
      <c r="D1246" s="585" t="s">
        <v>56</v>
      </c>
      <c r="E1246" s="585">
        <v>1</v>
      </c>
      <c r="F1246" s="256">
        <v>2</v>
      </c>
      <c r="G1246" s="256"/>
      <c r="H1246" s="256">
        <v>0.45</v>
      </c>
      <c r="I1246" s="256">
        <f t="shared" si="60"/>
        <v>1.8</v>
      </c>
      <c r="J1246" s="571"/>
    </row>
    <row r="1247" spans="1:10" ht="24.95" customHeight="1">
      <c r="A1247" s="575"/>
      <c r="B1247" s="139" t="s">
        <v>700</v>
      </c>
      <c r="C1247" s="585">
        <v>2</v>
      </c>
      <c r="D1247" s="585" t="s">
        <v>56</v>
      </c>
      <c r="E1247" s="585">
        <v>1</v>
      </c>
      <c r="F1247" s="256">
        <v>3.6</v>
      </c>
      <c r="G1247" s="256"/>
      <c r="H1247" s="256">
        <v>0.45</v>
      </c>
      <c r="I1247" s="256">
        <f t="shared" si="60"/>
        <v>3.24</v>
      </c>
      <c r="J1247" s="571"/>
    </row>
    <row r="1248" spans="1:10" ht="24.95" customHeight="1">
      <c r="A1248" s="575"/>
      <c r="B1248" s="142" t="s">
        <v>1059</v>
      </c>
      <c r="C1248" s="585"/>
      <c r="D1248" s="585"/>
      <c r="E1248" s="585"/>
      <c r="F1248" s="256"/>
      <c r="G1248" s="256"/>
      <c r="H1248" s="256"/>
      <c r="I1248" s="256"/>
      <c r="J1248" s="571"/>
    </row>
    <row r="1249" spans="1:19" ht="24.95" customHeight="1">
      <c r="A1249" s="575"/>
      <c r="B1249" s="139" t="s">
        <v>639</v>
      </c>
      <c r="C1249" s="585">
        <v>1</v>
      </c>
      <c r="D1249" s="585" t="s">
        <v>56</v>
      </c>
      <c r="E1249" s="585">
        <v>1</v>
      </c>
      <c r="F1249" s="256">
        <v>64.88</v>
      </c>
      <c r="G1249" s="256"/>
      <c r="H1249" s="256">
        <v>0.45</v>
      </c>
      <c r="I1249" s="256">
        <f t="shared" si="60"/>
        <v>29.195999999999998</v>
      </c>
      <c r="J1249" s="571"/>
    </row>
    <row r="1250" spans="1:19" ht="24.95" customHeight="1">
      <c r="A1250" s="575"/>
      <c r="B1250" s="139" t="s">
        <v>723</v>
      </c>
      <c r="C1250" s="585">
        <v>-1</v>
      </c>
      <c r="D1250" s="585" t="s">
        <v>56</v>
      </c>
      <c r="E1250" s="585">
        <v>1</v>
      </c>
      <c r="F1250" s="256">
        <v>17</v>
      </c>
      <c r="G1250" s="256"/>
      <c r="H1250" s="256">
        <v>0.45</v>
      </c>
      <c r="I1250" s="256">
        <f t="shared" si="60"/>
        <v>-7.65</v>
      </c>
      <c r="J1250" s="571"/>
    </row>
    <row r="1251" spans="1:19" ht="24.95" customHeight="1">
      <c r="A1251" s="575"/>
      <c r="B1251" s="139" t="s">
        <v>640</v>
      </c>
      <c r="C1251" s="585">
        <v>1</v>
      </c>
      <c r="D1251" s="585" t="s">
        <v>56</v>
      </c>
      <c r="E1251" s="585">
        <v>1</v>
      </c>
      <c r="F1251" s="256">
        <v>20.12</v>
      </c>
      <c r="G1251" s="256"/>
      <c r="H1251" s="256">
        <v>0.45</v>
      </c>
      <c r="I1251" s="256">
        <f t="shared" si="60"/>
        <v>9.0540000000000003</v>
      </c>
      <c r="J1251" s="571"/>
    </row>
    <row r="1252" spans="1:19" ht="24.95" customHeight="1">
      <c r="A1252" s="575"/>
      <c r="B1252" s="139"/>
      <c r="C1252" s="585">
        <v>1</v>
      </c>
      <c r="D1252" s="585" t="s">
        <v>56</v>
      </c>
      <c r="E1252" s="585">
        <v>1</v>
      </c>
      <c r="F1252" s="256">
        <v>16.59</v>
      </c>
      <c r="G1252" s="256"/>
      <c r="H1252" s="256">
        <v>0.45</v>
      </c>
      <c r="I1252" s="256">
        <f t="shared" si="60"/>
        <v>7.4655000000000005</v>
      </c>
      <c r="J1252" s="571"/>
    </row>
    <row r="1253" spans="1:19" ht="24.95" customHeight="1">
      <c r="A1253" s="575"/>
      <c r="B1253" s="139" t="s">
        <v>642</v>
      </c>
      <c r="C1253" s="585">
        <v>1</v>
      </c>
      <c r="D1253" s="585" t="s">
        <v>56</v>
      </c>
      <c r="E1253" s="585">
        <v>3</v>
      </c>
      <c r="F1253" s="256">
        <v>3.6</v>
      </c>
      <c r="G1253" s="256"/>
      <c r="H1253" s="256">
        <v>0.45</v>
      </c>
      <c r="I1253" s="256">
        <f t="shared" si="60"/>
        <v>4.8600000000000003</v>
      </c>
      <c r="J1253" s="571"/>
    </row>
    <row r="1254" spans="1:19" ht="36.75" customHeight="1">
      <c r="A1254" s="575"/>
      <c r="B1254" s="139" t="s">
        <v>720</v>
      </c>
      <c r="C1254" s="585">
        <v>1</v>
      </c>
      <c r="D1254" s="585" t="s">
        <v>56</v>
      </c>
      <c r="E1254" s="585">
        <v>2</v>
      </c>
      <c r="F1254" s="256">
        <v>6</v>
      </c>
      <c r="G1254" s="256"/>
      <c r="H1254" s="256">
        <v>0.45</v>
      </c>
      <c r="I1254" s="256">
        <f t="shared" si="60"/>
        <v>5.4</v>
      </c>
      <c r="J1254" s="571"/>
    </row>
    <row r="1255" spans="1:19" ht="24.95" customHeight="1">
      <c r="A1255" s="575"/>
      <c r="B1255" s="139" t="s">
        <v>721</v>
      </c>
      <c r="C1255" s="585">
        <v>1</v>
      </c>
      <c r="D1255" s="585" t="s">
        <v>56</v>
      </c>
      <c r="E1255" s="585">
        <v>1</v>
      </c>
      <c r="F1255" s="256">
        <v>8.0299999999999994</v>
      </c>
      <c r="G1255" s="256"/>
      <c r="H1255" s="256">
        <v>0.45</v>
      </c>
      <c r="I1255" s="256">
        <f t="shared" si="60"/>
        <v>3.6134999999999997</v>
      </c>
      <c r="J1255" s="571"/>
      <c r="L1255" s="570" t="s">
        <v>684</v>
      </c>
    </row>
    <row r="1256" spans="1:19" ht="24.95" customHeight="1">
      <c r="A1256" s="575"/>
      <c r="B1256" s="139" t="s">
        <v>724</v>
      </c>
      <c r="C1256" s="585">
        <v>1</v>
      </c>
      <c r="D1256" s="585" t="s">
        <v>56</v>
      </c>
      <c r="E1256" s="585">
        <v>1</v>
      </c>
      <c r="F1256" s="256">
        <f>3.6+0.46</f>
        <v>4.0600000000000005</v>
      </c>
      <c r="G1256" s="256"/>
      <c r="H1256" s="256">
        <v>0.45</v>
      </c>
      <c r="I1256" s="256">
        <f t="shared" si="60"/>
        <v>1.8270000000000002</v>
      </c>
      <c r="J1256" s="571"/>
      <c r="L1256" s="570" t="s">
        <v>1060</v>
      </c>
      <c r="M1256" s="570">
        <v>1</v>
      </c>
      <c r="N1256" s="570" t="s">
        <v>56</v>
      </c>
      <c r="O1256" s="570">
        <v>2</v>
      </c>
      <c r="P1256" s="570">
        <v>0.23</v>
      </c>
      <c r="Q1256" s="570">
        <v>0.38</v>
      </c>
      <c r="R1256" s="570">
        <v>1.02</v>
      </c>
      <c r="S1256" s="570">
        <v>0.18</v>
      </c>
    </row>
    <row r="1257" spans="1:19" ht="61.5" customHeight="1">
      <c r="A1257" s="575"/>
      <c r="B1257" s="139" t="s">
        <v>725</v>
      </c>
      <c r="C1257" s="585">
        <v>1</v>
      </c>
      <c r="D1257" s="585" t="s">
        <v>56</v>
      </c>
      <c r="E1257" s="585">
        <v>3</v>
      </c>
      <c r="F1257" s="256">
        <v>19.399999999999999</v>
      </c>
      <c r="G1257" s="256"/>
      <c r="H1257" s="256">
        <v>0.6</v>
      </c>
      <c r="I1257" s="256">
        <f t="shared" si="60"/>
        <v>34.919999999999995</v>
      </c>
      <c r="J1257" s="571"/>
      <c r="L1257" s="570" t="s">
        <v>637</v>
      </c>
      <c r="M1257" s="570">
        <v>1</v>
      </c>
      <c r="N1257" s="570" t="s">
        <v>56</v>
      </c>
      <c r="O1257" s="570">
        <v>6</v>
      </c>
      <c r="P1257" s="570">
        <v>0.23</v>
      </c>
      <c r="Q1257" s="570">
        <v>0.3</v>
      </c>
      <c r="R1257" s="570">
        <v>1.02</v>
      </c>
      <c r="S1257" s="570">
        <v>0.42</v>
      </c>
    </row>
    <row r="1258" spans="1:19" ht="24.95" customHeight="1">
      <c r="A1258" s="575"/>
      <c r="B1258" s="139" t="s">
        <v>726</v>
      </c>
      <c r="C1258" s="585">
        <v>1</v>
      </c>
      <c r="D1258" s="585" t="s">
        <v>56</v>
      </c>
      <c r="E1258" s="585">
        <v>4</v>
      </c>
      <c r="F1258" s="256">
        <v>11.2</v>
      </c>
      <c r="G1258" s="256"/>
      <c r="H1258" s="256">
        <v>0.6</v>
      </c>
      <c r="I1258" s="256">
        <f t="shared" si="60"/>
        <v>26.88</v>
      </c>
      <c r="J1258" s="571"/>
      <c r="L1258" s="570" t="s">
        <v>651</v>
      </c>
      <c r="M1258" s="570">
        <v>1</v>
      </c>
      <c r="N1258" s="570" t="s">
        <v>56</v>
      </c>
      <c r="O1258" s="570">
        <v>4</v>
      </c>
      <c r="P1258" s="570">
        <v>0.38</v>
      </c>
      <c r="Q1258" s="570">
        <v>0.38</v>
      </c>
      <c r="R1258" s="570">
        <v>0.97</v>
      </c>
      <c r="S1258" s="570">
        <v>0.56000000000000005</v>
      </c>
    </row>
    <row r="1259" spans="1:19" ht="24.95" customHeight="1">
      <c r="A1259" s="575"/>
      <c r="B1259" s="139" t="s">
        <v>1061</v>
      </c>
      <c r="C1259" s="585">
        <v>1</v>
      </c>
      <c r="D1259" s="585" t="s">
        <v>56</v>
      </c>
      <c r="E1259" s="585">
        <v>1</v>
      </c>
      <c r="F1259" s="256">
        <v>24.12</v>
      </c>
      <c r="G1259" s="256"/>
      <c r="H1259" s="256">
        <v>0.3</v>
      </c>
      <c r="I1259" s="256">
        <f t="shared" si="60"/>
        <v>7.2359999999999998</v>
      </c>
      <c r="J1259" s="571"/>
      <c r="L1259" s="570" t="s">
        <v>1045</v>
      </c>
      <c r="M1259" s="570">
        <v>1</v>
      </c>
      <c r="N1259" s="570" t="s">
        <v>56</v>
      </c>
      <c r="O1259" s="570">
        <v>6</v>
      </c>
      <c r="P1259" s="570">
        <v>0.23</v>
      </c>
      <c r="Q1259" s="570">
        <v>0.38</v>
      </c>
      <c r="R1259" s="570">
        <v>0.97</v>
      </c>
      <c r="S1259" s="570">
        <v>0.51</v>
      </c>
    </row>
    <row r="1260" spans="1:19" ht="24.95" customHeight="1">
      <c r="A1260" s="575"/>
      <c r="B1260" s="139" t="s">
        <v>1062</v>
      </c>
      <c r="C1260" s="585">
        <v>1</v>
      </c>
      <c r="D1260" s="585" t="s">
        <v>56</v>
      </c>
      <c r="E1260" s="585">
        <v>1</v>
      </c>
      <c r="F1260" s="256">
        <v>223</v>
      </c>
      <c r="G1260" s="256"/>
      <c r="H1260" s="256">
        <v>0.3</v>
      </c>
      <c r="I1260" s="256">
        <f t="shared" si="60"/>
        <v>66.899999999999991</v>
      </c>
      <c r="J1260" s="571"/>
      <c r="L1260" s="570" t="s">
        <v>1063</v>
      </c>
      <c r="M1260" s="570">
        <v>1</v>
      </c>
      <c r="N1260" s="570" t="s">
        <v>56</v>
      </c>
      <c r="O1260" s="570">
        <v>1</v>
      </c>
      <c r="P1260" s="570">
        <v>0.23</v>
      </c>
      <c r="Q1260" s="570">
        <v>0.23</v>
      </c>
      <c r="R1260" s="570">
        <v>1.1200000000000001</v>
      </c>
      <c r="S1260" s="570">
        <v>0.06</v>
      </c>
    </row>
    <row r="1261" spans="1:19" ht="24.95" customHeight="1">
      <c r="A1261" s="575"/>
      <c r="B1261" s="142" t="s">
        <v>1064</v>
      </c>
      <c r="C1261" s="585"/>
      <c r="D1261" s="585"/>
      <c r="E1261" s="585"/>
      <c r="F1261" s="256"/>
      <c r="G1261" s="256"/>
      <c r="H1261" s="256"/>
      <c r="I1261" s="256"/>
      <c r="J1261" s="571"/>
    </row>
    <row r="1262" spans="1:19" ht="24.95" customHeight="1">
      <c r="A1262" s="575"/>
      <c r="B1262" s="139" t="s">
        <v>1065</v>
      </c>
      <c r="C1262" s="585">
        <v>1</v>
      </c>
      <c r="D1262" s="585" t="s">
        <v>56</v>
      </c>
      <c r="E1262" s="585">
        <v>1</v>
      </c>
      <c r="F1262" s="256">
        <v>12.32</v>
      </c>
      <c r="G1262" s="256">
        <v>20.58</v>
      </c>
      <c r="H1262" s="256"/>
      <c r="I1262" s="256">
        <f t="shared" ref="I1262:I1268" si="61">PRODUCT(C1262:H1262)</f>
        <v>253.54559999999998</v>
      </c>
      <c r="J1262" s="571"/>
    </row>
    <row r="1263" spans="1:19" ht="24.95" customHeight="1">
      <c r="A1263" s="575"/>
      <c r="B1263" s="139" t="s">
        <v>1066</v>
      </c>
      <c r="C1263" s="585">
        <v>1</v>
      </c>
      <c r="D1263" s="585" t="s">
        <v>56</v>
      </c>
      <c r="E1263" s="585">
        <v>1</v>
      </c>
      <c r="F1263" s="256">
        <v>12.32</v>
      </c>
      <c r="G1263" s="256">
        <v>20.58</v>
      </c>
      <c r="H1263" s="256"/>
      <c r="I1263" s="256">
        <f t="shared" si="61"/>
        <v>253.54559999999998</v>
      </c>
      <c r="J1263" s="571"/>
    </row>
    <row r="1264" spans="1:19" ht="24.95" customHeight="1">
      <c r="A1264" s="575"/>
      <c r="B1264" s="139" t="s">
        <v>1067</v>
      </c>
      <c r="C1264" s="585">
        <v>1</v>
      </c>
      <c r="D1264" s="585" t="s">
        <v>56</v>
      </c>
      <c r="E1264" s="585">
        <v>1</v>
      </c>
      <c r="F1264" s="256">
        <v>4.0599999999999996</v>
      </c>
      <c r="G1264" s="256">
        <v>1.2</v>
      </c>
      <c r="H1264" s="256"/>
      <c r="I1264" s="256">
        <f t="shared" si="61"/>
        <v>4.871999999999999</v>
      </c>
      <c r="J1264" s="571"/>
    </row>
    <row r="1265" spans="1:15" ht="24.95" customHeight="1">
      <c r="A1265" s="575"/>
      <c r="B1265" s="139" t="s">
        <v>1068</v>
      </c>
      <c r="C1265" s="585">
        <v>1</v>
      </c>
      <c r="D1265" s="585" t="s">
        <v>56</v>
      </c>
      <c r="E1265" s="585">
        <v>1</v>
      </c>
      <c r="F1265" s="256">
        <v>4.0599999999999996</v>
      </c>
      <c r="G1265" s="256">
        <v>1.2</v>
      </c>
      <c r="H1265" s="256"/>
      <c r="I1265" s="256">
        <f t="shared" si="61"/>
        <v>4.871999999999999</v>
      </c>
      <c r="J1265" s="571"/>
    </row>
    <row r="1266" spans="1:15" ht="24.95" customHeight="1">
      <c r="A1266" s="575"/>
      <c r="B1266" s="139" t="s">
        <v>479</v>
      </c>
      <c r="C1266" s="585">
        <v>1</v>
      </c>
      <c r="D1266" s="585" t="s">
        <v>56</v>
      </c>
      <c r="E1266" s="585">
        <v>1</v>
      </c>
      <c r="F1266" s="256">
        <v>11.2</v>
      </c>
      <c r="G1266" s="256">
        <v>17</v>
      </c>
      <c r="H1266" s="256"/>
      <c r="I1266" s="256">
        <f t="shared" si="61"/>
        <v>190.39999999999998</v>
      </c>
      <c r="J1266" s="571"/>
    </row>
    <row r="1267" spans="1:15" ht="24.95" customHeight="1">
      <c r="A1267" s="575"/>
      <c r="B1267" s="139" t="s">
        <v>1069</v>
      </c>
      <c r="C1267" s="585">
        <v>2</v>
      </c>
      <c r="D1267" s="585" t="s">
        <v>56</v>
      </c>
      <c r="E1267" s="585">
        <v>1</v>
      </c>
      <c r="F1267" s="256">
        <v>1.96</v>
      </c>
      <c r="G1267" s="256"/>
      <c r="H1267" s="256">
        <v>1.05</v>
      </c>
      <c r="I1267" s="256">
        <f t="shared" si="61"/>
        <v>4.1159999999999997</v>
      </c>
      <c r="J1267" s="571"/>
    </row>
    <row r="1268" spans="1:15" ht="24.95" customHeight="1">
      <c r="A1268" s="575"/>
      <c r="B1268" s="139" t="s">
        <v>1070</v>
      </c>
      <c r="C1268" s="585">
        <v>1</v>
      </c>
      <c r="D1268" s="585" t="s">
        <v>56</v>
      </c>
      <c r="E1268" s="585">
        <v>1</v>
      </c>
      <c r="F1268" s="256">
        <v>4.0599999999999996</v>
      </c>
      <c r="G1268" s="256">
        <v>8</v>
      </c>
      <c r="H1268" s="256"/>
      <c r="I1268" s="256">
        <f t="shared" si="61"/>
        <v>32.479999999999997</v>
      </c>
      <c r="J1268" s="571"/>
    </row>
    <row r="1269" spans="1:15" ht="24.95" customHeight="1">
      <c r="A1269" s="575"/>
      <c r="B1269" s="221" t="s">
        <v>780</v>
      </c>
      <c r="C1269" s="223"/>
      <c r="D1269" s="217"/>
      <c r="E1269" s="223"/>
      <c r="F1269" s="218"/>
      <c r="G1269" s="218"/>
      <c r="H1269" s="218"/>
      <c r="I1269" s="218"/>
      <c r="J1269" s="571"/>
    </row>
    <row r="1270" spans="1:15" ht="24.95" customHeight="1">
      <c r="A1270" s="575"/>
      <c r="B1270" s="220" t="s">
        <v>187</v>
      </c>
      <c r="C1270" s="223">
        <v>1</v>
      </c>
      <c r="D1270" s="217" t="s">
        <v>56</v>
      </c>
      <c r="E1270" s="223">
        <v>2</v>
      </c>
      <c r="F1270" s="218">
        <f>F1260</f>
        <v>223</v>
      </c>
      <c r="G1270" s="218">
        <v>1.2</v>
      </c>
      <c r="H1270" s="218" t="s">
        <v>36</v>
      </c>
      <c r="I1270" s="218">
        <f t="shared" ref="I1270:I1275" si="62">PRODUCT(C1270:H1270)</f>
        <v>535.19999999999993</v>
      </c>
      <c r="J1270" s="571"/>
    </row>
    <row r="1271" spans="1:15" ht="24.95" customHeight="1">
      <c r="A1271" s="575"/>
      <c r="B1271" s="219" t="s">
        <v>1071</v>
      </c>
      <c r="C1271" s="223">
        <v>1</v>
      </c>
      <c r="D1271" s="217" t="s">
        <v>56</v>
      </c>
      <c r="E1271" s="223">
        <v>2</v>
      </c>
      <c r="F1271" s="218">
        <v>4.8</v>
      </c>
      <c r="G1271" s="218">
        <v>0.23</v>
      </c>
      <c r="H1271" s="218"/>
      <c r="I1271" s="218">
        <f t="shared" si="62"/>
        <v>2.2080000000000002</v>
      </c>
      <c r="J1271" s="571"/>
    </row>
    <row r="1272" spans="1:15" ht="24.95" customHeight="1">
      <c r="A1272" s="575"/>
      <c r="B1272" s="219" t="s">
        <v>1072</v>
      </c>
      <c r="C1272" s="223">
        <v>1</v>
      </c>
      <c r="D1272" s="217" t="s">
        <v>56</v>
      </c>
      <c r="E1272" s="223">
        <v>2</v>
      </c>
      <c r="F1272" s="579">
        <v>4.8</v>
      </c>
      <c r="G1272" s="218"/>
      <c r="H1272" s="218">
        <v>0.15</v>
      </c>
      <c r="I1272" s="218">
        <f t="shared" si="62"/>
        <v>1.44</v>
      </c>
      <c r="J1272" s="571"/>
    </row>
    <row r="1273" spans="1:15" ht="24.95" customHeight="1">
      <c r="A1273" s="575"/>
      <c r="B1273" s="219" t="s">
        <v>1073</v>
      </c>
      <c r="C1273" s="223">
        <v>1</v>
      </c>
      <c r="D1273" s="217" t="s">
        <v>56</v>
      </c>
      <c r="E1273" s="223">
        <v>2</v>
      </c>
      <c r="F1273" s="218">
        <f>F1270</f>
        <v>223</v>
      </c>
      <c r="G1273" s="218"/>
      <c r="H1273" s="218">
        <v>0.15</v>
      </c>
      <c r="I1273" s="218">
        <f t="shared" si="62"/>
        <v>66.899999999999991</v>
      </c>
      <c r="J1273" s="571"/>
    </row>
    <row r="1274" spans="1:15" ht="24.95" customHeight="1">
      <c r="A1274" s="575"/>
      <c r="B1274" s="220" t="s">
        <v>1074</v>
      </c>
      <c r="C1274" s="223">
        <v>1</v>
      </c>
      <c r="D1274" s="217" t="s">
        <v>56</v>
      </c>
      <c r="E1274" s="223">
        <v>2</v>
      </c>
      <c r="F1274" s="218">
        <v>12.92</v>
      </c>
      <c r="G1274" s="218" t="s">
        <v>36</v>
      </c>
      <c r="H1274" s="218">
        <v>0.15</v>
      </c>
      <c r="I1274" s="218">
        <f t="shared" si="62"/>
        <v>3.8759999999999999</v>
      </c>
      <c r="J1274" s="571"/>
    </row>
    <row r="1275" spans="1:15" ht="24.95" customHeight="1">
      <c r="A1275" s="575"/>
      <c r="B1275" s="220" t="s">
        <v>749</v>
      </c>
      <c r="C1275" s="223">
        <v>1</v>
      </c>
      <c r="D1275" s="217" t="s">
        <v>56</v>
      </c>
      <c r="E1275" s="223">
        <v>-2</v>
      </c>
      <c r="F1275" s="218">
        <v>2.4</v>
      </c>
      <c r="G1275" s="218" t="s">
        <v>36</v>
      </c>
      <c r="H1275" s="218">
        <v>0.12</v>
      </c>
      <c r="I1275" s="218">
        <f t="shared" si="62"/>
        <v>-0.57599999999999996</v>
      </c>
      <c r="J1275" s="571"/>
    </row>
    <row r="1276" spans="1:15" ht="24.95" customHeight="1">
      <c r="A1276" s="575"/>
      <c r="B1276" s="139"/>
      <c r="C1276" s="585"/>
      <c r="D1276" s="585"/>
      <c r="E1276" s="585"/>
      <c r="F1276" s="256"/>
      <c r="G1276" s="256"/>
      <c r="H1276" s="256"/>
      <c r="I1276" s="256">
        <f>SUM(I1180:I1275)</f>
        <v>1895.0062</v>
      </c>
      <c r="J1276" s="571"/>
      <c r="O1276" s="178"/>
    </row>
    <row r="1277" spans="1:15" ht="24.95" customHeight="1">
      <c r="A1277" s="575"/>
      <c r="B1277" s="139"/>
      <c r="C1277" s="585"/>
      <c r="D1277" s="585"/>
      <c r="E1277" s="585"/>
      <c r="F1277" s="256"/>
      <c r="G1277" s="256"/>
      <c r="H1277" s="259" t="s">
        <v>15</v>
      </c>
      <c r="I1277" s="259">
        <f>ROUNDUP(I1276,1-0)</f>
        <v>1895.1</v>
      </c>
      <c r="J1277" s="266" t="s">
        <v>37</v>
      </c>
      <c r="O1277" s="178"/>
    </row>
    <row r="1278" spans="1:15" ht="24.95" customHeight="1">
      <c r="A1278" s="575"/>
      <c r="B1278" s="139"/>
      <c r="C1278" s="585"/>
      <c r="D1278" s="585"/>
      <c r="E1278" s="585"/>
      <c r="F1278" s="256"/>
      <c r="G1278" s="256"/>
      <c r="H1278" s="256"/>
      <c r="I1278" s="256"/>
      <c r="J1278" s="571"/>
      <c r="O1278" s="178"/>
    </row>
    <row r="1279" spans="1:15" ht="54.75" customHeight="1">
      <c r="A1279" s="575"/>
      <c r="B1279" s="142" t="s">
        <v>1075</v>
      </c>
      <c r="C1279" s="585"/>
      <c r="D1279" s="585"/>
      <c r="E1279" s="585"/>
      <c r="F1279" s="256"/>
      <c r="G1279" s="256"/>
      <c r="H1279" s="256"/>
      <c r="I1279" s="256"/>
      <c r="J1279" s="571"/>
    </row>
    <row r="1280" spans="1:15" ht="24.95" customHeight="1">
      <c r="A1280" s="575"/>
      <c r="B1280" s="142" t="s">
        <v>1076</v>
      </c>
      <c r="C1280" s="585"/>
      <c r="D1280" s="585"/>
      <c r="E1280" s="585"/>
      <c r="F1280" s="256"/>
      <c r="G1280" s="256"/>
      <c r="H1280" s="256"/>
      <c r="I1280" s="256"/>
      <c r="J1280" s="571"/>
    </row>
    <row r="1281" spans="1:10" ht="24.95" customHeight="1">
      <c r="A1281" s="575"/>
      <c r="B1281" s="139" t="s">
        <v>692</v>
      </c>
      <c r="C1281" s="585">
        <v>1</v>
      </c>
      <c r="D1281" s="585" t="s">
        <v>56</v>
      </c>
      <c r="E1281" s="585">
        <v>5</v>
      </c>
      <c r="F1281" s="256">
        <v>1.22</v>
      </c>
      <c r="G1281" s="256"/>
      <c r="H1281" s="256">
        <v>1.49</v>
      </c>
      <c r="I1281" s="256">
        <f t="shared" ref="I1281:I1286" si="63">PRODUCT(C1281:H1281)</f>
        <v>9.0889999999999986</v>
      </c>
      <c r="J1281" s="571"/>
    </row>
    <row r="1282" spans="1:10" ht="24.95" customHeight="1">
      <c r="A1282" s="575"/>
      <c r="B1282" s="139" t="s">
        <v>675</v>
      </c>
      <c r="C1282" s="585">
        <v>1</v>
      </c>
      <c r="D1282" s="585" t="s">
        <v>56</v>
      </c>
      <c r="E1282" s="585">
        <v>4</v>
      </c>
      <c r="F1282" s="256">
        <v>1.36</v>
      </c>
      <c r="G1282" s="256"/>
      <c r="H1282" s="256">
        <v>1.42</v>
      </c>
      <c r="I1282" s="256">
        <f t="shared" si="63"/>
        <v>7.7248000000000001</v>
      </c>
      <c r="J1282" s="571"/>
    </row>
    <row r="1283" spans="1:10" ht="24.95" customHeight="1">
      <c r="A1283" s="575"/>
      <c r="B1283" s="139" t="s">
        <v>693</v>
      </c>
      <c r="C1283" s="585">
        <v>1</v>
      </c>
      <c r="D1283" s="585" t="s">
        <v>56</v>
      </c>
      <c r="E1283" s="585">
        <v>3</v>
      </c>
      <c r="F1283" s="256">
        <v>1.66</v>
      </c>
      <c r="G1283" s="256"/>
      <c r="H1283" s="256">
        <v>1.42</v>
      </c>
      <c r="I1283" s="256">
        <f t="shared" si="63"/>
        <v>7.0715999999999992</v>
      </c>
      <c r="J1283" s="571"/>
    </row>
    <row r="1284" spans="1:10" ht="24.95" customHeight="1">
      <c r="A1284" s="575"/>
      <c r="B1284" s="139" t="s">
        <v>677</v>
      </c>
      <c r="C1284" s="585">
        <v>1</v>
      </c>
      <c r="D1284" s="585" t="s">
        <v>56</v>
      </c>
      <c r="E1284" s="585">
        <v>2</v>
      </c>
      <c r="F1284" s="256">
        <v>1.36</v>
      </c>
      <c r="G1284" s="256"/>
      <c r="H1284" s="256">
        <v>1.27</v>
      </c>
      <c r="I1284" s="256">
        <f t="shared" si="63"/>
        <v>3.4544000000000001</v>
      </c>
      <c r="J1284" s="571"/>
    </row>
    <row r="1285" spans="1:10" ht="24.95" customHeight="1">
      <c r="A1285" s="575"/>
      <c r="B1285" s="139" t="s">
        <v>678</v>
      </c>
      <c r="C1285" s="585">
        <v>1</v>
      </c>
      <c r="D1285" s="585" t="s">
        <v>56</v>
      </c>
      <c r="E1285" s="585">
        <v>4</v>
      </c>
      <c r="F1285" s="256">
        <v>1.8</v>
      </c>
      <c r="G1285" s="256"/>
      <c r="H1285" s="256">
        <v>1.42</v>
      </c>
      <c r="I1285" s="256">
        <f t="shared" si="63"/>
        <v>10.224</v>
      </c>
      <c r="J1285" s="571"/>
    </row>
    <row r="1286" spans="1:10" ht="24.95" customHeight="1">
      <c r="A1286" s="575"/>
      <c r="B1286" s="139" t="s">
        <v>679</v>
      </c>
      <c r="C1286" s="585">
        <v>1</v>
      </c>
      <c r="D1286" s="585" t="s">
        <v>56</v>
      </c>
      <c r="E1286" s="585">
        <v>9</v>
      </c>
      <c r="F1286" s="256">
        <v>1.52</v>
      </c>
      <c r="G1286" s="256"/>
      <c r="H1286" s="256">
        <f>H1281</f>
        <v>1.49</v>
      </c>
      <c r="I1286" s="256">
        <f t="shared" si="63"/>
        <v>20.383199999999999</v>
      </c>
      <c r="J1286" s="571"/>
    </row>
    <row r="1287" spans="1:10" ht="24.95" customHeight="1">
      <c r="A1287" s="575"/>
      <c r="B1287" s="142" t="s">
        <v>1303</v>
      </c>
      <c r="C1287" s="585"/>
      <c r="D1287" s="585"/>
      <c r="E1287" s="585"/>
      <c r="F1287" s="256"/>
      <c r="G1287" s="256"/>
      <c r="H1287" s="256"/>
      <c r="I1287" s="256"/>
      <c r="J1287" s="571"/>
    </row>
    <row r="1288" spans="1:10" ht="24.95" customHeight="1">
      <c r="A1288" s="575"/>
      <c r="B1288" s="139" t="s">
        <v>692</v>
      </c>
      <c r="C1288" s="585">
        <v>1</v>
      </c>
      <c r="D1288" s="585" t="s">
        <v>56</v>
      </c>
      <c r="E1288" s="585">
        <v>5</v>
      </c>
      <c r="F1288" s="256">
        <v>1.22</v>
      </c>
      <c r="G1288" s="256"/>
      <c r="H1288" s="256">
        <v>1.05</v>
      </c>
      <c r="I1288" s="256">
        <f t="shared" ref="I1288:I1293" si="64">PRODUCT(C1288:H1288)</f>
        <v>6.4050000000000002</v>
      </c>
      <c r="J1288" s="571"/>
    </row>
    <row r="1289" spans="1:10" ht="24.95" customHeight="1">
      <c r="A1289" s="575"/>
      <c r="B1289" s="139" t="s">
        <v>675</v>
      </c>
      <c r="C1289" s="585">
        <v>1</v>
      </c>
      <c r="D1289" s="585" t="s">
        <v>56</v>
      </c>
      <c r="E1289" s="585">
        <v>4</v>
      </c>
      <c r="F1289" s="256">
        <v>1.36</v>
      </c>
      <c r="G1289" s="256"/>
      <c r="H1289" s="256">
        <v>1.05</v>
      </c>
      <c r="I1289" s="256">
        <f t="shared" si="64"/>
        <v>5.7120000000000006</v>
      </c>
      <c r="J1289" s="571"/>
    </row>
    <row r="1290" spans="1:10" ht="24.95" customHeight="1">
      <c r="A1290" s="575"/>
      <c r="B1290" s="139" t="s">
        <v>693</v>
      </c>
      <c r="C1290" s="585">
        <v>1</v>
      </c>
      <c r="D1290" s="585" t="s">
        <v>56</v>
      </c>
      <c r="E1290" s="585">
        <v>3</v>
      </c>
      <c r="F1290" s="256">
        <v>1.66</v>
      </c>
      <c r="G1290" s="256"/>
      <c r="H1290" s="256">
        <v>1.05</v>
      </c>
      <c r="I1290" s="256">
        <f t="shared" si="64"/>
        <v>5.2290000000000001</v>
      </c>
      <c r="J1290" s="571"/>
    </row>
    <row r="1291" spans="1:10" ht="24.95" customHeight="1">
      <c r="A1291" s="575"/>
      <c r="B1291" s="139" t="s">
        <v>677</v>
      </c>
      <c r="C1291" s="585">
        <v>1</v>
      </c>
      <c r="D1291" s="585" t="s">
        <v>56</v>
      </c>
      <c r="E1291" s="585">
        <v>2</v>
      </c>
      <c r="F1291" s="256">
        <v>1.36</v>
      </c>
      <c r="G1291" s="256"/>
      <c r="H1291" s="256">
        <v>1.05</v>
      </c>
      <c r="I1291" s="256">
        <f t="shared" si="64"/>
        <v>2.8560000000000003</v>
      </c>
      <c r="J1291" s="571"/>
    </row>
    <row r="1292" spans="1:10" ht="24.95" customHeight="1">
      <c r="A1292" s="575"/>
      <c r="B1292" s="139" t="s">
        <v>678</v>
      </c>
      <c r="C1292" s="585">
        <v>1</v>
      </c>
      <c r="D1292" s="585" t="s">
        <v>56</v>
      </c>
      <c r="E1292" s="585">
        <v>4</v>
      </c>
      <c r="F1292" s="256">
        <v>1.8</v>
      </c>
      <c r="G1292" s="256"/>
      <c r="H1292" s="256">
        <v>1.05</v>
      </c>
      <c r="I1292" s="256">
        <f t="shared" si="64"/>
        <v>7.5600000000000005</v>
      </c>
      <c r="J1292" s="571"/>
    </row>
    <row r="1293" spans="1:10" ht="24.95" customHeight="1">
      <c r="A1293" s="575"/>
      <c r="B1293" s="139" t="s">
        <v>679</v>
      </c>
      <c r="C1293" s="585">
        <v>1</v>
      </c>
      <c r="D1293" s="585" t="s">
        <v>56</v>
      </c>
      <c r="E1293" s="585">
        <v>9</v>
      </c>
      <c r="F1293" s="256">
        <v>1.52</v>
      </c>
      <c r="G1293" s="256"/>
      <c r="H1293" s="256">
        <v>1.05</v>
      </c>
      <c r="I1293" s="256">
        <f t="shared" si="64"/>
        <v>14.364000000000001</v>
      </c>
      <c r="J1293" s="571"/>
    </row>
    <row r="1294" spans="1:10" ht="34.9" customHeight="1">
      <c r="A1294" s="575"/>
      <c r="B1294" s="142" t="s">
        <v>1304</v>
      </c>
      <c r="C1294" s="585"/>
      <c r="D1294" s="585"/>
      <c r="E1294" s="585"/>
      <c r="F1294" s="256"/>
      <c r="G1294" s="256"/>
      <c r="H1294" s="256"/>
      <c r="I1294" s="256"/>
      <c r="J1294" s="571"/>
    </row>
    <row r="1295" spans="1:10" ht="24.95" customHeight="1">
      <c r="A1295" s="575"/>
      <c r="B1295" s="139" t="s">
        <v>692</v>
      </c>
      <c r="C1295" s="585">
        <v>1</v>
      </c>
      <c r="D1295" s="585" t="s">
        <v>56</v>
      </c>
      <c r="E1295" s="585">
        <v>5</v>
      </c>
      <c r="F1295" s="256">
        <v>1.22</v>
      </c>
      <c r="G1295" s="256"/>
      <c r="H1295" s="256">
        <v>0.97</v>
      </c>
      <c r="I1295" s="256">
        <f t="shared" ref="I1295:I1300" si="65">PRODUCT(C1295:H1295)</f>
        <v>5.9169999999999998</v>
      </c>
      <c r="J1295" s="571"/>
    </row>
    <row r="1296" spans="1:10" ht="24.95" customHeight="1">
      <c r="A1296" s="575"/>
      <c r="B1296" s="139" t="s">
        <v>675</v>
      </c>
      <c r="C1296" s="585">
        <v>1</v>
      </c>
      <c r="D1296" s="585" t="s">
        <v>56</v>
      </c>
      <c r="E1296" s="585">
        <v>4</v>
      </c>
      <c r="F1296" s="256">
        <v>1.36</v>
      </c>
      <c r="G1296" s="256"/>
      <c r="H1296" s="256">
        <v>0.97</v>
      </c>
      <c r="I1296" s="256">
        <f t="shared" si="65"/>
        <v>5.2768000000000006</v>
      </c>
      <c r="J1296" s="571"/>
    </row>
    <row r="1297" spans="1:10" ht="24.95" customHeight="1">
      <c r="A1297" s="575"/>
      <c r="B1297" s="139" t="s">
        <v>693</v>
      </c>
      <c r="C1297" s="585">
        <v>1</v>
      </c>
      <c r="D1297" s="585" t="s">
        <v>56</v>
      </c>
      <c r="E1297" s="585">
        <v>3</v>
      </c>
      <c r="F1297" s="256">
        <v>1.66</v>
      </c>
      <c r="G1297" s="256"/>
      <c r="H1297" s="256">
        <v>0.97</v>
      </c>
      <c r="I1297" s="256">
        <f t="shared" si="65"/>
        <v>4.8305999999999996</v>
      </c>
      <c r="J1297" s="571"/>
    </row>
    <row r="1298" spans="1:10" ht="24.95" customHeight="1">
      <c r="A1298" s="575"/>
      <c r="B1298" s="139" t="s">
        <v>677</v>
      </c>
      <c r="C1298" s="585">
        <v>1</v>
      </c>
      <c r="D1298" s="585" t="s">
        <v>56</v>
      </c>
      <c r="E1298" s="585">
        <v>2</v>
      </c>
      <c r="F1298" s="256">
        <v>1.36</v>
      </c>
      <c r="G1298" s="256"/>
      <c r="H1298" s="256">
        <v>0.97</v>
      </c>
      <c r="I1298" s="256">
        <f t="shared" si="65"/>
        <v>2.6384000000000003</v>
      </c>
      <c r="J1298" s="571"/>
    </row>
    <row r="1299" spans="1:10" ht="24.95" customHeight="1">
      <c r="A1299" s="575"/>
      <c r="B1299" s="139" t="s">
        <v>678</v>
      </c>
      <c r="C1299" s="585">
        <v>1</v>
      </c>
      <c r="D1299" s="585" t="s">
        <v>56</v>
      </c>
      <c r="E1299" s="585">
        <v>4</v>
      </c>
      <c r="F1299" s="256">
        <v>1.8</v>
      </c>
      <c r="G1299" s="256"/>
      <c r="H1299" s="256">
        <v>0.97</v>
      </c>
      <c r="I1299" s="256">
        <f t="shared" si="65"/>
        <v>6.984</v>
      </c>
      <c r="J1299" s="571"/>
    </row>
    <row r="1300" spans="1:10" ht="24.95" customHeight="1">
      <c r="A1300" s="575"/>
      <c r="B1300" s="139" t="s">
        <v>679</v>
      </c>
      <c r="C1300" s="585">
        <v>1</v>
      </c>
      <c r="D1300" s="585" t="s">
        <v>56</v>
      </c>
      <c r="E1300" s="585">
        <v>9</v>
      </c>
      <c r="F1300" s="256">
        <v>1.52</v>
      </c>
      <c r="G1300" s="256"/>
      <c r="H1300" s="256">
        <v>0.97</v>
      </c>
      <c r="I1300" s="256">
        <f t="shared" si="65"/>
        <v>13.269599999999999</v>
      </c>
      <c r="J1300" s="571"/>
    </row>
    <row r="1301" spans="1:10" ht="24.95" customHeight="1">
      <c r="A1301" s="575"/>
      <c r="B1301" s="139"/>
      <c r="C1301" s="585"/>
      <c r="D1301" s="585"/>
      <c r="E1301" s="585"/>
      <c r="F1301" s="256"/>
      <c r="G1301" s="256"/>
      <c r="H1301" s="256"/>
      <c r="I1301" s="256"/>
      <c r="J1301" s="571"/>
    </row>
    <row r="1302" spans="1:10" ht="24.95" customHeight="1">
      <c r="A1302" s="575"/>
      <c r="B1302" s="142" t="s">
        <v>1077</v>
      </c>
      <c r="C1302" s="585"/>
      <c r="D1302" s="585"/>
      <c r="E1302" s="585"/>
      <c r="F1302" s="256"/>
      <c r="G1302" s="256"/>
      <c r="H1302" s="256"/>
      <c r="I1302" s="256"/>
      <c r="J1302" s="571"/>
    </row>
    <row r="1303" spans="1:10" ht="34.5" customHeight="1">
      <c r="A1303" s="575"/>
      <c r="B1303" s="139" t="s">
        <v>692</v>
      </c>
      <c r="C1303" s="585">
        <v>1</v>
      </c>
      <c r="D1303" s="585" t="s">
        <v>56</v>
      </c>
      <c r="E1303" s="585">
        <v>5</v>
      </c>
      <c r="F1303" s="256">
        <v>1.22</v>
      </c>
      <c r="G1303" s="256"/>
      <c r="H1303" s="256">
        <v>3.15</v>
      </c>
      <c r="I1303" s="256">
        <f t="shared" ref="I1303:I1309" si="66">PRODUCT(C1303:H1303)</f>
        <v>19.215</v>
      </c>
      <c r="J1303" s="571"/>
    </row>
    <row r="1304" spans="1:10" ht="24.95" customHeight="1">
      <c r="A1304" s="575"/>
      <c r="B1304" s="139" t="s">
        <v>675</v>
      </c>
      <c r="C1304" s="585">
        <v>1</v>
      </c>
      <c r="D1304" s="585" t="s">
        <v>56</v>
      </c>
      <c r="E1304" s="585">
        <v>1</v>
      </c>
      <c r="F1304" s="256">
        <v>1.36</v>
      </c>
      <c r="G1304" s="256"/>
      <c r="H1304" s="256">
        <v>3</v>
      </c>
      <c r="I1304" s="256">
        <f t="shared" si="66"/>
        <v>4.08</v>
      </c>
      <c r="J1304" s="571"/>
    </row>
    <row r="1305" spans="1:10" ht="24.95" customHeight="1">
      <c r="A1305" s="575"/>
      <c r="B1305" s="139" t="s">
        <v>675</v>
      </c>
      <c r="C1305" s="585">
        <v>1</v>
      </c>
      <c r="D1305" s="585" t="s">
        <v>56</v>
      </c>
      <c r="E1305" s="585">
        <v>3</v>
      </c>
      <c r="F1305" s="256">
        <v>1.36</v>
      </c>
      <c r="G1305" s="256"/>
      <c r="H1305" s="256">
        <v>3.15</v>
      </c>
      <c r="I1305" s="256">
        <f t="shared" si="66"/>
        <v>12.852</v>
      </c>
      <c r="J1305" s="571"/>
    </row>
    <row r="1306" spans="1:10" ht="24.95" customHeight="1">
      <c r="A1306" s="575"/>
      <c r="B1306" s="139" t="s">
        <v>693</v>
      </c>
      <c r="C1306" s="585">
        <v>1</v>
      </c>
      <c r="D1306" s="585" t="s">
        <v>56</v>
      </c>
      <c r="E1306" s="585">
        <v>3</v>
      </c>
      <c r="F1306" s="256">
        <v>1.66</v>
      </c>
      <c r="G1306" s="256"/>
      <c r="H1306" s="256">
        <v>3</v>
      </c>
      <c r="I1306" s="256">
        <f t="shared" si="66"/>
        <v>14.939999999999998</v>
      </c>
      <c r="J1306" s="571"/>
    </row>
    <row r="1307" spans="1:10" ht="24.95" customHeight="1">
      <c r="A1307" s="575"/>
      <c r="B1307" s="139" t="s">
        <v>677</v>
      </c>
      <c r="C1307" s="585">
        <v>1</v>
      </c>
      <c r="D1307" s="585" t="s">
        <v>56</v>
      </c>
      <c r="E1307" s="585">
        <v>2</v>
      </c>
      <c r="F1307" s="256">
        <v>1.36</v>
      </c>
      <c r="G1307" s="256"/>
      <c r="H1307" s="256">
        <v>3</v>
      </c>
      <c r="I1307" s="256">
        <f t="shared" si="66"/>
        <v>8.16</v>
      </c>
      <c r="J1307" s="571"/>
    </row>
    <row r="1308" spans="1:10" ht="24.95" customHeight="1">
      <c r="A1308" s="575"/>
      <c r="B1308" s="139" t="s">
        <v>678</v>
      </c>
      <c r="C1308" s="585">
        <v>1</v>
      </c>
      <c r="D1308" s="585" t="s">
        <v>56</v>
      </c>
      <c r="E1308" s="585">
        <v>4</v>
      </c>
      <c r="F1308" s="256">
        <v>1.8</v>
      </c>
      <c r="G1308" s="256"/>
      <c r="H1308" s="256">
        <v>3.15</v>
      </c>
      <c r="I1308" s="256">
        <f t="shared" si="66"/>
        <v>22.68</v>
      </c>
      <c r="J1308" s="571"/>
    </row>
    <row r="1309" spans="1:10" ht="24.95" customHeight="1">
      <c r="A1309" s="575"/>
      <c r="B1309" s="139" t="s">
        <v>679</v>
      </c>
      <c r="C1309" s="585">
        <v>1</v>
      </c>
      <c r="D1309" s="585" t="s">
        <v>56</v>
      </c>
      <c r="E1309" s="585">
        <v>9</v>
      </c>
      <c r="F1309" s="256">
        <v>1.52</v>
      </c>
      <c r="G1309" s="256"/>
      <c r="H1309" s="256">
        <v>3.15</v>
      </c>
      <c r="I1309" s="256">
        <f t="shared" si="66"/>
        <v>43.091999999999999</v>
      </c>
      <c r="J1309" s="571"/>
    </row>
    <row r="1310" spans="1:10" ht="24.95" customHeight="1">
      <c r="A1310" s="575"/>
      <c r="B1310" s="142" t="s">
        <v>1078</v>
      </c>
      <c r="C1310" s="585"/>
      <c r="D1310" s="585"/>
      <c r="E1310" s="585"/>
      <c r="F1310" s="256"/>
      <c r="G1310" s="256"/>
      <c r="H1310" s="256"/>
      <c r="I1310" s="256"/>
      <c r="J1310" s="571"/>
    </row>
    <row r="1311" spans="1:10" ht="24.95" customHeight="1">
      <c r="A1311" s="575"/>
      <c r="B1311" s="139" t="s">
        <v>692</v>
      </c>
      <c r="C1311" s="585">
        <v>1</v>
      </c>
      <c r="D1311" s="585" t="s">
        <v>56</v>
      </c>
      <c r="E1311" s="585">
        <v>5</v>
      </c>
      <c r="F1311" s="256">
        <v>1.22</v>
      </c>
      <c r="G1311" s="256"/>
      <c r="H1311" s="256">
        <v>3.15</v>
      </c>
      <c r="I1311" s="256">
        <f t="shared" ref="I1311:I1324" si="67">PRODUCT(C1311:H1311)</f>
        <v>19.215</v>
      </c>
      <c r="J1311" s="571"/>
    </row>
    <row r="1312" spans="1:10" ht="24.95" customHeight="1">
      <c r="A1312" s="575"/>
      <c r="B1312" s="139" t="s">
        <v>675</v>
      </c>
      <c r="C1312" s="585">
        <v>1</v>
      </c>
      <c r="D1312" s="585" t="s">
        <v>56</v>
      </c>
      <c r="E1312" s="585">
        <v>1</v>
      </c>
      <c r="F1312" s="256">
        <v>1.36</v>
      </c>
      <c r="G1312" s="256"/>
      <c r="H1312" s="256">
        <v>3</v>
      </c>
      <c r="I1312" s="256">
        <f t="shared" si="67"/>
        <v>4.08</v>
      </c>
      <c r="J1312" s="571"/>
    </row>
    <row r="1313" spans="1:11" ht="24.95" customHeight="1">
      <c r="A1313" s="575"/>
      <c r="B1313" s="139" t="s">
        <v>675</v>
      </c>
      <c r="C1313" s="585">
        <v>1</v>
      </c>
      <c r="D1313" s="585" t="s">
        <v>56</v>
      </c>
      <c r="E1313" s="585">
        <v>3</v>
      </c>
      <c r="F1313" s="256">
        <v>1.36</v>
      </c>
      <c r="G1313" s="256"/>
      <c r="H1313" s="256">
        <v>3.15</v>
      </c>
      <c r="I1313" s="256">
        <f t="shared" si="67"/>
        <v>12.852</v>
      </c>
      <c r="J1313" s="571"/>
    </row>
    <row r="1314" spans="1:11" ht="24.95" customHeight="1">
      <c r="A1314" s="575"/>
      <c r="B1314" s="139" t="s">
        <v>693</v>
      </c>
      <c r="C1314" s="585">
        <v>1</v>
      </c>
      <c r="D1314" s="585" t="s">
        <v>56</v>
      </c>
      <c r="E1314" s="585">
        <v>1</v>
      </c>
      <c r="F1314" s="256">
        <v>1.66</v>
      </c>
      <c r="G1314" s="256"/>
      <c r="H1314" s="256">
        <v>3</v>
      </c>
      <c r="I1314" s="256">
        <f t="shared" si="67"/>
        <v>4.9799999999999995</v>
      </c>
      <c r="J1314" s="571"/>
    </row>
    <row r="1315" spans="1:11" ht="24.95" customHeight="1">
      <c r="A1315" s="575"/>
      <c r="B1315" s="139" t="s">
        <v>693</v>
      </c>
      <c r="C1315" s="585">
        <v>1</v>
      </c>
      <c r="D1315" s="585" t="s">
        <v>56</v>
      </c>
      <c r="E1315" s="585">
        <v>2</v>
      </c>
      <c r="F1315" s="256">
        <v>1.66</v>
      </c>
      <c r="G1315" s="256"/>
      <c r="H1315" s="256">
        <v>3.15</v>
      </c>
      <c r="I1315" s="256">
        <f t="shared" si="67"/>
        <v>10.457999999999998</v>
      </c>
      <c r="J1315" s="571"/>
    </row>
    <row r="1316" spans="1:11" ht="24.95" customHeight="1">
      <c r="A1316" s="575"/>
      <c r="B1316" s="139" t="s">
        <v>677</v>
      </c>
      <c r="C1316" s="585">
        <v>1</v>
      </c>
      <c r="D1316" s="585" t="s">
        <v>56</v>
      </c>
      <c r="E1316" s="585">
        <v>2</v>
      </c>
      <c r="F1316" s="256">
        <v>1.36</v>
      </c>
      <c r="G1316" s="256"/>
      <c r="H1316" s="256">
        <v>3.15</v>
      </c>
      <c r="I1316" s="256">
        <f t="shared" si="67"/>
        <v>8.5679999999999996</v>
      </c>
      <c r="J1316" s="571"/>
    </row>
    <row r="1317" spans="1:11" ht="24.95" customHeight="1">
      <c r="A1317" s="575"/>
      <c r="B1317" s="139" t="s">
        <v>678</v>
      </c>
      <c r="C1317" s="585">
        <v>1</v>
      </c>
      <c r="D1317" s="585" t="s">
        <v>56</v>
      </c>
      <c r="E1317" s="585">
        <v>4</v>
      </c>
      <c r="F1317" s="256">
        <v>1.8</v>
      </c>
      <c r="G1317" s="256"/>
      <c r="H1317" s="256">
        <v>3</v>
      </c>
      <c r="I1317" s="256">
        <f t="shared" si="67"/>
        <v>21.6</v>
      </c>
      <c r="J1317" s="571"/>
    </row>
    <row r="1318" spans="1:11" ht="24.95" customHeight="1">
      <c r="A1318" s="575"/>
      <c r="B1318" s="139" t="s">
        <v>679</v>
      </c>
      <c r="C1318" s="585">
        <v>1</v>
      </c>
      <c r="D1318" s="585" t="s">
        <v>56</v>
      </c>
      <c r="E1318" s="585">
        <v>9</v>
      </c>
      <c r="F1318" s="256">
        <v>1.52</v>
      </c>
      <c r="G1318" s="256"/>
      <c r="H1318" s="256">
        <v>3.15</v>
      </c>
      <c r="I1318" s="256">
        <f t="shared" si="67"/>
        <v>43.091999999999999</v>
      </c>
      <c r="J1318" s="571"/>
    </row>
    <row r="1319" spans="1:11" ht="24.95" customHeight="1">
      <c r="A1319" s="575"/>
      <c r="B1319" s="139" t="s">
        <v>734</v>
      </c>
      <c r="C1319" s="585">
        <v>1</v>
      </c>
      <c r="D1319" s="585" t="s">
        <v>56</v>
      </c>
      <c r="E1319" s="585">
        <v>4</v>
      </c>
      <c r="F1319" s="256">
        <v>1.22</v>
      </c>
      <c r="G1319" s="256"/>
      <c r="H1319" s="262">
        <v>1.2</v>
      </c>
      <c r="I1319" s="256">
        <f t="shared" si="67"/>
        <v>5.8559999999999999</v>
      </c>
      <c r="J1319" s="571"/>
    </row>
    <row r="1320" spans="1:11" ht="24.95" customHeight="1">
      <c r="A1320" s="575"/>
      <c r="B1320" s="139" t="s">
        <v>735</v>
      </c>
      <c r="C1320" s="585">
        <v>1</v>
      </c>
      <c r="D1320" s="585" t="s">
        <v>56</v>
      </c>
      <c r="E1320" s="585">
        <v>1</v>
      </c>
      <c r="F1320" s="256">
        <v>1.36</v>
      </c>
      <c r="G1320" s="256"/>
      <c r="H1320" s="262">
        <v>1.2</v>
      </c>
      <c r="I1320" s="256">
        <f t="shared" si="67"/>
        <v>1.6320000000000001</v>
      </c>
      <c r="J1320" s="571"/>
    </row>
    <row r="1321" spans="1:11" ht="24.95" customHeight="1">
      <c r="A1321" s="575"/>
      <c r="B1321" s="142" t="s">
        <v>736</v>
      </c>
      <c r="C1321" s="585">
        <v>1</v>
      </c>
      <c r="D1321" s="585" t="s">
        <v>56</v>
      </c>
      <c r="E1321" s="585">
        <v>1</v>
      </c>
      <c r="F1321" s="256">
        <v>1.66</v>
      </c>
      <c r="G1321" s="256"/>
      <c r="H1321" s="262">
        <v>1.2</v>
      </c>
      <c r="I1321" s="256">
        <f t="shared" si="67"/>
        <v>1.9919999999999998</v>
      </c>
      <c r="J1321" s="571"/>
    </row>
    <row r="1322" spans="1:11" ht="24.95" customHeight="1">
      <c r="A1322" s="575"/>
      <c r="B1322" s="139" t="s">
        <v>737</v>
      </c>
      <c r="C1322" s="585">
        <v>1</v>
      </c>
      <c r="D1322" s="585" t="s">
        <v>56</v>
      </c>
      <c r="E1322" s="585">
        <v>2</v>
      </c>
      <c r="F1322" s="256">
        <v>1.36</v>
      </c>
      <c r="G1322" s="256"/>
      <c r="H1322" s="262">
        <v>1.2</v>
      </c>
      <c r="I1322" s="256">
        <f t="shared" si="67"/>
        <v>3.2640000000000002</v>
      </c>
      <c r="J1322" s="571"/>
    </row>
    <row r="1323" spans="1:11" ht="24.95" customHeight="1">
      <c r="A1323" s="575"/>
      <c r="B1323" s="139" t="s">
        <v>738</v>
      </c>
      <c r="C1323" s="585">
        <v>1</v>
      </c>
      <c r="D1323" s="585" t="s">
        <v>56</v>
      </c>
      <c r="E1323" s="585">
        <v>2</v>
      </c>
      <c r="F1323" s="256">
        <v>1.8</v>
      </c>
      <c r="G1323" s="256"/>
      <c r="H1323" s="262">
        <v>1.2</v>
      </c>
      <c r="I1323" s="256">
        <f t="shared" si="67"/>
        <v>4.32</v>
      </c>
      <c r="J1323" s="571"/>
      <c r="K1323" s="570">
        <v>0.04</v>
      </c>
    </row>
    <row r="1324" spans="1:11" ht="24.95" customHeight="1">
      <c r="A1324" s="575"/>
      <c r="B1324" s="139" t="s">
        <v>739</v>
      </c>
      <c r="C1324" s="585">
        <v>1</v>
      </c>
      <c r="D1324" s="585" t="s">
        <v>56</v>
      </c>
      <c r="E1324" s="585">
        <v>1</v>
      </c>
      <c r="F1324" s="256">
        <v>1.52</v>
      </c>
      <c r="G1324" s="256"/>
      <c r="H1324" s="262">
        <v>1.2</v>
      </c>
      <c r="I1324" s="256">
        <f t="shared" si="67"/>
        <v>1.8239999999999998</v>
      </c>
      <c r="J1324" s="571"/>
    </row>
    <row r="1325" spans="1:11" ht="42.75" customHeight="1">
      <c r="A1325" s="575"/>
      <c r="B1325" s="139" t="s">
        <v>1079</v>
      </c>
      <c r="C1325" s="585"/>
      <c r="D1325" s="585"/>
      <c r="E1325" s="585"/>
      <c r="F1325" s="256"/>
      <c r="G1325" s="256"/>
      <c r="H1325" s="256"/>
      <c r="I1325" s="256"/>
      <c r="J1325" s="571"/>
    </row>
    <row r="1326" spans="1:11" ht="24.95" customHeight="1">
      <c r="A1326" s="575"/>
      <c r="B1326" s="139" t="s">
        <v>1080</v>
      </c>
      <c r="C1326" s="585">
        <v>1</v>
      </c>
      <c r="D1326" s="585" t="s">
        <v>56</v>
      </c>
      <c r="E1326" s="585">
        <v>1</v>
      </c>
      <c r="F1326" s="256">
        <v>1.36</v>
      </c>
      <c r="G1326" s="256"/>
      <c r="H1326" s="262">
        <v>3.3</v>
      </c>
      <c r="I1326" s="256">
        <f>PRODUCT(C1326:H1326)</f>
        <v>4.4880000000000004</v>
      </c>
      <c r="J1326" s="571"/>
    </row>
    <row r="1327" spans="1:11" ht="24.95" customHeight="1">
      <c r="A1327" s="575"/>
      <c r="B1327" s="139" t="s">
        <v>736</v>
      </c>
      <c r="C1327" s="585">
        <v>1</v>
      </c>
      <c r="D1327" s="585" t="s">
        <v>56</v>
      </c>
      <c r="E1327" s="585">
        <v>1</v>
      </c>
      <c r="F1327" s="256">
        <v>1.66</v>
      </c>
      <c r="G1327" s="256"/>
      <c r="H1327" s="262">
        <v>3.3</v>
      </c>
      <c r="I1327" s="256">
        <f>PRODUCT(C1327:H1327)</f>
        <v>5.4779999999999998</v>
      </c>
      <c r="J1327" s="571"/>
    </row>
    <row r="1328" spans="1:11" ht="24.95" customHeight="1">
      <c r="A1328" s="575"/>
      <c r="B1328" s="139" t="s">
        <v>738</v>
      </c>
      <c r="C1328" s="585">
        <v>1</v>
      </c>
      <c r="D1328" s="585" t="s">
        <v>56</v>
      </c>
      <c r="E1328" s="585">
        <v>2</v>
      </c>
      <c r="F1328" s="256">
        <v>1.8</v>
      </c>
      <c r="G1328" s="256"/>
      <c r="H1328" s="262">
        <v>3.3</v>
      </c>
      <c r="I1328" s="256">
        <f>PRODUCT(C1328:H1328)</f>
        <v>11.879999999999999</v>
      </c>
      <c r="J1328" s="571"/>
    </row>
    <row r="1329" spans="1:11" ht="24.95" customHeight="1">
      <c r="A1329" s="575"/>
      <c r="B1329" s="142" t="s">
        <v>1081</v>
      </c>
      <c r="C1329" s="585"/>
      <c r="D1329" s="585"/>
      <c r="E1329" s="585"/>
      <c r="F1329" s="256"/>
      <c r="G1329" s="256"/>
      <c r="H1329" s="262"/>
      <c r="I1329" s="256"/>
      <c r="J1329" s="571"/>
    </row>
    <row r="1330" spans="1:11" ht="24.95" customHeight="1">
      <c r="A1330" s="575"/>
      <c r="B1330" s="139" t="s">
        <v>1082</v>
      </c>
      <c r="C1330" s="585">
        <v>1</v>
      </c>
      <c r="D1330" s="585" t="s">
        <v>56</v>
      </c>
      <c r="E1330" s="585">
        <v>2</v>
      </c>
      <c r="F1330" s="256">
        <v>2.2599999999999998</v>
      </c>
      <c r="G1330" s="256"/>
      <c r="H1330" s="262">
        <v>0.6</v>
      </c>
      <c r="I1330" s="256">
        <f t="shared" ref="I1330:I1338" si="68">PRODUCT(C1330:H1330)</f>
        <v>2.7119999999999997</v>
      </c>
      <c r="J1330" s="571"/>
      <c r="K1330" s="570">
        <v>0.03</v>
      </c>
    </row>
    <row r="1331" spans="1:11" ht="24.95" customHeight="1">
      <c r="A1331" s="575"/>
      <c r="B1331" s="139" t="s">
        <v>122</v>
      </c>
      <c r="C1331" s="585">
        <v>1</v>
      </c>
      <c r="D1331" s="585" t="s">
        <v>56</v>
      </c>
      <c r="E1331" s="585">
        <v>13</v>
      </c>
      <c r="F1331" s="256">
        <v>1.96</v>
      </c>
      <c r="G1331" s="256"/>
      <c r="H1331" s="262">
        <v>0.6</v>
      </c>
      <c r="I1331" s="256">
        <f t="shared" si="68"/>
        <v>15.288</v>
      </c>
      <c r="J1331" s="571"/>
    </row>
    <row r="1332" spans="1:11" ht="44.25" customHeight="1">
      <c r="A1332" s="575"/>
      <c r="B1332" s="139" t="s">
        <v>894</v>
      </c>
      <c r="C1332" s="585">
        <v>1</v>
      </c>
      <c r="D1332" s="585" t="s">
        <v>56</v>
      </c>
      <c r="E1332" s="585">
        <v>1</v>
      </c>
      <c r="F1332" s="256">
        <v>1.81</v>
      </c>
      <c r="G1332" s="256"/>
      <c r="H1332" s="262">
        <v>0.6</v>
      </c>
      <c r="I1332" s="256">
        <f t="shared" si="68"/>
        <v>1.0860000000000001</v>
      </c>
      <c r="J1332" s="571"/>
    </row>
    <row r="1333" spans="1:11" ht="24.95" customHeight="1">
      <c r="A1333" s="575"/>
      <c r="B1333" s="139" t="s">
        <v>851</v>
      </c>
      <c r="C1333" s="585">
        <v>1</v>
      </c>
      <c r="D1333" s="585" t="s">
        <v>56</v>
      </c>
      <c r="E1333" s="585">
        <v>10</v>
      </c>
      <c r="F1333" s="256">
        <v>1.36</v>
      </c>
      <c r="G1333" s="256"/>
      <c r="H1333" s="262">
        <v>0.6</v>
      </c>
      <c r="I1333" s="256">
        <f t="shared" si="68"/>
        <v>8.16</v>
      </c>
      <c r="J1333" s="571"/>
    </row>
    <row r="1334" spans="1:11" ht="24.95" customHeight="1">
      <c r="A1334" s="575"/>
      <c r="B1334" s="139" t="s">
        <v>852</v>
      </c>
      <c r="C1334" s="585">
        <v>1</v>
      </c>
      <c r="D1334" s="585" t="s">
        <v>56</v>
      </c>
      <c r="E1334" s="585">
        <v>4</v>
      </c>
      <c r="F1334" s="256">
        <v>1.66</v>
      </c>
      <c r="G1334" s="256"/>
      <c r="H1334" s="262">
        <v>0.6</v>
      </c>
      <c r="I1334" s="256">
        <f t="shared" si="68"/>
        <v>3.9839999999999995</v>
      </c>
      <c r="J1334" s="571"/>
    </row>
    <row r="1335" spans="1:11" ht="24.95" customHeight="1">
      <c r="A1335" s="575"/>
      <c r="B1335" s="139" t="s">
        <v>895</v>
      </c>
      <c r="C1335" s="585">
        <v>1</v>
      </c>
      <c r="D1335" s="585" t="s">
        <v>56</v>
      </c>
      <c r="E1335" s="585">
        <v>2</v>
      </c>
      <c r="F1335" s="256">
        <v>1.66</v>
      </c>
      <c r="G1335" s="256"/>
      <c r="H1335" s="262">
        <v>0.6</v>
      </c>
      <c r="I1335" s="256">
        <f t="shared" si="68"/>
        <v>1.9919999999999998</v>
      </c>
      <c r="J1335" s="571"/>
    </row>
    <row r="1336" spans="1:11" ht="24.95" customHeight="1">
      <c r="A1336" s="575"/>
      <c r="B1336" s="139" t="s">
        <v>896</v>
      </c>
      <c r="C1336" s="585">
        <v>1</v>
      </c>
      <c r="D1336" s="585" t="s">
        <v>56</v>
      </c>
      <c r="E1336" s="585">
        <v>2</v>
      </c>
      <c r="F1336" s="256">
        <v>1.96</v>
      </c>
      <c r="G1336" s="256"/>
      <c r="H1336" s="262">
        <v>0.6</v>
      </c>
      <c r="I1336" s="256">
        <f t="shared" si="68"/>
        <v>2.3519999999999999</v>
      </c>
      <c r="J1336" s="571"/>
    </row>
    <row r="1337" spans="1:11" ht="24.95" customHeight="1">
      <c r="A1337" s="575"/>
      <c r="B1337" s="139" t="s">
        <v>897</v>
      </c>
      <c r="C1337" s="585">
        <v>1</v>
      </c>
      <c r="D1337" s="585" t="s">
        <v>56</v>
      </c>
      <c r="E1337" s="585">
        <v>4</v>
      </c>
      <c r="F1337" s="256">
        <v>1.51</v>
      </c>
      <c r="G1337" s="256"/>
      <c r="H1337" s="262">
        <v>0.6</v>
      </c>
      <c r="I1337" s="256">
        <f t="shared" si="68"/>
        <v>3.6239999999999997</v>
      </c>
      <c r="J1337" s="571"/>
    </row>
    <row r="1338" spans="1:11" ht="24.95" customHeight="1">
      <c r="A1338" s="575"/>
      <c r="B1338" s="139" t="s">
        <v>1083</v>
      </c>
      <c r="C1338" s="585">
        <v>38</v>
      </c>
      <c r="D1338" s="585" t="s">
        <v>56</v>
      </c>
      <c r="E1338" s="585">
        <v>2</v>
      </c>
      <c r="F1338" s="256">
        <v>0.6</v>
      </c>
      <c r="G1338" s="256"/>
      <c r="H1338" s="262">
        <v>6.3E-2</v>
      </c>
      <c r="I1338" s="256">
        <f t="shared" si="68"/>
        <v>2.8728000000000002</v>
      </c>
      <c r="J1338" s="571"/>
    </row>
    <row r="1339" spans="1:11" ht="24.95" customHeight="1">
      <c r="A1339" s="575"/>
      <c r="B1339" s="139"/>
      <c r="C1339" s="585"/>
      <c r="D1339" s="585"/>
      <c r="E1339" s="585"/>
      <c r="F1339" s="256"/>
      <c r="G1339" s="256"/>
      <c r="H1339" s="262"/>
      <c r="I1339" s="256">
        <v>0.01</v>
      </c>
      <c r="J1339" s="571"/>
    </row>
    <row r="1340" spans="1:11" ht="24.95" customHeight="1">
      <c r="A1340" s="575"/>
      <c r="B1340" s="139"/>
      <c r="C1340" s="585"/>
      <c r="D1340" s="585"/>
      <c r="E1340" s="585"/>
      <c r="F1340" s="256"/>
      <c r="G1340" s="256"/>
      <c r="H1340" s="256"/>
      <c r="I1340" s="256">
        <f>SUM(I1280:I1339)</f>
        <v>471.66820000000001</v>
      </c>
      <c r="J1340" s="571"/>
    </row>
    <row r="1341" spans="1:11" ht="32.25" customHeight="1">
      <c r="A1341" s="575"/>
      <c r="B1341" s="139"/>
      <c r="C1341" s="585"/>
      <c r="D1341" s="585"/>
      <c r="E1341" s="585"/>
      <c r="F1341" s="256"/>
      <c r="G1341" s="256"/>
      <c r="H1341" s="259" t="s">
        <v>15</v>
      </c>
      <c r="I1341" s="259">
        <f>ROUNDUP(I1340,1-0)</f>
        <v>471.70000000000005</v>
      </c>
      <c r="J1341" s="266" t="s">
        <v>37</v>
      </c>
    </row>
    <row r="1342" spans="1:11" ht="34.5" customHeight="1">
      <c r="A1342" s="575"/>
      <c r="B1342" s="220" t="s">
        <v>188</v>
      </c>
      <c r="C1342" s="223"/>
      <c r="D1342" s="217"/>
      <c r="E1342" s="223"/>
      <c r="F1342" s="218"/>
      <c r="G1342" s="218"/>
      <c r="H1342" s="224"/>
      <c r="I1342" s="224"/>
      <c r="J1342" s="584"/>
    </row>
    <row r="1343" spans="1:11" ht="34.5" customHeight="1">
      <c r="A1343" s="575"/>
      <c r="B1343" s="220" t="s">
        <v>1084</v>
      </c>
      <c r="C1343" s="223">
        <v>1</v>
      </c>
      <c r="D1343" s="217" t="s">
        <v>56</v>
      </c>
      <c r="E1343" s="223">
        <v>1</v>
      </c>
      <c r="F1343" s="218">
        <v>12</v>
      </c>
      <c r="G1343" s="218"/>
      <c r="H1343" s="218">
        <v>1</v>
      </c>
      <c r="I1343" s="218">
        <f t="shared" ref="I1343" si="69">PRODUCT(C1343:H1343)</f>
        <v>12</v>
      </c>
      <c r="J1343" s="584"/>
    </row>
    <row r="1344" spans="1:11" ht="34.5" customHeight="1">
      <c r="A1344" s="575"/>
      <c r="B1344" s="220"/>
      <c r="C1344" s="223"/>
      <c r="D1344" s="217"/>
      <c r="E1344" s="223"/>
      <c r="F1344" s="218"/>
      <c r="G1344" s="218"/>
      <c r="H1344" s="259" t="s">
        <v>15</v>
      </c>
      <c r="I1344" s="600">
        <f>ROUNDUP(I1343,1)</f>
        <v>12</v>
      </c>
      <c r="J1344" s="266" t="s">
        <v>37</v>
      </c>
    </row>
    <row r="1345" spans="1:10" ht="34.5" customHeight="1">
      <c r="A1345" s="575"/>
      <c r="B1345" s="142" t="s">
        <v>1085</v>
      </c>
      <c r="C1345" s="585"/>
      <c r="D1345" s="585"/>
      <c r="E1345" s="585"/>
      <c r="F1345" s="256"/>
      <c r="G1345" s="256"/>
      <c r="H1345" s="256"/>
      <c r="I1345" s="256"/>
      <c r="J1345" s="571"/>
    </row>
    <row r="1346" spans="1:10" ht="34.5" customHeight="1">
      <c r="A1346" s="575"/>
      <c r="B1346" s="139" t="s">
        <v>1086</v>
      </c>
      <c r="C1346" s="585">
        <v>1</v>
      </c>
      <c r="D1346" s="585"/>
      <c r="E1346" s="585">
        <v>1</v>
      </c>
      <c r="F1346" s="256">
        <v>11.2</v>
      </c>
      <c r="G1346" s="256">
        <v>19.399999999999999</v>
      </c>
      <c r="H1346" s="256"/>
      <c r="I1346" s="256">
        <f>PRODUCT(C1346:H1346)</f>
        <v>217.27999999999997</v>
      </c>
      <c r="J1346" s="571"/>
    </row>
    <row r="1347" spans="1:10" ht="32.25" customHeight="1">
      <c r="A1347" s="575"/>
      <c r="B1347" s="139" t="s">
        <v>1087</v>
      </c>
      <c r="C1347" s="585">
        <v>1</v>
      </c>
      <c r="D1347" s="585"/>
      <c r="E1347" s="585">
        <v>1</v>
      </c>
      <c r="F1347" s="256">
        <v>11.2</v>
      </c>
      <c r="G1347" s="256">
        <v>19.399999999999999</v>
      </c>
      <c r="H1347" s="256"/>
      <c r="I1347" s="256">
        <f>PRODUCT(C1347:H1347)</f>
        <v>217.27999999999997</v>
      </c>
      <c r="J1347" s="571"/>
    </row>
    <row r="1348" spans="1:10" ht="24.95" customHeight="1">
      <c r="A1348" s="575"/>
      <c r="B1348" s="139"/>
      <c r="C1348" s="585"/>
      <c r="D1348" s="585"/>
      <c r="E1348" s="585"/>
      <c r="F1348" s="256"/>
      <c r="G1348" s="256"/>
      <c r="H1348" s="256"/>
      <c r="I1348" s="256">
        <f>SUM(I1346:I1347)</f>
        <v>434.55999999999995</v>
      </c>
      <c r="J1348" s="571"/>
    </row>
    <row r="1349" spans="1:10" ht="24.95" customHeight="1">
      <c r="A1349" s="575"/>
      <c r="B1349" s="139"/>
      <c r="C1349" s="585"/>
      <c r="D1349" s="585"/>
      <c r="E1349" s="585"/>
      <c r="F1349" s="256"/>
      <c r="G1349" s="256"/>
      <c r="H1349" s="259" t="s">
        <v>15</v>
      </c>
      <c r="I1349" s="259">
        <f>SUM(I1348+K1323)</f>
        <v>434.59999999999997</v>
      </c>
      <c r="J1349" s="266" t="s">
        <v>37</v>
      </c>
    </row>
    <row r="1350" spans="1:10" ht="39" customHeight="1">
      <c r="A1350" s="575" t="s">
        <v>1088</v>
      </c>
      <c r="B1350" s="142" t="s">
        <v>1089</v>
      </c>
      <c r="C1350" s="585"/>
      <c r="D1350" s="585"/>
      <c r="E1350" s="585"/>
      <c r="F1350" s="256"/>
      <c r="G1350" s="256"/>
      <c r="H1350" s="256"/>
      <c r="I1350" s="256"/>
      <c r="J1350" s="571"/>
    </row>
    <row r="1351" spans="1:10" ht="24.95" customHeight="1">
      <c r="A1351" s="575"/>
      <c r="B1351" s="139" t="s">
        <v>1090</v>
      </c>
      <c r="C1351" s="585">
        <v>1</v>
      </c>
      <c r="D1351" s="585"/>
      <c r="E1351" s="585">
        <v>1</v>
      </c>
      <c r="F1351" s="256">
        <v>1.2</v>
      </c>
      <c r="G1351" s="256"/>
      <c r="H1351" s="256">
        <v>2.1</v>
      </c>
      <c r="I1351" s="256">
        <f>PRODUCT(C1351:H1351)</f>
        <v>2.52</v>
      </c>
      <c r="J1351" s="266"/>
    </row>
    <row r="1352" spans="1:10" ht="47.25" customHeight="1">
      <c r="A1352" s="575"/>
      <c r="B1352" s="139" t="s">
        <v>1091</v>
      </c>
      <c r="C1352" s="585">
        <v>1</v>
      </c>
      <c r="D1352" s="585"/>
      <c r="E1352" s="585">
        <v>1</v>
      </c>
      <c r="F1352" s="256">
        <v>1.2</v>
      </c>
      <c r="G1352" s="256"/>
      <c r="H1352" s="256">
        <v>2.1</v>
      </c>
      <c r="I1352" s="256">
        <f>PRODUCT(C1352:H1352)</f>
        <v>2.52</v>
      </c>
      <c r="J1352" s="266"/>
    </row>
    <row r="1353" spans="1:10" ht="47.25" customHeight="1">
      <c r="A1353" s="575"/>
      <c r="B1353" s="139" t="s">
        <v>804</v>
      </c>
      <c r="C1353" s="585">
        <v>1</v>
      </c>
      <c r="D1353" s="585"/>
      <c r="E1353" s="585">
        <v>1</v>
      </c>
      <c r="F1353" s="256">
        <v>1.2</v>
      </c>
      <c r="G1353" s="256"/>
      <c r="H1353" s="256">
        <v>2.1</v>
      </c>
      <c r="I1353" s="256">
        <f>PRODUCT(C1353:H1353)</f>
        <v>2.52</v>
      </c>
      <c r="J1353" s="266"/>
    </row>
    <row r="1354" spans="1:10" ht="24.95" customHeight="1">
      <c r="A1354" s="575"/>
      <c r="B1354" s="139" t="s">
        <v>805</v>
      </c>
      <c r="C1354" s="585">
        <v>3</v>
      </c>
      <c r="D1354" s="585"/>
      <c r="E1354" s="585">
        <v>1</v>
      </c>
      <c r="F1354" s="256">
        <v>1.2</v>
      </c>
      <c r="G1354" s="256"/>
      <c r="H1354" s="256">
        <v>2.1</v>
      </c>
      <c r="I1354" s="256">
        <f>PRODUCT(C1354:H1354)</f>
        <v>7.56</v>
      </c>
      <c r="J1354" s="266"/>
    </row>
    <row r="1355" spans="1:10" ht="24.95" customHeight="1">
      <c r="A1355" s="575"/>
      <c r="B1355" s="139"/>
      <c r="C1355" s="585"/>
      <c r="D1355" s="585"/>
      <c r="E1355" s="585"/>
      <c r="F1355" s="256"/>
      <c r="G1355" s="256"/>
      <c r="H1355" s="256"/>
      <c r="I1355" s="256">
        <f>SUM(I1351:I1354)</f>
        <v>15.120000000000001</v>
      </c>
      <c r="J1355" s="266"/>
    </row>
    <row r="1356" spans="1:10" ht="24.95" customHeight="1">
      <c r="A1356" s="575"/>
      <c r="B1356" s="139"/>
      <c r="C1356" s="585"/>
      <c r="D1356" s="585"/>
      <c r="E1356" s="585"/>
      <c r="F1356" s="256"/>
      <c r="G1356" s="256"/>
      <c r="H1356" s="259" t="s">
        <v>15</v>
      </c>
      <c r="I1356" s="259">
        <f>SUM(I1355+K1330)</f>
        <v>15.15</v>
      </c>
      <c r="J1356" s="266" t="s">
        <v>37</v>
      </c>
    </row>
    <row r="1357" spans="1:10" ht="24.95" customHeight="1">
      <c r="A1357" s="575">
        <v>99.1</v>
      </c>
      <c r="B1357" s="142" t="s">
        <v>1092</v>
      </c>
      <c r="C1357" s="585"/>
      <c r="D1357" s="585"/>
      <c r="E1357" s="585"/>
      <c r="F1357" s="256"/>
      <c r="G1357" s="256"/>
      <c r="H1357" s="259"/>
      <c r="I1357" s="259"/>
      <c r="J1357" s="266"/>
    </row>
    <row r="1358" spans="1:10" ht="24.95" customHeight="1">
      <c r="A1358" s="575"/>
      <c r="B1358" s="139" t="s">
        <v>1093</v>
      </c>
      <c r="C1358" s="585">
        <v>1</v>
      </c>
      <c r="D1358" s="585"/>
      <c r="E1358" s="585">
        <v>2</v>
      </c>
      <c r="F1358" s="256">
        <v>1.2</v>
      </c>
      <c r="G1358" s="256"/>
      <c r="H1358" s="256">
        <v>2.4</v>
      </c>
      <c r="I1358" s="256">
        <f>PRODUCT(C1358:H1358)</f>
        <v>5.76</v>
      </c>
      <c r="J1358" s="266"/>
    </row>
    <row r="1359" spans="1:10" ht="24.95" customHeight="1">
      <c r="A1359" s="575"/>
      <c r="B1359" s="139"/>
      <c r="C1359" s="585"/>
      <c r="D1359" s="585"/>
      <c r="E1359" s="585"/>
      <c r="F1359" s="256"/>
      <c r="G1359" s="256"/>
      <c r="H1359" s="259" t="s">
        <v>15</v>
      </c>
      <c r="I1359" s="259">
        <f>ROUNDUP(I1358,1-0)</f>
        <v>5.8</v>
      </c>
      <c r="J1359" s="266" t="s">
        <v>37</v>
      </c>
    </row>
    <row r="1360" spans="1:10" ht="24.95" customHeight="1">
      <c r="A1360" s="575"/>
      <c r="B1360" s="139"/>
      <c r="C1360" s="585"/>
      <c r="D1360" s="585"/>
      <c r="E1360" s="585"/>
      <c r="F1360" s="256"/>
      <c r="G1360" s="256"/>
      <c r="H1360" s="256"/>
      <c r="I1360" s="259"/>
      <c r="J1360" s="266"/>
    </row>
    <row r="1361" spans="1:241" ht="24.95" customHeight="1">
      <c r="A1361" s="575"/>
      <c r="B1361" s="139" t="s">
        <v>1094</v>
      </c>
      <c r="C1361" s="585">
        <v>1</v>
      </c>
      <c r="D1361" s="585"/>
      <c r="E1361" s="585">
        <v>2</v>
      </c>
      <c r="F1361" s="256">
        <v>1.8</v>
      </c>
      <c r="G1361" s="256"/>
      <c r="H1361" s="256">
        <v>2.4</v>
      </c>
      <c r="I1361" s="256">
        <f>PRODUCT(C1361:H1361)</f>
        <v>8.64</v>
      </c>
      <c r="J1361" s="266" t="s">
        <v>37</v>
      </c>
    </row>
    <row r="1362" spans="1:241" ht="24.95" customHeight="1">
      <c r="A1362" s="575"/>
      <c r="B1362" s="139"/>
      <c r="C1362" s="585"/>
      <c r="D1362" s="585"/>
      <c r="E1362" s="585"/>
      <c r="F1362" s="256"/>
      <c r="G1362" s="256"/>
      <c r="H1362" s="259" t="s">
        <v>15</v>
      </c>
      <c r="I1362" s="259">
        <f>ROUNDUP(I1361,1-0)</f>
        <v>8.6999999999999993</v>
      </c>
      <c r="J1362" s="266" t="s">
        <v>37</v>
      </c>
    </row>
    <row r="1363" spans="1:241" ht="61.5" customHeight="1">
      <c r="A1363" s="575" t="s">
        <v>1095</v>
      </c>
      <c r="B1363" s="142" t="s">
        <v>1096</v>
      </c>
      <c r="C1363" s="585">
        <v>1</v>
      </c>
      <c r="D1363" s="585"/>
      <c r="E1363" s="585">
        <v>13</v>
      </c>
      <c r="F1363" s="256">
        <v>0.75</v>
      </c>
      <c r="G1363" s="256"/>
      <c r="H1363" s="256">
        <v>2.1</v>
      </c>
      <c r="I1363" s="256">
        <f>PRODUCT(C1363:H1363)</f>
        <v>20.475000000000001</v>
      </c>
      <c r="J1363" s="571"/>
    </row>
    <row r="1364" spans="1:241" ht="24.95" customHeight="1">
      <c r="A1364" s="575"/>
      <c r="B1364" s="139"/>
      <c r="C1364" s="585"/>
      <c r="D1364" s="585"/>
      <c r="E1364" s="585"/>
      <c r="F1364" s="256"/>
      <c r="G1364" s="256"/>
      <c r="H1364" s="259" t="s">
        <v>15</v>
      </c>
      <c r="I1364" s="259">
        <f>ROUNDUP(I1363,1-0)</f>
        <v>20.5</v>
      </c>
      <c r="J1364" s="266" t="s">
        <v>37</v>
      </c>
    </row>
    <row r="1365" spans="1:241" ht="24.95" customHeight="1">
      <c r="A1365" s="575"/>
      <c r="B1365" s="139"/>
      <c r="C1365" s="585"/>
      <c r="D1365" s="585"/>
      <c r="E1365" s="585"/>
      <c r="F1365" s="256"/>
      <c r="G1365" s="256"/>
      <c r="H1365" s="259"/>
      <c r="I1365" s="259"/>
      <c r="J1365" s="266"/>
    </row>
    <row r="1366" spans="1:241" ht="53.25" customHeight="1">
      <c r="A1366" s="575">
        <v>22.9</v>
      </c>
      <c r="B1366" s="618" t="s">
        <v>1097</v>
      </c>
      <c r="C1366" s="585"/>
      <c r="D1366" s="585"/>
      <c r="E1366" s="585"/>
      <c r="F1366" s="256"/>
      <c r="G1366" s="256"/>
      <c r="H1366" s="256"/>
      <c r="I1366" s="256"/>
      <c r="J1366" s="571"/>
    </row>
    <row r="1367" spans="1:241" ht="24.95" customHeight="1">
      <c r="A1367" s="575"/>
      <c r="B1367" s="139" t="s">
        <v>1098</v>
      </c>
      <c r="C1367" s="585"/>
      <c r="D1367" s="585"/>
      <c r="E1367" s="585"/>
      <c r="F1367" s="256"/>
      <c r="G1367" s="256"/>
      <c r="H1367" s="256"/>
      <c r="I1367" s="256"/>
      <c r="J1367" s="266"/>
    </row>
    <row r="1368" spans="1:241" ht="24.95" customHeight="1">
      <c r="A1368" s="575"/>
      <c r="B1368" s="139" t="s">
        <v>301</v>
      </c>
      <c r="C1368" s="585">
        <v>1</v>
      </c>
      <c r="D1368" s="585"/>
      <c r="E1368" s="585">
        <v>8</v>
      </c>
      <c r="F1368" s="256">
        <v>1.2</v>
      </c>
      <c r="G1368" s="256"/>
      <c r="H1368" s="256">
        <v>2.4</v>
      </c>
      <c r="I1368" s="256">
        <f>PRODUCT(C1368:H1368)</f>
        <v>23.04</v>
      </c>
      <c r="J1368" s="266"/>
    </row>
    <row r="1369" spans="1:241" ht="24.95" customHeight="1">
      <c r="A1369" s="575"/>
      <c r="B1369" s="139"/>
      <c r="C1369" s="585"/>
      <c r="D1369" s="585"/>
      <c r="E1369" s="585"/>
      <c r="F1369" s="256"/>
      <c r="G1369" s="256"/>
      <c r="H1369" s="256"/>
      <c r="I1369" s="256">
        <v>0.01</v>
      </c>
      <c r="J1369" s="266"/>
      <c r="AB1369" s="570" t="e">
        <f>#REF!</f>
        <v>#REF!</v>
      </c>
      <c r="AC1369" s="570" t="e">
        <f>#REF!</f>
        <v>#REF!</v>
      </c>
      <c r="AD1369" s="570" t="e">
        <f>#REF!</f>
        <v>#REF!</v>
      </c>
      <c r="AE1369" s="570" t="e">
        <f>#REF!</f>
        <v>#REF!</v>
      </c>
      <c r="AF1369" s="570" t="e">
        <f>#REF!</f>
        <v>#REF!</v>
      </c>
      <c r="AG1369" s="570" t="e">
        <f>#REF!</f>
        <v>#REF!</v>
      </c>
      <c r="AH1369" s="570" t="e">
        <f>#REF!</f>
        <v>#REF!</v>
      </c>
      <c r="AI1369" s="570" t="e">
        <f>#REF!</f>
        <v>#REF!</v>
      </c>
      <c r="AJ1369" s="570" t="e">
        <f>#REF!</f>
        <v>#REF!</v>
      </c>
      <c r="AK1369" s="570" t="e">
        <f>#REF!</f>
        <v>#REF!</v>
      </c>
      <c r="AL1369" s="570" t="e">
        <f>#REF!</f>
        <v>#REF!</v>
      </c>
      <c r="AM1369" s="570" t="e">
        <f>#REF!</f>
        <v>#REF!</v>
      </c>
      <c r="AN1369" s="570" t="e">
        <f>#REF!</f>
        <v>#REF!</v>
      </c>
      <c r="AO1369" s="570" t="e">
        <f>#REF!</f>
        <v>#REF!</v>
      </c>
      <c r="AP1369" s="570" t="e">
        <f>#REF!</f>
        <v>#REF!</v>
      </c>
      <c r="AQ1369" s="570" t="e">
        <f>#REF!</f>
        <v>#REF!</v>
      </c>
      <c r="AR1369" s="570" t="e">
        <f>#REF!</f>
        <v>#REF!</v>
      </c>
      <c r="AS1369" s="570" t="e">
        <f>#REF!</f>
        <v>#REF!</v>
      </c>
      <c r="AT1369" s="570" t="e">
        <f>#REF!</f>
        <v>#REF!</v>
      </c>
      <c r="AU1369" s="570" t="e">
        <f>#REF!</f>
        <v>#REF!</v>
      </c>
      <c r="AV1369" s="570" t="e">
        <f>#REF!</f>
        <v>#REF!</v>
      </c>
      <c r="AW1369" s="570" t="e">
        <f>#REF!</f>
        <v>#REF!</v>
      </c>
      <c r="AX1369" s="570" t="e">
        <f>#REF!</f>
        <v>#REF!</v>
      </c>
      <c r="AY1369" s="570" t="e">
        <f>#REF!</f>
        <v>#REF!</v>
      </c>
      <c r="AZ1369" s="570" t="e">
        <f>#REF!</f>
        <v>#REF!</v>
      </c>
      <c r="BA1369" s="570" t="e">
        <f>#REF!</f>
        <v>#REF!</v>
      </c>
      <c r="BB1369" s="570" t="e">
        <f>#REF!</f>
        <v>#REF!</v>
      </c>
      <c r="BC1369" s="570" t="e">
        <f>#REF!</f>
        <v>#REF!</v>
      </c>
      <c r="BD1369" s="570" t="e">
        <f>#REF!</f>
        <v>#REF!</v>
      </c>
      <c r="BE1369" s="570" t="e">
        <f>#REF!</f>
        <v>#REF!</v>
      </c>
      <c r="BF1369" s="570" t="e">
        <f>#REF!</f>
        <v>#REF!</v>
      </c>
      <c r="BG1369" s="570" t="e">
        <f>#REF!</f>
        <v>#REF!</v>
      </c>
      <c r="BH1369" s="570" t="e">
        <f>#REF!</f>
        <v>#REF!</v>
      </c>
      <c r="BI1369" s="570" t="e">
        <f>#REF!</f>
        <v>#REF!</v>
      </c>
      <c r="BJ1369" s="570" t="e">
        <f>#REF!</f>
        <v>#REF!</v>
      </c>
      <c r="BK1369" s="570" t="e">
        <f>#REF!</f>
        <v>#REF!</v>
      </c>
      <c r="BL1369" s="570" t="e">
        <f>#REF!</f>
        <v>#REF!</v>
      </c>
      <c r="BM1369" s="570" t="e">
        <f>#REF!</f>
        <v>#REF!</v>
      </c>
      <c r="BN1369" s="570" t="e">
        <f>#REF!</f>
        <v>#REF!</v>
      </c>
      <c r="BO1369" s="570" t="e">
        <f>#REF!</f>
        <v>#REF!</v>
      </c>
      <c r="BP1369" s="570" t="e">
        <f>#REF!</f>
        <v>#REF!</v>
      </c>
      <c r="BQ1369" s="570" t="e">
        <f>#REF!</f>
        <v>#REF!</v>
      </c>
      <c r="BR1369" s="570" t="e">
        <f>#REF!</f>
        <v>#REF!</v>
      </c>
      <c r="BS1369" s="570" t="e">
        <f>#REF!</f>
        <v>#REF!</v>
      </c>
      <c r="BT1369" s="570" t="e">
        <f>#REF!</f>
        <v>#REF!</v>
      </c>
      <c r="BU1369" s="570" t="e">
        <f>#REF!</f>
        <v>#REF!</v>
      </c>
      <c r="BV1369" s="570" t="e">
        <f>#REF!</f>
        <v>#REF!</v>
      </c>
      <c r="BW1369" s="570" t="e">
        <f>#REF!</f>
        <v>#REF!</v>
      </c>
      <c r="BX1369" s="570" t="e">
        <f>#REF!</f>
        <v>#REF!</v>
      </c>
      <c r="BY1369" s="570" t="e">
        <f>#REF!</f>
        <v>#REF!</v>
      </c>
      <c r="BZ1369" s="570" t="e">
        <f>#REF!</f>
        <v>#REF!</v>
      </c>
      <c r="CA1369" s="570" t="e">
        <f>#REF!</f>
        <v>#REF!</v>
      </c>
      <c r="CB1369" s="570" t="e">
        <f>#REF!</f>
        <v>#REF!</v>
      </c>
      <c r="CC1369" s="570" t="e">
        <f>#REF!</f>
        <v>#REF!</v>
      </c>
      <c r="CD1369" s="570" t="e">
        <f>#REF!</f>
        <v>#REF!</v>
      </c>
      <c r="CE1369" s="570" t="e">
        <f>#REF!</f>
        <v>#REF!</v>
      </c>
      <c r="CF1369" s="570" t="e">
        <f>#REF!</f>
        <v>#REF!</v>
      </c>
      <c r="CG1369" s="570" t="e">
        <f>#REF!</f>
        <v>#REF!</v>
      </c>
      <c r="CH1369" s="570" t="e">
        <f>#REF!</f>
        <v>#REF!</v>
      </c>
      <c r="CI1369" s="570" t="e">
        <f>#REF!</f>
        <v>#REF!</v>
      </c>
      <c r="CJ1369" s="570" t="e">
        <f>#REF!</f>
        <v>#REF!</v>
      </c>
      <c r="CK1369" s="570" t="e">
        <f>#REF!</f>
        <v>#REF!</v>
      </c>
      <c r="CL1369" s="570" t="e">
        <f>#REF!</f>
        <v>#REF!</v>
      </c>
      <c r="CM1369" s="570" t="e">
        <f>#REF!</f>
        <v>#REF!</v>
      </c>
      <c r="CN1369" s="570" t="e">
        <f>#REF!</f>
        <v>#REF!</v>
      </c>
      <c r="CO1369" s="570" t="e">
        <f>#REF!</f>
        <v>#REF!</v>
      </c>
      <c r="CP1369" s="570" t="e">
        <f>#REF!</f>
        <v>#REF!</v>
      </c>
      <c r="CQ1369" s="570" t="e">
        <f>#REF!</f>
        <v>#REF!</v>
      </c>
      <c r="CR1369" s="570" t="e">
        <f>#REF!</f>
        <v>#REF!</v>
      </c>
      <c r="CS1369" s="570" t="e">
        <f>#REF!</f>
        <v>#REF!</v>
      </c>
      <c r="CT1369" s="570" t="e">
        <f>#REF!</f>
        <v>#REF!</v>
      </c>
      <c r="CU1369" s="570" t="e">
        <f>#REF!</f>
        <v>#REF!</v>
      </c>
      <c r="CV1369" s="570" t="e">
        <f>#REF!</f>
        <v>#REF!</v>
      </c>
      <c r="CW1369" s="570" t="e">
        <f>#REF!</f>
        <v>#REF!</v>
      </c>
      <c r="CX1369" s="570" t="e">
        <f>#REF!</f>
        <v>#REF!</v>
      </c>
      <c r="CY1369" s="570" t="e">
        <f>#REF!</f>
        <v>#REF!</v>
      </c>
      <c r="CZ1369" s="570" t="e">
        <f>#REF!</f>
        <v>#REF!</v>
      </c>
      <c r="DA1369" s="570" t="e">
        <f>#REF!</f>
        <v>#REF!</v>
      </c>
      <c r="DB1369" s="570" t="e">
        <f>#REF!</f>
        <v>#REF!</v>
      </c>
      <c r="DC1369" s="570" t="e">
        <f>#REF!</f>
        <v>#REF!</v>
      </c>
      <c r="DD1369" s="570" t="e">
        <f>#REF!</f>
        <v>#REF!</v>
      </c>
      <c r="DE1369" s="570" t="e">
        <f>#REF!</f>
        <v>#REF!</v>
      </c>
      <c r="DF1369" s="570" t="e">
        <f>#REF!</f>
        <v>#REF!</v>
      </c>
      <c r="DG1369" s="570" t="e">
        <f>#REF!</f>
        <v>#REF!</v>
      </c>
      <c r="DH1369" s="570" t="e">
        <f>#REF!</f>
        <v>#REF!</v>
      </c>
      <c r="DI1369" s="570" t="e">
        <f>#REF!</f>
        <v>#REF!</v>
      </c>
      <c r="DJ1369" s="570" t="e">
        <f>#REF!</f>
        <v>#REF!</v>
      </c>
      <c r="DK1369" s="570" t="e">
        <f>#REF!</f>
        <v>#REF!</v>
      </c>
      <c r="DL1369" s="570" t="e">
        <f>#REF!</f>
        <v>#REF!</v>
      </c>
      <c r="DM1369" s="570" t="e">
        <f>#REF!</f>
        <v>#REF!</v>
      </c>
      <c r="DN1369" s="570" t="e">
        <f>#REF!</f>
        <v>#REF!</v>
      </c>
      <c r="DO1369" s="570" t="e">
        <f>#REF!</f>
        <v>#REF!</v>
      </c>
      <c r="DP1369" s="570" t="e">
        <f>#REF!</f>
        <v>#REF!</v>
      </c>
      <c r="DQ1369" s="570" t="e">
        <f>#REF!</f>
        <v>#REF!</v>
      </c>
      <c r="DR1369" s="570" t="e">
        <f>#REF!</f>
        <v>#REF!</v>
      </c>
      <c r="DS1369" s="570" t="e">
        <f>#REF!</f>
        <v>#REF!</v>
      </c>
      <c r="DT1369" s="570" t="e">
        <f>#REF!</f>
        <v>#REF!</v>
      </c>
      <c r="DU1369" s="570" t="e">
        <f>#REF!</f>
        <v>#REF!</v>
      </c>
      <c r="DV1369" s="570" t="e">
        <f>#REF!</f>
        <v>#REF!</v>
      </c>
      <c r="DW1369" s="570" t="e">
        <f>#REF!</f>
        <v>#REF!</v>
      </c>
      <c r="DX1369" s="570" t="e">
        <f>#REF!</f>
        <v>#REF!</v>
      </c>
      <c r="DY1369" s="570" t="e">
        <f>#REF!</f>
        <v>#REF!</v>
      </c>
      <c r="DZ1369" s="570" t="e">
        <f>#REF!</f>
        <v>#REF!</v>
      </c>
      <c r="EA1369" s="570" t="e">
        <f>#REF!</f>
        <v>#REF!</v>
      </c>
      <c r="EB1369" s="570" t="e">
        <f>#REF!</f>
        <v>#REF!</v>
      </c>
      <c r="EC1369" s="570" t="e">
        <f>#REF!</f>
        <v>#REF!</v>
      </c>
      <c r="ED1369" s="570" t="e">
        <f>#REF!</f>
        <v>#REF!</v>
      </c>
      <c r="EE1369" s="570" t="e">
        <f>#REF!</f>
        <v>#REF!</v>
      </c>
      <c r="EF1369" s="570" t="e">
        <f>#REF!</f>
        <v>#REF!</v>
      </c>
      <c r="EG1369" s="570" t="e">
        <f>#REF!</f>
        <v>#REF!</v>
      </c>
      <c r="EH1369" s="570" t="e">
        <f>#REF!</f>
        <v>#REF!</v>
      </c>
      <c r="EI1369" s="570" t="e">
        <f>#REF!</f>
        <v>#REF!</v>
      </c>
      <c r="EJ1369" s="570" t="e">
        <f>#REF!</f>
        <v>#REF!</v>
      </c>
      <c r="EK1369" s="570" t="e">
        <f>#REF!</f>
        <v>#REF!</v>
      </c>
      <c r="EL1369" s="570" t="e">
        <f>#REF!</f>
        <v>#REF!</v>
      </c>
      <c r="EM1369" s="570" t="e">
        <f>#REF!</f>
        <v>#REF!</v>
      </c>
      <c r="EN1369" s="570" t="e">
        <f>#REF!</f>
        <v>#REF!</v>
      </c>
      <c r="EO1369" s="570" t="e">
        <f>#REF!</f>
        <v>#REF!</v>
      </c>
      <c r="EP1369" s="570" t="e">
        <f>#REF!</f>
        <v>#REF!</v>
      </c>
      <c r="EQ1369" s="570" t="e">
        <f>#REF!</f>
        <v>#REF!</v>
      </c>
      <c r="ER1369" s="570" t="e">
        <f>#REF!</f>
        <v>#REF!</v>
      </c>
      <c r="ES1369" s="570" t="e">
        <f>#REF!</f>
        <v>#REF!</v>
      </c>
      <c r="ET1369" s="570" t="e">
        <f>#REF!</f>
        <v>#REF!</v>
      </c>
      <c r="EU1369" s="570" t="e">
        <f>#REF!</f>
        <v>#REF!</v>
      </c>
      <c r="EV1369" s="570" t="e">
        <f>#REF!</f>
        <v>#REF!</v>
      </c>
      <c r="EW1369" s="570" t="e">
        <f>#REF!</f>
        <v>#REF!</v>
      </c>
      <c r="EX1369" s="570" t="e">
        <f>#REF!</f>
        <v>#REF!</v>
      </c>
      <c r="EY1369" s="570" t="e">
        <f>#REF!</f>
        <v>#REF!</v>
      </c>
      <c r="EZ1369" s="570" t="e">
        <f>#REF!</f>
        <v>#REF!</v>
      </c>
      <c r="FA1369" s="570" t="e">
        <f>#REF!</f>
        <v>#REF!</v>
      </c>
      <c r="FB1369" s="570" t="e">
        <f>#REF!</f>
        <v>#REF!</v>
      </c>
      <c r="FC1369" s="570" t="e">
        <f>#REF!</f>
        <v>#REF!</v>
      </c>
      <c r="FD1369" s="570" t="e">
        <f>#REF!</f>
        <v>#REF!</v>
      </c>
      <c r="FE1369" s="570" t="e">
        <f>#REF!</f>
        <v>#REF!</v>
      </c>
      <c r="FF1369" s="570" t="e">
        <f>#REF!</f>
        <v>#REF!</v>
      </c>
      <c r="FG1369" s="570" t="e">
        <f>#REF!</f>
        <v>#REF!</v>
      </c>
      <c r="FH1369" s="570" t="e">
        <f>#REF!</f>
        <v>#REF!</v>
      </c>
      <c r="FI1369" s="570" t="e">
        <f>#REF!</f>
        <v>#REF!</v>
      </c>
      <c r="FJ1369" s="570" t="e">
        <f>#REF!</f>
        <v>#REF!</v>
      </c>
      <c r="FK1369" s="570" t="e">
        <f>#REF!</f>
        <v>#REF!</v>
      </c>
      <c r="FL1369" s="570" t="e">
        <f>#REF!</f>
        <v>#REF!</v>
      </c>
      <c r="FM1369" s="570" t="e">
        <f>#REF!</f>
        <v>#REF!</v>
      </c>
      <c r="FN1369" s="570" t="e">
        <f>#REF!</f>
        <v>#REF!</v>
      </c>
      <c r="FO1369" s="570" t="e">
        <f>#REF!</f>
        <v>#REF!</v>
      </c>
      <c r="FP1369" s="570" t="e">
        <f>#REF!</f>
        <v>#REF!</v>
      </c>
      <c r="FQ1369" s="570" t="e">
        <f>#REF!</f>
        <v>#REF!</v>
      </c>
      <c r="FR1369" s="570" t="e">
        <f>#REF!</f>
        <v>#REF!</v>
      </c>
      <c r="FS1369" s="570" t="e">
        <f>#REF!</f>
        <v>#REF!</v>
      </c>
      <c r="FT1369" s="570" t="e">
        <f>#REF!</f>
        <v>#REF!</v>
      </c>
      <c r="FU1369" s="570" t="e">
        <f>#REF!</f>
        <v>#REF!</v>
      </c>
      <c r="FV1369" s="570" t="e">
        <f>#REF!</f>
        <v>#REF!</v>
      </c>
      <c r="FW1369" s="570" t="e">
        <f>#REF!</f>
        <v>#REF!</v>
      </c>
      <c r="FX1369" s="570" t="e">
        <f>#REF!</f>
        <v>#REF!</v>
      </c>
      <c r="FY1369" s="570" t="e">
        <f>#REF!</f>
        <v>#REF!</v>
      </c>
      <c r="FZ1369" s="570" t="e">
        <f>#REF!</f>
        <v>#REF!</v>
      </c>
      <c r="GA1369" s="570" t="e">
        <f>#REF!</f>
        <v>#REF!</v>
      </c>
      <c r="GB1369" s="570" t="e">
        <f>#REF!</f>
        <v>#REF!</v>
      </c>
      <c r="GC1369" s="570" t="e">
        <f>#REF!</f>
        <v>#REF!</v>
      </c>
      <c r="GD1369" s="570" t="e">
        <f>#REF!</f>
        <v>#REF!</v>
      </c>
      <c r="GE1369" s="570" t="e">
        <f>#REF!</f>
        <v>#REF!</v>
      </c>
      <c r="GF1369" s="570" t="e">
        <f>#REF!</f>
        <v>#REF!</v>
      </c>
      <c r="GG1369" s="570" t="e">
        <f>#REF!</f>
        <v>#REF!</v>
      </c>
      <c r="GH1369" s="570" t="e">
        <f>#REF!</f>
        <v>#REF!</v>
      </c>
      <c r="GI1369" s="570" t="e">
        <f>#REF!</f>
        <v>#REF!</v>
      </c>
      <c r="GJ1369" s="570" t="e">
        <f>#REF!</f>
        <v>#REF!</v>
      </c>
      <c r="GK1369" s="570" t="e">
        <f>#REF!</f>
        <v>#REF!</v>
      </c>
      <c r="GL1369" s="570" t="e">
        <f>#REF!</f>
        <v>#REF!</v>
      </c>
      <c r="GM1369" s="570" t="e">
        <f>#REF!</f>
        <v>#REF!</v>
      </c>
      <c r="GN1369" s="570" t="e">
        <f>#REF!</f>
        <v>#REF!</v>
      </c>
      <c r="GO1369" s="570" t="e">
        <f>#REF!</f>
        <v>#REF!</v>
      </c>
      <c r="GP1369" s="570" t="e">
        <f>#REF!</f>
        <v>#REF!</v>
      </c>
      <c r="GQ1369" s="570" t="e">
        <f>#REF!</f>
        <v>#REF!</v>
      </c>
      <c r="GR1369" s="570" t="e">
        <f>#REF!</f>
        <v>#REF!</v>
      </c>
      <c r="GS1369" s="570" t="e">
        <f>#REF!</f>
        <v>#REF!</v>
      </c>
      <c r="GT1369" s="570" t="e">
        <f>#REF!</f>
        <v>#REF!</v>
      </c>
      <c r="GU1369" s="570" t="e">
        <f>#REF!</f>
        <v>#REF!</v>
      </c>
      <c r="GV1369" s="570" t="e">
        <f>#REF!</f>
        <v>#REF!</v>
      </c>
      <c r="GW1369" s="570" t="e">
        <f>#REF!</f>
        <v>#REF!</v>
      </c>
      <c r="GX1369" s="570" t="e">
        <f>#REF!</f>
        <v>#REF!</v>
      </c>
      <c r="GY1369" s="570" t="e">
        <f>#REF!</f>
        <v>#REF!</v>
      </c>
      <c r="GZ1369" s="570" t="e">
        <f>#REF!</f>
        <v>#REF!</v>
      </c>
      <c r="HA1369" s="570" t="e">
        <f>#REF!</f>
        <v>#REF!</v>
      </c>
      <c r="HB1369" s="570" t="e">
        <f>#REF!</f>
        <v>#REF!</v>
      </c>
      <c r="HC1369" s="570" t="e">
        <f>#REF!</f>
        <v>#REF!</v>
      </c>
      <c r="HD1369" s="570" t="e">
        <f>#REF!</f>
        <v>#REF!</v>
      </c>
      <c r="HE1369" s="570" t="e">
        <f>#REF!</f>
        <v>#REF!</v>
      </c>
      <c r="HF1369" s="570" t="e">
        <f>#REF!</f>
        <v>#REF!</v>
      </c>
      <c r="HG1369" s="570" t="e">
        <f>#REF!</f>
        <v>#REF!</v>
      </c>
      <c r="HH1369" s="570" t="e">
        <f>#REF!</f>
        <v>#REF!</v>
      </c>
      <c r="HI1369" s="570" t="e">
        <f>#REF!</f>
        <v>#REF!</v>
      </c>
      <c r="HJ1369" s="570" t="e">
        <f>#REF!</f>
        <v>#REF!</v>
      </c>
      <c r="HK1369" s="570" t="e">
        <f>#REF!</f>
        <v>#REF!</v>
      </c>
      <c r="HL1369" s="570" t="e">
        <f>#REF!</f>
        <v>#REF!</v>
      </c>
      <c r="HM1369" s="570" t="e">
        <f>#REF!</f>
        <v>#REF!</v>
      </c>
      <c r="HN1369" s="570" t="e">
        <f>#REF!</f>
        <v>#REF!</v>
      </c>
      <c r="HO1369" s="570" t="e">
        <f>#REF!</f>
        <v>#REF!</v>
      </c>
      <c r="HP1369" s="570" t="e">
        <f>#REF!</f>
        <v>#REF!</v>
      </c>
      <c r="HQ1369" s="570" t="e">
        <f>#REF!</f>
        <v>#REF!</v>
      </c>
      <c r="HR1369" s="570" t="e">
        <f>#REF!</f>
        <v>#REF!</v>
      </c>
      <c r="HS1369" s="570" t="e">
        <f>#REF!</f>
        <v>#REF!</v>
      </c>
      <c r="HT1369" s="570" t="e">
        <f>#REF!</f>
        <v>#REF!</v>
      </c>
      <c r="HU1369" s="570" t="e">
        <f>#REF!</f>
        <v>#REF!</v>
      </c>
      <c r="HV1369" s="570" t="e">
        <f>#REF!</f>
        <v>#REF!</v>
      </c>
      <c r="HW1369" s="570" t="e">
        <f>#REF!</f>
        <v>#REF!</v>
      </c>
      <c r="HX1369" s="570" t="e">
        <f>#REF!</f>
        <v>#REF!</v>
      </c>
      <c r="HY1369" s="570" t="e">
        <f>#REF!</f>
        <v>#REF!</v>
      </c>
      <c r="HZ1369" s="570" t="e">
        <f>#REF!</f>
        <v>#REF!</v>
      </c>
      <c r="IA1369" s="570" t="e">
        <f>#REF!</f>
        <v>#REF!</v>
      </c>
      <c r="IB1369" s="570" t="e">
        <f>#REF!</f>
        <v>#REF!</v>
      </c>
      <c r="IC1369" s="570" t="e">
        <f>#REF!</f>
        <v>#REF!</v>
      </c>
      <c r="ID1369" s="570" t="e">
        <f>#REF!</f>
        <v>#REF!</v>
      </c>
      <c r="IE1369" s="570" t="e">
        <f>#REF!</f>
        <v>#REF!</v>
      </c>
      <c r="IF1369" s="570" t="e">
        <f>#REF!</f>
        <v>#REF!</v>
      </c>
      <c r="IG1369" s="570" t="e">
        <f>#REF!</f>
        <v>#REF!</v>
      </c>
    </row>
    <row r="1370" spans="1:241" ht="24.95" customHeight="1">
      <c r="A1370" s="575"/>
      <c r="B1370" s="139"/>
      <c r="C1370" s="585"/>
      <c r="D1370" s="585"/>
      <c r="E1370" s="585"/>
      <c r="F1370" s="256"/>
      <c r="G1370" s="256"/>
      <c r="H1370" s="256"/>
      <c r="I1370" s="259">
        <f>SUM(I1368:I1369)</f>
        <v>23.05</v>
      </c>
      <c r="J1370" s="266"/>
    </row>
    <row r="1371" spans="1:241" ht="24.95" customHeight="1">
      <c r="A1371" s="575"/>
      <c r="B1371" s="139"/>
      <c r="C1371" s="585"/>
      <c r="D1371" s="585"/>
      <c r="E1371" s="585"/>
      <c r="F1371" s="256"/>
      <c r="G1371" s="256"/>
      <c r="H1371" s="259" t="s">
        <v>15</v>
      </c>
      <c r="I1371" s="259">
        <f>ROUNDUP(I1370,1-0)</f>
        <v>23.1</v>
      </c>
      <c r="J1371" s="266" t="s">
        <v>37</v>
      </c>
      <c r="K1371" s="570">
        <v>0.03</v>
      </c>
    </row>
    <row r="1372" spans="1:241" ht="24.95" customHeight="1">
      <c r="A1372" s="575"/>
      <c r="B1372" s="139" t="s">
        <v>1099</v>
      </c>
      <c r="C1372" s="585">
        <v>1</v>
      </c>
      <c r="D1372" s="585"/>
      <c r="E1372" s="585">
        <v>7</v>
      </c>
      <c r="F1372" s="256">
        <v>0.9</v>
      </c>
      <c r="G1372" s="256"/>
      <c r="H1372" s="256">
        <v>2.4</v>
      </c>
      <c r="I1372" s="256">
        <f>PRODUCT(C1372:H1372)</f>
        <v>15.12</v>
      </c>
      <c r="J1372" s="266"/>
    </row>
    <row r="1373" spans="1:241" ht="32.450000000000003" customHeight="1">
      <c r="A1373" s="575"/>
      <c r="B1373" s="139"/>
      <c r="C1373" s="585"/>
      <c r="D1373" s="585"/>
      <c r="E1373" s="585"/>
      <c r="F1373" s="256"/>
      <c r="G1373" s="256"/>
      <c r="H1373" s="256"/>
      <c r="I1373" s="256">
        <v>0.03</v>
      </c>
      <c r="J1373" s="266"/>
    </row>
    <row r="1374" spans="1:241" ht="24.95" customHeight="1">
      <c r="A1374" s="575"/>
      <c r="B1374" s="139"/>
      <c r="C1374" s="585"/>
      <c r="D1374" s="585"/>
      <c r="E1374" s="585"/>
      <c r="F1374" s="256"/>
      <c r="G1374" s="256"/>
      <c r="H1374" s="256"/>
      <c r="I1374" s="259">
        <f>SUM(I1372:I1373)</f>
        <v>15.149999999999999</v>
      </c>
      <c r="J1374" s="266" t="s">
        <v>833</v>
      </c>
    </row>
    <row r="1375" spans="1:241" ht="24.95" customHeight="1">
      <c r="A1375" s="570"/>
      <c r="B1375" s="570"/>
      <c r="C1375" s="585"/>
      <c r="D1375" s="585"/>
      <c r="E1375" s="585"/>
      <c r="F1375" s="256"/>
      <c r="G1375" s="256"/>
      <c r="H1375" s="259" t="s">
        <v>15</v>
      </c>
      <c r="I1375" s="259">
        <f>ROUNDUP(I1374,1-0)</f>
        <v>15.2</v>
      </c>
      <c r="J1375" s="266" t="s">
        <v>37</v>
      </c>
    </row>
    <row r="1376" spans="1:241" ht="24.95" customHeight="1">
      <c r="A1376" s="575"/>
      <c r="B1376" s="139"/>
      <c r="C1376" s="585"/>
      <c r="D1376" s="585"/>
      <c r="E1376" s="585"/>
      <c r="F1376" s="256"/>
      <c r="G1376" s="256"/>
      <c r="H1376" s="256"/>
      <c r="I1376" s="256"/>
      <c r="J1376" s="571"/>
    </row>
    <row r="1377" spans="1:11" ht="47.25" customHeight="1">
      <c r="A1377" s="575" t="s">
        <v>1100</v>
      </c>
      <c r="B1377" s="142" t="s">
        <v>1101</v>
      </c>
      <c r="C1377" s="585"/>
      <c r="D1377" s="585"/>
      <c r="E1377" s="585"/>
      <c r="F1377" s="256"/>
      <c r="G1377" s="256"/>
      <c r="H1377" s="256"/>
      <c r="I1377" s="256"/>
      <c r="J1377" s="571"/>
    </row>
    <row r="1378" spans="1:11" ht="24.95" customHeight="1">
      <c r="A1378" s="575"/>
      <c r="B1378" s="142" t="s">
        <v>953</v>
      </c>
      <c r="C1378" s="585">
        <v>1</v>
      </c>
      <c r="D1378" s="585"/>
      <c r="E1378" s="585">
        <v>2</v>
      </c>
      <c r="F1378" s="256">
        <v>1.8</v>
      </c>
      <c r="G1378" s="256"/>
      <c r="H1378" s="256">
        <v>1.65</v>
      </c>
      <c r="I1378" s="256">
        <f t="shared" ref="I1378:I1388" si="70">PRODUCT(C1378:H1378)</f>
        <v>5.9399999999999995</v>
      </c>
      <c r="J1378" s="571"/>
    </row>
    <row r="1379" spans="1:11" ht="24.95" customHeight="1">
      <c r="A1379" s="575"/>
      <c r="B1379" s="142" t="s">
        <v>713</v>
      </c>
      <c r="C1379" s="585">
        <v>1</v>
      </c>
      <c r="D1379" s="585"/>
      <c r="E1379" s="585">
        <v>13</v>
      </c>
      <c r="F1379" s="256">
        <v>1.5</v>
      </c>
      <c r="G1379" s="256"/>
      <c r="H1379" s="256">
        <v>1.65</v>
      </c>
      <c r="I1379" s="256">
        <f t="shared" si="70"/>
        <v>32.174999999999997</v>
      </c>
      <c r="J1379" s="571"/>
    </row>
    <row r="1380" spans="1:11" ht="24.95" customHeight="1">
      <c r="A1380" s="575"/>
      <c r="B1380" s="142" t="s">
        <v>704</v>
      </c>
      <c r="C1380" s="585">
        <v>1</v>
      </c>
      <c r="D1380" s="585"/>
      <c r="E1380" s="585">
        <v>1</v>
      </c>
      <c r="F1380" s="256">
        <v>1.35</v>
      </c>
      <c r="G1380" s="256"/>
      <c r="H1380" s="256">
        <v>1.65</v>
      </c>
      <c r="I1380" s="256">
        <f t="shared" si="70"/>
        <v>2.2275</v>
      </c>
      <c r="J1380" s="571"/>
    </row>
    <row r="1381" spans="1:11" ht="24.95" customHeight="1">
      <c r="A1381" s="575"/>
      <c r="B1381" s="142" t="s">
        <v>705</v>
      </c>
      <c r="C1381" s="585">
        <v>1</v>
      </c>
      <c r="D1381" s="585"/>
      <c r="E1381" s="585">
        <v>10</v>
      </c>
      <c r="F1381" s="256">
        <v>0.9</v>
      </c>
      <c r="G1381" s="256"/>
      <c r="H1381" s="256">
        <v>1.65</v>
      </c>
      <c r="I1381" s="256">
        <f t="shared" si="70"/>
        <v>14.85</v>
      </c>
      <c r="J1381" s="571"/>
    </row>
    <row r="1382" spans="1:11" ht="24.95" customHeight="1">
      <c r="A1382" s="575"/>
      <c r="B1382" s="142" t="s">
        <v>731</v>
      </c>
      <c r="C1382" s="585">
        <v>1</v>
      </c>
      <c r="D1382" s="585"/>
      <c r="E1382" s="585">
        <v>4</v>
      </c>
      <c r="F1382" s="256">
        <v>1.2</v>
      </c>
      <c r="G1382" s="256"/>
      <c r="H1382" s="256">
        <v>1.65</v>
      </c>
      <c r="I1382" s="256">
        <f t="shared" si="70"/>
        <v>7.919999999999999</v>
      </c>
      <c r="J1382" s="571"/>
    </row>
    <row r="1383" spans="1:11" ht="24.95" customHeight="1">
      <c r="A1383" s="575"/>
      <c r="B1383" s="142" t="s">
        <v>707</v>
      </c>
      <c r="C1383" s="585">
        <v>1</v>
      </c>
      <c r="D1383" s="585"/>
      <c r="E1383" s="585">
        <v>2</v>
      </c>
      <c r="F1383" s="256">
        <v>1.2</v>
      </c>
      <c r="G1383" s="256"/>
      <c r="H1383" s="256">
        <v>1.65</v>
      </c>
      <c r="I1383" s="256">
        <f t="shared" si="70"/>
        <v>3.9599999999999995</v>
      </c>
      <c r="J1383" s="571"/>
    </row>
    <row r="1384" spans="1:11" ht="24.95" customHeight="1">
      <c r="A1384" s="575"/>
      <c r="B1384" s="142" t="s">
        <v>708</v>
      </c>
      <c r="C1384" s="585">
        <v>1</v>
      </c>
      <c r="D1384" s="585"/>
      <c r="E1384" s="585">
        <v>2</v>
      </c>
      <c r="F1384" s="256">
        <v>1.5</v>
      </c>
      <c r="G1384" s="256"/>
      <c r="H1384" s="256">
        <v>1.65</v>
      </c>
      <c r="I1384" s="256">
        <f t="shared" si="70"/>
        <v>4.9499999999999993</v>
      </c>
      <c r="J1384" s="571"/>
    </row>
    <row r="1385" spans="1:11" ht="24.95" customHeight="1">
      <c r="A1385" s="575"/>
      <c r="B1385" s="142" t="s">
        <v>709</v>
      </c>
      <c r="C1385" s="585">
        <v>1</v>
      </c>
      <c r="D1385" s="585"/>
      <c r="E1385" s="585">
        <v>4</v>
      </c>
      <c r="F1385" s="256">
        <v>1.05</v>
      </c>
      <c r="G1385" s="256"/>
      <c r="H1385" s="256">
        <v>1.65</v>
      </c>
      <c r="I1385" s="256">
        <f t="shared" si="70"/>
        <v>6.93</v>
      </c>
      <c r="J1385" s="571"/>
    </row>
    <row r="1386" spans="1:11" ht="24.95" customHeight="1">
      <c r="A1386" s="575"/>
      <c r="B1386" s="142" t="s">
        <v>755</v>
      </c>
      <c r="C1386" s="585">
        <v>1</v>
      </c>
      <c r="D1386" s="585"/>
      <c r="E1386" s="585">
        <v>2</v>
      </c>
      <c r="F1386" s="256">
        <v>0.75</v>
      </c>
      <c r="G1386" s="256"/>
      <c r="H1386" s="256">
        <v>2.4</v>
      </c>
      <c r="I1386" s="256">
        <f t="shared" si="70"/>
        <v>3.5999999999999996</v>
      </c>
      <c r="J1386" s="571"/>
    </row>
    <row r="1387" spans="1:11" ht="24.95" customHeight="1">
      <c r="A1387" s="575"/>
      <c r="B1387" s="139" t="s">
        <v>755</v>
      </c>
      <c r="C1387" s="585">
        <v>1</v>
      </c>
      <c r="D1387" s="585"/>
      <c r="E1387" s="585">
        <v>1</v>
      </c>
      <c r="F1387" s="256">
        <v>0.8</v>
      </c>
      <c r="G1387" s="256"/>
      <c r="H1387" s="256">
        <v>2.1</v>
      </c>
      <c r="I1387" s="256">
        <f t="shared" si="70"/>
        <v>1.6800000000000002</v>
      </c>
      <c r="J1387" s="266"/>
    </row>
    <row r="1388" spans="1:11" ht="24.95" customHeight="1">
      <c r="A1388" s="575"/>
      <c r="B1388" s="139" t="s">
        <v>706</v>
      </c>
      <c r="C1388" s="585">
        <v>1</v>
      </c>
      <c r="D1388" s="585"/>
      <c r="E1388" s="585">
        <v>1</v>
      </c>
      <c r="F1388" s="256">
        <v>0.75</v>
      </c>
      <c r="G1388" s="256"/>
      <c r="H1388" s="256">
        <v>2.1</v>
      </c>
      <c r="I1388" s="256">
        <f t="shared" si="70"/>
        <v>1.5750000000000002</v>
      </c>
      <c r="J1388" s="266"/>
      <c r="K1388" s="570">
        <v>7.0000000000000007E-2</v>
      </c>
    </row>
    <row r="1389" spans="1:11" ht="24.95" customHeight="1">
      <c r="A1389" s="575"/>
      <c r="B1389" s="139"/>
      <c r="C1389" s="585"/>
      <c r="D1389" s="585"/>
      <c r="E1389" s="585"/>
      <c r="F1389" s="256"/>
      <c r="G1389" s="256"/>
      <c r="H1389" s="256"/>
      <c r="I1389" s="256">
        <f>SUM(I1378:I1388)</f>
        <v>85.80749999999999</v>
      </c>
      <c r="J1389" s="266"/>
    </row>
    <row r="1390" spans="1:11" ht="24.95" customHeight="1">
      <c r="A1390" s="575"/>
      <c r="B1390" s="139"/>
      <c r="C1390" s="585"/>
      <c r="D1390" s="585"/>
      <c r="E1390" s="585"/>
      <c r="F1390" s="256"/>
      <c r="G1390" s="256"/>
      <c r="H1390" s="256" t="str">
        <f>H1364</f>
        <v>Say</v>
      </c>
      <c r="I1390" s="259">
        <f>ROUNDUP(I1389,1-0)</f>
        <v>85.899999999999991</v>
      </c>
      <c r="J1390" s="266" t="str">
        <f>J1364</f>
        <v>Sqm</v>
      </c>
    </row>
    <row r="1391" spans="1:11" ht="24.95" customHeight="1">
      <c r="A1391" s="575">
        <v>378.2</v>
      </c>
      <c r="B1391" s="142" t="s">
        <v>1102</v>
      </c>
      <c r="C1391" s="585"/>
      <c r="D1391" s="585"/>
      <c r="E1391" s="585"/>
      <c r="F1391" s="256"/>
      <c r="G1391" s="256"/>
      <c r="H1391" s="259"/>
      <c r="I1391" s="259"/>
      <c r="J1391" s="571"/>
    </row>
    <row r="1392" spans="1:11" ht="24.95" customHeight="1">
      <c r="A1392" s="575"/>
      <c r="B1392" s="139" t="s">
        <v>1325</v>
      </c>
      <c r="C1392" s="585"/>
      <c r="D1392" s="585"/>
      <c r="E1392" s="585"/>
      <c r="F1392" s="256"/>
      <c r="G1392" s="256"/>
      <c r="H1392" s="256"/>
      <c r="I1392" s="256"/>
      <c r="J1392" s="571"/>
    </row>
    <row r="1393" spans="1:11" ht="24.95" customHeight="1">
      <c r="A1393" s="575"/>
      <c r="B1393" s="139" t="s">
        <v>905</v>
      </c>
      <c r="C1393" s="585">
        <v>1</v>
      </c>
      <c r="D1393" s="585" t="s">
        <v>56</v>
      </c>
      <c r="E1393" s="585">
        <v>1</v>
      </c>
      <c r="F1393" s="256">
        <v>4.5</v>
      </c>
      <c r="G1393" s="256">
        <v>3.3</v>
      </c>
      <c r="H1393" s="256"/>
      <c r="I1393" s="256">
        <f t="shared" ref="I1393:I1400" si="71">G1393*F1393*E1393*C1393</f>
        <v>14.85</v>
      </c>
      <c r="J1393" s="571"/>
      <c r="K1393" s="570">
        <v>0.06</v>
      </c>
    </row>
    <row r="1394" spans="1:11" ht="24.95" customHeight="1">
      <c r="A1394" s="575"/>
      <c r="B1394" s="139" t="s">
        <v>906</v>
      </c>
      <c r="C1394" s="585">
        <v>1</v>
      </c>
      <c r="D1394" s="585" t="s">
        <v>56</v>
      </c>
      <c r="E1394" s="585">
        <v>1</v>
      </c>
      <c r="F1394" s="256">
        <v>3.3</v>
      </c>
      <c r="G1394" s="256">
        <v>3.3</v>
      </c>
      <c r="H1394" s="256"/>
      <c r="I1394" s="256">
        <f t="shared" si="71"/>
        <v>10.889999999999999</v>
      </c>
      <c r="J1394" s="571"/>
    </row>
    <row r="1395" spans="1:11" ht="24.95" customHeight="1">
      <c r="A1395" s="575"/>
      <c r="B1395" s="139" t="s">
        <v>907</v>
      </c>
      <c r="C1395" s="585">
        <v>1</v>
      </c>
      <c r="D1395" s="585" t="s">
        <v>56</v>
      </c>
      <c r="E1395" s="585">
        <v>1</v>
      </c>
      <c r="F1395" s="256">
        <v>3.6</v>
      </c>
      <c r="G1395" s="256">
        <v>2</v>
      </c>
      <c r="H1395" s="256"/>
      <c r="I1395" s="256">
        <f t="shared" si="71"/>
        <v>7.2</v>
      </c>
      <c r="J1395" s="571"/>
    </row>
    <row r="1396" spans="1:11" ht="24.95" customHeight="1">
      <c r="A1396" s="575"/>
      <c r="B1396" s="139" t="s">
        <v>908</v>
      </c>
      <c r="C1396" s="585">
        <v>1</v>
      </c>
      <c r="D1396" s="585" t="s">
        <v>56</v>
      </c>
      <c r="E1396" s="585">
        <v>1</v>
      </c>
      <c r="F1396" s="256">
        <v>6</v>
      </c>
      <c r="G1396" s="256">
        <v>6</v>
      </c>
      <c r="H1396" s="256"/>
      <c r="I1396" s="256">
        <f t="shared" si="71"/>
        <v>36</v>
      </c>
      <c r="J1396" s="571"/>
    </row>
    <row r="1397" spans="1:11" ht="24.95" customHeight="1">
      <c r="A1397" s="575"/>
      <c r="B1397" s="139" t="s">
        <v>1048</v>
      </c>
      <c r="C1397" s="585">
        <v>1</v>
      </c>
      <c r="D1397" s="585" t="s">
        <v>56</v>
      </c>
      <c r="E1397" s="585">
        <v>1</v>
      </c>
      <c r="F1397" s="256">
        <v>3.6</v>
      </c>
      <c r="G1397" s="256">
        <v>7.55</v>
      </c>
      <c r="H1397" s="256"/>
      <c r="I1397" s="256">
        <f t="shared" si="71"/>
        <v>27.18</v>
      </c>
      <c r="J1397" s="571"/>
    </row>
    <row r="1398" spans="1:11" ht="24.95" customHeight="1">
      <c r="A1398" s="575"/>
      <c r="B1398" s="139" t="s">
        <v>864</v>
      </c>
      <c r="C1398" s="585">
        <v>1</v>
      </c>
      <c r="D1398" s="585" t="s">
        <v>56</v>
      </c>
      <c r="E1398" s="585">
        <v>1</v>
      </c>
      <c r="F1398" s="256">
        <v>1.8</v>
      </c>
      <c r="G1398" s="256">
        <v>14.04</v>
      </c>
      <c r="H1398" s="256"/>
      <c r="I1398" s="256">
        <f t="shared" si="71"/>
        <v>25.271999999999998</v>
      </c>
      <c r="J1398" s="571"/>
    </row>
    <row r="1399" spans="1:11" ht="34.9" customHeight="1">
      <c r="A1399" s="575"/>
      <c r="B1399" s="139" t="s">
        <v>987</v>
      </c>
      <c r="C1399" s="585">
        <v>1</v>
      </c>
      <c r="D1399" s="585" t="s">
        <v>56</v>
      </c>
      <c r="E1399" s="585">
        <v>1</v>
      </c>
      <c r="F1399" s="256">
        <v>5.03</v>
      </c>
      <c r="G1399" s="256">
        <v>2</v>
      </c>
      <c r="H1399" s="256"/>
      <c r="I1399" s="256">
        <f t="shared" si="71"/>
        <v>10.06</v>
      </c>
      <c r="J1399" s="571"/>
    </row>
    <row r="1400" spans="1:11" ht="34.9" customHeight="1">
      <c r="A1400" s="575"/>
      <c r="B1400" s="139" t="s">
        <v>910</v>
      </c>
      <c r="C1400" s="585">
        <v>1</v>
      </c>
      <c r="D1400" s="585" t="s">
        <v>56</v>
      </c>
      <c r="E1400" s="585">
        <v>1</v>
      </c>
      <c r="F1400" s="256">
        <v>1.2</v>
      </c>
      <c r="G1400" s="256">
        <v>2</v>
      </c>
      <c r="H1400" s="256"/>
      <c r="I1400" s="256">
        <f t="shared" si="71"/>
        <v>2.4</v>
      </c>
      <c r="J1400" s="571"/>
    </row>
    <row r="1401" spans="1:11" ht="24.95" customHeight="1">
      <c r="A1401" s="575"/>
      <c r="B1401" s="139" t="s">
        <v>1103</v>
      </c>
      <c r="C1401" s="585">
        <v>1</v>
      </c>
      <c r="D1401" s="585" t="s">
        <v>56</v>
      </c>
      <c r="E1401" s="585">
        <v>7</v>
      </c>
      <c r="F1401" s="256">
        <v>1</v>
      </c>
      <c r="G1401" s="256">
        <v>0.23</v>
      </c>
      <c r="H1401" s="256"/>
      <c r="I1401" s="256">
        <f t="shared" ref="I1401:I1412" si="72">PRODUCT(C1401:H1401)</f>
        <v>1.61</v>
      </c>
      <c r="J1401" s="571"/>
    </row>
    <row r="1402" spans="1:11" ht="24.95" customHeight="1">
      <c r="A1402" s="575"/>
      <c r="B1402" s="139" t="s">
        <v>1104</v>
      </c>
      <c r="C1402" s="585">
        <v>1</v>
      </c>
      <c r="D1402" s="585" t="s">
        <v>56</v>
      </c>
      <c r="E1402" s="585">
        <v>1</v>
      </c>
      <c r="F1402" s="256">
        <v>150</v>
      </c>
      <c r="G1402" s="256"/>
      <c r="H1402" s="256">
        <v>0.1</v>
      </c>
      <c r="I1402" s="256">
        <f t="shared" si="72"/>
        <v>15</v>
      </c>
      <c r="J1402" s="571"/>
    </row>
    <row r="1403" spans="1:11" ht="24.95" customHeight="1">
      <c r="A1403" s="575"/>
      <c r="B1403" s="142" t="s">
        <v>1105</v>
      </c>
      <c r="C1403" s="585"/>
      <c r="D1403" s="585"/>
      <c r="E1403" s="585"/>
      <c r="F1403" s="256"/>
      <c r="G1403" s="256"/>
      <c r="H1403" s="256"/>
      <c r="I1403" s="256"/>
      <c r="J1403" s="571"/>
    </row>
    <row r="1404" spans="1:11" ht="24.95" customHeight="1">
      <c r="A1404" s="575"/>
      <c r="B1404" s="139" t="s">
        <v>875</v>
      </c>
      <c r="C1404" s="585">
        <v>1</v>
      </c>
      <c r="D1404" s="585" t="s">
        <v>56</v>
      </c>
      <c r="E1404" s="585">
        <v>1</v>
      </c>
      <c r="F1404" s="256">
        <v>3.6</v>
      </c>
      <c r="G1404" s="256">
        <v>6.17</v>
      </c>
      <c r="H1404" s="256"/>
      <c r="I1404" s="256">
        <f t="shared" si="72"/>
        <v>22.212</v>
      </c>
      <c r="J1404" s="571"/>
    </row>
    <row r="1405" spans="1:11" ht="24.95" customHeight="1">
      <c r="A1405" s="575"/>
      <c r="B1405" s="139" t="s">
        <v>920</v>
      </c>
      <c r="C1405" s="585">
        <v>1</v>
      </c>
      <c r="D1405" s="585" t="s">
        <v>56</v>
      </c>
      <c r="E1405" s="585">
        <v>1</v>
      </c>
      <c r="F1405" s="256">
        <v>3.35</v>
      </c>
      <c r="G1405" s="256">
        <v>1.2</v>
      </c>
      <c r="H1405" s="256"/>
      <c r="I1405" s="256">
        <f t="shared" si="72"/>
        <v>4.0199999999999996</v>
      </c>
      <c r="J1405" s="571"/>
    </row>
    <row r="1406" spans="1:11" ht="24.95" customHeight="1">
      <c r="A1406" s="575"/>
      <c r="B1406" s="139" t="s">
        <v>921</v>
      </c>
      <c r="C1406" s="585">
        <v>1</v>
      </c>
      <c r="D1406" s="585" t="s">
        <v>56</v>
      </c>
      <c r="E1406" s="585">
        <v>1</v>
      </c>
      <c r="F1406" s="256">
        <v>3.6</v>
      </c>
      <c r="G1406" s="256">
        <v>2.75</v>
      </c>
      <c r="H1406" s="256"/>
      <c r="I1406" s="256">
        <f t="shared" si="72"/>
        <v>9.9</v>
      </c>
      <c r="J1406" s="571"/>
    </row>
    <row r="1407" spans="1:11" ht="24.95" customHeight="1">
      <c r="A1407" s="575"/>
      <c r="B1407" s="139" t="s">
        <v>877</v>
      </c>
      <c r="C1407" s="585">
        <v>1</v>
      </c>
      <c r="D1407" s="585" t="s">
        <v>56</v>
      </c>
      <c r="E1407" s="585">
        <v>1</v>
      </c>
      <c r="F1407" s="256">
        <v>8.0299999999999994</v>
      </c>
      <c r="G1407" s="256">
        <v>3.3</v>
      </c>
      <c r="H1407" s="256"/>
      <c r="I1407" s="256">
        <f t="shared" si="72"/>
        <v>26.498999999999995</v>
      </c>
      <c r="J1407" s="571"/>
    </row>
    <row r="1408" spans="1:11" ht="24.95" customHeight="1">
      <c r="A1408" s="575"/>
      <c r="B1408" s="139"/>
      <c r="C1408" s="585">
        <v>1</v>
      </c>
      <c r="D1408" s="585" t="s">
        <v>56</v>
      </c>
      <c r="E1408" s="585">
        <v>1</v>
      </c>
      <c r="F1408" s="256">
        <v>1.8</v>
      </c>
      <c r="G1408" s="256">
        <v>1.1499999999999999</v>
      </c>
      <c r="H1408" s="256"/>
      <c r="I1408" s="256">
        <f t="shared" si="72"/>
        <v>2.0699999999999998</v>
      </c>
      <c r="J1408" s="571"/>
    </row>
    <row r="1409" spans="1:11" ht="24.95" customHeight="1">
      <c r="A1409" s="575"/>
      <c r="B1409" s="139" t="s">
        <v>922</v>
      </c>
      <c r="C1409" s="585">
        <v>1</v>
      </c>
      <c r="D1409" s="585" t="s">
        <v>56</v>
      </c>
      <c r="E1409" s="585">
        <v>1</v>
      </c>
      <c r="F1409" s="256">
        <v>12.77</v>
      </c>
      <c r="G1409" s="256">
        <v>1.8</v>
      </c>
      <c r="H1409" s="256"/>
      <c r="I1409" s="256">
        <f t="shared" si="72"/>
        <v>22.986000000000001</v>
      </c>
      <c r="J1409" s="571"/>
    </row>
    <row r="1410" spans="1:11" ht="24.95" customHeight="1">
      <c r="A1410" s="575"/>
      <c r="B1410" s="139" t="s">
        <v>879</v>
      </c>
      <c r="C1410" s="585">
        <v>1</v>
      </c>
      <c r="D1410" s="585" t="s">
        <v>56</v>
      </c>
      <c r="E1410" s="585">
        <v>1</v>
      </c>
      <c r="F1410" s="256">
        <v>6</v>
      </c>
      <c r="G1410" s="256">
        <v>6</v>
      </c>
      <c r="H1410" s="256"/>
      <c r="I1410" s="256">
        <f t="shared" si="72"/>
        <v>36</v>
      </c>
      <c r="J1410" s="571"/>
    </row>
    <row r="1411" spans="1:11" ht="24.95" customHeight="1">
      <c r="A1411" s="575"/>
      <c r="B1411" s="139" t="s">
        <v>923</v>
      </c>
      <c r="C1411" s="585">
        <v>1</v>
      </c>
      <c r="D1411" s="585" t="s">
        <v>56</v>
      </c>
      <c r="E1411" s="585">
        <v>1</v>
      </c>
      <c r="F1411" s="256">
        <v>6</v>
      </c>
      <c r="G1411" s="256">
        <v>10.36</v>
      </c>
      <c r="H1411" s="256"/>
      <c r="I1411" s="256">
        <f t="shared" si="72"/>
        <v>62.16</v>
      </c>
      <c r="J1411" s="571"/>
    </row>
    <row r="1412" spans="1:11" ht="24.95" customHeight="1">
      <c r="A1412" s="575"/>
      <c r="B1412" s="139" t="s">
        <v>1104</v>
      </c>
      <c r="C1412" s="585">
        <v>1</v>
      </c>
      <c r="D1412" s="585" t="s">
        <v>56</v>
      </c>
      <c r="E1412" s="585">
        <v>1</v>
      </c>
      <c r="F1412" s="256">
        <v>150</v>
      </c>
      <c r="G1412" s="256"/>
      <c r="H1412" s="256">
        <v>0.1</v>
      </c>
      <c r="I1412" s="256">
        <f t="shared" si="72"/>
        <v>15</v>
      </c>
      <c r="J1412" s="571"/>
    </row>
    <row r="1413" spans="1:11" ht="24.95" customHeight="1">
      <c r="A1413" s="575"/>
      <c r="B1413" s="139"/>
      <c r="C1413" s="585"/>
      <c r="D1413" s="585"/>
      <c r="E1413" s="585"/>
      <c r="F1413" s="256"/>
      <c r="G1413" s="256"/>
      <c r="H1413" s="259"/>
      <c r="I1413" s="259">
        <f>SUM(I1392:I1412)</f>
        <v>351.30899999999997</v>
      </c>
      <c r="J1413" s="266"/>
    </row>
    <row r="1414" spans="1:11" ht="24.95" customHeight="1">
      <c r="A1414" s="575"/>
      <c r="B1414" s="139"/>
      <c r="C1414" s="585"/>
      <c r="D1414" s="585"/>
      <c r="E1414" s="585"/>
      <c r="F1414" s="256"/>
      <c r="G1414" s="256"/>
      <c r="H1414" s="259" t="s">
        <v>15</v>
      </c>
      <c r="I1414" s="259">
        <f>ROUNDUP(I1413,1-0)</f>
        <v>351.40000000000003</v>
      </c>
      <c r="J1414" s="266" t="s">
        <v>37</v>
      </c>
      <c r="K1414" s="570">
        <v>0.01</v>
      </c>
    </row>
    <row r="1415" spans="1:11" ht="24.95" customHeight="1">
      <c r="A1415" s="575"/>
      <c r="B1415" s="139"/>
      <c r="C1415" s="585"/>
      <c r="D1415" s="585"/>
      <c r="E1415" s="585"/>
      <c r="F1415" s="256"/>
      <c r="G1415" s="256"/>
      <c r="H1415" s="259"/>
      <c r="I1415" s="259"/>
      <c r="J1415" s="266"/>
    </row>
    <row r="1416" spans="1:11" ht="43.15" customHeight="1">
      <c r="A1416" s="575" t="s">
        <v>1106</v>
      </c>
      <c r="B1416" s="142" t="s">
        <v>1107</v>
      </c>
      <c r="C1416" s="585"/>
      <c r="D1416" s="585"/>
      <c r="E1416" s="585"/>
      <c r="F1416" s="256"/>
      <c r="G1416" s="256"/>
      <c r="H1416" s="256"/>
      <c r="I1416" s="256"/>
      <c r="J1416" s="571"/>
    </row>
    <row r="1417" spans="1:11" ht="24.95" customHeight="1">
      <c r="A1417" s="575"/>
      <c r="B1417" s="142" t="s">
        <v>813</v>
      </c>
      <c r="C1417" s="585"/>
      <c r="D1417" s="585"/>
      <c r="E1417" s="585"/>
      <c r="F1417" s="256"/>
      <c r="G1417" s="256"/>
      <c r="H1417" s="256"/>
      <c r="I1417" s="256"/>
      <c r="J1417" s="571"/>
    </row>
    <row r="1418" spans="1:11" ht="24.95" customHeight="1">
      <c r="A1418" s="575"/>
      <c r="B1418" s="139" t="s">
        <v>868</v>
      </c>
      <c r="C1418" s="585">
        <v>1</v>
      </c>
      <c r="D1418" s="585" t="s">
        <v>56</v>
      </c>
      <c r="E1418" s="585">
        <v>1</v>
      </c>
      <c r="F1418" s="256">
        <v>10.51</v>
      </c>
      <c r="G1418" s="256"/>
      <c r="H1418" s="256">
        <v>1.5</v>
      </c>
      <c r="I1418" s="256">
        <f t="shared" ref="I1418:I1425" si="73">PRODUCT(C1418:H1418)</f>
        <v>15.765000000000001</v>
      </c>
      <c r="J1418" s="571"/>
    </row>
    <row r="1419" spans="1:11" ht="45.75" customHeight="1">
      <c r="A1419" s="575"/>
      <c r="B1419" s="139" t="s">
        <v>870</v>
      </c>
      <c r="C1419" s="585">
        <v>1</v>
      </c>
      <c r="D1419" s="585" t="s">
        <v>56</v>
      </c>
      <c r="E1419" s="585">
        <v>1</v>
      </c>
      <c r="F1419" s="256">
        <v>5.7</v>
      </c>
      <c r="G1419" s="256"/>
      <c r="H1419" s="256">
        <v>1.5</v>
      </c>
      <c r="I1419" s="256">
        <f t="shared" si="73"/>
        <v>8.5500000000000007</v>
      </c>
      <c r="J1419" s="571"/>
    </row>
    <row r="1420" spans="1:11" ht="24.95" customHeight="1">
      <c r="A1420" s="575"/>
      <c r="B1420" s="139" t="s">
        <v>871</v>
      </c>
      <c r="C1420" s="585">
        <v>1</v>
      </c>
      <c r="D1420" s="585" t="s">
        <v>56</v>
      </c>
      <c r="E1420" s="585">
        <v>1</v>
      </c>
      <c r="F1420" s="256">
        <v>6.16</v>
      </c>
      <c r="G1420" s="256"/>
      <c r="H1420" s="256">
        <v>1.5</v>
      </c>
      <c r="I1420" s="256">
        <f t="shared" si="73"/>
        <v>9.24</v>
      </c>
      <c r="J1420" s="571"/>
    </row>
    <row r="1421" spans="1:11" ht="24.95" customHeight="1">
      <c r="A1421" s="575"/>
      <c r="B1421" s="139" t="s">
        <v>872</v>
      </c>
      <c r="C1421" s="585">
        <v>1</v>
      </c>
      <c r="D1421" s="585" t="s">
        <v>56</v>
      </c>
      <c r="E1421" s="585">
        <v>1</v>
      </c>
      <c r="F1421" s="256">
        <v>9.82</v>
      </c>
      <c r="G1421" s="256"/>
      <c r="H1421" s="256">
        <v>1.5</v>
      </c>
      <c r="I1421" s="256">
        <f t="shared" si="73"/>
        <v>14.73</v>
      </c>
      <c r="J1421" s="571"/>
    </row>
    <row r="1422" spans="1:11" ht="54.75" customHeight="1">
      <c r="A1422" s="575"/>
      <c r="B1422" s="139" t="s">
        <v>873</v>
      </c>
      <c r="C1422" s="585">
        <v>1</v>
      </c>
      <c r="D1422" s="585" t="s">
        <v>56</v>
      </c>
      <c r="E1422" s="585">
        <v>2</v>
      </c>
      <c r="F1422" s="256">
        <v>6</v>
      </c>
      <c r="G1422" s="256"/>
      <c r="H1422" s="256">
        <v>1.5</v>
      </c>
      <c r="I1422" s="256">
        <f t="shared" si="73"/>
        <v>18</v>
      </c>
      <c r="J1422" s="571"/>
    </row>
    <row r="1423" spans="1:11" ht="28.5" customHeight="1">
      <c r="A1423" s="575"/>
      <c r="B1423" s="139" t="s">
        <v>874</v>
      </c>
      <c r="C1423" s="585">
        <v>1</v>
      </c>
      <c r="D1423" s="585" t="s">
        <v>56</v>
      </c>
      <c r="E1423" s="585">
        <v>2</v>
      </c>
      <c r="F1423" s="256">
        <v>5.7</v>
      </c>
      <c r="G1423" s="256"/>
      <c r="H1423" s="256">
        <v>1.5</v>
      </c>
      <c r="I1423" s="256">
        <f t="shared" si="73"/>
        <v>17.100000000000001</v>
      </c>
      <c r="J1423" s="571"/>
    </row>
    <row r="1424" spans="1:11" ht="28.5" customHeight="1">
      <c r="A1424" s="575"/>
      <c r="B1424" s="142" t="s">
        <v>817</v>
      </c>
      <c r="C1424" s="585"/>
      <c r="D1424" s="585"/>
      <c r="E1424" s="585"/>
      <c r="F1424" s="256"/>
      <c r="G1424" s="256"/>
      <c r="H1424" s="256"/>
      <c r="I1424" s="256">
        <f t="shared" si="73"/>
        <v>0</v>
      </c>
      <c r="J1424" s="571"/>
    </row>
    <row r="1425" spans="1:10" ht="61.5" customHeight="1">
      <c r="A1425" s="575"/>
      <c r="B1425" s="139" t="s">
        <v>868</v>
      </c>
      <c r="C1425" s="585">
        <v>1</v>
      </c>
      <c r="D1425" s="585" t="s">
        <v>56</v>
      </c>
      <c r="E1425" s="585">
        <v>1</v>
      </c>
      <c r="F1425" s="256">
        <v>5.56</v>
      </c>
      <c r="G1425" s="256"/>
      <c r="H1425" s="256">
        <v>1.5</v>
      </c>
      <c r="I1425" s="256">
        <f t="shared" si="73"/>
        <v>8.34</v>
      </c>
      <c r="J1425" s="571"/>
    </row>
    <row r="1426" spans="1:10" ht="28.5" customHeight="1">
      <c r="A1426" s="575"/>
      <c r="B1426" s="139" t="s">
        <v>881</v>
      </c>
      <c r="C1426" s="585">
        <v>1</v>
      </c>
      <c r="D1426" s="585" t="s">
        <v>56</v>
      </c>
      <c r="E1426" s="585">
        <v>1</v>
      </c>
      <c r="F1426" s="256">
        <v>6.16</v>
      </c>
      <c r="G1426" s="256"/>
      <c r="H1426" s="256">
        <v>1.5</v>
      </c>
      <c r="I1426" s="256">
        <f>H1426*F1426*E1426*C1426</f>
        <v>9.24</v>
      </c>
      <c r="J1426" s="571"/>
    </row>
    <row r="1427" spans="1:10" ht="28.5" customHeight="1">
      <c r="A1427" s="575"/>
      <c r="B1427" s="139" t="s">
        <v>882</v>
      </c>
      <c r="C1427" s="585">
        <v>1</v>
      </c>
      <c r="D1427" s="585" t="s">
        <v>56</v>
      </c>
      <c r="E1427" s="585">
        <v>1</v>
      </c>
      <c r="F1427" s="256">
        <v>12.98</v>
      </c>
      <c r="G1427" s="256"/>
      <c r="H1427" s="256">
        <v>1.5</v>
      </c>
      <c r="I1427" s="256">
        <f t="shared" ref="I1427:I1429" si="74">PRODUCT(C1427:H1427)</f>
        <v>19.47</v>
      </c>
      <c r="J1427" s="571"/>
    </row>
    <row r="1428" spans="1:10" ht="28.5" customHeight="1">
      <c r="A1428" s="575"/>
      <c r="B1428" s="139" t="s">
        <v>883</v>
      </c>
      <c r="C1428" s="585">
        <v>1</v>
      </c>
      <c r="D1428" s="585" t="s">
        <v>56</v>
      </c>
      <c r="E1428" s="585">
        <v>2</v>
      </c>
      <c r="F1428" s="256">
        <v>6</v>
      </c>
      <c r="G1428" s="256"/>
      <c r="H1428" s="256">
        <v>1.5</v>
      </c>
      <c r="I1428" s="256">
        <f t="shared" si="74"/>
        <v>18</v>
      </c>
      <c r="J1428" s="571"/>
    </row>
    <row r="1429" spans="1:10" ht="24.95" customHeight="1">
      <c r="A1429" s="575"/>
      <c r="B1429" s="139" t="s">
        <v>884</v>
      </c>
      <c r="C1429" s="585">
        <v>1</v>
      </c>
      <c r="D1429" s="585" t="s">
        <v>56</v>
      </c>
      <c r="E1429" s="585">
        <v>3</v>
      </c>
      <c r="F1429" s="256">
        <v>5.7</v>
      </c>
      <c r="G1429" s="256"/>
      <c r="H1429" s="256">
        <v>1.5</v>
      </c>
      <c r="I1429" s="256">
        <f t="shared" si="74"/>
        <v>25.650000000000002</v>
      </c>
      <c r="J1429" s="571"/>
    </row>
    <row r="1430" spans="1:10" ht="24.95" customHeight="1">
      <c r="A1430" s="575"/>
      <c r="B1430" s="139"/>
      <c r="C1430" s="585"/>
      <c r="D1430" s="585"/>
      <c r="E1430" s="585"/>
      <c r="F1430" s="256"/>
      <c r="G1430" s="256"/>
      <c r="H1430" s="256"/>
      <c r="I1430" s="256">
        <f>SUM(I1418:I1429)</f>
        <v>164.08500000000001</v>
      </c>
      <c r="J1430" s="571"/>
    </row>
    <row r="1431" spans="1:10" ht="24.95" customHeight="1">
      <c r="A1431" s="575"/>
      <c r="B1431" s="139"/>
      <c r="C1431" s="585"/>
      <c r="D1431" s="585"/>
      <c r="E1431" s="585"/>
      <c r="F1431" s="256"/>
      <c r="G1431" s="256"/>
      <c r="H1431" s="259" t="s">
        <v>15</v>
      </c>
      <c r="I1431" s="259">
        <f>ROUNDUP(I1430,1-0)</f>
        <v>164.1</v>
      </c>
      <c r="J1431" s="266" t="s">
        <v>37</v>
      </c>
    </row>
    <row r="1432" spans="1:10" ht="24.95" customHeight="1">
      <c r="A1432" s="617" t="s">
        <v>1108</v>
      </c>
      <c r="B1432" s="142" t="s">
        <v>1109</v>
      </c>
      <c r="C1432" s="585"/>
      <c r="D1432" s="585"/>
      <c r="E1432" s="585"/>
      <c r="F1432" s="256"/>
      <c r="G1432" s="256"/>
      <c r="H1432" s="256"/>
      <c r="I1432" s="256"/>
      <c r="J1432" s="266"/>
    </row>
    <row r="1433" spans="1:10" ht="24.95" customHeight="1">
      <c r="A1433" s="617"/>
      <c r="B1433" s="142" t="s">
        <v>813</v>
      </c>
      <c r="C1433" s="585"/>
      <c r="D1433" s="585"/>
      <c r="E1433" s="585"/>
      <c r="F1433" s="256"/>
      <c r="G1433" s="256"/>
      <c r="H1433" s="256"/>
      <c r="I1433" s="256"/>
      <c r="J1433" s="266"/>
    </row>
    <row r="1434" spans="1:10" ht="24.95" customHeight="1">
      <c r="A1434" s="575"/>
      <c r="B1434" s="139" t="s">
        <v>912</v>
      </c>
      <c r="C1434" s="585">
        <v>1</v>
      </c>
      <c r="D1434" s="585" t="s">
        <v>56</v>
      </c>
      <c r="E1434" s="585">
        <v>1</v>
      </c>
      <c r="F1434" s="262">
        <v>3.7149999999999999</v>
      </c>
      <c r="G1434" s="256">
        <v>5.94</v>
      </c>
      <c r="H1434" s="256"/>
      <c r="I1434" s="256">
        <f t="shared" ref="I1434:I1438" si="75">G1434*F1434*E1434*C1434</f>
        <v>22.0671</v>
      </c>
      <c r="J1434" s="571"/>
    </row>
    <row r="1435" spans="1:10" ht="24.95" customHeight="1">
      <c r="A1435" s="575"/>
      <c r="B1435" s="139" t="s">
        <v>657</v>
      </c>
      <c r="C1435" s="585">
        <v>1</v>
      </c>
      <c r="D1435" s="585" t="s">
        <v>56</v>
      </c>
      <c r="E1435" s="585">
        <v>1</v>
      </c>
      <c r="F1435" s="256">
        <v>1.65</v>
      </c>
      <c r="G1435" s="256">
        <v>2.66</v>
      </c>
      <c r="H1435" s="256"/>
      <c r="I1435" s="256">
        <f t="shared" si="75"/>
        <v>4.3890000000000002</v>
      </c>
      <c r="J1435" s="571"/>
    </row>
    <row r="1436" spans="1:10" ht="24.95" customHeight="1">
      <c r="A1436" s="575"/>
      <c r="B1436" s="139" t="s">
        <v>817</v>
      </c>
      <c r="C1436" s="585"/>
      <c r="D1436" s="585"/>
      <c r="E1436" s="585"/>
      <c r="F1436" s="256"/>
      <c r="G1436" s="256"/>
      <c r="H1436" s="256"/>
      <c r="I1436" s="256"/>
      <c r="J1436" s="571"/>
    </row>
    <row r="1437" spans="1:10" ht="24.95" customHeight="1">
      <c r="A1437" s="575"/>
      <c r="B1437" s="139" t="s">
        <v>912</v>
      </c>
      <c r="C1437" s="585">
        <v>1</v>
      </c>
      <c r="D1437" s="585" t="s">
        <v>56</v>
      </c>
      <c r="E1437" s="585">
        <v>1</v>
      </c>
      <c r="F1437" s="262">
        <v>3.7149999999999999</v>
      </c>
      <c r="G1437" s="256">
        <v>5.94</v>
      </c>
      <c r="H1437" s="256"/>
      <c r="I1437" s="256">
        <f t="shared" si="75"/>
        <v>22.0671</v>
      </c>
      <c r="J1437" s="571"/>
    </row>
    <row r="1438" spans="1:10" ht="32.25" customHeight="1">
      <c r="A1438" s="575"/>
      <c r="B1438" s="139" t="s">
        <v>657</v>
      </c>
      <c r="C1438" s="585">
        <v>1</v>
      </c>
      <c r="D1438" s="585" t="s">
        <v>56</v>
      </c>
      <c r="E1438" s="585">
        <v>1</v>
      </c>
      <c r="F1438" s="256">
        <v>1.65</v>
      </c>
      <c r="G1438" s="256">
        <v>2.66</v>
      </c>
      <c r="H1438" s="256"/>
      <c r="I1438" s="256">
        <f t="shared" si="75"/>
        <v>4.3890000000000002</v>
      </c>
      <c r="J1438" s="571"/>
    </row>
    <row r="1439" spans="1:10" ht="24.95" customHeight="1">
      <c r="A1439" s="575"/>
      <c r="B1439" s="139"/>
      <c r="C1439" s="585"/>
      <c r="D1439" s="585"/>
      <c r="E1439" s="585"/>
      <c r="F1439" s="256"/>
      <c r="G1439" s="256"/>
      <c r="H1439" s="256"/>
      <c r="I1439" s="256">
        <f>SUM(I1434:I1438)</f>
        <v>52.912200000000006</v>
      </c>
      <c r="J1439" s="571"/>
    </row>
    <row r="1440" spans="1:10" ht="24.95" customHeight="1">
      <c r="A1440" s="575"/>
      <c r="B1440" s="139"/>
      <c r="C1440" s="585"/>
      <c r="D1440" s="585"/>
      <c r="E1440" s="585"/>
      <c r="F1440" s="256"/>
      <c r="G1440" s="256"/>
      <c r="H1440" s="259" t="s">
        <v>15</v>
      </c>
      <c r="I1440" s="259">
        <f>ROUNDUP(I1439,1-0)</f>
        <v>53</v>
      </c>
      <c r="J1440" s="266" t="s">
        <v>37</v>
      </c>
    </row>
    <row r="1441" spans="1:10" ht="49.5" customHeight="1">
      <c r="A1441" s="575">
        <v>38.6</v>
      </c>
      <c r="B1441" s="142" t="s">
        <v>160</v>
      </c>
      <c r="C1441" s="585"/>
      <c r="D1441" s="585"/>
      <c r="E1441" s="585"/>
      <c r="F1441" s="256"/>
      <c r="G1441" s="256"/>
      <c r="H1441" s="256"/>
      <c r="I1441" s="256"/>
      <c r="J1441" s="571"/>
    </row>
    <row r="1442" spans="1:10" ht="24.95" customHeight="1">
      <c r="A1442" s="575"/>
      <c r="B1442" s="139" t="s">
        <v>1110</v>
      </c>
      <c r="C1442" s="585">
        <v>1</v>
      </c>
      <c r="D1442" s="585"/>
      <c r="E1442" s="585">
        <v>1</v>
      </c>
      <c r="F1442" s="256">
        <f>I756</f>
        <v>1879</v>
      </c>
      <c r="G1442" s="256"/>
      <c r="H1442" s="256"/>
      <c r="I1442" s="256">
        <f>PRODUCT(C1442:H1442)</f>
        <v>1879</v>
      </c>
      <c r="J1442" s="571"/>
    </row>
    <row r="1443" spans="1:10" ht="24.95" customHeight="1">
      <c r="A1443" s="575"/>
      <c r="B1443" s="139"/>
      <c r="C1443" s="585"/>
      <c r="D1443" s="585"/>
      <c r="E1443" s="585"/>
      <c r="F1443" s="256"/>
      <c r="G1443" s="256"/>
      <c r="H1443" s="256"/>
      <c r="I1443" s="256">
        <f>SUM(I1442)</f>
        <v>1879</v>
      </c>
      <c r="J1443" s="571"/>
    </row>
    <row r="1444" spans="1:10" ht="24.95" customHeight="1">
      <c r="A1444" s="575"/>
      <c r="B1444" s="139"/>
      <c r="C1444" s="585"/>
      <c r="D1444" s="585"/>
      <c r="E1444" s="585"/>
      <c r="F1444" s="256"/>
      <c r="G1444" s="256"/>
      <c r="H1444" s="259" t="s">
        <v>15</v>
      </c>
      <c r="I1444" s="259">
        <f>ROUNDUP(I1443,1-0)</f>
        <v>1879</v>
      </c>
      <c r="J1444" s="266" t="s">
        <v>37</v>
      </c>
    </row>
    <row r="1445" spans="1:10" ht="24.95" customHeight="1">
      <c r="A1445" s="575">
        <v>796</v>
      </c>
      <c r="B1445" s="139" t="s">
        <v>1111</v>
      </c>
      <c r="C1445" s="585"/>
      <c r="D1445" s="585"/>
      <c r="E1445" s="585"/>
      <c r="F1445" s="256"/>
      <c r="G1445" s="256"/>
      <c r="H1445" s="256"/>
      <c r="I1445" s="256"/>
      <c r="J1445" s="571"/>
    </row>
    <row r="1446" spans="1:10" ht="24.95" customHeight="1">
      <c r="A1446" s="575"/>
      <c r="B1446" s="139" t="s">
        <v>1112</v>
      </c>
      <c r="C1446" s="585"/>
      <c r="D1446" s="585"/>
      <c r="E1446" s="585"/>
      <c r="F1446" s="256"/>
      <c r="G1446" s="256"/>
      <c r="H1446" s="256"/>
      <c r="I1446" s="259">
        <f>I759</f>
        <v>1164.0999999999999</v>
      </c>
      <c r="J1446" s="266" t="s">
        <v>37</v>
      </c>
    </row>
    <row r="1447" spans="1:10" ht="42" customHeight="1">
      <c r="A1447" s="575">
        <v>43.1</v>
      </c>
      <c r="B1447" s="139" t="s">
        <v>1305</v>
      </c>
      <c r="C1447" s="585"/>
      <c r="D1447" s="585"/>
      <c r="E1447" s="585"/>
      <c r="F1447" s="256"/>
      <c r="G1447" s="256"/>
      <c r="H1447" s="256"/>
      <c r="I1447" s="259"/>
      <c r="J1447" s="266"/>
    </row>
    <row r="1448" spans="1:10" ht="24.95" customHeight="1">
      <c r="A1448" s="533"/>
      <c r="B1448" s="239" t="s">
        <v>1313</v>
      </c>
      <c r="C1448" s="242"/>
      <c r="D1448" s="585"/>
      <c r="E1448" s="585"/>
      <c r="F1448" s="256">
        <f>I170</f>
        <v>150.79999999999998</v>
      </c>
      <c r="G1448" s="256"/>
      <c r="H1448" s="256"/>
      <c r="I1448" s="256">
        <f t="shared" ref="I1448:I1458" si="76">PRODUCT(D1448:H1448)</f>
        <v>150.79999999999998</v>
      </c>
      <c r="J1448" s="266"/>
    </row>
    <row r="1449" spans="1:10" ht="24.95" customHeight="1">
      <c r="A1449" s="533"/>
      <c r="B1449" s="239" t="s">
        <v>1306</v>
      </c>
      <c r="C1449" s="242"/>
      <c r="D1449" s="585"/>
      <c r="E1449" s="585"/>
      <c r="F1449" s="256">
        <f>I251</f>
        <v>67.3</v>
      </c>
      <c r="G1449" s="256"/>
      <c r="H1449" s="256"/>
      <c r="I1449" s="256">
        <f t="shared" si="76"/>
        <v>67.3</v>
      </c>
      <c r="J1449" s="266"/>
    </row>
    <row r="1450" spans="1:10" ht="24.95" customHeight="1">
      <c r="A1450" s="533"/>
      <c r="B1450" s="239" t="s">
        <v>1307</v>
      </c>
      <c r="C1450" s="242"/>
      <c r="D1450" s="585"/>
      <c r="E1450" s="585"/>
      <c r="F1450" s="256">
        <f>I318</f>
        <v>113.69999999999999</v>
      </c>
      <c r="G1450" s="256"/>
      <c r="H1450" s="256"/>
      <c r="I1450" s="256">
        <f t="shared" si="76"/>
        <v>113.69999999999999</v>
      </c>
      <c r="J1450" s="266"/>
    </row>
    <row r="1451" spans="1:10" ht="24.95" customHeight="1">
      <c r="A1451" s="533"/>
      <c r="B1451" s="239" t="s">
        <v>1312</v>
      </c>
      <c r="C1451" s="242"/>
      <c r="D1451" s="585"/>
      <c r="E1451" s="585"/>
      <c r="F1451" s="256">
        <f>I332</f>
        <v>12.2</v>
      </c>
      <c r="G1451" s="256"/>
      <c r="H1451" s="256"/>
      <c r="I1451" s="256">
        <f t="shared" si="76"/>
        <v>12.2</v>
      </c>
      <c r="J1451" s="266"/>
    </row>
    <row r="1452" spans="1:10" ht="24.95" customHeight="1">
      <c r="A1452" s="533"/>
      <c r="B1452" s="239" t="s">
        <v>1308</v>
      </c>
      <c r="C1452" s="242"/>
      <c r="D1452" s="585"/>
      <c r="E1452" s="585"/>
      <c r="F1452" s="256">
        <f>I1096</f>
        <v>82.899999999999991</v>
      </c>
      <c r="G1452" s="256">
        <v>0.02</v>
      </c>
      <c r="H1452" s="256"/>
      <c r="I1452" s="256">
        <f t="shared" si="76"/>
        <v>1.6579999999999999</v>
      </c>
      <c r="J1452" s="266"/>
    </row>
    <row r="1453" spans="1:10" ht="24.95" customHeight="1">
      <c r="A1453" s="533"/>
      <c r="B1453" s="239" t="s">
        <v>1314</v>
      </c>
      <c r="C1453" s="242"/>
      <c r="D1453" s="585"/>
      <c r="E1453" s="585"/>
      <c r="F1453" s="256">
        <f>I1102</f>
        <v>36.200000000000003</v>
      </c>
      <c r="G1453" s="256">
        <v>0.02</v>
      </c>
      <c r="H1453" s="256"/>
      <c r="I1453" s="256">
        <f t="shared" si="76"/>
        <v>0.72400000000000009</v>
      </c>
      <c r="J1453" s="266"/>
    </row>
    <row r="1454" spans="1:10" ht="24.95" customHeight="1">
      <c r="A1454" s="533"/>
      <c r="B1454" s="239" t="s">
        <v>1309</v>
      </c>
      <c r="C1454" s="242"/>
      <c r="D1454" s="585"/>
      <c r="E1454" s="585"/>
      <c r="F1454" s="256">
        <f>I1106</f>
        <v>10.199999999999999</v>
      </c>
      <c r="G1454" s="256">
        <v>0.04</v>
      </c>
      <c r="H1454" s="256"/>
      <c r="I1454" s="256">
        <f t="shared" si="76"/>
        <v>0.40799999999999997</v>
      </c>
      <c r="J1454" s="266"/>
    </row>
    <row r="1455" spans="1:10" ht="24.95" customHeight="1">
      <c r="A1455" s="533"/>
      <c r="B1455" s="239" t="s">
        <v>1310</v>
      </c>
      <c r="C1455" s="242"/>
      <c r="D1455" s="585"/>
      <c r="E1455" s="585"/>
      <c r="F1455" s="256">
        <f>I1115</f>
        <v>82.899999999999991</v>
      </c>
      <c r="G1455" s="256">
        <v>0.04</v>
      </c>
      <c r="H1455" s="256"/>
      <c r="I1455" s="256">
        <f t="shared" si="76"/>
        <v>3.3159999999999998</v>
      </c>
      <c r="J1455" s="266"/>
    </row>
    <row r="1456" spans="1:10" ht="24.95" customHeight="1">
      <c r="A1456" s="533"/>
      <c r="B1456" s="239" t="s">
        <v>1315</v>
      </c>
      <c r="C1456" s="242"/>
      <c r="D1456" s="585"/>
      <c r="E1456" s="585"/>
      <c r="F1456" s="256">
        <f>I1121</f>
        <v>36.200000000000003</v>
      </c>
      <c r="G1456" s="256">
        <v>0.04</v>
      </c>
      <c r="H1456" s="256"/>
      <c r="I1456" s="256">
        <f t="shared" si="76"/>
        <v>1.4480000000000002</v>
      </c>
      <c r="J1456" s="266"/>
    </row>
    <row r="1457" spans="1:10" ht="24.95" customHeight="1">
      <c r="A1457" s="533"/>
      <c r="B1457" s="239" t="s">
        <v>1311</v>
      </c>
      <c r="C1457" s="242"/>
      <c r="D1457" s="585"/>
      <c r="E1457" s="585"/>
      <c r="F1457" s="256">
        <f>I548</f>
        <v>9.4</v>
      </c>
      <c r="G1457" s="256">
        <v>0.05</v>
      </c>
      <c r="H1457" s="256"/>
      <c r="I1457" s="256">
        <f t="shared" si="76"/>
        <v>0.47000000000000003</v>
      </c>
      <c r="J1457" s="266"/>
    </row>
    <row r="1458" spans="1:10" ht="24.95" customHeight="1">
      <c r="A1458" s="533"/>
      <c r="B1458" s="239" t="s">
        <v>1316</v>
      </c>
      <c r="C1458" s="242"/>
      <c r="D1458" s="585"/>
      <c r="E1458" s="585"/>
      <c r="F1458" s="256">
        <f>I554</f>
        <v>9</v>
      </c>
      <c r="G1458" s="256">
        <v>0.05</v>
      </c>
      <c r="H1458" s="256"/>
      <c r="I1458" s="256">
        <f t="shared" si="76"/>
        <v>0.45</v>
      </c>
      <c r="J1458" s="266"/>
    </row>
    <row r="1459" spans="1:10" ht="24.95" customHeight="1">
      <c r="A1459" s="533"/>
      <c r="B1459" s="239"/>
      <c r="C1459" s="242"/>
      <c r="D1459" s="585"/>
      <c r="E1459" s="585"/>
      <c r="F1459" s="256"/>
      <c r="G1459" s="256"/>
      <c r="H1459" s="256"/>
      <c r="I1459" s="256">
        <f>SUM(I1448:I1458)</f>
        <v>352.47399999999993</v>
      </c>
      <c r="J1459" s="266"/>
    </row>
    <row r="1460" spans="1:10" ht="24.95" customHeight="1">
      <c r="A1460" s="533"/>
      <c r="B1460" s="239"/>
      <c r="C1460" s="242"/>
      <c r="D1460" s="585"/>
      <c r="E1460" s="585"/>
      <c r="F1460" s="256">
        <f>I1459</f>
        <v>352.47399999999993</v>
      </c>
      <c r="G1460" s="256">
        <v>120</v>
      </c>
      <c r="H1460" s="256" t="s">
        <v>577</v>
      </c>
      <c r="I1460" s="256">
        <f>F1460*120</f>
        <v>42296.87999999999</v>
      </c>
      <c r="J1460" s="266" t="s">
        <v>165</v>
      </c>
    </row>
    <row r="1461" spans="1:10" ht="24.95" customHeight="1">
      <c r="A1461" s="533"/>
      <c r="B1461" s="239"/>
      <c r="C1461" s="242"/>
      <c r="D1461" s="585"/>
      <c r="E1461" s="585"/>
      <c r="F1461" s="256"/>
      <c r="G1461" s="256"/>
      <c r="H1461" s="259" t="s">
        <v>15</v>
      </c>
      <c r="I1461" s="581">
        <f>I1460/1000</f>
        <v>42.296879999999987</v>
      </c>
      <c r="J1461" s="266" t="s">
        <v>58</v>
      </c>
    </row>
    <row r="1462" spans="1:10" ht="24.95" customHeight="1">
      <c r="A1462" s="575"/>
      <c r="B1462" s="139"/>
      <c r="C1462" s="585"/>
      <c r="D1462" s="585"/>
      <c r="E1462" s="585"/>
      <c r="F1462" s="256"/>
      <c r="G1462" s="256"/>
      <c r="H1462" s="256"/>
      <c r="I1462" s="259"/>
      <c r="J1462" s="266"/>
    </row>
    <row r="1463" spans="1:10" ht="24.95" customHeight="1">
      <c r="A1463" s="575" t="s">
        <v>1113</v>
      </c>
      <c r="B1463" s="142" t="s">
        <v>1114</v>
      </c>
      <c r="C1463" s="585"/>
      <c r="D1463" s="585"/>
      <c r="E1463" s="585"/>
      <c r="F1463" s="256"/>
      <c r="G1463" s="256"/>
      <c r="H1463" s="256"/>
      <c r="I1463" s="256"/>
      <c r="J1463" s="571"/>
    </row>
    <row r="1464" spans="1:10" ht="24.95" customHeight="1">
      <c r="A1464" s="575"/>
      <c r="B1464" s="139" t="s">
        <v>1115</v>
      </c>
      <c r="C1464" s="585">
        <v>1</v>
      </c>
      <c r="D1464" s="585"/>
      <c r="E1464" s="585">
        <v>6</v>
      </c>
      <c r="F1464" s="256">
        <v>8</v>
      </c>
      <c r="G1464" s="256"/>
      <c r="H1464" s="256"/>
      <c r="I1464" s="256">
        <f>PRODUCT(C1464:H1464)</f>
        <v>48</v>
      </c>
      <c r="J1464" s="571"/>
    </row>
    <row r="1465" spans="1:10" ht="24.95" customHeight="1">
      <c r="A1465" s="575"/>
      <c r="B1465" s="139" t="s">
        <v>1116</v>
      </c>
      <c r="C1465" s="585">
        <v>1</v>
      </c>
      <c r="D1465" s="585"/>
      <c r="E1465" s="585">
        <v>6</v>
      </c>
      <c r="F1465" s="256">
        <v>4.3</v>
      </c>
      <c r="G1465" s="256"/>
      <c r="H1465" s="256"/>
      <c r="I1465" s="256">
        <f>PRODUCT(C1465:H1465)</f>
        <v>25.799999999999997</v>
      </c>
      <c r="J1465" s="571"/>
    </row>
    <row r="1466" spans="1:10" ht="24.95" customHeight="1">
      <c r="A1466" s="575"/>
      <c r="B1466" s="139"/>
      <c r="C1466" s="585"/>
      <c r="D1466" s="585"/>
      <c r="E1466" s="585"/>
      <c r="F1466" s="256"/>
      <c r="G1466" s="256"/>
      <c r="H1466" s="256"/>
      <c r="I1466" s="256">
        <f>SUM(I1464:I1465)</f>
        <v>73.8</v>
      </c>
      <c r="J1466" s="571"/>
    </row>
    <row r="1467" spans="1:10" ht="24.95" customHeight="1">
      <c r="A1467" s="575"/>
      <c r="B1467" s="239"/>
      <c r="C1467" s="585"/>
      <c r="D1467" s="585"/>
      <c r="E1467" s="585"/>
      <c r="F1467" s="256"/>
      <c r="G1467" s="256"/>
      <c r="H1467" s="259" t="s">
        <v>15</v>
      </c>
      <c r="I1467" s="259">
        <f>ROUNDUP(I1466,1-0)</f>
        <v>73.8</v>
      </c>
      <c r="J1467" s="266" t="s">
        <v>61</v>
      </c>
    </row>
    <row r="1468" spans="1:10" ht="24.95" customHeight="1">
      <c r="A1468" s="575"/>
      <c r="B1468" s="139"/>
      <c r="C1468" s="585"/>
      <c r="D1468" s="585"/>
      <c r="E1468" s="585"/>
      <c r="F1468" s="256"/>
      <c r="G1468" s="256"/>
      <c r="H1468" s="256"/>
      <c r="I1468" s="256"/>
      <c r="J1468" s="571"/>
    </row>
    <row r="1469" spans="1:10" ht="24.95" customHeight="1">
      <c r="A1469" s="575">
        <v>53.5</v>
      </c>
      <c r="B1469" s="142" t="s">
        <v>1117</v>
      </c>
      <c r="C1469" s="585"/>
      <c r="D1469" s="585"/>
      <c r="E1469" s="585"/>
      <c r="F1469" s="256"/>
      <c r="G1469" s="256"/>
      <c r="H1469" s="256"/>
      <c r="I1469" s="256"/>
      <c r="J1469" s="571"/>
    </row>
    <row r="1470" spans="1:10" ht="24.95" customHeight="1">
      <c r="A1470" s="575"/>
      <c r="B1470" s="139" t="s">
        <v>1118</v>
      </c>
      <c r="C1470" s="585">
        <v>1</v>
      </c>
      <c r="D1470" s="585"/>
      <c r="E1470" s="585">
        <v>6</v>
      </c>
      <c r="F1470" s="256"/>
      <c r="G1470" s="256"/>
      <c r="H1470" s="256"/>
      <c r="I1470" s="259">
        <f>PRODUCT(C1470:H1470)</f>
        <v>6</v>
      </c>
      <c r="J1470" s="266" t="s">
        <v>522</v>
      </c>
    </row>
    <row r="1471" spans="1:10" ht="24.95" customHeight="1">
      <c r="A1471" s="575"/>
      <c r="B1471" s="139" t="s">
        <v>1119</v>
      </c>
      <c r="C1471" s="585">
        <v>1</v>
      </c>
      <c r="D1471" s="585"/>
      <c r="E1471" s="585">
        <v>4</v>
      </c>
      <c r="F1471" s="256"/>
      <c r="G1471" s="256"/>
      <c r="H1471" s="256"/>
      <c r="I1471" s="259">
        <f>PRODUCT(C1471:H1471)</f>
        <v>4</v>
      </c>
      <c r="J1471" s="266" t="s">
        <v>522</v>
      </c>
    </row>
    <row r="1472" spans="1:10" ht="24.95" customHeight="1">
      <c r="A1472" s="575"/>
      <c r="B1472" s="139"/>
      <c r="C1472" s="585"/>
      <c r="D1472" s="585"/>
      <c r="E1472" s="585"/>
      <c r="F1472" s="256"/>
      <c r="G1472" s="256"/>
      <c r="H1472" s="256"/>
      <c r="I1472" s="259">
        <f>SUM(I1470:I1471)</f>
        <v>10</v>
      </c>
      <c r="J1472" s="266"/>
    </row>
    <row r="1473" spans="1:10" ht="24.95" customHeight="1">
      <c r="A1473" s="575"/>
      <c r="B1473" s="139"/>
      <c r="C1473" s="585"/>
      <c r="D1473" s="585"/>
      <c r="E1473" s="585"/>
      <c r="F1473" s="256"/>
      <c r="G1473" s="256"/>
      <c r="H1473" s="256"/>
      <c r="I1473" s="259"/>
      <c r="J1473" s="266"/>
    </row>
    <row r="1474" spans="1:10" ht="24.95" customHeight="1">
      <c r="A1474" s="575">
        <v>58.3</v>
      </c>
      <c r="B1474" s="142" t="s">
        <v>1120</v>
      </c>
      <c r="C1474" s="585"/>
      <c r="D1474" s="585"/>
      <c r="E1474" s="585"/>
      <c r="F1474" s="256"/>
      <c r="G1474" s="256"/>
      <c r="H1474" s="256"/>
      <c r="I1474" s="256"/>
      <c r="J1474" s="266"/>
    </row>
    <row r="1475" spans="1:10" ht="24.95" customHeight="1">
      <c r="A1475" s="575"/>
      <c r="B1475" s="142" t="s">
        <v>1121</v>
      </c>
      <c r="C1475" s="585">
        <v>1</v>
      </c>
      <c r="D1475" s="585"/>
      <c r="E1475" s="585">
        <v>3</v>
      </c>
      <c r="F1475" s="256">
        <v>8</v>
      </c>
      <c r="G1475" s="256"/>
      <c r="H1475" s="256"/>
      <c r="I1475" s="259">
        <f>PRODUCT(C1475:H1475)</f>
        <v>24</v>
      </c>
      <c r="J1475" s="266" t="s">
        <v>61</v>
      </c>
    </row>
    <row r="1476" spans="1:10" ht="24.95" customHeight="1">
      <c r="A1476" s="575"/>
      <c r="B1476" s="142" t="s">
        <v>1122</v>
      </c>
      <c r="C1476" s="585"/>
      <c r="D1476" s="585"/>
      <c r="E1476" s="585"/>
      <c r="F1476" s="256"/>
      <c r="G1476" s="256"/>
      <c r="H1476" s="256"/>
      <c r="I1476" s="256"/>
      <c r="J1476" s="266"/>
    </row>
    <row r="1477" spans="1:10" ht="24.95" customHeight="1">
      <c r="A1477" s="575"/>
      <c r="B1477" s="139" t="s">
        <v>1123</v>
      </c>
      <c r="C1477" s="585">
        <v>1</v>
      </c>
      <c r="D1477" s="585"/>
      <c r="E1477" s="585">
        <v>3</v>
      </c>
      <c r="F1477" s="256">
        <v>9</v>
      </c>
      <c r="G1477" s="256"/>
      <c r="H1477" s="256"/>
      <c r="I1477" s="256">
        <f>PRODUCT(C1477:H1477)</f>
        <v>27</v>
      </c>
      <c r="J1477" s="571"/>
    </row>
    <row r="1478" spans="1:10" ht="24.95" customHeight="1">
      <c r="A1478" s="575"/>
      <c r="B1478" s="139" t="s">
        <v>1124</v>
      </c>
      <c r="C1478" s="585">
        <v>1</v>
      </c>
      <c r="D1478" s="585"/>
      <c r="E1478" s="585">
        <v>4</v>
      </c>
      <c r="F1478" s="256">
        <v>13.1</v>
      </c>
      <c r="G1478" s="256"/>
      <c r="H1478" s="256"/>
      <c r="I1478" s="256">
        <f>PRODUCT(C1478:H1478)</f>
        <v>52.4</v>
      </c>
      <c r="J1478" s="571"/>
    </row>
    <row r="1479" spans="1:10" ht="24.95" customHeight="1">
      <c r="A1479" s="575"/>
      <c r="B1479" s="139"/>
      <c r="C1479" s="585"/>
      <c r="D1479" s="585"/>
      <c r="E1479" s="585"/>
      <c r="F1479" s="256"/>
      <c r="G1479" s="256"/>
      <c r="H1479" s="256"/>
      <c r="I1479" s="256">
        <f>SUM(I1477:I1478)</f>
        <v>79.400000000000006</v>
      </c>
      <c r="J1479" s="571"/>
    </row>
    <row r="1480" spans="1:10" ht="24.95" customHeight="1">
      <c r="A1480" s="575"/>
      <c r="B1480" s="139"/>
      <c r="C1480" s="585"/>
      <c r="D1480" s="585"/>
      <c r="E1480" s="585"/>
      <c r="F1480" s="256"/>
      <c r="G1480" s="256"/>
      <c r="H1480" s="259" t="s">
        <v>15</v>
      </c>
      <c r="I1480" s="259">
        <f>ROUNDUP(I1479,1-0)</f>
        <v>79.400000000000006</v>
      </c>
      <c r="J1480" s="266" t="s">
        <v>61</v>
      </c>
    </row>
    <row r="1481" spans="1:10" ht="56.25" customHeight="1">
      <c r="A1481" s="575">
        <v>58.4</v>
      </c>
      <c r="B1481" s="142" t="s">
        <v>1125</v>
      </c>
      <c r="C1481" s="585"/>
      <c r="D1481" s="585"/>
      <c r="E1481" s="585"/>
      <c r="F1481" s="256"/>
      <c r="G1481" s="256"/>
      <c r="H1481" s="256"/>
      <c r="I1481" s="256"/>
      <c r="J1481" s="266"/>
    </row>
    <row r="1482" spans="1:10" ht="38.25" customHeight="1">
      <c r="A1482" s="575"/>
      <c r="B1482" s="139" t="s">
        <v>1126</v>
      </c>
      <c r="C1482" s="585">
        <v>1</v>
      </c>
      <c r="D1482" s="585"/>
      <c r="E1482" s="585">
        <v>4</v>
      </c>
      <c r="F1482" s="256">
        <v>7</v>
      </c>
      <c r="G1482" s="256"/>
      <c r="H1482" s="256"/>
      <c r="I1482" s="259">
        <f>PRODUCT(C1482:H1482)</f>
        <v>28</v>
      </c>
      <c r="J1482" s="266" t="s">
        <v>61</v>
      </c>
    </row>
    <row r="1483" spans="1:10" ht="24.95" customHeight="1">
      <c r="A1483" s="575"/>
      <c r="B1483" s="139"/>
      <c r="C1483" s="585"/>
      <c r="D1483" s="585"/>
      <c r="E1483" s="585"/>
      <c r="F1483" s="256"/>
      <c r="G1483" s="256"/>
      <c r="H1483" s="256"/>
      <c r="I1483" s="256"/>
      <c r="J1483" s="571"/>
    </row>
    <row r="1484" spans="1:10" ht="24.95" customHeight="1">
      <c r="A1484" s="575"/>
      <c r="B1484" s="142" t="s">
        <v>1127</v>
      </c>
      <c r="C1484" s="585"/>
      <c r="D1484" s="585"/>
      <c r="E1484" s="585"/>
      <c r="F1484" s="256"/>
      <c r="G1484" s="256"/>
      <c r="H1484" s="256"/>
      <c r="I1484" s="256"/>
      <c r="J1484" s="571"/>
    </row>
    <row r="1485" spans="1:10" ht="24.95" customHeight="1">
      <c r="A1485" s="567"/>
      <c r="B1485" s="566" t="s">
        <v>1128</v>
      </c>
      <c r="C1485" s="577">
        <v>1</v>
      </c>
      <c r="D1485" s="609" t="s">
        <v>56</v>
      </c>
      <c r="E1485" s="577">
        <v>1</v>
      </c>
      <c r="F1485" s="565">
        <v>3.6</v>
      </c>
      <c r="G1485" s="565">
        <v>2.75</v>
      </c>
      <c r="H1485" s="565"/>
      <c r="I1485" s="565">
        <f t="shared" ref="I1485:I1491" si="77">PRODUCT(C1485:H1485)</f>
        <v>9.9</v>
      </c>
      <c r="J1485" s="571"/>
    </row>
    <row r="1486" spans="1:10" ht="24.95" customHeight="1">
      <c r="A1486" s="567"/>
      <c r="B1486" s="566" t="s">
        <v>1129</v>
      </c>
      <c r="C1486" s="577">
        <v>1</v>
      </c>
      <c r="D1486" s="609" t="s">
        <v>56</v>
      </c>
      <c r="E1486" s="577">
        <v>21</v>
      </c>
      <c r="F1486" s="565">
        <v>1.5</v>
      </c>
      <c r="G1486" s="565"/>
      <c r="H1486" s="565">
        <v>0.45</v>
      </c>
      <c r="I1486" s="565">
        <f t="shared" si="77"/>
        <v>14.175000000000001</v>
      </c>
      <c r="J1486" s="571"/>
    </row>
    <row r="1487" spans="1:10" ht="24.95" customHeight="1">
      <c r="A1487" s="567"/>
      <c r="B1487" s="566" t="s">
        <v>831</v>
      </c>
      <c r="C1487" s="577">
        <v>1</v>
      </c>
      <c r="D1487" s="609" t="s">
        <v>56</v>
      </c>
      <c r="E1487" s="577">
        <v>1</v>
      </c>
      <c r="F1487" s="565">
        <v>3.6</v>
      </c>
      <c r="G1487" s="565">
        <v>1.5</v>
      </c>
      <c r="H1487" s="565"/>
      <c r="I1487" s="565">
        <f t="shared" si="77"/>
        <v>5.4</v>
      </c>
      <c r="J1487" s="571"/>
    </row>
    <row r="1488" spans="1:10" ht="24.95" customHeight="1">
      <c r="A1488" s="567"/>
      <c r="B1488" s="566" t="s">
        <v>1130</v>
      </c>
      <c r="C1488" s="577">
        <v>1</v>
      </c>
      <c r="D1488" s="609" t="s">
        <v>56</v>
      </c>
      <c r="E1488" s="577">
        <v>21</v>
      </c>
      <c r="F1488" s="565">
        <v>1.5</v>
      </c>
      <c r="G1488" s="565"/>
      <c r="H1488" s="565">
        <v>0.45</v>
      </c>
      <c r="I1488" s="565">
        <f t="shared" si="77"/>
        <v>14.175000000000001</v>
      </c>
      <c r="J1488" s="571"/>
    </row>
    <row r="1489" spans="1:10" ht="24.95" customHeight="1">
      <c r="A1489" s="567"/>
      <c r="B1489" s="566" t="s">
        <v>831</v>
      </c>
      <c r="C1489" s="577">
        <v>1</v>
      </c>
      <c r="D1489" s="609" t="s">
        <v>56</v>
      </c>
      <c r="E1489" s="577">
        <v>1</v>
      </c>
      <c r="F1489" s="565">
        <v>3.6</v>
      </c>
      <c r="G1489" s="565">
        <v>1.5</v>
      </c>
      <c r="H1489" s="565"/>
      <c r="I1489" s="565">
        <f t="shared" si="77"/>
        <v>5.4</v>
      </c>
      <c r="J1489" s="571"/>
    </row>
    <row r="1490" spans="1:10" ht="24.95" customHeight="1">
      <c r="A1490" s="567"/>
      <c r="B1490" s="576" t="s">
        <v>1131</v>
      </c>
      <c r="C1490" s="563">
        <v>1</v>
      </c>
      <c r="D1490" s="619" t="s">
        <v>56</v>
      </c>
      <c r="E1490" s="563">
        <v>1</v>
      </c>
      <c r="F1490" s="565">
        <v>3.6</v>
      </c>
      <c r="G1490" s="565">
        <v>2.75</v>
      </c>
      <c r="H1490" s="565"/>
      <c r="I1490" s="565">
        <f t="shared" si="77"/>
        <v>9.9</v>
      </c>
      <c r="J1490" s="571"/>
    </row>
    <row r="1491" spans="1:10" ht="24.95" customHeight="1">
      <c r="A1491" s="567"/>
      <c r="B1491" s="576" t="s">
        <v>653</v>
      </c>
      <c r="C1491" s="563">
        <v>1</v>
      </c>
      <c r="D1491" s="619" t="s">
        <v>56</v>
      </c>
      <c r="E1491" s="563">
        <v>1</v>
      </c>
      <c r="F1491" s="565">
        <v>3.6</v>
      </c>
      <c r="G1491" s="565">
        <v>5</v>
      </c>
      <c r="H1491" s="565"/>
      <c r="I1491" s="565">
        <f t="shared" si="77"/>
        <v>18</v>
      </c>
      <c r="J1491" s="571"/>
    </row>
    <row r="1492" spans="1:10" ht="24.95" customHeight="1">
      <c r="A1492" s="567"/>
      <c r="B1492" s="566"/>
      <c r="C1492" s="563"/>
      <c r="E1492" s="563"/>
      <c r="F1492" s="565"/>
      <c r="G1492" s="565"/>
      <c r="H1492" s="565"/>
      <c r="I1492" s="574">
        <f>+SUM(I1485:I1491)</f>
        <v>76.95</v>
      </c>
      <c r="J1492" s="571"/>
    </row>
    <row r="1493" spans="1:10" ht="24.95" customHeight="1">
      <c r="A1493" s="575"/>
      <c r="B1493" s="139"/>
      <c r="C1493" s="585"/>
      <c r="D1493" s="585"/>
      <c r="E1493" s="585"/>
      <c r="F1493" s="256"/>
      <c r="G1493" s="256"/>
      <c r="H1493" s="256" t="s">
        <v>203</v>
      </c>
      <c r="I1493" s="259">
        <f>ROUNDUP(I1492,1-0)</f>
        <v>77</v>
      </c>
      <c r="J1493" s="571" t="s">
        <v>833</v>
      </c>
    </row>
    <row r="1494" spans="1:10" ht="24.95" customHeight="1">
      <c r="A1494" s="575"/>
      <c r="B1494" s="139"/>
      <c r="C1494" s="585"/>
      <c r="D1494" s="585"/>
      <c r="E1494" s="585"/>
      <c r="F1494" s="256"/>
      <c r="G1494" s="256"/>
      <c r="H1494" s="256"/>
      <c r="I1494" s="256"/>
      <c r="J1494" s="571"/>
    </row>
    <row r="1495" spans="1:10" ht="51.75" customHeight="1">
      <c r="A1495" s="575" t="s">
        <v>1132</v>
      </c>
      <c r="B1495" s="142" t="s">
        <v>177</v>
      </c>
      <c r="C1495" s="585"/>
      <c r="D1495" s="585"/>
      <c r="E1495" s="585"/>
      <c r="F1495" s="256"/>
      <c r="G1495" s="256"/>
      <c r="H1495" s="256"/>
      <c r="I1495" s="256"/>
      <c r="J1495" s="266"/>
    </row>
    <row r="1496" spans="1:10" ht="24.95" customHeight="1">
      <c r="A1496" s="575"/>
      <c r="B1496" s="142" t="s">
        <v>1133</v>
      </c>
      <c r="C1496" s="585"/>
      <c r="D1496" s="585"/>
      <c r="E1496" s="585"/>
      <c r="F1496" s="256"/>
      <c r="G1496" s="256"/>
      <c r="H1496" s="256"/>
      <c r="I1496" s="256"/>
      <c r="J1496" s="571"/>
    </row>
    <row r="1497" spans="1:10" ht="24.95" customHeight="1">
      <c r="A1497" s="575"/>
      <c r="B1497" s="142" t="s">
        <v>995</v>
      </c>
      <c r="C1497" s="585">
        <v>1</v>
      </c>
      <c r="D1497" s="585"/>
      <c r="E1497" s="585">
        <v>1</v>
      </c>
      <c r="F1497" s="256"/>
      <c r="G1497" s="256"/>
      <c r="H1497" s="256"/>
      <c r="I1497" s="256">
        <v>1</v>
      </c>
      <c r="J1497" s="571"/>
    </row>
    <row r="1498" spans="1:10" ht="24.95" customHeight="1">
      <c r="A1498" s="575"/>
      <c r="B1498" s="142" t="s">
        <v>661</v>
      </c>
      <c r="C1498" s="585">
        <v>1</v>
      </c>
      <c r="D1498" s="585"/>
      <c r="E1498" s="585">
        <v>2</v>
      </c>
      <c r="F1498" s="256"/>
      <c r="G1498" s="256"/>
      <c r="H1498" s="256"/>
      <c r="I1498" s="256">
        <v>2</v>
      </c>
      <c r="J1498" s="571"/>
    </row>
    <row r="1499" spans="1:10" ht="24.95" customHeight="1">
      <c r="A1499" s="575"/>
      <c r="B1499" s="142" t="s">
        <v>485</v>
      </c>
      <c r="C1499" s="585">
        <v>1</v>
      </c>
      <c r="D1499" s="585"/>
      <c r="E1499" s="585">
        <v>2</v>
      </c>
      <c r="F1499" s="256"/>
      <c r="G1499" s="256"/>
      <c r="H1499" s="256"/>
      <c r="I1499" s="256">
        <v>2</v>
      </c>
      <c r="J1499" s="571"/>
    </row>
    <row r="1500" spans="1:10" ht="24.95" customHeight="1">
      <c r="A1500" s="575"/>
      <c r="B1500" s="142" t="s">
        <v>485</v>
      </c>
      <c r="C1500" s="585">
        <v>1</v>
      </c>
      <c r="D1500" s="585"/>
      <c r="E1500" s="585">
        <v>1</v>
      </c>
      <c r="F1500" s="256"/>
      <c r="G1500" s="256"/>
      <c r="H1500" s="256"/>
      <c r="I1500" s="256">
        <v>1</v>
      </c>
      <c r="J1500" s="571"/>
    </row>
    <row r="1501" spans="1:10" ht="24.95" customHeight="1">
      <c r="A1501" s="575"/>
      <c r="B1501" s="142" t="s">
        <v>996</v>
      </c>
      <c r="C1501" s="585">
        <v>1</v>
      </c>
      <c r="D1501" s="585"/>
      <c r="E1501" s="585">
        <v>1</v>
      </c>
      <c r="F1501" s="256"/>
      <c r="G1501" s="256"/>
      <c r="H1501" s="256"/>
      <c r="I1501" s="256">
        <v>1</v>
      </c>
      <c r="J1501" s="571"/>
    </row>
    <row r="1502" spans="1:10" ht="24.95" customHeight="1">
      <c r="A1502" s="575"/>
      <c r="B1502" s="142" t="s">
        <v>997</v>
      </c>
      <c r="C1502" s="585">
        <v>1</v>
      </c>
      <c r="D1502" s="585"/>
      <c r="E1502" s="585">
        <v>1</v>
      </c>
      <c r="F1502" s="256"/>
      <c r="G1502" s="256"/>
      <c r="H1502" s="256"/>
      <c r="I1502" s="256">
        <v>1</v>
      </c>
      <c r="J1502" s="571"/>
    </row>
    <row r="1503" spans="1:10" ht="24.95" customHeight="1">
      <c r="A1503" s="575"/>
      <c r="B1503" s="142" t="s">
        <v>877</v>
      </c>
      <c r="C1503" s="585">
        <v>1</v>
      </c>
      <c r="D1503" s="585"/>
      <c r="E1503" s="585">
        <v>1</v>
      </c>
      <c r="F1503" s="256"/>
      <c r="G1503" s="256"/>
      <c r="H1503" s="256"/>
      <c r="I1503" s="256">
        <v>1</v>
      </c>
      <c r="J1503" s="571"/>
    </row>
    <row r="1504" spans="1:10" ht="24.95" customHeight="1">
      <c r="A1504" s="575"/>
      <c r="B1504" s="142" t="s">
        <v>996</v>
      </c>
      <c r="C1504" s="585">
        <v>1</v>
      </c>
      <c r="D1504" s="585"/>
      <c r="E1504" s="585">
        <v>1</v>
      </c>
      <c r="F1504" s="256"/>
      <c r="G1504" s="256"/>
      <c r="H1504" s="256"/>
      <c r="I1504" s="256">
        <v>1</v>
      </c>
      <c r="J1504" s="571"/>
    </row>
    <row r="1505" spans="1:10" ht="39.75" customHeight="1">
      <c r="A1505" s="575"/>
      <c r="B1505" s="142" t="s">
        <v>989</v>
      </c>
      <c r="C1505" s="585">
        <v>3</v>
      </c>
      <c r="D1505" s="585"/>
      <c r="E1505" s="585">
        <v>2</v>
      </c>
      <c r="F1505" s="256"/>
      <c r="G1505" s="256"/>
      <c r="H1505" s="256"/>
      <c r="I1505" s="256">
        <v>6</v>
      </c>
      <c r="J1505" s="571"/>
    </row>
    <row r="1506" spans="1:10" ht="24.95" customHeight="1">
      <c r="A1506" s="575"/>
      <c r="B1506" s="142"/>
      <c r="C1506" s="585"/>
      <c r="D1506" s="585"/>
      <c r="E1506" s="585"/>
      <c r="F1506" s="256"/>
      <c r="G1506" s="256"/>
      <c r="H1506" s="256" t="s">
        <v>203</v>
      </c>
      <c r="I1506" s="256">
        <f>SUM(I1497:I1505)</f>
        <v>16</v>
      </c>
      <c r="J1506" s="571" t="s">
        <v>992</v>
      </c>
    </row>
    <row r="1507" spans="1:10" ht="70.5" customHeight="1">
      <c r="A1507" s="575">
        <v>77.7</v>
      </c>
      <c r="B1507" s="142" t="s">
        <v>1134</v>
      </c>
      <c r="C1507" s="585">
        <v>1</v>
      </c>
      <c r="D1507" s="585"/>
      <c r="E1507" s="585">
        <v>1</v>
      </c>
      <c r="F1507" s="256">
        <v>50</v>
      </c>
      <c r="G1507" s="256"/>
      <c r="H1507" s="256"/>
      <c r="I1507" s="259">
        <f>PRODUCT(C1507:H1507)</f>
        <v>50</v>
      </c>
      <c r="J1507" s="266" t="s">
        <v>61</v>
      </c>
    </row>
    <row r="1508" spans="1:10" ht="24.95" customHeight="1">
      <c r="A1508" s="575"/>
      <c r="B1508" s="142"/>
      <c r="C1508" s="585"/>
      <c r="D1508" s="585"/>
      <c r="E1508" s="585"/>
      <c r="F1508" s="256"/>
      <c r="G1508" s="256"/>
      <c r="H1508" s="256"/>
      <c r="I1508" s="259"/>
      <c r="J1508" s="266"/>
    </row>
    <row r="1509" spans="1:10" ht="54.75" customHeight="1">
      <c r="A1509" s="575" t="s">
        <v>1135</v>
      </c>
      <c r="B1509" s="142" t="s">
        <v>1136</v>
      </c>
      <c r="C1509" s="585"/>
      <c r="D1509" s="585"/>
      <c r="E1509" s="585"/>
      <c r="F1509" s="256"/>
      <c r="G1509" s="256"/>
      <c r="H1509" s="256"/>
      <c r="I1509" s="256"/>
      <c r="J1509" s="571"/>
    </row>
    <row r="1510" spans="1:10" ht="24.95" customHeight="1">
      <c r="A1510" s="575"/>
      <c r="B1510" s="139" t="s">
        <v>1137</v>
      </c>
      <c r="C1510" s="585">
        <v>1</v>
      </c>
      <c r="D1510" s="585"/>
      <c r="E1510" s="585">
        <v>4</v>
      </c>
      <c r="F1510" s="256"/>
      <c r="G1510" s="256"/>
      <c r="H1510" s="259" t="s">
        <v>15</v>
      </c>
      <c r="I1510" s="259">
        <f>PRODUCT(C1510:H1510)</f>
        <v>4</v>
      </c>
      <c r="J1510" s="266" t="s">
        <v>4</v>
      </c>
    </row>
    <row r="1511" spans="1:10" ht="24.95" customHeight="1">
      <c r="A1511" s="575"/>
      <c r="B1511" s="139" t="s">
        <v>1138</v>
      </c>
      <c r="C1511" s="585">
        <v>1</v>
      </c>
      <c r="D1511" s="585"/>
      <c r="E1511" s="585">
        <v>5</v>
      </c>
      <c r="F1511" s="256">
        <v>3</v>
      </c>
      <c r="G1511" s="256"/>
      <c r="H1511" s="259" t="s">
        <v>15</v>
      </c>
      <c r="I1511" s="259">
        <f>PRODUCT(C1511:H1511)</f>
        <v>15</v>
      </c>
      <c r="J1511" s="266" t="s">
        <v>61</v>
      </c>
    </row>
    <row r="1512" spans="1:10" ht="24.95" customHeight="1">
      <c r="A1512" s="575"/>
      <c r="B1512" s="142"/>
      <c r="C1512" s="585"/>
      <c r="D1512" s="585"/>
      <c r="E1512" s="585"/>
      <c r="F1512" s="256"/>
      <c r="G1512" s="256"/>
      <c r="H1512" s="256"/>
      <c r="I1512" s="259"/>
      <c r="J1512" s="266"/>
    </row>
    <row r="1513" spans="1:10" ht="61.5" customHeight="1">
      <c r="A1513" s="575"/>
      <c r="B1513" s="139" t="str">
        <f>'[7]main abst'!B147</f>
        <v>Providing Rain water Harvesting well ring of Circular shape of 90mm dia, 60cm depth using Standardised Mix design M20</v>
      </c>
      <c r="C1513" s="585">
        <v>1</v>
      </c>
      <c r="D1513" s="578"/>
      <c r="E1513" s="585">
        <v>4</v>
      </c>
      <c r="F1513" s="256"/>
      <c r="H1513" s="259" t="s">
        <v>15</v>
      </c>
      <c r="I1513" s="259">
        <f>PRODUCT(B1513:H1513)</f>
        <v>4</v>
      </c>
      <c r="J1513" s="266" t="s">
        <v>4</v>
      </c>
    </row>
    <row r="1514" spans="1:10" ht="24.95" customHeight="1">
      <c r="A1514" s="575"/>
      <c r="B1514" s="142"/>
      <c r="C1514" s="585"/>
      <c r="D1514" s="585"/>
      <c r="E1514" s="585"/>
      <c r="F1514" s="256"/>
      <c r="G1514" s="256"/>
      <c r="H1514" s="256"/>
      <c r="I1514" s="259"/>
      <c r="J1514" s="266"/>
    </row>
    <row r="1515" spans="1:10" ht="57" customHeight="1">
      <c r="A1515" s="575">
        <v>344.2</v>
      </c>
      <c r="B1515" s="142" t="s">
        <v>1139</v>
      </c>
      <c r="C1515" s="585">
        <v>4</v>
      </c>
      <c r="D1515" s="585"/>
      <c r="E1515" s="585">
        <v>2</v>
      </c>
      <c r="F1515" s="256"/>
      <c r="G1515" s="256"/>
      <c r="H1515" s="259" t="s">
        <v>15</v>
      </c>
      <c r="I1515" s="259">
        <f>PRODUCT(C1515:H1515)</f>
        <v>8</v>
      </c>
      <c r="J1515" s="266" t="s">
        <v>4</v>
      </c>
    </row>
    <row r="1516" spans="1:10" ht="24.95" customHeight="1">
      <c r="A1516" s="575"/>
      <c r="B1516" s="142"/>
      <c r="C1516" s="585"/>
      <c r="D1516" s="585"/>
      <c r="E1516" s="585"/>
      <c r="F1516" s="256"/>
      <c r="G1516" s="256"/>
      <c r="H1516" s="256"/>
      <c r="I1516" s="259"/>
      <c r="J1516" s="266"/>
    </row>
    <row r="1517" spans="1:10" ht="24.95" customHeight="1">
      <c r="A1517" s="239">
        <v>71.2</v>
      </c>
      <c r="B1517" s="139" t="s">
        <v>1140</v>
      </c>
      <c r="C1517" s="585">
        <v>1</v>
      </c>
      <c r="D1517" s="585"/>
      <c r="E1517" s="585">
        <v>2</v>
      </c>
      <c r="F1517" s="256"/>
      <c r="G1517" s="256"/>
      <c r="H1517" s="259" t="s">
        <v>15</v>
      </c>
      <c r="I1517" s="259">
        <f>PRODUCT(C1517:H1517)</f>
        <v>2</v>
      </c>
      <c r="J1517" s="266" t="s">
        <v>4</v>
      </c>
    </row>
    <row r="1518" spans="1:10" ht="24.95" customHeight="1">
      <c r="A1518" s="575"/>
      <c r="B1518" s="142"/>
      <c r="C1518" s="585"/>
      <c r="D1518" s="585"/>
      <c r="E1518" s="585"/>
      <c r="F1518" s="256"/>
      <c r="G1518" s="256"/>
      <c r="H1518" s="256"/>
      <c r="I1518" s="259"/>
      <c r="J1518" s="266"/>
    </row>
    <row r="1519" spans="1:10" ht="24.95" customHeight="1">
      <c r="A1519" s="575"/>
      <c r="B1519" s="139" t="str">
        <f>'[7]main abst'!B150</f>
        <v>3 Nos.of 32Amps - Fuse Unit</v>
      </c>
      <c r="C1519" s="585">
        <v>1</v>
      </c>
      <c r="D1519" s="585"/>
      <c r="E1519" s="585">
        <v>2</v>
      </c>
      <c r="F1519" s="256"/>
      <c r="G1519" s="256"/>
      <c r="H1519" s="259" t="s">
        <v>15</v>
      </c>
      <c r="I1519" s="259">
        <f>PRODUCT(C1519:H1519)</f>
        <v>2</v>
      </c>
      <c r="J1519" s="266" t="s">
        <v>4</v>
      </c>
    </row>
    <row r="1520" spans="1:10" ht="24.95" customHeight="1">
      <c r="A1520" s="575"/>
      <c r="B1520" s="139" t="str">
        <f>'[7]main abst'!B151</f>
        <v>1 Nos.of 32Amps - Fuse Unit</v>
      </c>
      <c r="C1520" s="585">
        <v>1</v>
      </c>
      <c r="D1520" s="585"/>
      <c r="E1520" s="585">
        <v>3</v>
      </c>
      <c r="F1520" s="256"/>
      <c r="G1520" s="256"/>
      <c r="H1520" s="259" t="s">
        <v>15</v>
      </c>
      <c r="I1520" s="259">
        <f>PRODUCT(C1520:H1520)</f>
        <v>3</v>
      </c>
      <c r="J1520" s="266" t="s">
        <v>4</v>
      </c>
    </row>
    <row r="1521" spans="1:10" ht="24.95" customHeight="1">
      <c r="A1521" s="575"/>
      <c r="B1521" s="142"/>
      <c r="C1521" s="585"/>
      <c r="D1521" s="585"/>
      <c r="E1521" s="585"/>
      <c r="F1521" s="256"/>
      <c r="G1521" s="256"/>
      <c r="H1521" s="256"/>
      <c r="I1521" s="259"/>
      <c r="J1521" s="266"/>
    </row>
    <row r="1522" spans="1:10" ht="24.95" customHeight="1">
      <c r="A1522" s="575">
        <v>448.2</v>
      </c>
      <c r="B1522" s="618" t="s">
        <v>1141</v>
      </c>
      <c r="C1522" s="585"/>
      <c r="D1522" s="585"/>
      <c r="E1522" s="585"/>
      <c r="F1522" s="256"/>
      <c r="G1522" s="256"/>
      <c r="H1522" s="256"/>
      <c r="I1522" s="256"/>
      <c r="J1522" s="571"/>
    </row>
    <row r="1523" spans="1:10" ht="24.95" customHeight="1">
      <c r="A1523" s="575"/>
      <c r="B1523" s="139" t="s">
        <v>1142</v>
      </c>
      <c r="C1523" s="585">
        <v>4</v>
      </c>
      <c r="D1523" s="585"/>
      <c r="E1523" s="585">
        <v>2</v>
      </c>
      <c r="F1523" s="256"/>
      <c r="G1523" s="256"/>
      <c r="H1523" s="256"/>
      <c r="I1523" s="259">
        <f>PRODUCT(C1523:H1523)</f>
        <v>8</v>
      </c>
      <c r="J1523" s="266" t="s">
        <v>4</v>
      </c>
    </row>
    <row r="1524" spans="1:10" ht="24.95" customHeight="1">
      <c r="A1524" s="239"/>
      <c r="B1524" s="239"/>
      <c r="C1524" s="585"/>
      <c r="D1524" s="585"/>
      <c r="E1524" s="585"/>
      <c r="F1524" s="256"/>
      <c r="G1524" s="256"/>
      <c r="H1524" s="256"/>
      <c r="I1524" s="259"/>
      <c r="J1524" s="266"/>
    </row>
    <row r="1525" spans="1:10" ht="24.95" customHeight="1">
      <c r="A1525" s="575">
        <v>367</v>
      </c>
      <c r="B1525" s="142" t="s">
        <v>1143</v>
      </c>
      <c r="C1525" s="585">
        <v>1</v>
      </c>
      <c r="D1525" s="585" t="s">
        <v>56</v>
      </c>
      <c r="E1525" s="585">
        <v>1</v>
      </c>
      <c r="F1525" s="256">
        <v>1.8</v>
      </c>
      <c r="G1525" s="256">
        <v>2.25</v>
      </c>
      <c r="H1525" s="256">
        <v>2.4</v>
      </c>
      <c r="I1525" s="256">
        <f>PRODUCT(C1525:H1525)</f>
        <v>9.7199999999999989</v>
      </c>
    </row>
    <row r="1526" spans="1:10" ht="24.95" customHeight="1">
      <c r="A1526" s="575"/>
      <c r="B1526" s="142" t="s">
        <v>1144</v>
      </c>
      <c r="C1526" s="585">
        <v>1</v>
      </c>
      <c r="D1526" s="585" t="s">
        <v>56</v>
      </c>
      <c r="E1526" s="585">
        <v>2</v>
      </c>
      <c r="F1526" s="256">
        <v>1.2</v>
      </c>
      <c r="G1526" s="256">
        <v>2.25</v>
      </c>
      <c r="H1526" s="256">
        <v>2.4</v>
      </c>
      <c r="I1526" s="256">
        <f>PRODUCT(C1526:H1526)</f>
        <v>12.959999999999999</v>
      </c>
      <c r="J1526" s="266"/>
    </row>
    <row r="1527" spans="1:10" ht="24.95" customHeight="1">
      <c r="A1527" s="575"/>
      <c r="B1527" s="142"/>
      <c r="C1527" s="585"/>
      <c r="D1527" s="585"/>
      <c r="E1527" s="585"/>
      <c r="F1527" s="256"/>
      <c r="G1527" s="256"/>
      <c r="H1527" s="256"/>
      <c r="I1527" s="256">
        <v>0.02</v>
      </c>
      <c r="J1527" s="266"/>
    </row>
    <row r="1528" spans="1:10" ht="24.95" customHeight="1">
      <c r="A1528" s="575"/>
      <c r="B1528" s="142"/>
      <c r="C1528" s="585"/>
      <c r="D1528" s="585"/>
      <c r="E1528" s="585"/>
      <c r="F1528" s="256"/>
      <c r="G1528" s="256"/>
      <c r="H1528" s="256"/>
      <c r="I1528" s="259">
        <f>SUM(I1525:I1527)</f>
        <v>22.7</v>
      </c>
      <c r="J1528" s="266" t="s">
        <v>37</v>
      </c>
    </row>
    <row r="1529" spans="1:10" ht="24.95" customHeight="1">
      <c r="A1529" s="575"/>
      <c r="B1529" s="139" t="s">
        <v>1145</v>
      </c>
      <c r="C1529" s="585">
        <v>1</v>
      </c>
      <c r="D1529" s="585" t="s">
        <v>56</v>
      </c>
      <c r="E1529" s="585">
        <v>5</v>
      </c>
      <c r="F1529" s="256">
        <v>1</v>
      </c>
      <c r="G1529" s="256"/>
      <c r="H1529" s="256"/>
      <c r="I1529" s="259">
        <v>5</v>
      </c>
      <c r="J1529" s="266" t="s">
        <v>4</v>
      </c>
    </row>
    <row r="1530" spans="1:10" ht="24.95" customHeight="1">
      <c r="A1530" s="575"/>
      <c r="B1530" s="139"/>
      <c r="C1530" s="585"/>
      <c r="D1530" s="585"/>
      <c r="E1530" s="585"/>
      <c r="F1530" s="256"/>
      <c r="G1530" s="256"/>
      <c r="H1530" s="256"/>
      <c r="I1530" s="259"/>
      <c r="J1530" s="266"/>
    </row>
    <row r="1531" spans="1:10" ht="24.95" customHeight="1">
      <c r="A1531" s="575" t="s">
        <v>1146</v>
      </c>
      <c r="B1531" s="142" t="s">
        <v>1147</v>
      </c>
      <c r="C1531" s="585"/>
      <c r="D1531" s="585"/>
      <c r="E1531" s="585"/>
      <c r="F1531" s="256"/>
      <c r="G1531" s="256"/>
      <c r="H1531" s="256"/>
      <c r="I1531" s="256"/>
      <c r="J1531" s="266"/>
    </row>
    <row r="1532" spans="1:10" ht="24.95" customHeight="1">
      <c r="A1532" s="575"/>
      <c r="B1532" s="139" t="s">
        <v>1148</v>
      </c>
      <c r="C1532" s="585">
        <v>2</v>
      </c>
      <c r="D1532" s="585"/>
      <c r="E1532" s="585">
        <v>6</v>
      </c>
      <c r="F1532" s="256"/>
      <c r="G1532" s="256"/>
      <c r="H1532" s="256"/>
      <c r="I1532" s="259">
        <f>PRODUCT(C1532:H1532)</f>
        <v>12</v>
      </c>
      <c r="J1532" s="266" t="s">
        <v>4</v>
      </c>
    </row>
    <row r="1533" spans="1:10" ht="24.95" customHeight="1">
      <c r="A1533" s="575" t="s">
        <v>1149</v>
      </c>
      <c r="B1533" s="142" t="s">
        <v>1150</v>
      </c>
      <c r="C1533" s="585"/>
      <c r="D1533" s="585"/>
      <c r="E1533" s="585"/>
      <c r="F1533" s="256"/>
      <c r="G1533" s="256"/>
      <c r="H1533" s="256"/>
      <c r="I1533" s="256"/>
      <c r="J1533" s="266"/>
    </row>
    <row r="1534" spans="1:10" ht="24.95" customHeight="1">
      <c r="A1534" s="575"/>
      <c r="B1534" s="139" t="s">
        <v>1148</v>
      </c>
      <c r="C1534" s="585">
        <v>2</v>
      </c>
      <c r="D1534" s="585"/>
      <c r="E1534" s="585">
        <v>6</v>
      </c>
      <c r="F1534" s="256"/>
      <c r="G1534" s="256"/>
      <c r="H1534" s="256"/>
      <c r="I1534" s="259">
        <f>PRODUCT(C1534:H1534)</f>
        <v>12</v>
      </c>
      <c r="J1534" s="266" t="s">
        <v>4</v>
      </c>
    </row>
    <row r="1535" spans="1:10" ht="24.95" customHeight="1">
      <c r="A1535" s="239"/>
      <c r="B1535" s="239"/>
      <c r="C1535" s="585"/>
      <c r="D1535" s="585"/>
      <c r="E1535" s="585"/>
      <c r="F1535" s="256"/>
      <c r="G1535" s="256"/>
      <c r="H1535" s="256"/>
      <c r="I1535" s="259"/>
      <c r="J1535" s="266"/>
    </row>
    <row r="1536" spans="1:10" ht="24.95" customHeight="1">
      <c r="A1536" s="575">
        <v>55.2</v>
      </c>
      <c r="B1536" s="142" t="s">
        <v>1151</v>
      </c>
      <c r="C1536" s="585">
        <v>2</v>
      </c>
      <c r="D1536" s="585"/>
      <c r="E1536" s="585">
        <v>2</v>
      </c>
      <c r="F1536" s="256"/>
      <c r="G1536" s="256"/>
      <c r="H1536" s="256"/>
      <c r="I1536" s="259">
        <f>PRODUCT(C1536:H1536)</f>
        <v>4</v>
      </c>
      <c r="J1536" s="266" t="s">
        <v>4</v>
      </c>
    </row>
    <row r="1537" spans="1:10" ht="24.95" customHeight="1">
      <c r="A1537" s="239"/>
      <c r="B1537" s="239"/>
      <c r="C1537" s="585"/>
      <c r="D1537" s="585"/>
      <c r="E1537" s="585"/>
      <c r="F1537" s="256"/>
      <c r="G1537" s="256"/>
      <c r="H1537" s="256"/>
      <c r="I1537" s="259"/>
      <c r="J1537" s="266"/>
    </row>
    <row r="1538" spans="1:10" ht="24.95" customHeight="1">
      <c r="A1538" s="575" t="s">
        <v>1152</v>
      </c>
      <c r="B1538" s="142" t="s">
        <v>1153</v>
      </c>
      <c r="C1538" s="585"/>
      <c r="D1538" s="585"/>
      <c r="E1538" s="585"/>
      <c r="F1538" s="256"/>
      <c r="G1538" s="256"/>
      <c r="H1538" s="256"/>
      <c r="I1538" s="256"/>
      <c r="J1538" s="571"/>
    </row>
    <row r="1539" spans="1:10" ht="24.95" customHeight="1">
      <c r="A1539" s="575"/>
      <c r="B1539" s="139" t="s">
        <v>1154</v>
      </c>
      <c r="C1539" s="585"/>
      <c r="D1539" s="585"/>
      <c r="E1539" s="585"/>
      <c r="F1539" s="256"/>
      <c r="G1539" s="256"/>
      <c r="H1539" s="256"/>
      <c r="I1539" s="256"/>
      <c r="J1539" s="571"/>
    </row>
    <row r="1540" spans="1:10" ht="24.95" customHeight="1">
      <c r="A1540" s="575"/>
      <c r="B1540" s="139" t="s">
        <v>1155</v>
      </c>
      <c r="C1540" s="585">
        <v>1</v>
      </c>
      <c r="D1540" s="585"/>
      <c r="E1540" s="585">
        <v>1</v>
      </c>
      <c r="F1540" s="256">
        <v>30</v>
      </c>
      <c r="G1540" s="256"/>
      <c r="H1540" s="256"/>
      <c r="I1540" s="259">
        <f>PRODUCT(C1540:H1540)</f>
        <v>30</v>
      </c>
      <c r="J1540" s="266" t="s">
        <v>61</v>
      </c>
    </row>
    <row r="1541" spans="1:10" ht="24.95" customHeight="1">
      <c r="A1541" s="575"/>
      <c r="B1541" s="142" t="s">
        <v>1156</v>
      </c>
      <c r="C1541" s="585"/>
      <c r="D1541" s="585"/>
      <c r="E1541" s="585"/>
      <c r="F1541" s="256"/>
      <c r="G1541" s="256"/>
      <c r="H1541" s="256"/>
      <c r="I1541" s="259"/>
      <c r="J1541" s="266"/>
    </row>
    <row r="1542" spans="1:10" ht="24.95" customHeight="1">
      <c r="A1542" s="575"/>
      <c r="B1542" s="139" t="s">
        <v>1157</v>
      </c>
      <c r="C1542" s="585">
        <v>1</v>
      </c>
      <c r="D1542" s="585"/>
      <c r="E1542" s="585">
        <v>1</v>
      </c>
      <c r="F1542" s="256">
        <v>45</v>
      </c>
      <c r="G1542" s="256"/>
      <c r="H1542" s="256"/>
      <c r="I1542" s="259">
        <f>PRODUCT(C1542:H1542)</f>
        <v>45</v>
      </c>
      <c r="J1542" s="266" t="s">
        <v>61</v>
      </c>
    </row>
    <row r="1543" spans="1:10" ht="24.95" customHeight="1">
      <c r="A1543" s="239"/>
      <c r="B1543" s="239"/>
      <c r="C1543" s="585"/>
      <c r="D1543" s="585"/>
      <c r="E1543" s="585"/>
      <c r="F1543" s="256"/>
      <c r="G1543" s="256"/>
      <c r="H1543" s="256"/>
      <c r="I1543" s="259"/>
      <c r="J1543" s="266"/>
    </row>
    <row r="1544" spans="1:10" ht="24.95" customHeight="1">
      <c r="A1544" s="575" t="s">
        <v>1158</v>
      </c>
      <c r="B1544" s="142" t="s">
        <v>1159</v>
      </c>
      <c r="C1544" s="585"/>
      <c r="D1544" s="585"/>
      <c r="E1544" s="585"/>
      <c r="F1544" s="256"/>
      <c r="G1544" s="256"/>
      <c r="H1544" s="256"/>
      <c r="I1544" s="256"/>
      <c r="J1544" s="571"/>
    </row>
    <row r="1545" spans="1:10" ht="24.95" customHeight="1">
      <c r="A1545" s="575"/>
      <c r="B1545" s="139" t="s">
        <v>1160</v>
      </c>
      <c r="C1545" s="585">
        <v>1</v>
      </c>
      <c r="D1545" s="585"/>
      <c r="E1545" s="585">
        <v>6</v>
      </c>
      <c r="F1545" s="256"/>
      <c r="G1545" s="256"/>
      <c r="H1545" s="256"/>
      <c r="I1545" s="259">
        <f>PRODUCT(C1545:H1545)</f>
        <v>6</v>
      </c>
      <c r="J1545" s="266" t="s">
        <v>522</v>
      </c>
    </row>
    <row r="1546" spans="1:10" ht="24.95" customHeight="1">
      <c r="A1546" s="575"/>
      <c r="B1546" s="139" t="s">
        <v>1161</v>
      </c>
      <c r="C1546" s="585">
        <v>1</v>
      </c>
      <c r="D1546" s="585"/>
      <c r="E1546" s="585">
        <v>4</v>
      </c>
      <c r="F1546" s="256"/>
      <c r="G1546" s="256"/>
      <c r="H1546" s="256"/>
      <c r="I1546" s="259">
        <f>PRODUCT(C1546:H1546)</f>
        <v>4</v>
      </c>
      <c r="J1546" s="266" t="s">
        <v>522</v>
      </c>
    </row>
    <row r="1547" spans="1:10" ht="24.95" customHeight="1">
      <c r="A1547" s="575" t="s">
        <v>1162</v>
      </c>
      <c r="B1547" s="142" t="s">
        <v>1163</v>
      </c>
      <c r="C1547" s="585"/>
      <c r="D1547" s="585"/>
      <c r="E1547" s="585"/>
      <c r="F1547" s="256"/>
      <c r="G1547" s="256"/>
      <c r="H1547" s="256"/>
      <c r="I1547" s="256"/>
      <c r="J1547" s="571"/>
    </row>
    <row r="1548" spans="1:10" ht="24.95" customHeight="1">
      <c r="A1548" s="575"/>
      <c r="B1548" s="139" t="s">
        <v>1164</v>
      </c>
      <c r="C1548" s="585">
        <v>1</v>
      </c>
      <c r="D1548" s="585"/>
      <c r="E1548" s="585">
        <v>2</v>
      </c>
      <c r="F1548" s="256"/>
      <c r="G1548" s="256"/>
      <c r="H1548" s="256"/>
      <c r="I1548" s="259">
        <f>PRODUCT(C1548:H1548)</f>
        <v>2</v>
      </c>
      <c r="J1548" s="266" t="s">
        <v>522</v>
      </c>
    </row>
    <row r="1549" spans="1:10" ht="24.95" customHeight="1">
      <c r="A1549" s="575"/>
      <c r="B1549" s="139" t="s">
        <v>1165</v>
      </c>
      <c r="C1549" s="585">
        <v>1</v>
      </c>
      <c r="D1549" s="585"/>
      <c r="E1549" s="585">
        <v>2</v>
      </c>
      <c r="F1549" s="256"/>
      <c r="G1549" s="256"/>
      <c r="H1549" s="256"/>
      <c r="I1549" s="259">
        <f>PRODUCT(C1549:H1549)</f>
        <v>2</v>
      </c>
      <c r="J1549" s="266" t="s">
        <v>522</v>
      </c>
    </row>
    <row r="1550" spans="1:10" ht="24.95" customHeight="1">
      <c r="A1550" s="239"/>
      <c r="B1550" s="239"/>
      <c r="C1550" s="585"/>
      <c r="D1550" s="585"/>
      <c r="E1550" s="585"/>
      <c r="F1550" s="256"/>
      <c r="G1550" s="256"/>
      <c r="H1550" s="256"/>
      <c r="I1550" s="259"/>
      <c r="J1550" s="266"/>
    </row>
    <row r="1551" spans="1:10" ht="45.75" customHeight="1">
      <c r="A1551" s="575" t="s">
        <v>1166</v>
      </c>
      <c r="B1551" s="142" t="s">
        <v>1167</v>
      </c>
      <c r="C1551" s="585"/>
      <c r="D1551" s="585"/>
      <c r="E1551" s="585"/>
      <c r="F1551" s="256"/>
      <c r="G1551" s="256"/>
      <c r="H1551" s="256"/>
      <c r="I1551" s="256"/>
      <c r="J1551" s="571"/>
    </row>
    <row r="1552" spans="1:10" ht="24.95" customHeight="1">
      <c r="A1552" s="575"/>
      <c r="B1552" s="139" t="s">
        <v>491</v>
      </c>
      <c r="C1552" s="585">
        <v>1</v>
      </c>
      <c r="D1552" s="585"/>
      <c r="E1552" s="585">
        <v>3</v>
      </c>
      <c r="F1552" s="256"/>
      <c r="G1552" s="256"/>
      <c r="H1552" s="256"/>
      <c r="I1552" s="259">
        <f>PRODUCT(C1552:H1552)</f>
        <v>3</v>
      </c>
      <c r="J1552" s="266" t="s">
        <v>54</v>
      </c>
    </row>
    <row r="1553" spans="1:11" ht="36" customHeight="1">
      <c r="A1553" s="575"/>
      <c r="B1553" s="139" t="s">
        <v>1168</v>
      </c>
      <c r="C1553" s="585">
        <v>1</v>
      </c>
      <c r="D1553" s="585"/>
      <c r="E1553" s="585">
        <v>3</v>
      </c>
      <c r="F1553" s="256"/>
      <c r="G1553" s="256"/>
      <c r="H1553" s="256"/>
      <c r="I1553" s="259">
        <f>PRODUCT(C1553:H1553)</f>
        <v>3</v>
      </c>
      <c r="J1553" s="266" t="s">
        <v>54</v>
      </c>
    </row>
    <row r="1554" spans="1:11" ht="24.95" customHeight="1">
      <c r="A1554" s="239"/>
      <c r="B1554" s="239"/>
      <c r="C1554" s="585"/>
      <c r="D1554" s="585"/>
      <c r="E1554" s="585"/>
      <c r="F1554" s="256"/>
      <c r="G1554" s="256"/>
      <c r="H1554" s="256"/>
      <c r="I1554" s="259"/>
      <c r="J1554" s="266"/>
    </row>
    <row r="1555" spans="1:11" ht="24.95" customHeight="1">
      <c r="A1555" s="575">
        <v>57.2</v>
      </c>
      <c r="B1555" s="142" t="s">
        <v>1169</v>
      </c>
      <c r="C1555" s="585">
        <v>1</v>
      </c>
      <c r="D1555" s="585"/>
      <c r="E1555" s="585">
        <v>1</v>
      </c>
      <c r="F1555" s="256"/>
      <c r="G1555" s="256"/>
      <c r="H1555" s="256"/>
      <c r="I1555" s="259">
        <f>PRODUCT(C1555:H1555)</f>
        <v>1</v>
      </c>
      <c r="J1555" s="266" t="s">
        <v>522</v>
      </c>
    </row>
    <row r="1556" spans="1:11" ht="24.95" customHeight="1">
      <c r="A1556" s="239"/>
      <c r="B1556" s="239"/>
      <c r="C1556" s="585"/>
      <c r="D1556" s="585"/>
      <c r="E1556" s="585"/>
      <c r="F1556" s="256"/>
      <c r="G1556" s="256"/>
      <c r="H1556" s="256"/>
      <c r="I1556" s="259"/>
      <c r="J1556" s="266"/>
    </row>
    <row r="1557" spans="1:11" ht="24.95" customHeight="1">
      <c r="A1557" s="575"/>
      <c r="B1557" s="139" t="s">
        <v>1170</v>
      </c>
      <c r="C1557" s="585"/>
      <c r="D1557" s="585"/>
      <c r="E1557" s="585"/>
      <c r="F1557" s="256"/>
      <c r="G1557" s="256"/>
      <c r="H1557" s="256"/>
      <c r="I1557" s="256"/>
      <c r="J1557" s="571"/>
    </row>
    <row r="1558" spans="1:11" ht="24.95" customHeight="1">
      <c r="A1558" s="575"/>
      <c r="B1558" s="139" t="s">
        <v>1171</v>
      </c>
      <c r="C1558" s="585">
        <v>2</v>
      </c>
      <c r="D1558" s="585" t="s">
        <v>56</v>
      </c>
      <c r="E1558" s="585">
        <v>9</v>
      </c>
      <c r="F1558" s="256">
        <v>1</v>
      </c>
      <c r="G1558" s="256"/>
      <c r="H1558" s="256"/>
      <c r="I1558" s="565">
        <f>PRODUCT(C1558:H1558)</f>
        <v>18</v>
      </c>
      <c r="J1558" s="571" t="s">
        <v>4</v>
      </c>
    </row>
    <row r="1559" spans="1:11" ht="24.95" customHeight="1">
      <c r="A1559" s="239"/>
      <c r="B1559" s="239"/>
      <c r="C1559" s="585"/>
      <c r="D1559" s="585"/>
      <c r="E1559" s="585"/>
      <c r="F1559" s="256"/>
      <c r="G1559" s="256"/>
      <c r="H1559" s="256"/>
      <c r="I1559" s="259"/>
      <c r="J1559" s="266"/>
    </row>
    <row r="1560" spans="1:11" ht="24.95" customHeight="1">
      <c r="A1560" s="575"/>
      <c r="B1560" s="142"/>
      <c r="C1560" s="585"/>
      <c r="D1560" s="585"/>
      <c r="E1560" s="585"/>
      <c r="F1560" s="256"/>
      <c r="G1560" s="256"/>
      <c r="H1560" s="259"/>
      <c r="I1560" s="259"/>
      <c r="J1560" s="266"/>
      <c r="K1560" s="570">
        <f>PRODUCT(C1567:H1567)</f>
        <v>296.49360000000001</v>
      </c>
    </row>
    <row r="1561" spans="1:11" ht="42" customHeight="1">
      <c r="A1561" s="575" t="s">
        <v>1172</v>
      </c>
      <c r="B1561" s="142" t="s">
        <v>1173</v>
      </c>
      <c r="C1561" s="585"/>
      <c r="D1561" s="585"/>
      <c r="E1561" s="585"/>
      <c r="F1561" s="256"/>
      <c r="G1561" s="256"/>
      <c r="H1561" s="256"/>
      <c r="I1561" s="256"/>
      <c r="J1561" s="266"/>
    </row>
    <row r="1562" spans="1:11" ht="24.95" customHeight="1">
      <c r="A1562" s="575"/>
      <c r="B1562" s="139" t="s">
        <v>1174</v>
      </c>
      <c r="C1562" s="585">
        <v>1</v>
      </c>
      <c r="D1562" s="585"/>
      <c r="E1562" s="585">
        <v>1</v>
      </c>
      <c r="F1562" s="256">
        <f>I758</f>
        <v>1879</v>
      </c>
      <c r="G1562" s="256"/>
      <c r="H1562" s="256"/>
      <c r="I1562" s="256">
        <f>PRODUCT(C1562:H1562)</f>
        <v>1879</v>
      </c>
      <c r="J1562" s="571"/>
    </row>
    <row r="1563" spans="1:11" ht="24.95" customHeight="1">
      <c r="A1563" s="575"/>
      <c r="B1563" s="139"/>
      <c r="C1563" s="585"/>
      <c r="D1563" s="585"/>
      <c r="E1563" s="585"/>
      <c r="F1563" s="256"/>
      <c r="G1563" s="256"/>
      <c r="H1563" s="256"/>
      <c r="I1563" s="256">
        <f>SUM(I1562:I1562)</f>
        <v>1879</v>
      </c>
      <c r="J1563" s="571"/>
    </row>
    <row r="1564" spans="1:11" ht="24.95" customHeight="1">
      <c r="A1564" s="575"/>
      <c r="B1564" s="139"/>
      <c r="C1564" s="585"/>
      <c r="D1564" s="585"/>
      <c r="E1564" s="585"/>
      <c r="F1564" s="256"/>
      <c r="G1564" s="256"/>
      <c r="H1564" s="259" t="s">
        <v>15</v>
      </c>
      <c r="I1564" s="259">
        <f>ROUNDUP(I1563,1-0)</f>
        <v>1879</v>
      </c>
      <c r="J1564" s="266" t="s">
        <v>37</v>
      </c>
    </row>
    <row r="1565" spans="1:11" ht="24.95" customHeight="1">
      <c r="A1565" s="575"/>
      <c r="B1565" s="139"/>
      <c r="C1565" s="585"/>
      <c r="D1565" s="585"/>
      <c r="E1565" s="585"/>
      <c r="F1565" s="256"/>
      <c r="G1565" s="256"/>
      <c r="H1565" s="256"/>
      <c r="I1565" s="256"/>
      <c r="J1565" s="571"/>
    </row>
    <row r="1566" spans="1:11" ht="24.95" customHeight="1">
      <c r="A1566" s="575" t="s">
        <v>1175</v>
      </c>
      <c r="B1566" s="142" t="s">
        <v>1176</v>
      </c>
      <c r="C1566" s="585"/>
      <c r="D1566" s="585"/>
      <c r="E1566" s="585"/>
      <c r="F1566" s="256"/>
      <c r="G1566" s="256"/>
      <c r="H1566" s="256"/>
      <c r="I1566" s="256"/>
      <c r="J1566" s="571"/>
    </row>
    <row r="1567" spans="1:11" ht="24.95" customHeight="1">
      <c r="A1567" s="575"/>
      <c r="B1567" s="139" t="s">
        <v>697</v>
      </c>
      <c r="C1567" s="585">
        <v>1</v>
      </c>
      <c r="D1567" s="585" t="s">
        <v>56</v>
      </c>
      <c r="E1567" s="585">
        <v>1</v>
      </c>
      <c r="F1567" s="256">
        <v>21.93</v>
      </c>
      <c r="G1567" s="256">
        <v>13.52</v>
      </c>
      <c r="H1567" s="256"/>
      <c r="I1567" s="256">
        <f t="shared" ref="I1567:I1577" si="78">PRODUCT(C1567:H1567)</f>
        <v>296.49360000000001</v>
      </c>
      <c r="J1567" s="571"/>
    </row>
    <row r="1568" spans="1:11" ht="24.95" customHeight="1">
      <c r="A1568" s="575"/>
      <c r="B1568" s="139" t="s">
        <v>1104</v>
      </c>
      <c r="C1568" s="585">
        <v>1</v>
      </c>
      <c r="D1568" s="585" t="s">
        <v>56</v>
      </c>
      <c r="E1568" s="585">
        <v>1</v>
      </c>
      <c r="F1568" s="256">
        <v>70.900000000000006</v>
      </c>
      <c r="G1568" s="256"/>
      <c r="H1568" s="256">
        <v>0.1</v>
      </c>
      <c r="I1568" s="256">
        <f t="shared" si="78"/>
        <v>7.0900000000000007</v>
      </c>
      <c r="J1568" s="571"/>
    </row>
    <row r="1569" spans="1:12" ht="24.95" customHeight="1">
      <c r="A1569" s="575"/>
      <c r="B1569" s="139" t="s">
        <v>1177</v>
      </c>
      <c r="C1569" s="585">
        <v>1</v>
      </c>
      <c r="D1569" s="585" t="s">
        <v>56</v>
      </c>
      <c r="E1569" s="585">
        <v>-1</v>
      </c>
      <c r="F1569" s="256">
        <v>13.08</v>
      </c>
      <c r="G1569" s="256">
        <v>1.1499999999999999</v>
      </c>
      <c r="H1569" s="256"/>
      <c r="I1569" s="256">
        <f t="shared" si="78"/>
        <v>-15.041999999999998</v>
      </c>
      <c r="J1569" s="571"/>
    </row>
    <row r="1570" spans="1:12" ht="24.95" customHeight="1">
      <c r="A1570" s="575"/>
      <c r="B1570" s="139" t="s">
        <v>1177</v>
      </c>
      <c r="C1570" s="585">
        <v>1</v>
      </c>
      <c r="D1570" s="585" t="s">
        <v>56</v>
      </c>
      <c r="E1570" s="585">
        <v>-1</v>
      </c>
      <c r="F1570" s="256">
        <v>6.05</v>
      </c>
      <c r="G1570" s="256">
        <v>0.6</v>
      </c>
      <c r="H1570" s="256"/>
      <c r="I1570" s="256">
        <f t="shared" si="78"/>
        <v>-3.63</v>
      </c>
      <c r="J1570" s="571"/>
    </row>
    <row r="1571" spans="1:12" ht="24.95" customHeight="1">
      <c r="A1571" s="575"/>
      <c r="B1571" s="139" t="s">
        <v>1177</v>
      </c>
      <c r="C1571" s="585">
        <v>1</v>
      </c>
      <c r="D1571" s="585" t="s">
        <v>56</v>
      </c>
      <c r="E1571" s="585">
        <v>-1</v>
      </c>
      <c r="F1571" s="256">
        <v>6.23</v>
      </c>
      <c r="G1571" s="256">
        <v>0.45</v>
      </c>
      <c r="H1571" s="256"/>
      <c r="I1571" s="256">
        <f t="shared" si="78"/>
        <v>-2.8035000000000001</v>
      </c>
      <c r="J1571" s="571"/>
    </row>
    <row r="1572" spans="1:12" ht="24.95" customHeight="1">
      <c r="A1572" s="575"/>
      <c r="B1572" s="139" t="s">
        <v>698</v>
      </c>
      <c r="C1572" s="585">
        <v>1</v>
      </c>
      <c r="D1572" s="585" t="s">
        <v>56</v>
      </c>
      <c r="E1572" s="585">
        <v>1</v>
      </c>
      <c r="F1572" s="256">
        <v>5.54</v>
      </c>
      <c r="G1572" s="256">
        <v>1.05</v>
      </c>
      <c r="H1572" s="256"/>
      <c r="I1572" s="256">
        <f t="shared" si="78"/>
        <v>5.8170000000000002</v>
      </c>
      <c r="J1572" s="571"/>
    </row>
    <row r="1573" spans="1:12" ht="24.95" customHeight="1">
      <c r="A1573" s="575"/>
      <c r="B1573" s="139" t="s">
        <v>1069</v>
      </c>
      <c r="C1573" s="585">
        <v>1</v>
      </c>
      <c r="D1573" s="585" t="s">
        <v>56</v>
      </c>
      <c r="E1573" s="585">
        <v>1</v>
      </c>
      <c r="F1573" s="256">
        <v>1.96</v>
      </c>
      <c r="G1573" s="256">
        <v>1.05</v>
      </c>
      <c r="H1573" s="256"/>
      <c r="I1573" s="256">
        <f t="shared" si="78"/>
        <v>2.0579999999999998</v>
      </c>
      <c r="J1573" s="571"/>
    </row>
    <row r="1574" spans="1:12" ht="24.95" customHeight="1">
      <c r="A1574" s="575"/>
      <c r="B1574" s="139" t="s">
        <v>1178</v>
      </c>
      <c r="C1574" s="585">
        <v>1</v>
      </c>
      <c r="D1574" s="585" t="s">
        <v>56</v>
      </c>
      <c r="E1574" s="585">
        <v>1</v>
      </c>
      <c r="F1574" s="256">
        <v>19.2</v>
      </c>
      <c r="G1574" s="256">
        <v>12.03</v>
      </c>
      <c r="H1574" s="256"/>
      <c r="I1574" s="256">
        <f t="shared" si="78"/>
        <v>230.97599999999997</v>
      </c>
      <c r="J1574" s="571"/>
    </row>
    <row r="1575" spans="1:12" ht="39.75" customHeight="1">
      <c r="A1575" s="575"/>
      <c r="B1575" s="139" t="s">
        <v>1104</v>
      </c>
      <c r="C1575" s="585">
        <v>1</v>
      </c>
      <c r="D1575" s="585" t="s">
        <v>56</v>
      </c>
      <c r="E1575" s="585">
        <v>1</v>
      </c>
      <c r="F1575" s="256">
        <v>62.46</v>
      </c>
      <c r="G1575" s="256"/>
      <c r="H1575" s="256">
        <v>0.1</v>
      </c>
      <c r="I1575" s="256">
        <f t="shared" si="78"/>
        <v>6.2460000000000004</v>
      </c>
      <c r="J1575" s="571"/>
    </row>
    <row r="1576" spans="1:12" ht="24.95" customHeight="1">
      <c r="A1576" s="575"/>
      <c r="B1576" s="139" t="s">
        <v>1179</v>
      </c>
      <c r="C1576" s="585">
        <v>1</v>
      </c>
      <c r="D1576" s="585" t="s">
        <v>56</v>
      </c>
      <c r="E1576" s="585">
        <v>1</v>
      </c>
      <c r="F1576" s="256">
        <v>7.26</v>
      </c>
      <c r="G1576" s="256">
        <v>4.1100000000000003</v>
      </c>
      <c r="H1576" s="256"/>
      <c r="I1576" s="256">
        <f t="shared" si="78"/>
        <v>29.838600000000003</v>
      </c>
      <c r="J1576" s="571"/>
    </row>
    <row r="1577" spans="1:12" ht="24.95" customHeight="1">
      <c r="A1577" s="575"/>
      <c r="B1577" s="139" t="s">
        <v>1104</v>
      </c>
      <c r="C1577" s="585">
        <v>1</v>
      </c>
      <c r="D1577" s="585" t="s">
        <v>56</v>
      </c>
      <c r="E1577" s="585">
        <v>1</v>
      </c>
      <c r="F1577" s="256">
        <v>22.74</v>
      </c>
      <c r="G1577" s="256"/>
      <c r="H1577" s="256">
        <v>0.1</v>
      </c>
      <c r="I1577" s="256">
        <f t="shared" si="78"/>
        <v>2.274</v>
      </c>
      <c r="J1577" s="571"/>
    </row>
    <row r="1578" spans="1:12" ht="42.75" customHeight="1">
      <c r="A1578" s="575"/>
      <c r="B1578" s="139"/>
      <c r="C1578" s="585"/>
      <c r="D1578" s="585"/>
      <c r="E1578" s="585"/>
      <c r="F1578" s="256"/>
      <c r="G1578" s="256"/>
      <c r="H1578" s="256"/>
      <c r="I1578" s="256">
        <f>SUM(I1567:I1577)</f>
        <v>559.31770000000006</v>
      </c>
      <c r="J1578" s="571"/>
    </row>
    <row r="1579" spans="1:12" ht="24.95" customHeight="1">
      <c r="A1579" s="575"/>
      <c r="B1579" s="139"/>
      <c r="C1579" s="585"/>
      <c r="D1579" s="585"/>
      <c r="E1579" s="585"/>
      <c r="F1579" s="256"/>
      <c r="G1579" s="256"/>
      <c r="H1579" s="259" t="s">
        <v>15</v>
      </c>
      <c r="I1579" s="259">
        <f>ROUNDUP(I1578,1-0)</f>
        <v>559.4</v>
      </c>
      <c r="J1579" s="266" t="s">
        <v>37</v>
      </c>
    </row>
    <row r="1580" spans="1:12" ht="24.95" customHeight="1">
      <c r="A1580" s="570"/>
      <c r="B1580" s="570"/>
      <c r="C1580" s="578"/>
      <c r="D1580" s="578"/>
      <c r="E1580" s="578"/>
    </row>
    <row r="1581" spans="1:12" s="622" customFormat="1" ht="26.45" customHeight="1">
      <c r="A1581" s="575">
        <v>147</v>
      </c>
      <c r="B1581" s="139" t="s">
        <v>1180</v>
      </c>
      <c r="C1581" s="585"/>
      <c r="D1581" s="585"/>
      <c r="E1581" s="585"/>
      <c r="F1581" s="256"/>
      <c r="G1581" s="256"/>
      <c r="H1581" s="256"/>
      <c r="I1581" s="256"/>
      <c r="J1581" s="571"/>
      <c r="K1581" s="621"/>
      <c r="L1581" s="621"/>
    </row>
    <row r="1582" spans="1:12" s="622" customFormat="1" ht="25.15" customHeight="1">
      <c r="A1582" s="575"/>
      <c r="B1582" s="139" t="s">
        <v>1030</v>
      </c>
      <c r="C1582" s="585">
        <v>1</v>
      </c>
      <c r="D1582" s="585">
        <v>3</v>
      </c>
      <c r="E1582" s="585"/>
      <c r="F1582" s="256"/>
      <c r="G1582" s="256"/>
      <c r="H1582" s="256"/>
      <c r="I1582" s="256">
        <v>3</v>
      </c>
      <c r="J1582" s="571"/>
      <c r="K1582" s="621"/>
      <c r="L1582" s="621"/>
    </row>
    <row r="1583" spans="1:12" s="622" customFormat="1" ht="22.15" customHeight="1">
      <c r="A1583" s="575"/>
      <c r="B1583" s="139" t="s">
        <v>477</v>
      </c>
      <c r="C1583" s="585">
        <v>1</v>
      </c>
      <c r="D1583" s="585">
        <v>1</v>
      </c>
      <c r="E1583" s="585"/>
      <c r="F1583" s="256"/>
      <c r="G1583" s="256"/>
      <c r="H1583" s="256"/>
      <c r="I1583" s="256">
        <v>1</v>
      </c>
      <c r="J1583" s="571"/>
      <c r="K1583" s="623"/>
      <c r="L1583" s="623"/>
    </row>
    <row r="1584" spans="1:12" ht="24.95" customHeight="1">
      <c r="A1584" s="575"/>
      <c r="B1584" s="139" t="s">
        <v>1031</v>
      </c>
      <c r="C1584" s="585">
        <v>1</v>
      </c>
      <c r="D1584" s="585">
        <v>3</v>
      </c>
      <c r="E1584" s="585"/>
      <c r="F1584" s="256"/>
      <c r="G1584" s="256"/>
      <c r="H1584" s="256"/>
      <c r="I1584" s="256">
        <v>3</v>
      </c>
      <c r="J1584" s="571"/>
    </row>
    <row r="1585" spans="1:10" ht="24.95" customHeight="1">
      <c r="A1585" s="575"/>
      <c r="B1585" s="139"/>
      <c r="C1585" s="585"/>
      <c r="D1585" s="585"/>
      <c r="E1585" s="585"/>
      <c r="F1585" s="256"/>
      <c r="G1585" s="256"/>
      <c r="H1585" s="256"/>
      <c r="I1585" s="256">
        <f>SUM(I1582:I1584)</f>
        <v>7</v>
      </c>
      <c r="J1585" s="571" t="s">
        <v>1032</v>
      </c>
    </row>
    <row r="1586" spans="1:10" ht="24.95" customHeight="1">
      <c r="A1586" s="575"/>
      <c r="B1586" s="139"/>
      <c r="C1586" s="585"/>
      <c r="D1586" s="585"/>
      <c r="E1586" s="585"/>
      <c r="F1586" s="256"/>
      <c r="G1586" s="256"/>
      <c r="H1586" s="256"/>
      <c r="I1586" s="256"/>
      <c r="J1586" s="571"/>
    </row>
    <row r="1587" spans="1:10" ht="36" customHeight="1">
      <c r="A1587" s="220">
        <v>53.4</v>
      </c>
      <c r="B1587" s="219" t="s">
        <v>191</v>
      </c>
      <c r="C1587" s="223"/>
      <c r="D1587" s="217"/>
      <c r="E1587" s="223"/>
      <c r="F1587" s="218"/>
      <c r="G1587" s="218"/>
      <c r="H1587" s="218"/>
      <c r="I1587" s="218"/>
      <c r="J1587" s="583"/>
    </row>
    <row r="1588" spans="1:10" ht="24.95" customHeight="1">
      <c r="A1588" s="220"/>
      <c r="B1588" s="221" t="s">
        <v>780</v>
      </c>
      <c r="C1588" s="223">
        <v>1</v>
      </c>
      <c r="D1588" s="217" t="s">
        <v>56</v>
      </c>
      <c r="E1588" s="223">
        <v>2</v>
      </c>
      <c r="F1588" s="218"/>
      <c r="G1588" s="218"/>
      <c r="H1588" s="218"/>
      <c r="I1588" s="218">
        <f t="shared" ref="I1588" si="79">PRODUCT(C1588:H1588)</f>
        <v>2</v>
      </c>
      <c r="J1588" s="583"/>
    </row>
    <row r="1589" spans="1:10" ht="24.95" customHeight="1">
      <c r="A1589" s="220"/>
      <c r="B1589" s="220"/>
      <c r="C1589" s="223"/>
      <c r="D1589" s="217"/>
      <c r="E1589" s="223"/>
      <c r="F1589" s="218"/>
      <c r="G1589" s="218"/>
      <c r="H1589" s="224" t="s">
        <v>57</v>
      </c>
      <c r="I1589" s="224">
        <f>SUM(I1588:I1588)</f>
        <v>2</v>
      </c>
      <c r="J1589" s="584" t="s">
        <v>54</v>
      </c>
    </row>
    <row r="1590" spans="1:10" ht="24.95" customHeight="1">
      <c r="A1590" s="575"/>
      <c r="B1590" s="139"/>
      <c r="C1590" s="585"/>
      <c r="D1590" s="585"/>
      <c r="E1590" s="585"/>
      <c r="F1590" s="256"/>
      <c r="G1590" s="256"/>
      <c r="H1590" s="256"/>
      <c r="I1590" s="259"/>
      <c r="J1590" s="266"/>
    </row>
    <row r="1591" spans="1:10" ht="24.95" customHeight="1">
      <c r="A1591" s="575"/>
      <c r="B1591" s="139"/>
      <c r="C1591" s="585"/>
      <c r="D1591" s="585"/>
      <c r="E1591" s="585"/>
      <c r="F1591" s="256"/>
      <c r="G1591" s="256"/>
      <c r="H1591" s="256"/>
      <c r="I1591" s="259"/>
      <c r="J1591" s="266"/>
    </row>
    <row r="1592" spans="1:10" ht="24.95" customHeight="1">
      <c r="A1592" s="570"/>
      <c r="B1592" s="570"/>
      <c r="C1592" s="578"/>
      <c r="D1592" s="578"/>
      <c r="E1592" s="578"/>
    </row>
    <row r="1594" spans="1:10" ht="24.95" customHeight="1">
      <c r="A1594" s="570"/>
      <c r="B1594" s="570"/>
      <c r="C1594" s="578"/>
      <c r="D1594" s="578"/>
      <c r="E1594" s="578"/>
    </row>
    <row r="1595" spans="1:10" ht="24.95" customHeight="1">
      <c r="A1595" s="570"/>
      <c r="B1595" s="570"/>
      <c r="C1595" s="578"/>
      <c r="D1595" s="578"/>
      <c r="E1595" s="578"/>
    </row>
    <row r="1596" spans="1:10" ht="24.95" customHeight="1">
      <c r="A1596" s="570"/>
      <c r="B1596" s="570"/>
      <c r="C1596" s="578"/>
      <c r="D1596" s="578"/>
      <c r="E1596" s="578"/>
    </row>
    <row r="1597" spans="1:10" ht="24.95" customHeight="1">
      <c r="A1597" s="570"/>
      <c r="B1597" s="570"/>
      <c r="C1597" s="578"/>
      <c r="D1597" s="578"/>
      <c r="E1597" s="578"/>
    </row>
    <row r="1598" spans="1:10" ht="24.95" customHeight="1">
      <c r="A1598" s="570"/>
      <c r="B1598" s="570"/>
      <c r="C1598" s="578"/>
      <c r="D1598" s="578"/>
      <c r="E1598" s="578"/>
    </row>
    <row r="1599" spans="1:10" ht="24.95" customHeight="1">
      <c r="A1599" s="575"/>
      <c r="B1599" s="139"/>
      <c r="C1599" s="585"/>
      <c r="D1599" s="585"/>
      <c r="E1599" s="585"/>
      <c r="F1599" s="256"/>
      <c r="G1599" s="256"/>
      <c r="H1599" s="256"/>
      <c r="I1599" s="256"/>
      <c r="J1599" s="571"/>
    </row>
    <row r="1600" spans="1:10" ht="24.95" customHeight="1">
      <c r="A1600" s="570"/>
      <c r="B1600" s="570"/>
      <c r="C1600" s="578"/>
      <c r="D1600" s="578"/>
      <c r="E1600" s="578"/>
    </row>
    <row r="1601" spans="3:10" s="570" customFormat="1" ht="24.95" customHeight="1">
      <c r="C1601" s="578"/>
      <c r="D1601" s="578"/>
      <c r="E1601" s="578"/>
      <c r="F1601" s="582"/>
      <c r="G1601" s="582"/>
      <c r="H1601" s="582"/>
      <c r="I1601" s="582"/>
      <c r="J1601" s="620"/>
    </row>
    <row r="1602" spans="3:10" s="570" customFormat="1" ht="24.95" customHeight="1">
      <c r="C1602" s="578"/>
      <c r="D1602" s="578"/>
      <c r="E1602" s="578"/>
      <c r="F1602" s="582"/>
      <c r="G1602" s="582"/>
      <c r="H1602" s="582"/>
      <c r="I1602" s="582"/>
      <c r="J1602" s="620"/>
    </row>
    <row r="1603" spans="3:10" s="570" customFormat="1" ht="24.95" customHeight="1">
      <c r="C1603" s="578"/>
      <c r="D1603" s="578"/>
      <c r="E1603" s="578"/>
      <c r="F1603" s="582"/>
      <c r="G1603" s="582"/>
      <c r="H1603" s="582"/>
      <c r="I1603" s="582"/>
      <c r="J1603" s="620"/>
    </row>
    <row r="1604" spans="3:10" s="570" customFormat="1" ht="24.95" customHeight="1">
      <c r="C1604" s="578"/>
      <c r="D1604" s="578"/>
      <c r="E1604" s="578"/>
      <c r="F1604" s="582"/>
      <c r="G1604" s="582"/>
      <c r="H1604" s="582"/>
      <c r="I1604" s="582"/>
      <c r="J1604" s="620"/>
    </row>
    <row r="1605" spans="3:10" s="570" customFormat="1" ht="24.95" customHeight="1">
      <c r="C1605" s="578"/>
      <c r="D1605" s="578"/>
      <c r="E1605" s="578"/>
      <c r="F1605" s="582"/>
      <c r="G1605" s="582"/>
      <c r="H1605" s="582"/>
      <c r="I1605" s="582"/>
      <c r="J1605" s="620"/>
    </row>
  </sheetData>
  <mergeCells count="11">
    <mergeCell ref="G172:I172"/>
    <mergeCell ref="F253:I253"/>
    <mergeCell ref="F886:H886"/>
    <mergeCell ref="A1:J1"/>
    <mergeCell ref="A3:J3"/>
    <mergeCell ref="A4:A5"/>
    <mergeCell ref="B4:B5"/>
    <mergeCell ref="C4:E5"/>
    <mergeCell ref="F4:H4"/>
    <mergeCell ref="I4:I5"/>
    <mergeCell ref="J4:J5"/>
  </mergeCells>
  <pageMargins left="0.6" right="0.6" top="0.7" bottom="0.5" header="0.3" footer="0.3"/>
  <pageSetup paperSize="9" scale="90" orientation="portrait" r:id="rId1"/>
  <headerFooter>
    <oddHeader>&amp;CPage &amp;P&amp;RFire Station, Thiruvaiyaru</oddHeader>
  </headerFooter>
</worksheet>
</file>

<file path=xl/worksheets/sheet2.xml><?xml version="1.0" encoding="utf-8"?>
<worksheet xmlns="http://schemas.openxmlformats.org/spreadsheetml/2006/main" xmlns:r="http://schemas.openxmlformats.org/officeDocument/2006/relationships">
  <sheetPr>
    <tabColor rgb="FFFF0000"/>
  </sheetPr>
  <dimension ref="A1:X1010"/>
  <sheetViews>
    <sheetView showZeros="0" view="pageBreakPreview" zoomScale="50" zoomScaleNormal="40" zoomScaleSheetLayoutView="50" workbookViewId="0">
      <pane xSplit="4" ySplit="4" topLeftCell="G869" activePane="bottomRight" state="frozen"/>
      <selection activeCell="E913" sqref="E913"/>
      <selection pane="topRight" activeCell="E913" sqref="E913"/>
      <selection pane="bottomLeft" activeCell="E913" sqref="E913"/>
      <selection pane="bottomRight" activeCell="G874" sqref="G874"/>
    </sheetView>
  </sheetViews>
  <sheetFormatPr defaultRowHeight="25.5"/>
  <cols>
    <col min="1" max="1" width="10" style="794" customWidth="1"/>
    <col min="2" max="2" width="60.88671875" style="795" customWidth="1"/>
    <col min="3" max="3" width="18.77734375" style="794" customWidth="1"/>
    <col min="4" max="4" width="11" style="795" customWidth="1"/>
    <col min="5" max="5" width="14.6640625" style="796" customWidth="1"/>
    <col min="6" max="10" width="18.6640625" style="794" customWidth="1"/>
    <col min="11" max="11" width="16.44140625" style="797" customWidth="1"/>
    <col min="12" max="12" width="18.6640625" style="798" customWidth="1"/>
    <col min="13" max="13" width="20.21875" style="669" bestFit="1" customWidth="1"/>
    <col min="14" max="14" width="25.6640625" style="669" customWidth="1"/>
    <col min="15" max="15" width="19.44140625" style="669" bestFit="1" customWidth="1"/>
    <col min="16" max="16" width="21.109375" style="669" bestFit="1" customWidth="1"/>
    <col min="17" max="17" width="15.88671875" style="670" bestFit="1" customWidth="1"/>
    <col min="18" max="18" width="8.88671875" style="670"/>
    <col min="19" max="19" width="13.44140625" style="670" bestFit="1" customWidth="1"/>
    <col min="20" max="20" width="8.88671875" style="670"/>
    <col min="21" max="21" width="11.77734375" style="670" bestFit="1" customWidth="1"/>
    <col min="22" max="23" width="8.88671875" style="670"/>
    <col min="24" max="24" width="11.6640625" style="670" bestFit="1" customWidth="1"/>
    <col min="25" max="256" width="8.88671875" style="670"/>
    <col min="257" max="257" width="10" style="670" customWidth="1"/>
    <col min="258" max="258" width="60.88671875" style="670" customWidth="1"/>
    <col min="259" max="259" width="18.77734375" style="670" customWidth="1"/>
    <col min="260" max="260" width="11" style="670" customWidth="1"/>
    <col min="261" max="261" width="14.6640625" style="670" customWidth="1"/>
    <col min="262" max="266" width="18.6640625" style="670" customWidth="1"/>
    <col min="267" max="267" width="16.44140625" style="670" customWidth="1"/>
    <col min="268" max="268" width="18.6640625" style="670" customWidth="1"/>
    <col min="269" max="269" width="20.21875" style="670" bestFit="1" customWidth="1"/>
    <col min="270" max="270" width="25.6640625" style="670" customWidth="1"/>
    <col min="271" max="271" width="19.44140625" style="670" bestFit="1" customWidth="1"/>
    <col min="272" max="272" width="21.109375" style="670" bestFit="1" customWidth="1"/>
    <col min="273" max="273" width="15.88671875" style="670" bestFit="1" customWidth="1"/>
    <col min="274" max="274" width="8.88671875" style="670"/>
    <col min="275" max="275" width="13.44140625" style="670" bestFit="1" customWidth="1"/>
    <col min="276" max="276" width="8.88671875" style="670"/>
    <col min="277" max="277" width="11.77734375" style="670" bestFit="1" customWidth="1"/>
    <col min="278" max="279" width="8.88671875" style="670"/>
    <col min="280" max="280" width="11.6640625" style="670" bestFit="1" customWidth="1"/>
    <col min="281" max="512" width="8.88671875" style="670"/>
    <col min="513" max="513" width="10" style="670" customWidth="1"/>
    <col min="514" max="514" width="60.88671875" style="670" customWidth="1"/>
    <col min="515" max="515" width="18.77734375" style="670" customWidth="1"/>
    <col min="516" max="516" width="11" style="670" customWidth="1"/>
    <col min="517" max="517" width="14.6640625" style="670" customWidth="1"/>
    <col min="518" max="522" width="18.6640625" style="670" customWidth="1"/>
    <col min="523" max="523" width="16.44140625" style="670" customWidth="1"/>
    <col min="524" max="524" width="18.6640625" style="670" customWidth="1"/>
    <col min="525" max="525" width="20.21875" style="670" bestFit="1" customWidth="1"/>
    <col min="526" max="526" width="25.6640625" style="670" customWidth="1"/>
    <col min="527" max="527" width="19.44140625" style="670" bestFit="1" customWidth="1"/>
    <col min="528" max="528" width="21.109375" style="670" bestFit="1" customWidth="1"/>
    <col min="529" max="529" width="15.88671875" style="670" bestFit="1" customWidth="1"/>
    <col min="530" max="530" width="8.88671875" style="670"/>
    <col min="531" max="531" width="13.44140625" style="670" bestFit="1" customWidth="1"/>
    <col min="532" max="532" width="8.88671875" style="670"/>
    <col min="533" max="533" width="11.77734375" style="670" bestFit="1" customWidth="1"/>
    <col min="534" max="535" width="8.88671875" style="670"/>
    <col min="536" max="536" width="11.6640625" style="670" bestFit="1" customWidth="1"/>
    <col min="537" max="768" width="8.88671875" style="670"/>
    <col min="769" max="769" width="10" style="670" customWidth="1"/>
    <col min="770" max="770" width="60.88671875" style="670" customWidth="1"/>
    <col min="771" max="771" width="18.77734375" style="670" customWidth="1"/>
    <col min="772" max="772" width="11" style="670" customWidth="1"/>
    <col min="773" max="773" width="14.6640625" style="670" customWidth="1"/>
    <col min="774" max="778" width="18.6640625" style="670" customWidth="1"/>
    <col min="779" max="779" width="16.44140625" style="670" customWidth="1"/>
    <col min="780" max="780" width="18.6640625" style="670" customWidth="1"/>
    <col min="781" max="781" width="20.21875" style="670" bestFit="1" customWidth="1"/>
    <col min="782" max="782" width="25.6640625" style="670" customWidth="1"/>
    <col min="783" max="783" width="19.44140625" style="670" bestFit="1" customWidth="1"/>
    <col min="784" max="784" width="21.109375" style="670" bestFit="1" customWidth="1"/>
    <col min="785" max="785" width="15.88671875" style="670" bestFit="1" customWidth="1"/>
    <col min="786" max="786" width="8.88671875" style="670"/>
    <col min="787" max="787" width="13.44140625" style="670" bestFit="1" customWidth="1"/>
    <col min="788" max="788" width="8.88671875" style="670"/>
    <col min="789" max="789" width="11.77734375" style="670" bestFit="1" customWidth="1"/>
    <col min="790" max="791" width="8.88671875" style="670"/>
    <col min="792" max="792" width="11.6640625" style="670" bestFit="1" customWidth="1"/>
    <col min="793" max="1024" width="8.88671875" style="670"/>
    <col min="1025" max="1025" width="10" style="670" customWidth="1"/>
    <col min="1026" max="1026" width="60.88671875" style="670" customWidth="1"/>
    <col min="1027" max="1027" width="18.77734375" style="670" customWidth="1"/>
    <col min="1028" max="1028" width="11" style="670" customWidth="1"/>
    <col min="1029" max="1029" width="14.6640625" style="670" customWidth="1"/>
    <col min="1030" max="1034" width="18.6640625" style="670" customWidth="1"/>
    <col min="1035" max="1035" width="16.44140625" style="670" customWidth="1"/>
    <col min="1036" max="1036" width="18.6640625" style="670" customWidth="1"/>
    <col min="1037" max="1037" width="20.21875" style="670" bestFit="1" customWidth="1"/>
    <col min="1038" max="1038" width="25.6640625" style="670" customWidth="1"/>
    <col min="1039" max="1039" width="19.44140625" style="670" bestFit="1" customWidth="1"/>
    <col min="1040" max="1040" width="21.109375" style="670" bestFit="1" customWidth="1"/>
    <col min="1041" max="1041" width="15.88671875" style="670" bestFit="1" customWidth="1"/>
    <col min="1042" max="1042" width="8.88671875" style="670"/>
    <col min="1043" max="1043" width="13.44140625" style="670" bestFit="1" customWidth="1"/>
    <col min="1044" max="1044" width="8.88671875" style="670"/>
    <col min="1045" max="1045" width="11.77734375" style="670" bestFit="1" customWidth="1"/>
    <col min="1046" max="1047" width="8.88671875" style="670"/>
    <col min="1048" max="1048" width="11.6640625" style="670" bestFit="1" customWidth="1"/>
    <col min="1049" max="1280" width="8.88671875" style="670"/>
    <col min="1281" max="1281" width="10" style="670" customWidth="1"/>
    <col min="1282" max="1282" width="60.88671875" style="670" customWidth="1"/>
    <col min="1283" max="1283" width="18.77734375" style="670" customWidth="1"/>
    <col min="1284" max="1284" width="11" style="670" customWidth="1"/>
    <col min="1285" max="1285" width="14.6640625" style="670" customWidth="1"/>
    <col min="1286" max="1290" width="18.6640625" style="670" customWidth="1"/>
    <col min="1291" max="1291" width="16.44140625" style="670" customWidth="1"/>
    <col min="1292" max="1292" width="18.6640625" style="670" customWidth="1"/>
    <col min="1293" max="1293" width="20.21875" style="670" bestFit="1" customWidth="1"/>
    <col min="1294" max="1294" width="25.6640625" style="670" customWidth="1"/>
    <col min="1295" max="1295" width="19.44140625" style="670" bestFit="1" customWidth="1"/>
    <col min="1296" max="1296" width="21.109375" style="670" bestFit="1" customWidth="1"/>
    <col min="1297" max="1297" width="15.88671875" style="670" bestFit="1" customWidth="1"/>
    <col min="1298" max="1298" width="8.88671875" style="670"/>
    <col min="1299" max="1299" width="13.44140625" style="670" bestFit="1" customWidth="1"/>
    <col min="1300" max="1300" width="8.88671875" style="670"/>
    <col min="1301" max="1301" width="11.77734375" style="670" bestFit="1" customWidth="1"/>
    <col min="1302" max="1303" width="8.88671875" style="670"/>
    <col min="1304" max="1304" width="11.6640625" style="670" bestFit="1" customWidth="1"/>
    <col min="1305" max="1536" width="8.88671875" style="670"/>
    <col min="1537" max="1537" width="10" style="670" customWidth="1"/>
    <col min="1538" max="1538" width="60.88671875" style="670" customWidth="1"/>
    <col min="1539" max="1539" width="18.77734375" style="670" customWidth="1"/>
    <col min="1540" max="1540" width="11" style="670" customWidth="1"/>
    <col min="1541" max="1541" width="14.6640625" style="670" customWidth="1"/>
    <col min="1542" max="1546" width="18.6640625" style="670" customWidth="1"/>
    <col min="1547" max="1547" width="16.44140625" style="670" customWidth="1"/>
    <col min="1548" max="1548" width="18.6640625" style="670" customWidth="1"/>
    <col min="1549" max="1549" width="20.21875" style="670" bestFit="1" customWidth="1"/>
    <col min="1550" max="1550" width="25.6640625" style="670" customWidth="1"/>
    <col min="1551" max="1551" width="19.44140625" style="670" bestFit="1" customWidth="1"/>
    <col min="1552" max="1552" width="21.109375" style="670" bestFit="1" customWidth="1"/>
    <col min="1553" max="1553" width="15.88671875" style="670" bestFit="1" customWidth="1"/>
    <col min="1554" max="1554" width="8.88671875" style="670"/>
    <col min="1555" max="1555" width="13.44140625" style="670" bestFit="1" customWidth="1"/>
    <col min="1556" max="1556" width="8.88671875" style="670"/>
    <col min="1557" max="1557" width="11.77734375" style="670" bestFit="1" customWidth="1"/>
    <col min="1558" max="1559" width="8.88671875" style="670"/>
    <col min="1560" max="1560" width="11.6640625" style="670" bestFit="1" customWidth="1"/>
    <col min="1561" max="1792" width="8.88671875" style="670"/>
    <col min="1793" max="1793" width="10" style="670" customWidth="1"/>
    <col min="1794" max="1794" width="60.88671875" style="670" customWidth="1"/>
    <col min="1795" max="1795" width="18.77734375" style="670" customWidth="1"/>
    <col min="1796" max="1796" width="11" style="670" customWidth="1"/>
    <col min="1797" max="1797" width="14.6640625" style="670" customWidth="1"/>
    <col min="1798" max="1802" width="18.6640625" style="670" customWidth="1"/>
    <col min="1803" max="1803" width="16.44140625" style="670" customWidth="1"/>
    <col min="1804" max="1804" width="18.6640625" style="670" customWidth="1"/>
    <col min="1805" max="1805" width="20.21875" style="670" bestFit="1" customWidth="1"/>
    <col min="1806" max="1806" width="25.6640625" style="670" customWidth="1"/>
    <col min="1807" max="1807" width="19.44140625" style="670" bestFit="1" customWidth="1"/>
    <col min="1808" max="1808" width="21.109375" style="670" bestFit="1" customWidth="1"/>
    <col min="1809" max="1809" width="15.88671875" style="670" bestFit="1" customWidth="1"/>
    <col min="1810" max="1810" width="8.88671875" style="670"/>
    <col min="1811" max="1811" width="13.44140625" style="670" bestFit="1" customWidth="1"/>
    <col min="1812" max="1812" width="8.88671875" style="670"/>
    <col min="1813" max="1813" width="11.77734375" style="670" bestFit="1" customWidth="1"/>
    <col min="1814" max="1815" width="8.88671875" style="670"/>
    <col min="1816" max="1816" width="11.6640625" style="670" bestFit="1" customWidth="1"/>
    <col min="1817" max="2048" width="8.88671875" style="670"/>
    <col min="2049" max="2049" width="10" style="670" customWidth="1"/>
    <col min="2050" max="2050" width="60.88671875" style="670" customWidth="1"/>
    <col min="2051" max="2051" width="18.77734375" style="670" customWidth="1"/>
    <col min="2052" max="2052" width="11" style="670" customWidth="1"/>
    <col min="2053" max="2053" width="14.6640625" style="670" customWidth="1"/>
    <col min="2054" max="2058" width="18.6640625" style="670" customWidth="1"/>
    <col min="2059" max="2059" width="16.44140625" style="670" customWidth="1"/>
    <col min="2060" max="2060" width="18.6640625" style="670" customWidth="1"/>
    <col min="2061" max="2061" width="20.21875" style="670" bestFit="1" customWidth="1"/>
    <col min="2062" max="2062" width="25.6640625" style="670" customWidth="1"/>
    <col min="2063" max="2063" width="19.44140625" style="670" bestFit="1" customWidth="1"/>
    <col min="2064" max="2064" width="21.109375" style="670" bestFit="1" customWidth="1"/>
    <col min="2065" max="2065" width="15.88671875" style="670" bestFit="1" customWidth="1"/>
    <col min="2066" max="2066" width="8.88671875" style="670"/>
    <col min="2067" max="2067" width="13.44140625" style="670" bestFit="1" customWidth="1"/>
    <col min="2068" max="2068" width="8.88671875" style="670"/>
    <col min="2069" max="2069" width="11.77734375" style="670" bestFit="1" customWidth="1"/>
    <col min="2070" max="2071" width="8.88671875" style="670"/>
    <col min="2072" max="2072" width="11.6640625" style="670" bestFit="1" customWidth="1"/>
    <col min="2073" max="2304" width="8.88671875" style="670"/>
    <col min="2305" max="2305" width="10" style="670" customWidth="1"/>
    <col min="2306" max="2306" width="60.88671875" style="670" customWidth="1"/>
    <col min="2307" max="2307" width="18.77734375" style="670" customWidth="1"/>
    <col min="2308" max="2308" width="11" style="670" customWidth="1"/>
    <col min="2309" max="2309" width="14.6640625" style="670" customWidth="1"/>
    <col min="2310" max="2314" width="18.6640625" style="670" customWidth="1"/>
    <col min="2315" max="2315" width="16.44140625" style="670" customWidth="1"/>
    <col min="2316" max="2316" width="18.6640625" style="670" customWidth="1"/>
    <col min="2317" max="2317" width="20.21875" style="670" bestFit="1" customWidth="1"/>
    <col min="2318" max="2318" width="25.6640625" style="670" customWidth="1"/>
    <col min="2319" max="2319" width="19.44140625" style="670" bestFit="1" customWidth="1"/>
    <col min="2320" max="2320" width="21.109375" style="670" bestFit="1" customWidth="1"/>
    <col min="2321" max="2321" width="15.88671875" style="670" bestFit="1" customWidth="1"/>
    <col min="2322" max="2322" width="8.88671875" style="670"/>
    <col min="2323" max="2323" width="13.44140625" style="670" bestFit="1" customWidth="1"/>
    <col min="2324" max="2324" width="8.88671875" style="670"/>
    <col min="2325" max="2325" width="11.77734375" style="670" bestFit="1" customWidth="1"/>
    <col min="2326" max="2327" width="8.88671875" style="670"/>
    <col min="2328" max="2328" width="11.6640625" style="670" bestFit="1" customWidth="1"/>
    <col min="2329" max="2560" width="8.88671875" style="670"/>
    <col min="2561" max="2561" width="10" style="670" customWidth="1"/>
    <col min="2562" max="2562" width="60.88671875" style="670" customWidth="1"/>
    <col min="2563" max="2563" width="18.77734375" style="670" customWidth="1"/>
    <col min="2564" max="2564" width="11" style="670" customWidth="1"/>
    <col min="2565" max="2565" width="14.6640625" style="670" customWidth="1"/>
    <col min="2566" max="2570" width="18.6640625" style="670" customWidth="1"/>
    <col min="2571" max="2571" width="16.44140625" style="670" customWidth="1"/>
    <col min="2572" max="2572" width="18.6640625" style="670" customWidth="1"/>
    <col min="2573" max="2573" width="20.21875" style="670" bestFit="1" customWidth="1"/>
    <col min="2574" max="2574" width="25.6640625" style="670" customWidth="1"/>
    <col min="2575" max="2575" width="19.44140625" style="670" bestFit="1" customWidth="1"/>
    <col min="2576" max="2576" width="21.109375" style="670" bestFit="1" customWidth="1"/>
    <col min="2577" max="2577" width="15.88671875" style="670" bestFit="1" customWidth="1"/>
    <col min="2578" max="2578" width="8.88671875" style="670"/>
    <col min="2579" max="2579" width="13.44140625" style="670" bestFit="1" customWidth="1"/>
    <col min="2580" max="2580" width="8.88671875" style="670"/>
    <col min="2581" max="2581" width="11.77734375" style="670" bestFit="1" customWidth="1"/>
    <col min="2582" max="2583" width="8.88671875" style="670"/>
    <col min="2584" max="2584" width="11.6640625" style="670" bestFit="1" customWidth="1"/>
    <col min="2585" max="2816" width="8.88671875" style="670"/>
    <col min="2817" max="2817" width="10" style="670" customWidth="1"/>
    <col min="2818" max="2818" width="60.88671875" style="670" customWidth="1"/>
    <col min="2819" max="2819" width="18.77734375" style="670" customWidth="1"/>
    <col min="2820" max="2820" width="11" style="670" customWidth="1"/>
    <col min="2821" max="2821" width="14.6640625" style="670" customWidth="1"/>
    <col min="2822" max="2826" width="18.6640625" style="670" customWidth="1"/>
    <col min="2827" max="2827" width="16.44140625" style="670" customWidth="1"/>
    <col min="2828" max="2828" width="18.6640625" style="670" customWidth="1"/>
    <col min="2829" max="2829" width="20.21875" style="670" bestFit="1" customWidth="1"/>
    <col min="2830" max="2830" width="25.6640625" style="670" customWidth="1"/>
    <col min="2831" max="2831" width="19.44140625" style="670" bestFit="1" customWidth="1"/>
    <col min="2832" max="2832" width="21.109375" style="670" bestFit="1" customWidth="1"/>
    <col min="2833" max="2833" width="15.88671875" style="670" bestFit="1" customWidth="1"/>
    <col min="2834" max="2834" width="8.88671875" style="670"/>
    <col min="2835" max="2835" width="13.44140625" style="670" bestFit="1" customWidth="1"/>
    <col min="2836" max="2836" width="8.88671875" style="670"/>
    <col min="2837" max="2837" width="11.77734375" style="670" bestFit="1" customWidth="1"/>
    <col min="2838" max="2839" width="8.88671875" style="670"/>
    <col min="2840" max="2840" width="11.6640625" style="670" bestFit="1" customWidth="1"/>
    <col min="2841" max="3072" width="8.88671875" style="670"/>
    <col min="3073" max="3073" width="10" style="670" customWidth="1"/>
    <col min="3074" max="3074" width="60.88671875" style="670" customWidth="1"/>
    <col min="3075" max="3075" width="18.77734375" style="670" customWidth="1"/>
    <col min="3076" max="3076" width="11" style="670" customWidth="1"/>
    <col min="3077" max="3077" width="14.6640625" style="670" customWidth="1"/>
    <col min="3078" max="3082" width="18.6640625" style="670" customWidth="1"/>
    <col min="3083" max="3083" width="16.44140625" style="670" customWidth="1"/>
    <col min="3084" max="3084" width="18.6640625" style="670" customWidth="1"/>
    <col min="3085" max="3085" width="20.21875" style="670" bestFit="1" customWidth="1"/>
    <col min="3086" max="3086" width="25.6640625" style="670" customWidth="1"/>
    <col min="3087" max="3087" width="19.44140625" style="670" bestFit="1" customWidth="1"/>
    <col min="3088" max="3088" width="21.109375" style="670" bestFit="1" customWidth="1"/>
    <col min="3089" max="3089" width="15.88671875" style="670" bestFit="1" customWidth="1"/>
    <col min="3090" max="3090" width="8.88671875" style="670"/>
    <col min="3091" max="3091" width="13.44140625" style="670" bestFit="1" customWidth="1"/>
    <col min="3092" max="3092" width="8.88671875" style="670"/>
    <col min="3093" max="3093" width="11.77734375" style="670" bestFit="1" customWidth="1"/>
    <col min="3094" max="3095" width="8.88671875" style="670"/>
    <col min="3096" max="3096" width="11.6640625" style="670" bestFit="1" customWidth="1"/>
    <col min="3097" max="3328" width="8.88671875" style="670"/>
    <col min="3329" max="3329" width="10" style="670" customWidth="1"/>
    <col min="3330" max="3330" width="60.88671875" style="670" customWidth="1"/>
    <col min="3331" max="3331" width="18.77734375" style="670" customWidth="1"/>
    <col min="3332" max="3332" width="11" style="670" customWidth="1"/>
    <col min="3333" max="3333" width="14.6640625" style="670" customWidth="1"/>
    <col min="3334" max="3338" width="18.6640625" style="670" customWidth="1"/>
    <col min="3339" max="3339" width="16.44140625" style="670" customWidth="1"/>
    <col min="3340" max="3340" width="18.6640625" style="670" customWidth="1"/>
    <col min="3341" max="3341" width="20.21875" style="670" bestFit="1" customWidth="1"/>
    <col min="3342" max="3342" width="25.6640625" style="670" customWidth="1"/>
    <col min="3343" max="3343" width="19.44140625" style="670" bestFit="1" customWidth="1"/>
    <col min="3344" max="3344" width="21.109375" style="670" bestFit="1" customWidth="1"/>
    <col min="3345" max="3345" width="15.88671875" style="670" bestFit="1" customWidth="1"/>
    <col min="3346" max="3346" width="8.88671875" style="670"/>
    <col min="3347" max="3347" width="13.44140625" style="670" bestFit="1" customWidth="1"/>
    <col min="3348" max="3348" width="8.88671875" style="670"/>
    <col min="3349" max="3349" width="11.77734375" style="670" bestFit="1" customWidth="1"/>
    <col min="3350" max="3351" width="8.88671875" style="670"/>
    <col min="3352" max="3352" width="11.6640625" style="670" bestFit="1" customWidth="1"/>
    <col min="3353" max="3584" width="8.88671875" style="670"/>
    <col min="3585" max="3585" width="10" style="670" customWidth="1"/>
    <col min="3586" max="3586" width="60.88671875" style="670" customWidth="1"/>
    <col min="3587" max="3587" width="18.77734375" style="670" customWidth="1"/>
    <col min="3588" max="3588" width="11" style="670" customWidth="1"/>
    <col min="3589" max="3589" width="14.6640625" style="670" customWidth="1"/>
    <col min="3590" max="3594" width="18.6640625" style="670" customWidth="1"/>
    <col min="3595" max="3595" width="16.44140625" style="670" customWidth="1"/>
    <col min="3596" max="3596" width="18.6640625" style="670" customWidth="1"/>
    <col min="3597" max="3597" width="20.21875" style="670" bestFit="1" customWidth="1"/>
    <col min="3598" max="3598" width="25.6640625" style="670" customWidth="1"/>
    <col min="3599" max="3599" width="19.44140625" style="670" bestFit="1" customWidth="1"/>
    <col min="3600" max="3600" width="21.109375" style="670" bestFit="1" customWidth="1"/>
    <col min="3601" max="3601" width="15.88671875" style="670" bestFit="1" customWidth="1"/>
    <col min="3602" max="3602" width="8.88671875" style="670"/>
    <col min="3603" max="3603" width="13.44140625" style="670" bestFit="1" customWidth="1"/>
    <col min="3604" max="3604" width="8.88671875" style="670"/>
    <col min="3605" max="3605" width="11.77734375" style="670" bestFit="1" customWidth="1"/>
    <col min="3606" max="3607" width="8.88671875" style="670"/>
    <col min="3608" max="3608" width="11.6640625" style="670" bestFit="1" customWidth="1"/>
    <col min="3609" max="3840" width="8.88671875" style="670"/>
    <col min="3841" max="3841" width="10" style="670" customWidth="1"/>
    <col min="3842" max="3842" width="60.88671875" style="670" customWidth="1"/>
    <col min="3843" max="3843" width="18.77734375" style="670" customWidth="1"/>
    <col min="3844" max="3844" width="11" style="670" customWidth="1"/>
    <col min="3845" max="3845" width="14.6640625" style="670" customWidth="1"/>
    <col min="3846" max="3850" width="18.6640625" style="670" customWidth="1"/>
    <col min="3851" max="3851" width="16.44140625" style="670" customWidth="1"/>
    <col min="3852" max="3852" width="18.6640625" style="670" customWidth="1"/>
    <col min="3853" max="3853" width="20.21875" style="670" bestFit="1" customWidth="1"/>
    <col min="3854" max="3854" width="25.6640625" style="670" customWidth="1"/>
    <col min="3855" max="3855" width="19.44140625" style="670" bestFit="1" customWidth="1"/>
    <col min="3856" max="3856" width="21.109375" style="670" bestFit="1" customWidth="1"/>
    <col min="3857" max="3857" width="15.88671875" style="670" bestFit="1" customWidth="1"/>
    <col min="3858" max="3858" width="8.88671875" style="670"/>
    <col min="3859" max="3859" width="13.44140625" style="670" bestFit="1" customWidth="1"/>
    <col min="3860" max="3860" width="8.88671875" style="670"/>
    <col min="3861" max="3861" width="11.77734375" style="670" bestFit="1" customWidth="1"/>
    <col min="3862" max="3863" width="8.88671875" style="670"/>
    <col min="3864" max="3864" width="11.6640625" style="670" bestFit="1" customWidth="1"/>
    <col min="3865" max="4096" width="8.88671875" style="670"/>
    <col min="4097" max="4097" width="10" style="670" customWidth="1"/>
    <col min="4098" max="4098" width="60.88671875" style="670" customWidth="1"/>
    <col min="4099" max="4099" width="18.77734375" style="670" customWidth="1"/>
    <col min="4100" max="4100" width="11" style="670" customWidth="1"/>
    <col min="4101" max="4101" width="14.6640625" style="670" customWidth="1"/>
    <col min="4102" max="4106" width="18.6640625" style="670" customWidth="1"/>
    <col min="4107" max="4107" width="16.44140625" style="670" customWidth="1"/>
    <col min="4108" max="4108" width="18.6640625" style="670" customWidth="1"/>
    <col min="4109" max="4109" width="20.21875" style="670" bestFit="1" customWidth="1"/>
    <col min="4110" max="4110" width="25.6640625" style="670" customWidth="1"/>
    <col min="4111" max="4111" width="19.44140625" style="670" bestFit="1" customWidth="1"/>
    <col min="4112" max="4112" width="21.109375" style="670" bestFit="1" customWidth="1"/>
    <col min="4113" max="4113" width="15.88671875" style="670" bestFit="1" customWidth="1"/>
    <col min="4114" max="4114" width="8.88671875" style="670"/>
    <col min="4115" max="4115" width="13.44140625" style="670" bestFit="1" customWidth="1"/>
    <col min="4116" max="4116" width="8.88671875" style="670"/>
    <col min="4117" max="4117" width="11.77734375" style="670" bestFit="1" customWidth="1"/>
    <col min="4118" max="4119" width="8.88671875" style="670"/>
    <col min="4120" max="4120" width="11.6640625" style="670" bestFit="1" customWidth="1"/>
    <col min="4121" max="4352" width="8.88671875" style="670"/>
    <col min="4353" max="4353" width="10" style="670" customWidth="1"/>
    <col min="4354" max="4354" width="60.88671875" style="670" customWidth="1"/>
    <col min="4355" max="4355" width="18.77734375" style="670" customWidth="1"/>
    <col min="4356" max="4356" width="11" style="670" customWidth="1"/>
    <col min="4357" max="4357" width="14.6640625" style="670" customWidth="1"/>
    <col min="4358" max="4362" width="18.6640625" style="670" customWidth="1"/>
    <col min="4363" max="4363" width="16.44140625" style="670" customWidth="1"/>
    <col min="4364" max="4364" width="18.6640625" style="670" customWidth="1"/>
    <col min="4365" max="4365" width="20.21875" style="670" bestFit="1" customWidth="1"/>
    <col min="4366" max="4366" width="25.6640625" style="670" customWidth="1"/>
    <col min="4367" max="4367" width="19.44140625" style="670" bestFit="1" customWidth="1"/>
    <col min="4368" max="4368" width="21.109375" style="670" bestFit="1" customWidth="1"/>
    <col min="4369" max="4369" width="15.88671875" style="670" bestFit="1" customWidth="1"/>
    <col min="4370" max="4370" width="8.88671875" style="670"/>
    <col min="4371" max="4371" width="13.44140625" style="670" bestFit="1" customWidth="1"/>
    <col min="4372" max="4372" width="8.88671875" style="670"/>
    <col min="4373" max="4373" width="11.77734375" style="670" bestFit="1" customWidth="1"/>
    <col min="4374" max="4375" width="8.88671875" style="670"/>
    <col min="4376" max="4376" width="11.6640625" style="670" bestFit="1" customWidth="1"/>
    <col min="4377" max="4608" width="8.88671875" style="670"/>
    <col min="4609" max="4609" width="10" style="670" customWidth="1"/>
    <col min="4610" max="4610" width="60.88671875" style="670" customWidth="1"/>
    <col min="4611" max="4611" width="18.77734375" style="670" customWidth="1"/>
    <col min="4612" max="4612" width="11" style="670" customWidth="1"/>
    <col min="4613" max="4613" width="14.6640625" style="670" customWidth="1"/>
    <col min="4614" max="4618" width="18.6640625" style="670" customWidth="1"/>
    <col min="4619" max="4619" width="16.44140625" style="670" customWidth="1"/>
    <col min="4620" max="4620" width="18.6640625" style="670" customWidth="1"/>
    <col min="4621" max="4621" width="20.21875" style="670" bestFit="1" customWidth="1"/>
    <col min="4622" max="4622" width="25.6640625" style="670" customWidth="1"/>
    <col min="4623" max="4623" width="19.44140625" style="670" bestFit="1" customWidth="1"/>
    <col min="4624" max="4624" width="21.109375" style="670" bestFit="1" customWidth="1"/>
    <col min="4625" max="4625" width="15.88671875" style="670" bestFit="1" customWidth="1"/>
    <col min="4626" max="4626" width="8.88671875" style="670"/>
    <col min="4627" max="4627" width="13.44140625" style="670" bestFit="1" customWidth="1"/>
    <col min="4628" max="4628" width="8.88671875" style="670"/>
    <col min="4629" max="4629" width="11.77734375" style="670" bestFit="1" customWidth="1"/>
    <col min="4630" max="4631" width="8.88671875" style="670"/>
    <col min="4632" max="4632" width="11.6640625" style="670" bestFit="1" customWidth="1"/>
    <col min="4633" max="4864" width="8.88671875" style="670"/>
    <col min="4865" max="4865" width="10" style="670" customWidth="1"/>
    <col min="4866" max="4866" width="60.88671875" style="670" customWidth="1"/>
    <col min="4867" max="4867" width="18.77734375" style="670" customWidth="1"/>
    <col min="4868" max="4868" width="11" style="670" customWidth="1"/>
    <col min="4869" max="4869" width="14.6640625" style="670" customWidth="1"/>
    <col min="4870" max="4874" width="18.6640625" style="670" customWidth="1"/>
    <col min="4875" max="4875" width="16.44140625" style="670" customWidth="1"/>
    <col min="4876" max="4876" width="18.6640625" style="670" customWidth="1"/>
    <col min="4877" max="4877" width="20.21875" style="670" bestFit="1" customWidth="1"/>
    <col min="4878" max="4878" width="25.6640625" style="670" customWidth="1"/>
    <col min="4879" max="4879" width="19.44140625" style="670" bestFit="1" customWidth="1"/>
    <col min="4880" max="4880" width="21.109375" style="670" bestFit="1" customWidth="1"/>
    <col min="4881" max="4881" width="15.88671875" style="670" bestFit="1" customWidth="1"/>
    <col min="4882" max="4882" width="8.88671875" style="670"/>
    <col min="4883" max="4883" width="13.44140625" style="670" bestFit="1" customWidth="1"/>
    <col min="4884" max="4884" width="8.88671875" style="670"/>
    <col min="4885" max="4885" width="11.77734375" style="670" bestFit="1" customWidth="1"/>
    <col min="4886" max="4887" width="8.88671875" style="670"/>
    <col min="4888" max="4888" width="11.6640625" style="670" bestFit="1" customWidth="1"/>
    <col min="4889" max="5120" width="8.88671875" style="670"/>
    <col min="5121" max="5121" width="10" style="670" customWidth="1"/>
    <col min="5122" max="5122" width="60.88671875" style="670" customWidth="1"/>
    <col min="5123" max="5123" width="18.77734375" style="670" customWidth="1"/>
    <col min="5124" max="5124" width="11" style="670" customWidth="1"/>
    <col min="5125" max="5125" width="14.6640625" style="670" customWidth="1"/>
    <col min="5126" max="5130" width="18.6640625" style="670" customWidth="1"/>
    <col min="5131" max="5131" width="16.44140625" style="670" customWidth="1"/>
    <col min="5132" max="5132" width="18.6640625" style="670" customWidth="1"/>
    <col min="5133" max="5133" width="20.21875" style="670" bestFit="1" customWidth="1"/>
    <col min="5134" max="5134" width="25.6640625" style="670" customWidth="1"/>
    <col min="5135" max="5135" width="19.44140625" style="670" bestFit="1" customWidth="1"/>
    <col min="5136" max="5136" width="21.109375" style="670" bestFit="1" customWidth="1"/>
    <col min="5137" max="5137" width="15.88671875" style="670" bestFit="1" customWidth="1"/>
    <col min="5138" max="5138" width="8.88671875" style="670"/>
    <col min="5139" max="5139" width="13.44140625" style="670" bestFit="1" customWidth="1"/>
    <col min="5140" max="5140" width="8.88671875" style="670"/>
    <col min="5141" max="5141" width="11.77734375" style="670" bestFit="1" customWidth="1"/>
    <col min="5142" max="5143" width="8.88671875" style="670"/>
    <col min="5144" max="5144" width="11.6640625" style="670" bestFit="1" customWidth="1"/>
    <col min="5145" max="5376" width="8.88671875" style="670"/>
    <col min="5377" max="5377" width="10" style="670" customWidth="1"/>
    <col min="5378" max="5378" width="60.88671875" style="670" customWidth="1"/>
    <col min="5379" max="5379" width="18.77734375" style="670" customWidth="1"/>
    <col min="5380" max="5380" width="11" style="670" customWidth="1"/>
    <col min="5381" max="5381" width="14.6640625" style="670" customWidth="1"/>
    <col min="5382" max="5386" width="18.6640625" style="670" customWidth="1"/>
    <col min="5387" max="5387" width="16.44140625" style="670" customWidth="1"/>
    <col min="5388" max="5388" width="18.6640625" style="670" customWidth="1"/>
    <col min="5389" max="5389" width="20.21875" style="670" bestFit="1" customWidth="1"/>
    <col min="5390" max="5390" width="25.6640625" style="670" customWidth="1"/>
    <col min="5391" max="5391" width="19.44140625" style="670" bestFit="1" customWidth="1"/>
    <col min="5392" max="5392" width="21.109375" style="670" bestFit="1" customWidth="1"/>
    <col min="5393" max="5393" width="15.88671875" style="670" bestFit="1" customWidth="1"/>
    <col min="5394" max="5394" width="8.88671875" style="670"/>
    <col min="5395" max="5395" width="13.44140625" style="670" bestFit="1" customWidth="1"/>
    <col min="5396" max="5396" width="8.88671875" style="670"/>
    <col min="5397" max="5397" width="11.77734375" style="670" bestFit="1" customWidth="1"/>
    <col min="5398" max="5399" width="8.88671875" style="670"/>
    <col min="5400" max="5400" width="11.6640625" style="670" bestFit="1" customWidth="1"/>
    <col min="5401" max="5632" width="8.88671875" style="670"/>
    <col min="5633" max="5633" width="10" style="670" customWidth="1"/>
    <col min="5634" max="5634" width="60.88671875" style="670" customWidth="1"/>
    <col min="5635" max="5635" width="18.77734375" style="670" customWidth="1"/>
    <col min="5636" max="5636" width="11" style="670" customWidth="1"/>
    <col min="5637" max="5637" width="14.6640625" style="670" customWidth="1"/>
    <col min="5638" max="5642" width="18.6640625" style="670" customWidth="1"/>
    <col min="5643" max="5643" width="16.44140625" style="670" customWidth="1"/>
    <col min="5644" max="5644" width="18.6640625" style="670" customWidth="1"/>
    <col min="5645" max="5645" width="20.21875" style="670" bestFit="1" customWidth="1"/>
    <col min="5646" max="5646" width="25.6640625" style="670" customWidth="1"/>
    <col min="5647" max="5647" width="19.44140625" style="670" bestFit="1" customWidth="1"/>
    <col min="5648" max="5648" width="21.109375" style="670" bestFit="1" customWidth="1"/>
    <col min="5649" max="5649" width="15.88671875" style="670" bestFit="1" customWidth="1"/>
    <col min="5650" max="5650" width="8.88671875" style="670"/>
    <col min="5651" max="5651" width="13.44140625" style="670" bestFit="1" customWidth="1"/>
    <col min="5652" max="5652" width="8.88671875" style="670"/>
    <col min="5653" max="5653" width="11.77734375" style="670" bestFit="1" customWidth="1"/>
    <col min="5654" max="5655" width="8.88671875" style="670"/>
    <col min="5656" max="5656" width="11.6640625" style="670" bestFit="1" customWidth="1"/>
    <col min="5657" max="5888" width="8.88671875" style="670"/>
    <col min="5889" max="5889" width="10" style="670" customWidth="1"/>
    <col min="5890" max="5890" width="60.88671875" style="670" customWidth="1"/>
    <col min="5891" max="5891" width="18.77734375" style="670" customWidth="1"/>
    <col min="5892" max="5892" width="11" style="670" customWidth="1"/>
    <col min="5893" max="5893" width="14.6640625" style="670" customWidth="1"/>
    <col min="5894" max="5898" width="18.6640625" style="670" customWidth="1"/>
    <col min="5899" max="5899" width="16.44140625" style="670" customWidth="1"/>
    <col min="5900" max="5900" width="18.6640625" style="670" customWidth="1"/>
    <col min="5901" max="5901" width="20.21875" style="670" bestFit="1" customWidth="1"/>
    <col min="5902" max="5902" width="25.6640625" style="670" customWidth="1"/>
    <col min="5903" max="5903" width="19.44140625" style="670" bestFit="1" customWidth="1"/>
    <col min="5904" max="5904" width="21.109375" style="670" bestFit="1" customWidth="1"/>
    <col min="5905" max="5905" width="15.88671875" style="670" bestFit="1" customWidth="1"/>
    <col min="5906" max="5906" width="8.88671875" style="670"/>
    <col min="5907" max="5907" width="13.44140625" style="670" bestFit="1" customWidth="1"/>
    <col min="5908" max="5908" width="8.88671875" style="670"/>
    <col min="5909" max="5909" width="11.77734375" style="670" bestFit="1" customWidth="1"/>
    <col min="5910" max="5911" width="8.88671875" style="670"/>
    <col min="5912" max="5912" width="11.6640625" style="670" bestFit="1" customWidth="1"/>
    <col min="5913" max="6144" width="8.88671875" style="670"/>
    <col min="6145" max="6145" width="10" style="670" customWidth="1"/>
    <col min="6146" max="6146" width="60.88671875" style="670" customWidth="1"/>
    <col min="6147" max="6147" width="18.77734375" style="670" customWidth="1"/>
    <col min="6148" max="6148" width="11" style="670" customWidth="1"/>
    <col min="6149" max="6149" width="14.6640625" style="670" customWidth="1"/>
    <col min="6150" max="6154" width="18.6640625" style="670" customWidth="1"/>
    <col min="6155" max="6155" width="16.44140625" style="670" customWidth="1"/>
    <col min="6156" max="6156" width="18.6640625" style="670" customWidth="1"/>
    <col min="6157" max="6157" width="20.21875" style="670" bestFit="1" customWidth="1"/>
    <col min="6158" max="6158" width="25.6640625" style="670" customWidth="1"/>
    <col min="6159" max="6159" width="19.44140625" style="670" bestFit="1" customWidth="1"/>
    <col min="6160" max="6160" width="21.109375" style="670" bestFit="1" customWidth="1"/>
    <col min="6161" max="6161" width="15.88671875" style="670" bestFit="1" customWidth="1"/>
    <col min="6162" max="6162" width="8.88671875" style="670"/>
    <col min="6163" max="6163" width="13.44140625" style="670" bestFit="1" customWidth="1"/>
    <col min="6164" max="6164" width="8.88671875" style="670"/>
    <col min="6165" max="6165" width="11.77734375" style="670" bestFit="1" customWidth="1"/>
    <col min="6166" max="6167" width="8.88671875" style="670"/>
    <col min="6168" max="6168" width="11.6640625" style="670" bestFit="1" customWidth="1"/>
    <col min="6169" max="6400" width="8.88671875" style="670"/>
    <col min="6401" max="6401" width="10" style="670" customWidth="1"/>
    <col min="6402" max="6402" width="60.88671875" style="670" customWidth="1"/>
    <col min="6403" max="6403" width="18.77734375" style="670" customWidth="1"/>
    <col min="6404" max="6404" width="11" style="670" customWidth="1"/>
    <col min="6405" max="6405" width="14.6640625" style="670" customWidth="1"/>
    <col min="6406" max="6410" width="18.6640625" style="670" customWidth="1"/>
    <col min="6411" max="6411" width="16.44140625" style="670" customWidth="1"/>
    <col min="6412" max="6412" width="18.6640625" style="670" customWidth="1"/>
    <col min="6413" max="6413" width="20.21875" style="670" bestFit="1" customWidth="1"/>
    <col min="6414" max="6414" width="25.6640625" style="670" customWidth="1"/>
    <col min="6415" max="6415" width="19.44140625" style="670" bestFit="1" customWidth="1"/>
    <col min="6416" max="6416" width="21.109375" style="670" bestFit="1" customWidth="1"/>
    <col min="6417" max="6417" width="15.88671875" style="670" bestFit="1" customWidth="1"/>
    <col min="6418" max="6418" width="8.88671875" style="670"/>
    <col min="6419" max="6419" width="13.44140625" style="670" bestFit="1" customWidth="1"/>
    <col min="6420" max="6420" width="8.88671875" style="670"/>
    <col min="6421" max="6421" width="11.77734375" style="670" bestFit="1" customWidth="1"/>
    <col min="6422" max="6423" width="8.88671875" style="670"/>
    <col min="6424" max="6424" width="11.6640625" style="670" bestFit="1" customWidth="1"/>
    <col min="6425" max="6656" width="8.88671875" style="670"/>
    <col min="6657" max="6657" width="10" style="670" customWidth="1"/>
    <col min="6658" max="6658" width="60.88671875" style="670" customWidth="1"/>
    <col min="6659" max="6659" width="18.77734375" style="670" customWidth="1"/>
    <col min="6660" max="6660" width="11" style="670" customWidth="1"/>
    <col min="6661" max="6661" width="14.6640625" style="670" customWidth="1"/>
    <col min="6662" max="6666" width="18.6640625" style="670" customWidth="1"/>
    <col min="6667" max="6667" width="16.44140625" style="670" customWidth="1"/>
    <col min="6668" max="6668" width="18.6640625" style="670" customWidth="1"/>
    <col min="6669" max="6669" width="20.21875" style="670" bestFit="1" customWidth="1"/>
    <col min="6670" max="6670" width="25.6640625" style="670" customWidth="1"/>
    <col min="6671" max="6671" width="19.44140625" style="670" bestFit="1" customWidth="1"/>
    <col min="6672" max="6672" width="21.109375" style="670" bestFit="1" customWidth="1"/>
    <col min="6673" max="6673" width="15.88671875" style="670" bestFit="1" customWidth="1"/>
    <col min="6674" max="6674" width="8.88671875" style="670"/>
    <col min="6675" max="6675" width="13.44140625" style="670" bestFit="1" customWidth="1"/>
    <col min="6676" max="6676" width="8.88671875" style="670"/>
    <col min="6677" max="6677" width="11.77734375" style="670" bestFit="1" customWidth="1"/>
    <col min="6678" max="6679" width="8.88671875" style="670"/>
    <col min="6680" max="6680" width="11.6640625" style="670" bestFit="1" customWidth="1"/>
    <col min="6681" max="6912" width="8.88671875" style="670"/>
    <col min="6913" max="6913" width="10" style="670" customWidth="1"/>
    <col min="6914" max="6914" width="60.88671875" style="670" customWidth="1"/>
    <col min="6915" max="6915" width="18.77734375" style="670" customWidth="1"/>
    <col min="6916" max="6916" width="11" style="670" customWidth="1"/>
    <col min="6917" max="6917" width="14.6640625" style="670" customWidth="1"/>
    <col min="6918" max="6922" width="18.6640625" style="670" customWidth="1"/>
    <col min="6923" max="6923" width="16.44140625" style="670" customWidth="1"/>
    <col min="6924" max="6924" width="18.6640625" style="670" customWidth="1"/>
    <col min="6925" max="6925" width="20.21875" style="670" bestFit="1" customWidth="1"/>
    <col min="6926" max="6926" width="25.6640625" style="670" customWidth="1"/>
    <col min="6927" max="6927" width="19.44140625" style="670" bestFit="1" customWidth="1"/>
    <col min="6928" max="6928" width="21.109375" style="670" bestFit="1" customWidth="1"/>
    <col min="6929" max="6929" width="15.88671875" style="670" bestFit="1" customWidth="1"/>
    <col min="6930" max="6930" width="8.88671875" style="670"/>
    <col min="6931" max="6931" width="13.44140625" style="670" bestFit="1" customWidth="1"/>
    <col min="6932" max="6932" width="8.88671875" style="670"/>
    <col min="6933" max="6933" width="11.77734375" style="670" bestFit="1" customWidth="1"/>
    <col min="6934" max="6935" width="8.88671875" style="670"/>
    <col min="6936" max="6936" width="11.6640625" style="670" bestFit="1" customWidth="1"/>
    <col min="6937" max="7168" width="8.88671875" style="670"/>
    <col min="7169" max="7169" width="10" style="670" customWidth="1"/>
    <col min="7170" max="7170" width="60.88671875" style="670" customWidth="1"/>
    <col min="7171" max="7171" width="18.77734375" style="670" customWidth="1"/>
    <col min="7172" max="7172" width="11" style="670" customWidth="1"/>
    <col min="7173" max="7173" width="14.6640625" style="670" customWidth="1"/>
    <col min="7174" max="7178" width="18.6640625" style="670" customWidth="1"/>
    <col min="7179" max="7179" width="16.44140625" style="670" customWidth="1"/>
    <col min="7180" max="7180" width="18.6640625" style="670" customWidth="1"/>
    <col min="7181" max="7181" width="20.21875" style="670" bestFit="1" customWidth="1"/>
    <col min="7182" max="7182" width="25.6640625" style="670" customWidth="1"/>
    <col min="7183" max="7183" width="19.44140625" style="670" bestFit="1" customWidth="1"/>
    <col min="7184" max="7184" width="21.109375" style="670" bestFit="1" customWidth="1"/>
    <col min="7185" max="7185" width="15.88671875" style="670" bestFit="1" customWidth="1"/>
    <col min="7186" max="7186" width="8.88671875" style="670"/>
    <col min="7187" max="7187" width="13.44140625" style="670" bestFit="1" customWidth="1"/>
    <col min="7188" max="7188" width="8.88671875" style="670"/>
    <col min="7189" max="7189" width="11.77734375" style="670" bestFit="1" customWidth="1"/>
    <col min="7190" max="7191" width="8.88671875" style="670"/>
    <col min="7192" max="7192" width="11.6640625" style="670" bestFit="1" customWidth="1"/>
    <col min="7193" max="7424" width="8.88671875" style="670"/>
    <col min="7425" max="7425" width="10" style="670" customWidth="1"/>
    <col min="7426" max="7426" width="60.88671875" style="670" customWidth="1"/>
    <col min="7427" max="7427" width="18.77734375" style="670" customWidth="1"/>
    <col min="7428" max="7428" width="11" style="670" customWidth="1"/>
    <col min="7429" max="7429" width="14.6640625" style="670" customWidth="1"/>
    <col min="7430" max="7434" width="18.6640625" style="670" customWidth="1"/>
    <col min="7435" max="7435" width="16.44140625" style="670" customWidth="1"/>
    <col min="7436" max="7436" width="18.6640625" style="670" customWidth="1"/>
    <col min="7437" max="7437" width="20.21875" style="670" bestFit="1" customWidth="1"/>
    <col min="7438" max="7438" width="25.6640625" style="670" customWidth="1"/>
    <col min="7439" max="7439" width="19.44140625" style="670" bestFit="1" customWidth="1"/>
    <col min="7440" max="7440" width="21.109375" style="670" bestFit="1" customWidth="1"/>
    <col min="7441" max="7441" width="15.88671875" style="670" bestFit="1" customWidth="1"/>
    <col min="7442" max="7442" width="8.88671875" style="670"/>
    <col min="7443" max="7443" width="13.44140625" style="670" bestFit="1" customWidth="1"/>
    <col min="7444" max="7444" width="8.88671875" style="670"/>
    <col min="7445" max="7445" width="11.77734375" style="670" bestFit="1" customWidth="1"/>
    <col min="7446" max="7447" width="8.88671875" style="670"/>
    <col min="7448" max="7448" width="11.6640625" style="670" bestFit="1" customWidth="1"/>
    <col min="7449" max="7680" width="8.88671875" style="670"/>
    <col min="7681" max="7681" width="10" style="670" customWidth="1"/>
    <col min="7682" max="7682" width="60.88671875" style="670" customWidth="1"/>
    <col min="7683" max="7683" width="18.77734375" style="670" customWidth="1"/>
    <col min="7684" max="7684" width="11" style="670" customWidth="1"/>
    <col min="7685" max="7685" width="14.6640625" style="670" customWidth="1"/>
    <col min="7686" max="7690" width="18.6640625" style="670" customWidth="1"/>
    <col min="7691" max="7691" width="16.44140625" style="670" customWidth="1"/>
    <col min="7692" max="7692" width="18.6640625" style="670" customWidth="1"/>
    <col min="7693" max="7693" width="20.21875" style="670" bestFit="1" customWidth="1"/>
    <col min="7694" max="7694" width="25.6640625" style="670" customWidth="1"/>
    <col min="7695" max="7695" width="19.44140625" style="670" bestFit="1" customWidth="1"/>
    <col min="7696" max="7696" width="21.109375" style="670" bestFit="1" customWidth="1"/>
    <col min="7697" max="7697" width="15.88671875" style="670" bestFit="1" customWidth="1"/>
    <col min="7698" max="7698" width="8.88671875" style="670"/>
    <col min="7699" max="7699" width="13.44140625" style="670" bestFit="1" customWidth="1"/>
    <col min="7700" max="7700" width="8.88671875" style="670"/>
    <col min="7701" max="7701" width="11.77734375" style="670" bestFit="1" customWidth="1"/>
    <col min="7702" max="7703" width="8.88671875" style="670"/>
    <col min="7704" max="7704" width="11.6640625" style="670" bestFit="1" customWidth="1"/>
    <col min="7705" max="7936" width="8.88671875" style="670"/>
    <col min="7937" max="7937" width="10" style="670" customWidth="1"/>
    <col min="7938" max="7938" width="60.88671875" style="670" customWidth="1"/>
    <col min="7939" max="7939" width="18.77734375" style="670" customWidth="1"/>
    <col min="7940" max="7940" width="11" style="670" customWidth="1"/>
    <col min="7941" max="7941" width="14.6640625" style="670" customWidth="1"/>
    <col min="7942" max="7946" width="18.6640625" style="670" customWidth="1"/>
    <col min="7947" max="7947" width="16.44140625" style="670" customWidth="1"/>
    <col min="7948" max="7948" width="18.6640625" style="670" customWidth="1"/>
    <col min="7949" max="7949" width="20.21875" style="670" bestFit="1" customWidth="1"/>
    <col min="7950" max="7950" width="25.6640625" style="670" customWidth="1"/>
    <col min="7951" max="7951" width="19.44140625" style="670" bestFit="1" customWidth="1"/>
    <col min="7952" max="7952" width="21.109375" style="670" bestFit="1" customWidth="1"/>
    <col min="7953" max="7953" width="15.88671875" style="670" bestFit="1" customWidth="1"/>
    <col min="7954" max="7954" width="8.88671875" style="670"/>
    <col min="7955" max="7955" width="13.44140625" style="670" bestFit="1" customWidth="1"/>
    <col min="7956" max="7956" width="8.88671875" style="670"/>
    <col min="7957" max="7957" width="11.77734375" style="670" bestFit="1" customWidth="1"/>
    <col min="7958" max="7959" width="8.88671875" style="670"/>
    <col min="7960" max="7960" width="11.6640625" style="670" bestFit="1" customWidth="1"/>
    <col min="7961" max="8192" width="8.88671875" style="670"/>
    <col min="8193" max="8193" width="10" style="670" customWidth="1"/>
    <col min="8194" max="8194" width="60.88671875" style="670" customWidth="1"/>
    <col min="8195" max="8195" width="18.77734375" style="670" customWidth="1"/>
    <col min="8196" max="8196" width="11" style="670" customWidth="1"/>
    <col min="8197" max="8197" width="14.6640625" style="670" customWidth="1"/>
    <col min="8198" max="8202" width="18.6640625" style="670" customWidth="1"/>
    <col min="8203" max="8203" width="16.44140625" style="670" customWidth="1"/>
    <col min="8204" max="8204" width="18.6640625" style="670" customWidth="1"/>
    <col min="8205" max="8205" width="20.21875" style="670" bestFit="1" customWidth="1"/>
    <col min="8206" max="8206" width="25.6640625" style="670" customWidth="1"/>
    <col min="8207" max="8207" width="19.44140625" style="670" bestFit="1" customWidth="1"/>
    <col min="8208" max="8208" width="21.109375" style="670" bestFit="1" customWidth="1"/>
    <col min="8209" max="8209" width="15.88671875" style="670" bestFit="1" customWidth="1"/>
    <col min="8210" max="8210" width="8.88671875" style="670"/>
    <col min="8211" max="8211" width="13.44140625" style="670" bestFit="1" customWidth="1"/>
    <col min="8212" max="8212" width="8.88671875" style="670"/>
    <col min="8213" max="8213" width="11.77734375" style="670" bestFit="1" customWidth="1"/>
    <col min="8214" max="8215" width="8.88671875" style="670"/>
    <col min="8216" max="8216" width="11.6640625" style="670" bestFit="1" customWidth="1"/>
    <col min="8217" max="8448" width="8.88671875" style="670"/>
    <col min="8449" max="8449" width="10" style="670" customWidth="1"/>
    <col min="8450" max="8450" width="60.88671875" style="670" customWidth="1"/>
    <col min="8451" max="8451" width="18.77734375" style="670" customWidth="1"/>
    <col min="8452" max="8452" width="11" style="670" customWidth="1"/>
    <col min="8453" max="8453" width="14.6640625" style="670" customWidth="1"/>
    <col min="8454" max="8458" width="18.6640625" style="670" customWidth="1"/>
    <col min="8459" max="8459" width="16.44140625" style="670" customWidth="1"/>
    <col min="8460" max="8460" width="18.6640625" style="670" customWidth="1"/>
    <col min="8461" max="8461" width="20.21875" style="670" bestFit="1" customWidth="1"/>
    <col min="8462" max="8462" width="25.6640625" style="670" customWidth="1"/>
    <col min="8463" max="8463" width="19.44140625" style="670" bestFit="1" customWidth="1"/>
    <col min="8464" max="8464" width="21.109375" style="670" bestFit="1" customWidth="1"/>
    <col min="8465" max="8465" width="15.88671875" style="670" bestFit="1" customWidth="1"/>
    <col min="8466" max="8466" width="8.88671875" style="670"/>
    <col min="8467" max="8467" width="13.44140625" style="670" bestFit="1" customWidth="1"/>
    <col min="8468" max="8468" width="8.88671875" style="670"/>
    <col min="8469" max="8469" width="11.77734375" style="670" bestFit="1" customWidth="1"/>
    <col min="8470" max="8471" width="8.88671875" style="670"/>
    <col min="8472" max="8472" width="11.6640625" style="670" bestFit="1" customWidth="1"/>
    <col min="8473" max="8704" width="8.88671875" style="670"/>
    <col min="8705" max="8705" width="10" style="670" customWidth="1"/>
    <col min="8706" max="8706" width="60.88671875" style="670" customWidth="1"/>
    <col min="8707" max="8707" width="18.77734375" style="670" customWidth="1"/>
    <col min="8708" max="8708" width="11" style="670" customWidth="1"/>
    <col min="8709" max="8709" width="14.6640625" style="670" customWidth="1"/>
    <col min="8710" max="8714" width="18.6640625" style="670" customWidth="1"/>
    <col min="8715" max="8715" width="16.44140625" style="670" customWidth="1"/>
    <col min="8716" max="8716" width="18.6640625" style="670" customWidth="1"/>
    <col min="8717" max="8717" width="20.21875" style="670" bestFit="1" customWidth="1"/>
    <col min="8718" max="8718" width="25.6640625" style="670" customWidth="1"/>
    <col min="8719" max="8719" width="19.44140625" style="670" bestFit="1" customWidth="1"/>
    <col min="8720" max="8720" width="21.109375" style="670" bestFit="1" customWidth="1"/>
    <col min="8721" max="8721" width="15.88671875" style="670" bestFit="1" customWidth="1"/>
    <col min="8722" max="8722" width="8.88671875" style="670"/>
    <col min="8723" max="8723" width="13.44140625" style="670" bestFit="1" customWidth="1"/>
    <col min="8724" max="8724" width="8.88671875" style="670"/>
    <col min="8725" max="8725" width="11.77734375" style="670" bestFit="1" customWidth="1"/>
    <col min="8726" max="8727" width="8.88671875" style="670"/>
    <col min="8728" max="8728" width="11.6640625" style="670" bestFit="1" customWidth="1"/>
    <col min="8729" max="8960" width="8.88671875" style="670"/>
    <col min="8961" max="8961" width="10" style="670" customWidth="1"/>
    <col min="8962" max="8962" width="60.88671875" style="670" customWidth="1"/>
    <col min="8963" max="8963" width="18.77734375" style="670" customWidth="1"/>
    <col min="8964" max="8964" width="11" style="670" customWidth="1"/>
    <col min="8965" max="8965" width="14.6640625" style="670" customWidth="1"/>
    <col min="8966" max="8970" width="18.6640625" style="670" customWidth="1"/>
    <col min="8971" max="8971" width="16.44140625" style="670" customWidth="1"/>
    <col min="8972" max="8972" width="18.6640625" style="670" customWidth="1"/>
    <col min="8973" max="8973" width="20.21875" style="670" bestFit="1" customWidth="1"/>
    <col min="8974" max="8974" width="25.6640625" style="670" customWidth="1"/>
    <col min="8975" max="8975" width="19.44140625" style="670" bestFit="1" customWidth="1"/>
    <col min="8976" max="8976" width="21.109375" style="670" bestFit="1" customWidth="1"/>
    <col min="8977" max="8977" width="15.88671875" style="670" bestFit="1" customWidth="1"/>
    <col min="8978" max="8978" width="8.88671875" style="670"/>
    <col min="8979" max="8979" width="13.44140625" style="670" bestFit="1" customWidth="1"/>
    <col min="8980" max="8980" width="8.88671875" style="670"/>
    <col min="8981" max="8981" width="11.77734375" style="670" bestFit="1" customWidth="1"/>
    <col min="8982" max="8983" width="8.88671875" style="670"/>
    <col min="8984" max="8984" width="11.6640625" style="670" bestFit="1" customWidth="1"/>
    <col min="8985" max="9216" width="8.88671875" style="670"/>
    <col min="9217" max="9217" width="10" style="670" customWidth="1"/>
    <col min="9218" max="9218" width="60.88671875" style="670" customWidth="1"/>
    <col min="9219" max="9219" width="18.77734375" style="670" customWidth="1"/>
    <col min="9220" max="9220" width="11" style="670" customWidth="1"/>
    <col min="9221" max="9221" width="14.6640625" style="670" customWidth="1"/>
    <col min="9222" max="9226" width="18.6640625" style="670" customWidth="1"/>
    <col min="9227" max="9227" width="16.44140625" style="670" customWidth="1"/>
    <col min="9228" max="9228" width="18.6640625" style="670" customWidth="1"/>
    <col min="9229" max="9229" width="20.21875" style="670" bestFit="1" customWidth="1"/>
    <col min="9230" max="9230" width="25.6640625" style="670" customWidth="1"/>
    <col min="9231" max="9231" width="19.44140625" style="670" bestFit="1" customWidth="1"/>
    <col min="9232" max="9232" width="21.109375" style="670" bestFit="1" customWidth="1"/>
    <col min="9233" max="9233" width="15.88671875" style="670" bestFit="1" customWidth="1"/>
    <col min="9234" max="9234" width="8.88671875" style="670"/>
    <col min="9235" max="9235" width="13.44140625" style="670" bestFit="1" customWidth="1"/>
    <col min="9236" max="9236" width="8.88671875" style="670"/>
    <col min="9237" max="9237" width="11.77734375" style="670" bestFit="1" customWidth="1"/>
    <col min="9238" max="9239" width="8.88671875" style="670"/>
    <col min="9240" max="9240" width="11.6640625" style="670" bestFit="1" customWidth="1"/>
    <col min="9241" max="9472" width="8.88671875" style="670"/>
    <col min="9473" max="9473" width="10" style="670" customWidth="1"/>
    <col min="9474" max="9474" width="60.88671875" style="670" customWidth="1"/>
    <col min="9475" max="9475" width="18.77734375" style="670" customWidth="1"/>
    <col min="9476" max="9476" width="11" style="670" customWidth="1"/>
    <col min="9477" max="9477" width="14.6640625" style="670" customWidth="1"/>
    <col min="9478" max="9482" width="18.6640625" style="670" customWidth="1"/>
    <col min="9483" max="9483" width="16.44140625" style="670" customWidth="1"/>
    <col min="9484" max="9484" width="18.6640625" style="670" customWidth="1"/>
    <col min="9485" max="9485" width="20.21875" style="670" bestFit="1" customWidth="1"/>
    <col min="9486" max="9486" width="25.6640625" style="670" customWidth="1"/>
    <col min="9487" max="9487" width="19.44140625" style="670" bestFit="1" customWidth="1"/>
    <col min="9488" max="9488" width="21.109375" style="670" bestFit="1" customWidth="1"/>
    <col min="9489" max="9489" width="15.88671875" style="670" bestFit="1" customWidth="1"/>
    <col min="9490" max="9490" width="8.88671875" style="670"/>
    <col min="9491" max="9491" width="13.44140625" style="670" bestFit="1" customWidth="1"/>
    <col min="9492" max="9492" width="8.88671875" style="670"/>
    <col min="9493" max="9493" width="11.77734375" style="670" bestFit="1" customWidth="1"/>
    <col min="9494" max="9495" width="8.88671875" style="670"/>
    <col min="9496" max="9496" width="11.6640625" style="670" bestFit="1" customWidth="1"/>
    <col min="9497" max="9728" width="8.88671875" style="670"/>
    <col min="9729" max="9729" width="10" style="670" customWidth="1"/>
    <col min="9730" max="9730" width="60.88671875" style="670" customWidth="1"/>
    <col min="9731" max="9731" width="18.77734375" style="670" customWidth="1"/>
    <col min="9732" max="9732" width="11" style="670" customWidth="1"/>
    <col min="9733" max="9733" width="14.6640625" style="670" customWidth="1"/>
    <col min="9734" max="9738" width="18.6640625" style="670" customWidth="1"/>
    <col min="9739" max="9739" width="16.44140625" style="670" customWidth="1"/>
    <col min="9740" max="9740" width="18.6640625" style="670" customWidth="1"/>
    <col min="9741" max="9741" width="20.21875" style="670" bestFit="1" customWidth="1"/>
    <col min="9742" max="9742" width="25.6640625" style="670" customWidth="1"/>
    <col min="9743" max="9743" width="19.44140625" style="670" bestFit="1" customWidth="1"/>
    <col min="9744" max="9744" width="21.109375" style="670" bestFit="1" customWidth="1"/>
    <col min="9745" max="9745" width="15.88671875" style="670" bestFit="1" customWidth="1"/>
    <col min="9746" max="9746" width="8.88671875" style="670"/>
    <col min="9747" max="9747" width="13.44140625" style="670" bestFit="1" customWidth="1"/>
    <col min="9748" max="9748" width="8.88671875" style="670"/>
    <col min="9749" max="9749" width="11.77734375" style="670" bestFit="1" customWidth="1"/>
    <col min="9750" max="9751" width="8.88671875" style="670"/>
    <col min="9752" max="9752" width="11.6640625" style="670" bestFit="1" customWidth="1"/>
    <col min="9753" max="9984" width="8.88671875" style="670"/>
    <col min="9985" max="9985" width="10" style="670" customWidth="1"/>
    <col min="9986" max="9986" width="60.88671875" style="670" customWidth="1"/>
    <col min="9987" max="9987" width="18.77734375" style="670" customWidth="1"/>
    <col min="9988" max="9988" width="11" style="670" customWidth="1"/>
    <col min="9989" max="9989" width="14.6640625" style="670" customWidth="1"/>
    <col min="9990" max="9994" width="18.6640625" style="670" customWidth="1"/>
    <col min="9995" max="9995" width="16.44140625" style="670" customWidth="1"/>
    <col min="9996" max="9996" width="18.6640625" style="670" customWidth="1"/>
    <col min="9997" max="9997" width="20.21875" style="670" bestFit="1" customWidth="1"/>
    <col min="9998" max="9998" width="25.6640625" style="670" customWidth="1"/>
    <col min="9999" max="9999" width="19.44140625" style="670" bestFit="1" customWidth="1"/>
    <col min="10000" max="10000" width="21.109375" style="670" bestFit="1" customWidth="1"/>
    <col min="10001" max="10001" width="15.88671875" style="670" bestFit="1" customWidth="1"/>
    <col min="10002" max="10002" width="8.88671875" style="670"/>
    <col min="10003" max="10003" width="13.44140625" style="670" bestFit="1" customWidth="1"/>
    <col min="10004" max="10004" width="8.88671875" style="670"/>
    <col min="10005" max="10005" width="11.77734375" style="670" bestFit="1" customWidth="1"/>
    <col min="10006" max="10007" width="8.88671875" style="670"/>
    <col min="10008" max="10008" width="11.6640625" style="670" bestFit="1" customWidth="1"/>
    <col min="10009" max="10240" width="8.88671875" style="670"/>
    <col min="10241" max="10241" width="10" style="670" customWidth="1"/>
    <col min="10242" max="10242" width="60.88671875" style="670" customWidth="1"/>
    <col min="10243" max="10243" width="18.77734375" style="670" customWidth="1"/>
    <col min="10244" max="10244" width="11" style="670" customWidth="1"/>
    <col min="10245" max="10245" width="14.6640625" style="670" customWidth="1"/>
    <col min="10246" max="10250" width="18.6640625" style="670" customWidth="1"/>
    <col min="10251" max="10251" width="16.44140625" style="670" customWidth="1"/>
    <col min="10252" max="10252" width="18.6640625" style="670" customWidth="1"/>
    <col min="10253" max="10253" width="20.21875" style="670" bestFit="1" customWidth="1"/>
    <col min="10254" max="10254" width="25.6640625" style="670" customWidth="1"/>
    <col min="10255" max="10255" width="19.44140625" style="670" bestFit="1" customWidth="1"/>
    <col min="10256" max="10256" width="21.109375" style="670" bestFit="1" customWidth="1"/>
    <col min="10257" max="10257" width="15.88671875" style="670" bestFit="1" customWidth="1"/>
    <col min="10258" max="10258" width="8.88671875" style="670"/>
    <col min="10259" max="10259" width="13.44140625" style="670" bestFit="1" customWidth="1"/>
    <col min="10260" max="10260" width="8.88671875" style="670"/>
    <col min="10261" max="10261" width="11.77734375" style="670" bestFit="1" customWidth="1"/>
    <col min="10262" max="10263" width="8.88671875" style="670"/>
    <col min="10264" max="10264" width="11.6640625" style="670" bestFit="1" customWidth="1"/>
    <col min="10265" max="10496" width="8.88671875" style="670"/>
    <col min="10497" max="10497" width="10" style="670" customWidth="1"/>
    <col min="10498" max="10498" width="60.88671875" style="670" customWidth="1"/>
    <col min="10499" max="10499" width="18.77734375" style="670" customWidth="1"/>
    <col min="10500" max="10500" width="11" style="670" customWidth="1"/>
    <col min="10501" max="10501" width="14.6640625" style="670" customWidth="1"/>
    <col min="10502" max="10506" width="18.6640625" style="670" customWidth="1"/>
    <col min="10507" max="10507" width="16.44140625" style="670" customWidth="1"/>
    <col min="10508" max="10508" width="18.6640625" style="670" customWidth="1"/>
    <col min="10509" max="10509" width="20.21875" style="670" bestFit="1" customWidth="1"/>
    <col min="10510" max="10510" width="25.6640625" style="670" customWidth="1"/>
    <col min="10511" max="10511" width="19.44140625" style="670" bestFit="1" customWidth="1"/>
    <col min="10512" max="10512" width="21.109375" style="670" bestFit="1" customWidth="1"/>
    <col min="10513" max="10513" width="15.88671875" style="670" bestFit="1" customWidth="1"/>
    <col min="10514" max="10514" width="8.88671875" style="670"/>
    <col min="10515" max="10515" width="13.44140625" style="670" bestFit="1" customWidth="1"/>
    <col min="10516" max="10516" width="8.88671875" style="670"/>
    <col min="10517" max="10517" width="11.77734375" style="670" bestFit="1" customWidth="1"/>
    <col min="10518" max="10519" width="8.88671875" style="670"/>
    <col min="10520" max="10520" width="11.6640625" style="670" bestFit="1" customWidth="1"/>
    <col min="10521" max="10752" width="8.88671875" style="670"/>
    <col min="10753" max="10753" width="10" style="670" customWidth="1"/>
    <col min="10754" max="10754" width="60.88671875" style="670" customWidth="1"/>
    <col min="10755" max="10755" width="18.77734375" style="670" customWidth="1"/>
    <col min="10756" max="10756" width="11" style="670" customWidth="1"/>
    <col min="10757" max="10757" width="14.6640625" style="670" customWidth="1"/>
    <col min="10758" max="10762" width="18.6640625" style="670" customWidth="1"/>
    <col min="10763" max="10763" width="16.44140625" style="670" customWidth="1"/>
    <col min="10764" max="10764" width="18.6640625" style="670" customWidth="1"/>
    <col min="10765" max="10765" width="20.21875" style="670" bestFit="1" customWidth="1"/>
    <col min="10766" max="10766" width="25.6640625" style="670" customWidth="1"/>
    <col min="10767" max="10767" width="19.44140625" style="670" bestFit="1" customWidth="1"/>
    <col min="10768" max="10768" width="21.109375" style="670" bestFit="1" customWidth="1"/>
    <col min="10769" max="10769" width="15.88671875" style="670" bestFit="1" customWidth="1"/>
    <col min="10770" max="10770" width="8.88671875" style="670"/>
    <col min="10771" max="10771" width="13.44140625" style="670" bestFit="1" customWidth="1"/>
    <col min="10772" max="10772" width="8.88671875" style="670"/>
    <col min="10773" max="10773" width="11.77734375" style="670" bestFit="1" customWidth="1"/>
    <col min="10774" max="10775" width="8.88671875" style="670"/>
    <col min="10776" max="10776" width="11.6640625" style="670" bestFit="1" customWidth="1"/>
    <col min="10777" max="11008" width="8.88671875" style="670"/>
    <col min="11009" max="11009" width="10" style="670" customWidth="1"/>
    <col min="11010" max="11010" width="60.88671875" style="670" customWidth="1"/>
    <col min="11011" max="11011" width="18.77734375" style="670" customWidth="1"/>
    <col min="11012" max="11012" width="11" style="670" customWidth="1"/>
    <col min="11013" max="11013" width="14.6640625" style="670" customWidth="1"/>
    <col min="11014" max="11018" width="18.6640625" style="670" customWidth="1"/>
    <col min="11019" max="11019" width="16.44140625" style="670" customWidth="1"/>
    <col min="11020" max="11020" width="18.6640625" style="670" customWidth="1"/>
    <col min="11021" max="11021" width="20.21875" style="670" bestFit="1" customWidth="1"/>
    <col min="11022" max="11022" width="25.6640625" style="670" customWidth="1"/>
    <col min="11023" max="11023" width="19.44140625" style="670" bestFit="1" customWidth="1"/>
    <col min="11024" max="11024" width="21.109375" style="670" bestFit="1" customWidth="1"/>
    <col min="11025" max="11025" width="15.88671875" style="670" bestFit="1" customWidth="1"/>
    <col min="11026" max="11026" width="8.88671875" style="670"/>
    <col min="11027" max="11027" width="13.44140625" style="670" bestFit="1" customWidth="1"/>
    <col min="11028" max="11028" width="8.88671875" style="670"/>
    <col min="11029" max="11029" width="11.77734375" style="670" bestFit="1" customWidth="1"/>
    <col min="11030" max="11031" width="8.88671875" style="670"/>
    <col min="11032" max="11032" width="11.6640625" style="670" bestFit="1" customWidth="1"/>
    <col min="11033" max="11264" width="8.88671875" style="670"/>
    <col min="11265" max="11265" width="10" style="670" customWidth="1"/>
    <col min="11266" max="11266" width="60.88671875" style="670" customWidth="1"/>
    <col min="11267" max="11267" width="18.77734375" style="670" customWidth="1"/>
    <col min="11268" max="11268" width="11" style="670" customWidth="1"/>
    <col min="11269" max="11269" width="14.6640625" style="670" customWidth="1"/>
    <col min="11270" max="11274" width="18.6640625" style="670" customWidth="1"/>
    <col min="11275" max="11275" width="16.44140625" style="670" customWidth="1"/>
    <col min="11276" max="11276" width="18.6640625" style="670" customWidth="1"/>
    <col min="11277" max="11277" width="20.21875" style="670" bestFit="1" customWidth="1"/>
    <col min="11278" max="11278" width="25.6640625" style="670" customWidth="1"/>
    <col min="11279" max="11279" width="19.44140625" style="670" bestFit="1" customWidth="1"/>
    <col min="11280" max="11280" width="21.109375" style="670" bestFit="1" customWidth="1"/>
    <col min="11281" max="11281" width="15.88671875" style="670" bestFit="1" customWidth="1"/>
    <col min="11282" max="11282" width="8.88671875" style="670"/>
    <col min="11283" max="11283" width="13.44140625" style="670" bestFit="1" customWidth="1"/>
    <col min="11284" max="11284" width="8.88671875" style="670"/>
    <col min="11285" max="11285" width="11.77734375" style="670" bestFit="1" customWidth="1"/>
    <col min="11286" max="11287" width="8.88671875" style="670"/>
    <col min="11288" max="11288" width="11.6640625" style="670" bestFit="1" customWidth="1"/>
    <col min="11289" max="11520" width="8.88671875" style="670"/>
    <col min="11521" max="11521" width="10" style="670" customWidth="1"/>
    <col min="11522" max="11522" width="60.88671875" style="670" customWidth="1"/>
    <col min="11523" max="11523" width="18.77734375" style="670" customWidth="1"/>
    <col min="11524" max="11524" width="11" style="670" customWidth="1"/>
    <col min="11525" max="11525" width="14.6640625" style="670" customWidth="1"/>
    <col min="11526" max="11530" width="18.6640625" style="670" customWidth="1"/>
    <col min="11531" max="11531" width="16.44140625" style="670" customWidth="1"/>
    <col min="11532" max="11532" width="18.6640625" style="670" customWidth="1"/>
    <col min="11533" max="11533" width="20.21875" style="670" bestFit="1" customWidth="1"/>
    <col min="11534" max="11534" width="25.6640625" style="670" customWidth="1"/>
    <col min="11535" max="11535" width="19.44140625" style="670" bestFit="1" customWidth="1"/>
    <col min="11536" max="11536" width="21.109375" style="670" bestFit="1" customWidth="1"/>
    <col min="11537" max="11537" width="15.88671875" style="670" bestFit="1" customWidth="1"/>
    <col min="11538" max="11538" width="8.88671875" style="670"/>
    <col min="11539" max="11539" width="13.44140625" style="670" bestFit="1" customWidth="1"/>
    <col min="11540" max="11540" width="8.88671875" style="670"/>
    <col min="11541" max="11541" width="11.77734375" style="670" bestFit="1" customWidth="1"/>
    <col min="11542" max="11543" width="8.88671875" style="670"/>
    <col min="11544" max="11544" width="11.6640625" style="670" bestFit="1" customWidth="1"/>
    <col min="11545" max="11776" width="8.88671875" style="670"/>
    <col min="11777" max="11777" width="10" style="670" customWidth="1"/>
    <col min="11778" max="11778" width="60.88671875" style="670" customWidth="1"/>
    <col min="11779" max="11779" width="18.77734375" style="670" customWidth="1"/>
    <col min="11780" max="11780" width="11" style="670" customWidth="1"/>
    <col min="11781" max="11781" width="14.6640625" style="670" customWidth="1"/>
    <col min="11782" max="11786" width="18.6640625" style="670" customWidth="1"/>
    <col min="11787" max="11787" width="16.44140625" style="670" customWidth="1"/>
    <col min="11788" max="11788" width="18.6640625" style="670" customWidth="1"/>
    <col min="11789" max="11789" width="20.21875" style="670" bestFit="1" customWidth="1"/>
    <col min="11790" max="11790" width="25.6640625" style="670" customWidth="1"/>
    <col min="11791" max="11791" width="19.44140625" style="670" bestFit="1" customWidth="1"/>
    <col min="11792" max="11792" width="21.109375" style="670" bestFit="1" customWidth="1"/>
    <col min="11793" max="11793" width="15.88671875" style="670" bestFit="1" customWidth="1"/>
    <col min="11794" max="11794" width="8.88671875" style="670"/>
    <col min="11795" max="11795" width="13.44140625" style="670" bestFit="1" customWidth="1"/>
    <col min="11796" max="11796" width="8.88671875" style="670"/>
    <col min="11797" max="11797" width="11.77734375" style="670" bestFit="1" customWidth="1"/>
    <col min="11798" max="11799" width="8.88671875" style="670"/>
    <col min="11800" max="11800" width="11.6640625" style="670" bestFit="1" customWidth="1"/>
    <col min="11801" max="12032" width="8.88671875" style="670"/>
    <col min="12033" max="12033" width="10" style="670" customWidth="1"/>
    <col min="12034" max="12034" width="60.88671875" style="670" customWidth="1"/>
    <col min="12035" max="12035" width="18.77734375" style="670" customWidth="1"/>
    <col min="12036" max="12036" width="11" style="670" customWidth="1"/>
    <col min="12037" max="12037" width="14.6640625" style="670" customWidth="1"/>
    <col min="12038" max="12042" width="18.6640625" style="670" customWidth="1"/>
    <col min="12043" max="12043" width="16.44140625" style="670" customWidth="1"/>
    <col min="12044" max="12044" width="18.6640625" style="670" customWidth="1"/>
    <col min="12045" max="12045" width="20.21875" style="670" bestFit="1" customWidth="1"/>
    <col min="12046" max="12046" width="25.6640625" style="670" customWidth="1"/>
    <col min="12047" max="12047" width="19.44140625" style="670" bestFit="1" customWidth="1"/>
    <col min="12048" max="12048" width="21.109375" style="670" bestFit="1" customWidth="1"/>
    <col min="12049" max="12049" width="15.88671875" style="670" bestFit="1" customWidth="1"/>
    <col min="12050" max="12050" width="8.88671875" style="670"/>
    <col min="12051" max="12051" width="13.44140625" style="670" bestFit="1" customWidth="1"/>
    <col min="12052" max="12052" width="8.88671875" style="670"/>
    <col min="12053" max="12053" width="11.77734375" style="670" bestFit="1" customWidth="1"/>
    <col min="12054" max="12055" width="8.88671875" style="670"/>
    <col min="12056" max="12056" width="11.6640625" style="670" bestFit="1" customWidth="1"/>
    <col min="12057" max="12288" width="8.88671875" style="670"/>
    <col min="12289" max="12289" width="10" style="670" customWidth="1"/>
    <col min="12290" max="12290" width="60.88671875" style="670" customWidth="1"/>
    <col min="12291" max="12291" width="18.77734375" style="670" customWidth="1"/>
    <col min="12292" max="12292" width="11" style="670" customWidth="1"/>
    <col min="12293" max="12293" width="14.6640625" style="670" customWidth="1"/>
    <col min="12294" max="12298" width="18.6640625" style="670" customWidth="1"/>
    <col min="12299" max="12299" width="16.44140625" style="670" customWidth="1"/>
    <col min="12300" max="12300" width="18.6640625" style="670" customWidth="1"/>
    <col min="12301" max="12301" width="20.21875" style="670" bestFit="1" customWidth="1"/>
    <col min="12302" max="12302" width="25.6640625" style="670" customWidth="1"/>
    <col min="12303" max="12303" width="19.44140625" style="670" bestFit="1" customWidth="1"/>
    <col min="12304" max="12304" width="21.109375" style="670" bestFit="1" customWidth="1"/>
    <col min="12305" max="12305" width="15.88671875" style="670" bestFit="1" customWidth="1"/>
    <col min="12306" max="12306" width="8.88671875" style="670"/>
    <col min="12307" max="12307" width="13.44140625" style="670" bestFit="1" customWidth="1"/>
    <col min="12308" max="12308" width="8.88671875" style="670"/>
    <col min="12309" max="12309" width="11.77734375" style="670" bestFit="1" customWidth="1"/>
    <col min="12310" max="12311" width="8.88671875" style="670"/>
    <col min="12312" max="12312" width="11.6640625" style="670" bestFit="1" customWidth="1"/>
    <col min="12313" max="12544" width="8.88671875" style="670"/>
    <col min="12545" max="12545" width="10" style="670" customWidth="1"/>
    <col min="12546" max="12546" width="60.88671875" style="670" customWidth="1"/>
    <col min="12547" max="12547" width="18.77734375" style="670" customWidth="1"/>
    <col min="12548" max="12548" width="11" style="670" customWidth="1"/>
    <col min="12549" max="12549" width="14.6640625" style="670" customWidth="1"/>
    <col min="12550" max="12554" width="18.6640625" style="670" customWidth="1"/>
    <col min="12555" max="12555" width="16.44140625" style="670" customWidth="1"/>
    <col min="12556" max="12556" width="18.6640625" style="670" customWidth="1"/>
    <col min="12557" max="12557" width="20.21875" style="670" bestFit="1" customWidth="1"/>
    <col min="12558" max="12558" width="25.6640625" style="670" customWidth="1"/>
    <col min="12559" max="12559" width="19.44140625" style="670" bestFit="1" customWidth="1"/>
    <col min="12560" max="12560" width="21.109375" style="670" bestFit="1" customWidth="1"/>
    <col min="12561" max="12561" width="15.88671875" style="670" bestFit="1" customWidth="1"/>
    <col min="12562" max="12562" width="8.88671875" style="670"/>
    <col min="12563" max="12563" width="13.44140625" style="670" bestFit="1" customWidth="1"/>
    <col min="12564" max="12564" width="8.88671875" style="670"/>
    <col min="12565" max="12565" width="11.77734375" style="670" bestFit="1" customWidth="1"/>
    <col min="12566" max="12567" width="8.88671875" style="670"/>
    <col min="12568" max="12568" width="11.6640625" style="670" bestFit="1" customWidth="1"/>
    <col min="12569" max="12800" width="8.88671875" style="670"/>
    <col min="12801" max="12801" width="10" style="670" customWidth="1"/>
    <col min="12802" max="12802" width="60.88671875" style="670" customWidth="1"/>
    <col min="12803" max="12803" width="18.77734375" style="670" customWidth="1"/>
    <col min="12804" max="12804" width="11" style="670" customWidth="1"/>
    <col min="12805" max="12805" width="14.6640625" style="670" customWidth="1"/>
    <col min="12806" max="12810" width="18.6640625" style="670" customWidth="1"/>
    <col min="12811" max="12811" width="16.44140625" style="670" customWidth="1"/>
    <col min="12812" max="12812" width="18.6640625" style="670" customWidth="1"/>
    <col min="12813" max="12813" width="20.21875" style="670" bestFit="1" customWidth="1"/>
    <col min="12814" max="12814" width="25.6640625" style="670" customWidth="1"/>
    <col min="12815" max="12815" width="19.44140625" style="670" bestFit="1" customWidth="1"/>
    <col min="12816" max="12816" width="21.109375" style="670" bestFit="1" customWidth="1"/>
    <col min="12817" max="12817" width="15.88671875" style="670" bestFit="1" customWidth="1"/>
    <col min="12818" max="12818" width="8.88671875" style="670"/>
    <col min="12819" max="12819" width="13.44140625" style="670" bestFit="1" customWidth="1"/>
    <col min="12820" max="12820" width="8.88671875" style="670"/>
    <col min="12821" max="12821" width="11.77734375" style="670" bestFit="1" customWidth="1"/>
    <col min="12822" max="12823" width="8.88671875" style="670"/>
    <col min="12824" max="12824" width="11.6640625" style="670" bestFit="1" customWidth="1"/>
    <col min="12825" max="13056" width="8.88671875" style="670"/>
    <col min="13057" max="13057" width="10" style="670" customWidth="1"/>
    <col min="13058" max="13058" width="60.88671875" style="670" customWidth="1"/>
    <col min="13059" max="13059" width="18.77734375" style="670" customWidth="1"/>
    <col min="13060" max="13060" width="11" style="670" customWidth="1"/>
    <col min="13061" max="13061" width="14.6640625" style="670" customWidth="1"/>
    <col min="13062" max="13066" width="18.6640625" style="670" customWidth="1"/>
    <col min="13067" max="13067" width="16.44140625" style="670" customWidth="1"/>
    <col min="13068" max="13068" width="18.6640625" style="670" customWidth="1"/>
    <col min="13069" max="13069" width="20.21875" style="670" bestFit="1" customWidth="1"/>
    <col min="13070" max="13070" width="25.6640625" style="670" customWidth="1"/>
    <col min="13071" max="13071" width="19.44140625" style="670" bestFit="1" customWidth="1"/>
    <col min="13072" max="13072" width="21.109375" style="670" bestFit="1" customWidth="1"/>
    <col min="13073" max="13073" width="15.88671875" style="670" bestFit="1" customWidth="1"/>
    <col min="13074" max="13074" width="8.88671875" style="670"/>
    <col min="13075" max="13075" width="13.44140625" style="670" bestFit="1" customWidth="1"/>
    <col min="13076" max="13076" width="8.88671875" style="670"/>
    <col min="13077" max="13077" width="11.77734375" style="670" bestFit="1" customWidth="1"/>
    <col min="13078" max="13079" width="8.88671875" style="670"/>
    <col min="13080" max="13080" width="11.6640625" style="670" bestFit="1" customWidth="1"/>
    <col min="13081" max="13312" width="8.88671875" style="670"/>
    <col min="13313" max="13313" width="10" style="670" customWidth="1"/>
    <col min="13314" max="13314" width="60.88671875" style="670" customWidth="1"/>
    <col min="13315" max="13315" width="18.77734375" style="670" customWidth="1"/>
    <col min="13316" max="13316" width="11" style="670" customWidth="1"/>
    <col min="13317" max="13317" width="14.6640625" style="670" customWidth="1"/>
    <col min="13318" max="13322" width="18.6640625" style="670" customWidth="1"/>
    <col min="13323" max="13323" width="16.44140625" style="670" customWidth="1"/>
    <col min="13324" max="13324" width="18.6640625" style="670" customWidth="1"/>
    <col min="13325" max="13325" width="20.21875" style="670" bestFit="1" customWidth="1"/>
    <col min="13326" max="13326" width="25.6640625" style="670" customWidth="1"/>
    <col min="13327" max="13327" width="19.44140625" style="670" bestFit="1" customWidth="1"/>
    <col min="13328" max="13328" width="21.109375" style="670" bestFit="1" customWidth="1"/>
    <col min="13329" max="13329" width="15.88671875" style="670" bestFit="1" customWidth="1"/>
    <col min="13330" max="13330" width="8.88671875" style="670"/>
    <col min="13331" max="13331" width="13.44140625" style="670" bestFit="1" customWidth="1"/>
    <col min="13332" max="13332" width="8.88671875" style="670"/>
    <col min="13333" max="13333" width="11.77734375" style="670" bestFit="1" customWidth="1"/>
    <col min="13334" max="13335" width="8.88671875" style="670"/>
    <col min="13336" max="13336" width="11.6640625" style="670" bestFit="1" customWidth="1"/>
    <col min="13337" max="13568" width="8.88671875" style="670"/>
    <col min="13569" max="13569" width="10" style="670" customWidth="1"/>
    <col min="13570" max="13570" width="60.88671875" style="670" customWidth="1"/>
    <col min="13571" max="13571" width="18.77734375" style="670" customWidth="1"/>
    <col min="13572" max="13572" width="11" style="670" customWidth="1"/>
    <col min="13573" max="13573" width="14.6640625" style="670" customWidth="1"/>
    <col min="13574" max="13578" width="18.6640625" style="670" customWidth="1"/>
    <col min="13579" max="13579" width="16.44140625" style="670" customWidth="1"/>
    <col min="13580" max="13580" width="18.6640625" style="670" customWidth="1"/>
    <col min="13581" max="13581" width="20.21875" style="670" bestFit="1" customWidth="1"/>
    <col min="13582" max="13582" width="25.6640625" style="670" customWidth="1"/>
    <col min="13583" max="13583" width="19.44140625" style="670" bestFit="1" customWidth="1"/>
    <col min="13584" max="13584" width="21.109375" style="670" bestFit="1" customWidth="1"/>
    <col min="13585" max="13585" width="15.88671875" style="670" bestFit="1" customWidth="1"/>
    <col min="13586" max="13586" width="8.88671875" style="670"/>
    <col min="13587" max="13587" width="13.44140625" style="670" bestFit="1" customWidth="1"/>
    <col min="13588" max="13588" width="8.88671875" style="670"/>
    <col min="13589" max="13589" width="11.77734375" style="670" bestFit="1" customWidth="1"/>
    <col min="13590" max="13591" width="8.88671875" style="670"/>
    <col min="13592" max="13592" width="11.6640625" style="670" bestFit="1" customWidth="1"/>
    <col min="13593" max="13824" width="8.88671875" style="670"/>
    <col min="13825" max="13825" width="10" style="670" customWidth="1"/>
    <col min="13826" max="13826" width="60.88671875" style="670" customWidth="1"/>
    <col min="13827" max="13827" width="18.77734375" style="670" customWidth="1"/>
    <col min="13828" max="13828" width="11" style="670" customWidth="1"/>
    <col min="13829" max="13829" width="14.6640625" style="670" customWidth="1"/>
    <col min="13830" max="13834" width="18.6640625" style="670" customWidth="1"/>
    <col min="13835" max="13835" width="16.44140625" style="670" customWidth="1"/>
    <col min="13836" max="13836" width="18.6640625" style="670" customWidth="1"/>
    <col min="13837" max="13837" width="20.21875" style="670" bestFit="1" customWidth="1"/>
    <col min="13838" max="13838" width="25.6640625" style="670" customWidth="1"/>
    <col min="13839" max="13839" width="19.44140625" style="670" bestFit="1" customWidth="1"/>
    <col min="13840" max="13840" width="21.109375" style="670" bestFit="1" customWidth="1"/>
    <col min="13841" max="13841" width="15.88671875" style="670" bestFit="1" customWidth="1"/>
    <col min="13842" max="13842" width="8.88671875" style="670"/>
    <col min="13843" max="13843" width="13.44140625" style="670" bestFit="1" customWidth="1"/>
    <col min="13844" max="13844" width="8.88671875" style="670"/>
    <col min="13845" max="13845" width="11.77734375" style="670" bestFit="1" customWidth="1"/>
    <col min="13846" max="13847" width="8.88671875" style="670"/>
    <col min="13848" max="13848" width="11.6640625" style="670" bestFit="1" customWidth="1"/>
    <col min="13849" max="14080" width="8.88671875" style="670"/>
    <col min="14081" max="14081" width="10" style="670" customWidth="1"/>
    <col min="14082" max="14082" width="60.88671875" style="670" customWidth="1"/>
    <col min="14083" max="14083" width="18.77734375" style="670" customWidth="1"/>
    <col min="14084" max="14084" width="11" style="670" customWidth="1"/>
    <col min="14085" max="14085" width="14.6640625" style="670" customWidth="1"/>
    <col min="14086" max="14090" width="18.6640625" style="670" customWidth="1"/>
    <col min="14091" max="14091" width="16.44140625" style="670" customWidth="1"/>
    <col min="14092" max="14092" width="18.6640625" style="670" customWidth="1"/>
    <col min="14093" max="14093" width="20.21875" style="670" bestFit="1" customWidth="1"/>
    <col min="14094" max="14094" width="25.6640625" style="670" customWidth="1"/>
    <col min="14095" max="14095" width="19.44140625" style="670" bestFit="1" customWidth="1"/>
    <col min="14096" max="14096" width="21.109375" style="670" bestFit="1" customWidth="1"/>
    <col min="14097" max="14097" width="15.88671875" style="670" bestFit="1" customWidth="1"/>
    <col min="14098" max="14098" width="8.88671875" style="670"/>
    <col min="14099" max="14099" width="13.44140625" style="670" bestFit="1" customWidth="1"/>
    <col min="14100" max="14100" width="8.88671875" style="670"/>
    <col min="14101" max="14101" width="11.77734375" style="670" bestFit="1" customWidth="1"/>
    <col min="14102" max="14103" width="8.88671875" style="670"/>
    <col min="14104" max="14104" width="11.6640625" style="670" bestFit="1" customWidth="1"/>
    <col min="14105" max="14336" width="8.88671875" style="670"/>
    <col min="14337" max="14337" width="10" style="670" customWidth="1"/>
    <col min="14338" max="14338" width="60.88671875" style="670" customWidth="1"/>
    <col min="14339" max="14339" width="18.77734375" style="670" customWidth="1"/>
    <col min="14340" max="14340" width="11" style="670" customWidth="1"/>
    <col min="14341" max="14341" width="14.6640625" style="670" customWidth="1"/>
    <col min="14342" max="14346" width="18.6640625" style="670" customWidth="1"/>
    <col min="14347" max="14347" width="16.44140625" style="670" customWidth="1"/>
    <col min="14348" max="14348" width="18.6640625" style="670" customWidth="1"/>
    <col min="14349" max="14349" width="20.21875" style="670" bestFit="1" customWidth="1"/>
    <col min="14350" max="14350" width="25.6640625" style="670" customWidth="1"/>
    <col min="14351" max="14351" width="19.44140625" style="670" bestFit="1" customWidth="1"/>
    <col min="14352" max="14352" width="21.109375" style="670" bestFit="1" customWidth="1"/>
    <col min="14353" max="14353" width="15.88671875" style="670" bestFit="1" customWidth="1"/>
    <col min="14354" max="14354" width="8.88671875" style="670"/>
    <col min="14355" max="14355" width="13.44140625" style="670" bestFit="1" customWidth="1"/>
    <col min="14356" max="14356" width="8.88671875" style="670"/>
    <col min="14357" max="14357" width="11.77734375" style="670" bestFit="1" customWidth="1"/>
    <col min="14358" max="14359" width="8.88671875" style="670"/>
    <col min="14360" max="14360" width="11.6640625" style="670" bestFit="1" customWidth="1"/>
    <col min="14361" max="14592" width="8.88671875" style="670"/>
    <col min="14593" max="14593" width="10" style="670" customWidth="1"/>
    <col min="14594" max="14594" width="60.88671875" style="670" customWidth="1"/>
    <col min="14595" max="14595" width="18.77734375" style="670" customWidth="1"/>
    <col min="14596" max="14596" width="11" style="670" customWidth="1"/>
    <col min="14597" max="14597" width="14.6640625" style="670" customWidth="1"/>
    <col min="14598" max="14602" width="18.6640625" style="670" customWidth="1"/>
    <col min="14603" max="14603" width="16.44140625" style="670" customWidth="1"/>
    <col min="14604" max="14604" width="18.6640625" style="670" customWidth="1"/>
    <col min="14605" max="14605" width="20.21875" style="670" bestFit="1" customWidth="1"/>
    <col min="14606" max="14606" width="25.6640625" style="670" customWidth="1"/>
    <col min="14607" max="14607" width="19.44140625" style="670" bestFit="1" customWidth="1"/>
    <col min="14608" max="14608" width="21.109375" style="670" bestFit="1" customWidth="1"/>
    <col min="14609" max="14609" width="15.88671875" style="670" bestFit="1" customWidth="1"/>
    <col min="14610" max="14610" width="8.88671875" style="670"/>
    <col min="14611" max="14611" width="13.44140625" style="670" bestFit="1" customWidth="1"/>
    <col min="14612" max="14612" width="8.88671875" style="670"/>
    <col min="14613" max="14613" width="11.77734375" style="670" bestFit="1" customWidth="1"/>
    <col min="14614" max="14615" width="8.88671875" style="670"/>
    <col min="14616" max="14616" width="11.6640625" style="670" bestFit="1" customWidth="1"/>
    <col min="14617" max="14848" width="8.88671875" style="670"/>
    <col min="14849" max="14849" width="10" style="670" customWidth="1"/>
    <col min="14850" max="14850" width="60.88671875" style="670" customWidth="1"/>
    <col min="14851" max="14851" width="18.77734375" style="670" customWidth="1"/>
    <col min="14852" max="14852" width="11" style="670" customWidth="1"/>
    <col min="14853" max="14853" width="14.6640625" style="670" customWidth="1"/>
    <col min="14854" max="14858" width="18.6640625" style="670" customWidth="1"/>
    <col min="14859" max="14859" width="16.44140625" style="670" customWidth="1"/>
    <col min="14860" max="14860" width="18.6640625" style="670" customWidth="1"/>
    <col min="14861" max="14861" width="20.21875" style="670" bestFit="1" customWidth="1"/>
    <col min="14862" max="14862" width="25.6640625" style="670" customWidth="1"/>
    <col min="14863" max="14863" width="19.44140625" style="670" bestFit="1" customWidth="1"/>
    <col min="14864" max="14864" width="21.109375" style="670" bestFit="1" customWidth="1"/>
    <col min="14865" max="14865" width="15.88671875" style="670" bestFit="1" customWidth="1"/>
    <col min="14866" max="14866" width="8.88671875" style="670"/>
    <col min="14867" max="14867" width="13.44140625" style="670" bestFit="1" customWidth="1"/>
    <col min="14868" max="14868" width="8.88671875" style="670"/>
    <col min="14869" max="14869" width="11.77734375" style="670" bestFit="1" customWidth="1"/>
    <col min="14870" max="14871" width="8.88671875" style="670"/>
    <col min="14872" max="14872" width="11.6640625" style="670" bestFit="1" customWidth="1"/>
    <col min="14873" max="15104" width="8.88671875" style="670"/>
    <col min="15105" max="15105" width="10" style="670" customWidth="1"/>
    <col min="15106" max="15106" width="60.88671875" style="670" customWidth="1"/>
    <col min="15107" max="15107" width="18.77734375" style="670" customWidth="1"/>
    <col min="15108" max="15108" width="11" style="670" customWidth="1"/>
    <col min="15109" max="15109" width="14.6640625" style="670" customWidth="1"/>
    <col min="15110" max="15114" width="18.6640625" style="670" customWidth="1"/>
    <col min="15115" max="15115" width="16.44140625" style="670" customWidth="1"/>
    <col min="15116" max="15116" width="18.6640625" style="670" customWidth="1"/>
    <col min="15117" max="15117" width="20.21875" style="670" bestFit="1" customWidth="1"/>
    <col min="15118" max="15118" width="25.6640625" style="670" customWidth="1"/>
    <col min="15119" max="15119" width="19.44140625" style="670" bestFit="1" customWidth="1"/>
    <col min="15120" max="15120" width="21.109375" style="670" bestFit="1" customWidth="1"/>
    <col min="15121" max="15121" width="15.88671875" style="670" bestFit="1" customWidth="1"/>
    <col min="15122" max="15122" width="8.88671875" style="670"/>
    <col min="15123" max="15123" width="13.44140625" style="670" bestFit="1" customWidth="1"/>
    <col min="15124" max="15124" width="8.88671875" style="670"/>
    <col min="15125" max="15125" width="11.77734375" style="670" bestFit="1" customWidth="1"/>
    <col min="15126" max="15127" width="8.88671875" style="670"/>
    <col min="15128" max="15128" width="11.6640625" style="670" bestFit="1" customWidth="1"/>
    <col min="15129" max="15360" width="8.88671875" style="670"/>
    <col min="15361" max="15361" width="10" style="670" customWidth="1"/>
    <col min="15362" max="15362" width="60.88671875" style="670" customWidth="1"/>
    <col min="15363" max="15363" width="18.77734375" style="670" customWidth="1"/>
    <col min="15364" max="15364" width="11" style="670" customWidth="1"/>
    <col min="15365" max="15365" width="14.6640625" style="670" customWidth="1"/>
    <col min="15366" max="15370" width="18.6640625" style="670" customWidth="1"/>
    <col min="15371" max="15371" width="16.44140625" style="670" customWidth="1"/>
    <col min="15372" max="15372" width="18.6640625" style="670" customWidth="1"/>
    <col min="15373" max="15373" width="20.21875" style="670" bestFit="1" customWidth="1"/>
    <col min="15374" max="15374" width="25.6640625" style="670" customWidth="1"/>
    <col min="15375" max="15375" width="19.44140625" style="670" bestFit="1" customWidth="1"/>
    <col min="15376" max="15376" width="21.109375" style="670" bestFit="1" customWidth="1"/>
    <col min="15377" max="15377" width="15.88671875" style="670" bestFit="1" customWidth="1"/>
    <col min="15378" max="15378" width="8.88671875" style="670"/>
    <col min="15379" max="15379" width="13.44140625" style="670" bestFit="1" customWidth="1"/>
    <col min="15380" max="15380" width="8.88671875" style="670"/>
    <col min="15381" max="15381" width="11.77734375" style="670" bestFit="1" customWidth="1"/>
    <col min="15382" max="15383" width="8.88671875" style="670"/>
    <col min="15384" max="15384" width="11.6640625" style="670" bestFit="1" customWidth="1"/>
    <col min="15385" max="15616" width="8.88671875" style="670"/>
    <col min="15617" max="15617" width="10" style="670" customWidth="1"/>
    <col min="15618" max="15618" width="60.88671875" style="670" customWidth="1"/>
    <col min="15619" max="15619" width="18.77734375" style="670" customWidth="1"/>
    <col min="15620" max="15620" width="11" style="670" customWidth="1"/>
    <col min="15621" max="15621" width="14.6640625" style="670" customWidth="1"/>
    <col min="15622" max="15626" width="18.6640625" style="670" customWidth="1"/>
    <col min="15627" max="15627" width="16.44140625" style="670" customWidth="1"/>
    <col min="15628" max="15628" width="18.6640625" style="670" customWidth="1"/>
    <col min="15629" max="15629" width="20.21875" style="670" bestFit="1" customWidth="1"/>
    <col min="15630" max="15630" width="25.6640625" style="670" customWidth="1"/>
    <col min="15631" max="15631" width="19.44140625" style="670" bestFit="1" customWidth="1"/>
    <col min="15632" max="15632" width="21.109375" style="670" bestFit="1" customWidth="1"/>
    <col min="15633" max="15633" width="15.88671875" style="670" bestFit="1" customWidth="1"/>
    <col min="15634" max="15634" width="8.88671875" style="670"/>
    <col min="15635" max="15635" width="13.44140625" style="670" bestFit="1" customWidth="1"/>
    <col min="15636" max="15636" width="8.88671875" style="670"/>
    <col min="15637" max="15637" width="11.77734375" style="670" bestFit="1" customWidth="1"/>
    <col min="15638" max="15639" width="8.88671875" style="670"/>
    <col min="15640" max="15640" width="11.6640625" style="670" bestFit="1" customWidth="1"/>
    <col min="15641" max="15872" width="8.88671875" style="670"/>
    <col min="15873" max="15873" width="10" style="670" customWidth="1"/>
    <col min="15874" max="15874" width="60.88671875" style="670" customWidth="1"/>
    <col min="15875" max="15875" width="18.77734375" style="670" customWidth="1"/>
    <col min="15876" max="15876" width="11" style="670" customWidth="1"/>
    <col min="15877" max="15877" width="14.6640625" style="670" customWidth="1"/>
    <col min="15878" max="15882" width="18.6640625" style="670" customWidth="1"/>
    <col min="15883" max="15883" width="16.44140625" style="670" customWidth="1"/>
    <col min="15884" max="15884" width="18.6640625" style="670" customWidth="1"/>
    <col min="15885" max="15885" width="20.21875" style="670" bestFit="1" customWidth="1"/>
    <col min="15886" max="15886" width="25.6640625" style="670" customWidth="1"/>
    <col min="15887" max="15887" width="19.44140625" style="670" bestFit="1" customWidth="1"/>
    <col min="15888" max="15888" width="21.109375" style="670" bestFit="1" customWidth="1"/>
    <col min="15889" max="15889" width="15.88671875" style="670" bestFit="1" customWidth="1"/>
    <col min="15890" max="15890" width="8.88671875" style="670"/>
    <col min="15891" max="15891" width="13.44140625" style="670" bestFit="1" customWidth="1"/>
    <col min="15892" max="15892" width="8.88671875" style="670"/>
    <col min="15893" max="15893" width="11.77734375" style="670" bestFit="1" customWidth="1"/>
    <col min="15894" max="15895" width="8.88671875" style="670"/>
    <col min="15896" max="15896" width="11.6640625" style="670" bestFit="1" customWidth="1"/>
    <col min="15897" max="16128" width="8.88671875" style="670"/>
    <col min="16129" max="16129" width="10" style="670" customWidth="1"/>
    <col min="16130" max="16130" width="60.88671875" style="670" customWidth="1"/>
    <col min="16131" max="16131" width="18.77734375" style="670" customWidth="1"/>
    <col min="16132" max="16132" width="11" style="670" customWidth="1"/>
    <col min="16133" max="16133" width="14.6640625" style="670" customWidth="1"/>
    <col min="16134" max="16138" width="18.6640625" style="670" customWidth="1"/>
    <col min="16139" max="16139" width="16.44140625" style="670" customWidth="1"/>
    <col min="16140" max="16140" width="18.6640625" style="670" customWidth="1"/>
    <col min="16141" max="16141" width="20.21875" style="670" bestFit="1" customWidth="1"/>
    <col min="16142" max="16142" width="25.6640625" style="670" customWidth="1"/>
    <col min="16143" max="16143" width="19.44140625" style="670" bestFit="1" customWidth="1"/>
    <col min="16144" max="16144" width="21.109375" style="670" bestFit="1" customWidth="1"/>
    <col min="16145" max="16145" width="15.88671875" style="670" bestFit="1" customWidth="1"/>
    <col min="16146" max="16146" width="8.88671875" style="670"/>
    <col min="16147" max="16147" width="13.44140625" style="670" bestFit="1" customWidth="1"/>
    <col min="16148" max="16148" width="8.88671875" style="670"/>
    <col min="16149" max="16149" width="11.77734375" style="670" bestFit="1" customWidth="1"/>
    <col min="16150" max="16151" width="8.88671875" style="670"/>
    <col min="16152" max="16152" width="11.6640625" style="670" bestFit="1" customWidth="1"/>
    <col min="16153" max="16384" width="8.88671875" style="670"/>
  </cols>
  <sheetData>
    <row r="1" spans="1:16" s="651" customFormat="1" ht="72.75" customHeight="1">
      <c r="A1" s="1449" t="str">
        <f>[8]Detailed!A4</f>
        <v>CONSTRUCTION OF RURAL POLICE STATION BUILDING WITH DEVELOPMENT WORK AT REGUNATHAPURAM IN PUDUKKOTTAI DISRICT.</v>
      </c>
      <c r="B1" s="1450"/>
      <c r="C1" s="1450"/>
      <c r="D1" s="1450"/>
      <c r="E1" s="1450"/>
      <c r="F1" s="1450"/>
      <c r="G1" s="1450"/>
      <c r="H1" s="1450"/>
      <c r="I1" s="1450"/>
      <c r="J1" s="1450"/>
      <c r="K1" s="1450"/>
      <c r="L1" s="1450"/>
      <c r="M1" s="648"/>
      <c r="N1" s="649"/>
      <c r="O1" s="650"/>
      <c r="P1" s="650"/>
    </row>
    <row r="2" spans="1:16" s="653" customFormat="1" ht="75" customHeight="1">
      <c r="A2" s="1448" t="s">
        <v>544</v>
      </c>
      <c r="B2" s="1448" t="s">
        <v>1231</v>
      </c>
      <c r="C2" s="1448" t="s">
        <v>1339</v>
      </c>
      <c r="D2" s="1448" t="s">
        <v>215</v>
      </c>
      <c r="E2" s="1451" t="s">
        <v>2752</v>
      </c>
      <c r="F2" s="1452"/>
      <c r="G2" s="1451" t="s">
        <v>424</v>
      </c>
      <c r="H2" s="1453"/>
      <c r="I2" s="1451" t="s">
        <v>1360</v>
      </c>
      <c r="J2" s="1452"/>
      <c r="K2" s="1454" t="s">
        <v>1361</v>
      </c>
      <c r="L2" s="1452"/>
      <c r="M2" s="1448" t="s">
        <v>1361</v>
      </c>
      <c r="N2" s="1448"/>
      <c r="O2" s="652"/>
      <c r="P2" s="652"/>
    </row>
    <row r="3" spans="1:16" s="653" customFormat="1" ht="57.75" customHeight="1">
      <c r="A3" s="1448"/>
      <c r="B3" s="1448"/>
      <c r="C3" s="1448"/>
      <c r="D3" s="1448"/>
      <c r="E3" s="654" t="s">
        <v>214</v>
      </c>
      <c r="F3" s="1374" t="s">
        <v>1340</v>
      </c>
      <c r="G3" s="654" t="s">
        <v>214</v>
      </c>
      <c r="H3" s="1374" t="s">
        <v>1340</v>
      </c>
      <c r="I3" s="654" t="s">
        <v>8</v>
      </c>
      <c r="J3" s="1374" t="s">
        <v>1340</v>
      </c>
      <c r="K3" s="654" t="s">
        <v>8</v>
      </c>
      <c r="L3" s="1374" t="s">
        <v>1340</v>
      </c>
      <c r="M3" s="1374" t="s">
        <v>8</v>
      </c>
      <c r="N3" s="1374" t="s">
        <v>1340</v>
      </c>
      <c r="O3" s="652"/>
      <c r="P3" s="652"/>
    </row>
    <row r="4" spans="1:16" s="653" customFormat="1" ht="26.25">
      <c r="A4" s="657"/>
      <c r="B4" s="658"/>
      <c r="C4" s="657"/>
      <c r="D4" s="658"/>
      <c r="E4" s="1401"/>
      <c r="F4" s="657"/>
      <c r="G4" s="657"/>
      <c r="H4" s="657"/>
      <c r="I4" s="657"/>
      <c r="J4" s="657"/>
      <c r="K4" s="659"/>
      <c r="L4" s="660"/>
      <c r="M4" s="1375"/>
      <c r="N4" s="1375"/>
      <c r="O4" s="652"/>
      <c r="P4" s="652"/>
    </row>
    <row r="5" spans="1:16" ht="50.25" customHeight="1">
      <c r="A5" s="662">
        <v>1.1000000000000001</v>
      </c>
      <c r="B5" s="663" t="s">
        <v>1362</v>
      </c>
      <c r="C5" s="664"/>
      <c r="D5" s="663" t="s">
        <v>220</v>
      </c>
      <c r="E5" s="665"/>
      <c r="F5" s="666"/>
      <c r="G5" s="666"/>
      <c r="H5" s="666"/>
      <c r="I5" s="666"/>
      <c r="J5" s="666"/>
      <c r="K5" s="665"/>
      <c r="L5" s="666"/>
      <c r="M5" s="668" t="s">
        <v>1363</v>
      </c>
      <c r="N5" s="668"/>
    </row>
    <row r="6" spans="1:16" ht="48.75" customHeight="1">
      <c r="A6" s="662"/>
      <c r="B6" s="663" t="s">
        <v>63</v>
      </c>
      <c r="C6" s="667">
        <f>ROUND([8]Data!K88,2)</f>
        <v>204.4</v>
      </c>
      <c r="D6" s="663" t="s">
        <v>235</v>
      </c>
      <c r="E6" s="665">
        <f>[8]Detailed!H27</f>
        <v>116.7</v>
      </c>
      <c r="F6" s="666">
        <f>E6*C6</f>
        <v>23853.48</v>
      </c>
      <c r="G6" s="666"/>
      <c r="H6" s="666"/>
      <c r="I6" s="666">
        <f>G6</f>
        <v>0</v>
      </c>
      <c r="J6" s="666"/>
      <c r="K6" s="665">
        <f>E6</f>
        <v>116.7</v>
      </c>
      <c r="L6" s="666">
        <f>C6*K6</f>
        <v>23853.48</v>
      </c>
      <c r="M6" s="672">
        <v>149.80000000000001</v>
      </c>
      <c r="N6" s="668">
        <f>K6-M6</f>
        <v>-33.100000000000009</v>
      </c>
    </row>
    <row r="7" spans="1:16" ht="38.25" hidden="1" customHeight="1">
      <c r="A7" s="673"/>
      <c r="B7" s="674" t="s">
        <v>1364</v>
      </c>
      <c r="C7" s="675">
        <f>ROUND([8]Data!K119,2)</f>
        <v>105.9</v>
      </c>
      <c r="D7" s="674" t="s">
        <v>235</v>
      </c>
      <c r="E7" s="659"/>
      <c r="F7" s="666">
        <f t="shared" ref="F7:F70" si="0">E7*C7</f>
        <v>0</v>
      </c>
      <c r="G7" s="666"/>
      <c r="H7" s="666"/>
      <c r="I7" s="666">
        <f t="shared" ref="I7:I70" si="1">G7</f>
        <v>0</v>
      </c>
      <c r="J7" s="666"/>
      <c r="K7" s="665">
        <f t="shared" ref="K7:K70" si="2">E7</f>
        <v>0</v>
      </c>
      <c r="L7" s="666">
        <f t="shared" ref="L7:L70" si="3">C7*K7</f>
        <v>0</v>
      </c>
      <c r="M7" s="672">
        <v>0</v>
      </c>
      <c r="N7" s="668">
        <f t="shared" ref="N7:N70" si="4">K7-M7</f>
        <v>0</v>
      </c>
    </row>
    <row r="8" spans="1:16" s="677" customFormat="1" ht="25.5" hidden="1" customHeight="1">
      <c r="A8" s="662"/>
      <c r="B8" s="663" t="s">
        <v>1369</v>
      </c>
      <c r="C8" s="675">
        <f>ROUND([8]Data!K120,2)</f>
        <v>115.2</v>
      </c>
      <c r="D8" s="674" t="s">
        <v>235</v>
      </c>
      <c r="E8" s="659"/>
      <c r="F8" s="666">
        <f t="shared" si="0"/>
        <v>0</v>
      </c>
      <c r="G8" s="666"/>
      <c r="H8" s="666"/>
      <c r="I8" s="666">
        <f t="shared" si="1"/>
        <v>0</v>
      </c>
      <c r="J8" s="666"/>
      <c r="K8" s="665">
        <f t="shared" si="2"/>
        <v>0</v>
      </c>
      <c r="L8" s="666">
        <f t="shared" si="3"/>
        <v>0</v>
      </c>
      <c r="M8" s="672">
        <v>0</v>
      </c>
      <c r="N8" s="668">
        <f t="shared" si="4"/>
        <v>0</v>
      </c>
      <c r="O8" s="676"/>
      <c r="P8" s="676"/>
    </row>
    <row r="9" spans="1:16" s="677" customFormat="1" ht="25.5" hidden="1" customHeight="1">
      <c r="A9" s="662"/>
      <c r="B9" s="663" t="s">
        <v>1370</v>
      </c>
      <c r="C9" s="675">
        <f>ROUND([8]Data!K121,2)</f>
        <v>124.5</v>
      </c>
      <c r="D9" s="674" t="s">
        <v>235</v>
      </c>
      <c r="E9" s="659"/>
      <c r="F9" s="666">
        <f t="shared" si="0"/>
        <v>0</v>
      </c>
      <c r="G9" s="666"/>
      <c r="H9" s="666"/>
      <c r="I9" s="666">
        <f t="shared" si="1"/>
        <v>0</v>
      </c>
      <c r="J9" s="666"/>
      <c r="K9" s="665">
        <f t="shared" si="2"/>
        <v>0</v>
      </c>
      <c r="L9" s="666">
        <f t="shared" si="3"/>
        <v>0</v>
      </c>
      <c r="M9" s="672">
        <v>0</v>
      </c>
      <c r="N9" s="668">
        <f t="shared" si="4"/>
        <v>0</v>
      </c>
      <c r="O9" s="676"/>
      <c r="P9" s="676"/>
    </row>
    <row r="10" spans="1:16" s="677" customFormat="1" ht="51" hidden="1" customHeight="1">
      <c r="A10" s="662">
        <v>1.6</v>
      </c>
      <c r="B10" s="663" t="s">
        <v>1371</v>
      </c>
      <c r="C10" s="667"/>
      <c r="D10" s="663"/>
      <c r="E10" s="665"/>
      <c r="F10" s="666">
        <f t="shared" si="0"/>
        <v>0</v>
      </c>
      <c r="G10" s="666"/>
      <c r="H10" s="666"/>
      <c r="I10" s="666">
        <f t="shared" si="1"/>
        <v>0</v>
      </c>
      <c r="J10" s="666"/>
      <c r="K10" s="665">
        <f t="shared" si="2"/>
        <v>0</v>
      </c>
      <c r="L10" s="666">
        <f t="shared" si="3"/>
        <v>0</v>
      </c>
      <c r="M10" s="672">
        <v>0</v>
      </c>
      <c r="N10" s="668">
        <f t="shared" si="4"/>
        <v>0</v>
      </c>
      <c r="O10" s="676"/>
      <c r="P10" s="676"/>
    </row>
    <row r="11" spans="1:16" s="677" customFormat="1" ht="43.5" hidden="1" customHeight="1">
      <c r="A11" s="662"/>
      <c r="B11" s="663" t="s">
        <v>63</v>
      </c>
      <c r="C11" s="675">
        <f>ROUND([8]Data!K133,2)</f>
        <v>144.9</v>
      </c>
      <c r="D11" s="674" t="s">
        <v>235</v>
      </c>
      <c r="E11" s="659"/>
      <c r="F11" s="666">
        <f t="shared" si="0"/>
        <v>0</v>
      </c>
      <c r="G11" s="666"/>
      <c r="H11" s="666"/>
      <c r="I11" s="666">
        <f t="shared" si="1"/>
        <v>0</v>
      </c>
      <c r="J11" s="666"/>
      <c r="K11" s="665">
        <f t="shared" si="2"/>
        <v>0</v>
      </c>
      <c r="L11" s="666">
        <f t="shared" si="3"/>
        <v>0</v>
      </c>
      <c r="M11" s="672">
        <v>0</v>
      </c>
      <c r="N11" s="668">
        <f t="shared" si="4"/>
        <v>0</v>
      </c>
      <c r="O11" s="676"/>
      <c r="P11" s="676"/>
    </row>
    <row r="12" spans="1:16" s="677" customFormat="1" ht="25.5" hidden="1" customHeight="1">
      <c r="A12" s="662"/>
      <c r="B12" s="663" t="s">
        <v>1364</v>
      </c>
      <c r="C12" s="675">
        <f>ROUND([8]Data!K134,2)</f>
        <v>154.19999999999999</v>
      </c>
      <c r="D12" s="674" t="s">
        <v>235</v>
      </c>
      <c r="E12" s="659"/>
      <c r="F12" s="666">
        <f t="shared" si="0"/>
        <v>0</v>
      </c>
      <c r="G12" s="666"/>
      <c r="H12" s="666"/>
      <c r="I12" s="666">
        <f t="shared" si="1"/>
        <v>0</v>
      </c>
      <c r="J12" s="666"/>
      <c r="K12" s="665">
        <f t="shared" si="2"/>
        <v>0</v>
      </c>
      <c r="L12" s="666">
        <f t="shared" si="3"/>
        <v>0</v>
      </c>
      <c r="M12" s="672">
        <v>0</v>
      </c>
      <c r="N12" s="668">
        <f t="shared" si="4"/>
        <v>0</v>
      </c>
      <c r="O12" s="676"/>
      <c r="P12" s="676"/>
    </row>
    <row r="13" spans="1:16" s="677" customFormat="1" ht="46.5" hidden="1" customHeight="1">
      <c r="A13" s="662">
        <v>1.7</v>
      </c>
      <c r="B13" s="663" t="s">
        <v>1372</v>
      </c>
      <c r="C13" s="675"/>
      <c r="D13" s="674" t="s">
        <v>220</v>
      </c>
      <c r="E13" s="659"/>
      <c r="F13" s="666">
        <f t="shared" si="0"/>
        <v>0</v>
      </c>
      <c r="G13" s="666"/>
      <c r="H13" s="666"/>
      <c r="I13" s="666">
        <f t="shared" si="1"/>
        <v>0</v>
      </c>
      <c r="J13" s="666"/>
      <c r="K13" s="665">
        <f t="shared" si="2"/>
        <v>0</v>
      </c>
      <c r="L13" s="666">
        <f t="shared" si="3"/>
        <v>0</v>
      </c>
      <c r="M13" s="672">
        <v>0</v>
      </c>
      <c r="N13" s="668">
        <f t="shared" si="4"/>
        <v>0</v>
      </c>
      <c r="O13" s="676"/>
      <c r="P13" s="676"/>
    </row>
    <row r="14" spans="1:16" s="677" customFormat="1" ht="25.5" hidden="1" customHeight="1">
      <c r="A14" s="662"/>
      <c r="B14" s="663" t="s">
        <v>63</v>
      </c>
      <c r="C14" s="675">
        <f>ROUND([8]Data!K104,2)</f>
        <v>287.8</v>
      </c>
      <c r="D14" s="674" t="s">
        <v>235</v>
      </c>
      <c r="E14" s="659"/>
      <c r="F14" s="666">
        <f t="shared" si="0"/>
        <v>0</v>
      </c>
      <c r="G14" s="666"/>
      <c r="H14" s="666"/>
      <c r="I14" s="666">
        <f t="shared" si="1"/>
        <v>0</v>
      </c>
      <c r="J14" s="666"/>
      <c r="K14" s="665">
        <f t="shared" si="2"/>
        <v>0</v>
      </c>
      <c r="L14" s="666">
        <f t="shared" si="3"/>
        <v>0</v>
      </c>
      <c r="M14" s="672">
        <v>0</v>
      </c>
      <c r="N14" s="668">
        <f t="shared" si="4"/>
        <v>0</v>
      </c>
      <c r="O14" s="676"/>
      <c r="P14" s="676"/>
    </row>
    <row r="15" spans="1:16" s="677" customFormat="1" ht="25.5" hidden="1" customHeight="1">
      <c r="A15" s="662"/>
      <c r="B15" s="663" t="s">
        <v>1364</v>
      </c>
      <c r="C15" s="675">
        <f>ROUND([8]Data!K105,2)</f>
        <v>297.10000000000002</v>
      </c>
      <c r="D15" s="674" t="s">
        <v>235</v>
      </c>
      <c r="E15" s="659"/>
      <c r="F15" s="666">
        <f t="shared" si="0"/>
        <v>0</v>
      </c>
      <c r="G15" s="666"/>
      <c r="H15" s="666"/>
      <c r="I15" s="666">
        <f t="shared" si="1"/>
        <v>0</v>
      </c>
      <c r="J15" s="666"/>
      <c r="K15" s="665">
        <f t="shared" si="2"/>
        <v>0</v>
      </c>
      <c r="L15" s="666">
        <f t="shared" si="3"/>
        <v>0</v>
      </c>
      <c r="M15" s="672">
        <v>0</v>
      </c>
      <c r="N15" s="668">
        <f t="shared" si="4"/>
        <v>0</v>
      </c>
      <c r="O15" s="676"/>
      <c r="P15" s="676"/>
    </row>
    <row r="16" spans="1:16" s="677" customFormat="1" ht="46.5" hidden="1" customHeight="1">
      <c r="A16" s="662">
        <v>1.8</v>
      </c>
      <c r="B16" s="663" t="s">
        <v>1373</v>
      </c>
      <c r="C16" s="675"/>
      <c r="D16" s="674" t="s">
        <v>220</v>
      </c>
      <c r="E16" s="659"/>
      <c r="F16" s="666">
        <f t="shared" si="0"/>
        <v>0</v>
      </c>
      <c r="G16" s="666"/>
      <c r="H16" s="666"/>
      <c r="I16" s="666">
        <f t="shared" si="1"/>
        <v>0</v>
      </c>
      <c r="J16" s="666"/>
      <c r="K16" s="665">
        <f t="shared" si="2"/>
        <v>0</v>
      </c>
      <c r="L16" s="666">
        <f t="shared" si="3"/>
        <v>0</v>
      </c>
      <c r="M16" s="672">
        <v>0</v>
      </c>
      <c r="N16" s="668">
        <f t="shared" si="4"/>
        <v>0</v>
      </c>
      <c r="O16" s="676"/>
      <c r="P16" s="676"/>
    </row>
    <row r="17" spans="1:21" s="682" customFormat="1" ht="25.5" hidden="1" customHeight="1">
      <c r="A17" s="662"/>
      <c r="B17" s="663" t="s">
        <v>63</v>
      </c>
      <c r="C17" s="675">
        <f>ROUND([8]Data!K129,2)</f>
        <v>143.9</v>
      </c>
      <c r="D17" s="674" t="s">
        <v>235</v>
      </c>
      <c r="E17" s="659"/>
      <c r="F17" s="666">
        <f t="shared" si="0"/>
        <v>0</v>
      </c>
      <c r="G17" s="666"/>
      <c r="H17" s="666"/>
      <c r="I17" s="666">
        <f t="shared" si="1"/>
        <v>0</v>
      </c>
      <c r="J17" s="666"/>
      <c r="K17" s="665">
        <f t="shared" si="2"/>
        <v>0</v>
      </c>
      <c r="L17" s="666">
        <f t="shared" si="3"/>
        <v>0</v>
      </c>
      <c r="M17" s="672">
        <v>0</v>
      </c>
      <c r="N17" s="668">
        <f t="shared" si="4"/>
        <v>0</v>
      </c>
      <c r="O17" s="680"/>
      <c r="P17" s="681"/>
    </row>
    <row r="18" spans="1:21" s="677" customFormat="1" ht="25.5" hidden="1" customHeight="1">
      <c r="A18" s="662"/>
      <c r="B18" s="663" t="s">
        <v>1364</v>
      </c>
      <c r="C18" s="675">
        <f>ROUND([8]Data!K130,2)</f>
        <v>153.19999999999999</v>
      </c>
      <c r="D18" s="674" t="s">
        <v>235</v>
      </c>
      <c r="E18" s="659"/>
      <c r="F18" s="666">
        <f t="shared" si="0"/>
        <v>0</v>
      </c>
      <c r="G18" s="666"/>
      <c r="H18" s="666"/>
      <c r="I18" s="666">
        <f t="shared" si="1"/>
        <v>0</v>
      </c>
      <c r="J18" s="666"/>
      <c r="K18" s="665">
        <f t="shared" si="2"/>
        <v>0</v>
      </c>
      <c r="L18" s="666">
        <f t="shared" si="3"/>
        <v>0</v>
      </c>
      <c r="M18" s="672">
        <v>0</v>
      </c>
      <c r="N18" s="668">
        <f t="shared" si="4"/>
        <v>0</v>
      </c>
      <c r="O18" s="676"/>
      <c r="P18" s="676"/>
    </row>
    <row r="19" spans="1:21" s="677" customFormat="1" ht="25.5" hidden="1" customHeight="1">
      <c r="A19" s="662">
        <v>1.9</v>
      </c>
      <c r="B19" s="663" t="s">
        <v>1374</v>
      </c>
      <c r="C19" s="675"/>
      <c r="D19" s="674"/>
      <c r="E19" s="659"/>
      <c r="F19" s="666">
        <f t="shared" si="0"/>
        <v>0</v>
      </c>
      <c r="G19" s="666"/>
      <c r="H19" s="666"/>
      <c r="I19" s="666">
        <f t="shared" si="1"/>
        <v>0</v>
      </c>
      <c r="J19" s="666"/>
      <c r="K19" s="665">
        <f t="shared" si="2"/>
        <v>0</v>
      </c>
      <c r="L19" s="666">
        <f t="shared" si="3"/>
        <v>0</v>
      </c>
      <c r="M19" s="672">
        <v>0</v>
      </c>
      <c r="N19" s="668">
        <f t="shared" si="4"/>
        <v>0</v>
      </c>
      <c r="O19" s="676"/>
      <c r="P19" s="676"/>
    </row>
    <row r="20" spans="1:21" s="677" customFormat="1" ht="26.25" hidden="1" customHeight="1">
      <c r="A20" s="662"/>
      <c r="B20" s="663" t="s">
        <v>1375</v>
      </c>
      <c r="C20" s="675"/>
      <c r="D20" s="674" t="s">
        <v>61</v>
      </c>
      <c r="E20" s="659"/>
      <c r="F20" s="666">
        <f t="shared" si="0"/>
        <v>0</v>
      </c>
      <c r="G20" s="666"/>
      <c r="H20" s="666"/>
      <c r="I20" s="666">
        <f t="shared" si="1"/>
        <v>0</v>
      </c>
      <c r="J20" s="666"/>
      <c r="K20" s="665">
        <f t="shared" si="2"/>
        <v>0</v>
      </c>
      <c r="L20" s="666">
        <f t="shared" si="3"/>
        <v>0</v>
      </c>
      <c r="M20" s="672">
        <v>0</v>
      </c>
      <c r="N20" s="668">
        <f t="shared" si="4"/>
        <v>0</v>
      </c>
      <c r="O20" s="676"/>
      <c r="P20" s="676"/>
    </row>
    <row r="21" spans="1:21" s="677" customFormat="1" ht="25.5" hidden="1" customHeight="1">
      <c r="A21" s="662"/>
      <c r="B21" s="663" t="s">
        <v>1376</v>
      </c>
      <c r="C21" s="675"/>
      <c r="D21" s="674" t="s">
        <v>61</v>
      </c>
      <c r="E21" s="659"/>
      <c r="F21" s="666">
        <f t="shared" si="0"/>
        <v>0</v>
      </c>
      <c r="G21" s="666"/>
      <c r="H21" s="666"/>
      <c r="I21" s="666">
        <f t="shared" si="1"/>
        <v>0</v>
      </c>
      <c r="J21" s="666"/>
      <c r="K21" s="665">
        <f t="shared" si="2"/>
        <v>0</v>
      </c>
      <c r="L21" s="666">
        <f t="shared" si="3"/>
        <v>0</v>
      </c>
      <c r="M21" s="672">
        <v>0</v>
      </c>
      <c r="N21" s="668">
        <f t="shared" si="4"/>
        <v>0</v>
      </c>
      <c r="O21" s="676"/>
      <c r="P21" s="676"/>
    </row>
    <row r="22" spans="1:21" s="677" customFormat="1" ht="25.5" hidden="1" customHeight="1">
      <c r="A22" s="662"/>
      <c r="B22" s="663" t="s">
        <v>1377</v>
      </c>
      <c r="C22" s="675"/>
      <c r="D22" s="674" t="s">
        <v>61</v>
      </c>
      <c r="E22" s="659"/>
      <c r="F22" s="666">
        <f t="shared" si="0"/>
        <v>0</v>
      </c>
      <c r="G22" s="666"/>
      <c r="H22" s="666"/>
      <c r="I22" s="666">
        <f t="shared" si="1"/>
        <v>0</v>
      </c>
      <c r="J22" s="666"/>
      <c r="K22" s="665">
        <f t="shared" si="2"/>
        <v>0</v>
      </c>
      <c r="L22" s="666">
        <f t="shared" si="3"/>
        <v>0</v>
      </c>
      <c r="M22" s="672">
        <v>0</v>
      </c>
      <c r="N22" s="668">
        <f t="shared" si="4"/>
        <v>0</v>
      </c>
      <c r="O22" s="676"/>
      <c r="P22" s="676"/>
    </row>
    <row r="23" spans="1:21" s="677" customFormat="1" ht="25.5" hidden="1" customHeight="1">
      <c r="A23" s="662"/>
      <c r="B23" s="663" t="s">
        <v>1378</v>
      </c>
      <c r="C23" s="675"/>
      <c r="D23" s="674" t="s">
        <v>61</v>
      </c>
      <c r="E23" s="659"/>
      <c r="F23" s="666">
        <f t="shared" si="0"/>
        <v>0</v>
      </c>
      <c r="G23" s="666"/>
      <c r="H23" s="666"/>
      <c r="I23" s="666">
        <f t="shared" si="1"/>
        <v>0</v>
      </c>
      <c r="J23" s="666"/>
      <c r="K23" s="665">
        <f t="shared" si="2"/>
        <v>0</v>
      </c>
      <c r="L23" s="666">
        <f t="shared" si="3"/>
        <v>0</v>
      </c>
      <c r="M23" s="672">
        <v>0</v>
      </c>
      <c r="N23" s="668">
        <f t="shared" si="4"/>
        <v>0</v>
      </c>
      <c r="O23" s="676"/>
      <c r="P23" s="676"/>
    </row>
    <row r="24" spans="1:21" s="677" customFormat="1" ht="25.5" hidden="1" customHeight="1">
      <c r="A24" s="662"/>
      <c r="B24" s="663" t="s">
        <v>1379</v>
      </c>
      <c r="C24" s="675"/>
      <c r="D24" s="674" t="s">
        <v>61</v>
      </c>
      <c r="E24" s="659"/>
      <c r="F24" s="666">
        <f t="shared" si="0"/>
        <v>0</v>
      </c>
      <c r="G24" s="666"/>
      <c r="H24" s="666"/>
      <c r="I24" s="666">
        <f t="shared" si="1"/>
        <v>0</v>
      </c>
      <c r="J24" s="666"/>
      <c r="K24" s="665">
        <f t="shared" si="2"/>
        <v>0</v>
      </c>
      <c r="L24" s="666">
        <f t="shared" si="3"/>
        <v>0</v>
      </c>
      <c r="M24" s="672">
        <v>0</v>
      </c>
      <c r="N24" s="668">
        <f t="shared" si="4"/>
        <v>0</v>
      </c>
      <c r="O24" s="676"/>
      <c r="P24" s="676"/>
    </row>
    <row r="25" spans="1:21" s="677" customFormat="1" ht="18.75" hidden="1" customHeight="1">
      <c r="A25" s="662"/>
      <c r="B25" s="663" t="s">
        <v>1380</v>
      </c>
      <c r="C25" s="675"/>
      <c r="D25" s="674" t="s">
        <v>61</v>
      </c>
      <c r="E25" s="659"/>
      <c r="F25" s="666">
        <f t="shared" si="0"/>
        <v>0</v>
      </c>
      <c r="G25" s="666"/>
      <c r="H25" s="666"/>
      <c r="I25" s="666">
        <f t="shared" si="1"/>
        <v>0</v>
      </c>
      <c r="J25" s="666"/>
      <c r="K25" s="665">
        <f t="shared" si="2"/>
        <v>0</v>
      </c>
      <c r="L25" s="666">
        <f t="shared" si="3"/>
        <v>0</v>
      </c>
      <c r="M25" s="672">
        <v>0</v>
      </c>
      <c r="N25" s="668">
        <f t="shared" si="4"/>
        <v>0</v>
      </c>
      <c r="O25" s="676"/>
      <c r="P25" s="676"/>
    </row>
    <row r="26" spans="1:21" s="683" customFormat="1" ht="43.5" customHeight="1">
      <c r="A26" s="662">
        <v>2.1</v>
      </c>
      <c r="B26" s="663" t="s">
        <v>509</v>
      </c>
      <c r="C26" s="667">
        <f>ROUND([8]Data!K144,2)</f>
        <v>1864.56</v>
      </c>
      <c r="D26" s="663" t="s">
        <v>235</v>
      </c>
      <c r="E26" s="665">
        <f>[8]Detailed!H56</f>
        <v>24.2</v>
      </c>
      <c r="F26" s="666">
        <f t="shared" si="0"/>
        <v>45122.351999999999</v>
      </c>
      <c r="G26" s="666"/>
      <c r="H26" s="666"/>
      <c r="I26" s="666">
        <f t="shared" si="1"/>
        <v>0</v>
      </c>
      <c r="J26" s="666"/>
      <c r="K26" s="665">
        <f t="shared" si="2"/>
        <v>24.2</v>
      </c>
      <c r="L26" s="666">
        <f t="shared" si="3"/>
        <v>45122.351999999999</v>
      </c>
      <c r="M26" s="672">
        <v>24.2</v>
      </c>
      <c r="N26" s="668">
        <f t="shared" si="4"/>
        <v>0</v>
      </c>
      <c r="O26" s="669"/>
      <c r="P26" s="669"/>
    </row>
    <row r="27" spans="1:21" s="677" customFormat="1" ht="60" customHeight="1">
      <c r="A27" s="662">
        <v>2.2000000000000002</v>
      </c>
      <c r="B27" s="663" t="str">
        <f>[8]Detailed!B28</f>
        <v>Supplying and Filling in Foundation and Basement with Filling LIME.</v>
      </c>
      <c r="C27" s="675">
        <f>[8]A.DATA!F596</f>
        <v>1156.68</v>
      </c>
      <c r="D27" s="674" t="s">
        <v>235</v>
      </c>
      <c r="E27" s="659">
        <f>[8]Detailed!H34</f>
        <v>2.2000000000000002</v>
      </c>
      <c r="F27" s="666">
        <f t="shared" si="0"/>
        <v>2544.6960000000004</v>
      </c>
      <c r="G27" s="666"/>
      <c r="H27" s="666"/>
      <c r="I27" s="666">
        <f t="shared" si="1"/>
        <v>0</v>
      </c>
      <c r="J27" s="666"/>
      <c r="K27" s="665">
        <f t="shared" si="2"/>
        <v>2.2000000000000002</v>
      </c>
      <c r="L27" s="666">
        <f t="shared" si="3"/>
        <v>2544.6960000000004</v>
      </c>
      <c r="M27" s="672">
        <v>3</v>
      </c>
      <c r="N27" s="668">
        <f t="shared" si="4"/>
        <v>-0.79999999999999982</v>
      </c>
      <c r="O27" s="676"/>
      <c r="P27" s="676"/>
    </row>
    <row r="28" spans="1:21" ht="46.5" hidden="1" customHeight="1">
      <c r="A28" s="673">
        <v>2.2999999999999998</v>
      </c>
      <c r="B28" s="674" t="s">
        <v>19</v>
      </c>
      <c r="C28" s="675">
        <f>ROUND([8]Data!C165,2)</f>
        <v>919.9</v>
      </c>
      <c r="D28" s="674" t="s">
        <v>235</v>
      </c>
      <c r="E28" s="659"/>
      <c r="F28" s="666">
        <f t="shared" si="0"/>
        <v>0</v>
      </c>
      <c r="G28" s="666"/>
      <c r="H28" s="666"/>
      <c r="I28" s="666">
        <f t="shared" si="1"/>
        <v>0</v>
      </c>
      <c r="J28" s="666"/>
      <c r="K28" s="665">
        <f t="shared" si="2"/>
        <v>0</v>
      </c>
      <c r="L28" s="666">
        <f t="shared" si="3"/>
        <v>0</v>
      </c>
      <c r="M28" s="672">
        <v>0</v>
      </c>
      <c r="N28" s="668">
        <f t="shared" si="4"/>
        <v>0</v>
      </c>
    </row>
    <row r="29" spans="1:21" ht="46.5" hidden="1" customHeight="1">
      <c r="A29" s="673">
        <v>2.4</v>
      </c>
      <c r="B29" s="674" t="s">
        <v>20</v>
      </c>
      <c r="C29" s="675">
        <f>ROUND([8]Data!C166,2)</f>
        <v>998.9</v>
      </c>
      <c r="D29" s="674" t="s">
        <v>235</v>
      </c>
      <c r="E29" s="659"/>
      <c r="F29" s="666">
        <f t="shared" si="0"/>
        <v>0</v>
      </c>
      <c r="G29" s="666"/>
      <c r="H29" s="666"/>
      <c r="I29" s="666">
        <f t="shared" si="1"/>
        <v>0</v>
      </c>
      <c r="J29" s="666"/>
      <c r="K29" s="665">
        <f t="shared" si="2"/>
        <v>0</v>
      </c>
      <c r="L29" s="666">
        <f t="shared" si="3"/>
        <v>0</v>
      </c>
      <c r="M29" s="672">
        <v>0</v>
      </c>
      <c r="N29" s="668">
        <f t="shared" si="4"/>
        <v>0</v>
      </c>
    </row>
    <row r="30" spans="1:21" s="677" customFormat="1" ht="22.5" hidden="1" customHeight="1">
      <c r="A30" s="662">
        <v>2.5</v>
      </c>
      <c r="B30" s="663" t="s">
        <v>1382</v>
      </c>
      <c r="C30" s="675">
        <f>ROUND([8]Data!K189,2)</f>
        <v>531.65</v>
      </c>
      <c r="D30" s="674" t="s">
        <v>235</v>
      </c>
      <c r="E30" s="659"/>
      <c r="F30" s="666">
        <f t="shared" si="0"/>
        <v>0</v>
      </c>
      <c r="G30" s="666"/>
      <c r="H30" s="666"/>
      <c r="I30" s="666">
        <f t="shared" si="1"/>
        <v>0</v>
      </c>
      <c r="J30" s="666"/>
      <c r="K30" s="665">
        <f t="shared" si="2"/>
        <v>0</v>
      </c>
      <c r="L30" s="666">
        <f t="shared" si="3"/>
        <v>0</v>
      </c>
      <c r="M30" s="672">
        <v>0</v>
      </c>
      <c r="N30" s="668">
        <f t="shared" si="4"/>
        <v>0</v>
      </c>
      <c r="O30" s="676"/>
      <c r="P30" s="676"/>
    </row>
    <row r="31" spans="1:21" s="683" customFormat="1" ht="48" customHeight="1">
      <c r="A31" s="662">
        <v>3.1</v>
      </c>
      <c r="B31" s="663" t="s">
        <v>1385</v>
      </c>
      <c r="C31" s="667">
        <f>ROUND([8]Data!K204,2)</f>
        <v>4858.32</v>
      </c>
      <c r="D31" s="663" t="s">
        <v>235</v>
      </c>
      <c r="E31" s="665">
        <f>[8]Detailed!H75</f>
        <v>8.9</v>
      </c>
      <c r="F31" s="666">
        <f t="shared" si="0"/>
        <v>43239.048000000003</v>
      </c>
      <c r="G31" s="666"/>
      <c r="H31" s="666"/>
      <c r="I31" s="666">
        <f t="shared" si="1"/>
        <v>0</v>
      </c>
      <c r="J31" s="666"/>
      <c r="K31" s="665">
        <f t="shared" si="2"/>
        <v>8.9</v>
      </c>
      <c r="L31" s="666">
        <f t="shared" si="3"/>
        <v>43239.048000000003</v>
      </c>
      <c r="M31" s="672">
        <v>10.5</v>
      </c>
      <c r="N31" s="668">
        <f t="shared" si="4"/>
        <v>-1.5999999999999996</v>
      </c>
      <c r="O31" s="669"/>
      <c r="P31" s="669"/>
    </row>
    <row r="32" spans="1:21" s="677" customFormat="1" ht="56.25" hidden="1" customHeight="1">
      <c r="A32" s="662">
        <v>3.3</v>
      </c>
      <c r="B32" s="663" t="s">
        <v>1387</v>
      </c>
      <c r="C32" s="675">
        <f>ROUND([8]Data!K234,2)</f>
        <v>4011.78</v>
      </c>
      <c r="D32" s="674" t="s">
        <v>235</v>
      </c>
      <c r="E32" s="659"/>
      <c r="F32" s="666">
        <f t="shared" si="0"/>
        <v>0</v>
      </c>
      <c r="G32" s="666"/>
      <c r="H32" s="666"/>
      <c r="I32" s="666">
        <f t="shared" si="1"/>
        <v>0</v>
      </c>
      <c r="J32" s="666"/>
      <c r="K32" s="665">
        <f t="shared" si="2"/>
        <v>0</v>
      </c>
      <c r="L32" s="666">
        <f t="shared" si="3"/>
        <v>0</v>
      </c>
      <c r="M32" s="672">
        <v>0</v>
      </c>
      <c r="N32" s="668">
        <f t="shared" si="4"/>
        <v>0</v>
      </c>
      <c r="O32" s="676"/>
      <c r="P32" s="676"/>
      <c r="U32" s="677">
        <f>4360-145</f>
        <v>4215</v>
      </c>
    </row>
    <row r="33" spans="1:17" s="677" customFormat="1" ht="46.5" hidden="1" customHeight="1">
      <c r="A33" s="662">
        <v>3.4</v>
      </c>
      <c r="B33" s="663" t="s">
        <v>1388</v>
      </c>
      <c r="C33" s="675"/>
      <c r="D33" s="674" t="s">
        <v>264</v>
      </c>
      <c r="E33" s="659"/>
      <c r="F33" s="666">
        <f t="shared" si="0"/>
        <v>0</v>
      </c>
      <c r="G33" s="666"/>
      <c r="H33" s="666"/>
      <c r="I33" s="666">
        <f t="shared" si="1"/>
        <v>0</v>
      </c>
      <c r="J33" s="666"/>
      <c r="K33" s="665">
        <f t="shared" si="2"/>
        <v>0</v>
      </c>
      <c r="L33" s="666">
        <f t="shared" si="3"/>
        <v>0</v>
      </c>
      <c r="M33" s="672">
        <v>0</v>
      </c>
      <c r="N33" s="668">
        <f t="shared" si="4"/>
        <v>0</v>
      </c>
      <c r="O33" s="676"/>
      <c r="P33" s="676"/>
    </row>
    <row r="34" spans="1:17" s="677" customFormat="1" ht="25.5" hidden="1" customHeight="1">
      <c r="A34" s="662">
        <v>3.5</v>
      </c>
      <c r="B34" s="663" t="s">
        <v>1389</v>
      </c>
      <c r="C34" s="675"/>
      <c r="D34" s="674" t="s">
        <v>264</v>
      </c>
      <c r="E34" s="659"/>
      <c r="F34" s="666">
        <f t="shared" si="0"/>
        <v>0</v>
      </c>
      <c r="G34" s="666"/>
      <c r="H34" s="666"/>
      <c r="I34" s="666">
        <f t="shared" si="1"/>
        <v>0</v>
      </c>
      <c r="J34" s="666"/>
      <c r="K34" s="665">
        <f t="shared" si="2"/>
        <v>0</v>
      </c>
      <c r="L34" s="666">
        <f t="shared" si="3"/>
        <v>0</v>
      </c>
      <c r="M34" s="672">
        <v>0</v>
      </c>
      <c r="N34" s="668">
        <f t="shared" si="4"/>
        <v>0</v>
      </c>
      <c r="O34" s="676"/>
      <c r="P34" s="676"/>
    </row>
    <row r="35" spans="1:17" s="677" customFormat="1" ht="93" hidden="1" customHeight="1">
      <c r="A35" s="662">
        <v>3.6</v>
      </c>
      <c r="B35" s="663" t="s">
        <v>1390</v>
      </c>
      <c r="C35" s="675">
        <f>ROUND([8]Data!K249,2)</f>
        <v>228.78</v>
      </c>
      <c r="D35" s="674" t="s">
        <v>264</v>
      </c>
      <c r="E35" s="659"/>
      <c r="F35" s="666">
        <f t="shared" si="0"/>
        <v>0</v>
      </c>
      <c r="G35" s="666"/>
      <c r="H35" s="666"/>
      <c r="I35" s="666">
        <f t="shared" si="1"/>
        <v>0</v>
      </c>
      <c r="J35" s="666"/>
      <c r="K35" s="665">
        <f t="shared" si="2"/>
        <v>0</v>
      </c>
      <c r="L35" s="666">
        <f t="shared" si="3"/>
        <v>0</v>
      </c>
      <c r="M35" s="672">
        <v>0</v>
      </c>
      <c r="N35" s="668">
        <f t="shared" si="4"/>
        <v>0</v>
      </c>
      <c r="O35" s="676"/>
      <c r="P35" s="676"/>
    </row>
    <row r="36" spans="1:17" s="677" customFormat="1" ht="46.5" hidden="1" customHeight="1">
      <c r="A36" s="662">
        <v>3.7</v>
      </c>
      <c r="B36" s="663" t="s">
        <v>1391</v>
      </c>
      <c r="C36" s="675">
        <f>ROUND([8]Data!K261,2)</f>
        <v>152.21</v>
      </c>
      <c r="D36" s="674" t="s">
        <v>264</v>
      </c>
      <c r="E36" s="659"/>
      <c r="F36" s="666">
        <f t="shared" si="0"/>
        <v>0</v>
      </c>
      <c r="G36" s="666"/>
      <c r="H36" s="666"/>
      <c r="I36" s="666">
        <f t="shared" si="1"/>
        <v>0</v>
      </c>
      <c r="J36" s="666"/>
      <c r="K36" s="665">
        <f t="shared" si="2"/>
        <v>0</v>
      </c>
      <c r="L36" s="666">
        <f t="shared" si="3"/>
        <v>0</v>
      </c>
      <c r="M36" s="672">
        <v>0</v>
      </c>
      <c r="N36" s="668">
        <f t="shared" si="4"/>
        <v>0</v>
      </c>
      <c r="O36" s="676"/>
      <c r="P36" s="676"/>
    </row>
    <row r="37" spans="1:17" s="677" customFormat="1" ht="25.5" hidden="1" customHeight="1">
      <c r="A37" s="662">
        <v>4.0999999999999996</v>
      </c>
      <c r="B37" s="685" t="s">
        <v>1392</v>
      </c>
      <c r="C37" s="675">
        <f>ROUND([8]Data!K285,2)</f>
        <v>7721.28</v>
      </c>
      <c r="D37" s="674" t="s">
        <v>235</v>
      </c>
      <c r="E37" s="659"/>
      <c r="F37" s="666">
        <f t="shared" si="0"/>
        <v>0</v>
      </c>
      <c r="G37" s="666"/>
      <c r="H37" s="666"/>
      <c r="I37" s="666">
        <f t="shared" si="1"/>
        <v>0</v>
      </c>
      <c r="J37" s="666"/>
      <c r="K37" s="665">
        <f t="shared" si="2"/>
        <v>0</v>
      </c>
      <c r="L37" s="666">
        <f t="shared" si="3"/>
        <v>0</v>
      </c>
      <c r="M37" s="672">
        <v>0</v>
      </c>
      <c r="N37" s="668">
        <f t="shared" si="4"/>
        <v>0</v>
      </c>
      <c r="O37" s="676"/>
      <c r="P37" s="676"/>
    </row>
    <row r="38" spans="1:17" s="677" customFormat="1" ht="18.75" hidden="1" customHeight="1">
      <c r="A38" s="662">
        <v>4.2</v>
      </c>
      <c r="B38" s="685" t="s">
        <v>1393</v>
      </c>
      <c r="C38" s="675">
        <f>[8]Data!K821</f>
        <v>8363.17</v>
      </c>
      <c r="D38" s="674" t="s">
        <v>235</v>
      </c>
      <c r="E38" s="659"/>
      <c r="F38" s="666">
        <f t="shared" si="0"/>
        <v>0</v>
      </c>
      <c r="G38" s="666"/>
      <c r="H38" s="666"/>
      <c r="I38" s="666">
        <f t="shared" si="1"/>
        <v>0</v>
      </c>
      <c r="J38" s="666"/>
      <c r="K38" s="665">
        <f t="shared" si="2"/>
        <v>0</v>
      </c>
      <c r="L38" s="666">
        <f t="shared" si="3"/>
        <v>0</v>
      </c>
      <c r="M38" s="672">
        <v>0</v>
      </c>
      <c r="N38" s="668">
        <f t="shared" si="4"/>
        <v>0</v>
      </c>
      <c r="O38" s="676"/>
      <c r="P38" s="676"/>
    </row>
    <row r="39" spans="1:17" ht="71.25" hidden="1" customHeight="1">
      <c r="A39" s="673">
        <v>5</v>
      </c>
      <c r="B39" s="674" t="s">
        <v>1394</v>
      </c>
      <c r="C39" s="675">
        <f>ROUND([8]Data!K306,2)</f>
        <v>5267.27</v>
      </c>
      <c r="D39" s="674" t="s">
        <v>235</v>
      </c>
      <c r="E39" s="659"/>
      <c r="F39" s="666">
        <f t="shared" si="0"/>
        <v>0</v>
      </c>
      <c r="G39" s="666"/>
      <c r="H39" s="666"/>
      <c r="I39" s="666">
        <f t="shared" si="1"/>
        <v>0</v>
      </c>
      <c r="J39" s="666"/>
      <c r="K39" s="665">
        <f t="shared" si="2"/>
        <v>0</v>
      </c>
      <c r="L39" s="666">
        <f t="shared" si="3"/>
        <v>0</v>
      </c>
      <c r="M39" s="672">
        <v>0</v>
      </c>
      <c r="N39" s="668">
        <f t="shared" si="4"/>
        <v>0</v>
      </c>
    </row>
    <row r="40" spans="1:17" s="677" customFormat="1" ht="69.75" hidden="1" customHeight="1">
      <c r="A40" s="662">
        <v>6.1</v>
      </c>
      <c r="B40" s="685" t="s">
        <v>1395</v>
      </c>
      <c r="C40" s="675">
        <f>[8]Data!X321</f>
        <v>6402.92</v>
      </c>
      <c r="D40" s="674" t="s">
        <v>235</v>
      </c>
      <c r="E40" s="659"/>
      <c r="F40" s="666">
        <f t="shared" si="0"/>
        <v>0</v>
      </c>
      <c r="G40" s="666"/>
      <c r="H40" s="666"/>
      <c r="I40" s="666">
        <f t="shared" si="1"/>
        <v>0</v>
      </c>
      <c r="J40" s="666"/>
      <c r="K40" s="665">
        <f t="shared" si="2"/>
        <v>0</v>
      </c>
      <c r="L40" s="666">
        <f t="shared" si="3"/>
        <v>0</v>
      </c>
      <c r="M40" s="672">
        <v>0</v>
      </c>
      <c r="N40" s="668">
        <f t="shared" si="4"/>
        <v>0</v>
      </c>
      <c r="O40" s="676"/>
      <c r="P40" s="676"/>
    </row>
    <row r="41" spans="1:17" s="677" customFormat="1" ht="69.75" hidden="1" customHeight="1">
      <c r="A41" s="662">
        <v>6.2</v>
      </c>
      <c r="B41" s="685" t="s">
        <v>1396</v>
      </c>
      <c r="C41" s="675">
        <f>ROUND([8]Data!AG321,2)</f>
        <v>6071.36</v>
      </c>
      <c r="D41" s="674" t="s">
        <v>235</v>
      </c>
      <c r="E41" s="659"/>
      <c r="F41" s="666">
        <f t="shared" si="0"/>
        <v>0</v>
      </c>
      <c r="G41" s="666"/>
      <c r="H41" s="666"/>
      <c r="I41" s="666">
        <f t="shared" si="1"/>
        <v>0</v>
      </c>
      <c r="J41" s="666"/>
      <c r="K41" s="665">
        <f t="shared" si="2"/>
        <v>0</v>
      </c>
      <c r="L41" s="666">
        <f t="shared" si="3"/>
        <v>0</v>
      </c>
      <c r="M41" s="672">
        <v>0</v>
      </c>
      <c r="N41" s="668">
        <f t="shared" si="4"/>
        <v>0</v>
      </c>
      <c r="O41" s="676"/>
      <c r="P41" s="676"/>
    </row>
    <row r="42" spans="1:17" s="677" customFormat="1" ht="69.75" hidden="1" customHeight="1">
      <c r="A42" s="662">
        <v>6.3</v>
      </c>
      <c r="B42" s="685" t="s">
        <v>1397</v>
      </c>
      <c r="C42" s="675"/>
      <c r="D42" s="674" t="s">
        <v>235</v>
      </c>
      <c r="E42" s="659"/>
      <c r="F42" s="666">
        <f t="shared" si="0"/>
        <v>0</v>
      </c>
      <c r="G42" s="666"/>
      <c r="H42" s="666"/>
      <c r="I42" s="666">
        <f t="shared" si="1"/>
        <v>0</v>
      </c>
      <c r="J42" s="666"/>
      <c r="K42" s="665">
        <f t="shared" si="2"/>
        <v>0</v>
      </c>
      <c r="L42" s="666">
        <f t="shared" si="3"/>
        <v>0</v>
      </c>
      <c r="M42" s="672">
        <v>0</v>
      </c>
      <c r="N42" s="668">
        <f t="shared" si="4"/>
        <v>0</v>
      </c>
      <c r="O42" s="676"/>
      <c r="P42" s="676"/>
    </row>
    <row r="43" spans="1:17" s="677" customFormat="1" ht="13.5" hidden="1" customHeight="1">
      <c r="A43" s="662">
        <v>6.4</v>
      </c>
      <c r="B43" s="685" t="s">
        <v>1398</v>
      </c>
      <c r="C43" s="675"/>
      <c r="D43" s="674" t="s">
        <v>235</v>
      </c>
      <c r="E43" s="659"/>
      <c r="F43" s="666">
        <f t="shared" si="0"/>
        <v>0</v>
      </c>
      <c r="G43" s="666"/>
      <c r="H43" s="666"/>
      <c r="I43" s="666">
        <f t="shared" si="1"/>
        <v>0</v>
      </c>
      <c r="J43" s="666"/>
      <c r="K43" s="665">
        <f t="shared" si="2"/>
        <v>0</v>
      </c>
      <c r="L43" s="666">
        <f t="shared" si="3"/>
        <v>0</v>
      </c>
      <c r="M43" s="672">
        <v>0</v>
      </c>
      <c r="N43" s="668">
        <f t="shared" si="4"/>
        <v>0</v>
      </c>
      <c r="O43" s="676"/>
      <c r="P43" s="676"/>
    </row>
    <row r="44" spans="1:17" ht="80.25" customHeight="1">
      <c r="A44" s="662">
        <v>6.5</v>
      </c>
      <c r="B44" s="685" t="s">
        <v>1399</v>
      </c>
      <c r="C44" s="667">
        <f>[8]Data!K321</f>
        <v>6233.2</v>
      </c>
      <c r="D44" s="663" t="s">
        <v>235</v>
      </c>
      <c r="E44" s="665">
        <f>[8]Detailed!H143</f>
        <v>27.3</v>
      </c>
      <c r="F44" s="666">
        <f t="shared" si="0"/>
        <v>170166.36</v>
      </c>
      <c r="G44" s="666"/>
      <c r="H44" s="666"/>
      <c r="I44" s="666">
        <f t="shared" si="1"/>
        <v>0</v>
      </c>
      <c r="J44" s="666"/>
      <c r="K44" s="665">
        <f t="shared" si="2"/>
        <v>27.3</v>
      </c>
      <c r="L44" s="666">
        <f t="shared" si="3"/>
        <v>170166.36</v>
      </c>
      <c r="M44" s="672">
        <v>26.1</v>
      </c>
      <c r="N44" s="668">
        <f t="shared" si="4"/>
        <v>1.1999999999999993</v>
      </c>
    </row>
    <row r="45" spans="1:17" ht="84.75" customHeight="1">
      <c r="A45" s="662">
        <v>9.5</v>
      </c>
      <c r="B45" s="685" t="s">
        <v>1430</v>
      </c>
      <c r="C45" s="667"/>
      <c r="D45" s="663"/>
      <c r="E45" s="665"/>
      <c r="F45" s="666">
        <f t="shared" si="0"/>
        <v>0</v>
      </c>
      <c r="G45" s="666"/>
      <c r="H45" s="666"/>
      <c r="I45" s="666">
        <f t="shared" si="1"/>
        <v>0</v>
      </c>
      <c r="J45" s="666"/>
      <c r="K45" s="665">
        <f t="shared" si="2"/>
        <v>0</v>
      </c>
      <c r="L45" s="666">
        <f t="shared" si="3"/>
        <v>0</v>
      </c>
      <c r="M45" s="668">
        <v>0</v>
      </c>
      <c r="N45" s="668">
        <f t="shared" si="4"/>
        <v>0</v>
      </c>
      <c r="O45" s="678"/>
      <c r="Q45" s="679"/>
    </row>
    <row r="46" spans="1:17" ht="45.75" customHeight="1">
      <c r="A46" s="662"/>
      <c r="B46" s="663" t="s">
        <v>1420</v>
      </c>
      <c r="C46" s="667">
        <f>ROUND([8]Data!K347,2)</f>
        <v>6229.68</v>
      </c>
      <c r="D46" s="663" t="s">
        <v>235</v>
      </c>
      <c r="E46" s="1402">
        <f>[8]Detailed!H286</f>
        <v>40.700000000000003</v>
      </c>
      <c r="F46" s="666">
        <f t="shared" si="0"/>
        <v>253547.97600000002</v>
      </c>
      <c r="G46" s="666"/>
      <c r="H46" s="666"/>
      <c r="I46" s="666">
        <f t="shared" si="1"/>
        <v>0</v>
      </c>
      <c r="J46" s="666"/>
      <c r="K46" s="665">
        <f t="shared" si="2"/>
        <v>40.700000000000003</v>
      </c>
      <c r="L46" s="666">
        <f t="shared" si="3"/>
        <v>253547.97600000002</v>
      </c>
      <c r="M46" s="672">
        <v>40.700000000000003</v>
      </c>
      <c r="N46" s="668">
        <f t="shared" si="4"/>
        <v>0</v>
      </c>
    </row>
    <row r="47" spans="1:17" ht="45.75" customHeight="1">
      <c r="A47" s="662"/>
      <c r="B47" s="663" t="s">
        <v>1421</v>
      </c>
      <c r="C47" s="667">
        <f>ROUND([8]Data!K348,2)</f>
        <v>6366.88</v>
      </c>
      <c r="D47" s="663" t="s">
        <v>235</v>
      </c>
      <c r="E47" s="1402">
        <f>[8]Detailed!H324</f>
        <v>40.200000000000003</v>
      </c>
      <c r="F47" s="666">
        <f t="shared" si="0"/>
        <v>255948.57600000003</v>
      </c>
      <c r="G47" s="666"/>
      <c r="H47" s="666"/>
      <c r="I47" s="666">
        <f t="shared" si="1"/>
        <v>0</v>
      </c>
      <c r="J47" s="666"/>
      <c r="K47" s="665">
        <f t="shared" si="2"/>
        <v>40.200000000000003</v>
      </c>
      <c r="L47" s="666">
        <f t="shared" si="3"/>
        <v>255948.57600000003</v>
      </c>
      <c r="M47" s="672">
        <v>40.200000000000003</v>
      </c>
      <c r="N47" s="668">
        <f t="shared" si="4"/>
        <v>0</v>
      </c>
    </row>
    <row r="48" spans="1:17" ht="45.75" customHeight="1">
      <c r="A48" s="662"/>
      <c r="B48" s="663" t="s">
        <v>1422</v>
      </c>
      <c r="C48" s="667">
        <f>ROUND([8]Data!K349,2)</f>
        <v>6504.08</v>
      </c>
      <c r="D48" s="663" t="s">
        <v>235</v>
      </c>
      <c r="E48" s="1402">
        <f>[8]Detailed!H337</f>
        <v>8.1</v>
      </c>
      <c r="F48" s="666">
        <f t="shared" si="0"/>
        <v>52683.047999999995</v>
      </c>
      <c r="G48" s="666"/>
      <c r="H48" s="666"/>
      <c r="I48" s="666">
        <f t="shared" si="1"/>
        <v>0</v>
      </c>
      <c r="J48" s="666"/>
      <c r="K48" s="665">
        <f t="shared" si="2"/>
        <v>8.1</v>
      </c>
      <c r="L48" s="666">
        <f t="shared" si="3"/>
        <v>52683.047999999995</v>
      </c>
      <c r="M48" s="672">
        <v>8.1</v>
      </c>
      <c r="N48" s="668">
        <f t="shared" si="4"/>
        <v>0</v>
      </c>
    </row>
    <row r="49" spans="1:16" ht="45.75" hidden="1" customHeight="1">
      <c r="A49" s="662"/>
      <c r="B49" s="663" t="s">
        <v>1423</v>
      </c>
      <c r="C49" s="667">
        <f>ROUND([8]Data!K350,2)</f>
        <v>6641.28</v>
      </c>
      <c r="D49" s="663" t="s">
        <v>235</v>
      </c>
      <c r="E49" s="1402"/>
      <c r="F49" s="666">
        <f t="shared" si="0"/>
        <v>0</v>
      </c>
      <c r="G49" s="666"/>
      <c r="H49" s="666"/>
      <c r="I49" s="666">
        <f t="shared" si="1"/>
        <v>0</v>
      </c>
      <c r="J49" s="666"/>
      <c r="K49" s="665">
        <f t="shared" si="2"/>
        <v>0</v>
      </c>
      <c r="L49" s="666">
        <f t="shared" si="3"/>
        <v>0</v>
      </c>
      <c r="M49" s="672">
        <v>0</v>
      </c>
      <c r="N49" s="668">
        <f t="shared" si="4"/>
        <v>0</v>
      </c>
    </row>
    <row r="50" spans="1:16" ht="49.5" hidden="1" customHeight="1">
      <c r="A50" s="687"/>
      <c r="B50" s="663" t="s">
        <v>1424</v>
      </c>
      <c r="C50" s="667">
        <f>ROUND([8]Data!K351,2)</f>
        <v>6778.48</v>
      </c>
      <c r="D50" s="663" t="s">
        <v>235</v>
      </c>
      <c r="E50" s="1402"/>
      <c r="F50" s="666">
        <f t="shared" si="0"/>
        <v>0</v>
      </c>
      <c r="G50" s="666"/>
      <c r="H50" s="666"/>
      <c r="I50" s="666">
        <f t="shared" si="1"/>
        <v>0</v>
      </c>
      <c r="J50" s="666"/>
      <c r="K50" s="665">
        <f t="shared" si="2"/>
        <v>0</v>
      </c>
      <c r="L50" s="666">
        <f t="shared" si="3"/>
        <v>0</v>
      </c>
      <c r="M50" s="672">
        <v>0</v>
      </c>
      <c r="N50" s="668">
        <f t="shared" si="4"/>
        <v>0</v>
      </c>
    </row>
    <row r="51" spans="1:16" s="677" customFormat="1" ht="69.75" hidden="1" customHeight="1">
      <c r="A51" s="662">
        <v>9.6</v>
      </c>
      <c r="B51" s="663" t="s">
        <v>1431</v>
      </c>
      <c r="C51" s="675"/>
      <c r="D51" s="674"/>
      <c r="E51" s="659"/>
      <c r="F51" s="666">
        <f t="shared" si="0"/>
        <v>0</v>
      </c>
      <c r="G51" s="666"/>
      <c r="H51" s="666"/>
      <c r="I51" s="666">
        <f t="shared" si="1"/>
        <v>0</v>
      </c>
      <c r="J51" s="666"/>
      <c r="K51" s="665">
        <f t="shared" si="2"/>
        <v>0</v>
      </c>
      <c r="L51" s="666">
        <f t="shared" si="3"/>
        <v>0</v>
      </c>
      <c r="M51" s="672">
        <v>0</v>
      </c>
      <c r="N51" s="668">
        <f t="shared" si="4"/>
        <v>0</v>
      </c>
      <c r="O51" s="676"/>
      <c r="P51" s="676"/>
    </row>
    <row r="52" spans="1:16" s="677" customFormat="1" ht="25.5" hidden="1" customHeight="1">
      <c r="A52" s="662"/>
      <c r="B52" s="663" t="s">
        <v>1420</v>
      </c>
      <c r="C52" s="675"/>
      <c r="D52" s="674" t="s">
        <v>235</v>
      </c>
      <c r="E52" s="659"/>
      <c r="F52" s="666">
        <f t="shared" si="0"/>
        <v>0</v>
      </c>
      <c r="G52" s="666"/>
      <c r="H52" s="666"/>
      <c r="I52" s="666">
        <f t="shared" si="1"/>
        <v>0</v>
      </c>
      <c r="J52" s="666"/>
      <c r="K52" s="665">
        <f t="shared" si="2"/>
        <v>0</v>
      </c>
      <c r="L52" s="666">
        <f t="shared" si="3"/>
        <v>0</v>
      </c>
      <c r="M52" s="672">
        <v>0</v>
      </c>
      <c r="N52" s="668">
        <f t="shared" si="4"/>
        <v>0</v>
      </c>
      <c r="O52" s="676"/>
      <c r="P52" s="676"/>
    </row>
    <row r="53" spans="1:16" s="677" customFormat="1" ht="25.5" hidden="1" customHeight="1">
      <c r="A53" s="662"/>
      <c r="B53" s="663" t="s">
        <v>1421</v>
      </c>
      <c r="C53" s="675"/>
      <c r="D53" s="674" t="s">
        <v>235</v>
      </c>
      <c r="E53" s="659"/>
      <c r="F53" s="666">
        <f t="shared" si="0"/>
        <v>0</v>
      </c>
      <c r="G53" s="666"/>
      <c r="H53" s="666"/>
      <c r="I53" s="666">
        <f t="shared" si="1"/>
        <v>0</v>
      </c>
      <c r="J53" s="666"/>
      <c r="K53" s="665">
        <f t="shared" si="2"/>
        <v>0</v>
      </c>
      <c r="L53" s="666">
        <f t="shared" si="3"/>
        <v>0</v>
      </c>
      <c r="M53" s="672">
        <v>0</v>
      </c>
      <c r="N53" s="668">
        <f t="shared" si="4"/>
        <v>0</v>
      </c>
      <c r="O53" s="676"/>
      <c r="P53" s="676"/>
    </row>
    <row r="54" spans="1:16" s="677" customFormat="1" ht="25.5" hidden="1" customHeight="1">
      <c r="A54" s="662"/>
      <c r="B54" s="663" t="s">
        <v>1422</v>
      </c>
      <c r="C54" s="675"/>
      <c r="D54" s="674" t="s">
        <v>235</v>
      </c>
      <c r="E54" s="659"/>
      <c r="F54" s="666">
        <f t="shared" si="0"/>
        <v>0</v>
      </c>
      <c r="G54" s="666"/>
      <c r="H54" s="666"/>
      <c r="I54" s="666">
        <f t="shared" si="1"/>
        <v>0</v>
      </c>
      <c r="J54" s="666"/>
      <c r="K54" s="665">
        <f t="shared" si="2"/>
        <v>0</v>
      </c>
      <c r="L54" s="666">
        <f t="shared" si="3"/>
        <v>0</v>
      </c>
      <c r="M54" s="672">
        <v>0</v>
      </c>
      <c r="N54" s="668">
        <f t="shared" si="4"/>
        <v>0</v>
      </c>
      <c r="O54" s="676"/>
      <c r="P54" s="676"/>
    </row>
    <row r="55" spans="1:16" s="677" customFormat="1" ht="25.5" hidden="1" customHeight="1">
      <c r="A55" s="662"/>
      <c r="B55" s="663" t="s">
        <v>1423</v>
      </c>
      <c r="C55" s="675"/>
      <c r="D55" s="674" t="s">
        <v>235</v>
      </c>
      <c r="E55" s="659"/>
      <c r="F55" s="666">
        <f t="shared" si="0"/>
        <v>0</v>
      </c>
      <c r="G55" s="666"/>
      <c r="H55" s="666"/>
      <c r="I55" s="666">
        <f t="shared" si="1"/>
        <v>0</v>
      </c>
      <c r="J55" s="666"/>
      <c r="K55" s="665">
        <f t="shared" si="2"/>
        <v>0</v>
      </c>
      <c r="L55" s="666">
        <f t="shared" si="3"/>
        <v>0</v>
      </c>
      <c r="M55" s="672">
        <v>0</v>
      </c>
      <c r="N55" s="668">
        <f t="shared" si="4"/>
        <v>0</v>
      </c>
      <c r="O55" s="676"/>
      <c r="P55" s="676"/>
    </row>
    <row r="56" spans="1:16" s="677" customFormat="1" ht="25.5" hidden="1" customHeight="1">
      <c r="A56" s="688"/>
      <c r="B56" s="663" t="s">
        <v>1424</v>
      </c>
      <c r="C56" s="675"/>
      <c r="D56" s="674" t="s">
        <v>235</v>
      </c>
      <c r="E56" s="659"/>
      <c r="F56" s="666">
        <f t="shared" si="0"/>
        <v>0</v>
      </c>
      <c r="G56" s="666"/>
      <c r="H56" s="666"/>
      <c r="I56" s="666">
        <f t="shared" si="1"/>
        <v>0</v>
      </c>
      <c r="J56" s="666"/>
      <c r="K56" s="665">
        <f t="shared" si="2"/>
        <v>0</v>
      </c>
      <c r="L56" s="666">
        <f t="shared" si="3"/>
        <v>0</v>
      </c>
      <c r="M56" s="672">
        <v>0</v>
      </c>
      <c r="N56" s="668">
        <f t="shared" si="4"/>
        <v>0</v>
      </c>
      <c r="O56" s="676"/>
      <c r="P56" s="676"/>
    </row>
    <row r="57" spans="1:16" s="677" customFormat="1" ht="69.75" hidden="1" customHeight="1">
      <c r="A57" s="662">
        <v>10.1</v>
      </c>
      <c r="B57" s="685" t="s">
        <v>1432</v>
      </c>
      <c r="C57" s="675"/>
      <c r="D57" s="674"/>
      <c r="E57" s="659"/>
      <c r="F57" s="666">
        <f t="shared" si="0"/>
        <v>0</v>
      </c>
      <c r="G57" s="666"/>
      <c r="H57" s="666"/>
      <c r="I57" s="666">
        <f t="shared" si="1"/>
        <v>0</v>
      </c>
      <c r="J57" s="666"/>
      <c r="K57" s="665">
        <f t="shared" si="2"/>
        <v>0</v>
      </c>
      <c r="L57" s="666">
        <f t="shared" si="3"/>
        <v>0</v>
      </c>
      <c r="M57" s="672">
        <v>0</v>
      </c>
      <c r="N57" s="668">
        <f t="shared" si="4"/>
        <v>0</v>
      </c>
      <c r="O57" s="676"/>
      <c r="P57" s="676"/>
    </row>
    <row r="58" spans="1:16" s="677" customFormat="1" ht="25.5" hidden="1" customHeight="1">
      <c r="A58" s="662"/>
      <c r="B58" s="663" t="s">
        <v>1433</v>
      </c>
      <c r="C58" s="675">
        <f>ROUND([8]Data!X400,2)</f>
        <v>775.89</v>
      </c>
      <c r="D58" s="674" t="s">
        <v>264</v>
      </c>
      <c r="E58" s="659"/>
      <c r="F58" s="666">
        <f t="shared" si="0"/>
        <v>0</v>
      </c>
      <c r="G58" s="666"/>
      <c r="H58" s="666"/>
      <c r="I58" s="666">
        <f t="shared" si="1"/>
        <v>0</v>
      </c>
      <c r="J58" s="666"/>
      <c r="K58" s="665">
        <f t="shared" si="2"/>
        <v>0</v>
      </c>
      <c r="L58" s="666">
        <f t="shared" si="3"/>
        <v>0</v>
      </c>
      <c r="M58" s="672">
        <v>0</v>
      </c>
      <c r="N58" s="668">
        <f t="shared" si="4"/>
        <v>0</v>
      </c>
      <c r="O58" s="676"/>
      <c r="P58" s="676"/>
    </row>
    <row r="59" spans="1:16" s="677" customFormat="1" ht="25.5" hidden="1" customHeight="1">
      <c r="A59" s="662"/>
      <c r="B59" s="663" t="s">
        <v>1434</v>
      </c>
      <c r="C59" s="675">
        <f>ROUND([8]Data!X402,2)</f>
        <v>783.51</v>
      </c>
      <c r="D59" s="674" t="s">
        <v>264</v>
      </c>
      <c r="E59" s="659"/>
      <c r="F59" s="666">
        <f t="shared" si="0"/>
        <v>0</v>
      </c>
      <c r="G59" s="666"/>
      <c r="H59" s="666"/>
      <c r="I59" s="666">
        <f t="shared" si="1"/>
        <v>0</v>
      </c>
      <c r="J59" s="666"/>
      <c r="K59" s="665">
        <f t="shared" si="2"/>
        <v>0</v>
      </c>
      <c r="L59" s="666">
        <f t="shared" si="3"/>
        <v>0</v>
      </c>
      <c r="M59" s="672">
        <v>0</v>
      </c>
      <c r="N59" s="668">
        <f t="shared" si="4"/>
        <v>0</v>
      </c>
      <c r="O59" s="676"/>
      <c r="P59" s="676"/>
    </row>
    <row r="60" spans="1:16" s="677" customFormat="1" ht="25.5" hidden="1" customHeight="1">
      <c r="A60" s="662"/>
      <c r="B60" s="663" t="s">
        <v>1435</v>
      </c>
      <c r="C60" s="675">
        <f>ROUND([8]Data!X403,2)</f>
        <v>798.88</v>
      </c>
      <c r="D60" s="674" t="s">
        <v>264</v>
      </c>
      <c r="E60" s="659"/>
      <c r="F60" s="666">
        <f t="shared" si="0"/>
        <v>0</v>
      </c>
      <c r="G60" s="666"/>
      <c r="H60" s="666"/>
      <c r="I60" s="666">
        <f t="shared" si="1"/>
        <v>0</v>
      </c>
      <c r="J60" s="666"/>
      <c r="K60" s="665">
        <f t="shared" si="2"/>
        <v>0</v>
      </c>
      <c r="L60" s="666">
        <f t="shared" si="3"/>
        <v>0</v>
      </c>
      <c r="M60" s="672">
        <v>0</v>
      </c>
      <c r="N60" s="668">
        <f t="shared" si="4"/>
        <v>0</v>
      </c>
      <c r="O60" s="676"/>
      <c r="P60" s="676"/>
    </row>
    <row r="61" spans="1:16" s="677" customFormat="1" ht="25.5" hidden="1" customHeight="1">
      <c r="A61" s="662"/>
      <c r="B61" s="663" t="s">
        <v>1436</v>
      </c>
      <c r="C61" s="675">
        <f>ROUND([8]Data!X404,2)</f>
        <v>814.25</v>
      </c>
      <c r="D61" s="674" t="s">
        <v>264</v>
      </c>
      <c r="E61" s="659"/>
      <c r="F61" s="666">
        <f t="shared" si="0"/>
        <v>0</v>
      </c>
      <c r="G61" s="666"/>
      <c r="H61" s="666"/>
      <c r="I61" s="666">
        <f t="shared" si="1"/>
        <v>0</v>
      </c>
      <c r="J61" s="666"/>
      <c r="K61" s="665">
        <f t="shared" si="2"/>
        <v>0</v>
      </c>
      <c r="L61" s="666">
        <f t="shared" si="3"/>
        <v>0</v>
      </c>
      <c r="M61" s="672">
        <v>0</v>
      </c>
      <c r="N61" s="668">
        <f t="shared" si="4"/>
        <v>0</v>
      </c>
      <c r="O61" s="676"/>
      <c r="P61" s="676"/>
    </row>
    <row r="62" spans="1:16" s="677" customFormat="1" ht="25.5" hidden="1" customHeight="1">
      <c r="A62" s="662"/>
      <c r="B62" s="663" t="s">
        <v>1437</v>
      </c>
      <c r="C62" s="675">
        <f>ROUND([8]Data!X405,2)</f>
        <v>829.62</v>
      </c>
      <c r="D62" s="674" t="s">
        <v>264</v>
      </c>
      <c r="E62" s="659"/>
      <c r="F62" s="666">
        <f t="shared" si="0"/>
        <v>0</v>
      </c>
      <c r="G62" s="666"/>
      <c r="H62" s="666"/>
      <c r="I62" s="666">
        <f t="shared" si="1"/>
        <v>0</v>
      </c>
      <c r="J62" s="666"/>
      <c r="K62" s="665">
        <f t="shared" si="2"/>
        <v>0</v>
      </c>
      <c r="L62" s="666">
        <f t="shared" si="3"/>
        <v>0</v>
      </c>
      <c r="M62" s="672">
        <v>0</v>
      </c>
      <c r="N62" s="668">
        <f t="shared" si="4"/>
        <v>0</v>
      </c>
      <c r="O62" s="676"/>
      <c r="P62" s="676"/>
    </row>
    <row r="63" spans="1:16" s="677" customFormat="1" ht="25.5" hidden="1" customHeight="1">
      <c r="A63" s="688"/>
      <c r="B63" s="663" t="s">
        <v>1438</v>
      </c>
      <c r="C63" s="675">
        <f>ROUND([8]Data!X406,2)</f>
        <v>844.99</v>
      </c>
      <c r="D63" s="674" t="s">
        <v>264</v>
      </c>
      <c r="E63" s="659"/>
      <c r="F63" s="666">
        <f t="shared" si="0"/>
        <v>0</v>
      </c>
      <c r="G63" s="666"/>
      <c r="H63" s="666"/>
      <c r="I63" s="666">
        <f t="shared" si="1"/>
        <v>0</v>
      </c>
      <c r="J63" s="666"/>
      <c r="K63" s="665">
        <f t="shared" si="2"/>
        <v>0</v>
      </c>
      <c r="L63" s="666">
        <f t="shared" si="3"/>
        <v>0</v>
      </c>
      <c r="M63" s="672">
        <v>0</v>
      </c>
      <c r="N63" s="668">
        <f t="shared" si="4"/>
        <v>0</v>
      </c>
      <c r="O63" s="676"/>
      <c r="P63" s="676"/>
    </row>
    <row r="64" spans="1:16" s="677" customFormat="1" ht="69.75" hidden="1" customHeight="1">
      <c r="A64" s="662">
        <v>10.199999999999999</v>
      </c>
      <c r="B64" s="685" t="s">
        <v>1439</v>
      </c>
      <c r="C64" s="675"/>
      <c r="D64" s="674"/>
      <c r="E64" s="659"/>
      <c r="F64" s="666">
        <f t="shared" si="0"/>
        <v>0</v>
      </c>
      <c r="G64" s="666"/>
      <c r="H64" s="666"/>
      <c r="I64" s="666">
        <f t="shared" si="1"/>
        <v>0</v>
      </c>
      <c r="J64" s="666"/>
      <c r="K64" s="665">
        <f t="shared" si="2"/>
        <v>0</v>
      </c>
      <c r="L64" s="666">
        <f t="shared" si="3"/>
        <v>0</v>
      </c>
      <c r="M64" s="672">
        <v>0</v>
      </c>
      <c r="N64" s="668">
        <f t="shared" si="4"/>
        <v>0</v>
      </c>
      <c r="O64" s="676"/>
      <c r="P64" s="676"/>
    </row>
    <row r="65" spans="1:16" s="677" customFormat="1" ht="25.5" hidden="1" customHeight="1">
      <c r="A65" s="662"/>
      <c r="B65" s="663" t="s">
        <v>1433</v>
      </c>
      <c r="C65" s="675">
        <f>ROUND([8]Data!AG409,2)</f>
        <v>756.33</v>
      </c>
      <c r="D65" s="674" t="s">
        <v>264</v>
      </c>
      <c r="E65" s="659"/>
      <c r="F65" s="666">
        <f t="shared" si="0"/>
        <v>0</v>
      </c>
      <c r="G65" s="666"/>
      <c r="H65" s="666"/>
      <c r="I65" s="666">
        <f t="shared" si="1"/>
        <v>0</v>
      </c>
      <c r="J65" s="666"/>
      <c r="K65" s="665">
        <f t="shared" si="2"/>
        <v>0</v>
      </c>
      <c r="L65" s="666">
        <f t="shared" si="3"/>
        <v>0</v>
      </c>
      <c r="M65" s="672">
        <v>0</v>
      </c>
      <c r="N65" s="668">
        <f t="shared" si="4"/>
        <v>0</v>
      </c>
      <c r="O65" s="676"/>
      <c r="P65" s="676"/>
    </row>
    <row r="66" spans="1:16" s="677" customFormat="1" ht="25.5" hidden="1" customHeight="1">
      <c r="A66" s="662"/>
      <c r="B66" s="663" t="s">
        <v>1440</v>
      </c>
      <c r="C66" s="675">
        <f>ROUND([8]Data!AG411,2)</f>
        <v>764.08</v>
      </c>
      <c r="D66" s="674" t="s">
        <v>264</v>
      </c>
      <c r="E66" s="659"/>
      <c r="F66" s="666">
        <f t="shared" si="0"/>
        <v>0</v>
      </c>
      <c r="G66" s="666"/>
      <c r="H66" s="666"/>
      <c r="I66" s="666">
        <f t="shared" si="1"/>
        <v>0</v>
      </c>
      <c r="J66" s="666"/>
      <c r="K66" s="665">
        <f t="shared" si="2"/>
        <v>0</v>
      </c>
      <c r="L66" s="666">
        <f t="shared" si="3"/>
        <v>0</v>
      </c>
      <c r="M66" s="672">
        <v>0</v>
      </c>
      <c r="N66" s="668">
        <f t="shared" si="4"/>
        <v>0</v>
      </c>
      <c r="O66" s="676"/>
      <c r="P66" s="676"/>
    </row>
    <row r="67" spans="1:16" s="677" customFormat="1" ht="25.5" hidden="1" customHeight="1">
      <c r="A67" s="662"/>
      <c r="B67" s="663" t="s">
        <v>1435</v>
      </c>
      <c r="C67" s="675">
        <f>ROUND([8]Data!AG412,2)</f>
        <v>779.72</v>
      </c>
      <c r="D67" s="674" t="s">
        <v>264</v>
      </c>
      <c r="E67" s="659"/>
      <c r="F67" s="666">
        <f t="shared" si="0"/>
        <v>0</v>
      </c>
      <c r="G67" s="666"/>
      <c r="H67" s="666"/>
      <c r="I67" s="666">
        <f t="shared" si="1"/>
        <v>0</v>
      </c>
      <c r="J67" s="666"/>
      <c r="K67" s="665">
        <f t="shared" si="2"/>
        <v>0</v>
      </c>
      <c r="L67" s="666">
        <f t="shared" si="3"/>
        <v>0</v>
      </c>
      <c r="M67" s="672">
        <v>0</v>
      </c>
      <c r="N67" s="668">
        <f t="shared" si="4"/>
        <v>0</v>
      </c>
      <c r="O67" s="676"/>
      <c r="P67" s="676"/>
    </row>
    <row r="68" spans="1:16" s="677" customFormat="1" ht="25.5" hidden="1" customHeight="1">
      <c r="A68" s="662"/>
      <c r="B68" s="663" t="s">
        <v>1436</v>
      </c>
      <c r="C68" s="675">
        <f>ROUND([8]Data!AG413,2)</f>
        <v>795.36</v>
      </c>
      <c r="D68" s="674" t="s">
        <v>264</v>
      </c>
      <c r="E68" s="659"/>
      <c r="F68" s="666">
        <f t="shared" si="0"/>
        <v>0</v>
      </c>
      <c r="G68" s="666"/>
      <c r="H68" s="666"/>
      <c r="I68" s="666">
        <f t="shared" si="1"/>
        <v>0</v>
      </c>
      <c r="J68" s="666"/>
      <c r="K68" s="665">
        <f t="shared" si="2"/>
        <v>0</v>
      </c>
      <c r="L68" s="666">
        <f t="shared" si="3"/>
        <v>0</v>
      </c>
      <c r="M68" s="672">
        <v>0</v>
      </c>
      <c r="N68" s="668">
        <f t="shared" si="4"/>
        <v>0</v>
      </c>
      <c r="O68" s="676"/>
      <c r="P68" s="676"/>
    </row>
    <row r="69" spans="1:16" s="677" customFormat="1" ht="25.5" hidden="1" customHeight="1">
      <c r="A69" s="662"/>
      <c r="B69" s="663" t="s">
        <v>1437</v>
      </c>
      <c r="C69" s="675">
        <f>ROUND([8]Data!AG414,2)</f>
        <v>811</v>
      </c>
      <c r="D69" s="674" t="s">
        <v>264</v>
      </c>
      <c r="E69" s="659"/>
      <c r="F69" s="666">
        <f t="shared" si="0"/>
        <v>0</v>
      </c>
      <c r="G69" s="666"/>
      <c r="H69" s="666"/>
      <c r="I69" s="666">
        <f t="shared" si="1"/>
        <v>0</v>
      </c>
      <c r="J69" s="666"/>
      <c r="K69" s="665">
        <f t="shared" si="2"/>
        <v>0</v>
      </c>
      <c r="L69" s="666">
        <f t="shared" si="3"/>
        <v>0</v>
      </c>
      <c r="M69" s="672">
        <v>0</v>
      </c>
      <c r="N69" s="668">
        <f t="shared" si="4"/>
        <v>0</v>
      </c>
      <c r="O69" s="676"/>
      <c r="P69" s="676"/>
    </row>
    <row r="70" spans="1:16" s="677" customFormat="1" ht="25.5" hidden="1" customHeight="1">
      <c r="A70" s="688"/>
      <c r="B70" s="663" t="s">
        <v>1438</v>
      </c>
      <c r="C70" s="675">
        <f>ROUND([8]Data!AG415,2)</f>
        <v>826.64</v>
      </c>
      <c r="D70" s="674" t="s">
        <v>264</v>
      </c>
      <c r="E70" s="659"/>
      <c r="F70" s="666">
        <f t="shared" si="0"/>
        <v>0</v>
      </c>
      <c r="G70" s="666"/>
      <c r="H70" s="666"/>
      <c r="I70" s="666">
        <f t="shared" si="1"/>
        <v>0</v>
      </c>
      <c r="J70" s="666"/>
      <c r="K70" s="665">
        <f t="shared" si="2"/>
        <v>0</v>
      </c>
      <c r="L70" s="666">
        <f t="shared" si="3"/>
        <v>0</v>
      </c>
      <c r="M70" s="672">
        <v>0</v>
      </c>
      <c r="N70" s="668">
        <f t="shared" si="4"/>
        <v>0</v>
      </c>
      <c r="O70" s="676"/>
      <c r="P70" s="676"/>
    </row>
    <row r="71" spans="1:16" s="677" customFormat="1" ht="25.5" hidden="1" customHeight="1">
      <c r="A71" s="688"/>
      <c r="B71" s="663" t="s">
        <v>1411</v>
      </c>
      <c r="C71" s="675">
        <f>ROUND([8]Data!AG416,2)</f>
        <v>842.28</v>
      </c>
      <c r="D71" s="674" t="s">
        <v>264</v>
      </c>
      <c r="E71" s="659"/>
      <c r="F71" s="666">
        <f t="shared" ref="F71:F134" si="5">E71*C71</f>
        <v>0</v>
      </c>
      <c r="G71" s="666"/>
      <c r="H71" s="666"/>
      <c r="I71" s="666">
        <f t="shared" ref="I71:I134" si="6">G71</f>
        <v>0</v>
      </c>
      <c r="J71" s="666"/>
      <c r="K71" s="665">
        <f t="shared" ref="K71:K134" si="7">E71</f>
        <v>0</v>
      </c>
      <c r="L71" s="666">
        <f t="shared" ref="L71:L134" si="8">C71*K71</f>
        <v>0</v>
      </c>
      <c r="M71" s="672">
        <v>0</v>
      </c>
      <c r="N71" s="668">
        <f t="shared" ref="N71:N134" si="9">K71-M71</f>
        <v>0</v>
      </c>
      <c r="O71" s="676"/>
      <c r="P71" s="676"/>
    </row>
    <row r="72" spans="1:16" s="677" customFormat="1" ht="25.5" hidden="1" customHeight="1">
      <c r="A72" s="688"/>
      <c r="B72" s="663" t="s">
        <v>1412</v>
      </c>
      <c r="C72" s="675">
        <f>ROUND([8]Data!AG417,2)</f>
        <v>857.92</v>
      </c>
      <c r="D72" s="674" t="s">
        <v>264</v>
      </c>
      <c r="E72" s="659"/>
      <c r="F72" s="666">
        <f t="shared" si="5"/>
        <v>0</v>
      </c>
      <c r="G72" s="666"/>
      <c r="H72" s="666"/>
      <c r="I72" s="666">
        <f t="shared" si="6"/>
        <v>0</v>
      </c>
      <c r="J72" s="666"/>
      <c r="K72" s="665">
        <f t="shared" si="7"/>
        <v>0</v>
      </c>
      <c r="L72" s="666">
        <f t="shared" si="8"/>
        <v>0</v>
      </c>
      <c r="M72" s="672">
        <v>0</v>
      </c>
      <c r="N72" s="668">
        <f t="shared" si="9"/>
        <v>0</v>
      </c>
      <c r="O72" s="676"/>
      <c r="P72" s="676"/>
    </row>
    <row r="73" spans="1:16" s="677" customFormat="1" ht="25.5" hidden="1" customHeight="1">
      <c r="A73" s="688"/>
      <c r="B73" s="663" t="s">
        <v>1413</v>
      </c>
      <c r="C73" s="675">
        <f>ROUND([8]Data!AG418,2)</f>
        <v>873.56</v>
      </c>
      <c r="D73" s="674" t="s">
        <v>264</v>
      </c>
      <c r="E73" s="659"/>
      <c r="F73" s="666">
        <f t="shared" si="5"/>
        <v>0</v>
      </c>
      <c r="G73" s="666"/>
      <c r="H73" s="666"/>
      <c r="I73" s="666">
        <f t="shared" si="6"/>
        <v>0</v>
      </c>
      <c r="J73" s="666"/>
      <c r="K73" s="665">
        <f t="shared" si="7"/>
        <v>0</v>
      </c>
      <c r="L73" s="666">
        <f t="shared" si="8"/>
        <v>0</v>
      </c>
      <c r="M73" s="672">
        <v>0</v>
      </c>
      <c r="N73" s="668">
        <f t="shared" si="9"/>
        <v>0</v>
      </c>
      <c r="O73" s="676"/>
      <c r="P73" s="676"/>
    </row>
    <row r="74" spans="1:16" s="677" customFormat="1" ht="25.5" hidden="1" customHeight="1">
      <c r="A74" s="688"/>
      <c r="B74" s="663" t="s">
        <v>1414</v>
      </c>
      <c r="C74" s="675">
        <f>ROUND([8]Data!AG419,2)</f>
        <v>889.2</v>
      </c>
      <c r="D74" s="674" t="s">
        <v>264</v>
      </c>
      <c r="E74" s="659"/>
      <c r="F74" s="666">
        <f t="shared" si="5"/>
        <v>0</v>
      </c>
      <c r="G74" s="666"/>
      <c r="H74" s="666"/>
      <c r="I74" s="666">
        <f t="shared" si="6"/>
        <v>0</v>
      </c>
      <c r="J74" s="666"/>
      <c r="K74" s="665">
        <f t="shared" si="7"/>
        <v>0</v>
      </c>
      <c r="L74" s="666">
        <f t="shared" si="8"/>
        <v>0</v>
      </c>
      <c r="M74" s="672">
        <v>0</v>
      </c>
      <c r="N74" s="668">
        <f t="shared" si="9"/>
        <v>0</v>
      </c>
      <c r="O74" s="676"/>
      <c r="P74" s="676"/>
    </row>
    <row r="75" spans="1:16" s="677" customFormat="1" ht="25.5" hidden="1" customHeight="1">
      <c r="A75" s="688"/>
      <c r="B75" s="663" t="s">
        <v>1415</v>
      </c>
      <c r="C75" s="675">
        <f>ROUND([8]Data!AG420,2)</f>
        <v>904.84</v>
      </c>
      <c r="D75" s="674" t="s">
        <v>264</v>
      </c>
      <c r="E75" s="659"/>
      <c r="F75" s="666">
        <f t="shared" si="5"/>
        <v>0</v>
      </c>
      <c r="G75" s="666"/>
      <c r="H75" s="666"/>
      <c r="I75" s="666">
        <f t="shared" si="6"/>
        <v>0</v>
      </c>
      <c r="J75" s="666"/>
      <c r="K75" s="665">
        <f t="shared" si="7"/>
        <v>0</v>
      </c>
      <c r="L75" s="666">
        <f t="shared" si="8"/>
        <v>0</v>
      </c>
      <c r="M75" s="672">
        <v>0</v>
      </c>
      <c r="N75" s="668">
        <f t="shared" si="9"/>
        <v>0</v>
      </c>
      <c r="O75" s="676"/>
      <c r="P75" s="676"/>
    </row>
    <row r="76" spans="1:16" s="677" customFormat="1" ht="26.25" hidden="1" customHeight="1">
      <c r="A76" s="688"/>
      <c r="B76" s="663" t="s">
        <v>1416</v>
      </c>
      <c r="C76" s="675">
        <f>ROUND([8]Data!AG421,2)</f>
        <v>920.48</v>
      </c>
      <c r="D76" s="674" t="s">
        <v>264</v>
      </c>
      <c r="E76" s="659"/>
      <c r="F76" s="666">
        <f t="shared" si="5"/>
        <v>0</v>
      </c>
      <c r="G76" s="666"/>
      <c r="H76" s="666"/>
      <c r="I76" s="666">
        <f t="shared" si="6"/>
        <v>0</v>
      </c>
      <c r="J76" s="666"/>
      <c r="K76" s="665">
        <f t="shared" si="7"/>
        <v>0</v>
      </c>
      <c r="L76" s="666">
        <f t="shared" si="8"/>
        <v>0</v>
      </c>
      <c r="M76" s="672">
        <v>0</v>
      </c>
      <c r="N76" s="668">
        <f t="shared" si="9"/>
        <v>0</v>
      </c>
      <c r="O76" s="676"/>
      <c r="P76" s="676"/>
    </row>
    <row r="77" spans="1:16" s="677" customFormat="1" ht="25.5" hidden="1" customHeight="1">
      <c r="A77" s="688"/>
      <c r="B77" s="663" t="s">
        <v>1417</v>
      </c>
      <c r="C77" s="675">
        <f>ROUND([8]Data!AG422,2)</f>
        <v>936.12</v>
      </c>
      <c r="D77" s="674" t="s">
        <v>264</v>
      </c>
      <c r="E77" s="659"/>
      <c r="F77" s="666">
        <f t="shared" si="5"/>
        <v>0</v>
      </c>
      <c r="G77" s="666"/>
      <c r="H77" s="666"/>
      <c r="I77" s="666">
        <f t="shared" si="6"/>
        <v>0</v>
      </c>
      <c r="J77" s="666"/>
      <c r="K77" s="665">
        <f t="shared" si="7"/>
        <v>0</v>
      </c>
      <c r="L77" s="666">
        <f t="shared" si="8"/>
        <v>0</v>
      </c>
      <c r="M77" s="672">
        <v>0</v>
      </c>
      <c r="N77" s="668">
        <f t="shared" si="9"/>
        <v>0</v>
      </c>
      <c r="O77" s="676"/>
      <c r="P77" s="676"/>
    </row>
    <row r="78" spans="1:16" s="677" customFormat="1" ht="25.5" hidden="1" customHeight="1">
      <c r="A78" s="688"/>
      <c r="B78" s="663" t="s">
        <v>1418</v>
      </c>
      <c r="C78" s="675">
        <f>[8]Data!AI422</f>
        <v>951.76</v>
      </c>
      <c r="D78" s="674" t="s">
        <v>264</v>
      </c>
      <c r="E78" s="659"/>
      <c r="F78" s="666">
        <f t="shared" si="5"/>
        <v>0</v>
      </c>
      <c r="G78" s="666"/>
      <c r="H78" s="666"/>
      <c r="I78" s="666">
        <f t="shared" si="6"/>
        <v>0</v>
      </c>
      <c r="J78" s="666"/>
      <c r="K78" s="665">
        <f t="shared" si="7"/>
        <v>0</v>
      </c>
      <c r="L78" s="666">
        <f t="shared" si="8"/>
        <v>0</v>
      </c>
      <c r="M78" s="672">
        <v>0</v>
      </c>
      <c r="N78" s="668">
        <f t="shared" si="9"/>
        <v>0</v>
      </c>
      <c r="O78" s="676"/>
      <c r="P78" s="676"/>
    </row>
    <row r="79" spans="1:16" s="677" customFormat="1" ht="25.5" hidden="1" customHeight="1">
      <c r="A79" s="688"/>
      <c r="B79" s="663" t="s">
        <v>1427</v>
      </c>
      <c r="C79" s="675">
        <f>[8]Data!AI423</f>
        <v>967.4</v>
      </c>
      <c r="D79" s="674" t="s">
        <v>264</v>
      </c>
      <c r="E79" s="659"/>
      <c r="F79" s="666">
        <f t="shared" si="5"/>
        <v>0</v>
      </c>
      <c r="G79" s="666"/>
      <c r="H79" s="666"/>
      <c r="I79" s="666">
        <f t="shared" si="6"/>
        <v>0</v>
      </c>
      <c r="J79" s="666"/>
      <c r="K79" s="665">
        <f t="shared" si="7"/>
        <v>0</v>
      </c>
      <c r="L79" s="666">
        <f t="shared" si="8"/>
        <v>0</v>
      </c>
      <c r="M79" s="672">
        <v>0</v>
      </c>
      <c r="N79" s="668">
        <f t="shared" si="9"/>
        <v>0</v>
      </c>
      <c r="O79" s="676"/>
      <c r="P79" s="676"/>
    </row>
    <row r="80" spans="1:16" s="677" customFormat="1" ht="69.75" hidden="1" customHeight="1">
      <c r="A80" s="662">
        <v>10.3</v>
      </c>
      <c r="B80" s="685" t="s">
        <v>1441</v>
      </c>
      <c r="C80" s="675"/>
      <c r="D80" s="674"/>
      <c r="E80" s="659"/>
      <c r="F80" s="666">
        <f t="shared" si="5"/>
        <v>0</v>
      </c>
      <c r="G80" s="666"/>
      <c r="H80" s="666"/>
      <c r="I80" s="666">
        <f t="shared" si="6"/>
        <v>0</v>
      </c>
      <c r="J80" s="666"/>
      <c r="K80" s="665">
        <f t="shared" si="7"/>
        <v>0</v>
      </c>
      <c r="L80" s="666">
        <f t="shared" si="8"/>
        <v>0</v>
      </c>
      <c r="M80" s="672">
        <v>0</v>
      </c>
      <c r="N80" s="668">
        <f t="shared" si="9"/>
        <v>0</v>
      </c>
      <c r="O80" s="676"/>
      <c r="P80" s="676"/>
    </row>
    <row r="81" spans="1:17" s="677" customFormat="1" ht="25.5" hidden="1" customHeight="1">
      <c r="A81" s="662"/>
      <c r="B81" s="663" t="s">
        <v>1433</v>
      </c>
      <c r="C81" s="675"/>
      <c r="D81" s="674" t="s">
        <v>264</v>
      </c>
      <c r="E81" s="659"/>
      <c r="F81" s="666">
        <f t="shared" si="5"/>
        <v>0</v>
      </c>
      <c r="G81" s="666"/>
      <c r="H81" s="666"/>
      <c r="I81" s="666">
        <f t="shared" si="6"/>
        <v>0</v>
      </c>
      <c r="J81" s="666"/>
      <c r="K81" s="665">
        <f t="shared" si="7"/>
        <v>0</v>
      </c>
      <c r="L81" s="666">
        <f t="shared" si="8"/>
        <v>0</v>
      </c>
      <c r="M81" s="672">
        <v>0</v>
      </c>
      <c r="N81" s="668">
        <f t="shared" si="9"/>
        <v>0</v>
      </c>
      <c r="O81" s="676"/>
      <c r="P81" s="676"/>
    </row>
    <row r="82" spans="1:17" s="677" customFormat="1" ht="25.5" hidden="1" customHeight="1">
      <c r="A82" s="662"/>
      <c r="B82" s="663" t="s">
        <v>1434</v>
      </c>
      <c r="C82" s="675"/>
      <c r="D82" s="674" t="s">
        <v>264</v>
      </c>
      <c r="E82" s="659"/>
      <c r="F82" s="666">
        <f t="shared" si="5"/>
        <v>0</v>
      </c>
      <c r="G82" s="666"/>
      <c r="H82" s="666"/>
      <c r="I82" s="666">
        <f t="shared" si="6"/>
        <v>0</v>
      </c>
      <c r="J82" s="666"/>
      <c r="K82" s="665">
        <f t="shared" si="7"/>
        <v>0</v>
      </c>
      <c r="L82" s="666">
        <f t="shared" si="8"/>
        <v>0</v>
      </c>
      <c r="M82" s="672">
        <v>0</v>
      </c>
      <c r="N82" s="668">
        <f t="shared" si="9"/>
        <v>0</v>
      </c>
      <c r="O82" s="676"/>
      <c r="P82" s="676"/>
    </row>
    <row r="83" spans="1:17" s="677" customFormat="1" ht="25.5" hidden="1" customHeight="1">
      <c r="A83" s="662"/>
      <c r="B83" s="663" t="s">
        <v>1435</v>
      </c>
      <c r="C83" s="675"/>
      <c r="D83" s="674" t="s">
        <v>264</v>
      </c>
      <c r="E83" s="659"/>
      <c r="F83" s="666">
        <f t="shared" si="5"/>
        <v>0</v>
      </c>
      <c r="G83" s="666"/>
      <c r="H83" s="666"/>
      <c r="I83" s="666">
        <f t="shared" si="6"/>
        <v>0</v>
      </c>
      <c r="J83" s="666"/>
      <c r="K83" s="665">
        <f t="shared" si="7"/>
        <v>0</v>
      </c>
      <c r="L83" s="666">
        <f t="shared" si="8"/>
        <v>0</v>
      </c>
      <c r="M83" s="672">
        <v>0</v>
      </c>
      <c r="N83" s="668">
        <f t="shared" si="9"/>
        <v>0</v>
      </c>
      <c r="O83" s="676"/>
      <c r="P83" s="676"/>
    </row>
    <row r="84" spans="1:17" s="677" customFormat="1" ht="25.5" hidden="1" customHeight="1">
      <c r="A84" s="662"/>
      <c r="B84" s="663" t="s">
        <v>1436</v>
      </c>
      <c r="C84" s="675"/>
      <c r="D84" s="674" t="s">
        <v>264</v>
      </c>
      <c r="E84" s="659"/>
      <c r="F84" s="666">
        <f t="shared" si="5"/>
        <v>0</v>
      </c>
      <c r="G84" s="666"/>
      <c r="H84" s="666"/>
      <c r="I84" s="666">
        <f t="shared" si="6"/>
        <v>0</v>
      </c>
      <c r="J84" s="666"/>
      <c r="K84" s="665">
        <f t="shared" si="7"/>
        <v>0</v>
      </c>
      <c r="L84" s="666">
        <f t="shared" si="8"/>
        <v>0</v>
      </c>
      <c r="M84" s="672">
        <v>0</v>
      </c>
      <c r="N84" s="668">
        <f t="shared" si="9"/>
        <v>0</v>
      </c>
      <c r="O84" s="676"/>
      <c r="P84" s="676"/>
    </row>
    <row r="85" spans="1:17" s="677" customFormat="1" ht="25.5" hidden="1" customHeight="1">
      <c r="A85" s="662"/>
      <c r="B85" s="663" t="s">
        <v>1437</v>
      </c>
      <c r="C85" s="675"/>
      <c r="D85" s="674" t="s">
        <v>264</v>
      </c>
      <c r="E85" s="659"/>
      <c r="F85" s="666">
        <f t="shared" si="5"/>
        <v>0</v>
      </c>
      <c r="G85" s="666"/>
      <c r="H85" s="666"/>
      <c r="I85" s="666">
        <f t="shared" si="6"/>
        <v>0</v>
      </c>
      <c r="J85" s="666"/>
      <c r="K85" s="665">
        <f t="shared" si="7"/>
        <v>0</v>
      </c>
      <c r="L85" s="666">
        <f t="shared" si="8"/>
        <v>0</v>
      </c>
      <c r="M85" s="672">
        <v>0</v>
      </c>
      <c r="N85" s="668">
        <f t="shared" si="9"/>
        <v>0</v>
      </c>
      <c r="O85" s="676"/>
      <c r="P85" s="676"/>
    </row>
    <row r="86" spans="1:17" s="677" customFormat="1" ht="25.5" hidden="1" customHeight="1">
      <c r="A86" s="688"/>
      <c r="B86" s="663" t="s">
        <v>1438</v>
      </c>
      <c r="C86" s="675"/>
      <c r="D86" s="674" t="s">
        <v>264</v>
      </c>
      <c r="E86" s="659"/>
      <c r="F86" s="666">
        <f t="shared" si="5"/>
        <v>0</v>
      </c>
      <c r="G86" s="666"/>
      <c r="H86" s="666"/>
      <c r="I86" s="666">
        <f t="shared" si="6"/>
        <v>0</v>
      </c>
      <c r="J86" s="666"/>
      <c r="K86" s="665">
        <f t="shared" si="7"/>
        <v>0</v>
      </c>
      <c r="L86" s="666">
        <f t="shared" si="8"/>
        <v>0</v>
      </c>
      <c r="M86" s="672">
        <v>0</v>
      </c>
      <c r="N86" s="668">
        <f t="shared" si="9"/>
        <v>0</v>
      </c>
      <c r="O86" s="676"/>
      <c r="P86" s="676"/>
    </row>
    <row r="87" spans="1:17" s="677" customFormat="1" ht="69.75" hidden="1" customHeight="1">
      <c r="A87" s="662">
        <v>10.4</v>
      </c>
      <c r="B87" s="685" t="s">
        <v>1442</v>
      </c>
      <c r="C87" s="675"/>
      <c r="D87" s="674"/>
      <c r="E87" s="659"/>
      <c r="F87" s="666">
        <f t="shared" si="5"/>
        <v>0</v>
      </c>
      <c r="G87" s="666"/>
      <c r="H87" s="666"/>
      <c r="I87" s="666">
        <f t="shared" si="6"/>
        <v>0</v>
      </c>
      <c r="J87" s="666"/>
      <c r="K87" s="665">
        <f t="shared" si="7"/>
        <v>0</v>
      </c>
      <c r="L87" s="666">
        <f t="shared" si="8"/>
        <v>0</v>
      </c>
      <c r="M87" s="672">
        <v>0</v>
      </c>
      <c r="N87" s="668">
        <f t="shared" si="9"/>
        <v>0</v>
      </c>
      <c r="O87" s="676"/>
      <c r="P87" s="676"/>
    </row>
    <row r="88" spans="1:17" s="677" customFormat="1" ht="25.5" hidden="1" customHeight="1">
      <c r="A88" s="662"/>
      <c r="B88" s="663" t="s">
        <v>1433</v>
      </c>
      <c r="C88" s="675"/>
      <c r="D88" s="674" t="s">
        <v>264</v>
      </c>
      <c r="E88" s="659"/>
      <c r="F88" s="666">
        <f t="shared" si="5"/>
        <v>0</v>
      </c>
      <c r="G88" s="666"/>
      <c r="H88" s="666"/>
      <c r="I88" s="666">
        <f t="shared" si="6"/>
        <v>0</v>
      </c>
      <c r="J88" s="666"/>
      <c r="K88" s="665">
        <f t="shared" si="7"/>
        <v>0</v>
      </c>
      <c r="L88" s="666">
        <f t="shared" si="8"/>
        <v>0</v>
      </c>
      <c r="M88" s="672">
        <v>0</v>
      </c>
      <c r="N88" s="668">
        <f t="shared" si="9"/>
        <v>0</v>
      </c>
      <c r="O88" s="676"/>
      <c r="P88" s="676"/>
    </row>
    <row r="89" spans="1:17" s="677" customFormat="1" ht="25.5" hidden="1" customHeight="1">
      <c r="A89" s="662"/>
      <c r="B89" s="663" t="s">
        <v>1434</v>
      </c>
      <c r="C89" s="675"/>
      <c r="D89" s="674" t="s">
        <v>264</v>
      </c>
      <c r="E89" s="659"/>
      <c r="F89" s="666">
        <f t="shared" si="5"/>
        <v>0</v>
      </c>
      <c r="G89" s="666"/>
      <c r="H89" s="666"/>
      <c r="I89" s="666">
        <f t="shared" si="6"/>
        <v>0</v>
      </c>
      <c r="J89" s="666"/>
      <c r="K89" s="665">
        <f t="shared" si="7"/>
        <v>0</v>
      </c>
      <c r="L89" s="666">
        <f t="shared" si="8"/>
        <v>0</v>
      </c>
      <c r="M89" s="672">
        <v>0</v>
      </c>
      <c r="N89" s="668">
        <f t="shared" si="9"/>
        <v>0</v>
      </c>
      <c r="O89" s="676"/>
      <c r="P89" s="676"/>
    </row>
    <row r="90" spans="1:17" s="677" customFormat="1" ht="25.5" hidden="1" customHeight="1">
      <c r="A90" s="662"/>
      <c r="B90" s="663" t="s">
        <v>1435</v>
      </c>
      <c r="C90" s="675"/>
      <c r="D90" s="674" t="s">
        <v>264</v>
      </c>
      <c r="E90" s="659"/>
      <c r="F90" s="666">
        <f t="shared" si="5"/>
        <v>0</v>
      </c>
      <c r="G90" s="666"/>
      <c r="H90" s="666"/>
      <c r="I90" s="666">
        <f t="shared" si="6"/>
        <v>0</v>
      </c>
      <c r="J90" s="666"/>
      <c r="K90" s="665">
        <f t="shared" si="7"/>
        <v>0</v>
      </c>
      <c r="L90" s="666">
        <f t="shared" si="8"/>
        <v>0</v>
      </c>
      <c r="M90" s="672">
        <v>0</v>
      </c>
      <c r="N90" s="668">
        <f t="shared" si="9"/>
        <v>0</v>
      </c>
      <c r="O90" s="676"/>
      <c r="P90" s="676"/>
    </row>
    <row r="91" spans="1:17" s="677" customFormat="1" ht="25.5" hidden="1" customHeight="1">
      <c r="A91" s="662"/>
      <c r="B91" s="663" t="s">
        <v>1436</v>
      </c>
      <c r="C91" s="675"/>
      <c r="D91" s="674" t="s">
        <v>264</v>
      </c>
      <c r="E91" s="659"/>
      <c r="F91" s="666">
        <f t="shared" si="5"/>
        <v>0</v>
      </c>
      <c r="G91" s="666"/>
      <c r="H91" s="666"/>
      <c r="I91" s="666">
        <f t="shared" si="6"/>
        <v>0</v>
      </c>
      <c r="J91" s="666"/>
      <c r="K91" s="665">
        <f t="shared" si="7"/>
        <v>0</v>
      </c>
      <c r="L91" s="666">
        <f t="shared" si="8"/>
        <v>0</v>
      </c>
      <c r="M91" s="672">
        <v>0</v>
      </c>
      <c r="N91" s="668">
        <f t="shared" si="9"/>
        <v>0</v>
      </c>
      <c r="O91" s="676"/>
      <c r="P91" s="676"/>
    </row>
    <row r="92" spans="1:17" s="677" customFormat="1" ht="25.5" hidden="1" customHeight="1">
      <c r="A92" s="662"/>
      <c r="B92" s="663" t="s">
        <v>1437</v>
      </c>
      <c r="C92" s="675"/>
      <c r="D92" s="674" t="s">
        <v>264</v>
      </c>
      <c r="E92" s="659"/>
      <c r="F92" s="666">
        <f t="shared" si="5"/>
        <v>0</v>
      </c>
      <c r="G92" s="666"/>
      <c r="H92" s="666"/>
      <c r="I92" s="666">
        <f t="shared" si="6"/>
        <v>0</v>
      </c>
      <c r="J92" s="666"/>
      <c r="K92" s="665">
        <f t="shared" si="7"/>
        <v>0</v>
      </c>
      <c r="L92" s="666">
        <f t="shared" si="8"/>
        <v>0</v>
      </c>
      <c r="M92" s="672">
        <v>0</v>
      </c>
      <c r="N92" s="668">
        <f t="shared" si="9"/>
        <v>0</v>
      </c>
      <c r="O92" s="676"/>
      <c r="P92" s="676"/>
    </row>
    <row r="93" spans="1:17" s="677" customFormat="1" ht="25.5" hidden="1" customHeight="1">
      <c r="A93" s="688"/>
      <c r="B93" s="663" t="s">
        <v>1438</v>
      </c>
      <c r="C93" s="675"/>
      <c r="D93" s="674" t="s">
        <v>264</v>
      </c>
      <c r="E93" s="659"/>
      <c r="F93" s="666">
        <f t="shared" si="5"/>
        <v>0</v>
      </c>
      <c r="G93" s="666"/>
      <c r="H93" s="666"/>
      <c r="I93" s="666">
        <f t="shared" si="6"/>
        <v>0</v>
      </c>
      <c r="J93" s="666"/>
      <c r="K93" s="665">
        <f t="shared" si="7"/>
        <v>0</v>
      </c>
      <c r="L93" s="666">
        <f t="shared" si="8"/>
        <v>0</v>
      </c>
      <c r="M93" s="672">
        <v>0</v>
      </c>
      <c r="N93" s="668">
        <f t="shared" si="9"/>
        <v>0</v>
      </c>
      <c r="O93" s="676"/>
      <c r="P93" s="676"/>
    </row>
    <row r="94" spans="1:17" ht="84.75" customHeight="1">
      <c r="A94" s="662">
        <v>10.5</v>
      </c>
      <c r="B94" s="685" t="s">
        <v>1443</v>
      </c>
      <c r="C94" s="667"/>
      <c r="D94" s="663"/>
      <c r="E94" s="665"/>
      <c r="F94" s="666">
        <f t="shared" si="5"/>
        <v>0</v>
      </c>
      <c r="G94" s="666"/>
      <c r="H94" s="666"/>
      <c r="I94" s="666">
        <f t="shared" si="6"/>
        <v>0</v>
      </c>
      <c r="J94" s="666"/>
      <c r="K94" s="665">
        <f t="shared" si="7"/>
        <v>0</v>
      </c>
      <c r="L94" s="666">
        <f t="shared" si="8"/>
        <v>0</v>
      </c>
      <c r="M94" s="668">
        <v>0</v>
      </c>
      <c r="N94" s="668">
        <f t="shared" si="9"/>
        <v>0</v>
      </c>
      <c r="O94" s="678"/>
      <c r="Q94" s="679"/>
    </row>
    <row r="95" spans="1:17" ht="43.5" hidden="1" customHeight="1">
      <c r="A95" s="662"/>
      <c r="B95" s="663" t="s">
        <v>1433</v>
      </c>
      <c r="C95" s="667">
        <f>ROUND([8]Data!K400,2)</f>
        <v>744.9</v>
      </c>
      <c r="D95" s="663" t="s">
        <v>264</v>
      </c>
      <c r="E95" s="665"/>
      <c r="F95" s="666">
        <f t="shared" si="5"/>
        <v>0</v>
      </c>
      <c r="G95" s="666"/>
      <c r="H95" s="666"/>
      <c r="I95" s="666">
        <f t="shared" si="6"/>
        <v>0</v>
      </c>
      <c r="J95" s="666"/>
      <c r="K95" s="665">
        <f t="shared" si="7"/>
        <v>0</v>
      </c>
      <c r="L95" s="666">
        <f t="shared" si="8"/>
        <v>0</v>
      </c>
      <c r="M95" s="672">
        <v>0</v>
      </c>
      <c r="N95" s="668">
        <f t="shared" si="9"/>
        <v>0</v>
      </c>
    </row>
    <row r="96" spans="1:17" ht="43.5" customHeight="1">
      <c r="A96" s="662"/>
      <c r="B96" s="663" t="s">
        <v>1434</v>
      </c>
      <c r="C96" s="667">
        <f>ROUND([8]Data!K402,2)</f>
        <v>752.38</v>
      </c>
      <c r="D96" s="663" t="s">
        <v>264</v>
      </c>
      <c r="E96" s="665">
        <f>[8]Detailed!H349</f>
        <v>19.600000000000001</v>
      </c>
      <c r="F96" s="666">
        <f t="shared" si="5"/>
        <v>14746.648000000001</v>
      </c>
      <c r="G96" s="666"/>
      <c r="H96" s="666"/>
      <c r="I96" s="666">
        <f t="shared" si="6"/>
        <v>0</v>
      </c>
      <c r="J96" s="666"/>
      <c r="K96" s="665">
        <f t="shared" si="7"/>
        <v>19.600000000000001</v>
      </c>
      <c r="L96" s="666">
        <f t="shared" si="8"/>
        <v>14746.648000000001</v>
      </c>
      <c r="M96" s="672">
        <v>19.600000000000001</v>
      </c>
      <c r="N96" s="668">
        <f t="shared" si="9"/>
        <v>0</v>
      </c>
    </row>
    <row r="97" spans="1:16" ht="43.5" customHeight="1">
      <c r="A97" s="662"/>
      <c r="B97" s="663" t="s">
        <v>1435</v>
      </c>
      <c r="C97" s="667">
        <f>ROUND([8]Data!K403,2)</f>
        <v>767.47</v>
      </c>
      <c r="D97" s="663" t="s">
        <v>264</v>
      </c>
      <c r="E97" s="665">
        <f>[8]Detailed!H371</f>
        <v>46.4</v>
      </c>
      <c r="F97" s="666">
        <f t="shared" si="5"/>
        <v>35610.608</v>
      </c>
      <c r="G97" s="666"/>
      <c r="H97" s="666"/>
      <c r="I97" s="666">
        <f t="shared" si="6"/>
        <v>0</v>
      </c>
      <c r="J97" s="666"/>
      <c r="K97" s="665">
        <f t="shared" si="7"/>
        <v>46.4</v>
      </c>
      <c r="L97" s="666">
        <f t="shared" si="8"/>
        <v>35610.608</v>
      </c>
      <c r="M97" s="672">
        <v>46.4</v>
      </c>
      <c r="N97" s="668">
        <f t="shared" si="9"/>
        <v>0</v>
      </c>
    </row>
    <row r="98" spans="1:16" ht="43.5" customHeight="1">
      <c r="A98" s="662"/>
      <c r="B98" s="663" t="s">
        <v>1436</v>
      </c>
      <c r="C98" s="667">
        <f>ROUND([8]Data!K404,2)</f>
        <v>782.56</v>
      </c>
      <c r="D98" s="663" t="s">
        <v>264</v>
      </c>
      <c r="E98" s="665">
        <f>[8]Detailed!H380</f>
        <v>53.5</v>
      </c>
      <c r="F98" s="666">
        <f t="shared" si="5"/>
        <v>41866.959999999999</v>
      </c>
      <c r="G98" s="666"/>
      <c r="H98" s="666"/>
      <c r="I98" s="666">
        <f t="shared" si="6"/>
        <v>0</v>
      </c>
      <c r="J98" s="666"/>
      <c r="K98" s="665">
        <f t="shared" si="7"/>
        <v>53.5</v>
      </c>
      <c r="L98" s="666">
        <f t="shared" si="8"/>
        <v>41866.959999999999</v>
      </c>
      <c r="M98" s="672">
        <v>53.5</v>
      </c>
      <c r="N98" s="668">
        <f t="shared" si="9"/>
        <v>0</v>
      </c>
    </row>
    <row r="99" spans="1:16" ht="43.5" hidden="1" customHeight="1">
      <c r="A99" s="662"/>
      <c r="B99" s="663" t="s">
        <v>1437</v>
      </c>
      <c r="C99" s="667">
        <f>ROUND([8]Data!K405,2)</f>
        <v>797.65</v>
      </c>
      <c r="D99" s="663" t="s">
        <v>264</v>
      </c>
      <c r="E99" s="1402"/>
      <c r="F99" s="666">
        <f t="shared" si="5"/>
        <v>0</v>
      </c>
      <c r="G99" s="666"/>
      <c r="H99" s="666"/>
      <c r="I99" s="666">
        <f t="shared" si="6"/>
        <v>0</v>
      </c>
      <c r="J99" s="666"/>
      <c r="K99" s="665">
        <f t="shared" si="7"/>
        <v>0</v>
      </c>
      <c r="L99" s="666">
        <f t="shared" si="8"/>
        <v>0</v>
      </c>
      <c r="M99" s="672">
        <v>0</v>
      </c>
      <c r="N99" s="668">
        <f t="shared" si="9"/>
        <v>0</v>
      </c>
    </row>
    <row r="100" spans="1:16" s="677" customFormat="1" ht="36" hidden="1" customHeight="1">
      <c r="A100" s="687"/>
      <c r="B100" s="663" t="s">
        <v>1438</v>
      </c>
      <c r="C100" s="675">
        <f>ROUND([8]Data!K406,2)</f>
        <v>812.74</v>
      </c>
      <c r="D100" s="674" t="s">
        <v>264</v>
      </c>
      <c r="E100" s="659"/>
      <c r="F100" s="666">
        <f t="shared" si="5"/>
        <v>0</v>
      </c>
      <c r="G100" s="666"/>
      <c r="H100" s="666"/>
      <c r="I100" s="666">
        <f t="shared" si="6"/>
        <v>0</v>
      </c>
      <c r="J100" s="666"/>
      <c r="K100" s="665">
        <f t="shared" si="7"/>
        <v>0</v>
      </c>
      <c r="L100" s="666">
        <f t="shared" si="8"/>
        <v>0</v>
      </c>
      <c r="M100" s="672">
        <v>0</v>
      </c>
      <c r="N100" s="668">
        <f t="shared" si="9"/>
        <v>0</v>
      </c>
      <c r="O100" s="676"/>
      <c r="P100" s="676"/>
    </row>
    <row r="101" spans="1:16" s="677" customFormat="1" ht="69.75" hidden="1" customHeight="1">
      <c r="A101" s="662">
        <v>10.6</v>
      </c>
      <c r="B101" s="685" t="s">
        <v>1444</v>
      </c>
      <c r="C101" s="675"/>
      <c r="D101" s="674"/>
      <c r="E101" s="999"/>
      <c r="F101" s="666">
        <f t="shared" si="5"/>
        <v>0</v>
      </c>
      <c r="G101" s="666"/>
      <c r="H101" s="666"/>
      <c r="I101" s="666">
        <f t="shared" si="6"/>
        <v>0</v>
      </c>
      <c r="J101" s="666"/>
      <c r="K101" s="665">
        <f t="shared" si="7"/>
        <v>0</v>
      </c>
      <c r="L101" s="666">
        <f t="shared" si="8"/>
        <v>0</v>
      </c>
      <c r="M101" s="672">
        <v>0</v>
      </c>
      <c r="N101" s="668">
        <f t="shared" si="9"/>
        <v>0</v>
      </c>
      <c r="O101" s="676"/>
      <c r="P101" s="676"/>
    </row>
    <row r="102" spans="1:16" s="677" customFormat="1" ht="25.5" hidden="1" customHeight="1">
      <c r="A102" s="662"/>
      <c r="B102" s="663" t="s">
        <v>1433</v>
      </c>
      <c r="C102" s="675"/>
      <c r="D102" s="674" t="s">
        <v>264</v>
      </c>
      <c r="E102" s="999"/>
      <c r="F102" s="666">
        <f t="shared" si="5"/>
        <v>0</v>
      </c>
      <c r="G102" s="666"/>
      <c r="H102" s="666"/>
      <c r="I102" s="666">
        <f t="shared" si="6"/>
        <v>0</v>
      </c>
      <c r="J102" s="666"/>
      <c r="K102" s="665">
        <f t="shared" si="7"/>
        <v>0</v>
      </c>
      <c r="L102" s="666">
        <f t="shared" si="8"/>
        <v>0</v>
      </c>
      <c r="M102" s="672">
        <v>0</v>
      </c>
      <c r="N102" s="668">
        <f t="shared" si="9"/>
        <v>0</v>
      </c>
      <c r="O102" s="676"/>
      <c r="P102" s="676"/>
    </row>
    <row r="103" spans="1:16" s="677" customFormat="1" ht="25.5" hidden="1" customHeight="1">
      <c r="A103" s="662"/>
      <c r="B103" s="663" t="s">
        <v>1434</v>
      </c>
      <c r="C103" s="675"/>
      <c r="D103" s="674" t="s">
        <v>264</v>
      </c>
      <c r="E103" s="999"/>
      <c r="F103" s="666">
        <f t="shared" si="5"/>
        <v>0</v>
      </c>
      <c r="G103" s="666"/>
      <c r="H103" s="666"/>
      <c r="I103" s="666">
        <f t="shared" si="6"/>
        <v>0</v>
      </c>
      <c r="J103" s="666"/>
      <c r="K103" s="665">
        <f t="shared" si="7"/>
        <v>0</v>
      </c>
      <c r="L103" s="666">
        <f t="shared" si="8"/>
        <v>0</v>
      </c>
      <c r="M103" s="672">
        <v>0</v>
      </c>
      <c r="N103" s="668">
        <f t="shared" si="9"/>
        <v>0</v>
      </c>
      <c r="O103" s="676"/>
      <c r="P103" s="676"/>
    </row>
    <row r="104" spans="1:16" s="677" customFormat="1" ht="25.5" hidden="1" customHeight="1">
      <c r="A104" s="662"/>
      <c r="B104" s="663" t="s">
        <v>1435</v>
      </c>
      <c r="C104" s="675"/>
      <c r="D104" s="674" t="s">
        <v>264</v>
      </c>
      <c r="E104" s="999"/>
      <c r="F104" s="666">
        <f t="shared" si="5"/>
        <v>0</v>
      </c>
      <c r="G104" s="666"/>
      <c r="H104" s="666"/>
      <c r="I104" s="666">
        <f t="shared" si="6"/>
        <v>0</v>
      </c>
      <c r="J104" s="666"/>
      <c r="K104" s="665">
        <f t="shared" si="7"/>
        <v>0</v>
      </c>
      <c r="L104" s="666">
        <f t="shared" si="8"/>
        <v>0</v>
      </c>
      <c r="M104" s="672">
        <v>0</v>
      </c>
      <c r="N104" s="668">
        <f t="shared" si="9"/>
        <v>0</v>
      </c>
      <c r="O104" s="676"/>
      <c r="P104" s="676"/>
    </row>
    <row r="105" spans="1:16" s="677" customFormat="1" ht="26.25" hidden="1" customHeight="1">
      <c r="A105" s="662"/>
      <c r="B105" s="663" t="s">
        <v>1436</v>
      </c>
      <c r="C105" s="675"/>
      <c r="D105" s="674" t="s">
        <v>264</v>
      </c>
      <c r="E105" s="659"/>
      <c r="F105" s="666">
        <f t="shared" si="5"/>
        <v>0</v>
      </c>
      <c r="G105" s="666"/>
      <c r="H105" s="666"/>
      <c r="I105" s="666">
        <f t="shared" si="6"/>
        <v>0</v>
      </c>
      <c r="J105" s="666"/>
      <c r="K105" s="665">
        <f t="shared" si="7"/>
        <v>0</v>
      </c>
      <c r="L105" s="666">
        <f t="shared" si="8"/>
        <v>0</v>
      </c>
      <c r="M105" s="672">
        <v>0</v>
      </c>
      <c r="N105" s="668">
        <f t="shared" si="9"/>
        <v>0</v>
      </c>
      <c r="O105" s="676"/>
      <c r="P105" s="676"/>
    </row>
    <row r="106" spans="1:16" s="677" customFormat="1" ht="25.5" hidden="1" customHeight="1">
      <c r="A106" s="662"/>
      <c r="B106" s="663" t="s">
        <v>1437</v>
      </c>
      <c r="C106" s="675"/>
      <c r="D106" s="674" t="s">
        <v>264</v>
      </c>
      <c r="E106" s="659"/>
      <c r="F106" s="666">
        <f t="shared" si="5"/>
        <v>0</v>
      </c>
      <c r="G106" s="666"/>
      <c r="H106" s="666"/>
      <c r="I106" s="666">
        <f t="shared" si="6"/>
        <v>0</v>
      </c>
      <c r="J106" s="666"/>
      <c r="K106" s="665">
        <f t="shared" si="7"/>
        <v>0</v>
      </c>
      <c r="L106" s="666">
        <f t="shared" si="8"/>
        <v>0</v>
      </c>
      <c r="M106" s="672">
        <v>0</v>
      </c>
      <c r="N106" s="668">
        <f t="shared" si="9"/>
        <v>0</v>
      </c>
      <c r="O106" s="676"/>
      <c r="P106" s="676"/>
    </row>
    <row r="107" spans="1:16" s="677" customFormat="1" ht="25.5" hidden="1" customHeight="1">
      <c r="A107" s="688"/>
      <c r="B107" s="663" t="s">
        <v>1438</v>
      </c>
      <c r="C107" s="675"/>
      <c r="D107" s="674" t="s">
        <v>264</v>
      </c>
      <c r="E107" s="659"/>
      <c r="F107" s="666">
        <f t="shared" si="5"/>
        <v>0</v>
      </c>
      <c r="G107" s="666"/>
      <c r="H107" s="666"/>
      <c r="I107" s="666">
        <f t="shared" si="6"/>
        <v>0</v>
      </c>
      <c r="J107" s="666"/>
      <c r="K107" s="665">
        <f t="shared" si="7"/>
        <v>0</v>
      </c>
      <c r="L107" s="666">
        <f t="shared" si="8"/>
        <v>0</v>
      </c>
      <c r="M107" s="672">
        <v>0</v>
      </c>
      <c r="N107" s="668">
        <f t="shared" si="9"/>
        <v>0</v>
      </c>
      <c r="O107" s="676"/>
      <c r="P107" s="676"/>
    </row>
    <row r="108" spans="1:16" s="677" customFormat="1" ht="69.75" hidden="1" customHeight="1">
      <c r="A108" s="662">
        <v>11.1</v>
      </c>
      <c r="B108" s="685" t="s">
        <v>1445</v>
      </c>
      <c r="C108" s="675"/>
      <c r="D108" s="674"/>
      <c r="E108" s="659"/>
      <c r="F108" s="666">
        <f t="shared" si="5"/>
        <v>0</v>
      </c>
      <c r="G108" s="666"/>
      <c r="H108" s="666"/>
      <c r="I108" s="666">
        <f t="shared" si="6"/>
        <v>0</v>
      </c>
      <c r="J108" s="666"/>
      <c r="K108" s="665">
        <f t="shared" si="7"/>
        <v>0</v>
      </c>
      <c r="L108" s="666">
        <f t="shared" si="8"/>
        <v>0</v>
      </c>
      <c r="M108" s="672">
        <v>0</v>
      </c>
      <c r="N108" s="668">
        <f t="shared" si="9"/>
        <v>0</v>
      </c>
      <c r="O108" s="676"/>
      <c r="P108" s="676"/>
    </row>
    <row r="109" spans="1:16" s="677" customFormat="1" ht="25.5" hidden="1" customHeight="1">
      <c r="A109" s="662"/>
      <c r="B109" s="663" t="s">
        <v>1420</v>
      </c>
      <c r="C109" s="675">
        <f>ROUND([8]Data!X434,2)</f>
        <v>521.98</v>
      </c>
      <c r="D109" s="674" t="s">
        <v>264</v>
      </c>
      <c r="E109" s="659"/>
      <c r="F109" s="666">
        <f t="shared" si="5"/>
        <v>0</v>
      </c>
      <c r="G109" s="666"/>
      <c r="H109" s="666"/>
      <c r="I109" s="666">
        <f t="shared" si="6"/>
        <v>0</v>
      </c>
      <c r="J109" s="666"/>
      <c r="K109" s="665">
        <f t="shared" si="7"/>
        <v>0</v>
      </c>
      <c r="L109" s="666">
        <f t="shared" si="8"/>
        <v>0</v>
      </c>
      <c r="M109" s="672">
        <v>0</v>
      </c>
      <c r="N109" s="668">
        <f t="shared" si="9"/>
        <v>0</v>
      </c>
      <c r="O109" s="676"/>
      <c r="P109" s="676"/>
    </row>
    <row r="110" spans="1:16" s="677" customFormat="1" ht="25.5" hidden="1" customHeight="1">
      <c r="A110" s="662"/>
      <c r="B110" s="663" t="s">
        <v>1421</v>
      </c>
      <c r="C110" s="675">
        <f>ROUND([8]Data!X435,2)</f>
        <v>531.58000000000004</v>
      </c>
      <c r="D110" s="674" t="s">
        <v>264</v>
      </c>
      <c r="E110" s="659"/>
      <c r="F110" s="666">
        <f t="shared" si="5"/>
        <v>0</v>
      </c>
      <c r="G110" s="666"/>
      <c r="H110" s="666"/>
      <c r="I110" s="666">
        <f t="shared" si="6"/>
        <v>0</v>
      </c>
      <c r="J110" s="666"/>
      <c r="K110" s="665">
        <f t="shared" si="7"/>
        <v>0</v>
      </c>
      <c r="L110" s="666">
        <f t="shared" si="8"/>
        <v>0</v>
      </c>
      <c r="M110" s="672">
        <v>0</v>
      </c>
      <c r="N110" s="668">
        <f t="shared" si="9"/>
        <v>0</v>
      </c>
      <c r="O110" s="676"/>
      <c r="P110" s="676"/>
    </row>
    <row r="111" spans="1:16" s="677" customFormat="1" ht="25.5" hidden="1" customHeight="1">
      <c r="A111" s="662"/>
      <c r="B111" s="663" t="s">
        <v>1422</v>
      </c>
      <c r="C111" s="675">
        <f>ROUND([8]Data!X436,2)</f>
        <v>541.17999999999995</v>
      </c>
      <c r="D111" s="674" t="s">
        <v>264</v>
      </c>
      <c r="E111" s="659"/>
      <c r="F111" s="666">
        <f t="shared" si="5"/>
        <v>0</v>
      </c>
      <c r="G111" s="666"/>
      <c r="H111" s="666"/>
      <c r="I111" s="666">
        <f t="shared" si="6"/>
        <v>0</v>
      </c>
      <c r="J111" s="666"/>
      <c r="K111" s="665">
        <f t="shared" si="7"/>
        <v>0</v>
      </c>
      <c r="L111" s="666">
        <f t="shared" si="8"/>
        <v>0</v>
      </c>
      <c r="M111" s="672">
        <v>0</v>
      </c>
      <c r="N111" s="668">
        <f t="shared" si="9"/>
        <v>0</v>
      </c>
      <c r="O111" s="676"/>
      <c r="P111" s="676"/>
    </row>
    <row r="112" spans="1:16" s="677" customFormat="1" ht="25.5" hidden="1" customHeight="1">
      <c r="A112" s="662"/>
      <c r="B112" s="663" t="s">
        <v>1423</v>
      </c>
      <c r="C112" s="675">
        <f>ROUND([8]Data!X437,2)</f>
        <v>550.78</v>
      </c>
      <c r="D112" s="674" t="s">
        <v>264</v>
      </c>
      <c r="E112" s="659"/>
      <c r="F112" s="666">
        <f t="shared" si="5"/>
        <v>0</v>
      </c>
      <c r="G112" s="666"/>
      <c r="H112" s="666"/>
      <c r="I112" s="666">
        <f t="shared" si="6"/>
        <v>0</v>
      </c>
      <c r="J112" s="666"/>
      <c r="K112" s="665">
        <f t="shared" si="7"/>
        <v>0</v>
      </c>
      <c r="L112" s="666">
        <f t="shared" si="8"/>
        <v>0</v>
      </c>
      <c r="M112" s="672">
        <v>0</v>
      </c>
      <c r="N112" s="668">
        <f t="shared" si="9"/>
        <v>0</v>
      </c>
      <c r="O112" s="676"/>
      <c r="P112" s="676"/>
    </row>
    <row r="113" spans="1:16" s="677" customFormat="1" ht="25.5" hidden="1" customHeight="1">
      <c r="A113" s="688"/>
      <c r="B113" s="663" t="s">
        <v>1424</v>
      </c>
      <c r="C113" s="675">
        <f>ROUND([8]Data!X438,2)</f>
        <v>560.38</v>
      </c>
      <c r="D113" s="674" t="s">
        <v>264</v>
      </c>
      <c r="E113" s="659"/>
      <c r="F113" s="666">
        <f t="shared" si="5"/>
        <v>0</v>
      </c>
      <c r="G113" s="666"/>
      <c r="H113" s="666"/>
      <c r="I113" s="666">
        <f t="shared" si="6"/>
        <v>0</v>
      </c>
      <c r="J113" s="666"/>
      <c r="K113" s="665">
        <f t="shared" si="7"/>
        <v>0</v>
      </c>
      <c r="L113" s="666">
        <f t="shared" si="8"/>
        <v>0</v>
      </c>
      <c r="M113" s="672">
        <v>0</v>
      </c>
      <c r="N113" s="668">
        <f t="shared" si="9"/>
        <v>0</v>
      </c>
      <c r="O113" s="676"/>
      <c r="P113" s="676"/>
    </row>
    <row r="114" spans="1:16" s="677" customFormat="1" ht="80.25" hidden="1" customHeight="1">
      <c r="A114" s="662">
        <v>11.2</v>
      </c>
      <c r="B114" s="685" t="s">
        <v>1446</v>
      </c>
      <c r="C114" s="675"/>
      <c r="D114" s="674"/>
      <c r="E114" s="659"/>
      <c r="F114" s="666">
        <f t="shared" si="5"/>
        <v>0</v>
      </c>
      <c r="G114" s="666"/>
      <c r="H114" s="666"/>
      <c r="I114" s="666">
        <f t="shared" si="6"/>
        <v>0</v>
      </c>
      <c r="J114" s="666"/>
      <c r="K114" s="665">
        <f t="shared" si="7"/>
        <v>0</v>
      </c>
      <c r="L114" s="666">
        <f t="shared" si="8"/>
        <v>0</v>
      </c>
      <c r="M114" s="672">
        <v>0</v>
      </c>
      <c r="N114" s="668">
        <f t="shared" si="9"/>
        <v>0</v>
      </c>
      <c r="O114" s="676"/>
      <c r="P114" s="676"/>
    </row>
    <row r="115" spans="1:16" s="677" customFormat="1" ht="41.25" hidden="1" customHeight="1">
      <c r="A115" s="662"/>
      <c r="B115" s="663" t="s">
        <v>1420</v>
      </c>
      <c r="C115" s="675">
        <f>ROUND([8]Data!AG448,2)</f>
        <v>532.14</v>
      </c>
      <c r="D115" s="674" t="s">
        <v>264</v>
      </c>
      <c r="E115" s="659"/>
      <c r="F115" s="666">
        <f t="shared" si="5"/>
        <v>0</v>
      </c>
      <c r="G115" s="666"/>
      <c r="H115" s="666"/>
      <c r="I115" s="666">
        <f t="shared" si="6"/>
        <v>0</v>
      </c>
      <c r="J115" s="666"/>
      <c r="K115" s="665">
        <f t="shared" si="7"/>
        <v>0</v>
      </c>
      <c r="L115" s="666">
        <f t="shared" si="8"/>
        <v>0</v>
      </c>
      <c r="M115" s="672">
        <v>0</v>
      </c>
      <c r="N115" s="668">
        <f t="shared" si="9"/>
        <v>0</v>
      </c>
      <c r="O115" s="676"/>
      <c r="P115" s="676"/>
    </row>
    <row r="116" spans="1:16" s="677" customFormat="1" ht="41.25" hidden="1" customHeight="1">
      <c r="A116" s="662"/>
      <c r="B116" s="663" t="s">
        <v>1421</v>
      </c>
      <c r="C116" s="675">
        <f>ROUND([8]Data!AG449,2)</f>
        <v>542.42999999999995</v>
      </c>
      <c r="D116" s="674" t="s">
        <v>264</v>
      </c>
      <c r="E116" s="659"/>
      <c r="F116" s="666">
        <f t="shared" si="5"/>
        <v>0</v>
      </c>
      <c r="G116" s="666"/>
      <c r="H116" s="666"/>
      <c r="I116" s="666">
        <f t="shared" si="6"/>
        <v>0</v>
      </c>
      <c r="J116" s="666"/>
      <c r="K116" s="665">
        <f t="shared" si="7"/>
        <v>0</v>
      </c>
      <c r="L116" s="666">
        <f t="shared" si="8"/>
        <v>0</v>
      </c>
      <c r="M116" s="672">
        <v>0</v>
      </c>
      <c r="N116" s="668">
        <f t="shared" si="9"/>
        <v>0</v>
      </c>
      <c r="O116" s="676"/>
      <c r="P116" s="676"/>
    </row>
    <row r="117" spans="1:16" s="677" customFormat="1" ht="41.25" hidden="1" customHeight="1">
      <c r="A117" s="662"/>
      <c r="B117" s="663" t="s">
        <v>1422</v>
      </c>
      <c r="C117" s="675">
        <f>ROUND([8]Data!AG450,2)</f>
        <v>552.72</v>
      </c>
      <c r="D117" s="674" t="s">
        <v>264</v>
      </c>
      <c r="E117" s="659"/>
      <c r="F117" s="666">
        <f t="shared" si="5"/>
        <v>0</v>
      </c>
      <c r="G117" s="666"/>
      <c r="H117" s="666"/>
      <c r="I117" s="666">
        <f t="shared" si="6"/>
        <v>0</v>
      </c>
      <c r="J117" s="666"/>
      <c r="K117" s="665">
        <f t="shared" si="7"/>
        <v>0</v>
      </c>
      <c r="L117" s="666">
        <f t="shared" si="8"/>
        <v>0</v>
      </c>
      <c r="M117" s="672">
        <v>0</v>
      </c>
      <c r="N117" s="668">
        <f t="shared" si="9"/>
        <v>0</v>
      </c>
      <c r="O117" s="676"/>
      <c r="P117" s="676"/>
    </row>
    <row r="118" spans="1:16" s="677" customFormat="1" ht="41.25" hidden="1" customHeight="1">
      <c r="A118" s="662"/>
      <c r="B118" s="663" t="s">
        <v>1423</v>
      </c>
      <c r="C118" s="675">
        <f>ROUND([8]Data!AG451,2)</f>
        <v>563.01</v>
      </c>
      <c r="D118" s="674" t="s">
        <v>264</v>
      </c>
      <c r="E118" s="659"/>
      <c r="F118" s="666">
        <f t="shared" si="5"/>
        <v>0</v>
      </c>
      <c r="G118" s="666"/>
      <c r="H118" s="666"/>
      <c r="I118" s="666">
        <f t="shared" si="6"/>
        <v>0</v>
      </c>
      <c r="J118" s="666"/>
      <c r="K118" s="665">
        <f t="shared" si="7"/>
        <v>0</v>
      </c>
      <c r="L118" s="666">
        <f t="shared" si="8"/>
        <v>0</v>
      </c>
      <c r="M118" s="672">
        <v>0</v>
      </c>
      <c r="N118" s="668">
        <f t="shared" si="9"/>
        <v>0</v>
      </c>
      <c r="O118" s="676"/>
      <c r="P118" s="676"/>
    </row>
    <row r="119" spans="1:16" s="677" customFormat="1" ht="41.25" hidden="1" customHeight="1">
      <c r="A119" s="688"/>
      <c r="B119" s="663" t="s">
        <v>1424</v>
      </c>
      <c r="C119" s="675">
        <f>ROUND([8]Data!AG452,2)</f>
        <v>573.29999999999995</v>
      </c>
      <c r="D119" s="674" t="s">
        <v>264</v>
      </c>
      <c r="E119" s="659"/>
      <c r="F119" s="666">
        <f t="shared" si="5"/>
        <v>0</v>
      </c>
      <c r="G119" s="666"/>
      <c r="H119" s="666"/>
      <c r="I119" s="666">
        <f t="shared" si="6"/>
        <v>0</v>
      </c>
      <c r="J119" s="666"/>
      <c r="K119" s="665">
        <f t="shared" si="7"/>
        <v>0</v>
      </c>
      <c r="L119" s="666">
        <f t="shared" si="8"/>
        <v>0</v>
      </c>
      <c r="M119" s="672">
        <v>0</v>
      </c>
      <c r="N119" s="668">
        <f t="shared" si="9"/>
        <v>0</v>
      </c>
      <c r="O119" s="676"/>
      <c r="P119" s="676"/>
    </row>
    <row r="120" spans="1:16" s="677" customFormat="1" ht="69.75" hidden="1" customHeight="1">
      <c r="A120" s="662">
        <v>11.3</v>
      </c>
      <c r="B120" s="685" t="s">
        <v>1447</v>
      </c>
      <c r="C120" s="675"/>
      <c r="D120" s="674"/>
      <c r="E120" s="659"/>
      <c r="F120" s="666">
        <f t="shared" si="5"/>
        <v>0</v>
      </c>
      <c r="G120" s="666"/>
      <c r="H120" s="666"/>
      <c r="I120" s="666">
        <f t="shared" si="6"/>
        <v>0</v>
      </c>
      <c r="J120" s="666"/>
      <c r="K120" s="665">
        <f t="shared" si="7"/>
        <v>0</v>
      </c>
      <c r="L120" s="666">
        <f t="shared" si="8"/>
        <v>0</v>
      </c>
      <c r="M120" s="672">
        <v>0</v>
      </c>
      <c r="N120" s="668">
        <f t="shared" si="9"/>
        <v>0</v>
      </c>
      <c r="O120" s="676"/>
      <c r="P120" s="676"/>
    </row>
    <row r="121" spans="1:16" s="677" customFormat="1" ht="25.5" hidden="1" customHeight="1">
      <c r="A121" s="662"/>
      <c r="B121" s="663" t="s">
        <v>1420</v>
      </c>
      <c r="C121" s="675"/>
      <c r="D121" s="674" t="s">
        <v>264</v>
      </c>
      <c r="E121" s="659"/>
      <c r="F121" s="666">
        <f t="shared" si="5"/>
        <v>0</v>
      </c>
      <c r="G121" s="666"/>
      <c r="H121" s="666"/>
      <c r="I121" s="666">
        <f t="shared" si="6"/>
        <v>0</v>
      </c>
      <c r="J121" s="666"/>
      <c r="K121" s="665">
        <f t="shared" si="7"/>
        <v>0</v>
      </c>
      <c r="L121" s="666">
        <f t="shared" si="8"/>
        <v>0</v>
      </c>
      <c r="M121" s="672">
        <v>0</v>
      </c>
      <c r="N121" s="668">
        <f t="shared" si="9"/>
        <v>0</v>
      </c>
      <c r="O121" s="676"/>
      <c r="P121" s="676"/>
    </row>
    <row r="122" spans="1:16" s="677" customFormat="1" ht="25.5" hidden="1" customHeight="1">
      <c r="A122" s="662"/>
      <c r="B122" s="663" t="s">
        <v>1421</v>
      </c>
      <c r="C122" s="675"/>
      <c r="D122" s="674" t="s">
        <v>264</v>
      </c>
      <c r="E122" s="659"/>
      <c r="F122" s="666">
        <f t="shared" si="5"/>
        <v>0</v>
      </c>
      <c r="G122" s="666"/>
      <c r="H122" s="666"/>
      <c r="I122" s="666">
        <f t="shared" si="6"/>
        <v>0</v>
      </c>
      <c r="J122" s="666"/>
      <c r="K122" s="665">
        <f t="shared" si="7"/>
        <v>0</v>
      </c>
      <c r="L122" s="666">
        <f t="shared" si="8"/>
        <v>0</v>
      </c>
      <c r="M122" s="672">
        <v>0</v>
      </c>
      <c r="N122" s="668">
        <f t="shared" si="9"/>
        <v>0</v>
      </c>
      <c r="O122" s="676"/>
      <c r="P122" s="676"/>
    </row>
    <row r="123" spans="1:16" s="677" customFormat="1" ht="25.5" hidden="1" customHeight="1">
      <c r="A123" s="662"/>
      <c r="B123" s="663" t="s">
        <v>1422</v>
      </c>
      <c r="C123" s="675"/>
      <c r="D123" s="674" t="s">
        <v>264</v>
      </c>
      <c r="E123" s="659"/>
      <c r="F123" s="666">
        <f t="shared" si="5"/>
        <v>0</v>
      </c>
      <c r="G123" s="666"/>
      <c r="H123" s="666"/>
      <c r="I123" s="666">
        <f t="shared" si="6"/>
        <v>0</v>
      </c>
      <c r="J123" s="666"/>
      <c r="K123" s="665">
        <f t="shared" si="7"/>
        <v>0</v>
      </c>
      <c r="L123" s="666">
        <f t="shared" si="8"/>
        <v>0</v>
      </c>
      <c r="M123" s="672">
        <v>0</v>
      </c>
      <c r="N123" s="668">
        <f t="shared" si="9"/>
        <v>0</v>
      </c>
      <c r="O123" s="676"/>
      <c r="P123" s="676"/>
    </row>
    <row r="124" spans="1:16" s="677" customFormat="1" ht="25.5" hidden="1" customHeight="1">
      <c r="A124" s="662"/>
      <c r="B124" s="663" t="s">
        <v>1423</v>
      </c>
      <c r="C124" s="675"/>
      <c r="D124" s="674" t="s">
        <v>264</v>
      </c>
      <c r="E124" s="659"/>
      <c r="F124" s="666">
        <f t="shared" si="5"/>
        <v>0</v>
      </c>
      <c r="G124" s="666"/>
      <c r="H124" s="666"/>
      <c r="I124" s="666">
        <f t="shared" si="6"/>
        <v>0</v>
      </c>
      <c r="J124" s="666"/>
      <c r="K124" s="665">
        <f t="shared" si="7"/>
        <v>0</v>
      </c>
      <c r="L124" s="666">
        <f t="shared" si="8"/>
        <v>0</v>
      </c>
      <c r="M124" s="672">
        <v>0</v>
      </c>
      <c r="N124" s="668">
        <f t="shared" si="9"/>
        <v>0</v>
      </c>
      <c r="O124" s="676"/>
      <c r="P124" s="676"/>
    </row>
    <row r="125" spans="1:16" s="677" customFormat="1" ht="25.5" hidden="1" customHeight="1">
      <c r="A125" s="688"/>
      <c r="B125" s="663" t="s">
        <v>1424</v>
      </c>
      <c r="C125" s="675"/>
      <c r="D125" s="674" t="s">
        <v>264</v>
      </c>
      <c r="E125" s="659"/>
      <c r="F125" s="666">
        <f t="shared" si="5"/>
        <v>0</v>
      </c>
      <c r="G125" s="666"/>
      <c r="H125" s="666"/>
      <c r="I125" s="666">
        <f t="shared" si="6"/>
        <v>0</v>
      </c>
      <c r="J125" s="666"/>
      <c r="K125" s="665">
        <f t="shared" si="7"/>
        <v>0</v>
      </c>
      <c r="L125" s="666">
        <f t="shared" si="8"/>
        <v>0</v>
      </c>
      <c r="M125" s="672">
        <v>0</v>
      </c>
      <c r="N125" s="668">
        <f t="shared" si="9"/>
        <v>0</v>
      </c>
      <c r="O125" s="676"/>
      <c r="P125" s="676"/>
    </row>
    <row r="126" spans="1:16" s="677" customFormat="1" ht="69.75" hidden="1" customHeight="1">
      <c r="A126" s="662">
        <v>11.4</v>
      </c>
      <c r="B126" s="685" t="s">
        <v>1448</v>
      </c>
      <c r="C126" s="675"/>
      <c r="D126" s="674"/>
      <c r="E126" s="659"/>
      <c r="F126" s="666">
        <f t="shared" si="5"/>
        <v>0</v>
      </c>
      <c r="G126" s="666"/>
      <c r="H126" s="666"/>
      <c r="I126" s="666">
        <f t="shared" si="6"/>
        <v>0</v>
      </c>
      <c r="J126" s="666"/>
      <c r="K126" s="665">
        <f t="shared" si="7"/>
        <v>0</v>
      </c>
      <c r="L126" s="666">
        <f t="shared" si="8"/>
        <v>0</v>
      </c>
      <c r="M126" s="672">
        <v>0</v>
      </c>
      <c r="N126" s="668">
        <f t="shared" si="9"/>
        <v>0</v>
      </c>
      <c r="O126" s="676"/>
      <c r="P126" s="676"/>
    </row>
    <row r="127" spans="1:16" s="677" customFormat="1" ht="25.5" hidden="1" customHeight="1">
      <c r="A127" s="666"/>
      <c r="B127" s="663" t="s">
        <v>1420</v>
      </c>
      <c r="C127" s="675"/>
      <c r="D127" s="674" t="s">
        <v>264</v>
      </c>
      <c r="E127" s="659"/>
      <c r="F127" s="666">
        <f t="shared" si="5"/>
        <v>0</v>
      </c>
      <c r="G127" s="666"/>
      <c r="H127" s="666"/>
      <c r="I127" s="666">
        <f t="shared" si="6"/>
        <v>0</v>
      </c>
      <c r="J127" s="666"/>
      <c r="K127" s="665">
        <f t="shared" si="7"/>
        <v>0</v>
      </c>
      <c r="L127" s="666">
        <f t="shared" si="8"/>
        <v>0</v>
      </c>
      <c r="M127" s="672">
        <v>0</v>
      </c>
      <c r="N127" s="668">
        <f t="shared" si="9"/>
        <v>0</v>
      </c>
      <c r="O127" s="676"/>
      <c r="P127" s="676"/>
    </row>
    <row r="128" spans="1:16" s="677" customFormat="1" ht="25.5" hidden="1" customHeight="1">
      <c r="A128" s="666"/>
      <c r="B128" s="663" t="s">
        <v>1421</v>
      </c>
      <c r="C128" s="675"/>
      <c r="D128" s="674" t="s">
        <v>264</v>
      </c>
      <c r="E128" s="659"/>
      <c r="F128" s="666">
        <f t="shared" si="5"/>
        <v>0</v>
      </c>
      <c r="G128" s="666"/>
      <c r="H128" s="666"/>
      <c r="I128" s="666">
        <f t="shared" si="6"/>
        <v>0</v>
      </c>
      <c r="J128" s="666"/>
      <c r="K128" s="665">
        <f t="shared" si="7"/>
        <v>0</v>
      </c>
      <c r="L128" s="666">
        <f t="shared" si="8"/>
        <v>0</v>
      </c>
      <c r="M128" s="672">
        <v>0</v>
      </c>
      <c r="N128" s="668">
        <f t="shared" si="9"/>
        <v>0</v>
      </c>
      <c r="O128" s="676"/>
      <c r="P128" s="676"/>
    </row>
    <row r="129" spans="1:17" s="677" customFormat="1" ht="25.5" hidden="1" customHeight="1">
      <c r="A129" s="666"/>
      <c r="B129" s="663" t="s">
        <v>1422</v>
      </c>
      <c r="C129" s="675"/>
      <c r="D129" s="674" t="s">
        <v>264</v>
      </c>
      <c r="E129" s="659"/>
      <c r="F129" s="666">
        <f t="shared" si="5"/>
        <v>0</v>
      </c>
      <c r="G129" s="666"/>
      <c r="H129" s="666"/>
      <c r="I129" s="666">
        <f t="shared" si="6"/>
        <v>0</v>
      </c>
      <c r="J129" s="666"/>
      <c r="K129" s="665">
        <f t="shared" si="7"/>
        <v>0</v>
      </c>
      <c r="L129" s="666">
        <f t="shared" si="8"/>
        <v>0</v>
      </c>
      <c r="M129" s="672">
        <v>0</v>
      </c>
      <c r="N129" s="668">
        <f t="shared" si="9"/>
        <v>0</v>
      </c>
      <c r="O129" s="676"/>
      <c r="P129" s="676"/>
    </row>
    <row r="130" spans="1:17" s="677" customFormat="1" ht="25.5" hidden="1" customHeight="1">
      <c r="A130" s="666"/>
      <c r="B130" s="663" t="s">
        <v>1423</v>
      </c>
      <c r="C130" s="675"/>
      <c r="D130" s="674" t="s">
        <v>264</v>
      </c>
      <c r="E130" s="659"/>
      <c r="F130" s="666">
        <f t="shared" si="5"/>
        <v>0</v>
      </c>
      <c r="G130" s="666"/>
      <c r="H130" s="666"/>
      <c r="I130" s="666">
        <f t="shared" si="6"/>
        <v>0</v>
      </c>
      <c r="J130" s="666"/>
      <c r="K130" s="665">
        <f t="shared" si="7"/>
        <v>0</v>
      </c>
      <c r="L130" s="666">
        <f t="shared" si="8"/>
        <v>0</v>
      </c>
      <c r="M130" s="672">
        <v>0</v>
      </c>
      <c r="N130" s="668">
        <f t="shared" si="9"/>
        <v>0</v>
      </c>
      <c r="O130" s="676"/>
      <c r="P130" s="676"/>
    </row>
    <row r="131" spans="1:17" s="677" customFormat="1" ht="25.5" hidden="1" customHeight="1">
      <c r="A131" s="690"/>
      <c r="B131" s="663" t="s">
        <v>1424</v>
      </c>
      <c r="C131" s="675"/>
      <c r="D131" s="674" t="s">
        <v>264</v>
      </c>
      <c r="E131" s="659"/>
      <c r="F131" s="666">
        <f t="shared" si="5"/>
        <v>0</v>
      </c>
      <c r="G131" s="666"/>
      <c r="H131" s="666"/>
      <c r="I131" s="666">
        <f t="shared" si="6"/>
        <v>0</v>
      </c>
      <c r="J131" s="666"/>
      <c r="K131" s="665">
        <f t="shared" si="7"/>
        <v>0</v>
      </c>
      <c r="L131" s="666">
        <f t="shared" si="8"/>
        <v>0</v>
      </c>
      <c r="M131" s="672">
        <v>0</v>
      </c>
      <c r="N131" s="668">
        <f t="shared" si="9"/>
        <v>0</v>
      </c>
      <c r="O131" s="676"/>
      <c r="P131" s="676"/>
    </row>
    <row r="132" spans="1:17" ht="87.75" customHeight="1">
      <c r="A132" s="692">
        <v>11.5</v>
      </c>
      <c r="B132" s="685" t="s">
        <v>1449</v>
      </c>
      <c r="C132" s="667"/>
      <c r="D132" s="663"/>
      <c r="E132" s="665"/>
      <c r="F132" s="666">
        <f t="shared" si="5"/>
        <v>0</v>
      </c>
      <c r="G132" s="666"/>
      <c r="H132" s="666"/>
      <c r="I132" s="666">
        <f t="shared" si="6"/>
        <v>0</v>
      </c>
      <c r="J132" s="666"/>
      <c r="K132" s="665">
        <f t="shared" si="7"/>
        <v>0</v>
      </c>
      <c r="L132" s="666">
        <f t="shared" si="8"/>
        <v>0</v>
      </c>
      <c r="M132" s="668">
        <v>0</v>
      </c>
      <c r="N132" s="668">
        <f t="shared" si="9"/>
        <v>0</v>
      </c>
      <c r="O132" s="678"/>
      <c r="Q132" s="679"/>
    </row>
    <row r="133" spans="1:17" ht="48.75" customHeight="1">
      <c r="A133" s="692"/>
      <c r="B133" s="663" t="s">
        <v>1420</v>
      </c>
      <c r="C133" s="667">
        <f>ROUND([8]Data!K434,2)</f>
        <v>510.1</v>
      </c>
      <c r="D133" s="663" t="s">
        <v>264</v>
      </c>
      <c r="E133" s="665">
        <f>[8]Detailed!H389</f>
        <v>8.6</v>
      </c>
      <c r="F133" s="666">
        <f t="shared" si="5"/>
        <v>4386.8599999999997</v>
      </c>
      <c r="G133" s="666"/>
      <c r="H133" s="666"/>
      <c r="I133" s="666">
        <f t="shared" si="6"/>
        <v>0</v>
      </c>
      <c r="J133" s="666"/>
      <c r="K133" s="665">
        <f t="shared" si="7"/>
        <v>8.6</v>
      </c>
      <c r="L133" s="666">
        <f t="shared" si="8"/>
        <v>4386.8599999999997</v>
      </c>
      <c r="M133" s="672">
        <v>8.6</v>
      </c>
      <c r="N133" s="668">
        <f t="shared" si="9"/>
        <v>0</v>
      </c>
    </row>
    <row r="134" spans="1:17" ht="42" customHeight="1">
      <c r="A134" s="692"/>
      <c r="B134" s="663" t="s">
        <v>1421</v>
      </c>
      <c r="C134" s="667">
        <f>ROUND([8]Data!K435,2)</f>
        <v>519.70000000000005</v>
      </c>
      <c r="D134" s="663" t="s">
        <v>264</v>
      </c>
      <c r="E134" s="665">
        <f>[8]Detailed!H398</f>
        <v>21.8</v>
      </c>
      <c r="F134" s="666">
        <f t="shared" si="5"/>
        <v>11329.460000000001</v>
      </c>
      <c r="G134" s="666"/>
      <c r="H134" s="666"/>
      <c r="I134" s="666">
        <f t="shared" si="6"/>
        <v>0</v>
      </c>
      <c r="J134" s="666"/>
      <c r="K134" s="665">
        <f t="shared" si="7"/>
        <v>21.8</v>
      </c>
      <c r="L134" s="666">
        <f t="shared" si="8"/>
        <v>11329.460000000001</v>
      </c>
      <c r="M134" s="672">
        <v>21.8</v>
      </c>
      <c r="N134" s="668">
        <f t="shared" si="9"/>
        <v>0</v>
      </c>
    </row>
    <row r="135" spans="1:17" ht="42" hidden="1" customHeight="1">
      <c r="A135" s="692"/>
      <c r="B135" s="663" t="s">
        <v>1422</v>
      </c>
      <c r="C135" s="667">
        <f>ROUND([8]Data!K436,2)</f>
        <v>529.29999999999995</v>
      </c>
      <c r="D135" s="663" t="s">
        <v>264</v>
      </c>
      <c r="E135" s="1403"/>
      <c r="F135" s="666">
        <f t="shared" ref="F135:F198" si="10">E135*C135</f>
        <v>0</v>
      </c>
      <c r="G135" s="666"/>
      <c r="H135" s="666"/>
      <c r="I135" s="666">
        <f t="shared" ref="I135:I198" si="11">G135</f>
        <v>0</v>
      </c>
      <c r="J135" s="666"/>
      <c r="K135" s="665">
        <f t="shared" ref="K135:K198" si="12">E135</f>
        <v>0</v>
      </c>
      <c r="L135" s="666">
        <f t="shared" ref="L135:L198" si="13">C135*K135</f>
        <v>0</v>
      </c>
      <c r="M135" s="672">
        <v>0</v>
      </c>
      <c r="N135" s="668">
        <f t="shared" ref="N135:N198" si="14">K135-M135</f>
        <v>0</v>
      </c>
    </row>
    <row r="136" spans="1:17" ht="42" hidden="1" customHeight="1">
      <c r="A136" s="692"/>
      <c r="B136" s="663" t="s">
        <v>1423</v>
      </c>
      <c r="C136" s="667">
        <f>ROUND([8]Data!K437,2)</f>
        <v>538.9</v>
      </c>
      <c r="D136" s="663" t="s">
        <v>264</v>
      </c>
      <c r="E136" s="665"/>
      <c r="F136" s="666">
        <f t="shared" si="10"/>
        <v>0</v>
      </c>
      <c r="G136" s="666"/>
      <c r="H136" s="666"/>
      <c r="I136" s="666">
        <f t="shared" si="11"/>
        <v>0</v>
      </c>
      <c r="J136" s="666"/>
      <c r="K136" s="665">
        <f t="shared" si="12"/>
        <v>0</v>
      </c>
      <c r="L136" s="666">
        <f t="shared" si="13"/>
        <v>0</v>
      </c>
      <c r="M136" s="672">
        <v>0</v>
      </c>
      <c r="N136" s="668">
        <f t="shared" si="14"/>
        <v>0</v>
      </c>
    </row>
    <row r="137" spans="1:17" s="677" customFormat="1" ht="25.5" hidden="1" customHeight="1">
      <c r="A137" s="694"/>
      <c r="B137" s="663" t="s">
        <v>1424</v>
      </c>
      <c r="C137" s="675">
        <f>ROUND([8]Data!K438,2)</f>
        <v>548.5</v>
      </c>
      <c r="D137" s="674" t="s">
        <v>264</v>
      </c>
      <c r="E137" s="659"/>
      <c r="F137" s="666">
        <f t="shared" si="10"/>
        <v>0</v>
      </c>
      <c r="G137" s="666"/>
      <c r="H137" s="666"/>
      <c r="I137" s="666">
        <f t="shared" si="11"/>
        <v>0</v>
      </c>
      <c r="J137" s="666"/>
      <c r="K137" s="665">
        <f t="shared" si="12"/>
        <v>0</v>
      </c>
      <c r="L137" s="666">
        <f t="shared" si="13"/>
        <v>0</v>
      </c>
      <c r="M137" s="672">
        <v>0</v>
      </c>
      <c r="N137" s="668">
        <f t="shared" si="14"/>
        <v>0</v>
      </c>
      <c r="O137" s="676"/>
      <c r="P137" s="676"/>
    </row>
    <row r="138" spans="1:17" s="677" customFormat="1" ht="69.75" hidden="1" customHeight="1">
      <c r="A138" s="692">
        <v>11.6</v>
      </c>
      <c r="B138" s="685" t="s">
        <v>1450</v>
      </c>
      <c r="C138" s="675"/>
      <c r="D138" s="674"/>
      <c r="E138" s="659"/>
      <c r="F138" s="666">
        <f t="shared" si="10"/>
        <v>0</v>
      </c>
      <c r="G138" s="666"/>
      <c r="H138" s="666"/>
      <c r="I138" s="666">
        <f t="shared" si="11"/>
        <v>0</v>
      </c>
      <c r="J138" s="666"/>
      <c r="K138" s="665">
        <f t="shared" si="12"/>
        <v>0</v>
      </c>
      <c r="L138" s="666">
        <f t="shared" si="13"/>
        <v>0</v>
      </c>
      <c r="M138" s="672">
        <v>0</v>
      </c>
      <c r="N138" s="668">
        <f t="shared" si="14"/>
        <v>0</v>
      </c>
      <c r="O138" s="676"/>
      <c r="P138" s="676"/>
    </row>
    <row r="139" spans="1:17" s="677" customFormat="1" ht="25.5" hidden="1" customHeight="1">
      <c r="A139" s="692"/>
      <c r="B139" s="663" t="s">
        <v>1420</v>
      </c>
      <c r="C139" s="675"/>
      <c r="D139" s="674" t="s">
        <v>264</v>
      </c>
      <c r="E139" s="659"/>
      <c r="F139" s="666">
        <f t="shared" si="10"/>
        <v>0</v>
      </c>
      <c r="G139" s="666"/>
      <c r="H139" s="666"/>
      <c r="I139" s="666">
        <f t="shared" si="11"/>
        <v>0</v>
      </c>
      <c r="J139" s="666"/>
      <c r="K139" s="665">
        <f t="shared" si="12"/>
        <v>0</v>
      </c>
      <c r="L139" s="666">
        <f t="shared" si="13"/>
        <v>0</v>
      </c>
      <c r="M139" s="672">
        <v>0</v>
      </c>
      <c r="N139" s="668">
        <f t="shared" si="14"/>
        <v>0</v>
      </c>
      <c r="O139" s="676"/>
      <c r="P139" s="676"/>
    </row>
    <row r="140" spans="1:17" s="677" customFormat="1" ht="25.5" hidden="1" customHeight="1">
      <c r="A140" s="692"/>
      <c r="B140" s="663" t="s">
        <v>1421</v>
      </c>
      <c r="C140" s="675"/>
      <c r="D140" s="674" t="s">
        <v>264</v>
      </c>
      <c r="E140" s="659"/>
      <c r="F140" s="666">
        <f t="shared" si="10"/>
        <v>0</v>
      </c>
      <c r="G140" s="666"/>
      <c r="H140" s="666"/>
      <c r="I140" s="666">
        <f t="shared" si="11"/>
        <v>0</v>
      </c>
      <c r="J140" s="666"/>
      <c r="K140" s="665">
        <f t="shared" si="12"/>
        <v>0</v>
      </c>
      <c r="L140" s="666">
        <f t="shared" si="13"/>
        <v>0</v>
      </c>
      <c r="M140" s="672">
        <v>0</v>
      </c>
      <c r="N140" s="668">
        <f t="shared" si="14"/>
        <v>0</v>
      </c>
      <c r="O140" s="676"/>
      <c r="P140" s="676"/>
    </row>
    <row r="141" spans="1:17" s="677" customFormat="1" ht="25.5" hidden="1" customHeight="1">
      <c r="A141" s="692"/>
      <c r="B141" s="663" t="s">
        <v>1422</v>
      </c>
      <c r="C141" s="675"/>
      <c r="D141" s="674" t="s">
        <v>264</v>
      </c>
      <c r="E141" s="659"/>
      <c r="F141" s="666">
        <f t="shared" si="10"/>
        <v>0</v>
      </c>
      <c r="G141" s="666"/>
      <c r="H141" s="666"/>
      <c r="I141" s="666">
        <f t="shared" si="11"/>
        <v>0</v>
      </c>
      <c r="J141" s="666"/>
      <c r="K141" s="665">
        <f t="shared" si="12"/>
        <v>0</v>
      </c>
      <c r="L141" s="666">
        <f t="shared" si="13"/>
        <v>0</v>
      </c>
      <c r="M141" s="672">
        <v>0</v>
      </c>
      <c r="N141" s="668">
        <f t="shared" si="14"/>
        <v>0</v>
      </c>
      <c r="O141" s="676"/>
      <c r="P141" s="676"/>
    </row>
    <row r="142" spans="1:17" s="677" customFormat="1" ht="25.5" hidden="1" customHeight="1">
      <c r="A142" s="692"/>
      <c r="B142" s="663" t="s">
        <v>1423</v>
      </c>
      <c r="C142" s="675"/>
      <c r="D142" s="674" t="s">
        <v>264</v>
      </c>
      <c r="E142" s="659"/>
      <c r="F142" s="666">
        <f t="shared" si="10"/>
        <v>0</v>
      </c>
      <c r="G142" s="666"/>
      <c r="H142" s="666"/>
      <c r="I142" s="666">
        <f t="shared" si="11"/>
        <v>0</v>
      </c>
      <c r="J142" s="666"/>
      <c r="K142" s="665">
        <f t="shared" si="12"/>
        <v>0</v>
      </c>
      <c r="L142" s="666">
        <f t="shared" si="13"/>
        <v>0</v>
      </c>
      <c r="M142" s="672">
        <v>0</v>
      </c>
      <c r="N142" s="668">
        <f t="shared" si="14"/>
        <v>0</v>
      </c>
      <c r="O142" s="676"/>
      <c r="P142" s="676"/>
    </row>
    <row r="143" spans="1:17" s="677" customFormat="1" ht="7.5" hidden="1" customHeight="1">
      <c r="A143" s="694"/>
      <c r="B143" s="663" t="s">
        <v>1424</v>
      </c>
      <c r="C143" s="675"/>
      <c r="D143" s="674" t="s">
        <v>264</v>
      </c>
      <c r="E143" s="659"/>
      <c r="F143" s="666">
        <f t="shared" si="10"/>
        <v>0</v>
      </c>
      <c r="G143" s="666"/>
      <c r="H143" s="666"/>
      <c r="I143" s="666">
        <f t="shared" si="11"/>
        <v>0</v>
      </c>
      <c r="J143" s="666"/>
      <c r="K143" s="665">
        <f t="shared" si="12"/>
        <v>0</v>
      </c>
      <c r="L143" s="666">
        <f t="shared" si="13"/>
        <v>0</v>
      </c>
      <c r="M143" s="672">
        <v>0</v>
      </c>
      <c r="N143" s="668">
        <f t="shared" si="14"/>
        <v>0</v>
      </c>
      <c r="O143" s="676"/>
      <c r="P143" s="676"/>
    </row>
    <row r="144" spans="1:17" ht="76.5" customHeight="1">
      <c r="A144" s="662">
        <v>12.1</v>
      </c>
      <c r="B144" s="685" t="s">
        <v>1451</v>
      </c>
      <c r="C144" s="667"/>
      <c r="D144" s="685"/>
      <c r="E144" s="1404"/>
      <c r="F144" s="666">
        <f t="shared" si="10"/>
        <v>0</v>
      </c>
      <c r="G144" s="666"/>
      <c r="H144" s="666"/>
      <c r="I144" s="666">
        <f t="shared" si="11"/>
        <v>0</v>
      </c>
      <c r="J144" s="666"/>
      <c r="K144" s="665">
        <f t="shared" si="12"/>
        <v>0</v>
      </c>
      <c r="L144" s="666">
        <f t="shared" si="13"/>
        <v>0</v>
      </c>
      <c r="M144" s="668">
        <v>0</v>
      </c>
      <c r="N144" s="668">
        <f t="shared" si="14"/>
        <v>0</v>
      </c>
      <c r="O144" s="678"/>
      <c r="Q144" s="679"/>
    </row>
    <row r="145" spans="1:16" s="683" customFormat="1" ht="43.5" customHeight="1">
      <c r="A145" s="666"/>
      <c r="B145" s="663" t="s">
        <v>1420</v>
      </c>
      <c r="C145" s="667">
        <f>ROUND([8]Data!K467,2)</f>
        <v>371.33</v>
      </c>
      <c r="D145" s="663" t="s">
        <v>264</v>
      </c>
      <c r="E145" s="665">
        <f>[8]Detailed!H403</f>
        <v>7.4</v>
      </c>
      <c r="F145" s="666">
        <f t="shared" si="10"/>
        <v>2747.8420000000001</v>
      </c>
      <c r="G145" s="666"/>
      <c r="H145" s="666"/>
      <c r="I145" s="666">
        <f t="shared" si="11"/>
        <v>0</v>
      </c>
      <c r="J145" s="666"/>
      <c r="K145" s="665">
        <f t="shared" si="12"/>
        <v>7.4</v>
      </c>
      <c r="L145" s="666">
        <f t="shared" si="13"/>
        <v>2747.8420000000001</v>
      </c>
      <c r="M145" s="672">
        <v>7.4</v>
      </c>
      <c r="N145" s="668">
        <f t="shared" si="14"/>
        <v>0</v>
      </c>
      <c r="O145" s="669"/>
      <c r="P145" s="669"/>
    </row>
    <row r="146" spans="1:16" s="683" customFormat="1" ht="43.5" customHeight="1">
      <c r="A146" s="666"/>
      <c r="B146" s="663" t="s">
        <v>1421</v>
      </c>
      <c r="C146" s="667">
        <f>ROUND([8]Data!K468,2)</f>
        <v>378.19</v>
      </c>
      <c r="D146" s="663" t="s">
        <v>264</v>
      </c>
      <c r="E146" s="665">
        <f>[8]Detailed!H409</f>
        <v>9</v>
      </c>
      <c r="F146" s="666">
        <f t="shared" si="10"/>
        <v>3403.71</v>
      </c>
      <c r="G146" s="666"/>
      <c r="H146" s="666"/>
      <c r="I146" s="666">
        <f t="shared" si="11"/>
        <v>0</v>
      </c>
      <c r="J146" s="666"/>
      <c r="K146" s="665">
        <f t="shared" si="12"/>
        <v>9</v>
      </c>
      <c r="L146" s="666">
        <f t="shared" si="13"/>
        <v>3403.71</v>
      </c>
      <c r="M146" s="672">
        <v>9</v>
      </c>
      <c r="N146" s="668">
        <f t="shared" si="14"/>
        <v>0</v>
      </c>
      <c r="O146" s="669"/>
      <c r="P146" s="669"/>
    </row>
    <row r="147" spans="1:16" s="683" customFormat="1" ht="43.5" hidden="1" customHeight="1">
      <c r="A147" s="666"/>
      <c r="B147" s="663" t="s">
        <v>1422</v>
      </c>
      <c r="C147" s="667">
        <f>ROUND([8]Data!K469,2)</f>
        <v>385.05</v>
      </c>
      <c r="D147" s="663" t="s">
        <v>264</v>
      </c>
      <c r="E147" s="665"/>
      <c r="F147" s="666">
        <f t="shared" si="10"/>
        <v>0</v>
      </c>
      <c r="G147" s="666"/>
      <c r="H147" s="666"/>
      <c r="I147" s="666">
        <f t="shared" si="11"/>
        <v>0</v>
      </c>
      <c r="J147" s="666"/>
      <c r="K147" s="665">
        <f t="shared" si="12"/>
        <v>0</v>
      </c>
      <c r="L147" s="666">
        <f t="shared" si="13"/>
        <v>0</v>
      </c>
      <c r="M147" s="672">
        <v>0</v>
      </c>
      <c r="N147" s="668">
        <f t="shared" si="14"/>
        <v>0</v>
      </c>
      <c r="O147" s="669"/>
      <c r="P147" s="669"/>
    </row>
    <row r="148" spans="1:16" s="683" customFormat="1" ht="43.5" hidden="1" customHeight="1">
      <c r="A148" s="666"/>
      <c r="B148" s="663" t="s">
        <v>1423</v>
      </c>
      <c r="C148" s="667">
        <f>ROUND([8]Data!K470,2)</f>
        <v>391.91</v>
      </c>
      <c r="D148" s="663" t="s">
        <v>264</v>
      </c>
      <c r="E148" s="1402"/>
      <c r="F148" s="666">
        <f t="shared" si="10"/>
        <v>0</v>
      </c>
      <c r="G148" s="666"/>
      <c r="H148" s="666"/>
      <c r="I148" s="666">
        <f t="shared" si="11"/>
        <v>0</v>
      </c>
      <c r="J148" s="666"/>
      <c r="K148" s="665">
        <f t="shared" si="12"/>
        <v>0</v>
      </c>
      <c r="L148" s="666">
        <f t="shared" si="13"/>
        <v>0</v>
      </c>
      <c r="M148" s="672">
        <v>0</v>
      </c>
      <c r="N148" s="668">
        <f t="shared" si="14"/>
        <v>0</v>
      </c>
      <c r="O148" s="669"/>
      <c r="P148" s="669"/>
    </row>
    <row r="149" spans="1:16" s="677" customFormat="1" ht="43.5" hidden="1" customHeight="1">
      <c r="A149" s="690"/>
      <c r="B149" s="663" t="s">
        <v>1424</v>
      </c>
      <c r="C149" s="667">
        <f>ROUND([8]Data!K471,2)</f>
        <v>398.77</v>
      </c>
      <c r="D149" s="663" t="s">
        <v>264</v>
      </c>
      <c r="E149" s="1402"/>
      <c r="F149" s="666">
        <f t="shared" si="10"/>
        <v>0</v>
      </c>
      <c r="G149" s="666"/>
      <c r="H149" s="666"/>
      <c r="I149" s="666">
        <f t="shared" si="11"/>
        <v>0</v>
      </c>
      <c r="J149" s="666"/>
      <c r="K149" s="665">
        <f t="shared" si="12"/>
        <v>0</v>
      </c>
      <c r="L149" s="666">
        <f t="shared" si="13"/>
        <v>0</v>
      </c>
      <c r="M149" s="672">
        <v>0</v>
      </c>
      <c r="N149" s="668">
        <f t="shared" si="14"/>
        <v>0</v>
      </c>
      <c r="O149" s="676"/>
      <c r="P149" s="676"/>
    </row>
    <row r="150" spans="1:16" s="677" customFormat="1" ht="69.75" hidden="1" customHeight="1">
      <c r="A150" s="662">
        <v>12.2</v>
      </c>
      <c r="B150" s="663" t="s">
        <v>1452</v>
      </c>
      <c r="C150" s="675"/>
      <c r="D150" s="695"/>
      <c r="E150" s="1405"/>
      <c r="F150" s="666">
        <f t="shared" si="10"/>
        <v>0</v>
      </c>
      <c r="G150" s="666"/>
      <c r="H150" s="666"/>
      <c r="I150" s="666">
        <f t="shared" si="11"/>
        <v>0</v>
      </c>
      <c r="J150" s="666"/>
      <c r="K150" s="665">
        <f t="shared" si="12"/>
        <v>0</v>
      </c>
      <c r="L150" s="666">
        <f t="shared" si="13"/>
        <v>0</v>
      </c>
      <c r="M150" s="672">
        <v>0</v>
      </c>
      <c r="N150" s="668">
        <f t="shared" si="14"/>
        <v>0</v>
      </c>
      <c r="O150" s="676"/>
      <c r="P150" s="676"/>
    </row>
    <row r="151" spans="1:16" s="677" customFormat="1" ht="25.5" hidden="1" customHeight="1">
      <c r="A151" s="666"/>
      <c r="B151" s="663" t="s">
        <v>1420</v>
      </c>
      <c r="C151" s="675"/>
      <c r="D151" s="674" t="s">
        <v>264</v>
      </c>
      <c r="E151" s="659"/>
      <c r="F151" s="666">
        <f t="shared" si="10"/>
        <v>0</v>
      </c>
      <c r="G151" s="666"/>
      <c r="H151" s="666"/>
      <c r="I151" s="666">
        <f t="shared" si="11"/>
        <v>0</v>
      </c>
      <c r="J151" s="666"/>
      <c r="K151" s="665">
        <f t="shared" si="12"/>
        <v>0</v>
      </c>
      <c r="L151" s="666">
        <f t="shared" si="13"/>
        <v>0</v>
      </c>
      <c r="M151" s="672">
        <v>0</v>
      </c>
      <c r="N151" s="668">
        <f t="shared" si="14"/>
        <v>0</v>
      </c>
      <c r="O151" s="676"/>
      <c r="P151" s="676"/>
    </row>
    <row r="152" spans="1:16" s="677" customFormat="1" ht="25.5" hidden="1" customHeight="1">
      <c r="A152" s="666"/>
      <c r="B152" s="663" t="s">
        <v>1421</v>
      </c>
      <c r="C152" s="675"/>
      <c r="D152" s="674" t="s">
        <v>264</v>
      </c>
      <c r="E152" s="659"/>
      <c r="F152" s="666">
        <f t="shared" si="10"/>
        <v>0</v>
      </c>
      <c r="G152" s="666"/>
      <c r="H152" s="666"/>
      <c r="I152" s="666">
        <f t="shared" si="11"/>
        <v>0</v>
      </c>
      <c r="J152" s="666"/>
      <c r="K152" s="665">
        <f t="shared" si="12"/>
        <v>0</v>
      </c>
      <c r="L152" s="666">
        <f t="shared" si="13"/>
        <v>0</v>
      </c>
      <c r="M152" s="672">
        <v>0</v>
      </c>
      <c r="N152" s="668">
        <f t="shared" si="14"/>
        <v>0</v>
      </c>
      <c r="O152" s="676"/>
      <c r="P152" s="676"/>
    </row>
    <row r="153" spans="1:16" s="677" customFormat="1" ht="25.5" hidden="1" customHeight="1">
      <c r="A153" s="666"/>
      <c r="B153" s="663" t="s">
        <v>1422</v>
      </c>
      <c r="C153" s="675"/>
      <c r="D153" s="674" t="s">
        <v>264</v>
      </c>
      <c r="E153" s="659"/>
      <c r="F153" s="666">
        <f t="shared" si="10"/>
        <v>0</v>
      </c>
      <c r="G153" s="666"/>
      <c r="H153" s="666"/>
      <c r="I153" s="666">
        <f t="shared" si="11"/>
        <v>0</v>
      </c>
      <c r="J153" s="666"/>
      <c r="K153" s="665">
        <f t="shared" si="12"/>
        <v>0</v>
      </c>
      <c r="L153" s="666">
        <f t="shared" si="13"/>
        <v>0</v>
      </c>
      <c r="M153" s="672">
        <v>0</v>
      </c>
      <c r="N153" s="668">
        <f t="shared" si="14"/>
        <v>0</v>
      </c>
      <c r="O153" s="676"/>
      <c r="P153" s="676"/>
    </row>
    <row r="154" spans="1:16" s="677" customFormat="1" ht="25.5" hidden="1" customHeight="1">
      <c r="A154" s="666"/>
      <c r="B154" s="663" t="s">
        <v>1423</v>
      </c>
      <c r="C154" s="675"/>
      <c r="D154" s="674" t="s">
        <v>264</v>
      </c>
      <c r="E154" s="659"/>
      <c r="F154" s="666">
        <f t="shared" si="10"/>
        <v>0</v>
      </c>
      <c r="G154" s="666"/>
      <c r="H154" s="666"/>
      <c r="I154" s="666">
        <f t="shared" si="11"/>
        <v>0</v>
      </c>
      <c r="J154" s="666"/>
      <c r="K154" s="665">
        <f t="shared" si="12"/>
        <v>0</v>
      </c>
      <c r="L154" s="666">
        <f t="shared" si="13"/>
        <v>0</v>
      </c>
      <c r="M154" s="672">
        <v>0</v>
      </c>
      <c r="N154" s="668">
        <f t="shared" si="14"/>
        <v>0</v>
      </c>
      <c r="O154" s="676"/>
      <c r="P154" s="676"/>
    </row>
    <row r="155" spans="1:16" s="677" customFormat="1" ht="25.5" hidden="1" customHeight="1">
      <c r="A155" s="690"/>
      <c r="B155" s="663" t="s">
        <v>1424</v>
      </c>
      <c r="C155" s="675"/>
      <c r="D155" s="674" t="s">
        <v>264</v>
      </c>
      <c r="E155" s="659"/>
      <c r="F155" s="666">
        <f t="shared" si="10"/>
        <v>0</v>
      </c>
      <c r="G155" s="666"/>
      <c r="H155" s="666"/>
      <c r="I155" s="666">
        <f t="shared" si="11"/>
        <v>0</v>
      </c>
      <c r="J155" s="666"/>
      <c r="K155" s="665">
        <f t="shared" si="12"/>
        <v>0</v>
      </c>
      <c r="L155" s="666">
        <f t="shared" si="13"/>
        <v>0</v>
      </c>
      <c r="M155" s="672">
        <v>0</v>
      </c>
      <c r="N155" s="668">
        <f t="shared" si="14"/>
        <v>0</v>
      </c>
      <c r="O155" s="676"/>
      <c r="P155" s="676"/>
    </row>
    <row r="156" spans="1:16" s="677" customFormat="1" ht="25.5" hidden="1" customHeight="1">
      <c r="A156" s="690"/>
      <c r="B156" s="663"/>
      <c r="C156" s="675"/>
      <c r="D156" s="674"/>
      <c r="E156" s="659"/>
      <c r="F156" s="666">
        <f t="shared" si="10"/>
        <v>0</v>
      </c>
      <c r="G156" s="666"/>
      <c r="H156" s="666"/>
      <c r="I156" s="666">
        <f t="shared" si="11"/>
        <v>0</v>
      </c>
      <c r="J156" s="666"/>
      <c r="K156" s="665">
        <f t="shared" si="12"/>
        <v>0</v>
      </c>
      <c r="L156" s="666">
        <f t="shared" si="13"/>
        <v>0</v>
      </c>
      <c r="M156" s="672">
        <v>0</v>
      </c>
      <c r="N156" s="668">
        <f t="shared" si="14"/>
        <v>0</v>
      </c>
      <c r="O156" s="676"/>
      <c r="P156" s="676"/>
    </row>
    <row r="157" spans="1:16" s="683" customFormat="1" ht="46.5" customHeight="1">
      <c r="A157" s="662">
        <v>13.1</v>
      </c>
      <c r="B157" s="663" t="s">
        <v>809</v>
      </c>
      <c r="C157" s="667">
        <f>ROUND([8]Data!K482,2)</f>
        <v>33.6</v>
      </c>
      <c r="D157" s="663" t="s">
        <v>235</v>
      </c>
      <c r="E157" s="665">
        <f>[8]Detailed!H415</f>
        <v>39.5</v>
      </c>
      <c r="F157" s="666">
        <f t="shared" si="10"/>
        <v>1327.2</v>
      </c>
      <c r="G157" s="666"/>
      <c r="H157" s="666"/>
      <c r="I157" s="666">
        <f t="shared" si="11"/>
        <v>0</v>
      </c>
      <c r="J157" s="666"/>
      <c r="K157" s="665">
        <f t="shared" si="12"/>
        <v>39.5</v>
      </c>
      <c r="L157" s="666">
        <f t="shared" si="13"/>
        <v>1327.2</v>
      </c>
      <c r="M157" s="672">
        <v>48.9</v>
      </c>
      <c r="N157" s="668">
        <f t="shared" si="14"/>
        <v>-9.3999999999999986</v>
      </c>
      <c r="O157" s="669"/>
      <c r="P157" s="669"/>
    </row>
    <row r="158" spans="1:16" s="677" customFormat="1" ht="33.75" hidden="1" customHeight="1">
      <c r="A158" s="662">
        <v>13.2</v>
      </c>
      <c r="B158" s="663" t="s">
        <v>1453</v>
      </c>
      <c r="C158" s="675"/>
      <c r="D158" s="674" t="s">
        <v>235</v>
      </c>
      <c r="E158" s="659"/>
      <c r="F158" s="666">
        <f t="shared" si="10"/>
        <v>0</v>
      </c>
      <c r="G158" s="666"/>
      <c r="H158" s="666"/>
      <c r="I158" s="666">
        <f t="shared" si="11"/>
        <v>0</v>
      </c>
      <c r="J158" s="666"/>
      <c r="K158" s="665">
        <f t="shared" si="12"/>
        <v>0</v>
      </c>
      <c r="L158" s="666">
        <f t="shared" si="13"/>
        <v>0</v>
      </c>
      <c r="M158" s="672">
        <v>0</v>
      </c>
      <c r="N158" s="668">
        <f t="shared" si="14"/>
        <v>0</v>
      </c>
      <c r="O158" s="676"/>
      <c r="P158" s="676"/>
    </row>
    <row r="159" spans="1:16" s="682" customFormat="1" ht="60.75" hidden="1" customHeight="1">
      <c r="A159" s="666" t="s">
        <v>1454</v>
      </c>
      <c r="B159" s="685" t="s">
        <v>1455</v>
      </c>
      <c r="C159" s="675"/>
      <c r="D159" s="674"/>
      <c r="E159" s="659"/>
      <c r="F159" s="666">
        <f t="shared" si="10"/>
        <v>0</v>
      </c>
      <c r="G159" s="666"/>
      <c r="H159" s="666"/>
      <c r="I159" s="666">
        <f t="shared" si="11"/>
        <v>0</v>
      </c>
      <c r="J159" s="666"/>
      <c r="K159" s="665">
        <f t="shared" si="12"/>
        <v>0</v>
      </c>
      <c r="L159" s="666">
        <f t="shared" si="13"/>
        <v>0</v>
      </c>
      <c r="M159" s="672">
        <v>0</v>
      </c>
      <c r="N159" s="668">
        <f t="shared" si="14"/>
        <v>0</v>
      </c>
      <c r="O159" s="680"/>
      <c r="P159" s="681"/>
    </row>
    <row r="160" spans="1:16" s="682" customFormat="1" ht="50.25" hidden="1" customHeight="1">
      <c r="A160" s="666"/>
      <c r="B160" s="663" t="s">
        <v>1405</v>
      </c>
      <c r="C160" s="675">
        <f>ROUND([8]Data!K535,2)</f>
        <v>1290.54</v>
      </c>
      <c r="D160" s="674" t="s">
        <v>264</v>
      </c>
      <c r="E160" s="659"/>
      <c r="F160" s="666">
        <f t="shared" si="10"/>
        <v>0</v>
      </c>
      <c r="G160" s="666"/>
      <c r="H160" s="666"/>
      <c r="I160" s="666">
        <f t="shared" si="11"/>
        <v>0</v>
      </c>
      <c r="J160" s="666"/>
      <c r="K160" s="665">
        <f t="shared" si="12"/>
        <v>0</v>
      </c>
      <c r="L160" s="666">
        <f t="shared" si="13"/>
        <v>0</v>
      </c>
      <c r="M160" s="672">
        <v>0</v>
      </c>
      <c r="N160" s="668">
        <f t="shared" si="14"/>
        <v>0</v>
      </c>
      <c r="O160" s="680"/>
      <c r="P160" s="681"/>
    </row>
    <row r="161" spans="1:16" s="682" customFormat="1" ht="50.25" hidden="1" customHeight="1">
      <c r="A161" s="666"/>
      <c r="B161" s="663" t="s">
        <v>1406</v>
      </c>
      <c r="C161" s="675">
        <f>ROUND([8]Data!K536,2)</f>
        <v>1294.6500000000001</v>
      </c>
      <c r="D161" s="674" t="s">
        <v>264</v>
      </c>
      <c r="E161" s="659"/>
      <c r="F161" s="666">
        <f t="shared" si="10"/>
        <v>0</v>
      </c>
      <c r="G161" s="666"/>
      <c r="H161" s="666"/>
      <c r="I161" s="666">
        <f t="shared" si="11"/>
        <v>0</v>
      </c>
      <c r="J161" s="666"/>
      <c r="K161" s="665">
        <f t="shared" si="12"/>
        <v>0</v>
      </c>
      <c r="L161" s="666">
        <f t="shared" si="13"/>
        <v>0</v>
      </c>
      <c r="M161" s="672">
        <v>0</v>
      </c>
      <c r="N161" s="668">
        <f t="shared" si="14"/>
        <v>0</v>
      </c>
      <c r="O161" s="680"/>
      <c r="P161" s="681"/>
    </row>
    <row r="162" spans="1:16" s="682" customFormat="1" ht="50.25" hidden="1" customHeight="1">
      <c r="A162" s="666"/>
      <c r="B162" s="663" t="s">
        <v>1407</v>
      </c>
      <c r="C162" s="675">
        <f>ROUND([8]Data!K537,2)</f>
        <v>1298.76</v>
      </c>
      <c r="D162" s="674" t="s">
        <v>264</v>
      </c>
      <c r="E162" s="659"/>
      <c r="F162" s="666">
        <f t="shared" si="10"/>
        <v>0</v>
      </c>
      <c r="G162" s="666"/>
      <c r="H162" s="666"/>
      <c r="I162" s="666">
        <f t="shared" si="11"/>
        <v>0</v>
      </c>
      <c r="J162" s="666"/>
      <c r="K162" s="665">
        <f t="shared" si="12"/>
        <v>0</v>
      </c>
      <c r="L162" s="666">
        <f t="shared" si="13"/>
        <v>0</v>
      </c>
      <c r="M162" s="672">
        <v>0</v>
      </c>
      <c r="N162" s="668">
        <f t="shared" si="14"/>
        <v>0</v>
      </c>
      <c r="O162" s="680"/>
      <c r="P162" s="681"/>
    </row>
    <row r="163" spans="1:16" s="682" customFormat="1" ht="50.25" hidden="1" customHeight="1">
      <c r="A163" s="666"/>
      <c r="B163" s="663" t="s">
        <v>1408</v>
      </c>
      <c r="C163" s="675">
        <f>ROUND([8]Data!K538,2)</f>
        <v>1302.8699999999999</v>
      </c>
      <c r="D163" s="674" t="s">
        <v>264</v>
      </c>
      <c r="E163" s="659"/>
      <c r="F163" s="666">
        <f t="shared" si="10"/>
        <v>0</v>
      </c>
      <c r="G163" s="666"/>
      <c r="H163" s="666"/>
      <c r="I163" s="666">
        <f t="shared" si="11"/>
        <v>0</v>
      </c>
      <c r="J163" s="666"/>
      <c r="K163" s="665">
        <f t="shared" si="12"/>
        <v>0</v>
      </c>
      <c r="L163" s="666">
        <f t="shared" si="13"/>
        <v>0</v>
      </c>
      <c r="M163" s="672">
        <v>0</v>
      </c>
      <c r="N163" s="668">
        <f t="shared" si="14"/>
        <v>0</v>
      </c>
      <c r="O163" s="680"/>
      <c r="P163" s="681"/>
    </row>
    <row r="164" spans="1:16" s="677" customFormat="1" ht="41.25" hidden="1" customHeight="1">
      <c r="A164" s="690"/>
      <c r="B164" s="663" t="s">
        <v>1409</v>
      </c>
      <c r="C164" s="675">
        <f>ROUND([8]Data!K539,2)</f>
        <v>1306.98</v>
      </c>
      <c r="D164" s="674" t="s">
        <v>264</v>
      </c>
      <c r="E164" s="659"/>
      <c r="F164" s="666">
        <f t="shared" si="10"/>
        <v>0</v>
      </c>
      <c r="G164" s="666"/>
      <c r="H164" s="666"/>
      <c r="I164" s="666">
        <f t="shared" si="11"/>
        <v>0</v>
      </c>
      <c r="J164" s="666"/>
      <c r="K164" s="665">
        <f t="shared" si="12"/>
        <v>0</v>
      </c>
      <c r="L164" s="666">
        <f t="shared" si="13"/>
        <v>0</v>
      </c>
      <c r="M164" s="672">
        <v>0</v>
      </c>
      <c r="N164" s="668">
        <f t="shared" si="14"/>
        <v>0</v>
      </c>
      <c r="O164" s="676"/>
      <c r="P164" s="676"/>
    </row>
    <row r="165" spans="1:16" s="677" customFormat="1" ht="41.25" hidden="1" customHeight="1">
      <c r="A165" s="690"/>
      <c r="B165" s="663" t="s">
        <v>1411</v>
      </c>
      <c r="C165" s="675">
        <f>ROUND([8]Data!K540,2)</f>
        <v>1311.09</v>
      </c>
      <c r="D165" s="674" t="s">
        <v>264</v>
      </c>
      <c r="E165" s="659"/>
      <c r="F165" s="666">
        <f t="shared" si="10"/>
        <v>0</v>
      </c>
      <c r="G165" s="666"/>
      <c r="H165" s="666"/>
      <c r="I165" s="666">
        <f t="shared" si="11"/>
        <v>0</v>
      </c>
      <c r="J165" s="666"/>
      <c r="K165" s="665">
        <f t="shared" si="12"/>
        <v>0</v>
      </c>
      <c r="L165" s="666">
        <f t="shared" si="13"/>
        <v>0</v>
      </c>
      <c r="M165" s="672">
        <v>0</v>
      </c>
      <c r="N165" s="668">
        <f t="shared" si="14"/>
        <v>0</v>
      </c>
      <c r="O165" s="676"/>
      <c r="P165" s="676"/>
    </row>
    <row r="166" spans="1:16" s="677" customFormat="1" ht="41.25" hidden="1" customHeight="1">
      <c r="A166" s="690"/>
      <c r="B166" s="663" t="s">
        <v>1412</v>
      </c>
      <c r="C166" s="675">
        <f>ROUND([8]Data!K541,2)</f>
        <v>1315.2</v>
      </c>
      <c r="D166" s="674" t="s">
        <v>264</v>
      </c>
      <c r="E166" s="659"/>
      <c r="F166" s="666">
        <f t="shared" si="10"/>
        <v>0</v>
      </c>
      <c r="G166" s="666"/>
      <c r="H166" s="666"/>
      <c r="I166" s="666">
        <f t="shared" si="11"/>
        <v>0</v>
      </c>
      <c r="J166" s="666"/>
      <c r="K166" s="665">
        <f t="shared" si="12"/>
        <v>0</v>
      </c>
      <c r="L166" s="666">
        <f t="shared" si="13"/>
        <v>0</v>
      </c>
      <c r="M166" s="672">
        <v>0</v>
      </c>
      <c r="N166" s="668">
        <f t="shared" si="14"/>
        <v>0</v>
      </c>
      <c r="O166" s="676"/>
      <c r="P166" s="676"/>
    </row>
    <row r="167" spans="1:16" s="677" customFormat="1" ht="41.25" hidden="1" customHeight="1">
      <c r="A167" s="690"/>
      <c r="B167" s="663" t="s">
        <v>1413</v>
      </c>
      <c r="C167" s="675">
        <f>ROUND([8]Data!K542,2)</f>
        <v>1319.31</v>
      </c>
      <c r="D167" s="674" t="s">
        <v>264</v>
      </c>
      <c r="E167" s="659"/>
      <c r="F167" s="666">
        <f t="shared" si="10"/>
        <v>0</v>
      </c>
      <c r="G167" s="666"/>
      <c r="H167" s="666"/>
      <c r="I167" s="666">
        <f t="shared" si="11"/>
        <v>0</v>
      </c>
      <c r="J167" s="666"/>
      <c r="K167" s="665">
        <f t="shared" si="12"/>
        <v>0</v>
      </c>
      <c r="L167" s="666">
        <f t="shared" si="13"/>
        <v>0</v>
      </c>
      <c r="M167" s="672">
        <v>0</v>
      </c>
      <c r="N167" s="668">
        <f t="shared" si="14"/>
        <v>0</v>
      </c>
      <c r="O167" s="676"/>
      <c r="P167" s="676"/>
    </row>
    <row r="168" spans="1:16" s="677" customFormat="1" ht="41.25" hidden="1" customHeight="1">
      <c r="A168" s="690"/>
      <c r="B168" s="663" t="s">
        <v>1414</v>
      </c>
      <c r="C168" s="675">
        <f>ROUND([8]Data!K543,2)</f>
        <v>1323.42</v>
      </c>
      <c r="D168" s="674" t="s">
        <v>264</v>
      </c>
      <c r="E168" s="659"/>
      <c r="F168" s="666">
        <f t="shared" si="10"/>
        <v>0</v>
      </c>
      <c r="G168" s="666"/>
      <c r="H168" s="666"/>
      <c r="I168" s="666">
        <f t="shared" si="11"/>
        <v>0</v>
      </c>
      <c r="J168" s="666"/>
      <c r="K168" s="665">
        <f t="shared" si="12"/>
        <v>0</v>
      </c>
      <c r="L168" s="666">
        <f t="shared" si="13"/>
        <v>0</v>
      </c>
      <c r="M168" s="672">
        <v>0</v>
      </c>
      <c r="N168" s="668">
        <f t="shared" si="14"/>
        <v>0</v>
      </c>
      <c r="O168" s="676"/>
      <c r="P168" s="676"/>
    </row>
    <row r="169" spans="1:16" s="677" customFormat="1" ht="41.25" hidden="1" customHeight="1">
      <c r="A169" s="690"/>
      <c r="B169" s="663" t="s">
        <v>1415</v>
      </c>
      <c r="C169" s="675">
        <f>ROUND([8]Data!K544,2)</f>
        <v>1327.53</v>
      </c>
      <c r="D169" s="674" t="s">
        <v>264</v>
      </c>
      <c r="E169" s="659"/>
      <c r="F169" s="666">
        <f t="shared" si="10"/>
        <v>0</v>
      </c>
      <c r="G169" s="666"/>
      <c r="H169" s="666"/>
      <c r="I169" s="666">
        <f t="shared" si="11"/>
        <v>0</v>
      </c>
      <c r="J169" s="666"/>
      <c r="K169" s="665">
        <f t="shared" si="12"/>
        <v>0</v>
      </c>
      <c r="L169" s="666">
        <f t="shared" si="13"/>
        <v>0</v>
      </c>
      <c r="M169" s="672">
        <v>0</v>
      </c>
      <c r="N169" s="668">
        <f t="shared" si="14"/>
        <v>0</v>
      </c>
      <c r="O169" s="676"/>
      <c r="P169" s="676"/>
    </row>
    <row r="170" spans="1:16" s="677" customFormat="1" ht="41.25" hidden="1" customHeight="1">
      <c r="A170" s="690"/>
      <c r="B170" s="663" t="s">
        <v>1416</v>
      </c>
      <c r="C170" s="675">
        <f>ROUND([8]Data!K545,2)</f>
        <v>1331.64</v>
      </c>
      <c r="D170" s="674" t="s">
        <v>264</v>
      </c>
      <c r="E170" s="659"/>
      <c r="F170" s="666">
        <f t="shared" si="10"/>
        <v>0</v>
      </c>
      <c r="G170" s="666"/>
      <c r="H170" s="666"/>
      <c r="I170" s="666">
        <f t="shared" si="11"/>
        <v>0</v>
      </c>
      <c r="J170" s="666"/>
      <c r="K170" s="665">
        <f t="shared" si="12"/>
        <v>0</v>
      </c>
      <c r="L170" s="666">
        <f t="shared" si="13"/>
        <v>0</v>
      </c>
      <c r="M170" s="672">
        <v>0</v>
      </c>
      <c r="N170" s="668">
        <f t="shared" si="14"/>
        <v>0</v>
      </c>
      <c r="O170" s="676"/>
      <c r="P170" s="676"/>
    </row>
    <row r="171" spans="1:16" s="677" customFormat="1" ht="41.25" hidden="1" customHeight="1">
      <c r="A171" s="690"/>
      <c r="B171" s="663" t="s">
        <v>1417</v>
      </c>
      <c r="C171" s="675">
        <f>ROUND([8]Data!K546,2)</f>
        <v>1335.75</v>
      </c>
      <c r="D171" s="674" t="s">
        <v>264</v>
      </c>
      <c r="E171" s="659"/>
      <c r="F171" s="666">
        <f t="shared" si="10"/>
        <v>0</v>
      </c>
      <c r="G171" s="666"/>
      <c r="H171" s="666"/>
      <c r="I171" s="666">
        <f t="shared" si="11"/>
        <v>0</v>
      </c>
      <c r="J171" s="666"/>
      <c r="K171" s="665">
        <f t="shared" si="12"/>
        <v>0</v>
      </c>
      <c r="L171" s="666">
        <f t="shared" si="13"/>
        <v>0</v>
      </c>
      <c r="M171" s="672">
        <v>0</v>
      </c>
      <c r="N171" s="668">
        <f t="shared" si="14"/>
        <v>0</v>
      </c>
      <c r="O171" s="676"/>
      <c r="P171" s="676"/>
    </row>
    <row r="172" spans="1:16" s="682" customFormat="1" ht="60.75" hidden="1" customHeight="1">
      <c r="A172" s="666" t="s">
        <v>39</v>
      </c>
      <c r="B172" s="685" t="s">
        <v>1456</v>
      </c>
      <c r="C172" s="675"/>
      <c r="D172" s="674"/>
      <c r="E172" s="659"/>
      <c r="F172" s="666">
        <f t="shared" si="10"/>
        <v>0</v>
      </c>
      <c r="G172" s="666"/>
      <c r="H172" s="666"/>
      <c r="I172" s="666">
        <f t="shared" si="11"/>
        <v>0</v>
      </c>
      <c r="J172" s="666"/>
      <c r="K172" s="665">
        <f t="shared" si="12"/>
        <v>0</v>
      </c>
      <c r="L172" s="666">
        <f t="shared" si="13"/>
        <v>0</v>
      </c>
      <c r="M172" s="672">
        <v>0</v>
      </c>
      <c r="N172" s="668">
        <f t="shared" si="14"/>
        <v>0</v>
      </c>
      <c r="O172" s="680"/>
      <c r="P172" s="681"/>
    </row>
    <row r="173" spans="1:16" s="682" customFormat="1" ht="48.75" hidden="1" customHeight="1">
      <c r="A173" s="666"/>
      <c r="B173" s="663" t="s">
        <v>1457</v>
      </c>
      <c r="C173" s="675">
        <f>ROUND([8]Data!K557,2)</f>
        <v>1430.19</v>
      </c>
      <c r="D173" s="674" t="s">
        <v>264</v>
      </c>
      <c r="E173" s="659"/>
      <c r="F173" s="666">
        <f t="shared" si="10"/>
        <v>0</v>
      </c>
      <c r="G173" s="666"/>
      <c r="H173" s="666"/>
      <c r="I173" s="666">
        <f t="shared" si="11"/>
        <v>0</v>
      </c>
      <c r="J173" s="666"/>
      <c r="K173" s="665">
        <f t="shared" si="12"/>
        <v>0</v>
      </c>
      <c r="L173" s="666">
        <f t="shared" si="13"/>
        <v>0</v>
      </c>
      <c r="M173" s="672">
        <v>0</v>
      </c>
      <c r="N173" s="668">
        <f t="shared" si="14"/>
        <v>0</v>
      </c>
      <c r="O173" s="680"/>
      <c r="P173" s="681"/>
    </row>
    <row r="174" spans="1:16" s="682" customFormat="1" ht="50.25" hidden="1" customHeight="1">
      <c r="A174" s="666"/>
      <c r="B174" s="663" t="s">
        <v>1458</v>
      </c>
      <c r="C174" s="675">
        <f>ROUND([8]Data!K559,2)</f>
        <v>1434.36</v>
      </c>
      <c r="D174" s="674" t="s">
        <v>264</v>
      </c>
      <c r="E174" s="659"/>
      <c r="F174" s="666">
        <f t="shared" si="10"/>
        <v>0</v>
      </c>
      <c r="G174" s="666"/>
      <c r="H174" s="666"/>
      <c r="I174" s="666">
        <f t="shared" si="11"/>
        <v>0</v>
      </c>
      <c r="J174" s="666"/>
      <c r="K174" s="665">
        <f t="shared" si="12"/>
        <v>0</v>
      </c>
      <c r="L174" s="666">
        <f t="shared" si="13"/>
        <v>0</v>
      </c>
      <c r="M174" s="672">
        <v>0</v>
      </c>
      <c r="N174" s="668">
        <f t="shared" si="14"/>
        <v>0</v>
      </c>
      <c r="O174" s="680"/>
      <c r="P174" s="681"/>
    </row>
    <row r="175" spans="1:16" s="682" customFormat="1" ht="50.25" hidden="1" customHeight="1">
      <c r="A175" s="666"/>
      <c r="B175" s="663" t="s">
        <v>1459</v>
      </c>
      <c r="C175" s="675">
        <f>ROUND([8]Data!K560,2)</f>
        <v>1442.58</v>
      </c>
      <c r="D175" s="674" t="s">
        <v>264</v>
      </c>
      <c r="E175" s="659"/>
      <c r="F175" s="666">
        <f t="shared" si="10"/>
        <v>0</v>
      </c>
      <c r="G175" s="666"/>
      <c r="H175" s="666"/>
      <c r="I175" s="666">
        <f t="shared" si="11"/>
        <v>0</v>
      </c>
      <c r="J175" s="666"/>
      <c r="K175" s="665">
        <f t="shared" si="12"/>
        <v>0</v>
      </c>
      <c r="L175" s="666">
        <f t="shared" si="13"/>
        <v>0</v>
      </c>
      <c r="M175" s="672">
        <v>0</v>
      </c>
      <c r="N175" s="668">
        <f t="shared" si="14"/>
        <v>0</v>
      </c>
      <c r="O175" s="680"/>
      <c r="P175" s="681"/>
    </row>
    <row r="176" spans="1:16" s="682" customFormat="1" ht="50.25" hidden="1" customHeight="1">
      <c r="A176" s="666"/>
      <c r="B176" s="663" t="s">
        <v>1460</v>
      </c>
      <c r="C176" s="675">
        <f>ROUND([8]Data!K561,2)</f>
        <v>1450.8</v>
      </c>
      <c r="D176" s="674" t="s">
        <v>264</v>
      </c>
      <c r="E176" s="659"/>
      <c r="F176" s="666">
        <f t="shared" si="10"/>
        <v>0</v>
      </c>
      <c r="G176" s="666"/>
      <c r="H176" s="666"/>
      <c r="I176" s="666">
        <f t="shared" si="11"/>
        <v>0</v>
      </c>
      <c r="J176" s="666"/>
      <c r="K176" s="665">
        <f t="shared" si="12"/>
        <v>0</v>
      </c>
      <c r="L176" s="666">
        <f t="shared" si="13"/>
        <v>0</v>
      </c>
      <c r="M176" s="672">
        <v>0</v>
      </c>
      <c r="N176" s="668">
        <f t="shared" si="14"/>
        <v>0</v>
      </c>
      <c r="O176" s="680"/>
      <c r="P176" s="681"/>
    </row>
    <row r="177" spans="1:16" s="682" customFormat="1" ht="50.25" hidden="1" customHeight="1">
      <c r="A177" s="666"/>
      <c r="B177" s="663" t="s">
        <v>1461</v>
      </c>
      <c r="C177" s="675">
        <f>ROUND([8]Data!K562,2)</f>
        <v>1459.02</v>
      </c>
      <c r="D177" s="674" t="s">
        <v>264</v>
      </c>
      <c r="E177" s="659"/>
      <c r="F177" s="666">
        <f t="shared" si="10"/>
        <v>0</v>
      </c>
      <c r="G177" s="666"/>
      <c r="H177" s="666"/>
      <c r="I177" s="666">
        <f t="shared" si="11"/>
        <v>0</v>
      </c>
      <c r="J177" s="666"/>
      <c r="K177" s="665">
        <f t="shared" si="12"/>
        <v>0</v>
      </c>
      <c r="L177" s="666">
        <f t="shared" si="13"/>
        <v>0</v>
      </c>
      <c r="M177" s="672">
        <v>0</v>
      </c>
      <c r="N177" s="668">
        <f t="shared" si="14"/>
        <v>0</v>
      </c>
      <c r="O177" s="680"/>
      <c r="P177" s="681"/>
    </row>
    <row r="178" spans="1:16" s="677" customFormat="1" ht="41.25" hidden="1" customHeight="1">
      <c r="A178" s="690"/>
      <c r="B178" s="663" t="s">
        <v>1462</v>
      </c>
      <c r="C178" s="675">
        <f>ROUND([8]Data!K563,2)</f>
        <v>1467.24</v>
      </c>
      <c r="D178" s="674" t="s">
        <v>264</v>
      </c>
      <c r="E178" s="659"/>
      <c r="F178" s="666">
        <f t="shared" si="10"/>
        <v>0</v>
      </c>
      <c r="G178" s="666"/>
      <c r="H178" s="666"/>
      <c r="I178" s="666">
        <f t="shared" si="11"/>
        <v>0</v>
      </c>
      <c r="J178" s="666"/>
      <c r="K178" s="665">
        <f t="shared" si="12"/>
        <v>0</v>
      </c>
      <c r="L178" s="666">
        <f t="shared" si="13"/>
        <v>0</v>
      </c>
      <c r="M178" s="672">
        <v>0</v>
      </c>
      <c r="N178" s="668">
        <f t="shared" si="14"/>
        <v>0</v>
      </c>
      <c r="O178" s="676"/>
      <c r="P178" s="676"/>
    </row>
    <row r="179" spans="1:16" s="677" customFormat="1" ht="25.5" hidden="1" customHeight="1">
      <c r="A179" s="662">
        <v>15.1</v>
      </c>
      <c r="B179" s="685" t="s">
        <v>1463</v>
      </c>
      <c r="C179" s="675"/>
      <c r="D179" s="674"/>
      <c r="E179" s="659"/>
      <c r="F179" s="666">
        <f t="shared" si="10"/>
        <v>0</v>
      </c>
      <c r="G179" s="666"/>
      <c r="H179" s="666"/>
      <c r="I179" s="666">
        <f t="shared" si="11"/>
        <v>0</v>
      </c>
      <c r="J179" s="666"/>
      <c r="K179" s="665">
        <f t="shared" si="12"/>
        <v>0</v>
      </c>
      <c r="L179" s="666">
        <f t="shared" si="13"/>
        <v>0</v>
      </c>
      <c r="M179" s="672">
        <v>0</v>
      </c>
      <c r="N179" s="668">
        <f t="shared" si="14"/>
        <v>0</v>
      </c>
      <c r="O179" s="676"/>
      <c r="P179" s="676"/>
    </row>
    <row r="180" spans="1:16" s="677" customFormat="1" ht="25.5" hidden="1" customHeight="1">
      <c r="A180" s="662"/>
      <c r="B180" s="663" t="s">
        <v>1405</v>
      </c>
      <c r="C180" s="675">
        <f>ROUND([8]Data!K590,2)</f>
        <v>529.37</v>
      </c>
      <c r="D180" s="674" t="s">
        <v>264</v>
      </c>
      <c r="E180" s="659"/>
      <c r="F180" s="666">
        <f t="shared" si="10"/>
        <v>0</v>
      </c>
      <c r="G180" s="666"/>
      <c r="H180" s="666"/>
      <c r="I180" s="666">
        <f t="shared" si="11"/>
        <v>0</v>
      </c>
      <c r="J180" s="666"/>
      <c r="K180" s="665">
        <f t="shared" si="12"/>
        <v>0</v>
      </c>
      <c r="L180" s="666">
        <f t="shared" si="13"/>
        <v>0</v>
      </c>
      <c r="M180" s="672">
        <v>0</v>
      </c>
      <c r="N180" s="668">
        <f t="shared" si="14"/>
        <v>0</v>
      </c>
      <c r="O180" s="676"/>
      <c r="P180" s="676"/>
    </row>
    <row r="181" spans="1:16" s="677" customFormat="1" ht="25.5" hidden="1" customHeight="1">
      <c r="A181" s="662"/>
      <c r="B181" s="663" t="s">
        <v>1406</v>
      </c>
      <c r="C181" s="675">
        <f>ROUND([8]Data!K591,2)</f>
        <v>533.44000000000005</v>
      </c>
      <c r="D181" s="674" t="s">
        <v>264</v>
      </c>
      <c r="E181" s="659"/>
      <c r="F181" s="666">
        <f t="shared" si="10"/>
        <v>0</v>
      </c>
      <c r="G181" s="666"/>
      <c r="H181" s="666"/>
      <c r="I181" s="666">
        <f t="shared" si="11"/>
        <v>0</v>
      </c>
      <c r="J181" s="666"/>
      <c r="K181" s="665">
        <f t="shared" si="12"/>
        <v>0</v>
      </c>
      <c r="L181" s="666">
        <f t="shared" si="13"/>
        <v>0</v>
      </c>
      <c r="M181" s="672">
        <v>0</v>
      </c>
      <c r="N181" s="668">
        <f t="shared" si="14"/>
        <v>0</v>
      </c>
      <c r="O181" s="676"/>
      <c r="P181" s="676"/>
    </row>
    <row r="182" spans="1:16" s="677" customFormat="1" ht="25.5" hidden="1" customHeight="1">
      <c r="A182" s="662"/>
      <c r="B182" s="663" t="s">
        <v>1407</v>
      </c>
      <c r="C182" s="675">
        <f>ROUND([8]Data!K592,2)</f>
        <v>537.51</v>
      </c>
      <c r="D182" s="674" t="s">
        <v>264</v>
      </c>
      <c r="E182" s="659"/>
      <c r="F182" s="666">
        <f t="shared" si="10"/>
        <v>0</v>
      </c>
      <c r="G182" s="666"/>
      <c r="H182" s="666"/>
      <c r="I182" s="666">
        <f t="shared" si="11"/>
        <v>0</v>
      </c>
      <c r="J182" s="666"/>
      <c r="K182" s="665">
        <f t="shared" si="12"/>
        <v>0</v>
      </c>
      <c r="L182" s="666">
        <f t="shared" si="13"/>
        <v>0</v>
      </c>
      <c r="M182" s="672">
        <v>0</v>
      </c>
      <c r="N182" s="668">
        <f t="shared" si="14"/>
        <v>0</v>
      </c>
      <c r="O182" s="676"/>
      <c r="P182" s="676"/>
    </row>
    <row r="183" spans="1:16" s="677" customFormat="1" ht="25.5" hidden="1" customHeight="1">
      <c r="A183" s="662"/>
      <c r="B183" s="663" t="s">
        <v>1408</v>
      </c>
      <c r="C183" s="675">
        <f>ROUND([8]Data!K593,2)</f>
        <v>541.58000000000004</v>
      </c>
      <c r="D183" s="674" t="s">
        <v>264</v>
      </c>
      <c r="E183" s="659"/>
      <c r="F183" s="666">
        <f t="shared" si="10"/>
        <v>0</v>
      </c>
      <c r="G183" s="666"/>
      <c r="H183" s="666"/>
      <c r="I183" s="666">
        <f t="shared" si="11"/>
        <v>0</v>
      </c>
      <c r="J183" s="666"/>
      <c r="K183" s="665">
        <f t="shared" si="12"/>
        <v>0</v>
      </c>
      <c r="L183" s="666">
        <f t="shared" si="13"/>
        <v>0</v>
      </c>
      <c r="M183" s="672">
        <v>0</v>
      </c>
      <c r="N183" s="668">
        <f t="shared" si="14"/>
        <v>0</v>
      </c>
      <c r="O183" s="676"/>
      <c r="P183" s="676"/>
    </row>
    <row r="184" spans="1:16" s="677" customFormat="1" ht="25.5" hidden="1" customHeight="1">
      <c r="A184" s="688"/>
      <c r="B184" s="663" t="s">
        <v>1409</v>
      </c>
      <c r="C184" s="675">
        <f>ROUND([8]Data!K594,2)</f>
        <v>545.65</v>
      </c>
      <c r="D184" s="674" t="s">
        <v>264</v>
      </c>
      <c r="E184" s="659"/>
      <c r="F184" s="666">
        <f t="shared" si="10"/>
        <v>0</v>
      </c>
      <c r="G184" s="666"/>
      <c r="H184" s="666"/>
      <c r="I184" s="666">
        <f t="shared" si="11"/>
        <v>0</v>
      </c>
      <c r="J184" s="666"/>
      <c r="K184" s="665">
        <f t="shared" si="12"/>
        <v>0</v>
      </c>
      <c r="L184" s="666">
        <f t="shared" si="13"/>
        <v>0</v>
      </c>
      <c r="M184" s="672">
        <v>0</v>
      </c>
      <c r="N184" s="668">
        <f t="shared" si="14"/>
        <v>0</v>
      </c>
      <c r="O184" s="676"/>
      <c r="P184" s="676"/>
    </row>
    <row r="185" spans="1:16" s="677" customFormat="1" ht="25.5" hidden="1" customHeight="1">
      <c r="A185" s="662">
        <v>15.2</v>
      </c>
      <c r="B185" s="685" t="s">
        <v>1464</v>
      </c>
      <c r="C185" s="675"/>
      <c r="D185" s="674"/>
      <c r="E185" s="659"/>
      <c r="F185" s="666">
        <f t="shared" si="10"/>
        <v>0</v>
      </c>
      <c r="G185" s="666"/>
      <c r="H185" s="666"/>
      <c r="I185" s="666">
        <f t="shared" si="11"/>
        <v>0</v>
      </c>
      <c r="J185" s="666"/>
      <c r="K185" s="665">
        <f t="shared" si="12"/>
        <v>0</v>
      </c>
      <c r="L185" s="666">
        <f t="shared" si="13"/>
        <v>0</v>
      </c>
      <c r="M185" s="672">
        <v>0</v>
      </c>
      <c r="N185" s="668">
        <f t="shared" si="14"/>
        <v>0</v>
      </c>
      <c r="O185" s="676"/>
      <c r="P185" s="676"/>
    </row>
    <row r="186" spans="1:16" s="677" customFormat="1" ht="25.5" hidden="1" customHeight="1">
      <c r="A186" s="666"/>
      <c r="B186" s="663" t="s">
        <v>1405</v>
      </c>
      <c r="C186" s="675">
        <f>ROUND([8]Data!K612,2)</f>
        <v>1847.38</v>
      </c>
      <c r="D186" s="674" t="s">
        <v>264</v>
      </c>
      <c r="E186" s="659"/>
      <c r="F186" s="666">
        <f t="shared" si="10"/>
        <v>0</v>
      </c>
      <c r="G186" s="666"/>
      <c r="H186" s="666"/>
      <c r="I186" s="666">
        <f t="shared" si="11"/>
        <v>0</v>
      </c>
      <c r="J186" s="666"/>
      <c r="K186" s="665">
        <f t="shared" si="12"/>
        <v>0</v>
      </c>
      <c r="L186" s="666">
        <f t="shared" si="13"/>
        <v>0</v>
      </c>
      <c r="M186" s="672">
        <v>0</v>
      </c>
      <c r="N186" s="668">
        <f t="shared" si="14"/>
        <v>0</v>
      </c>
      <c r="O186" s="676"/>
      <c r="P186" s="676"/>
    </row>
    <row r="187" spans="1:16" s="677" customFormat="1" ht="25.5" hidden="1" customHeight="1">
      <c r="A187" s="666"/>
      <c r="B187" s="663" t="s">
        <v>1406</v>
      </c>
      <c r="C187" s="675">
        <f>ROUND([8]Data!K613,2)</f>
        <v>1855.52</v>
      </c>
      <c r="D187" s="674" t="s">
        <v>264</v>
      </c>
      <c r="E187" s="659"/>
      <c r="F187" s="666">
        <f t="shared" si="10"/>
        <v>0</v>
      </c>
      <c r="G187" s="666"/>
      <c r="H187" s="666"/>
      <c r="I187" s="666">
        <f t="shared" si="11"/>
        <v>0</v>
      </c>
      <c r="J187" s="666"/>
      <c r="K187" s="665">
        <f t="shared" si="12"/>
        <v>0</v>
      </c>
      <c r="L187" s="666">
        <f t="shared" si="13"/>
        <v>0</v>
      </c>
      <c r="M187" s="672">
        <v>0</v>
      </c>
      <c r="N187" s="668">
        <f t="shared" si="14"/>
        <v>0</v>
      </c>
      <c r="O187" s="676"/>
      <c r="P187" s="676"/>
    </row>
    <row r="188" spans="1:16" s="677" customFormat="1" ht="25.5" hidden="1" customHeight="1">
      <c r="A188" s="666"/>
      <c r="B188" s="663" t="s">
        <v>1407</v>
      </c>
      <c r="C188" s="675">
        <f>ROUND([8]Data!K614,2)</f>
        <v>1863.66</v>
      </c>
      <c r="D188" s="674" t="s">
        <v>264</v>
      </c>
      <c r="E188" s="659"/>
      <c r="F188" s="666">
        <f t="shared" si="10"/>
        <v>0</v>
      </c>
      <c r="G188" s="666"/>
      <c r="H188" s="666"/>
      <c r="I188" s="666">
        <f t="shared" si="11"/>
        <v>0</v>
      </c>
      <c r="J188" s="666"/>
      <c r="K188" s="665">
        <f t="shared" si="12"/>
        <v>0</v>
      </c>
      <c r="L188" s="666">
        <f t="shared" si="13"/>
        <v>0</v>
      </c>
      <c r="M188" s="672">
        <v>0</v>
      </c>
      <c r="N188" s="668">
        <f t="shared" si="14"/>
        <v>0</v>
      </c>
      <c r="O188" s="676"/>
      <c r="P188" s="676"/>
    </row>
    <row r="189" spans="1:16" s="677" customFormat="1" ht="25.5" hidden="1" customHeight="1">
      <c r="A189" s="666"/>
      <c r="B189" s="663" t="s">
        <v>1408</v>
      </c>
      <c r="C189" s="675">
        <f>ROUND([8]Data!K615,2)</f>
        <v>1871.8</v>
      </c>
      <c r="D189" s="674" t="s">
        <v>264</v>
      </c>
      <c r="E189" s="659"/>
      <c r="F189" s="666">
        <f t="shared" si="10"/>
        <v>0</v>
      </c>
      <c r="G189" s="666"/>
      <c r="H189" s="666"/>
      <c r="I189" s="666">
        <f t="shared" si="11"/>
        <v>0</v>
      </c>
      <c r="J189" s="666"/>
      <c r="K189" s="665">
        <f t="shared" si="12"/>
        <v>0</v>
      </c>
      <c r="L189" s="666">
        <f t="shared" si="13"/>
        <v>0</v>
      </c>
      <c r="M189" s="672">
        <v>0</v>
      </c>
      <c r="N189" s="668">
        <f t="shared" si="14"/>
        <v>0</v>
      </c>
      <c r="O189" s="676"/>
      <c r="P189" s="676"/>
    </row>
    <row r="190" spans="1:16" s="677" customFormat="1" ht="25.5" hidden="1" customHeight="1">
      <c r="A190" s="690"/>
      <c r="B190" s="663" t="s">
        <v>1409</v>
      </c>
      <c r="C190" s="675">
        <f>ROUND([8]Data!K616,2)</f>
        <v>1879.94</v>
      </c>
      <c r="D190" s="674" t="s">
        <v>264</v>
      </c>
      <c r="E190" s="659"/>
      <c r="F190" s="666">
        <f t="shared" si="10"/>
        <v>0</v>
      </c>
      <c r="G190" s="666"/>
      <c r="H190" s="666"/>
      <c r="I190" s="666">
        <f t="shared" si="11"/>
        <v>0</v>
      </c>
      <c r="J190" s="666"/>
      <c r="K190" s="665">
        <f t="shared" si="12"/>
        <v>0</v>
      </c>
      <c r="L190" s="666">
        <f t="shared" si="13"/>
        <v>0</v>
      </c>
      <c r="M190" s="672">
        <v>0</v>
      </c>
      <c r="N190" s="668">
        <f t="shared" si="14"/>
        <v>0</v>
      </c>
      <c r="O190" s="676"/>
      <c r="P190" s="676"/>
    </row>
    <row r="191" spans="1:16" s="682" customFormat="1" ht="50.25" hidden="1" customHeight="1">
      <c r="A191" s="662">
        <v>16.100000000000001</v>
      </c>
      <c r="B191" s="663" t="s">
        <v>1465</v>
      </c>
      <c r="C191" s="675"/>
      <c r="D191" s="674"/>
      <c r="E191" s="659"/>
      <c r="F191" s="666">
        <f t="shared" si="10"/>
        <v>0</v>
      </c>
      <c r="G191" s="666"/>
      <c r="H191" s="666"/>
      <c r="I191" s="666">
        <f t="shared" si="11"/>
        <v>0</v>
      </c>
      <c r="J191" s="666"/>
      <c r="K191" s="665">
        <f t="shared" si="12"/>
        <v>0</v>
      </c>
      <c r="L191" s="666">
        <f t="shared" si="13"/>
        <v>0</v>
      </c>
      <c r="M191" s="672">
        <v>0</v>
      </c>
      <c r="N191" s="668">
        <f t="shared" si="14"/>
        <v>0</v>
      </c>
      <c r="O191" s="680"/>
      <c r="P191" s="681"/>
    </row>
    <row r="192" spans="1:16" s="682" customFormat="1" ht="50.25" hidden="1" customHeight="1">
      <c r="A192" s="662"/>
      <c r="B192" s="663" t="s">
        <v>1420</v>
      </c>
      <c r="C192" s="675">
        <f>[8]Data!K659</f>
        <v>2586.0700000000002</v>
      </c>
      <c r="D192" s="674" t="s">
        <v>264</v>
      </c>
      <c r="E192" s="659"/>
      <c r="F192" s="666">
        <f t="shared" si="10"/>
        <v>0</v>
      </c>
      <c r="G192" s="666"/>
      <c r="H192" s="666"/>
      <c r="I192" s="666">
        <f t="shared" si="11"/>
        <v>0</v>
      </c>
      <c r="J192" s="666"/>
      <c r="K192" s="665">
        <f t="shared" si="12"/>
        <v>0</v>
      </c>
      <c r="L192" s="666">
        <f t="shared" si="13"/>
        <v>0</v>
      </c>
      <c r="M192" s="672">
        <v>0</v>
      </c>
      <c r="N192" s="668">
        <f t="shared" si="14"/>
        <v>0</v>
      </c>
      <c r="O192" s="680"/>
      <c r="P192" s="681"/>
    </row>
    <row r="193" spans="1:16" s="682" customFormat="1" ht="50.25" hidden="1" customHeight="1">
      <c r="A193" s="662"/>
      <c r="B193" s="663" t="s">
        <v>1406</v>
      </c>
      <c r="C193" s="675">
        <f>ROUND([8]Data!K660,2)</f>
        <v>2593.73</v>
      </c>
      <c r="D193" s="674" t="s">
        <v>264</v>
      </c>
      <c r="E193" s="659"/>
      <c r="F193" s="666">
        <f t="shared" si="10"/>
        <v>0</v>
      </c>
      <c r="G193" s="666"/>
      <c r="H193" s="666"/>
      <c r="I193" s="666">
        <f t="shared" si="11"/>
        <v>0</v>
      </c>
      <c r="J193" s="666"/>
      <c r="K193" s="665">
        <f t="shared" si="12"/>
        <v>0</v>
      </c>
      <c r="L193" s="666">
        <f t="shared" si="13"/>
        <v>0</v>
      </c>
      <c r="M193" s="672">
        <v>0</v>
      </c>
      <c r="N193" s="668">
        <f t="shared" si="14"/>
        <v>0</v>
      </c>
      <c r="O193" s="680"/>
      <c r="P193" s="681"/>
    </row>
    <row r="194" spans="1:16" s="682" customFormat="1" ht="50.25" hidden="1" customHeight="1">
      <c r="A194" s="662"/>
      <c r="B194" s="663" t="s">
        <v>1407</v>
      </c>
      <c r="C194" s="675">
        <f>ROUND([8]Data!K661,2)</f>
        <v>2601.39</v>
      </c>
      <c r="D194" s="674" t="s">
        <v>264</v>
      </c>
      <c r="E194" s="659"/>
      <c r="F194" s="666">
        <f t="shared" si="10"/>
        <v>0</v>
      </c>
      <c r="G194" s="666"/>
      <c r="H194" s="666"/>
      <c r="I194" s="666">
        <f t="shared" si="11"/>
        <v>0</v>
      </c>
      <c r="J194" s="666"/>
      <c r="K194" s="665">
        <f t="shared" si="12"/>
        <v>0</v>
      </c>
      <c r="L194" s="666">
        <f t="shared" si="13"/>
        <v>0</v>
      </c>
      <c r="M194" s="672">
        <v>0</v>
      </c>
      <c r="N194" s="668">
        <f t="shared" si="14"/>
        <v>0</v>
      </c>
      <c r="O194" s="680"/>
      <c r="P194" s="681"/>
    </row>
    <row r="195" spans="1:16" s="682" customFormat="1" ht="50.25" hidden="1" customHeight="1">
      <c r="A195" s="662"/>
      <c r="B195" s="663" t="s">
        <v>1408</v>
      </c>
      <c r="C195" s="675">
        <f>ROUND([8]Data!K662,2)</f>
        <v>2609.0500000000002</v>
      </c>
      <c r="D195" s="674" t="s">
        <v>264</v>
      </c>
      <c r="E195" s="659"/>
      <c r="F195" s="666">
        <f t="shared" si="10"/>
        <v>0</v>
      </c>
      <c r="G195" s="666"/>
      <c r="H195" s="666"/>
      <c r="I195" s="666">
        <f t="shared" si="11"/>
        <v>0</v>
      </c>
      <c r="J195" s="666"/>
      <c r="K195" s="665">
        <f t="shared" si="12"/>
        <v>0</v>
      </c>
      <c r="L195" s="666">
        <f t="shared" si="13"/>
        <v>0</v>
      </c>
      <c r="M195" s="672">
        <v>0</v>
      </c>
      <c r="N195" s="668">
        <f t="shared" si="14"/>
        <v>0</v>
      </c>
      <c r="O195" s="680"/>
      <c r="P195" s="681"/>
    </row>
    <row r="196" spans="1:16" s="682" customFormat="1" ht="50.25" hidden="1" customHeight="1">
      <c r="A196" s="687"/>
      <c r="B196" s="663" t="s">
        <v>1409</v>
      </c>
      <c r="C196" s="675">
        <f>ROUND([8]Data!K663,2)</f>
        <v>2616.71</v>
      </c>
      <c r="D196" s="674" t="s">
        <v>264</v>
      </c>
      <c r="E196" s="1406"/>
      <c r="F196" s="666">
        <f t="shared" si="10"/>
        <v>0</v>
      </c>
      <c r="G196" s="666"/>
      <c r="H196" s="666"/>
      <c r="I196" s="666">
        <f t="shared" si="11"/>
        <v>0</v>
      </c>
      <c r="J196" s="666"/>
      <c r="K196" s="665">
        <f t="shared" si="12"/>
        <v>0</v>
      </c>
      <c r="L196" s="666">
        <f t="shared" si="13"/>
        <v>0</v>
      </c>
      <c r="M196" s="672">
        <v>0</v>
      </c>
      <c r="N196" s="668">
        <f t="shared" si="14"/>
        <v>0</v>
      </c>
      <c r="O196" s="680"/>
      <c r="P196" s="681"/>
    </row>
    <row r="197" spans="1:16" s="677" customFormat="1" ht="46.5" hidden="1" customHeight="1">
      <c r="A197" s="662">
        <v>16.2</v>
      </c>
      <c r="B197" s="663" t="s">
        <v>1466</v>
      </c>
      <c r="C197" s="675"/>
      <c r="D197" s="674"/>
      <c r="E197" s="659"/>
      <c r="F197" s="666">
        <f t="shared" si="10"/>
        <v>0</v>
      </c>
      <c r="G197" s="666"/>
      <c r="H197" s="666"/>
      <c r="I197" s="666">
        <f t="shared" si="11"/>
        <v>0</v>
      </c>
      <c r="J197" s="666"/>
      <c r="K197" s="665">
        <f t="shared" si="12"/>
        <v>0</v>
      </c>
      <c r="L197" s="666">
        <f t="shared" si="13"/>
        <v>0</v>
      </c>
      <c r="M197" s="672">
        <v>0</v>
      </c>
      <c r="N197" s="668">
        <f t="shared" si="14"/>
        <v>0</v>
      </c>
      <c r="O197" s="676"/>
      <c r="P197" s="676"/>
    </row>
    <row r="198" spans="1:16" s="677" customFormat="1" ht="25.5" hidden="1" customHeight="1">
      <c r="A198" s="666"/>
      <c r="B198" s="663" t="s">
        <v>1420</v>
      </c>
      <c r="C198" s="675">
        <f>ROUND([8]Data!K686,2)</f>
        <v>483.4</v>
      </c>
      <c r="D198" s="674" t="s">
        <v>264</v>
      </c>
      <c r="E198" s="659"/>
      <c r="F198" s="666">
        <f t="shared" si="10"/>
        <v>0</v>
      </c>
      <c r="G198" s="666"/>
      <c r="H198" s="666"/>
      <c r="I198" s="666">
        <f t="shared" si="11"/>
        <v>0</v>
      </c>
      <c r="J198" s="666"/>
      <c r="K198" s="665">
        <f t="shared" si="12"/>
        <v>0</v>
      </c>
      <c r="L198" s="666">
        <f t="shared" si="13"/>
        <v>0</v>
      </c>
      <c r="M198" s="672">
        <v>0</v>
      </c>
      <c r="N198" s="668">
        <f t="shared" si="14"/>
        <v>0</v>
      </c>
      <c r="O198" s="676"/>
      <c r="P198" s="676"/>
    </row>
    <row r="199" spans="1:16" s="677" customFormat="1" ht="25.5" hidden="1" customHeight="1">
      <c r="A199" s="666"/>
      <c r="B199" s="663" t="s">
        <v>1421</v>
      </c>
      <c r="C199" s="675">
        <f>ROUND([8]Data!K687,2)</f>
        <v>490.26</v>
      </c>
      <c r="D199" s="674" t="s">
        <v>264</v>
      </c>
      <c r="E199" s="659"/>
      <c r="F199" s="666">
        <f t="shared" ref="F199:F262" si="15">E199*C199</f>
        <v>0</v>
      </c>
      <c r="G199" s="666"/>
      <c r="H199" s="666"/>
      <c r="I199" s="666">
        <f t="shared" ref="I199:I262" si="16">G199</f>
        <v>0</v>
      </c>
      <c r="J199" s="666"/>
      <c r="K199" s="665">
        <f t="shared" ref="K199:K262" si="17">E199</f>
        <v>0</v>
      </c>
      <c r="L199" s="666">
        <f t="shared" ref="L199:L262" si="18">C199*K199</f>
        <v>0</v>
      </c>
      <c r="M199" s="672">
        <v>0</v>
      </c>
      <c r="N199" s="668">
        <f t="shared" ref="N199:N262" si="19">K199-M199</f>
        <v>0</v>
      </c>
      <c r="O199" s="676"/>
      <c r="P199" s="676"/>
    </row>
    <row r="200" spans="1:16" s="677" customFormat="1" ht="25.5" hidden="1" customHeight="1">
      <c r="A200" s="666"/>
      <c r="B200" s="663" t="s">
        <v>1422</v>
      </c>
      <c r="C200" s="675">
        <f>ROUND([8]Data!K688,2)</f>
        <v>497.12</v>
      </c>
      <c r="D200" s="674" t="s">
        <v>264</v>
      </c>
      <c r="E200" s="659"/>
      <c r="F200" s="666">
        <f t="shared" si="15"/>
        <v>0</v>
      </c>
      <c r="G200" s="666"/>
      <c r="H200" s="666"/>
      <c r="I200" s="666">
        <f t="shared" si="16"/>
        <v>0</v>
      </c>
      <c r="J200" s="666"/>
      <c r="K200" s="665">
        <f t="shared" si="17"/>
        <v>0</v>
      </c>
      <c r="L200" s="666">
        <f t="shared" si="18"/>
        <v>0</v>
      </c>
      <c r="M200" s="672">
        <v>0</v>
      </c>
      <c r="N200" s="668">
        <f t="shared" si="19"/>
        <v>0</v>
      </c>
      <c r="O200" s="676"/>
      <c r="P200" s="676"/>
    </row>
    <row r="201" spans="1:16" s="677" customFormat="1" ht="25.5" hidden="1" customHeight="1">
      <c r="A201" s="666"/>
      <c r="B201" s="663" t="s">
        <v>1423</v>
      </c>
      <c r="C201" s="675">
        <f>ROUND([8]Data!K689,2)</f>
        <v>503.98</v>
      </c>
      <c r="D201" s="674" t="s">
        <v>264</v>
      </c>
      <c r="E201" s="659"/>
      <c r="F201" s="666">
        <f t="shared" si="15"/>
        <v>0</v>
      </c>
      <c r="G201" s="666"/>
      <c r="H201" s="666"/>
      <c r="I201" s="666">
        <f t="shared" si="16"/>
        <v>0</v>
      </c>
      <c r="J201" s="666"/>
      <c r="K201" s="665">
        <f t="shared" si="17"/>
        <v>0</v>
      </c>
      <c r="L201" s="666">
        <f t="shared" si="18"/>
        <v>0</v>
      </c>
      <c r="M201" s="672">
        <v>0</v>
      </c>
      <c r="N201" s="668">
        <f t="shared" si="19"/>
        <v>0</v>
      </c>
      <c r="O201" s="676"/>
      <c r="P201" s="676"/>
    </row>
    <row r="202" spans="1:16" s="677" customFormat="1" ht="25.5" hidden="1" customHeight="1">
      <c r="A202" s="690"/>
      <c r="B202" s="663" t="s">
        <v>1424</v>
      </c>
      <c r="C202" s="675">
        <f>ROUND([8]Data!K690,2)</f>
        <v>510.84</v>
      </c>
      <c r="D202" s="674" t="s">
        <v>264</v>
      </c>
      <c r="E202" s="659"/>
      <c r="F202" s="666">
        <f t="shared" si="15"/>
        <v>0</v>
      </c>
      <c r="G202" s="666"/>
      <c r="H202" s="666"/>
      <c r="I202" s="666">
        <f t="shared" si="16"/>
        <v>0</v>
      </c>
      <c r="J202" s="666"/>
      <c r="K202" s="665">
        <f t="shared" si="17"/>
        <v>0</v>
      </c>
      <c r="L202" s="666">
        <f t="shared" si="18"/>
        <v>0</v>
      </c>
      <c r="M202" s="672">
        <v>0</v>
      </c>
      <c r="N202" s="668">
        <f t="shared" si="19"/>
        <v>0</v>
      </c>
      <c r="O202" s="676"/>
      <c r="P202" s="676"/>
    </row>
    <row r="203" spans="1:16" s="677" customFormat="1" ht="46.5" hidden="1" customHeight="1">
      <c r="A203" s="662">
        <v>16.3</v>
      </c>
      <c r="B203" s="663" t="s">
        <v>1467</v>
      </c>
      <c r="C203" s="675"/>
      <c r="D203" s="674"/>
      <c r="E203" s="659"/>
      <c r="F203" s="666">
        <f t="shared" si="15"/>
        <v>0</v>
      </c>
      <c r="G203" s="666"/>
      <c r="H203" s="666"/>
      <c r="I203" s="666">
        <f t="shared" si="16"/>
        <v>0</v>
      </c>
      <c r="J203" s="666"/>
      <c r="K203" s="665">
        <f t="shared" si="17"/>
        <v>0</v>
      </c>
      <c r="L203" s="666">
        <f t="shared" si="18"/>
        <v>0</v>
      </c>
      <c r="M203" s="672">
        <v>0</v>
      </c>
      <c r="N203" s="668">
        <f t="shared" si="19"/>
        <v>0</v>
      </c>
      <c r="O203" s="676"/>
      <c r="P203" s="676"/>
    </row>
    <row r="204" spans="1:16" s="677" customFormat="1" ht="25.5" hidden="1" customHeight="1">
      <c r="A204" s="662"/>
      <c r="B204" s="663" t="s">
        <v>1420</v>
      </c>
      <c r="C204" s="675">
        <f>ROUND([8]Data!K706,2)</f>
        <v>657.48</v>
      </c>
      <c r="D204" s="674" t="s">
        <v>264</v>
      </c>
      <c r="E204" s="659"/>
      <c r="F204" s="666">
        <f t="shared" si="15"/>
        <v>0</v>
      </c>
      <c r="G204" s="666"/>
      <c r="H204" s="666"/>
      <c r="I204" s="666">
        <f t="shared" si="16"/>
        <v>0</v>
      </c>
      <c r="J204" s="666"/>
      <c r="K204" s="665">
        <f t="shared" si="17"/>
        <v>0</v>
      </c>
      <c r="L204" s="666">
        <f t="shared" si="18"/>
        <v>0</v>
      </c>
      <c r="M204" s="672">
        <v>0</v>
      </c>
      <c r="N204" s="668">
        <f t="shared" si="19"/>
        <v>0</v>
      </c>
      <c r="O204" s="676"/>
      <c r="P204" s="676"/>
    </row>
    <row r="205" spans="1:16" s="677" customFormat="1" ht="25.5" hidden="1" customHeight="1">
      <c r="A205" s="662"/>
      <c r="B205" s="663" t="s">
        <v>1421</v>
      </c>
      <c r="C205" s="675">
        <f>ROUND([8]Data!K707,2)</f>
        <v>672.57</v>
      </c>
      <c r="D205" s="674" t="s">
        <v>264</v>
      </c>
      <c r="E205" s="659"/>
      <c r="F205" s="666">
        <f t="shared" si="15"/>
        <v>0</v>
      </c>
      <c r="G205" s="666"/>
      <c r="H205" s="666"/>
      <c r="I205" s="666">
        <f t="shared" si="16"/>
        <v>0</v>
      </c>
      <c r="J205" s="666"/>
      <c r="K205" s="665">
        <f t="shared" si="17"/>
        <v>0</v>
      </c>
      <c r="L205" s="666">
        <f t="shared" si="18"/>
        <v>0</v>
      </c>
      <c r="M205" s="672">
        <v>0</v>
      </c>
      <c r="N205" s="668">
        <f t="shared" si="19"/>
        <v>0</v>
      </c>
      <c r="O205" s="676"/>
      <c r="P205" s="676"/>
    </row>
    <row r="206" spans="1:16" s="677" customFormat="1" ht="25.5" hidden="1" customHeight="1">
      <c r="A206" s="662"/>
      <c r="B206" s="663" t="s">
        <v>1422</v>
      </c>
      <c r="C206" s="675">
        <f>ROUND([8]Data!K708,2)</f>
        <v>687.66</v>
      </c>
      <c r="D206" s="674" t="s">
        <v>264</v>
      </c>
      <c r="E206" s="659"/>
      <c r="F206" s="666">
        <f t="shared" si="15"/>
        <v>0</v>
      </c>
      <c r="G206" s="666"/>
      <c r="H206" s="666"/>
      <c r="I206" s="666">
        <f t="shared" si="16"/>
        <v>0</v>
      </c>
      <c r="J206" s="666"/>
      <c r="K206" s="665">
        <f t="shared" si="17"/>
        <v>0</v>
      </c>
      <c r="L206" s="666">
        <f t="shared" si="18"/>
        <v>0</v>
      </c>
      <c r="M206" s="672">
        <v>0</v>
      </c>
      <c r="N206" s="668">
        <f t="shared" si="19"/>
        <v>0</v>
      </c>
      <c r="O206" s="676"/>
      <c r="P206" s="676"/>
    </row>
    <row r="207" spans="1:16" s="677" customFormat="1" ht="25.5" hidden="1" customHeight="1">
      <c r="A207" s="666"/>
      <c r="B207" s="663" t="s">
        <v>1423</v>
      </c>
      <c r="C207" s="675">
        <f>ROUND([8]Data!K709,2)</f>
        <v>702.75</v>
      </c>
      <c r="D207" s="674" t="s">
        <v>264</v>
      </c>
      <c r="E207" s="659"/>
      <c r="F207" s="666">
        <f t="shared" si="15"/>
        <v>0</v>
      </c>
      <c r="G207" s="666"/>
      <c r="H207" s="666"/>
      <c r="I207" s="666">
        <f t="shared" si="16"/>
        <v>0</v>
      </c>
      <c r="J207" s="666"/>
      <c r="K207" s="665">
        <f t="shared" si="17"/>
        <v>0</v>
      </c>
      <c r="L207" s="666">
        <f t="shared" si="18"/>
        <v>0</v>
      </c>
      <c r="M207" s="672">
        <v>0</v>
      </c>
      <c r="N207" s="668">
        <f t="shared" si="19"/>
        <v>0</v>
      </c>
      <c r="O207" s="676"/>
      <c r="P207" s="676"/>
    </row>
    <row r="208" spans="1:16" s="677" customFormat="1" ht="25.5" hidden="1" customHeight="1">
      <c r="A208" s="690"/>
      <c r="B208" s="663" t="s">
        <v>1424</v>
      </c>
      <c r="C208" s="675">
        <f>ROUND([8]Data!K710,2)</f>
        <v>717.84</v>
      </c>
      <c r="D208" s="674" t="s">
        <v>264</v>
      </c>
      <c r="E208" s="659"/>
      <c r="F208" s="666">
        <f t="shared" si="15"/>
        <v>0</v>
      </c>
      <c r="G208" s="666"/>
      <c r="H208" s="666"/>
      <c r="I208" s="666">
        <f t="shared" si="16"/>
        <v>0</v>
      </c>
      <c r="J208" s="666"/>
      <c r="K208" s="665">
        <f t="shared" si="17"/>
        <v>0</v>
      </c>
      <c r="L208" s="666">
        <f t="shared" si="18"/>
        <v>0</v>
      </c>
      <c r="M208" s="672">
        <v>0</v>
      </c>
      <c r="N208" s="668">
        <f t="shared" si="19"/>
        <v>0</v>
      </c>
      <c r="O208" s="676"/>
      <c r="P208" s="676"/>
    </row>
    <row r="209" spans="1:17" s="677" customFormat="1" ht="25.5" hidden="1" customHeight="1">
      <c r="A209" s="662">
        <v>17</v>
      </c>
      <c r="B209" s="663" t="s">
        <v>1468</v>
      </c>
      <c r="C209" s="675"/>
      <c r="D209" s="674" t="s">
        <v>264</v>
      </c>
      <c r="E209" s="659"/>
      <c r="F209" s="666">
        <f t="shared" si="15"/>
        <v>0</v>
      </c>
      <c r="G209" s="666"/>
      <c r="H209" s="666"/>
      <c r="I209" s="666">
        <f t="shared" si="16"/>
        <v>0</v>
      </c>
      <c r="J209" s="666"/>
      <c r="K209" s="665">
        <f t="shared" si="17"/>
        <v>0</v>
      </c>
      <c r="L209" s="666">
        <f t="shared" si="18"/>
        <v>0</v>
      </c>
      <c r="M209" s="672">
        <v>0</v>
      </c>
      <c r="N209" s="668">
        <f t="shared" si="19"/>
        <v>0</v>
      </c>
      <c r="O209" s="676"/>
      <c r="P209" s="676"/>
    </row>
    <row r="210" spans="1:17" s="677" customFormat="1" ht="25.5" hidden="1" customHeight="1">
      <c r="A210" s="662">
        <v>18</v>
      </c>
      <c r="B210" s="663" t="s">
        <v>1469</v>
      </c>
      <c r="C210" s="675"/>
      <c r="D210" s="674" t="s">
        <v>264</v>
      </c>
      <c r="E210" s="659"/>
      <c r="F210" s="666">
        <f t="shared" si="15"/>
        <v>0</v>
      </c>
      <c r="G210" s="666"/>
      <c r="H210" s="666"/>
      <c r="I210" s="666">
        <f t="shared" si="16"/>
        <v>0</v>
      </c>
      <c r="J210" s="666"/>
      <c r="K210" s="665">
        <f t="shared" si="17"/>
        <v>0</v>
      </c>
      <c r="L210" s="666">
        <f t="shared" si="18"/>
        <v>0</v>
      </c>
      <c r="M210" s="672">
        <v>0</v>
      </c>
      <c r="N210" s="668">
        <f t="shared" si="19"/>
        <v>0</v>
      </c>
      <c r="O210" s="676"/>
      <c r="P210" s="676"/>
    </row>
    <row r="211" spans="1:17" s="677" customFormat="1" ht="25.5" hidden="1" customHeight="1">
      <c r="A211" s="662">
        <v>19</v>
      </c>
      <c r="B211" s="663" t="s">
        <v>1470</v>
      </c>
      <c r="C211" s="675"/>
      <c r="D211" s="674" t="s">
        <v>264</v>
      </c>
      <c r="E211" s="659"/>
      <c r="F211" s="666">
        <f t="shared" si="15"/>
        <v>0</v>
      </c>
      <c r="G211" s="666"/>
      <c r="H211" s="666"/>
      <c r="I211" s="666">
        <f t="shared" si="16"/>
        <v>0</v>
      </c>
      <c r="J211" s="666"/>
      <c r="K211" s="665">
        <f t="shared" si="17"/>
        <v>0</v>
      </c>
      <c r="L211" s="666">
        <f t="shared" si="18"/>
        <v>0</v>
      </c>
      <c r="M211" s="672">
        <v>0</v>
      </c>
      <c r="N211" s="668">
        <f t="shared" si="19"/>
        <v>0</v>
      </c>
      <c r="O211" s="676"/>
      <c r="P211" s="676"/>
    </row>
    <row r="212" spans="1:17" s="677" customFormat="1" ht="25.5" hidden="1" customHeight="1">
      <c r="A212" s="662">
        <v>20</v>
      </c>
      <c r="B212" s="663" t="s">
        <v>1471</v>
      </c>
      <c r="C212" s="675"/>
      <c r="D212" s="674" t="s">
        <v>264</v>
      </c>
      <c r="E212" s="659"/>
      <c r="F212" s="666">
        <f t="shared" si="15"/>
        <v>0</v>
      </c>
      <c r="G212" s="666"/>
      <c r="H212" s="666"/>
      <c r="I212" s="666">
        <f t="shared" si="16"/>
        <v>0</v>
      </c>
      <c r="J212" s="666"/>
      <c r="K212" s="665">
        <f t="shared" si="17"/>
        <v>0</v>
      </c>
      <c r="L212" s="666">
        <f t="shared" si="18"/>
        <v>0</v>
      </c>
      <c r="M212" s="672">
        <v>0</v>
      </c>
      <c r="N212" s="668">
        <f t="shared" si="19"/>
        <v>0</v>
      </c>
      <c r="O212" s="676"/>
      <c r="P212" s="676"/>
    </row>
    <row r="213" spans="1:17" s="677" customFormat="1" ht="25.5" hidden="1" customHeight="1">
      <c r="A213" s="662">
        <v>21.1</v>
      </c>
      <c r="B213" s="685" t="s">
        <v>1472</v>
      </c>
      <c r="C213" s="675"/>
      <c r="D213" s="674"/>
      <c r="E213" s="659"/>
      <c r="F213" s="666">
        <f t="shared" si="15"/>
        <v>0</v>
      </c>
      <c r="G213" s="666"/>
      <c r="H213" s="666"/>
      <c r="I213" s="666">
        <f t="shared" si="16"/>
        <v>0</v>
      </c>
      <c r="J213" s="666"/>
      <c r="K213" s="665">
        <f t="shared" si="17"/>
        <v>0</v>
      </c>
      <c r="L213" s="666">
        <f t="shared" si="18"/>
        <v>0</v>
      </c>
      <c r="M213" s="672">
        <v>0</v>
      </c>
      <c r="N213" s="668">
        <f t="shared" si="19"/>
        <v>0</v>
      </c>
      <c r="O213" s="676"/>
      <c r="P213" s="676"/>
    </row>
    <row r="214" spans="1:17" s="677" customFormat="1" ht="25.5" hidden="1" customHeight="1">
      <c r="A214" s="662"/>
      <c r="B214" s="663" t="s">
        <v>1473</v>
      </c>
      <c r="C214" s="675">
        <f>ROUND([8]Data!K889,2)</f>
        <v>2446.66</v>
      </c>
      <c r="D214" s="674" t="s">
        <v>522</v>
      </c>
      <c r="E214" s="659"/>
      <c r="F214" s="666">
        <f t="shared" si="15"/>
        <v>0</v>
      </c>
      <c r="G214" s="666"/>
      <c r="H214" s="666"/>
      <c r="I214" s="666">
        <f t="shared" si="16"/>
        <v>0</v>
      </c>
      <c r="J214" s="666"/>
      <c r="K214" s="665">
        <f t="shared" si="17"/>
        <v>0</v>
      </c>
      <c r="L214" s="666">
        <f t="shared" si="18"/>
        <v>0</v>
      </c>
      <c r="M214" s="672">
        <v>0</v>
      </c>
      <c r="N214" s="668">
        <f t="shared" si="19"/>
        <v>0</v>
      </c>
      <c r="O214" s="676"/>
      <c r="P214" s="676"/>
    </row>
    <row r="215" spans="1:17" s="677" customFormat="1" ht="25.5" hidden="1" customHeight="1">
      <c r="A215" s="662"/>
      <c r="B215" s="663" t="s">
        <v>1474</v>
      </c>
      <c r="C215" s="675">
        <f>ROUND([8]Data!K905,2)</f>
        <v>2412.73</v>
      </c>
      <c r="D215" s="674" t="s">
        <v>522</v>
      </c>
      <c r="E215" s="659"/>
      <c r="F215" s="666">
        <f t="shared" si="15"/>
        <v>0</v>
      </c>
      <c r="G215" s="666"/>
      <c r="H215" s="666"/>
      <c r="I215" s="666">
        <f t="shared" si="16"/>
        <v>0</v>
      </c>
      <c r="J215" s="666"/>
      <c r="K215" s="665">
        <f t="shared" si="17"/>
        <v>0</v>
      </c>
      <c r="L215" s="666">
        <f t="shared" si="18"/>
        <v>0</v>
      </c>
      <c r="M215" s="672">
        <v>0</v>
      </c>
      <c r="N215" s="668">
        <f t="shared" si="19"/>
        <v>0</v>
      </c>
      <c r="O215" s="676"/>
      <c r="P215" s="676"/>
    </row>
    <row r="216" spans="1:17" s="677" customFormat="1" ht="25.5" hidden="1" customHeight="1">
      <c r="A216" s="688"/>
      <c r="B216" s="663" t="s">
        <v>1475</v>
      </c>
      <c r="C216" s="675">
        <f>ROUND([8]Data!K871,2)</f>
        <v>2466.65</v>
      </c>
      <c r="D216" s="674" t="s">
        <v>522</v>
      </c>
      <c r="E216" s="659"/>
      <c r="F216" s="666">
        <f t="shared" si="15"/>
        <v>0</v>
      </c>
      <c r="G216" s="666"/>
      <c r="H216" s="666"/>
      <c r="I216" s="666">
        <f t="shared" si="16"/>
        <v>0</v>
      </c>
      <c r="J216" s="666"/>
      <c r="K216" s="665">
        <f t="shared" si="17"/>
        <v>0</v>
      </c>
      <c r="L216" s="666">
        <f t="shared" si="18"/>
        <v>0</v>
      </c>
      <c r="M216" s="672">
        <v>0</v>
      </c>
      <c r="N216" s="668">
        <f t="shared" si="19"/>
        <v>0</v>
      </c>
      <c r="O216" s="676"/>
      <c r="P216" s="676"/>
    </row>
    <row r="217" spans="1:17" ht="46.5" customHeight="1">
      <c r="A217" s="662">
        <v>21.2</v>
      </c>
      <c r="B217" s="685" t="s">
        <v>1476</v>
      </c>
      <c r="C217" s="667"/>
      <c r="D217" s="663"/>
      <c r="E217" s="665"/>
      <c r="F217" s="666">
        <f t="shared" si="15"/>
        <v>0</v>
      </c>
      <c r="G217" s="666"/>
      <c r="H217" s="666"/>
      <c r="I217" s="666">
        <f t="shared" si="16"/>
        <v>0</v>
      </c>
      <c r="J217" s="666"/>
      <c r="K217" s="665">
        <f t="shared" si="17"/>
        <v>0</v>
      </c>
      <c r="L217" s="666">
        <f t="shared" si="18"/>
        <v>0</v>
      </c>
      <c r="M217" s="668">
        <v>0</v>
      </c>
      <c r="N217" s="668">
        <f t="shared" si="19"/>
        <v>0</v>
      </c>
      <c r="O217" s="678"/>
      <c r="Q217" s="679"/>
    </row>
    <row r="218" spans="1:17" ht="46.5" customHeight="1">
      <c r="A218" s="662"/>
      <c r="B218" s="663" t="s">
        <v>1477</v>
      </c>
      <c r="C218" s="667">
        <f>ROUND([8]Data!K923,2)</f>
        <v>123400</v>
      </c>
      <c r="D218" s="663" t="s">
        <v>235</v>
      </c>
      <c r="E218" s="744">
        <f>[8]Detailed!H456</f>
        <v>0.126</v>
      </c>
      <c r="F218" s="666">
        <f t="shared" si="15"/>
        <v>15548.4</v>
      </c>
      <c r="G218" s="666"/>
      <c r="H218" s="666"/>
      <c r="I218" s="666">
        <f t="shared" si="16"/>
        <v>0</v>
      </c>
      <c r="J218" s="666"/>
      <c r="K218" s="744">
        <f t="shared" si="17"/>
        <v>0.126</v>
      </c>
      <c r="L218" s="666">
        <f t="shared" si="18"/>
        <v>15548.4</v>
      </c>
      <c r="M218" s="672">
        <v>0.126</v>
      </c>
      <c r="N218" s="668">
        <f t="shared" si="19"/>
        <v>0</v>
      </c>
    </row>
    <row r="219" spans="1:17" ht="46.5" customHeight="1">
      <c r="A219" s="687"/>
      <c r="B219" s="663" t="s">
        <v>1478</v>
      </c>
      <c r="C219" s="667">
        <f>ROUND([8]Data!K930,2)</f>
        <v>111200</v>
      </c>
      <c r="D219" s="663" t="s">
        <v>235</v>
      </c>
      <c r="E219" s="744">
        <f>[8]Detailed!H463</f>
        <v>6.2E-2</v>
      </c>
      <c r="F219" s="666">
        <f t="shared" si="15"/>
        <v>6894.4</v>
      </c>
      <c r="G219" s="666"/>
      <c r="H219" s="666"/>
      <c r="I219" s="666">
        <f t="shared" si="16"/>
        <v>0</v>
      </c>
      <c r="J219" s="666"/>
      <c r="K219" s="744">
        <f t="shared" si="17"/>
        <v>6.2E-2</v>
      </c>
      <c r="L219" s="666">
        <f t="shared" si="18"/>
        <v>6894.4</v>
      </c>
      <c r="M219" s="672">
        <v>6.0999999999999999E-2</v>
      </c>
      <c r="N219" s="668">
        <f t="shared" si="19"/>
        <v>1.0000000000000009E-3</v>
      </c>
    </row>
    <row r="220" spans="1:17" s="677" customFormat="1" ht="37.5" hidden="1" customHeight="1">
      <c r="A220" s="662">
        <v>21.3</v>
      </c>
      <c r="B220" s="663" t="s">
        <v>1479</v>
      </c>
      <c r="C220" s="675">
        <f>ROUND([8]Data!K912,2)</f>
        <v>2034</v>
      </c>
      <c r="D220" s="674" t="s">
        <v>264</v>
      </c>
      <c r="E220" s="659"/>
      <c r="F220" s="666">
        <f t="shared" si="15"/>
        <v>0</v>
      </c>
      <c r="G220" s="666"/>
      <c r="H220" s="666"/>
      <c r="I220" s="666">
        <f t="shared" si="16"/>
        <v>0</v>
      </c>
      <c r="J220" s="666"/>
      <c r="K220" s="665">
        <f t="shared" si="17"/>
        <v>0</v>
      </c>
      <c r="L220" s="666">
        <f t="shared" si="18"/>
        <v>0</v>
      </c>
      <c r="M220" s="672">
        <v>0</v>
      </c>
      <c r="N220" s="668">
        <f t="shared" si="19"/>
        <v>0</v>
      </c>
      <c r="O220" s="676"/>
      <c r="P220" s="676"/>
    </row>
    <row r="221" spans="1:17" s="677" customFormat="1" ht="25.5" hidden="1" customHeight="1">
      <c r="A221" s="662">
        <v>22.1</v>
      </c>
      <c r="B221" s="663" t="s">
        <v>1480</v>
      </c>
      <c r="C221" s="675"/>
      <c r="D221" s="674"/>
      <c r="E221" s="659"/>
      <c r="F221" s="666">
        <f t="shared" si="15"/>
        <v>0</v>
      </c>
      <c r="G221" s="666"/>
      <c r="H221" s="666"/>
      <c r="I221" s="666">
        <f t="shared" si="16"/>
        <v>0</v>
      </c>
      <c r="J221" s="666"/>
      <c r="K221" s="665">
        <f t="shared" si="17"/>
        <v>0</v>
      </c>
      <c r="L221" s="666">
        <f t="shared" si="18"/>
        <v>0</v>
      </c>
      <c r="M221" s="672">
        <v>0</v>
      </c>
      <c r="N221" s="668">
        <f t="shared" si="19"/>
        <v>0</v>
      </c>
      <c r="O221" s="676"/>
      <c r="P221" s="676"/>
    </row>
    <row r="222" spans="1:17" s="677" customFormat="1" ht="25.5" hidden="1" customHeight="1">
      <c r="A222" s="666"/>
      <c r="B222" s="663" t="s">
        <v>1481</v>
      </c>
      <c r="C222" s="675">
        <f>ROUND([8]Data!K964,2)</f>
        <v>4719.55</v>
      </c>
      <c r="D222" s="674" t="s">
        <v>264</v>
      </c>
      <c r="E222" s="659"/>
      <c r="F222" s="666">
        <f t="shared" si="15"/>
        <v>0</v>
      </c>
      <c r="G222" s="666"/>
      <c r="H222" s="666"/>
      <c r="I222" s="666">
        <f t="shared" si="16"/>
        <v>0</v>
      </c>
      <c r="J222" s="666"/>
      <c r="K222" s="665">
        <f t="shared" si="17"/>
        <v>0</v>
      </c>
      <c r="L222" s="666">
        <f t="shared" si="18"/>
        <v>0</v>
      </c>
      <c r="M222" s="672">
        <v>0</v>
      </c>
      <c r="N222" s="668">
        <f t="shared" si="19"/>
        <v>0</v>
      </c>
      <c r="O222" s="676"/>
      <c r="P222" s="676"/>
    </row>
    <row r="223" spans="1:17" s="677" customFormat="1" ht="25.5" hidden="1" customHeight="1">
      <c r="A223" s="666"/>
      <c r="B223" s="663" t="s">
        <v>1482</v>
      </c>
      <c r="C223" s="675">
        <f>ROUND([8]Data!K1000,2)</f>
        <v>4803.54</v>
      </c>
      <c r="D223" s="674" t="s">
        <v>264</v>
      </c>
      <c r="E223" s="659"/>
      <c r="F223" s="666">
        <f t="shared" si="15"/>
        <v>0</v>
      </c>
      <c r="G223" s="666"/>
      <c r="H223" s="666"/>
      <c r="I223" s="666">
        <f t="shared" si="16"/>
        <v>0</v>
      </c>
      <c r="J223" s="666"/>
      <c r="K223" s="665">
        <f t="shared" si="17"/>
        <v>0</v>
      </c>
      <c r="L223" s="666">
        <f t="shared" si="18"/>
        <v>0</v>
      </c>
      <c r="M223" s="672">
        <v>0</v>
      </c>
      <c r="N223" s="668">
        <f t="shared" si="19"/>
        <v>0</v>
      </c>
      <c r="O223" s="676"/>
      <c r="P223" s="676"/>
    </row>
    <row r="224" spans="1:17" s="677" customFormat="1" ht="25.5" hidden="1" customHeight="1">
      <c r="A224" s="690"/>
      <c r="B224" s="663" t="s">
        <v>1483</v>
      </c>
      <c r="C224" s="675">
        <f>ROUND([8]Data!K1030,2)</f>
        <v>4817.3500000000004</v>
      </c>
      <c r="D224" s="674" t="s">
        <v>264</v>
      </c>
      <c r="E224" s="659"/>
      <c r="F224" s="666">
        <f t="shared" si="15"/>
        <v>0</v>
      </c>
      <c r="G224" s="666"/>
      <c r="H224" s="666"/>
      <c r="I224" s="666">
        <f t="shared" si="16"/>
        <v>0</v>
      </c>
      <c r="J224" s="666"/>
      <c r="K224" s="665">
        <f t="shared" si="17"/>
        <v>0</v>
      </c>
      <c r="L224" s="666">
        <f t="shared" si="18"/>
        <v>0</v>
      </c>
      <c r="M224" s="672">
        <v>0</v>
      </c>
      <c r="N224" s="668">
        <f t="shared" si="19"/>
        <v>0</v>
      </c>
      <c r="O224" s="676"/>
      <c r="P224" s="676"/>
    </row>
    <row r="225" spans="1:16" s="677" customFormat="1" ht="25.5" hidden="1" customHeight="1">
      <c r="A225" s="690"/>
      <c r="B225" s="663" t="s">
        <v>1484</v>
      </c>
      <c r="C225" s="675">
        <f>[8]Data!R2834</f>
        <v>5284.73</v>
      </c>
      <c r="D225" s="674" t="s">
        <v>264</v>
      </c>
      <c r="E225" s="659"/>
      <c r="F225" s="666">
        <f t="shared" si="15"/>
        <v>0</v>
      </c>
      <c r="G225" s="666"/>
      <c r="H225" s="666"/>
      <c r="I225" s="666">
        <f t="shared" si="16"/>
        <v>0</v>
      </c>
      <c r="J225" s="666"/>
      <c r="K225" s="665">
        <f t="shared" si="17"/>
        <v>0</v>
      </c>
      <c r="L225" s="666">
        <f t="shared" si="18"/>
        <v>0</v>
      </c>
      <c r="M225" s="672">
        <v>0</v>
      </c>
      <c r="N225" s="668">
        <f t="shared" si="19"/>
        <v>0</v>
      </c>
      <c r="O225" s="676"/>
      <c r="P225" s="676"/>
    </row>
    <row r="226" spans="1:16" s="677" customFormat="1" ht="25.5" hidden="1" customHeight="1">
      <c r="A226" s="662">
        <v>22.2</v>
      </c>
      <c r="B226" s="685" t="s">
        <v>1485</v>
      </c>
      <c r="C226" s="675"/>
      <c r="D226" s="674"/>
      <c r="E226" s="659"/>
      <c r="F226" s="666">
        <f t="shared" si="15"/>
        <v>0</v>
      </c>
      <c r="G226" s="666"/>
      <c r="H226" s="666"/>
      <c r="I226" s="666">
        <f t="shared" si="16"/>
        <v>0</v>
      </c>
      <c r="J226" s="666"/>
      <c r="K226" s="665">
        <f t="shared" si="17"/>
        <v>0</v>
      </c>
      <c r="L226" s="666">
        <f t="shared" si="18"/>
        <v>0</v>
      </c>
      <c r="M226" s="672">
        <v>0</v>
      </c>
      <c r="N226" s="668">
        <f t="shared" si="19"/>
        <v>0</v>
      </c>
      <c r="O226" s="676"/>
      <c r="P226" s="676"/>
    </row>
    <row r="227" spans="1:16" s="677" customFormat="1" ht="25.5" hidden="1" customHeight="1">
      <c r="A227" s="666"/>
      <c r="B227" s="663" t="s">
        <v>1486</v>
      </c>
      <c r="C227" s="675">
        <f>ROUND([8]Data!K1081,2)</f>
        <v>3364.08</v>
      </c>
      <c r="D227" s="674" t="s">
        <v>264</v>
      </c>
      <c r="E227" s="659"/>
      <c r="F227" s="666">
        <f t="shared" si="15"/>
        <v>0</v>
      </c>
      <c r="G227" s="666"/>
      <c r="H227" s="666"/>
      <c r="I227" s="666">
        <f t="shared" si="16"/>
        <v>0</v>
      </c>
      <c r="J227" s="666"/>
      <c r="K227" s="665">
        <f t="shared" si="17"/>
        <v>0</v>
      </c>
      <c r="L227" s="666">
        <f t="shared" si="18"/>
        <v>0</v>
      </c>
      <c r="M227" s="672">
        <v>0</v>
      </c>
      <c r="N227" s="668">
        <f t="shared" si="19"/>
        <v>0</v>
      </c>
      <c r="O227" s="676"/>
      <c r="P227" s="676"/>
    </row>
    <row r="228" spans="1:16" s="677" customFormat="1" ht="25.5" hidden="1" customHeight="1">
      <c r="A228" s="666"/>
      <c r="B228" s="663" t="s">
        <v>1487</v>
      </c>
      <c r="C228" s="675"/>
      <c r="D228" s="674" t="s">
        <v>264</v>
      </c>
      <c r="E228" s="659"/>
      <c r="F228" s="666">
        <f t="shared" si="15"/>
        <v>0</v>
      </c>
      <c r="G228" s="666"/>
      <c r="H228" s="666"/>
      <c r="I228" s="666">
        <f t="shared" si="16"/>
        <v>0</v>
      </c>
      <c r="J228" s="666"/>
      <c r="K228" s="665">
        <f t="shared" si="17"/>
        <v>0</v>
      </c>
      <c r="L228" s="666">
        <f t="shared" si="18"/>
        <v>0</v>
      </c>
      <c r="M228" s="672">
        <v>0</v>
      </c>
      <c r="N228" s="668">
        <f t="shared" si="19"/>
        <v>0</v>
      </c>
      <c r="O228" s="676"/>
      <c r="P228" s="676"/>
    </row>
    <row r="229" spans="1:16" s="677" customFormat="1" ht="25.5" hidden="1" customHeight="1">
      <c r="A229" s="666"/>
      <c r="B229" s="663" t="s">
        <v>1488</v>
      </c>
      <c r="C229" s="675">
        <f>ROUND([8]Data!K1097,2)</f>
        <v>3552.27</v>
      </c>
      <c r="D229" s="674" t="s">
        <v>264</v>
      </c>
      <c r="E229" s="659"/>
      <c r="F229" s="666">
        <f t="shared" si="15"/>
        <v>0</v>
      </c>
      <c r="G229" s="666"/>
      <c r="H229" s="666"/>
      <c r="I229" s="666">
        <f t="shared" si="16"/>
        <v>0</v>
      </c>
      <c r="J229" s="666"/>
      <c r="K229" s="665">
        <f t="shared" si="17"/>
        <v>0</v>
      </c>
      <c r="L229" s="666">
        <f t="shared" si="18"/>
        <v>0</v>
      </c>
      <c r="M229" s="672">
        <v>0</v>
      </c>
      <c r="N229" s="668">
        <f t="shared" si="19"/>
        <v>0</v>
      </c>
      <c r="O229" s="676"/>
      <c r="P229" s="676"/>
    </row>
    <row r="230" spans="1:16" s="677" customFormat="1" ht="25.5" hidden="1" customHeight="1">
      <c r="A230" s="690"/>
      <c r="B230" s="663" t="s">
        <v>1489</v>
      </c>
      <c r="C230" s="675">
        <f>ROUND([8]Data!K1112,2)</f>
        <v>2642.35</v>
      </c>
      <c r="D230" s="674" t="s">
        <v>264</v>
      </c>
      <c r="E230" s="659"/>
      <c r="F230" s="666">
        <f t="shared" si="15"/>
        <v>0</v>
      </c>
      <c r="G230" s="666"/>
      <c r="H230" s="666"/>
      <c r="I230" s="666">
        <f t="shared" si="16"/>
        <v>0</v>
      </c>
      <c r="J230" s="666"/>
      <c r="K230" s="665">
        <f t="shared" si="17"/>
        <v>0</v>
      </c>
      <c r="L230" s="666">
        <f t="shared" si="18"/>
        <v>0</v>
      </c>
      <c r="M230" s="672">
        <v>0</v>
      </c>
      <c r="N230" s="668">
        <f t="shared" si="19"/>
        <v>0</v>
      </c>
      <c r="O230" s="676"/>
      <c r="P230" s="676"/>
    </row>
    <row r="231" spans="1:16" s="677" customFormat="1" ht="37.5" hidden="1" customHeight="1">
      <c r="A231" s="662">
        <v>22.3</v>
      </c>
      <c r="B231" s="663" t="s">
        <v>1490</v>
      </c>
      <c r="C231" s="675"/>
      <c r="D231" s="674" t="s">
        <v>264</v>
      </c>
      <c r="E231" s="659"/>
      <c r="F231" s="666">
        <f t="shared" si="15"/>
        <v>0</v>
      </c>
      <c r="G231" s="666"/>
      <c r="H231" s="666"/>
      <c r="I231" s="666">
        <f t="shared" si="16"/>
        <v>0</v>
      </c>
      <c r="J231" s="666"/>
      <c r="K231" s="665">
        <f t="shared" si="17"/>
        <v>0</v>
      </c>
      <c r="L231" s="666">
        <f t="shared" si="18"/>
        <v>0</v>
      </c>
      <c r="M231" s="672">
        <v>0</v>
      </c>
      <c r="N231" s="668">
        <f t="shared" si="19"/>
        <v>0</v>
      </c>
      <c r="O231" s="676"/>
      <c r="P231" s="676"/>
    </row>
    <row r="232" spans="1:16" s="677" customFormat="1" ht="43.5" hidden="1" customHeight="1">
      <c r="A232" s="662">
        <v>23.1</v>
      </c>
      <c r="B232" s="663" t="s">
        <v>1491</v>
      </c>
      <c r="C232" s="675"/>
      <c r="D232" s="674" t="s">
        <v>264</v>
      </c>
      <c r="E232" s="659"/>
      <c r="F232" s="666">
        <f t="shared" si="15"/>
        <v>0</v>
      </c>
      <c r="G232" s="666"/>
      <c r="H232" s="666"/>
      <c r="I232" s="666">
        <f t="shared" si="16"/>
        <v>0</v>
      </c>
      <c r="J232" s="666"/>
      <c r="K232" s="665">
        <f t="shared" si="17"/>
        <v>0</v>
      </c>
      <c r="L232" s="666">
        <f t="shared" si="18"/>
        <v>0</v>
      </c>
      <c r="M232" s="672">
        <v>0</v>
      </c>
      <c r="N232" s="668">
        <f t="shared" si="19"/>
        <v>0</v>
      </c>
      <c r="O232" s="676"/>
      <c r="P232" s="676"/>
    </row>
    <row r="233" spans="1:16" s="677" customFormat="1" ht="25.5" hidden="1" customHeight="1">
      <c r="A233" s="690"/>
      <c r="B233" s="663" t="s">
        <v>1473</v>
      </c>
      <c r="C233" s="675">
        <f>ROUND([8]Data!K1066,2)</f>
        <v>3424.55</v>
      </c>
      <c r="D233" s="674" t="s">
        <v>264</v>
      </c>
      <c r="E233" s="659"/>
      <c r="F233" s="666">
        <f t="shared" si="15"/>
        <v>0</v>
      </c>
      <c r="G233" s="666"/>
      <c r="H233" s="666"/>
      <c r="I233" s="666">
        <f t="shared" si="16"/>
        <v>0</v>
      </c>
      <c r="J233" s="666"/>
      <c r="K233" s="665">
        <f t="shared" si="17"/>
        <v>0</v>
      </c>
      <c r="L233" s="666">
        <f t="shared" si="18"/>
        <v>0</v>
      </c>
      <c r="M233" s="672">
        <v>0</v>
      </c>
      <c r="N233" s="668">
        <f t="shared" si="19"/>
        <v>0</v>
      </c>
      <c r="O233" s="676"/>
      <c r="P233" s="676"/>
    </row>
    <row r="234" spans="1:16" s="677" customFormat="1" ht="25.5" hidden="1" customHeight="1">
      <c r="A234" s="662">
        <v>23.2</v>
      </c>
      <c r="B234" s="663" t="s">
        <v>1492</v>
      </c>
      <c r="C234" s="675">
        <f>ROUND([8]Data!K1185,2)</f>
        <v>708.1</v>
      </c>
      <c r="D234" s="674" t="s">
        <v>264</v>
      </c>
      <c r="E234" s="659"/>
      <c r="F234" s="666">
        <f t="shared" si="15"/>
        <v>0</v>
      </c>
      <c r="G234" s="666"/>
      <c r="H234" s="666"/>
      <c r="I234" s="666">
        <f t="shared" si="16"/>
        <v>0</v>
      </c>
      <c r="J234" s="666"/>
      <c r="K234" s="665">
        <f t="shared" si="17"/>
        <v>0</v>
      </c>
      <c r="L234" s="666">
        <f t="shared" si="18"/>
        <v>0</v>
      </c>
      <c r="M234" s="672">
        <v>0</v>
      </c>
      <c r="N234" s="668">
        <f t="shared" si="19"/>
        <v>0</v>
      </c>
      <c r="O234" s="676"/>
      <c r="P234" s="676"/>
    </row>
    <row r="235" spans="1:16" s="683" customFormat="1" ht="51" customHeight="1">
      <c r="A235" s="662">
        <v>23.3</v>
      </c>
      <c r="B235" s="663" t="s">
        <v>1493</v>
      </c>
      <c r="C235" s="667">
        <f>[8]Data!K1170</f>
        <v>52</v>
      </c>
      <c r="D235" s="663" t="s">
        <v>522</v>
      </c>
      <c r="E235" s="665">
        <f>[8]Detailed!H471</f>
        <v>12</v>
      </c>
      <c r="F235" s="666">
        <f t="shared" si="15"/>
        <v>624</v>
      </c>
      <c r="G235" s="666"/>
      <c r="H235" s="666"/>
      <c r="I235" s="666">
        <f t="shared" si="16"/>
        <v>0</v>
      </c>
      <c r="J235" s="666"/>
      <c r="K235" s="665">
        <f t="shared" si="17"/>
        <v>12</v>
      </c>
      <c r="L235" s="666">
        <f t="shared" si="18"/>
        <v>624</v>
      </c>
      <c r="M235" s="672">
        <v>12</v>
      </c>
      <c r="N235" s="668">
        <f t="shared" si="19"/>
        <v>0</v>
      </c>
      <c r="O235" s="669"/>
      <c r="P235" s="669"/>
    </row>
    <row r="236" spans="1:16" s="677" customFormat="1" ht="46.5" hidden="1" customHeight="1">
      <c r="A236" s="662">
        <v>23.4</v>
      </c>
      <c r="B236" s="663" t="s">
        <v>1494</v>
      </c>
      <c r="C236" s="675"/>
      <c r="D236" s="674"/>
      <c r="E236" s="659"/>
      <c r="F236" s="666">
        <f t="shared" si="15"/>
        <v>0</v>
      </c>
      <c r="G236" s="666"/>
      <c r="H236" s="666"/>
      <c r="I236" s="666">
        <f t="shared" si="16"/>
        <v>0</v>
      </c>
      <c r="J236" s="666"/>
      <c r="K236" s="665">
        <f t="shared" si="17"/>
        <v>0</v>
      </c>
      <c r="L236" s="666">
        <f t="shared" si="18"/>
        <v>0</v>
      </c>
      <c r="M236" s="672">
        <v>0</v>
      </c>
      <c r="N236" s="668">
        <f t="shared" si="19"/>
        <v>0</v>
      </c>
      <c r="O236" s="676"/>
      <c r="P236" s="676"/>
    </row>
    <row r="237" spans="1:16" s="677" customFormat="1" ht="33" hidden="1" customHeight="1">
      <c r="A237" s="666"/>
      <c r="B237" s="663" t="s">
        <v>1495</v>
      </c>
      <c r="C237" s="675">
        <f>[8]Data!X1399</f>
        <v>14549.64</v>
      </c>
      <c r="D237" s="674" t="s">
        <v>522</v>
      </c>
      <c r="E237" s="659"/>
      <c r="F237" s="666">
        <f t="shared" si="15"/>
        <v>0</v>
      </c>
      <c r="G237" s="666"/>
      <c r="H237" s="666"/>
      <c r="I237" s="666">
        <f t="shared" si="16"/>
        <v>0</v>
      </c>
      <c r="J237" s="666"/>
      <c r="K237" s="665">
        <f t="shared" si="17"/>
        <v>0</v>
      </c>
      <c r="L237" s="666">
        <f t="shared" si="18"/>
        <v>0</v>
      </c>
      <c r="M237" s="672">
        <v>0</v>
      </c>
      <c r="N237" s="668">
        <f t="shared" si="19"/>
        <v>0</v>
      </c>
      <c r="O237" s="676"/>
      <c r="P237" s="676"/>
    </row>
    <row r="238" spans="1:16" s="677" customFormat="1" ht="33" hidden="1" customHeight="1">
      <c r="A238" s="666"/>
      <c r="B238" s="663" t="s">
        <v>1496</v>
      </c>
      <c r="C238" s="675">
        <f>[8]Data!R1404</f>
        <v>10968.39</v>
      </c>
      <c r="D238" s="674" t="s">
        <v>522</v>
      </c>
      <c r="E238" s="659"/>
      <c r="F238" s="666">
        <f t="shared" si="15"/>
        <v>0</v>
      </c>
      <c r="G238" s="666"/>
      <c r="H238" s="666"/>
      <c r="I238" s="666">
        <f t="shared" si="16"/>
        <v>0</v>
      </c>
      <c r="J238" s="666"/>
      <c r="K238" s="665">
        <f t="shared" si="17"/>
        <v>0</v>
      </c>
      <c r="L238" s="666">
        <f t="shared" si="18"/>
        <v>0</v>
      </c>
      <c r="M238" s="672">
        <v>0</v>
      </c>
      <c r="N238" s="668">
        <f t="shared" si="19"/>
        <v>0</v>
      </c>
      <c r="O238" s="676"/>
      <c r="P238" s="676"/>
    </row>
    <row r="239" spans="1:16" s="677" customFormat="1" ht="33" hidden="1" customHeight="1">
      <c r="A239" s="666"/>
      <c r="B239" s="663" t="s">
        <v>1497</v>
      </c>
      <c r="C239" s="675">
        <f>[8]Data!X1365</f>
        <v>9368.61</v>
      </c>
      <c r="D239" s="674" t="s">
        <v>522</v>
      </c>
      <c r="E239" s="659"/>
      <c r="F239" s="666">
        <f t="shared" si="15"/>
        <v>0</v>
      </c>
      <c r="G239" s="666"/>
      <c r="H239" s="666"/>
      <c r="I239" s="666">
        <f t="shared" si="16"/>
        <v>0</v>
      </c>
      <c r="J239" s="666"/>
      <c r="K239" s="665">
        <f t="shared" si="17"/>
        <v>0</v>
      </c>
      <c r="L239" s="666">
        <f t="shared" si="18"/>
        <v>0</v>
      </c>
      <c r="M239" s="672">
        <v>0</v>
      </c>
      <c r="N239" s="668">
        <f t="shared" si="19"/>
        <v>0</v>
      </c>
      <c r="O239" s="676"/>
      <c r="P239" s="676"/>
    </row>
    <row r="240" spans="1:16" s="677" customFormat="1" ht="33" hidden="1" customHeight="1">
      <c r="A240" s="666"/>
      <c r="B240" s="663" t="s">
        <v>1498</v>
      </c>
      <c r="C240" s="675">
        <f>[8]Data!R1421</f>
        <v>8713.44</v>
      </c>
      <c r="D240" s="674" t="s">
        <v>522</v>
      </c>
      <c r="E240" s="659"/>
      <c r="F240" s="666">
        <f t="shared" si="15"/>
        <v>0</v>
      </c>
      <c r="G240" s="666"/>
      <c r="H240" s="666"/>
      <c r="I240" s="666">
        <f t="shared" si="16"/>
        <v>0</v>
      </c>
      <c r="J240" s="666"/>
      <c r="K240" s="665">
        <f t="shared" si="17"/>
        <v>0</v>
      </c>
      <c r="L240" s="666">
        <f t="shared" si="18"/>
        <v>0</v>
      </c>
      <c r="M240" s="672">
        <v>0</v>
      </c>
      <c r="N240" s="668">
        <f t="shared" si="19"/>
        <v>0</v>
      </c>
      <c r="O240" s="676"/>
      <c r="P240" s="676"/>
    </row>
    <row r="241" spans="1:16" s="677" customFormat="1" ht="33" hidden="1" customHeight="1">
      <c r="A241" s="666"/>
      <c r="B241" s="663" t="s">
        <v>1499</v>
      </c>
      <c r="C241" s="675">
        <f>[8]Data!X1463</f>
        <v>7235.67</v>
      </c>
      <c r="D241" s="674" t="s">
        <v>522</v>
      </c>
      <c r="E241" s="659"/>
      <c r="F241" s="666">
        <f t="shared" si="15"/>
        <v>0</v>
      </c>
      <c r="G241" s="666"/>
      <c r="H241" s="666"/>
      <c r="I241" s="666">
        <f t="shared" si="16"/>
        <v>0</v>
      </c>
      <c r="J241" s="666"/>
      <c r="K241" s="665">
        <f t="shared" si="17"/>
        <v>0</v>
      </c>
      <c r="L241" s="666">
        <f t="shared" si="18"/>
        <v>0</v>
      </c>
      <c r="M241" s="672">
        <v>0</v>
      </c>
      <c r="N241" s="668">
        <f t="shared" si="19"/>
        <v>0</v>
      </c>
      <c r="O241" s="676"/>
      <c r="P241" s="676"/>
    </row>
    <row r="242" spans="1:16" s="677" customFormat="1" ht="33" hidden="1" customHeight="1">
      <c r="A242" s="666"/>
      <c r="B242" s="663" t="s">
        <v>1500</v>
      </c>
      <c r="C242" s="675">
        <f>[8]Data!AD1380</f>
        <v>8048.46</v>
      </c>
      <c r="D242" s="674" t="s">
        <v>522</v>
      </c>
      <c r="E242" s="659"/>
      <c r="F242" s="666">
        <f t="shared" si="15"/>
        <v>0</v>
      </c>
      <c r="G242" s="666"/>
      <c r="H242" s="666"/>
      <c r="I242" s="666">
        <f t="shared" si="16"/>
        <v>0</v>
      </c>
      <c r="J242" s="666"/>
      <c r="K242" s="665">
        <f t="shared" si="17"/>
        <v>0</v>
      </c>
      <c r="L242" s="666">
        <f t="shared" si="18"/>
        <v>0</v>
      </c>
      <c r="M242" s="672">
        <v>0</v>
      </c>
      <c r="N242" s="668">
        <f t="shared" si="19"/>
        <v>0</v>
      </c>
      <c r="O242" s="676"/>
      <c r="P242" s="676"/>
    </row>
    <row r="243" spans="1:16" s="677" customFormat="1" ht="33" hidden="1" customHeight="1">
      <c r="A243" s="666"/>
      <c r="B243" s="663" t="s">
        <v>1501</v>
      </c>
      <c r="C243" s="675">
        <f>[8]Data!X1382</f>
        <v>7379.44</v>
      </c>
      <c r="D243" s="674" t="s">
        <v>522</v>
      </c>
      <c r="E243" s="659"/>
      <c r="F243" s="666">
        <f t="shared" si="15"/>
        <v>0</v>
      </c>
      <c r="G243" s="666"/>
      <c r="H243" s="666"/>
      <c r="I243" s="666">
        <f t="shared" si="16"/>
        <v>0</v>
      </c>
      <c r="J243" s="666"/>
      <c r="K243" s="665">
        <f t="shared" si="17"/>
        <v>0</v>
      </c>
      <c r="L243" s="666">
        <f t="shared" si="18"/>
        <v>0</v>
      </c>
      <c r="M243" s="672">
        <v>0</v>
      </c>
      <c r="N243" s="668">
        <f t="shared" si="19"/>
        <v>0</v>
      </c>
      <c r="O243" s="676"/>
      <c r="P243" s="676"/>
    </row>
    <row r="244" spans="1:16" s="677" customFormat="1" ht="33" hidden="1" customHeight="1">
      <c r="A244" s="666"/>
      <c r="B244" s="663" t="s">
        <v>1502</v>
      </c>
      <c r="C244" s="675">
        <f>[8]Data!AD1363</f>
        <v>6304.16</v>
      </c>
      <c r="D244" s="674" t="s">
        <v>522</v>
      </c>
      <c r="E244" s="659"/>
      <c r="F244" s="666">
        <f t="shared" si="15"/>
        <v>0</v>
      </c>
      <c r="G244" s="666"/>
      <c r="H244" s="666"/>
      <c r="I244" s="666">
        <f t="shared" si="16"/>
        <v>0</v>
      </c>
      <c r="J244" s="666"/>
      <c r="K244" s="665">
        <f t="shared" si="17"/>
        <v>0</v>
      </c>
      <c r="L244" s="666">
        <f t="shared" si="18"/>
        <v>0</v>
      </c>
      <c r="M244" s="672">
        <v>0</v>
      </c>
      <c r="N244" s="668">
        <f t="shared" si="19"/>
        <v>0</v>
      </c>
      <c r="O244" s="676"/>
      <c r="P244" s="676"/>
    </row>
    <row r="245" spans="1:16" s="677" customFormat="1" ht="33" hidden="1" customHeight="1">
      <c r="A245" s="666"/>
      <c r="B245" s="663" t="s">
        <v>1503</v>
      </c>
      <c r="C245" s="675">
        <f>[8]Data!AD1397</f>
        <v>4015.35</v>
      </c>
      <c r="D245" s="674" t="s">
        <v>522</v>
      </c>
      <c r="E245" s="659"/>
      <c r="F245" s="666">
        <f t="shared" si="15"/>
        <v>0</v>
      </c>
      <c r="G245" s="666"/>
      <c r="H245" s="666"/>
      <c r="I245" s="666">
        <f t="shared" si="16"/>
        <v>0</v>
      </c>
      <c r="J245" s="666"/>
      <c r="K245" s="665">
        <f t="shared" si="17"/>
        <v>0</v>
      </c>
      <c r="L245" s="666">
        <f t="shared" si="18"/>
        <v>0</v>
      </c>
      <c r="M245" s="672">
        <v>0</v>
      </c>
      <c r="N245" s="668">
        <f t="shared" si="19"/>
        <v>0</v>
      </c>
      <c r="O245" s="676"/>
      <c r="P245" s="676"/>
    </row>
    <row r="246" spans="1:16" s="677" customFormat="1" ht="33" hidden="1" customHeight="1">
      <c r="A246" s="666"/>
      <c r="B246" s="663" t="s">
        <v>1504</v>
      </c>
      <c r="C246" s="675">
        <f>[8]Data!R1438</f>
        <v>3794.03</v>
      </c>
      <c r="D246" s="674" t="s">
        <v>522</v>
      </c>
      <c r="E246" s="659"/>
      <c r="F246" s="666">
        <f t="shared" si="15"/>
        <v>0</v>
      </c>
      <c r="G246" s="666"/>
      <c r="H246" s="666"/>
      <c r="I246" s="666">
        <f t="shared" si="16"/>
        <v>0</v>
      </c>
      <c r="J246" s="666"/>
      <c r="K246" s="665">
        <f t="shared" si="17"/>
        <v>0</v>
      </c>
      <c r="L246" s="666">
        <f t="shared" si="18"/>
        <v>0</v>
      </c>
      <c r="M246" s="672">
        <v>0</v>
      </c>
      <c r="N246" s="668">
        <f t="shared" si="19"/>
        <v>0</v>
      </c>
      <c r="O246" s="676"/>
      <c r="P246" s="676"/>
    </row>
    <row r="247" spans="1:16" s="677" customFormat="1" ht="33" hidden="1" customHeight="1">
      <c r="A247" s="666"/>
      <c r="B247" s="663" t="s">
        <v>1505</v>
      </c>
      <c r="C247" s="675">
        <f>[8]Data!R1479</f>
        <v>4535.8900000000003</v>
      </c>
      <c r="D247" s="674" t="s">
        <v>522</v>
      </c>
      <c r="E247" s="659"/>
      <c r="F247" s="666">
        <f t="shared" si="15"/>
        <v>0</v>
      </c>
      <c r="G247" s="666"/>
      <c r="H247" s="666"/>
      <c r="I247" s="666">
        <f t="shared" si="16"/>
        <v>0</v>
      </c>
      <c r="J247" s="666"/>
      <c r="K247" s="665">
        <f t="shared" si="17"/>
        <v>0</v>
      </c>
      <c r="L247" s="666">
        <f t="shared" si="18"/>
        <v>0</v>
      </c>
      <c r="M247" s="672">
        <v>0</v>
      </c>
      <c r="N247" s="668">
        <f t="shared" si="19"/>
        <v>0</v>
      </c>
      <c r="O247" s="676"/>
      <c r="P247" s="676"/>
    </row>
    <row r="248" spans="1:16" s="677" customFormat="1" ht="18" hidden="1" customHeight="1">
      <c r="A248" s="690"/>
      <c r="B248" s="663" t="s">
        <v>1506</v>
      </c>
      <c r="C248" s="675">
        <f>[8]Data!X1440</f>
        <v>5059.03</v>
      </c>
      <c r="D248" s="674" t="s">
        <v>522</v>
      </c>
      <c r="E248" s="659"/>
      <c r="F248" s="666">
        <f t="shared" si="15"/>
        <v>0</v>
      </c>
      <c r="G248" s="666"/>
      <c r="H248" s="666"/>
      <c r="I248" s="666">
        <f t="shared" si="16"/>
        <v>0</v>
      </c>
      <c r="J248" s="666"/>
      <c r="K248" s="665">
        <f t="shared" si="17"/>
        <v>0</v>
      </c>
      <c r="L248" s="666">
        <f t="shared" si="18"/>
        <v>0</v>
      </c>
      <c r="M248" s="672">
        <v>0</v>
      </c>
      <c r="N248" s="668">
        <f t="shared" si="19"/>
        <v>0</v>
      </c>
      <c r="O248" s="676"/>
      <c r="P248" s="676"/>
    </row>
    <row r="249" spans="1:16" ht="56.25" customHeight="1">
      <c r="A249" s="662">
        <v>24</v>
      </c>
      <c r="B249" s="663" t="s">
        <v>1507</v>
      </c>
      <c r="C249" s="667">
        <f>[8]Data!K1191</f>
        <v>62.1</v>
      </c>
      <c r="D249" s="663" t="s">
        <v>271</v>
      </c>
      <c r="E249" s="665">
        <f>[8]Detailed!H485</f>
        <v>1437.3</v>
      </c>
      <c r="F249" s="666">
        <f t="shared" si="15"/>
        <v>89256.33</v>
      </c>
      <c r="G249" s="666"/>
      <c r="H249" s="666"/>
      <c r="I249" s="666">
        <f t="shared" si="16"/>
        <v>0</v>
      </c>
      <c r="J249" s="666"/>
      <c r="K249" s="665">
        <f t="shared" si="17"/>
        <v>1437.3</v>
      </c>
      <c r="L249" s="666">
        <f t="shared" si="18"/>
        <v>89256.33</v>
      </c>
      <c r="M249" s="672">
        <v>1522</v>
      </c>
      <c r="N249" s="668">
        <f t="shared" si="19"/>
        <v>-84.700000000000045</v>
      </c>
    </row>
    <row r="250" spans="1:16" ht="45.75" customHeight="1">
      <c r="A250" s="662">
        <v>25</v>
      </c>
      <c r="B250" s="663" t="s">
        <v>1508</v>
      </c>
      <c r="C250" s="667">
        <f>ROUND([8]Data!K1194,2)</f>
        <v>9.6</v>
      </c>
      <c r="D250" s="663" t="s">
        <v>522</v>
      </c>
      <c r="E250" s="665">
        <f>[8]Detailed!H493</f>
        <v>66</v>
      </c>
      <c r="F250" s="666">
        <f t="shared" si="15"/>
        <v>633.6</v>
      </c>
      <c r="G250" s="666"/>
      <c r="H250" s="666"/>
      <c r="I250" s="666">
        <f t="shared" si="16"/>
        <v>0</v>
      </c>
      <c r="J250" s="666"/>
      <c r="K250" s="665">
        <f t="shared" si="17"/>
        <v>66</v>
      </c>
      <c r="L250" s="666">
        <f t="shared" si="18"/>
        <v>633.6</v>
      </c>
      <c r="M250" s="672">
        <v>66</v>
      </c>
      <c r="N250" s="668">
        <f t="shared" si="19"/>
        <v>0</v>
      </c>
    </row>
    <row r="251" spans="1:16" ht="45.75" customHeight="1">
      <c r="A251" s="662">
        <v>26</v>
      </c>
      <c r="B251" s="663" t="s">
        <v>1509</v>
      </c>
      <c r="C251" s="667">
        <f>ROUND([8]Data!K204,2)</f>
        <v>4858.32</v>
      </c>
      <c r="D251" s="663" t="s">
        <v>235</v>
      </c>
      <c r="E251" s="665">
        <f>[8]Detailed!H505</f>
        <v>11.1</v>
      </c>
      <c r="F251" s="666">
        <f t="shared" si="15"/>
        <v>53927.351999999992</v>
      </c>
      <c r="G251" s="666"/>
      <c r="H251" s="666"/>
      <c r="I251" s="666">
        <f t="shared" si="16"/>
        <v>0</v>
      </c>
      <c r="J251" s="666"/>
      <c r="K251" s="665">
        <f t="shared" si="17"/>
        <v>11.1</v>
      </c>
      <c r="L251" s="666">
        <f t="shared" si="18"/>
        <v>53927.351999999992</v>
      </c>
      <c r="M251" s="672">
        <v>11.1</v>
      </c>
      <c r="N251" s="668">
        <f t="shared" si="19"/>
        <v>0</v>
      </c>
    </row>
    <row r="252" spans="1:16" s="677" customFormat="1" ht="39.950000000000003" hidden="1" customHeight="1">
      <c r="A252" s="662">
        <v>27.1</v>
      </c>
      <c r="B252" s="663" t="s">
        <v>1510</v>
      </c>
      <c r="C252" s="675">
        <f>ROUND([8]Data!Y368,2)</f>
        <v>6646.8</v>
      </c>
      <c r="D252" s="674" t="s">
        <v>235</v>
      </c>
      <c r="E252" s="659"/>
      <c r="F252" s="666">
        <f t="shared" si="15"/>
        <v>0</v>
      </c>
      <c r="G252" s="666"/>
      <c r="H252" s="666"/>
      <c r="I252" s="666">
        <f t="shared" si="16"/>
        <v>0</v>
      </c>
      <c r="J252" s="666"/>
      <c r="K252" s="665">
        <f t="shared" si="17"/>
        <v>0</v>
      </c>
      <c r="L252" s="666">
        <f t="shared" si="18"/>
        <v>0</v>
      </c>
      <c r="M252" s="672">
        <v>0</v>
      </c>
      <c r="N252" s="668">
        <f t="shared" si="19"/>
        <v>0</v>
      </c>
      <c r="O252" s="676"/>
      <c r="P252" s="676"/>
    </row>
    <row r="253" spans="1:16" s="677" customFormat="1" ht="45.75" hidden="1" customHeight="1">
      <c r="A253" s="662">
        <v>27.2</v>
      </c>
      <c r="B253" s="663" t="s">
        <v>1511</v>
      </c>
      <c r="C253" s="675">
        <f>ROUND([8]Data!AG381,2)</f>
        <v>6430.98</v>
      </c>
      <c r="D253" s="674" t="s">
        <v>235</v>
      </c>
      <c r="E253" s="659"/>
      <c r="F253" s="666">
        <f t="shared" si="15"/>
        <v>0</v>
      </c>
      <c r="G253" s="666"/>
      <c r="H253" s="666"/>
      <c r="I253" s="666">
        <f t="shared" si="16"/>
        <v>0</v>
      </c>
      <c r="J253" s="666"/>
      <c r="K253" s="665">
        <f t="shared" si="17"/>
        <v>0</v>
      </c>
      <c r="L253" s="666">
        <f t="shared" si="18"/>
        <v>0</v>
      </c>
      <c r="M253" s="672">
        <v>0</v>
      </c>
      <c r="N253" s="668">
        <f t="shared" si="19"/>
        <v>0</v>
      </c>
      <c r="O253" s="676"/>
      <c r="P253" s="676"/>
    </row>
    <row r="254" spans="1:16" s="677" customFormat="1" ht="39.950000000000003" hidden="1" customHeight="1">
      <c r="A254" s="662">
        <v>27.3</v>
      </c>
      <c r="B254" s="663" t="s">
        <v>1512</v>
      </c>
      <c r="C254" s="675"/>
      <c r="D254" s="674" t="s">
        <v>235</v>
      </c>
      <c r="E254" s="659"/>
      <c r="F254" s="666">
        <f t="shared" si="15"/>
        <v>0</v>
      </c>
      <c r="G254" s="666"/>
      <c r="H254" s="666"/>
      <c r="I254" s="666">
        <f t="shared" si="16"/>
        <v>0</v>
      </c>
      <c r="J254" s="666"/>
      <c r="K254" s="665">
        <f t="shared" si="17"/>
        <v>0</v>
      </c>
      <c r="L254" s="666">
        <f t="shared" si="18"/>
        <v>0</v>
      </c>
      <c r="M254" s="672">
        <v>0</v>
      </c>
      <c r="N254" s="668">
        <f t="shared" si="19"/>
        <v>0</v>
      </c>
      <c r="O254" s="676"/>
      <c r="P254" s="676"/>
    </row>
    <row r="255" spans="1:16" s="677" customFormat="1" ht="39.950000000000003" hidden="1" customHeight="1">
      <c r="A255" s="662">
        <v>27.4</v>
      </c>
      <c r="B255" s="663" t="s">
        <v>1513</v>
      </c>
      <c r="C255" s="675"/>
      <c r="D255" s="674" t="s">
        <v>235</v>
      </c>
      <c r="E255" s="659"/>
      <c r="F255" s="666">
        <f t="shared" si="15"/>
        <v>0</v>
      </c>
      <c r="G255" s="666"/>
      <c r="H255" s="666"/>
      <c r="I255" s="666">
        <f t="shared" si="16"/>
        <v>0</v>
      </c>
      <c r="J255" s="666"/>
      <c r="K255" s="665">
        <f t="shared" si="17"/>
        <v>0</v>
      </c>
      <c r="L255" s="666">
        <f t="shared" si="18"/>
        <v>0</v>
      </c>
      <c r="M255" s="672">
        <v>0</v>
      </c>
      <c r="N255" s="668">
        <f t="shared" si="19"/>
        <v>0</v>
      </c>
      <c r="O255" s="676"/>
      <c r="P255" s="676"/>
    </row>
    <row r="256" spans="1:16" s="677" customFormat="1" ht="39.950000000000003" hidden="1" customHeight="1">
      <c r="A256" s="662">
        <v>27.5</v>
      </c>
      <c r="B256" s="663" t="s">
        <v>1514</v>
      </c>
      <c r="C256" s="675">
        <f>ROUND([8]Data!K372,2)</f>
        <v>6614.28</v>
      </c>
      <c r="D256" s="674" t="s">
        <v>235</v>
      </c>
      <c r="E256" s="659"/>
      <c r="F256" s="666">
        <f t="shared" si="15"/>
        <v>0</v>
      </c>
      <c r="G256" s="666"/>
      <c r="H256" s="666"/>
      <c r="I256" s="666">
        <f t="shared" si="16"/>
        <v>0</v>
      </c>
      <c r="J256" s="666"/>
      <c r="K256" s="665">
        <f t="shared" si="17"/>
        <v>0</v>
      </c>
      <c r="L256" s="666">
        <f t="shared" si="18"/>
        <v>0</v>
      </c>
      <c r="M256" s="672">
        <v>0</v>
      </c>
      <c r="N256" s="668">
        <f t="shared" si="19"/>
        <v>0</v>
      </c>
      <c r="O256" s="676"/>
      <c r="P256" s="676"/>
    </row>
    <row r="257" spans="1:24" s="677" customFormat="1" ht="39.950000000000003" hidden="1" customHeight="1">
      <c r="A257" s="662">
        <v>27.6</v>
      </c>
      <c r="B257" s="663" t="s">
        <v>1515</v>
      </c>
      <c r="C257" s="675"/>
      <c r="D257" s="674" t="s">
        <v>235</v>
      </c>
      <c r="E257" s="659"/>
      <c r="F257" s="666">
        <f t="shared" si="15"/>
        <v>0</v>
      </c>
      <c r="G257" s="666"/>
      <c r="H257" s="666"/>
      <c r="I257" s="666">
        <f t="shared" si="16"/>
        <v>0</v>
      </c>
      <c r="J257" s="666"/>
      <c r="K257" s="665">
        <f t="shared" si="17"/>
        <v>0</v>
      </c>
      <c r="L257" s="666">
        <f t="shared" si="18"/>
        <v>0</v>
      </c>
      <c r="M257" s="672">
        <v>0</v>
      </c>
      <c r="N257" s="668">
        <f t="shared" si="19"/>
        <v>0</v>
      </c>
      <c r="O257" s="676"/>
      <c r="P257" s="676"/>
    </row>
    <row r="258" spans="1:24" ht="45.75" customHeight="1">
      <c r="A258" s="662">
        <v>28</v>
      </c>
      <c r="B258" s="685" t="s">
        <v>1516</v>
      </c>
      <c r="C258" s="667">
        <f>ROUND([8]Data!K1213,2)</f>
        <v>455.32</v>
      </c>
      <c r="D258" s="663" t="s">
        <v>264</v>
      </c>
      <c r="E258" s="665">
        <f>[8]Detailed!H522</f>
        <v>23.3</v>
      </c>
      <c r="F258" s="666">
        <f t="shared" si="15"/>
        <v>10608.956</v>
      </c>
      <c r="G258" s="666"/>
      <c r="H258" s="666"/>
      <c r="I258" s="666">
        <f t="shared" si="16"/>
        <v>0</v>
      </c>
      <c r="J258" s="666"/>
      <c r="K258" s="665">
        <f t="shared" si="17"/>
        <v>23.3</v>
      </c>
      <c r="L258" s="666">
        <f t="shared" si="18"/>
        <v>10608.956</v>
      </c>
      <c r="M258" s="672">
        <v>23.3</v>
      </c>
      <c r="N258" s="668">
        <f t="shared" si="19"/>
        <v>0</v>
      </c>
    </row>
    <row r="259" spans="1:24" s="677" customFormat="1" ht="25.5" hidden="1" customHeight="1">
      <c r="A259" s="662">
        <v>29.1</v>
      </c>
      <c r="B259" s="685" t="s">
        <v>1517</v>
      </c>
      <c r="C259" s="675"/>
      <c r="D259" s="674" t="s">
        <v>264</v>
      </c>
      <c r="E259" s="659"/>
      <c r="F259" s="666">
        <f t="shared" si="15"/>
        <v>0</v>
      </c>
      <c r="G259" s="666"/>
      <c r="H259" s="666"/>
      <c r="I259" s="666">
        <f t="shared" si="16"/>
        <v>0</v>
      </c>
      <c r="J259" s="666"/>
      <c r="K259" s="665">
        <f t="shared" si="17"/>
        <v>0</v>
      </c>
      <c r="L259" s="666">
        <f t="shared" si="18"/>
        <v>0</v>
      </c>
      <c r="M259" s="672">
        <v>0</v>
      </c>
      <c r="N259" s="668">
        <f t="shared" si="19"/>
        <v>0</v>
      </c>
      <c r="O259" s="676"/>
      <c r="P259" s="676"/>
    </row>
    <row r="260" spans="1:24" s="677" customFormat="1" ht="25.5" hidden="1" customHeight="1">
      <c r="A260" s="662">
        <v>29.2</v>
      </c>
      <c r="B260" s="685" t="s">
        <v>1518</v>
      </c>
      <c r="C260" s="675">
        <f>ROUND([8]Data!K1241,2)</f>
        <v>1106.04</v>
      </c>
      <c r="D260" s="674" t="s">
        <v>264</v>
      </c>
      <c r="E260" s="659"/>
      <c r="F260" s="666">
        <f t="shared" si="15"/>
        <v>0</v>
      </c>
      <c r="G260" s="666"/>
      <c r="H260" s="666"/>
      <c r="I260" s="666">
        <f t="shared" si="16"/>
        <v>0</v>
      </c>
      <c r="J260" s="666"/>
      <c r="K260" s="665">
        <f t="shared" si="17"/>
        <v>0</v>
      </c>
      <c r="L260" s="666">
        <f t="shared" si="18"/>
        <v>0</v>
      </c>
      <c r="M260" s="672">
        <v>0</v>
      </c>
      <c r="N260" s="668">
        <f t="shared" si="19"/>
        <v>0</v>
      </c>
      <c r="O260" s="676"/>
      <c r="P260" s="676"/>
    </row>
    <row r="261" spans="1:24" s="677" customFormat="1" ht="25.5" hidden="1" customHeight="1">
      <c r="A261" s="662">
        <v>29.3</v>
      </c>
      <c r="B261" s="663" t="s">
        <v>1519</v>
      </c>
      <c r="C261" s="675">
        <f>ROUND([8]Data!K1264,2)</f>
        <v>1098.8499999999999</v>
      </c>
      <c r="D261" s="674" t="s">
        <v>264</v>
      </c>
      <c r="E261" s="659"/>
      <c r="F261" s="666">
        <f t="shared" si="15"/>
        <v>0</v>
      </c>
      <c r="G261" s="666"/>
      <c r="H261" s="666"/>
      <c r="I261" s="666">
        <f t="shared" si="16"/>
        <v>0</v>
      </c>
      <c r="J261" s="666"/>
      <c r="K261" s="665">
        <f t="shared" si="17"/>
        <v>0</v>
      </c>
      <c r="L261" s="666">
        <f t="shared" si="18"/>
        <v>0</v>
      </c>
      <c r="M261" s="672">
        <v>0</v>
      </c>
      <c r="N261" s="668">
        <f t="shared" si="19"/>
        <v>0</v>
      </c>
      <c r="O261" s="676"/>
      <c r="P261" s="676"/>
    </row>
    <row r="262" spans="1:24" s="677" customFormat="1" ht="25.5" hidden="1" customHeight="1">
      <c r="A262" s="662">
        <v>29.4</v>
      </c>
      <c r="B262" s="663" t="s">
        <v>1520</v>
      </c>
      <c r="C262" s="675">
        <f>ROUND([8]Data!K1278,2)</f>
        <v>1239.77</v>
      </c>
      <c r="D262" s="674" t="s">
        <v>264</v>
      </c>
      <c r="E262" s="659"/>
      <c r="F262" s="666">
        <f t="shared" si="15"/>
        <v>0</v>
      </c>
      <c r="G262" s="666"/>
      <c r="H262" s="666"/>
      <c r="I262" s="666">
        <f t="shared" si="16"/>
        <v>0</v>
      </c>
      <c r="J262" s="666"/>
      <c r="K262" s="665">
        <f t="shared" si="17"/>
        <v>0</v>
      </c>
      <c r="L262" s="666">
        <f t="shared" si="18"/>
        <v>0</v>
      </c>
      <c r="M262" s="672">
        <v>0</v>
      </c>
      <c r="N262" s="668">
        <f t="shared" si="19"/>
        <v>0</v>
      </c>
      <c r="O262" s="676"/>
      <c r="P262" s="676"/>
    </row>
    <row r="263" spans="1:24" s="677" customFormat="1" ht="25.5" hidden="1" customHeight="1">
      <c r="A263" s="662">
        <v>29.5</v>
      </c>
      <c r="B263" s="663" t="s">
        <v>1521</v>
      </c>
      <c r="C263" s="675">
        <f>C261</f>
        <v>1098.8499999999999</v>
      </c>
      <c r="D263" s="674" t="s">
        <v>264</v>
      </c>
      <c r="E263" s="659"/>
      <c r="F263" s="666">
        <f t="shared" ref="F263:F326" si="20">E263*C263</f>
        <v>0</v>
      </c>
      <c r="G263" s="666"/>
      <c r="H263" s="666"/>
      <c r="I263" s="666">
        <f t="shared" ref="I263:I326" si="21">G263</f>
        <v>0</v>
      </c>
      <c r="J263" s="666"/>
      <c r="K263" s="665">
        <f t="shared" ref="K263:K326" si="22">E263</f>
        <v>0</v>
      </c>
      <c r="L263" s="666">
        <f t="shared" ref="L263:L326" si="23">C263*K263</f>
        <v>0</v>
      </c>
      <c r="M263" s="672">
        <v>0</v>
      </c>
      <c r="N263" s="668">
        <f t="shared" ref="N263:N326" si="24">K263-M263</f>
        <v>0</v>
      </c>
      <c r="O263" s="676"/>
      <c r="P263" s="676"/>
    </row>
    <row r="264" spans="1:24" ht="45.75" customHeight="1">
      <c r="A264" s="662">
        <v>30</v>
      </c>
      <c r="B264" s="663" t="s">
        <v>834</v>
      </c>
      <c r="C264" s="667">
        <f>ROUND([8]Data!K1312,2)</f>
        <v>404.02</v>
      </c>
      <c r="D264" s="663" t="s">
        <v>264</v>
      </c>
      <c r="E264" s="665">
        <f>[8]Detailed!H532</f>
        <v>17.600000000000001</v>
      </c>
      <c r="F264" s="666">
        <f t="shared" si="20"/>
        <v>7110.7520000000004</v>
      </c>
      <c r="G264" s="666"/>
      <c r="H264" s="666"/>
      <c r="I264" s="666">
        <f t="shared" si="21"/>
        <v>0</v>
      </c>
      <c r="J264" s="666"/>
      <c r="K264" s="665">
        <f t="shared" si="22"/>
        <v>17.600000000000001</v>
      </c>
      <c r="L264" s="666">
        <f t="shared" si="23"/>
        <v>7110.7520000000004</v>
      </c>
      <c r="M264" s="672">
        <v>24.4</v>
      </c>
      <c r="N264" s="668">
        <f t="shared" si="24"/>
        <v>-6.7999999999999972</v>
      </c>
      <c r="X264" s="670">
        <f>146-34.2</f>
        <v>111.8</v>
      </c>
    </row>
    <row r="265" spans="1:24" ht="45.75" customHeight="1">
      <c r="A265" s="662">
        <v>31</v>
      </c>
      <c r="B265" s="663" t="s">
        <v>1522</v>
      </c>
      <c r="C265" s="667">
        <f>ROUND([8]Data!K1330,2)</f>
        <v>3598.9</v>
      </c>
      <c r="D265" s="663" t="s">
        <v>235</v>
      </c>
      <c r="E265" s="665">
        <f>[8]Detailed!H543</f>
        <v>15.2</v>
      </c>
      <c r="F265" s="666">
        <f t="shared" si="20"/>
        <v>54703.28</v>
      </c>
      <c r="G265" s="666"/>
      <c r="H265" s="666"/>
      <c r="I265" s="666">
        <f t="shared" si="21"/>
        <v>0</v>
      </c>
      <c r="J265" s="666"/>
      <c r="K265" s="665">
        <f t="shared" si="22"/>
        <v>15.2</v>
      </c>
      <c r="L265" s="666">
        <f t="shared" si="23"/>
        <v>54703.28</v>
      </c>
      <c r="M265" s="672">
        <v>15.2</v>
      </c>
      <c r="N265" s="668">
        <f t="shared" si="24"/>
        <v>0</v>
      </c>
    </row>
    <row r="266" spans="1:24" s="677" customFormat="1" ht="46.5" hidden="1" customHeight="1">
      <c r="A266" s="662">
        <v>32</v>
      </c>
      <c r="B266" s="663" t="s">
        <v>1523</v>
      </c>
      <c r="C266" s="675"/>
      <c r="D266" s="674" t="s">
        <v>264</v>
      </c>
      <c r="E266" s="659"/>
      <c r="F266" s="666">
        <f t="shared" si="20"/>
        <v>0</v>
      </c>
      <c r="G266" s="666"/>
      <c r="H266" s="666"/>
      <c r="I266" s="666">
        <f t="shared" si="21"/>
        <v>0</v>
      </c>
      <c r="J266" s="666"/>
      <c r="K266" s="665">
        <f t="shared" si="22"/>
        <v>0</v>
      </c>
      <c r="L266" s="666">
        <f t="shared" si="23"/>
        <v>0</v>
      </c>
      <c r="M266" s="672">
        <v>0</v>
      </c>
      <c r="N266" s="668">
        <f t="shared" si="24"/>
        <v>0</v>
      </c>
      <c r="O266" s="676"/>
      <c r="P266" s="676"/>
    </row>
    <row r="267" spans="1:24" s="677" customFormat="1" ht="46.5" hidden="1" customHeight="1">
      <c r="A267" s="662">
        <v>32.1</v>
      </c>
      <c r="B267" s="663" t="s">
        <v>1524</v>
      </c>
      <c r="C267" s="675">
        <f>ROUND([8]Data!K1365,2)</f>
        <v>1082.8499999999999</v>
      </c>
      <c r="D267" s="674" t="s">
        <v>264</v>
      </c>
      <c r="E267" s="659"/>
      <c r="F267" s="666">
        <f t="shared" si="20"/>
        <v>0</v>
      </c>
      <c r="G267" s="666"/>
      <c r="H267" s="666"/>
      <c r="I267" s="666">
        <f t="shared" si="21"/>
        <v>0</v>
      </c>
      <c r="J267" s="666"/>
      <c r="K267" s="665">
        <f t="shared" si="22"/>
        <v>0</v>
      </c>
      <c r="L267" s="666">
        <f t="shared" si="23"/>
        <v>0</v>
      </c>
      <c r="M267" s="672">
        <v>0</v>
      </c>
      <c r="N267" s="668">
        <f t="shared" si="24"/>
        <v>0</v>
      </c>
      <c r="O267" s="676"/>
      <c r="P267" s="676"/>
    </row>
    <row r="268" spans="1:24" s="677" customFormat="1" ht="46.5" hidden="1" customHeight="1">
      <c r="A268" s="662">
        <v>32.200000000000003</v>
      </c>
      <c r="B268" s="663" t="s">
        <v>1525</v>
      </c>
      <c r="C268" s="675"/>
      <c r="D268" s="674" t="s">
        <v>264</v>
      </c>
      <c r="E268" s="659"/>
      <c r="F268" s="666">
        <f t="shared" si="20"/>
        <v>0</v>
      </c>
      <c r="G268" s="666"/>
      <c r="H268" s="666"/>
      <c r="I268" s="666">
        <f t="shared" si="21"/>
        <v>0</v>
      </c>
      <c r="J268" s="666"/>
      <c r="K268" s="665">
        <f t="shared" si="22"/>
        <v>0</v>
      </c>
      <c r="L268" s="666">
        <f t="shared" si="23"/>
        <v>0</v>
      </c>
      <c r="M268" s="672">
        <v>0</v>
      </c>
      <c r="N268" s="668">
        <f t="shared" si="24"/>
        <v>0</v>
      </c>
      <c r="O268" s="676"/>
      <c r="P268" s="676"/>
    </row>
    <row r="269" spans="1:24" ht="57.75" customHeight="1">
      <c r="A269" s="662">
        <v>33</v>
      </c>
      <c r="B269" s="663" t="s">
        <v>1526</v>
      </c>
      <c r="C269" s="667">
        <f>ROUND([8]Data!K1400,2)</f>
        <v>225.14</v>
      </c>
      <c r="D269" s="663" t="s">
        <v>264</v>
      </c>
      <c r="E269" s="665">
        <f>[8]Detailed!H686</f>
        <v>1432</v>
      </c>
      <c r="F269" s="666">
        <f t="shared" si="20"/>
        <v>322400.48</v>
      </c>
      <c r="G269" s="666"/>
      <c r="H269" s="666"/>
      <c r="I269" s="666">
        <f t="shared" si="21"/>
        <v>0</v>
      </c>
      <c r="J269" s="666"/>
      <c r="K269" s="665">
        <f t="shared" si="22"/>
        <v>1432</v>
      </c>
      <c r="L269" s="666">
        <f t="shared" si="23"/>
        <v>322400.48</v>
      </c>
      <c r="M269" s="672">
        <v>1432</v>
      </c>
      <c r="N269" s="668">
        <f t="shared" si="24"/>
        <v>0</v>
      </c>
    </row>
    <row r="270" spans="1:24" ht="66.75" customHeight="1">
      <c r="A270" s="662">
        <v>34</v>
      </c>
      <c r="B270" s="663" t="s">
        <v>1527</v>
      </c>
      <c r="C270" s="667">
        <f>ROUND([8]Data!K1414,2)</f>
        <v>231.15</v>
      </c>
      <c r="D270" s="663" t="s">
        <v>264</v>
      </c>
      <c r="E270" s="665">
        <f>[8]Detailed!H693</f>
        <v>55</v>
      </c>
      <c r="F270" s="666">
        <f t="shared" si="20"/>
        <v>12713.25</v>
      </c>
      <c r="G270" s="666"/>
      <c r="H270" s="666"/>
      <c r="I270" s="666">
        <f t="shared" si="21"/>
        <v>0</v>
      </c>
      <c r="J270" s="666"/>
      <c r="K270" s="665">
        <f t="shared" si="22"/>
        <v>55</v>
      </c>
      <c r="L270" s="666">
        <f t="shared" si="23"/>
        <v>12713.25</v>
      </c>
      <c r="M270" s="672">
        <v>55</v>
      </c>
      <c r="N270" s="668">
        <f t="shared" si="24"/>
        <v>0</v>
      </c>
    </row>
    <row r="271" spans="1:24" ht="57.75" customHeight="1">
      <c r="A271" s="662">
        <v>35</v>
      </c>
      <c r="B271" s="663" t="s">
        <v>1528</v>
      </c>
      <c r="C271" s="667">
        <f>ROUND([8]Data!K1426,2)</f>
        <v>255.7</v>
      </c>
      <c r="D271" s="663" t="s">
        <v>264</v>
      </c>
      <c r="E271" s="665">
        <f>[8]Detailed!H736</f>
        <v>276</v>
      </c>
      <c r="F271" s="666">
        <f t="shared" si="20"/>
        <v>70573.2</v>
      </c>
      <c r="G271" s="666"/>
      <c r="H271" s="666"/>
      <c r="I271" s="666">
        <f t="shared" si="21"/>
        <v>0</v>
      </c>
      <c r="J271" s="666"/>
      <c r="K271" s="665">
        <f t="shared" si="22"/>
        <v>276</v>
      </c>
      <c r="L271" s="666">
        <f t="shared" si="23"/>
        <v>70573.2</v>
      </c>
      <c r="M271" s="672">
        <v>276</v>
      </c>
      <c r="N271" s="668">
        <f t="shared" si="24"/>
        <v>0</v>
      </c>
    </row>
    <row r="272" spans="1:24" ht="57.75" customHeight="1">
      <c r="A272" s="662">
        <v>36</v>
      </c>
      <c r="B272" s="685" t="s">
        <v>1529</v>
      </c>
      <c r="C272" s="667"/>
      <c r="D272" s="663"/>
      <c r="E272" s="665"/>
      <c r="F272" s="666">
        <f t="shared" si="20"/>
        <v>0</v>
      </c>
      <c r="G272" s="666"/>
      <c r="H272" s="666"/>
      <c r="I272" s="666">
        <f t="shared" si="21"/>
        <v>0</v>
      </c>
      <c r="J272" s="666"/>
      <c r="K272" s="665">
        <f t="shared" si="22"/>
        <v>0</v>
      </c>
      <c r="L272" s="666">
        <f t="shared" si="23"/>
        <v>0</v>
      </c>
      <c r="M272" s="668">
        <v>0</v>
      </c>
      <c r="N272" s="668">
        <f t="shared" si="24"/>
        <v>0</v>
      </c>
      <c r="O272" s="678"/>
      <c r="Q272" s="679"/>
    </row>
    <row r="273" spans="1:21" ht="43.5" customHeight="1">
      <c r="A273" s="666" t="s">
        <v>220</v>
      </c>
      <c r="B273" s="663" t="s">
        <v>1530</v>
      </c>
      <c r="C273" s="667">
        <f>ROUND([8]Data!K1460,2)</f>
        <v>70.61</v>
      </c>
      <c r="D273" s="663" t="s">
        <v>61</v>
      </c>
      <c r="E273" s="665">
        <f>[8]Detailed!H744</f>
        <v>81</v>
      </c>
      <c r="F273" s="666">
        <f t="shared" si="20"/>
        <v>5719.41</v>
      </c>
      <c r="G273" s="666"/>
      <c r="H273" s="666"/>
      <c r="I273" s="666">
        <f t="shared" si="21"/>
        <v>0</v>
      </c>
      <c r="J273" s="666"/>
      <c r="K273" s="665">
        <f t="shared" si="22"/>
        <v>81</v>
      </c>
      <c r="L273" s="666">
        <f t="shared" si="23"/>
        <v>5719.41</v>
      </c>
      <c r="M273" s="672">
        <v>81</v>
      </c>
      <c r="N273" s="668">
        <f t="shared" si="24"/>
        <v>0</v>
      </c>
    </row>
    <row r="274" spans="1:21" ht="43.5" customHeight="1">
      <c r="A274" s="666"/>
      <c r="B274" s="663" t="s">
        <v>1531</v>
      </c>
      <c r="C274" s="667">
        <f>ROUND([8]Data!K1472,2)</f>
        <v>45.81</v>
      </c>
      <c r="D274" s="663" t="s">
        <v>61</v>
      </c>
      <c r="E274" s="665">
        <f>[8]Detailed!H752</f>
        <v>258</v>
      </c>
      <c r="F274" s="666">
        <f t="shared" si="20"/>
        <v>11818.980000000001</v>
      </c>
      <c r="G274" s="666"/>
      <c r="H274" s="666"/>
      <c r="I274" s="666">
        <f t="shared" si="21"/>
        <v>0</v>
      </c>
      <c r="J274" s="666"/>
      <c r="K274" s="665">
        <f t="shared" si="22"/>
        <v>258</v>
      </c>
      <c r="L274" s="666">
        <f t="shared" si="23"/>
        <v>11818.980000000001</v>
      </c>
      <c r="M274" s="672">
        <v>258</v>
      </c>
      <c r="N274" s="668">
        <f t="shared" si="24"/>
        <v>0</v>
      </c>
    </row>
    <row r="275" spans="1:21" ht="43.5" customHeight="1">
      <c r="A275" s="667"/>
      <c r="B275" s="663" t="s">
        <v>1532</v>
      </c>
      <c r="C275" s="667">
        <f>ROUND([8]Data!K1485,2)</f>
        <v>34.06</v>
      </c>
      <c r="D275" s="663" t="s">
        <v>61</v>
      </c>
      <c r="E275" s="665">
        <f>[8]Detailed!H760</f>
        <v>104</v>
      </c>
      <c r="F275" s="666">
        <f t="shared" si="20"/>
        <v>3542.2400000000002</v>
      </c>
      <c r="G275" s="666"/>
      <c r="H275" s="666"/>
      <c r="I275" s="666">
        <f t="shared" si="21"/>
        <v>0</v>
      </c>
      <c r="J275" s="666"/>
      <c r="K275" s="665">
        <f t="shared" si="22"/>
        <v>104</v>
      </c>
      <c r="L275" s="666">
        <f t="shared" si="23"/>
        <v>3542.2400000000002</v>
      </c>
      <c r="M275" s="672">
        <v>104</v>
      </c>
      <c r="N275" s="668">
        <f t="shared" si="24"/>
        <v>0</v>
      </c>
    </row>
    <row r="276" spans="1:21" ht="43.5" customHeight="1">
      <c r="A276" s="662">
        <v>37.1</v>
      </c>
      <c r="B276" s="663" t="s">
        <v>1533</v>
      </c>
      <c r="C276" s="667">
        <f>ROUND([8]Data!K1498,2)</f>
        <v>39.22</v>
      </c>
      <c r="D276" s="663" t="s">
        <v>264</v>
      </c>
      <c r="E276" s="665">
        <f>[8]Detailed!H763</f>
        <v>276</v>
      </c>
      <c r="F276" s="666">
        <f t="shared" si="20"/>
        <v>10824.72</v>
      </c>
      <c r="G276" s="666"/>
      <c r="H276" s="666"/>
      <c r="I276" s="666">
        <f t="shared" si="21"/>
        <v>0</v>
      </c>
      <c r="J276" s="666"/>
      <c r="K276" s="665">
        <f t="shared" si="22"/>
        <v>276</v>
      </c>
      <c r="L276" s="666">
        <f t="shared" si="23"/>
        <v>10824.72</v>
      </c>
      <c r="M276" s="672">
        <v>276</v>
      </c>
      <c r="N276" s="668">
        <f t="shared" si="24"/>
        <v>0</v>
      </c>
    </row>
    <row r="277" spans="1:21" s="677" customFormat="1" ht="25.5" hidden="1" customHeight="1">
      <c r="A277" s="662">
        <v>37.200000000000003</v>
      </c>
      <c r="B277" s="663" t="s">
        <v>1534</v>
      </c>
      <c r="C277" s="675"/>
      <c r="D277" s="674" t="s">
        <v>264</v>
      </c>
      <c r="E277" s="659"/>
      <c r="F277" s="666">
        <f t="shared" si="20"/>
        <v>0</v>
      </c>
      <c r="G277" s="666"/>
      <c r="H277" s="666"/>
      <c r="I277" s="666">
        <f t="shared" si="21"/>
        <v>0</v>
      </c>
      <c r="J277" s="666"/>
      <c r="K277" s="665">
        <f t="shared" si="22"/>
        <v>0</v>
      </c>
      <c r="L277" s="666">
        <f t="shared" si="23"/>
        <v>0</v>
      </c>
      <c r="M277" s="672">
        <v>0</v>
      </c>
      <c r="N277" s="668">
        <f t="shared" si="24"/>
        <v>0</v>
      </c>
      <c r="O277" s="676"/>
      <c r="P277" s="676"/>
    </row>
    <row r="278" spans="1:21" s="677" customFormat="1" ht="25.5" hidden="1" customHeight="1">
      <c r="A278" s="662">
        <v>38.1</v>
      </c>
      <c r="B278" s="663" t="s">
        <v>1535</v>
      </c>
      <c r="C278" s="675">
        <f>ROUND([8]Data!K1513,2)</f>
        <v>172.93</v>
      </c>
      <c r="D278" s="674" t="s">
        <v>264</v>
      </c>
      <c r="E278" s="659"/>
      <c r="F278" s="666">
        <f t="shared" si="20"/>
        <v>0</v>
      </c>
      <c r="G278" s="666"/>
      <c r="H278" s="666"/>
      <c r="I278" s="666">
        <f t="shared" si="21"/>
        <v>0</v>
      </c>
      <c r="J278" s="666"/>
      <c r="K278" s="665">
        <f t="shared" si="22"/>
        <v>0</v>
      </c>
      <c r="L278" s="666">
        <f t="shared" si="23"/>
        <v>0</v>
      </c>
      <c r="M278" s="672">
        <v>0</v>
      </c>
      <c r="N278" s="668">
        <f t="shared" si="24"/>
        <v>0</v>
      </c>
      <c r="O278" s="676"/>
      <c r="P278" s="676"/>
    </row>
    <row r="279" spans="1:21" s="677" customFormat="1" ht="26.25" hidden="1" customHeight="1">
      <c r="A279" s="662">
        <v>38.200000000000003</v>
      </c>
      <c r="B279" s="663" t="s">
        <v>1536</v>
      </c>
      <c r="C279" s="675">
        <f>ROUND([8]Data!K1526,2)</f>
        <v>147.27000000000001</v>
      </c>
      <c r="D279" s="674" t="s">
        <v>264</v>
      </c>
      <c r="E279" s="659"/>
      <c r="F279" s="666">
        <f t="shared" si="20"/>
        <v>0</v>
      </c>
      <c r="G279" s="666"/>
      <c r="H279" s="666"/>
      <c r="I279" s="666">
        <f t="shared" si="21"/>
        <v>0</v>
      </c>
      <c r="J279" s="666"/>
      <c r="K279" s="665">
        <f t="shared" si="22"/>
        <v>0</v>
      </c>
      <c r="L279" s="666">
        <f t="shared" si="23"/>
        <v>0</v>
      </c>
      <c r="M279" s="672">
        <v>0</v>
      </c>
      <c r="N279" s="668">
        <f t="shared" si="24"/>
        <v>0</v>
      </c>
      <c r="O279" s="676"/>
      <c r="P279" s="676"/>
    </row>
    <row r="280" spans="1:21" ht="43.5" customHeight="1">
      <c r="A280" s="662">
        <v>39</v>
      </c>
      <c r="B280" s="663" t="s">
        <v>1537</v>
      </c>
      <c r="C280" s="667">
        <f>[8]Data!K1193</f>
        <v>62.6</v>
      </c>
      <c r="D280" s="663" t="s">
        <v>271</v>
      </c>
      <c r="E280" s="665">
        <f>[8]Detailed!H772</f>
        <v>668</v>
      </c>
      <c r="F280" s="666">
        <f t="shared" si="20"/>
        <v>41816.800000000003</v>
      </c>
      <c r="G280" s="666"/>
      <c r="H280" s="666"/>
      <c r="I280" s="666">
        <f t="shared" si="21"/>
        <v>0</v>
      </c>
      <c r="J280" s="666"/>
      <c r="K280" s="665">
        <f t="shared" si="22"/>
        <v>668</v>
      </c>
      <c r="L280" s="666">
        <f t="shared" si="23"/>
        <v>41816.800000000003</v>
      </c>
      <c r="M280" s="672">
        <v>667</v>
      </c>
      <c r="N280" s="668">
        <f t="shared" si="24"/>
        <v>1</v>
      </c>
      <c r="U280" s="670">
        <f>2.1*35</f>
        <v>73.5</v>
      </c>
    </row>
    <row r="281" spans="1:21" ht="43.5" customHeight="1">
      <c r="A281" s="662">
        <v>40</v>
      </c>
      <c r="B281" s="663" t="s">
        <v>1538</v>
      </c>
      <c r="C281" s="667">
        <f>ROUND([8]Data!K1540,2)</f>
        <v>212.24</v>
      </c>
      <c r="D281" s="663" t="s">
        <v>264</v>
      </c>
      <c r="E281" s="665">
        <f>[8]Detailed!H781</f>
        <v>52.5</v>
      </c>
      <c r="F281" s="666">
        <f t="shared" si="20"/>
        <v>11142.6</v>
      </c>
      <c r="G281" s="666"/>
      <c r="H281" s="666"/>
      <c r="I281" s="666">
        <f t="shared" si="21"/>
        <v>0</v>
      </c>
      <c r="J281" s="666"/>
      <c r="K281" s="665">
        <f t="shared" si="22"/>
        <v>52.5</v>
      </c>
      <c r="L281" s="666">
        <f t="shared" si="23"/>
        <v>11142.6</v>
      </c>
      <c r="M281" s="672">
        <v>46.1</v>
      </c>
      <c r="N281" s="668">
        <f t="shared" si="24"/>
        <v>6.3999999999999986</v>
      </c>
    </row>
    <row r="282" spans="1:21" ht="65.25" customHeight="1">
      <c r="A282" s="662">
        <v>41</v>
      </c>
      <c r="B282" s="663" t="s">
        <v>1539</v>
      </c>
      <c r="C282" s="667">
        <f>ROUND([8]Data!K1553,2)</f>
        <v>125.87</v>
      </c>
      <c r="D282" s="663" t="s">
        <v>264</v>
      </c>
      <c r="E282" s="665">
        <f>[8]Detailed!H807</f>
        <v>146</v>
      </c>
      <c r="F282" s="666">
        <f t="shared" si="20"/>
        <v>18377.02</v>
      </c>
      <c r="G282" s="666"/>
      <c r="H282" s="666"/>
      <c r="I282" s="666">
        <f t="shared" si="21"/>
        <v>0</v>
      </c>
      <c r="J282" s="666"/>
      <c r="K282" s="665">
        <f t="shared" si="22"/>
        <v>146</v>
      </c>
      <c r="L282" s="666">
        <f t="shared" si="23"/>
        <v>18377.02</v>
      </c>
      <c r="M282" s="672">
        <v>128</v>
      </c>
      <c r="N282" s="668">
        <f t="shared" si="24"/>
        <v>18</v>
      </c>
    </row>
    <row r="283" spans="1:21" s="677" customFormat="1" ht="46.5" hidden="1" customHeight="1">
      <c r="A283" s="662">
        <v>42</v>
      </c>
      <c r="B283" s="663" t="s">
        <v>1540</v>
      </c>
      <c r="C283" s="675"/>
      <c r="D283" s="674"/>
      <c r="E283" s="659"/>
      <c r="F283" s="666">
        <f t="shared" si="20"/>
        <v>0</v>
      </c>
      <c r="G283" s="666"/>
      <c r="H283" s="666"/>
      <c r="I283" s="666">
        <f t="shared" si="21"/>
        <v>0</v>
      </c>
      <c r="J283" s="666"/>
      <c r="K283" s="665">
        <f t="shared" si="22"/>
        <v>0</v>
      </c>
      <c r="L283" s="666">
        <f t="shared" si="23"/>
        <v>0</v>
      </c>
      <c r="M283" s="672">
        <v>0</v>
      </c>
      <c r="N283" s="668">
        <f t="shared" si="24"/>
        <v>0</v>
      </c>
      <c r="O283" s="676"/>
      <c r="P283" s="676"/>
    </row>
    <row r="284" spans="1:21" s="677" customFormat="1" ht="25.5" hidden="1" customHeight="1">
      <c r="A284" s="666"/>
      <c r="B284" s="663" t="s">
        <v>1541</v>
      </c>
      <c r="C284" s="675">
        <f>ROUND([8]Data!K1582,2)</f>
        <v>80140.5</v>
      </c>
      <c r="D284" s="674" t="s">
        <v>58</v>
      </c>
      <c r="E284" s="659"/>
      <c r="F284" s="666">
        <f t="shared" si="20"/>
        <v>0</v>
      </c>
      <c r="G284" s="666"/>
      <c r="H284" s="666"/>
      <c r="I284" s="666">
        <f t="shared" si="21"/>
        <v>0</v>
      </c>
      <c r="J284" s="666"/>
      <c r="K284" s="665">
        <f t="shared" si="22"/>
        <v>0</v>
      </c>
      <c r="L284" s="666">
        <f t="shared" si="23"/>
        <v>0</v>
      </c>
      <c r="M284" s="672">
        <v>0</v>
      </c>
      <c r="N284" s="668">
        <f t="shared" si="24"/>
        <v>0</v>
      </c>
      <c r="O284" s="676"/>
      <c r="P284" s="676"/>
    </row>
    <row r="285" spans="1:21" s="677" customFormat="1" ht="25.5" hidden="1" customHeight="1">
      <c r="A285" s="690"/>
      <c r="B285" s="663" t="s">
        <v>1542</v>
      </c>
      <c r="C285" s="675">
        <f>ROUND([8]Data!K1595,2)</f>
        <v>80140.5</v>
      </c>
      <c r="D285" s="674" t="s">
        <v>58</v>
      </c>
      <c r="E285" s="659"/>
      <c r="F285" s="666">
        <f t="shared" si="20"/>
        <v>0</v>
      </c>
      <c r="G285" s="666"/>
      <c r="H285" s="666"/>
      <c r="I285" s="666">
        <f t="shared" si="21"/>
        <v>0</v>
      </c>
      <c r="J285" s="666"/>
      <c r="K285" s="665">
        <f t="shared" si="22"/>
        <v>0</v>
      </c>
      <c r="L285" s="666">
        <f t="shared" si="23"/>
        <v>0</v>
      </c>
      <c r="M285" s="672">
        <v>0</v>
      </c>
      <c r="N285" s="668">
        <f t="shared" si="24"/>
        <v>0</v>
      </c>
      <c r="O285" s="676"/>
      <c r="P285" s="676"/>
    </row>
    <row r="286" spans="1:21" s="677" customFormat="1" ht="46.5" hidden="1" customHeight="1">
      <c r="A286" s="662">
        <v>43</v>
      </c>
      <c r="B286" s="663" t="s">
        <v>1543</v>
      </c>
      <c r="C286" s="675"/>
      <c r="D286" s="674"/>
      <c r="E286" s="659"/>
      <c r="F286" s="666">
        <f t="shared" si="20"/>
        <v>0</v>
      </c>
      <c r="G286" s="666"/>
      <c r="H286" s="666"/>
      <c r="I286" s="666">
        <f t="shared" si="21"/>
        <v>0</v>
      </c>
      <c r="J286" s="666"/>
      <c r="K286" s="665">
        <f t="shared" si="22"/>
        <v>0</v>
      </c>
      <c r="L286" s="666">
        <f t="shared" si="23"/>
        <v>0</v>
      </c>
      <c r="M286" s="672">
        <v>0</v>
      </c>
      <c r="N286" s="668">
        <f t="shared" si="24"/>
        <v>0</v>
      </c>
      <c r="O286" s="676"/>
      <c r="P286" s="676"/>
    </row>
    <row r="287" spans="1:21" s="677" customFormat="1" ht="25.5" hidden="1" customHeight="1">
      <c r="A287" s="666"/>
      <c r="B287" s="663" t="s">
        <v>1541</v>
      </c>
      <c r="C287" s="675">
        <f>ROUND([8]Data!K1608,2)</f>
        <v>78398</v>
      </c>
      <c r="D287" s="674" t="s">
        <v>58</v>
      </c>
      <c r="E287" s="659"/>
      <c r="F287" s="666">
        <f t="shared" si="20"/>
        <v>0</v>
      </c>
      <c r="G287" s="666"/>
      <c r="H287" s="666"/>
      <c r="I287" s="666">
        <f t="shared" si="21"/>
        <v>0</v>
      </c>
      <c r="J287" s="666"/>
      <c r="K287" s="665">
        <f t="shared" si="22"/>
        <v>0</v>
      </c>
      <c r="L287" s="666">
        <f t="shared" si="23"/>
        <v>0</v>
      </c>
      <c r="M287" s="672">
        <v>0</v>
      </c>
      <c r="N287" s="668">
        <f t="shared" si="24"/>
        <v>0</v>
      </c>
      <c r="O287" s="676"/>
      <c r="P287" s="676"/>
    </row>
    <row r="288" spans="1:21" s="677" customFormat="1" ht="25.5" hidden="1" customHeight="1">
      <c r="A288" s="690"/>
      <c r="B288" s="663" t="s">
        <v>1542</v>
      </c>
      <c r="C288" s="675">
        <f>ROUND([8]Data!K1620,2)</f>
        <v>78398</v>
      </c>
      <c r="D288" s="674" t="s">
        <v>58</v>
      </c>
      <c r="E288" s="659"/>
      <c r="F288" s="666">
        <f t="shared" si="20"/>
        <v>0</v>
      </c>
      <c r="G288" s="666"/>
      <c r="H288" s="666"/>
      <c r="I288" s="666">
        <f t="shared" si="21"/>
        <v>0</v>
      </c>
      <c r="J288" s="666"/>
      <c r="K288" s="665">
        <f t="shared" si="22"/>
        <v>0</v>
      </c>
      <c r="L288" s="666">
        <f t="shared" si="23"/>
        <v>0</v>
      </c>
      <c r="M288" s="672">
        <v>0</v>
      </c>
      <c r="N288" s="668">
        <f t="shared" si="24"/>
        <v>0</v>
      </c>
      <c r="O288" s="676"/>
      <c r="P288" s="676"/>
    </row>
    <row r="289" spans="1:17" s="677" customFormat="1" ht="25.5" hidden="1" customHeight="1">
      <c r="A289" s="662">
        <v>44.1</v>
      </c>
      <c r="B289" s="663" t="s">
        <v>1544</v>
      </c>
      <c r="C289" s="675">
        <f>ROUND([8]Data!K1638,2)</f>
        <v>321.74</v>
      </c>
      <c r="D289" s="674" t="s">
        <v>61</v>
      </c>
      <c r="E289" s="659"/>
      <c r="F289" s="666">
        <f t="shared" si="20"/>
        <v>0</v>
      </c>
      <c r="G289" s="666"/>
      <c r="H289" s="666"/>
      <c r="I289" s="666">
        <f t="shared" si="21"/>
        <v>0</v>
      </c>
      <c r="J289" s="666"/>
      <c r="K289" s="665">
        <f t="shared" si="22"/>
        <v>0</v>
      </c>
      <c r="L289" s="666">
        <f t="shared" si="23"/>
        <v>0</v>
      </c>
      <c r="M289" s="672">
        <v>0</v>
      </c>
      <c r="N289" s="668">
        <f t="shared" si="24"/>
        <v>0</v>
      </c>
      <c r="O289" s="676"/>
      <c r="P289" s="676"/>
    </row>
    <row r="290" spans="1:17" s="677" customFormat="1" ht="46.5" hidden="1" customHeight="1">
      <c r="A290" s="662">
        <v>44.2</v>
      </c>
      <c r="B290" s="663" t="s">
        <v>1545</v>
      </c>
      <c r="C290" s="675"/>
      <c r="D290" s="674" t="s">
        <v>522</v>
      </c>
      <c r="E290" s="659"/>
      <c r="F290" s="666">
        <f t="shared" si="20"/>
        <v>0</v>
      </c>
      <c r="G290" s="666"/>
      <c r="H290" s="666"/>
      <c r="I290" s="666">
        <f t="shared" si="21"/>
        <v>0</v>
      </c>
      <c r="J290" s="666"/>
      <c r="K290" s="665">
        <f t="shared" si="22"/>
        <v>0</v>
      </c>
      <c r="L290" s="666">
        <f t="shared" si="23"/>
        <v>0</v>
      </c>
      <c r="M290" s="672">
        <v>0</v>
      </c>
      <c r="N290" s="668">
        <f t="shared" si="24"/>
        <v>0</v>
      </c>
      <c r="O290" s="676"/>
      <c r="P290" s="676"/>
    </row>
    <row r="291" spans="1:17" ht="40.5" customHeight="1">
      <c r="A291" s="673">
        <v>45</v>
      </c>
      <c r="B291" s="695" t="s">
        <v>1546</v>
      </c>
      <c r="C291" s="675">
        <f>ROUND([8]Data!K1653,2)</f>
        <v>287.62</v>
      </c>
      <c r="D291" s="674" t="s">
        <v>264</v>
      </c>
      <c r="E291" s="659">
        <f>[8]Detailed!H1723</f>
        <v>62.4</v>
      </c>
      <c r="F291" s="666">
        <f t="shared" si="20"/>
        <v>17947.488000000001</v>
      </c>
      <c r="G291" s="666"/>
      <c r="H291" s="666"/>
      <c r="I291" s="666">
        <f t="shared" si="21"/>
        <v>0</v>
      </c>
      <c r="J291" s="666"/>
      <c r="K291" s="665">
        <f t="shared" si="22"/>
        <v>62.4</v>
      </c>
      <c r="L291" s="666">
        <f t="shared" si="23"/>
        <v>17947.488000000001</v>
      </c>
      <c r="M291" s="672">
        <v>62.4</v>
      </c>
      <c r="N291" s="668">
        <f t="shared" si="24"/>
        <v>0</v>
      </c>
    </row>
    <row r="292" spans="1:17" ht="45.75" customHeight="1">
      <c r="A292" s="662">
        <v>46</v>
      </c>
      <c r="B292" s="663" t="s">
        <v>1547</v>
      </c>
      <c r="C292" s="667">
        <f>ROUND([8]Data!K1670,2)</f>
        <v>58</v>
      </c>
      <c r="D292" s="663" t="s">
        <v>61</v>
      </c>
      <c r="E292" s="665">
        <f>[8]Detailed!H812</f>
        <v>6.4</v>
      </c>
      <c r="F292" s="666">
        <f t="shared" si="20"/>
        <v>371.20000000000005</v>
      </c>
      <c r="G292" s="666"/>
      <c r="H292" s="666"/>
      <c r="I292" s="666">
        <f t="shared" si="21"/>
        <v>0</v>
      </c>
      <c r="J292" s="666"/>
      <c r="K292" s="665">
        <f t="shared" si="22"/>
        <v>6.4</v>
      </c>
      <c r="L292" s="666">
        <f t="shared" si="23"/>
        <v>371.20000000000005</v>
      </c>
      <c r="M292" s="672">
        <v>6.4</v>
      </c>
      <c r="N292" s="668">
        <f t="shared" si="24"/>
        <v>0</v>
      </c>
    </row>
    <row r="293" spans="1:17" ht="45.75" customHeight="1">
      <c r="A293" s="662">
        <v>47</v>
      </c>
      <c r="B293" s="663" t="s">
        <v>1548</v>
      </c>
      <c r="C293" s="667">
        <f>ROUND([8]Data!K1682,2)</f>
        <v>95</v>
      </c>
      <c r="D293" s="663" t="s">
        <v>522</v>
      </c>
      <c r="E293" s="665">
        <f>[8]Detailed!H818</f>
        <v>4</v>
      </c>
      <c r="F293" s="666">
        <f t="shared" si="20"/>
        <v>380</v>
      </c>
      <c r="G293" s="666"/>
      <c r="H293" s="666"/>
      <c r="I293" s="666">
        <f t="shared" si="21"/>
        <v>0</v>
      </c>
      <c r="J293" s="666"/>
      <c r="K293" s="665">
        <f t="shared" si="22"/>
        <v>4</v>
      </c>
      <c r="L293" s="666">
        <f t="shared" si="23"/>
        <v>380</v>
      </c>
      <c r="M293" s="672">
        <v>4</v>
      </c>
      <c r="N293" s="668">
        <f t="shared" si="24"/>
        <v>0</v>
      </c>
    </row>
    <row r="294" spans="1:17" ht="45.75" customHeight="1">
      <c r="A294" s="662">
        <v>48</v>
      </c>
      <c r="B294" s="663" t="s">
        <v>1549</v>
      </c>
      <c r="C294" s="667">
        <f>ROUND([8]Data!K1690,2)</f>
        <v>55</v>
      </c>
      <c r="D294" s="663" t="s">
        <v>522</v>
      </c>
      <c r="E294" s="665">
        <f>[8]Detailed!H826</f>
        <v>8</v>
      </c>
      <c r="F294" s="666">
        <f t="shared" si="20"/>
        <v>440</v>
      </c>
      <c r="G294" s="666"/>
      <c r="H294" s="666"/>
      <c r="I294" s="666">
        <f t="shared" si="21"/>
        <v>0</v>
      </c>
      <c r="J294" s="666"/>
      <c r="K294" s="665">
        <f t="shared" si="22"/>
        <v>8</v>
      </c>
      <c r="L294" s="666">
        <f t="shared" si="23"/>
        <v>440</v>
      </c>
      <c r="M294" s="672">
        <v>8</v>
      </c>
      <c r="N294" s="668">
        <f t="shared" si="24"/>
        <v>0</v>
      </c>
    </row>
    <row r="295" spans="1:17" ht="45.75" customHeight="1">
      <c r="A295" s="662">
        <v>49</v>
      </c>
      <c r="B295" s="663" t="s">
        <v>1550</v>
      </c>
      <c r="C295" s="667">
        <f>ROUND([8]Data!K1697,2)</f>
        <v>1.5</v>
      </c>
      <c r="D295" s="663" t="s">
        <v>522</v>
      </c>
      <c r="E295" s="665">
        <f>[8]Detailed!H828</f>
        <v>44</v>
      </c>
      <c r="F295" s="666">
        <f t="shared" si="20"/>
        <v>66</v>
      </c>
      <c r="G295" s="666"/>
      <c r="H295" s="666"/>
      <c r="I295" s="666">
        <f t="shared" si="21"/>
        <v>0</v>
      </c>
      <c r="J295" s="666"/>
      <c r="K295" s="665">
        <f t="shared" si="22"/>
        <v>44</v>
      </c>
      <c r="L295" s="666">
        <f t="shared" si="23"/>
        <v>66</v>
      </c>
      <c r="M295" s="672">
        <v>44</v>
      </c>
      <c r="N295" s="668">
        <f t="shared" si="24"/>
        <v>0</v>
      </c>
    </row>
    <row r="296" spans="1:17" s="677" customFormat="1" ht="25.5" hidden="1" customHeight="1">
      <c r="A296" s="662">
        <v>50.1</v>
      </c>
      <c r="B296" s="663" t="s">
        <v>1551</v>
      </c>
      <c r="C296" s="675"/>
      <c r="D296" s="674" t="s">
        <v>264</v>
      </c>
      <c r="E296" s="659"/>
      <c r="F296" s="666">
        <f t="shared" si="20"/>
        <v>0</v>
      </c>
      <c r="G296" s="666"/>
      <c r="H296" s="666"/>
      <c r="I296" s="666">
        <f t="shared" si="21"/>
        <v>0</v>
      </c>
      <c r="J296" s="666"/>
      <c r="K296" s="665">
        <f t="shared" si="22"/>
        <v>0</v>
      </c>
      <c r="L296" s="666">
        <f t="shared" si="23"/>
        <v>0</v>
      </c>
      <c r="M296" s="672">
        <v>0</v>
      </c>
      <c r="N296" s="668">
        <f t="shared" si="24"/>
        <v>0</v>
      </c>
      <c r="O296" s="676"/>
      <c r="P296" s="676"/>
    </row>
    <row r="297" spans="1:17" ht="49.5" customHeight="1">
      <c r="A297" s="662">
        <v>50.3</v>
      </c>
      <c r="B297" s="663" t="s">
        <v>1552</v>
      </c>
      <c r="C297" s="667">
        <f>ROUND([8]Data!K1762,2)</f>
        <v>386.45</v>
      </c>
      <c r="D297" s="663" t="s">
        <v>522</v>
      </c>
      <c r="E297" s="665">
        <f>[8]Detailed!H830</f>
        <v>5</v>
      </c>
      <c r="F297" s="666">
        <f t="shared" si="20"/>
        <v>1932.25</v>
      </c>
      <c r="G297" s="666"/>
      <c r="H297" s="666"/>
      <c r="I297" s="666">
        <f t="shared" si="21"/>
        <v>0</v>
      </c>
      <c r="J297" s="666"/>
      <c r="K297" s="665">
        <f t="shared" si="22"/>
        <v>5</v>
      </c>
      <c r="L297" s="666">
        <f t="shared" si="23"/>
        <v>1932.25</v>
      </c>
      <c r="M297" s="672">
        <v>5</v>
      </c>
      <c r="N297" s="668">
        <f t="shared" si="24"/>
        <v>0</v>
      </c>
    </row>
    <row r="298" spans="1:17" ht="43.5" customHeight="1">
      <c r="A298" s="662">
        <v>50.4</v>
      </c>
      <c r="B298" s="663" t="s">
        <v>1553</v>
      </c>
      <c r="C298" s="667">
        <f>ROUND([8]Data!K1775,2)</f>
        <v>812.3</v>
      </c>
      <c r="D298" s="663" t="s">
        <v>522</v>
      </c>
      <c r="E298" s="665">
        <f>[8]Detailed!H832</f>
        <v>5</v>
      </c>
      <c r="F298" s="666">
        <f t="shared" si="20"/>
        <v>4061.5</v>
      </c>
      <c r="G298" s="666"/>
      <c r="H298" s="666"/>
      <c r="I298" s="666">
        <f t="shared" si="21"/>
        <v>0</v>
      </c>
      <c r="J298" s="666"/>
      <c r="K298" s="665">
        <f t="shared" si="22"/>
        <v>5</v>
      </c>
      <c r="L298" s="666">
        <f t="shared" si="23"/>
        <v>4061.5</v>
      </c>
      <c r="M298" s="672">
        <v>5</v>
      </c>
      <c r="N298" s="668">
        <f t="shared" si="24"/>
        <v>0</v>
      </c>
    </row>
    <row r="299" spans="1:17" ht="62.25" customHeight="1">
      <c r="A299" s="662">
        <v>50.5</v>
      </c>
      <c r="B299" s="663" t="s">
        <v>967</v>
      </c>
      <c r="C299" s="667">
        <f>ROUND([8]Data!K1790,2)</f>
        <v>17425.669999999998</v>
      </c>
      <c r="D299" s="663" t="s">
        <v>522</v>
      </c>
      <c r="E299" s="665">
        <f>[8]Detailed!H835</f>
        <v>1</v>
      </c>
      <c r="F299" s="666">
        <f t="shared" si="20"/>
        <v>17425.669999999998</v>
      </c>
      <c r="G299" s="666"/>
      <c r="H299" s="666"/>
      <c r="I299" s="666">
        <f t="shared" si="21"/>
        <v>0</v>
      </c>
      <c r="J299" s="666"/>
      <c r="K299" s="665">
        <f t="shared" si="22"/>
        <v>1</v>
      </c>
      <c r="L299" s="666">
        <f t="shared" si="23"/>
        <v>17425.669999999998</v>
      </c>
      <c r="M299" s="672">
        <v>1</v>
      </c>
      <c r="N299" s="668">
        <f t="shared" si="24"/>
        <v>0</v>
      </c>
    </row>
    <row r="300" spans="1:17" s="677" customFormat="1" ht="53.25" hidden="1" customHeight="1">
      <c r="A300" s="662">
        <v>51</v>
      </c>
      <c r="B300" s="663" t="s">
        <v>1554</v>
      </c>
      <c r="C300" s="675">
        <f>ROUND([8]Data!K1796,2)</f>
        <v>6720</v>
      </c>
      <c r="D300" s="674" t="s">
        <v>522</v>
      </c>
      <c r="E300" s="659"/>
      <c r="F300" s="666">
        <f t="shared" si="20"/>
        <v>0</v>
      </c>
      <c r="G300" s="666"/>
      <c r="H300" s="666"/>
      <c r="I300" s="666">
        <f t="shared" si="21"/>
        <v>0</v>
      </c>
      <c r="J300" s="666"/>
      <c r="K300" s="665">
        <f t="shared" si="22"/>
        <v>0</v>
      </c>
      <c r="L300" s="666">
        <f t="shared" si="23"/>
        <v>0</v>
      </c>
      <c r="M300" s="672">
        <v>0</v>
      </c>
      <c r="N300" s="668">
        <f t="shared" si="24"/>
        <v>0</v>
      </c>
      <c r="O300" s="676"/>
      <c r="P300" s="676"/>
    </row>
    <row r="301" spans="1:17" s="683" customFormat="1" ht="43.5" customHeight="1">
      <c r="A301" s="662">
        <v>52</v>
      </c>
      <c r="B301" s="685" t="s">
        <v>1555</v>
      </c>
      <c r="C301" s="667"/>
      <c r="D301" s="663"/>
      <c r="E301" s="665"/>
      <c r="F301" s="666">
        <f t="shared" si="20"/>
        <v>0</v>
      </c>
      <c r="G301" s="666"/>
      <c r="H301" s="666"/>
      <c r="I301" s="666">
        <f t="shared" si="21"/>
        <v>0</v>
      </c>
      <c r="J301" s="666"/>
      <c r="K301" s="665">
        <f t="shared" si="22"/>
        <v>0</v>
      </c>
      <c r="L301" s="666">
        <f t="shared" si="23"/>
        <v>0</v>
      </c>
      <c r="M301" s="668">
        <v>0</v>
      </c>
      <c r="N301" s="668">
        <f t="shared" si="24"/>
        <v>0</v>
      </c>
      <c r="O301" s="678"/>
      <c r="P301" s="669"/>
      <c r="Q301" s="679"/>
    </row>
    <row r="302" spans="1:17" s="683" customFormat="1" ht="43.5" customHeight="1">
      <c r="A302" s="666"/>
      <c r="B302" s="663" t="s">
        <v>1556</v>
      </c>
      <c r="C302" s="667">
        <f>ROUND([8]Data!K1890,2)</f>
        <v>225.97</v>
      </c>
      <c r="D302" s="663" t="s">
        <v>61</v>
      </c>
      <c r="E302" s="665">
        <f>[8]Detailed!H840</f>
        <v>45</v>
      </c>
      <c r="F302" s="666">
        <f t="shared" si="20"/>
        <v>10168.65</v>
      </c>
      <c r="G302" s="666"/>
      <c r="H302" s="666"/>
      <c r="I302" s="666">
        <f t="shared" si="21"/>
        <v>0</v>
      </c>
      <c r="J302" s="666"/>
      <c r="K302" s="665">
        <f t="shared" si="22"/>
        <v>45</v>
      </c>
      <c r="L302" s="666">
        <f t="shared" si="23"/>
        <v>10168.65</v>
      </c>
      <c r="M302" s="672">
        <v>45</v>
      </c>
      <c r="N302" s="668">
        <f t="shared" si="24"/>
        <v>0</v>
      </c>
      <c r="O302" s="669"/>
      <c r="P302" s="669"/>
    </row>
    <row r="303" spans="1:17" s="683" customFormat="1" ht="43.5" customHeight="1">
      <c r="A303" s="666"/>
      <c r="B303" s="663" t="s">
        <v>1557</v>
      </c>
      <c r="C303" s="667">
        <f>ROUND([8]Data!K1882,2)</f>
        <v>208.73</v>
      </c>
      <c r="D303" s="663" t="s">
        <v>61</v>
      </c>
      <c r="E303" s="665">
        <f>[8]Detailed!H847</f>
        <v>149</v>
      </c>
      <c r="F303" s="666">
        <f t="shared" si="20"/>
        <v>31100.769999999997</v>
      </c>
      <c r="G303" s="666"/>
      <c r="H303" s="666"/>
      <c r="I303" s="666">
        <f t="shared" si="21"/>
        <v>0</v>
      </c>
      <c r="J303" s="666"/>
      <c r="K303" s="665">
        <f t="shared" si="22"/>
        <v>149</v>
      </c>
      <c r="L303" s="666">
        <f t="shared" si="23"/>
        <v>31100.769999999997</v>
      </c>
      <c r="M303" s="672">
        <v>149</v>
      </c>
      <c r="N303" s="668">
        <f t="shared" si="24"/>
        <v>0</v>
      </c>
      <c r="O303" s="669"/>
      <c r="P303" s="669"/>
    </row>
    <row r="304" spans="1:17" s="677" customFormat="1" ht="41.25" hidden="1" customHeight="1">
      <c r="A304" s="690"/>
      <c r="B304" s="663" t="s">
        <v>1558</v>
      </c>
      <c r="C304" s="675">
        <f>ROUND([8]Data!K1874,2)</f>
        <v>203.95</v>
      </c>
      <c r="D304" s="674" t="s">
        <v>61</v>
      </c>
      <c r="E304" s="659"/>
      <c r="F304" s="666">
        <f t="shared" si="20"/>
        <v>0</v>
      </c>
      <c r="G304" s="666"/>
      <c r="H304" s="666"/>
      <c r="I304" s="666">
        <f t="shared" si="21"/>
        <v>0</v>
      </c>
      <c r="J304" s="666"/>
      <c r="K304" s="665">
        <f t="shared" si="22"/>
        <v>0</v>
      </c>
      <c r="L304" s="666">
        <f t="shared" si="23"/>
        <v>0</v>
      </c>
      <c r="M304" s="672">
        <v>0</v>
      </c>
      <c r="N304" s="668">
        <f t="shared" si="24"/>
        <v>0</v>
      </c>
      <c r="O304" s="676"/>
      <c r="P304" s="676"/>
    </row>
    <row r="305" spans="1:16" ht="60" hidden="1" customHeight="1">
      <c r="A305" s="662">
        <v>52.1</v>
      </c>
      <c r="B305" s="663" t="s">
        <v>1559</v>
      </c>
      <c r="C305" s="667">
        <f>ROUND([8]Data!K1927,2)</f>
        <v>286.08</v>
      </c>
      <c r="D305" s="663" t="s">
        <v>61</v>
      </c>
      <c r="E305" s="665"/>
      <c r="F305" s="666">
        <f t="shared" si="20"/>
        <v>0</v>
      </c>
      <c r="G305" s="666"/>
      <c r="H305" s="666"/>
      <c r="I305" s="666">
        <f t="shared" si="21"/>
        <v>0</v>
      </c>
      <c r="J305" s="666"/>
      <c r="K305" s="665">
        <f t="shared" si="22"/>
        <v>0</v>
      </c>
      <c r="L305" s="666">
        <f t="shared" si="23"/>
        <v>0</v>
      </c>
      <c r="M305" s="672">
        <v>0</v>
      </c>
      <c r="N305" s="668">
        <f t="shared" si="24"/>
        <v>0</v>
      </c>
    </row>
    <row r="306" spans="1:16" s="677" customFormat="1" ht="56.25" hidden="1" customHeight="1">
      <c r="A306" s="662">
        <v>53.1</v>
      </c>
      <c r="B306" s="663" t="s">
        <v>1142</v>
      </c>
      <c r="C306" s="675">
        <f>ROUND([8]Data!K1948,2)</f>
        <v>3104.82</v>
      </c>
      <c r="D306" s="674" t="s">
        <v>522</v>
      </c>
      <c r="E306" s="659"/>
      <c r="F306" s="666">
        <f t="shared" si="20"/>
        <v>0</v>
      </c>
      <c r="G306" s="666"/>
      <c r="H306" s="666"/>
      <c r="I306" s="666">
        <f t="shared" si="21"/>
        <v>0</v>
      </c>
      <c r="J306" s="666"/>
      <c r="K306" s="665">
        <f t="shared" si="22"/>
        <v>0</v>
      </c>
      <c r="L306" s="666">
        <f t="shared" si="23"/>
        <v>0</v>
      </c>
      <c r="M306" s="672">
        <v>0</v>
      </c>
      <c r="N306" s="668">
        <f t="shared" si="24"/>
        <v>0</v>
      </c>
      <c r="O306" s="676"/>
      <c r="P306" s="676"/>
    </row>
    <row r="307" spans="1:16" s="677" customFormat="1" ht="43.5" hidden="1" customHeight="1">
      <c r="A307" s="662">
        <v>53.2</v>
      </c>
      <c r="B307" s="663" t="s">
        <v>1560</v>
      </c>
      <c r="C307" s="675"/>
      <c r="D307" s="674" t="s">
        <v>522</v>
      </c>
      <c r="E307" s="659"/>
      <c r="F307" s="666">
        <f t="shared" si="20"/>
        <v>0</v>
      </c>
      <c r="G307" s="666"/>
      <c r="H307" s="666"/>
      <c r="I307" s="666">
        <f t="shared" si="21"/>
        <v>0</v>
      </c>
      <c r="J307" s="666"/>
      <c r="K307" s="665">
        <f t="shared" si="22"/>
        <v>0</v>
      </c>
      <c r="L307" s="666">
        <f t="shared" si="23"/>
        <v>0</v>
      </c>
      <c r="M307" s="672">
        <v>0</v>
      </c>
      <c r="N307" s="668">
        <f t="shared" si="24"/>
        <v>0</v>
      </c>
      <c r="O307" s="676"/>
      <c r="P307" s="676"/>
    </row>
    <row r="308" spans="1:16" ht="60.75" hidden="1" customHeight="1">
      <c r="A308" s="662">
        <v>53.3</v>
      </c>
      <c r="B308" s="663" t="s">
        <v>1561</v>
      </c>
      <c r="C308" s="667">
        <f>ROUND([8]Data!K1952,2)</f>
        <v>30</v>
      </c>
      <c r="D308" s="663" t="s">
        <v>522</v>
      </c>
      <c r="E308" s="665"/>
      <c r="F308" s="666">
        <f t="shared" si="20"/>
        <v>0</v>
      </c>
      <c r="G308" s="666"/>
      <c r="H308" s="666"/>
      <c r="I308" s="666">
        <f t="shared" si="21"/>
        <v>0</v>
      </c>
      <c r="J308" s="666"/>
      <c r="K308" s="665">
        <f t="shared" si="22"/>
        <v>0</v>
      </c>
      <c r="L308" s="666">
        <f t="shared" si="23"/>
        <v>0</v>
      </c>
      <c r="M308" s="672">
        <v>0</v>
      </c>
      <c r="N308" s="668">
        <f t="shared" si="24"/>
        <v>0</v>
      </c>
    </row>
    <row r="309" spans="1:16" s="677" customFormat="1" ht="25.5" hidden="1" customHeight="1">
      <c r="A309" s="700">
        <v>54</v>
      </c>
      <c r="B309" s="663" t="s">
        <v>1562</v>
      </c>
      <c r="C309" s="675">
        <f>ROUND([8]Data!K1954,2)</f>
        <v>204</v>
      </c>
      <c r="D309" s="674" t="s">
        <v>522</v>
      </c>
      <c r="E309" s="659"/>
      <c r="F309" s="666">
        <f t="shared" si="20"/>
        <v>0</v>
      </c>
      <c r="G309" s="666"/>
      <c r="H309" s="666"/>
      <c r="I309" s="666">
        <f t="shared" si="21"/>
        <v>0</v>
      </c>
      <c r="J309" s="666"/>
      <c r="K309" s="665">
        <f t="shared" si="22"/>
        <v>0</v>
      </c>
      <c r="L309" s="666">
        <f t="shared" si="23"/>
        <v>0</v>
      </c>
      <c r="M309" s="672">
        <v>0</v>
      </c>
      <c r="N309" s="668">
        <f t="shared" si="24"/>
        <v>0</v>
      </c>
      <c r="O309" s="676"/>
      <c r="P309" s="676"/>
    </row>
    <row r="310" spans="1:16" s="677" customFormat="1" ht="36.75" hidden="1" customHeight="1">
      <c r="A310" s="662">
        <v>54.1</v>
      </c>
      <c r="B310" s="663" t="s">
        <v>1563</v>
      </c>
      <c r="C310" s="675">
        <f>ROUND([8]Data!K1957,2)</f>
        <v>300</v>
      </c>
      <c r="D310" s="674" t="s">
        <v>522</v>
      </c>
      <c r="E310" s="659"/>
      <c r="F310" s="666">
        <f t="shared" si="20"/>
        <v>0</v>
      </c>
      <c r="G310" s="666"/>
      <c r="H310" s="666"/>
      <c r="I310" s="666">
        <f t="shared" si="21"/>
        <v>0</v>
      </c>
      <c r="J310" s="666"/>
      <c r="K310" s="665">
        <f t="shared" si="22"/>
        <v>0</v>
      </c>
      <c r="L310" s="666">
        <f t="shared" si="23"/>
        <v>0</v>
      </c>
      <c r="M310" s="672">
        <v>0</v>
      </c>
      <c r="N310" s="668">
        <f t="shared" si="24"/>
        <v>0</v>
      </c>
      <c r="O310" s="676"/>
      <c r="P310" s="676"/>
    </row>
    <row r="311" spans="1:16" s="677" customFormat="1" ht="36.75" hidden="1" customHeight="1">
      <c r="A311" s="662">
        <v>54.2</v>
      </c>
      <c r="B311" s="663" t="s">
        <v>1564</v>
      </c>
      <c r="C311" s="675">
        <f>ROUND([8]Data!K1960,2)</f>
        <v>250</v>
      </c>
      <c r="D311" s="674" t="s">
        <v>522</v>
      </c>
      <c r="E311" s="659"/>
      <c r="F311" s="666">
        <f t="shared" si="20"/>
        <v>0</v>
      </c>
      <c r="G311" s="666"/>
      <c r="H311" s="666"/>
      <c r="I311" s="666">
        <f t="shared" si="21"/>
        <v>0</v>
      </c>
      <c r="J311" s="666"/>
      <c r="K311" s="665">
        <f t="shared" si="22"/>
        <v>0</v>
      </c>
      <c r="L311" s="666">
        <f t="shared" si="23"/>
        <v>0</v>
      </c>
      <c r="M311" s="672">
        <v>0</v>
      </c>
      <c r="N311" s="668">
        <f t="shared" si="24"/>
        <v>0</v>
      </c>
      <c r="O311" s="676"/>
      <c r="P311" s="676"/>
    </row>
    <row r="312" spans="1:16" s="677" customFormat="1" ht="25.5" hidden="1" customHeight="1">
      <c r="A312" s="662">
        <v>55.1</v>
      </c>
      <c r="B312" s="663" t="s">
        <v>1565</v>
      </c>
      <c r="C312" s="675">
        <f>[8]Data!K2403</f>
        <v>822.61</v>
      </c>
      <c r="D312" s="674" t="s">
        <v>522</v>
      </c>
      <c r="E312" s="659"/>
      <c r="F312" s="666">
        <f t="shared" si="20"/>
        <v>0</v>
      </c>
      <c r="G312" s="666"/>
      <c r="H312" s="666"/>
      <c r="I312" s="666">
        <f t="shared" si="21"/>
        <v>0</v>
      </c>
      <c r="J312" s="666"/>
      <c r="K312" s="665">
        <f t="shared" si="22"/>
        <v>0</v>
      </c>
      <c r="L312" s="666">
        <f t="shared" si="23"/>
        <v>0</v>
      </c>
      <c r="M312" s="672">
        <v>0</v>
      </c>
      <c r="N312" s="668">
        <f t="shared" si="24"/>
        <v>0</v>
      </c>
      <c r="O312" s="676"/>
      <c r="P312" s="676"/>
    </row>
    <row r="313" spans="1:16" s="677" customFormat="1" ht="45.75" hidden="1" customHeight="1">
      <c r="A313" s="662">
        <v>55.2</v>
      </c>
      <c r="B313" s="663" t="s">
        <v>1566</v>
      </c>
      <c r="C313" s="675">
        <f>[8]Data!K2415</f>
        <v>2016.25</v>
      </c>
      <c r="D313" s="674" t="s">
        <v>522</v>
      </c>
      <c r="E313" s="659"/>
      <c r="F313" s="666">
        <f t="shared" si="20"/>
        <v>0</v>
      </c>
      <c r="G313" s="666"/>
      <c r="H313" s="666"/>
      <c r="I313" s="666">
        <f t="shared" si="21"/>
        <v>0</v>
      </c>
      <c r="J313" s="666"/>
      <c r="K313" s="665">
        <f t="shared" si="22"/>
        <v>0</v>
      </c>
      <c r="L313" s="666">
        <f t="shared" si="23"/>
        <v>0</v>
      </c>
      <c r="M313" s="672">
        <v>0</v>
      </c>
      <c r="N313" s="668">
        <f t="shared" si="24"/>
        <v>0</v>
      </c>
      <c r="O313" s="676"/>
      <c r="P313" s="676"/>
    </row>
    <row r="314" spans="1:16" s="677" customFormat="1" ht="25.5" hidden="1" customHeight="1">
      <c r="A314" s="662">
        <v>56.1</v>
      </c>
      <c r="B314" s="663" t="s">
        <v>1567</v>
      </c>
      <c r="C314" s="675">
        <f>ROUND([8]Data!K1977,2)</f>
        <v>3085.18</v>
      </c>
      <c r="D314" s="674" t="s">
        <v>522</v>
      </c>
      <c r="E314" s="659"/>
      <c r="F314" s="666">
        <f t="shared" si="20"/>
        <v>0</v>
      </c>
      <c r="G314" s="666"/>
      <c r="H314" s="666"/>
      <c r="I314" s="666">
        <f t="shared" si="21"/>
        <v>0</v>
      </c>
      <c r="J314" s="666"/>
      <c r="K314" s="665">
        <f t="shared" si="22"/>
        <v>0</v>
      </c>
      <c r="L314" s="666">
        <f t="shared" si="23"/>
        <v>0</v>
      </c>
      <c r="M314" s="672">
        <v>0</v>
      </c>
      <c r="N314" s="668">
        <f t="shared" si="24"/>
        <v>0</v>
      </c>
      <c r="O314" s="676"/>
      <c r="P314" s="676"/>
    </row>
    <row r="315" spans="1:16" s="677" customFormat="1" ht="25.5" hidden="1" customHeight="1">
      <c r="A315" s="662">
        <v>56.2</v>
      </c>
      <c r="B315" s="663" t="s">
        <v>1568</v>
      </c>
      <c r="C315" s="675">
        <f>ROUND([8]Data!K1998,2)</f>
        <v>4869.5600000000004</v>
      </c>
      <c r="D315" s="674" t="s">
        <v>522</v>
      </c>
      <c r="E315" s="659"/>
      <c r="F315" s="666">
        <f t="shared" si="20"/>
        <v>0</v>
      </c>
      <c r="G315" s="666"/>
      <c r="H315" s="666"/>
      <c r="I315" s="666">
        <f t="shared" si="21"/>
        <v>0</v>
      </c>
      <c r="J315" s="666"/>
      <c r="K315" s="665">
        <f t="shared" si="22"/>
        <v>0</v>
      </c>
      <c r="L315" s="666">
        <f t="shared" si="23"/>
        <v>0</v>
      </c>
      <c r="M315" s="672">
        <v>0</v>
      </c>
      <c r="N315" s="668">
        <f t="shared" si="24"/>
        <v>0</v>
      </c>
      <c r="O315" s="676"/>
      <c r="P315" s="676"/>
    </row>
    <row r="316" spans="1:16" s="677" customFormat="1" ht="41.25" hidden="1" customHeight="1">
      <c r="A316" s="700">
        <v>57</v>
      </c>
      <c r="B316" s="663" t="s">
        <v>1569</v>
      </c>
      <c r="C316" s="675">
        <f>ROUND([8]Data!K2015,2)</f>
        <v>6531.2</v>
      </c>
      <c r="D316" s="674" t="s">
        <v>522</v>
      </c>
      <c r="E316" s="659"/>
      <c r="F316" s="666">
        <f t="shared" si="20"/>
        <v>0</v>
      </c>
      <c r="G316" s="666"/>
      <c r="H316" s="666"/>
      <c r="I316" s="666">
        <f t="shared" si="21"/>
        <v>0</v>
      </c>
      <c r="J316" s="666"/>
      <c r="K316" s="665">
        <f t="shared" si="22"/>
        <v>0</v>
      </c>
      <c r="L316" s="666">
        <f t="shared" si="23"/>
        <v>0</v>
      </c>
      <c r="M316" s="672">
        <v>0</v>
      </c>
      <c r="N316" s="668">
        <f t="shared" si="24"/>
        <v>0</v>
      </c>
      <c r="O316" s="676"/>
      <c r="P316" s="676"/>
    </row>
    <row r="317" spans="1:16" s="677" customFormat="1" ht="45.75" hidden="1" customHeight="1">
      <c r="A317" s="662">
        <v>57.1</v>
      </c>
      <c r="B317" s="663" t="s">
        <v>1570</v>
      </c>
      <c r="C317" s="675">
        <f>ROUND([8]Data!K2034,2)</f>
        <v>6891.2</v>
      </c>
      <c r="D317" s="674" t="s">
        <v>522</v>
      </c>
      <c r="E317" s="659"/>
      <c r="F317" s="666">
        <f t="shared" si="20"/>
        <v>0</v>
      </c>
      <c r="G317" s="666"/>
      <c r="H317" s="666"/>
      <c r="I317" s="666">
        <f t="shared" si="21"/>
        <v>0</v>
      </c>
      <c r="J317" s="666"/>
      <c r="K317" s="665">
        <f t="shared" si="22"/>
        <v>0</v>
      </c>
      <c r="L317" s="666">
        <f t="shared" si="23"/>
        <v>0</v>
      </c>
      <c r="M317" s="672">
        <v>0</v>
      </c>
      <c r="N317" s="668">
        <f t="shared" si="24"/>
        <v>0</v>
      </c>
      <c r="O317" s="676"/>
      <c r="P317" s="676"/>
    </row>
    <row r="318" spans="1:16" s="677" customFormat="1" ht="20.100000000000001" hidden="1" customHeight="1">
      <c r="A318" s="662">
        <v>58.1</v>
      </c>
      <c r="B318" s="663" t="s">
        <v>1571</v>
      </c>
      <c r="C318" s="675"/>
      <c r="D318" s="674"/>
      <c r="E318" s="659"/>
      <c r="F318" s="666">
        <f t="shared" si="20"/>
        <v>0</v>
      </c>
      <c r="G318" s="666"/>
      <c r="H318" s="666"/>
      <c r="I318" s="666">
        <f t="shared" si="21"/>
        <v>0</v>
      </c>
      <c r="J318" s="666"/>
      <c r="K318" s="665">
        <f t="shared" si="22"/>
        <v>0</v>
      </c>
      <c r="L318" s="666">
        <f t="shared" si="23"/>
        <v>0</v>
      </c>
      <c r="M318" s="672">
        <v>0</v>
      </c>
      <c r="N318" s="668">
        <f t="shared" si="24"/>
        <v>0</v>
      </c>
      <c r="O318" s="676"/>
      <c r="P318" s="676"/>
    </row>
    <row r="319" spans="1:16" s="677" customFormat="1" ht="20.100000000000001" hidden="1" customHeight="1">
      <c r="A319" s="666"/>
      <c r="B319" s="663" t="s">
        <v>1572</v>
      </c>
      <c r="C319" s="675">
        <f>ROUND([8]Data!K2063,2)</f>
        <v>657.29</v>
      </c>
      <c r="D319" s="674" t="s">
        <v>61</v>
      </c>
      <c r="E319" s="659"/>
      <c r="F319" s="666">
        <f t="shared" si="20"/>
        <v>0</v>
      </c>
      <c r="G319" s="666"/>
      <c r="H319" s="666"/>
      <c r="I319" s="666">
        <f t="shared" si="21"/>
        <v>0</v>
      </c>
      <c r="J319" s="666"/>
      <c r="K319" s="665">
        <f t="shared" si="22"/>
        <v>0</v>
      </c>
      <c r="L319" s="666">
        <f t="shared" si="23"/>
        <v>0</v>
      </c>
      <c r="M319" s="672">
        <v>0</v>
      </c>
      <c r="N319" s="668">
        <f t="shared" si="24"/>
        <v>0</v>
      </c>
      <c r="O319" s="676"/>
      <c r="P319" s="676"/>
    </row>
    <row r="320" spans="1:16" s="677" customFormat="1" ht="20.100000000000001" hidden="1" customHeight="1">
      <c r="A320" s="690"/>
      <c r="B320" s="663" t="s">
        <v>1573</v>
      </c>
      <c r="C320" s="675">
        <f>ROUND([8]Data!K2087,2)</f>
        <v>541.41999999999996</v>
      </c>
      <c r="D320" s="674" t="s">
        <v>61</v>
      </c>
      <c r="E320" s="659"/>
      <c r="F320" s="666">
        <f t="shared" si="20"/>
        <v>0</v>
      </c>
      <c r="G320" s="666"/>
      <c r="H320" s="666"/>
      <c r="I320" s="666">
        <f t="shared" si="21"/>
        <v>0</v>
      </c>
      <c r="J320" s="666"/>
      <c r="K320" s="665">
        <f t="shared" si="22"/>
        <v>0</v>
      </c>
      <c r="L320" s="666">
        <f t="shared" si="23"/>
        <v>0</v>
      </c>
      <c r="M320" s="672">
        <v>0</v>
      </c>
      <c r="N320" s="668">
        <f t="shared" si="24"/>
        <v>0</v>
      </c>
      <c r="O320" s="676"/>
      <c r="P320" s="676"/>
    </row>
    <row r="321" spans="1:16" s="677" customFormat="1" ht="20.100000000000001" hidden="1" customHeight="1">
      <c r="A321" s="662">
        <v>58.2</v>
      </c>
      <c r="B321" s="663" t="s">
        <v>1574</v>
      </c>
      <c r="C321" s="675">
        <f>ROUND([8]Data!K2098,2)</f>
        <v>450.1</v>
      </c>
      <c r="D321" s="674" t="s">
        <v>522</v>
      </c>
      <c r="E321" s="659"/>
      <c r="F321" s="666">
        <f t="shared" si="20"/>
        <v>0</v>
      </c>
      <c r="G321" s="666"/>
      <c r="H321" s="666"/>
      <c r="I321" s="666">
        <f t="shared" si="21"/>
        <v>0</v>
      </c>
      <c r="J321" s="666"/>
      <c r="K321" s="665">
        <f t="shared" si="22"/>
        <v>0</v>
      </c>
      <c r="L321" s="666">
        <f t="shared" si="23"/>
        <v>0</v>
      </c>
      <c r="M321" s="672">
        <v>0</v>
      </c>
      <c r="N321" s="668">
        <f t="shared" si="24"/>
        <v>0</v>
      </c>
      <c r="O321" s="676"/>
      <c r="P321" s="676"/>
    </row>
    <row r="322" spans="1:16" s="677" customFormat="1" ht="39.950000000000003" hidden="1" customHeight="1">
      <c r="A322" s="662">
        <v>59.1</v>
      </c>
      <c r="B322" s="663" t="s">
        <v>1575</v>
      </c>
      <c r="C322" s="675"/>
      <c r="D322" s="674" t="s">
        <v>522</v>
      </c>
      <c r="E322" s="659"/>
      <c r="F322" s="666">
        <f t="shared" si="20"/>
        <v>0</v>
      </c>
      <c r="G322" s="666"/>
      <c r="H322" s="666"/>
      <c r="I322" s="666">
        <f t="shared" si="21"/>
        <v>0</v>
      </c>
      <c r="J322" s="666"/>
      <c r="K322" s="665">
        <f t="shared" si="22"/>
        <v>0</v>
      </c>
      <c r="L322" s="666">
        <f t="shared" si="23"/>
        <v>0</v>
      </c>
      <c r="M322" s="672">
        <v>0</v>
      </c>
      <c r="N322" s="668">
        <f t="shared" si="24"/>
        <v>0</v>
      </c>
      <c r="O322" s="676"/>
      <c r="P322" s="676"/>
    </row>
    <row r="323" spans="1:16" s="677" customFormat="1" ht="60.75" hidden="1" customHeight="1">
      <c r="A323" s="662">
        <v>59.2</v>
      </c>
      <c r="B323" s="663" t="s">
        <v>1576</v>
      </c>
      <c r="C323" s="675">
        <f>ROUND([8]Data!K2111,2)</f>
        <v>1762.77</v>
      </c>
      <c r="D323" s="674" t="s">
        <v>522</v>
      </c>
      <c r="E323" s="659"/>
      <c r="F323" s="666">
        <f t="shared" si="20"/>
        <v>0</v>
      </c>
      <c r="G323" s="666"/>
      <c r="H323" s="666"/>
      <c r="I323" s="666">
        <f t="shared" si="21"/>
        <v>0</v>
      </c>
      <c r="J323" s="666"/>
      <c r="K323" s="665">
        <f t="shared" si="22"/>
        <v>0</v>
      </c>
      <c r="L323" s="666">
        <f t="shared" si="23"/>
        <v>0</v>
      </c>
      <c r="M323" s="672">
        <v>0</v>
      </c>
      <c r="N323" s="668">
        <f t="shared" si="24"/>
        <v>0</v>
      </c>
      <c r="O323" s="676"/>
      <c r="P323" s="676"/>
    </row>
    <row r="324" spans="1:16" s="677" customFormat="1" ht="39.950000000000003" hidden="1" customHeight="1">
      <c r="A324" s="662">
        <v>59.3</v>
      </c>
      <c r="B324" s="663" t="s">
        <v>1577</v>
      </c>
      <c r="C324" s="675"/>
      <c r="D324" s="674" t="s">
        <v>522</v>
      </c>
      <c r="E324" s="659"/>
      <c r="F324" s="666">
        <f t="shared" si="20"/>
        <v>0</v>
      </c>
      <c r="G324" s="666"/>
      <c r="H324" s="666"/>
      <c r="I324" s="666">
        <f t="shared" si="21"/>
        <v>0</v>
      </c>
      <c r="J324" s="666"/>
      <c r="K324" s="665">
        <f t="shared" si="22"/>
        <v>0</v>
      </c>
      <c r="L324" s="666">
        <f t="shared" si="23"/>
        <v>0</v>
      </c>
      <c r="M324" s="672">
        <v>0</v>
      </c>
      <c r="N324" s="668">
        <f t="shared" si="24"/>
        <v>0</v>
      </c>
      <c r="O324" s="676"/>
      <c r="P324" s="676"/>
    </row>
    <row r="325" spans="1:16" s="677" customFormat="1" ht="39.950000000000003" hidden="1" customHeight="1">
      <c r="A325" s="662">
        <v>59.4</v>
      </c>
      <c r="B325" s="663" t="s">
        <v>1578</v>
      </c>
      <c r="C325" s="675"/>
      <c r="D325" s="674" t="s">
        <v>522</v>
      </c>
      <c r="E325" s="659"/>
      <c r="F325" s="666">
        <f t="shared" si="20"/>
        <v>0</v>
      </c>
      <c r="G325" s="666"/>
      <c r="H325" s="666"/>
      <c r="I325" s="666">
        <f t="shared" si="21"/>
        <v>0</v>
      </c>
      <c r="J325" s="666"/>
      <c r="K325" s="665">
        <f t="shared" si="22"/>
        <v>0</v>
      </c>
      <c r="L325" s="666">
        <f t="shared" si="23"/>
        <v>0</v>
      </c>
      <c r="M325" s="672">
        <v>0</v>
      </c>
      <c r="N325" s="668">
        <f t="shared" si="24"/>
        <v>0</v>
      </c>
      <c r="O325" s="676"/>
      <c r="P325" s="676"/>
    </row>
    <row r="326" spans="1:16" ht="60" hidden="1" customHeight="1">
      <c r="A326" s="662">
        <v>59.5</v>
      </c>
      <c r="B326" s="663" t="s">
        <v>1579</v>
      </c>
      <c r="C326" s="667">
        <f>[8]Data!K2111</f>
        <v>1762.77</v>
      </c>
      <c r="D326" s="663" t="s">
        <v>522</v>
      </c>
      <c r="E326" s="665"/>
      <c r="F326" s="666">
        <f t="shared" si="20"/>
        <v>0</v>
      </c>
      <c r="G326" s="666"/>
      <c r="H326" s="666"/>
      <c r="I326" s="666">
        <f t="shared" si="21"/>
        <v>0</v>
      </c>
      <c r="J326" s="666"/>
      <c r="K326" s="665">
        <f t="shared" si="22"/>
        <v>0</v>
      </c>
      <c r="L326" s="666">
        <f t="shared" si="23"/>
        <v>0</v>
      </c>
      <c r="M326" s="672">
        <v>0</v>
      </c>
      <c r="N326" s="668">
        <f t="shared" si="24"/>
        <v>0</v>
      </c>
    </row>
    <row r="327" spans="1:16" s="677" customFormat="1" ht="61.5" hidden="1" customHeight="1">
      <c r="A327" s="662">
        <v>59.6</v>
      </c>
      <c r="B327" s="663" t="s">
        <v>1580</v>
      </c>
      <c r="C327" s="675"/>
      <c r="D327" s="674" t="s">
        <v>522</v>
      </c>
      <c r="E327" s="659"/>
      <c r="F327" s="666">
        <f t="shared" ref="F327:F390" si="25">E327*C327</f>
        <v>0</v>
      </c>
      <c r="G327" s="666"/>
      <c r="H327" s="666"/>
      <c r="I327" s="666">
        <f t="shared" ref="I327:I390" si="26">G327</f>
        <v>0</v>
      </c>
      <c r="J327" s="666"/>
      <c r="K327" s="665">
        <f t="shared" ref="K327:K390" si="27">E327</f>
        <v>0</v>
      </c>
      <c r="L327" s="666">
        <f t="shared" ref="L327:L390" si="28">C327*K327</f>
        <v>0</v>
      </c>
      <c r="M327" s="672">
        <v>0</v>
      </c>
      <c r="N327" s="668">
        <f t="shared" ref="N327:N390" si="29">K327-M327</f>
        <v>0</v>
      </c>
      <c r="O327" s="676"/>
      <c r="P327" s="676"/>
    </row>
    <row r="328" spans="1:16" ht="39.75" customHeight="1">
      <c r="A328" s="662">
        <v>60</v>
      </c>
      <c r="B328" s="663" t="s">
        <v>1581</v>
      </c>
      <c r="C328" s="667">
        <f>ROUND([8]Data!K2119,2)</f>
        <v>152.6</v>
      </c>
      <c r="D328" s="663" t="s">
        <v>522</v>
      </c>
      <c r="E328" s="665">
        <f>[8]Detailed!H868</f>
        <v>11</v>
      </c>
      <c r="F328" s="666">
        <f t="shared" si="25"/>
        <v>1678.6</v>
      </c>
      <c r="G328" s="666"/>
      <c r="H328" s="666"/>
      <c r="I328" s="666">
        <f t="shared" si="26"/>
        <v>0</v>
      </c>
      <c r="J328" s="666"/>
      <c r="K328" s="665">
        <f t="shared" si="27"/>
        <v>11</v>
      </c>
      <c r="L328" s="666">
        <f t="shared" si="28"/>
        <v>1678.6</v>
      </c>
      <c r="M328" s="672">
        <v>11</v>
      </c>
      <c r="N328" s="668">
        <f t="shared" si="29"/>
        <v>0</v>
      </c>
    </row>
    <row r="329" spans="1:16" s="677" customFormat="1" ht="41.25" hidden="1" customHeight="1">
      <c r="A329" s="662">
        <v>61.1</v>
      </c>
      <c r="B329" s="663" t="s">
        <v>1582</v>
      </c>
      <c r="C329" s="675"/>
      <c r="D329" s="674"/>
      <c r="E329" s="659"/>
      <c r="F329" s="666">
        <f t="shared" si="25"/>
        <v>0</v>
      </c>
      <c r="G329" s="666"/>
      <c r="H329" s="666"/>
      <c r="I329" s="666">
        <f t="shared" si="26"/>
        <v>0</v>
      </c>
      <c r="J329" s="666"/>
      <c r="K329" s="665">
        <f t="shared" si="27"/>
        <v>0</v>
      </c>
      <c r="L329" s="666">
        <f t="shared" si="28"/>
        <v>0</v>
      </c>
      <c r="M329" s="672">
        <v>0</v>
      </c>
      <c r="N329" s="668">
        <f t="shared" si="29"/>
        <v>0</v>
      </c>
      <c r="O329" s="676"/>
      <c r="P329" s="676"/>
    </row>
    <row r="330" spans="1:16" s="677" customFormat="1" ht="41.25" hidden="1" customHeight="1">
      <c r="A330" s="666"/>
      <c r="B330" s="663" t="s">
        <v>1583</v>
      </c>
      <c r="C330" s="675">
        <f>ROUND([8]Data!K2138,2)</f>
        <v>507.54</v>
      </c>
      <c r="D330" s="674" t="s">
        <v>61</v>
      </c>
      <c r="E330" s="659"/>
      <c r="F330" s="666">
        <f t="shared" si="25"/>
        <v>0</v>
      </c>
      <c r="G330" s="666"/>
      <c r="H330" s="666"/>
      <c r="I330" s="666">
        <f t="shared" si="26"/>
        <v>0</v>
      </c>
      <c r="J330" s="666"/>
      <c r="K330" s="665">
        <f t="shared" si="27"/>
        <v>0</v>
      </c>
      <c r="L330" s="666">
        <f t="shared" si="28"/>
        <v>0</v>
      </c>
      <c r="M330" s="672">
        <v>0</v>
      </c>
      <c r="N330" s="668">
        <f t="shared" si="29"/>
        <v>0</v>
      </c>
      <c r="O330" s="676"/>
      <c r="P330" s="676"/>
    </row>
    <row r="331" spans="1:16" s="677" customFormat="1" ht="41.25" hidden="1" customHeight="1">
      <c r="A331" s="690"/>
      <c r="B331" s="663" t="s">
        <v>1584</v>
      </c>
      <c r="C331" s="675">
        <f>ROUND([8]Data!K2158,2)</f>
        <v>673.86</v>
      </c>
      <c r="D331" s="674" t="s">
        <v>61</v>
      </c>
      <c r="E331" s="659"/>
      <c r="F331" s="666">
        <f t="shared" si="25"/>
        <v>0</v>
      </c>
      <c r="G331" s="666"/>
      <c r="H331" s="666"/>
      <c r="I331" s="666">
        <f t="shared" si="26"/>
        <v>0</v>
      </c>
      <c r="J331" s="666"/>
      <c r="K331" s="665">
        <f t="shared" si="27"/>
        <v>0</v>
      </c>
      <c r="L331" s="666">
        <f t="shared" si="28"/>
        <v>0</v>
      </c>
      <c r="M331" s="672">
        <v>0</v>
      </c>
      <c r="N331" s="668">
        <f t="shared" si="29"/>
        <v>0</v>
      </c>
      <c r="O331" s="676"/>
      <c r="P331" s="676"/>
    </row>
    <row r="332" spans="1:16" s="677" customFormat="1" ht="45.75" hidden="1" customHeight="1">
      <c r="A332" s="662">
        <v>61.2</v>
      </c>
      <c r="B332" s="685" t="s">
        <v>1585</v>
      </c>
      <c r="C332" s="667"/>
      <c r="D332" s="663"/>
      <c r="E332" s="665"/>
      <c r="F332" s="666">
        <f t="shared" si="25"/>
        <v>0</v>
      </c>
      <c r="G332" s="666"/>
      <c r="H332" s="666"/>
      <c r="I332" s="666">
        <f t="shared" si="26"/>
        <v>0</v>
      </c>
      <c r="J332" s="666"/>
      <c r="K332" s="665">
        <f t="shared" si="27"/>
        <v>0</v>
      </c>
      <c r="L332" s="666">
        <f t="shared" si="28"/>
        <v>0</v>
      </c>
      <c r="M332" s="672">
        <v>0</v>
      </c>
      <c r="N332" s="668">
        <f t="shared" si="29"/>
        <v>0</v>
      </c>
      <c r="O332" s="676"/>
      <c r="P332" s="676"/>
    </row>
    <row r="333" spans="1:16" s="677" customFormat="1" ht="45.75" hidden="1" customHeight="1">
      <c r="A333" s="666"/>
      <c r="B333" s="663" t="s">
        <v>1586</v>
      </c>
      <c r="C333" s="675">
        <f>ROUND([8]Data!K2169,2)</f>
        <v>222.53</v>
      </c>
      <c r="D333" s="674" t="s">
        <v>61</v>
      </c>
      <c r="E333" s="659"/>
      <c r="F333" s="666">
        <f t="shared" si="25"/>
        <v>0</v>
      </c>
      <c r="G333" s="666"/>
      <c r="H333" s="666"/>
      <c r="I333" s="666">
        <f t="shared" si="26"/>
        <v>0</v>
      </c>
      <c r="J333" s="666"/>
      <c r="K333" s="665">
        <f t="shared" si="27"/>
        <v>0</v>
      </c>
      <c r="L333" s="666">
        <f t="shared" si="28"/>
        <v>0</v>
      </c>
      <c r="M333" s="672">
        <v>0</v>
      </c>
      <c r="N333" s="668">
        <f t="shared" si="29"/>
        <v>0</v>
      </c>
      <c r="O333" s="676"/>
      <c r="P333" s="676"/>
    </row>
    <row r="334" spans="1:16" s="677" customFormat="1" ht="55.5" hidden="1" customHeight="1">
      <c r="A334" s="690"/>
      <c r="B334" s="663" t="s">
        <v>1587</v>
      </c>
      <c r="C334" s="675">
        <f>ROUND([8]Data!K2184,2)</f>
        <v>329.02</v>
      </c>
      <c r="D334" s="674" t="s">
        <v>61</v>
      </c>
      <c r="E334" s="659"/>
      <c r="F334" s="666">
        <f t="shared" si="25"/>
        <v>0</v>
      </c>
      <c r="G334" s="666"/>
      <c r="H334" s="666"/>
      <c r="I334" s="666">
        <f t="shared" si="26"/>
        <v>0</v>
      </c>
      <c r="J334" s="666"/>
      <c r="K334" s="665">
        <f t="shared" si="27"/>
        <v>0</v>
      </c>
      <c r="L334" s="666">
        <f t="shared" si="28"/>
        <v>0</v>
      </c>
      <c r="M334" s="672">
        <v>0</v>
      </c>
      <c r="N334" s="668">
        <f t="shared" si="29"/>
        <v>0</v>
      </c>
      <c r="O334" s="676"/>
      <c r="P334" s="676"/>
    </row>
    <row r="335" spans="1:16" s="677" customFormat="1" ht="41.25" hidden="1" customHeight="1">
      <c r="A335" s="662">
        <v>62.1</v>
      </c>
      <c r="B335" s="663" t="s">
        <v>1588</v>
      </c>
      <c r="C335" s="675"/>
      <c r="D335" s="674"/>
      <c r="E335" s="659"/>
      <c r="F335" s="666">
        <f t="shared" si="25"/>
        <v>0</v>
      </c>
      <c r="G335" s="666"/>
      <c r="H335" s="666"/>
      <c r="I335" s="666">
        <f t="shared" si="26"/>
        <v>0</v>
      </c>
      <c r="J335" s="666"/>
      <c r="K335" s="665">
        <f t="shared" si="27"/>
        <v>0</v>
      </c>
      <c r="L335" s="666">
        <f t="shared" si="28"/>
        <v>0</v>
      </c>
      <c r="M335" s="672">
        <v>0</v>
      </c>
      <c r="N335" s="668">
        <f t="shared" si="29"/>
        <v>0</v>
      </c>
      <c r="O335" s="676"/>
      <c r="P335" s="676"/>
    </row>
    <row r="336" spans="1:16" s="677" customFormat="1" ht="41.25" hidden="1" customHeight="1">
      <c r="A336" s="666"/>
      <c r="B336" s="663" t="s">
        <v>1586</v>
      </c>
      <c r="C336" s="675">
        <f>ROUND([8]Data!K2193,2)</f>
        <v>103.1</v>
      </c>
      <c r="D336" s="674" t="s">
        <v>522</v>
      </c>
      <c r="E336" s="659"/>
      <c r="F336" s="666">
        <f t="shared" si="25"/>
        <v>0</v>
      </c>
      <c r="G336" s="666"/>
      <c r="H336" s="666"/>
      <c r="I336" s="666">
        <f t="shared" si="26"/>
        <v>0</v>
      </c>
      <c r="J336" s="666"/>
      <c r="K336" s="665">
        <f t="shared" si="27"/>
        <v>0</v>
      </c>
      <c r="L336" s="666">
        <f t="shared" si="28"/>
        <v>0</v>
      </c>
      <c r="M336" s="672">
        <v>0</v>
      </c>
      <c r="N336" s="668">
        <f t="shared" si="29"/>
        <v>0</v>
      </c>
      <c r="O336" s="676"/>
      <c r="P336" s="676"/>
    </row>
    <row r="337" spans="1:17" s="677" customFormat="1" ht="49.5" hidden="1" customHeight="1">
      <c r="A337" s="690"/>
      <c r="B337" s="663" t="s">
        <v>1587</v>
      </c>
      <c r="C337" s="675">
        <f>ROUND([8]Data!K2200,2)</f>
        <v>141.80000000000001</v>
      </c>
      <c r="D337" s="674" t="s">
        <v>522</v>
      </c>
      <c r="E337" s="659"/>
      <c r="F337" s="666">
        <f t="shared" si="25"/>
        <v>0</v>
      </c>
      <c r="G337" s="666"/>
      <c r="H337" s="666"/>
      <c r="I337" s="666">
        <f t="shared" si="26"/>
        <v>0</v>
      </c>
      <c r="J337" s="666"/>
      <c r="K337" s="665">
        <f t="shared" si="27"/>
        <v>0</v>
      </c>
      <c r="L337" s="666">
        <f t="shared" si="28"/>
        <v>0</v>
      </c>
      <c r="M337" s="672">
        <v>0</v>
      </c>
      <c r="N337" s="668">
        <f t="shared" si="29"/>
        <v>0</v>
      </c>
      <c r="O337" s="676"/>
      <c r="P337" s="676"/>
    </row>
    <row r="338" spans="1:17" s="677" customFormat="1" ht="41.25" hidden="1" customHeight="1">
      <c r="A338" s="662">
        <v>62.2</v>
      </c>
      <c r="B338" s="685" t="s">
        <v>1589</v>
      </c>
      <c r="C338" s="667"/>
      <c r="D338" s="663"/>
      <c r="E338" s="665"/>
      <c r="F338" s="666">
        <f t="shared" si="25"/>
        <v>0</v>
      </c>
      <c r="G338" s="666"/>
      <c r="H338" s="666"/>
      <c r="I338" s="666">
        <f t="shared" si="26"/>
        <v>0</v>
      </c>
      <c r="J338" s="666"/>
      <c r="K338" s="665">
        <f t="shared" si="27"/>
        <v>0</v>
      </c>
      <c r="L338" s="666">
        <f t="shared" si="28"/>
        <v>0</v>
      </c>
      <c r="M338" s="668">
        <v>0</v>
      </c>
      <c r="N338" s="668">
        <f t="shared" si="29"/>
        <v>0</v>
      </c>
      <c r="O338" s="676"/>
      <c r="P338" s="676"/>
    </row>
    <row r="339" spans="1:17" s="677" customFormat="1" ht="41.25" hidden="1" customHeight="1">
      <c r="A339" s="666"/>
      <c r="B339" s="663" t="s">
        <v>1586</v>
      </c>
      <c r="C339" s="667">
        <f>ROUND([8]Data!K2206,2)</f>
        <v>129.80000000000001</v>
      </c>
      <c r="D339" s="663" t="s">
        <v>522</v>
      </c>
      <c r="E339" s="665"/>
      <c r="F339" s="666">
        <f t="shared" si="25"/>
        <v>0</v>
      </c>
      <c r="G339" s="666"/>
      <c r="H339" s="666"/>
      <c r="I339" s="666">
        <f t="shared" si="26"/>
        <v>0</v>
      </c>
      <c r="J339" s="666"/>
      <c r="K339" s="665">
        <f t="shared" si="27"/>
        <v>0</v>
      </c>
      <c r="L339" s="666">
        <f t="shared" si="28"/>
        <v>0</v>
      </c>
      <c r="M339" s="672">
        <v>0</v>
      </c>
      <c r="N339" s="668">
        <f t="shared" si="29"/>
        <v>0</v>
      </c>
      <c r="O339" s="676"/>
      <c r="P339" s="676"/>
    </row>
    <row r="340" spans="1:17" s="677" customFormat="1" ht="55.5" hidden="1" customHeight="1">
      <c r="A340" s="690"/>
      <c r="B340" s="663" t="s">
        <v>1587</v>
      </c>
      <c r="C340" s="675">
        <f>ROUND([8]Data!K2216,2)</f>
        <v>167.5</v>
      </c>
      <c r="D340" s="674" t="s">
        <v>522</v>
      </c>
      <c r="E340" s="659"/>
      <c r="F340" s="666">
        <f t="shared" si="25"/>
        <v>0</v>
      </c>
      <c r="G340" s="666"/>
      <c r="H340" s="666"/>
      <c r="I340" s="666">
        <f t="shared" si="26"/>
        <v>0</v>
      </c>
      <c r="J340" s="666"/>
      <c r="K340" s="665">
        <f t="shared" si="27"/>
        <v>0</v>
      </c>
      <c r="L340" s="666">
        <f t="shared" si="28"/>
        <v>0</v>
      </c>
      <c r="M340" s="672">
        <v>0</v>
      </c>
      <c r="N340" s="668">
        <f t="shared" si="29"/>
        <v>0</v>
      </c>
      <c r="O340" s="676"/>
      <c r="P340" s="676"/>
    </row>
    <row r="341" spans="1:17" s="677" customFormat="1" ht="20.100000000000001" hidden="1" customHeight="1">
      <c r="A341" s="662">
        <v>63</v>
      </c>
      <c r="B341" s="663" t="s">
        <v>1590</v>
      </c>
      <c r="C341" s="675">
        <f>ROUND([8]Data!K2225,2)</f>
        <v>31.87</v>
      </c>
      <c r="D341" s="674" t="s">
        <v>522</v>
      </c>
      <c r="E341" s="659"/>
      <c r="F341" s="666">
        <f t="shared" si="25"/>
        <v>0</v>
      </c>
      <c r="G341" s="666"/>
      <c r="H341" s="666"/>
      <c r="I341" s="666">
        <f t="shared" si="26"/>
        <v>0</v>
      </c>
      <c r="J341" s="666"/>
      <c r="K341" s="665">
        <f t="shared" si="27"/>
        <v>0</v>
      </c>
      <c r="L341" s="666">
        <f t="shared" si="28"/>
        <v>0</v>
      </c>
      <c r="M341" s="672">
        <v>0</v>
      </c>
      <c r="N341" s="668">
        <f t="shared" si="29"/>
        <v>0</v>
      </c>
      <c r="O341" s="676"/>
      <c r="P341" s="676"/>
    </row>
    <row r="342" spans="1:17" ht="45.75" hidden="1" customHeight="1">
      <c r="A342" s="662"/>
      <c r="B342" s="685" t="s">
        <v>167</v>
      </c>
      <c r="C342" s="667"/>
      <c r="D342" s="663"/>
      <c r="E342" s="665"/>
      <c r="F342" s="666">
        <f t="shared" si="25"/>
        <v>0</v>
      </c>
      <c r="G342" s="666"/>
      <c r="H342" s="666"/>
      <c r="I342" s="666">
        <f t="shared" si="26"/>
        <v>0</v>
      </c>
      <c r="J342" s="666"/>
      <c r="K342" s="665">
        <f t="shared" si="27"/>
        <v>0</v>
      </c>
      <c r="L342" s="666">
        <f t="shared" si="28"/>
        <v>0</v>
      </c>
      <c r="M342" s="668">
        <v>0</v>
      </c>
      <c r="N342" s="668">
        <f t="shared" si="29"/>
        <v>0</v>
      </c>
      <c r="O342" s="678"/>
      <c r="Q342" s="679"/>
    </row>
    <row r="343" spans="1:17" s="677" customFormat="1" ht="20.100000000000001" hidden="1" customHeight="1">
      <c r="A343" s="662">
        <v>64</v>
      </c>
      <c r="B343" s="663" t="s">
        <v>168</v>
      </c>
      <c r="C343" s="675">
        <f>[8]Data!K2261</f>
        <v>1499.29</v>
      </c>
      <c r="D343" s="674" t="s">
        <v>522</v>
      </c>
      <c r="E343" s="659"/>
      <c r="F343" s="666">
        <f t="shared" si="25"/>
        <v>0</v>
      </c>
      <c r="G343" s="666"/>
      <c r="H343" s="666"/>
      <c r="I343" s="666">
        <f t="shared" si="26"/>
        <v>0</v>
      </c>
      <c r="J343" s="666"/>
      <c r="K343" s="665">
        <f t="shared" si="27"/>
        <v>0</v>
      </c>
      <c r="L343" s="666">
        <f t="shared" si="28"/>
        <v>0</v>
      </c>
      <c r="M343" s="672">
        <v>0</v>
      </c>
      <c r="N343" s="668">
        <f t="shared" si="29"/>
        <v>0</v>
      </c>
      <c r="O343" s="676"/>
      <c r="P343" s="676"/>
    </row>
    <row r="344" spans="1:17" s="677" customFormat="1" ht="30.75" hidden="1" customHeight="1">
      <c r="A344" s="666"/>
      <c r="B344" s="663" t="s">
        <v>170</v>
      </c>
      <c r="C344" s="675"/>
      <c r="D344" s="674" t="s">
        <v>522</v>
      </c>
      <c r="E344" s="659"/>
      <c r="F344" s="666">
        <f t="shared" si="25"/>
        <v>0</v>
      </c>
      <c r="G344" s="666"/>
      <c r="H344" s="666"/>
      <c r="I344" s="666">
        <f t="shared" si="26"/>
        <v>0</v>
      </c>
      <c r="J344" s="666"/>
      <c r="K344" s="665">
        <f t="shared" si="27"/>
        <v>0</v>
      </c>
      <c r="L344" s="666">
        <f t="shared" si="28"/>
        <v>0</v>
      </c>
      <c r="M344" s="672">
        <v>0</v>
      </c>
      <c r="N344" s="668">
        <f t="shared" si="29"/>
        <v>0</v>
      </c>
      <c r="O344" s="676"/>
      <c r="P344" s="676"/>
    </row>
    <row r="345" spans="1:17" s="677" customFormat="1" ht="20.100000000000001" hidden="1" customHeight="1">
      <c r="A345" s="690"/>
      <c r="B345" s="663" t="s">
        <v>1591</v>
      </c>
      <c r="C345" s="675">
        <f>[8]Data!K2263</f>
        <v>1531.07</v>
      </c>
      <c r="D345" s="674" t="s">
        <v>522</v>
      </c>
      <c r="E345" s="659"/>
      <c r="F345" s="666">
        <f t="shared" si="25"/>
        <v>0</v>
      </c>
      <c r="G345" s="666"/>
      <c r="H345" s="666"/>
      <c r="I345" s="666">
        <f t="shared" si="26"/>
        <v>0</v>
      </c>
      <c r="J345" s="666"/>
      <c r="K345" s="665">
        <f t="shared" si="27"/>
        <v>0</v>
      </c>
      <c r="L345" s="666">
        <f t="shared" si="28"/>
        <v>0</v>
      </c>
      <c r="M345" s="672">
        <v>0</v>
      </c>
      <c r="N345" s="668">
        <f t="shared" si="29"/>
        <v>0</v>
      </c>
      <c r="O345" s="676"/>
      <c r="P345" s="676"/>
    </row>
    <row r="346" spans="1:17" s="677" customFormat="1" ht="20.100000000000001" hidden="1" customHeight="1">
      <c r="A346" s="662">
        <v>65</v>
      </c>
      <c r="B346" s="663" t="s">
        <v>1592</v>
      </c>
      <c r="C346" s="675">
        <f>[8]Data!K2264</f>
        <v>1565.5</v>
      </c>
      <c r="D346" s="674" t="s">
        <v>522</v>
      </c>
      <c r="E346" s="659"/>
      <c r="F346" s="666">
        <f t="shared" si="25"/>
        <v>0</v>
      </c>
      <c r="G346" s="666"/>
      <c r="H346" s="666"/>
      <c r="I346" s="666">
        <f t="shared" si="26"/>
        <v>0</v>
      </c>
      <c r="J346" s="666"/>
      <c r="K346" s="665">
        <f t="shared" si="27"/>
        <v>0</v>
      </c>
      <c r="L346" s="666">
        <f t="shared" si="28"/>
        <v>0</v>
      </c>
      <c r="M346" s="672">
        <v>0</v>
      </c>
      <c r="N346" s="668">
        <f t="shared" si="29"/>
        <v>0</v>
      </c>
      <c r="O346" s="676"/>
      <c r="P346" s="676"/>
    </row>
    <row r="347" spans="1:17" s="677" customFormat="1" ht="20.100000000000001" hidden="1" customHeight="1">
      <c r="A347" s="662">
        <v>66</v>
      </c>
      <c r="B347" s="663" t="s">
        <v>998</v>
      </c>
      <c r="C347" s="675">
        <f>[8]Data!K2265</f>
        <v>2802.19</v>
      </c>
      <c r="D347" s="674" t="s">
        <v>522</v>
      </c>
      <c r="E347" s="659"/>
      <c r="F347" s="666">
        <f t="shared" si="25"/>
        <v>0</v>
      </c>
      <c r="G347" s="666"/>
      <c r="H347" s="666"/>
      <c r="I347" s="666">
        <f t="shared" si="26"/>
        <v>0</v>
      </c>
      <c r="J347" s="666"/>
      <c r="K347" s="665">
        <f t="shared" si="27"/>
        <v>0</v>
      </c>
      <c r="L347" s="666">
        <f t="shared" si="28"/>
        <v>0</v>
      </c>
      <c r="M347" s="672">
        <v>0</v>
      </c>
      <c r="N347" s="668">
        <f t="shared" si="29"/>
        <v>0</v>
      </c>
      <c r="O347" s="676"/>
      <c r="P347" s="676"/>
    </row>
    <row r="348" spans="1:17" s="677" customFormat="1" ht="20.100000000000001" hidden="1" customHeight="1">
      <c r="A348" s="662">
        <v>67</v>
      </c>
      <c r="B348" s="663" t="s">
        <v>1593</v>
      </c>
      <c r="C348" s="675">
        <f>[8]Data!K2266</f>
        <v>764.91</v>
      </c>
      <c r="D348" s="674" t="s">
        <v>522</v>
      </c>
      <c r="E348" s="659"/>
      <c r="F348" s="666">
        <f t="shared" si="25"/>
        <v>0</v>
      </c>
      <c r="G348" s="666"/>
      <c r="H348" s="666"/>
      <c r="I348" s="666">
        <f t="shared" si="26"/>
        <v>0</v>
      </c>
      <c r="J348" s="666"/>
      <c r="K348" s="665">
        <f t="shared" si="27"/>
        <v>0</v>
      </c>
      <c r="L348" s="666">
        <f t="shared" si="28"/>
        <v>0</v>
      </c>
      <c r="M348" s="672">
        <v>0</v>
      </c>
      <c r="N348" s="668">
        <f t="shared" si="29"/>
        <v>0</v>
      </c>
      <c r="O348" s="676"/>
      <c r="P348" s="676"/>
    </row>
    <row r="349" spans="1:17" s="677" customFormat="1" ht="20.100000000000001" hidden="1" customHeight="1">
      <c r="A349" s="662">
        <v>68</v>
      </c>
      <c r="B349" s="663" t="s">
        <v>1594</v>
      </c>
      <c r="C349" s="675">
        <f>[8]Data!K2267</f>
        <v>1041.2</v>
      </c>
      <c r="D349" s="674" t="s">
        <v>522</v>
      </c>
      <c r="E349" s="659"/>
      <c r="F349" s="666">
        <f t="shared" si="25"/>
        <v>0</v>
      </c>
      <c r="G349" s="666"/>
      <c r="H349" s="666"/>
      <c r="I349" s="666">
        <f t="shared" si="26"/>
        <v>0</v>
      </c>
      <c r="J349" s="666"/>
      <c r="K349" s="665">
        <f t="shared" si="27"/>
        <v>0</v>
      </c>
      <c r="L349" s="666">
        <f t="shared" si="28"/>
        <v>0</v>
      </c>
      <c r="M349" s="672">
        <v>0</v>
      </c>
      <c r="N349" s="668">
        <f t="shared" si="29"/>
        <v>0</v>
      </c>
      <c r="O349" s="676"/>
      <c r="P349" s="676"/>
    </row>
    <row r="350" spans="1:17" ht="45.75" customHeight="1">
      <c r="A350" s="662">
        <v>69</v>
      </c>
      <c r="B350" s="663" t="s">
        <v>1595</v>
      </c>
      <c r="C350" s="667">
        <f>[8]Data!K2268</f>
        <v>138.69999999999999</v>
      </c>
      <c r="D350" s="663" t="s">
        <v>522</v>
      </c>
      <c r="E350" s="665">
        <f>[8]Detailed!H891</f>
        <v>5</v>
      </c>
      <c r="F350" s="666">
        <f t="shared" si="25"/>
        <v>693.5</v>
      </c>
      <c r="G350" s="666"/>
      <c r="H350" s="666"/>
      <c r="I350" s="666">
        <f t="shared" si="26"/>
        <v>0</v>
      </c>
      <c r="J350" s="666"/>
      <c r="K350" s="665">
        <f t="shared" si="27"/>
        <v>5</v>
      </c>
      <c r="L350" s="666">
        <f t="shared" si="28"/>
        <v>693.5</v>
      </c>
      <c r="M350" s="672">
        <v>5</v>
      </c>
      <c r="N350" s="668">
        <f t="shared" si="29"/>
        <v>0</v>
      </c>
    </row>
    <row r="351" spans="1:17" s="677" customFormat="1" ht="29.25" hidden="1" customHeight="1">
      <c r="A351" s="662">
        <v>70.099999999999994</v>
      </c>
      <c r="B351" s="663" t="s">
        <v>1005</v>
      </c>
      <c r="C351" s="675">
        <f>[8]Data!K2269</f>
        <v>486.5</v>
      </c>
      <c r="D351" s="674" t="s">
        <v>522</v>
      </c>
      <c r="E351" s="659"/>
      <c r="F351" s="666">
        <f t="shared" si="25"/>
        <v>0</v>
      </c>
      <c r="G351" s="666"/>
      <c r="H351" s="666"/>
      <c r="I351" s="666">
        <f t="shared" si="26"/>
        <v>0</v>
      </c>
      <c r="J351" s="666"/>
      <c r="K351" s="665">
        <f t="shared" si="27"/>
        <v>0</v>
      </c>
      <c r="L351" s="666">
        <f t="shared" si="28"/>
        <v>0</v>
      </c>
      <c r="M351" s="672">
        <v>0</v>
      </c>
      <c r="N351" s="668">
        <f t="shared" si="29"/>
        <v>0</v>
      </c>
      <c r="O351" s="676"/>
      <c r="P351" s="676"/>
    </row>
    <row r="352" spans="1:17" s="677" customFormat="1" ht="20.100000000000001" hidden="1" customHeight="1">
      <c r="A352" s="662">
        <v>70.2</v>
      </c>
      <c r="B352" s="663" t="s">
        <v>1596</v>
      </c>
      <c r="C352" s="675"/>
      <c r="D352" s="674" t="s">
        <v>522</v>
      </c>
      <c r="E352" s="659"/>
      <c r="F352" s="666">
        <f t="shared" si="25"/>
        <v>0</v>
      </c>
      <c r="G352" s="666"/>
      <c r="H352" s="666"/>
      <c r="I352" s="666">
        <f t="shared" si="26"/>
        <v>0</v>
      </c>
      <c r="J352" s="666"/>
      <c r="K352" s="665">
        <f t="shared" si="27"/>
        <v>0</v>
      </c>
      <c r="L352" s="666">
        <f t="shared" si="28"/>
        <v>0</v>
      </c>
      <c r="M352" s="672">
        <v>0</v>
      </c>
      <c r="N352" s="668">
        <f t="shared" si="29"/>
        <v>0</v>
      </c>
      <c r="O352" s="676"/>
      <c r="P352" s="676"/>
    </row>
    <row r="353" spans="1:16" s="677" customFormat="1" ht="20.100000000000001" hidden="1" customHeight="1">
      <c r="A353" s="662">
        <v>70.3</v>
      </c>
      <c r="B353" s="663" t="s">
        <v>1597</v>
      </c>
      <c r="C353" s="675">
        <f>[8]Data!K2271</f>
        <v>12</v>
      </c>
      <c r="D353" s="674" t="s">
        <v>522</v>
      </c>
      <c r="E353" s="659"/>
      <c r="F353" s="666">
        <f t="shared" si="25"/>
        <v>0</v>
      </c>
      <c r="G353" s="666"/>
      <c r="H353" s="666"/>
      <c r="I353" s="666">
        <f t="shared" si="26"/>
        <v>0</v>
      </c>
      <c r="J353" s="666"/>
      <c r="K353" s="665">
        <f t="shared" si="27"/>
        <v>0</v>
      </c>
      <c r="L353" s="666">
        <f t="shared" si="28"/>
        <v>0</v>
      </c>
      <c r="M353" s="672">
        <v>0</v>
      </c>
      <c r="N353" s="668">
        <f t="shared" si="29"/>
        <v>0</v>
      </c>
      <c r="O353" s="676"/>
      <c r="P353" s="676"/>
    </row>
    <row r="354" spans="1:16" s="677" customFormat="1" ht="20.100000000000001" hidden="1" customHeight="1">
      <c r="A354" s="662">
        <v>70.400000000000006</v>
      </c>
      <c r="B354" s="663" t="s">
        <v>1598</v>
      </c>
      <c r="C354" s="675">
        <f>[8]Data!K2272</f>
        <v>10</v>
      </c>
      <c r="D354" s="674" t="s">
        <v>522</v>
      </c>
      <c r="E354" s="659"/>
      <c r="F354" s="666">
        <f t="shared" si="25"/>
        <v>0</v>
      </c>
      <c r="G354" s="666"/>
      <c r="H354" s="666"/>
      <c r="I354" s="666">
        <f t="shared" si="26"/>
        <v>0</v>
      </c>
      <c r="J354" s="666"/>
      <c r="K354" s="665">
        <f t="shared" si="27"/>
        <v>0</v>
      </c>
      <c r="L354" s="666">
        <f t="shared" si="28"/>
        <v>0</v>
      </c>
      <c r="M354" s="672">
        <v>0</v>
      </c>
      <c r="N354" s="668">
        <f t="shared" si="29"/>
        <v>0</v>
      </c>
      <c r="O354" s="676"/>
      <c r="P354" s="676"/>
    </row>
    <row r="355" spans="1:16" s="677" customFormat="1" ht="45.75" hidden="1" customHeight="1">
      <c r="A355" s="662">
        <v>71</v>
      </c>
      <c r="B355" s="663" t="s">
        <v>1599</v>
      </c>
      <c r="C355" s="675">
        <f>[8]Data!K2273</f>
        <v>1308</v>
      </c>
      <c r="D355" s="674" t="s">
        <v>522</v>
      </c>
      <c r="E355" s="659"/>
      <c r="F355" s="666">
        <f t="shared" si="25"/>
        <v>0</v>
      </c>
      <c r="G355" s="666"/>
      <c r="H355" s="666"/>
      <c r="I355" s="666">
        <f t="shared" si="26"/>
        <v>0</v>
      </c>
      <c r="J355" s="666"/>
      <c r="K355" s="665">
        <f t="shared" si="27"/>
        <v>0</v>
      </c>
      <c r="L355" s="666">
        <f t="shared" si="28"/>
        <v>0</v>
      </c>
      <c r="M355" s="672">
        <v>0</v>
      </c>
      <c r="N355" s="668">
        <f t="shared" si="29"/>
        <v>0</v>
      </c>
      <c r="O355" s="676"/>
      <c r="P355" s="676"/>
    </row>
    <row r="356" spans="1:16" ht="45.75" customHeight="1">
      <c r="A356" s="662">
        <v>72</v>
      </c>
      <c r="B356" s="663" t="s">
        <v>175</v>
      </c>
      <c r="C356" s="667">
        <f>[8]Data!K2274</f>
        <v>33.9</v>
      </c>
      <c r="D356" s="663" t="s">
        <v>522</v>
      </c>
      <c r="E356" s="665">
        <f>[8]Detailed!H895</f>
        <v>17</v>
      </c>
      <c r="F356" s="666">
        <f t="shared" si="25"/>
        <v>576.29999999999995</v>
      </c>
      <c r="G356" s="666"/>
      <c r="H356" s="666"/>
      <c r="I356" s="666">
        <f t="shared" si="26"/>
        <v>0</v>
      </c>
      <c r="J356" s="666"/>
      <c r="K356" s="665">
        <f t="shared" si="27"/>
        <v>17</v>
      </c>
      <c r="L356" s="666">
        <f t="shared" si="28"/>
        <v>576.29999999999995</v>
      </c>
      <c r="M356" s="672">
        <v>17</v>
      </c>
      <c r="N356" s="668">
        <f t="shared" si="29"/>
        <v>0</v>
      </c>
    </row>
    <row r="357" spans="1:16" ht="45.75" hidden="1" customHeight="1">
      <c r="A357" s="666">
        <v>73.099999999999994</v>
      </c>
      <c r="B357" s="663" t="s">
        <v>1600</v>
      </c>
      <c r="C357" s="667">
        <f>[8]Data!K2275</f>
        <v>4116.8500000000004</v>
      </c>
      <c r="D357" s="663" t="s">
        <v>522</v>
      </c>
      <c r="E357" s="665"/>
      <c r="F357" s="666">
        <f t="shared" si="25"/>
        <v>0</v>
      </c>
      <c r="G357" s="666"/>
      <c r="H357" s="666"/>
      <c r="I357" s="666">
        <f t="shared" si="26"/>
        <v>0</v>
      </c>
      <c r="J357" s="666"/>
      <c r="K357" s="665">
        <f t="shared" si="27"/>
        <v>0</v>
      </c>
      <c r="L357" s="666">
        <f t="shared" si="28"/>
        <v>0</v>
      </c>
      <c r="M357" s="672">
        <v>0</v>
      </c>
      <c r="N357" s="668">
        <f t="shared" si="29"/>
        <v>0</v>
      </c>
    </row>
    <row r="358" spans="1:16" s="677" customFormat="1" ht="45.75" hidden="1" customHeight="1">
      <c r="A358" s="662">
        <v>73.2</v>
      </c>
      <c r="B358" s="663" t="s">
        <v>1601</v>
      </c>
      <c r="C358" s="667">
        <f>[8]Data!K2276</f>
        <v>3342.85</v>
      </c>
      <c r="D358" s="663" t="s">
        <v>522</v>
      </c>
      <c r="E358" s="665"/>
      <c r="F358" s="666">
        <f t="shared" si="25"/>
        <v>0</v>
      </c>
      <c r="G358" s="666"/>
      <c r="H358" s="666"/>
      <c r="I358" s="666">
        <f t="shared" si="26"/>
        <v>0</v>
      </c>
      <c r="J358" s="666"/>
      <c r="K358" s="665">
        <f t="shared" si="27"/>
        <v>0</v>
      </c>
      <c r="L358" s="666">
        <f t="shared" si="28"/>
        <v>0</v>
      </c>
      <c r="M358" s="672">
        <v>0</v>
      </c>
      <c r="N358" s="668">
        <f t="shared" si="29"/>
        <v>0</v>
      </c>
      <c r="O358" s="676"/>
      <c r="P358" s="676"/>
    </row>
    <row r="359" spans="1:16" ht="45.75" customHeight="1">
      <c r="A359" s="662">
        <v>74</v>
      </c>
      <c r="B359" s="663" t="s">
        <v>176</v>
      </c>
      <c r="C359" s="667">
        <f>[8]Data!K2277</f>
        <v>520.79999999999995</v>
      </c>
      <c r="D359" s="663" t="s">
        <v>522</v>
      </c>
      <c r="E359" s="665">
        <f>[8]Detailed!H899</f>
        <v>17</v>
      </c>
      <c r="F359" s="666">
        <f t="shared" si="25"/>
        <v>8853.5999999999985</v>
      </c>
      <c r="G359" s="666"/>
      <c r="H359" s="666"/>
      <c r="I359" s="666">
        <f t="shared" si="26"/>
        <v>0</v>
      </c>
      <c r="J359" s="666"/>
      <c r="K359" s="665">
        <f t="shared" si="27"/>
        <v>17</v>
      </c>
      <c r="L359" s="666">
        <f t="shared" si="28"/>
        <v>8853.5999999999985</v>
      </c>
      <c r="M359" s="672">
        <v>17</v>
      </c>
      <c r="N359" s="668">
        <f t="shared" si="29"/>
        <v>0</v>
      </c>
    </row>
    <row r="360" spans="1:16" s="677" customFormat="1" ht="20.100000000000001" hidden="1" customHeight="1">
      <c r="A360" s="662">
        <v>75</v>
      </c>
      <c r="B360" s="685" t="s">
        <v>1602</v>
      </c>
      <c r="C360" s="675"/>
      <c r="D360" s="674"/>
      <c r="E360" s="659"/>
      <c r="F360" s="666">
        <f t="shared" si="25"/>
        <v>0</v>
      </c>
      <c r="G360" s="666"/>
      <c r="H360" s="666"/>
      <c r="I360" s="666">
        <f t="shared" si="26"/>
        <v>0</v>
      </c>
      <c r="J360" s="666"/>
      <c r="K360" s="665">
        <f t="shared" si="27"/>
        <v>0</v>
      </c>
      <c r="L360" s="666">
        <f t="shared" si="28"/>
        <v>0</v>
      </c>
      <c r="M360" s="672">
        <v>0</v>
      </c>
      <c r="N360" s="668">
        <f t="shared" si="29"/>
        <v>0</v>
      </c>
      <c r="O360" s="676"/>
      <c r="P360" s="676"/>
    </row>
    <row r="361" spans="1:16" s="677" customFormat="1" ht="20.100000000000001" hidden="1" customHeight="1">
      <c r="A361" s="666"/>
      <c r="B361" s="663" t="s">
        <v>1133</v>
      </c>
      <c r="C361" s="675"/>
      <c r="D361" s="674" t="s">
        <v>522</v>
      </c>
      <c r="E361" s="659"/>
      <c r="F361" s="666">
        <f t="shared" si="25"/>
        <v>0</v>
      </c>
      <c r="G361" s="666"/>
      <c r="H361" s="666"/>
      <c r="I361" s="666">
        <f t="shared" si="26"/>
        <v>0</v>
      </c>
      <c r="J361" s="666"/>
      <c r="K361" s="665">
        <f t="shared" si="27"/>
        <v>0</v>
      </c>
      <c r="L361" s="666">
        <f t="shared" si="28"/>
        <v>0</v>
      </c>
      <c r="M361" s="672">
        <v>0</v>
      </c>
      <c r="N361" s="668">
        <f t="shared" si="29"/>
        <v>0</v>
      </c>
      <c r="O361" s="676"/>
      <c r="P361" s="676"/>
    </row>
    <row r="362" spans="1:16" s="677" customFormat="1" ht="20.100000000000001" hidden="1" customHeight="1">
      <c r="A362" s="690"/>
      <c r="B362" s="663" t="s">
        <v>1603</v>
      </c>
      <c r="C362" s="675"/>
      <c r="D362" s="674" t="s">
        <v>522</v>
      </c>
      <c r="E362" s="659"/>
      <c r="F362" s="666">
        <f t="shared" si="25"/>
        <v>0</v>
      </c>
      <c r="G362" s="666"/>
      <c r="H362" s="666"/>
      <c r="I362" s="666">
        <f t="shared" si="26"/>
        <v>0</v>
      </c>
      <c r="J362" s="666"/>
      <c r="K362" s="665">
        <f t="shared" si="27"/>
        <v>0</v>
      </c>
      <c r="L362" s="666">
        <f t="shared" si="28"/>
        <v>0</v>
      </c>
      <c r="M362" s="672">
        <v>0</v>
      </c>
      <c r="N362" s="668">
        <f t="shared" si="29"/>
        <v>0</v>
      </c>
      <c r="O362" s="676"/>
      <c r="P362" s="676"/>
    </row>
    <row r="363" spans="1:16" ht="45.75" customHeight="1">
      <c r="A363" s="662">
        <v>76</v>
      </c>
      <c r="B363" s="663" t="s">
        <v>1604</v>
      </c>
      <c r="C363" s="667">
        <f>[8]Elec.Data!K3294</f>
        <v>23.79</v>
      </c>
      <c r="D363" s="663" t="s">
        <v>61</v>
      </c>
      <c r="E363" s="665">
        <f>[8]Detailed!H903</f>
        <v>15</v>
      </c>
      <c r="F363" s="666">
        <f t="shared" si="25"/>
        <v>356.84999999999997</v>
      </c>
      <c r="G363" s="666"/>
      <c r="H363" s="666"/>
      <c r="I363" s="666">
        <f t="shared" si="26"/>
        <v>0</v>
      </c>
      <c r="J363" s="666"/>
      <c r="K363" s="665">
        <f t="shared" si="27"/>
        <v>15</v>
      </c>
      <c r="L363" s="666">
        <f t="shared" si="28"/>
        <v>356.84999999999997</v>
      </c>
      <c r="M363" s="672">
        <v>15</v>
      </c>
      <c r="N363" s="668">
        <f t="shared" si="29"/>
        <v>0</v>
      </c>
    </row>
    <row r="364" spans="1:16" s="677" customFormat="1" ht="48" hidden="1" customHeight="1">
      <c r="A364" s="662">
        <v>77</v>
      </c>
      <c r="B364" s="663" t="s">
        <v>1605</v>
      </c>
      <c r="C364" s="675">
        <f>ROUND([8]Data!K2282,2)</f>
        <v>192.58</v>
      </c>
      <c r="D364" s="674" t="s">
        <v>61</v>
      </c>
      <c r="E364" s="659"/>
      <c r="F364" s="666">
        <f t="shared" si="25"/>
        <v>0</v>
      </c>
      <c r="G364" s="666"/>
      <c r="H364" s="666"/>
      <c r="I364" s="666">
        <f t="shared" si="26"/>
        <v>0</v>
      </c>
      <c r="J364" s="666"/>
      <c r="K364" s="665">
        <f t="shared" si="27"/>
        <v>0</v>
      </c>
      <c r="L364" s="666">
        <f t="shared" si="28"/>
        <v>0</v>
      </c>
      <c r="M364" s="672">
        <v>175</v>
      </c>
      <c r="N364" s="668">
        <f t="shared" si="29"/>
        <v>-175</v>
      </c>
      <c r="O364" s="676"/>
      <c r="P364" s="676"/>
    </row>
    <row r="365" spans="1:16" s="677" customFormat="1" ht="39.950000000000003" hidden="1" customHeight="1">
      <c r="A365" s="662">
        <v>77.099999999999994</v>
      </c>
      <c r="B365" s="663" t="s">
        <v>1606</v>
      </c>
      <c r="C365" s="675">
        <f>ROUND([8]Data!K2283,2)</f>
        <v>246.68</v>
      </c>
      <c r="D365" s="674" t="s">
        <v>61</v>
      </c>
      <c r="E365" s="659"/>
      <c r="F365" s="666">
        <f t="shared" si="25"/>
        <v>0</v>
      </c>
      <c r="G365" s="666"/>
      <c r="H365" s="666"/>
      <c r="I365" s="666">
        <f t="shared" si="26"/>
        <v>0</v>
      </c>
      <c r="J365" s="666"/>
      <c r="K365" s="665">
        <f t="shared" si="27"/>
        <v>0</v>
      </c>
      <c r="L365" s="666">
        <f t="shared" si="28"/>
        <v>0</v>
      </c>
      <c r="M365" s="672">
        <v>0</v>
      </c>
      <c r="N365" s="668">
        <f t="shared" si="29"/>
        <v>0</v>
      </c>
      <c r="O365" s="676"/>
      <c r="P365" s="676"/>
    </row>
    <row r="366" spans="1:16" s="677" customFormat="1" ht="25.5" hidden="1" customHeight="1">
      <c r="A366" s="662">
        <v>77.2</v>
      </c>
      <c r="B366" s="663" t="s">
        <v>1607</v>
      </c>
      <c r="C366" s="675">
        <f>[8]Data!K2284</f>
        <v>500</v>
      </c>
      <c r="D366" s="674" t="s">
        <v>522</v>
      </c>
      <c r="E366" s="659"/>
      <c r="F366" s="666">
        <f t="shared" si="25"/>
        <v>0</v>
      </c>
      <c r="G366" s="666"/>
      <c r="H366" s="666"/>
      <c r="I366" s="666">
        <f t="shared" si="26"/>
        <v>0</v>
      </c>
      <c r="J366" s="666"/>
      <c r="K366" s="665">
        <f t="shared" si="27"/>
        <v>0</v>
      </c>
      <c r="L366" s="666">
        <f t="shared" si="28"/>
        <v>0</v>
      </c>
      <c r="M366" s="672">
        <v>0</v>
      </c>
      <c r="N366" s="668">
        <f t="shared" si="29"/>
        <v>0</v>
      </c>
      <c r="O366" s="676"/>
      <c r="P366" s="676"/>
    </row>
    <row r="367" spans="1:16" ht="45.75" customHeight="1">
      <c r="A367" s="662">
        <v>77.3</v>
      </c>
      <c r="B367" s="663" t="s">
        <v>1608</v>
      </c>
      <c r="C367" s="667">
        <f>[8]Data!K2285</f>
        <v>76.67</v>
      </c>
      <c r="D367" s="663" t="s">
        <v>522</v>
      </c>
      <c r="E367" s="665">
        <f>[8]Detailed!H909</f>
        <v>9</v>
      </c>
      <c r="F367" s="666">
        <f t="shared" si="25"/>
        <v>690.03</v>
      </c>
      <c r="G367" s="666"/>
      <c r="H367" s="666"/>
      <c r="I367" s="666">
        <f t="shared" si="26"/>
        <v>0</v>
      </c>
      <c r="J367" s="666"/>
      <c r="K367" s="665">
        <f t="shared" si="27"/>
        <v>9</v>
      </c>
      <c r="L367" s="666">
        <f t="shared" si="28"/>
        <v>690.03</v>
      </c>
      <c r="M367" s="672">
        <v>9</v>
      </c>
      <c r="N367" s="668">
        <f t="shared" si="29"/>
        <v>0</v>
      </c>
    </row>
    <row r="368" spans="1:16" ht="45.75" customHeight="1">
      <c r="A368" s="662">
        <v>77.400000000000006</v>
      </c>
      <c r="B368" s="663" t="s">
        <v>1609</v>
      </c>
      <c r="C368" s="667">
        <f>[8]Data!K2304</f>
        <v>79.650000000000006</v>
      </c>
      <c r="D368" s="663" t="s">
        <v>61</v>
      </c>
      <c r="E368" s="665">
        <f>[8]Detailed!H915</f>
        <v>55</v>
      </c>
      <c r="F368" s="666">
        <f t="shared" si="25"/>
        <v>4380.75</v>
      </c>
      <c r="G368" s="666"/>
      <c r="H368" s="666"/>
      <c r="I368" s="666">
        <f t="shared" si="26"/>
        <v>0</v>
      </c>
      <c r="J368" s="666"/>
      <c r="K368" s="665">
        <f t="shared" si="27"/>
        <v>55</v>
      </c>
      <c r="L368" s="666">
        <f t="shared" si="28"/>
        <v>4380.75</v>
      </c>
      <c r="M368" s="672">
        <v>55</v>
      </c>
      <c r="N368" s="668">
        <f t="shared" si="29"/>
        <v>0</v>
      </c>
    </row>
    <row r="369" spans="1:20" ht="45.75" customHeight="1">
      <c r="A369" s="662">
        <v>78</v>
      </c>
      <c r="B369" s="663" t="s">
        <v>181</v>
      </c>
      <c r="C369" s="667">
        <f>[8]Data!K2286</f>
        <v>2723</v>
      </c>
      <c r="D369" s="663" t="s">
        <v>522</v>
      </c>
      <c r="E369" s="665">
        <f>[8]Detailed!H918</f>
        <v>1</v>
      </c>
      <c r="F369" s="666">
        <f t="shared" si="25"/>
        <v>2723</v>
      </c>
      <c r="G369" s="666"/>
      <c r="H369" s="666"/>
      <c r="I369" s="666">
        <f t="shared" si="26"/>
        <v>0</v>
      </c>
      <c r="J369" s="666"/>
      <c r="K369" s="665">
        <f t="shared" si="27"/>
        <v>1</v>
      </c>
      <c r="L369" s="666">
        <f t="shared" si="28"/>
        <v>2723</v>
      </c>
      <c r="M369" s="672">
        <v>1</v>
      </c>
      <c r="N369" s="668">
        <f t="shared" si="29"/>
        <v>0</v>
      </c>
    </row>
    <row r="370" spans="1:20" s="677" customFormat="1" ht="25.5" hidden="1" customHeight="1">
      <c r="A370" s="662">
        <v>78.099999999999994</v>
      </c>
      <c r="B370" s="663" t="s">
        <v>1610</v>
      </c>
      <c r="C370" s="675"/>
      <c r="D370" s="674" t="s">
        <v>522</v>
      </c>
      <c r="E370" s="659"/>
      <c r="F370" s="666">
        <f t="shared" si="25"/>
        <v>0</v>
      </c>
      <c r="G370" s="666"/>
      <c r="H370" s="666"/>
      <c r="I370" s="666">
        <f t="shared" si="26"/>
        <v>0</v>
      </c>
      <c r="J370" s="666"/>
      <c r="K370" s="665">
        <f t="shared" si="27"/>
        <v>0</v>
      </c>
      <c r="L370" s="666">
        <f t="shared" si="28"/>
        <v>0</v>
      </c>
      <c r="M370" s="672">
        <v>0</v>
      </c>
      <c r="N370" s="668">
        <f t="shared" si="29"/>
        <v>0</v>
      </c>
      <c r="O370" s="676"/>
      <c r="P370" s="676"/>
    </row>
    <row r="371" spans="1:20" s="677" customFormat="1" ht="46.5" hidden="1" customHeight="1">
      <c r="A371" s="662">
        <v>79.099999999999994</v>
      </c>
      <c r="B371" s="663" t="s">
        <v>1611</v>
      </c>
      <c r="C371" s="675">
        <f>[8]Elec.Data!K3400</f>
        <v>508.26</v>
      </c>
      <c r="D371" s="674" t="s">
        <v>522</v>
      </c>
      <c r="E371" s="659"/>
      <c r="F371" s="666">
        <f t="shared" si="25"/>
        <v>0</v>
      </c>
      <c r="G371" s="666"/>
      <c r="H371" s="666"/>
      <c r="I371" s="666">
        <f t="shared" si="26"/>
        <v>0</v>
      </c>
      <c r="J371" s="666"/>
      <c r="K371" s="665">
        <f t="shared" si="27"/>
        <v>0</v>
      </c>
      <c r="L371" s="666">
        <f t="shared" si="28"/>
        <v>0</v>
      </c>
      <c r="M371" s="672">
        <v>0</v>
      </c>
      <c r="N371" s="668">
        <f t="shared" si="29"/>
        <v>0</v>
      </c>
      <c r="O371" s="676"/>
      <c r="P371" s="676"/>
    </row>
    <row r="372" spans="1:20" s="677" customFormat="1" ht="33" hidden="1" customHeight="1">
      <c r="A372" s="662">
        <v>79.2</v>
      </c>
      <c r="B372" s="663" t="s">
        <v>1612</v>
      </c>
      <c r="C372" s="675">
        <f>[8]Elec.Data!K3419</f>
        <v>776.68</v>
      </c>
      <c r="D372" s="674" t="s">
        <v>522</v>
      </c>
      <c r="E372" s="659"/>
      <c r="F372" s="666">
        <f t="shared" si="25"/>
        <v>0</v>
      </c>
      <c r="G372" s="666"/>
      <c r="H372" s="666"/>
      <c r="I372" s="666">
        <f t="shared" si="26"/>
        <v>0</v>
      </c>
      <c r="J372" s="666"/>
      <c r="K372" s="665">
        <f t="shared" si="27"/>
        <v>0</v>
      </c>
      <c r="L372" s="666">
        <f t="shared" si="28"/>
        <v>0</v>
      </c>
      <c r="M372" s="672">
        <v>0</v>
      </c>
      <c r="N372" s="668">
        <f t="shared" si="29"/>
        <v>0</v>
      </c>
      <c r="O372" s="676"/>
      <c r="P372" s="676"/>
    </row>
    <row r="373" spans="1:20" s="677" customFormat="1" ht="51.75" hidden="1" customHeight="1">
      <c r="A373" s="662">
        <v>80</v>
      </c>
      <c r="B373" s="663" t="s">
        <v>1613</v>
      </c>
      <c r="C373" s="675">
        <f>[8]Data!K2287</f>
        <v>770.34</v>
      </c>
      <c r="D373" s="674" t="s">
        <v>522</v>
      </c>
      <c r="E373" s="659"/>
      <c r="F373" s="666">
        <f t="shared" si="25"/>
        <v>0</v>
      </c>
      <c r="G373" s="666"/>
      <c r="H373" s="666"/>
      <c r="I373" s="666">
        <f t="shared" si="26"/>
        <v>0</v>
      </c>
      <c r="J373" s="666"/>
      <c r="K373" s="665">
        <f t="shared" si="27"/>
        <v>0</v>
      </c>
      <c r="L373" s="666">
        <f t="shared" si="28"/>
        <v>0</v>
      </c>
      <c r="M373" s="672">
        <v>0</v>
      </c>
      <c r="N373" s="668">
        <f t="shared" si="29"/>
        <v>0</v>
      </c>
      <c r="O373" s="676"/>
      <c r="P373" s="676"/>
    </row>
    <row r="374" spans="1:20" ht="45.75" customHeight="1">
      <c r="A374" s="662">
        <v>81</v>
      </c>
      <c r="B374" s="663" t="s">
        <v>1614</v>
      </c>
      <c r="C374" s="667">
        <f>ROUND([8]Data!K2288,2)</f>
        <v>2363.98</v>
      </c>
      <c r="D374" s="663" t="s">
        <v>37</v>
      </c>
      <c r="E374" s="665">
        <f>[8]Detailed!H921</f>
        <v>0.7</v>
      </c>
      <c r="F374" s="666">
        <f t="shared" si="25"/>
        <v>1654.7859999999998</v>
      </c>
      <c r="G374" s="666"/>
      <c r="H374" s="666"/>
      <c r="I374" s="666">
        <f t="shared" si="26"/>
        <v>0</v>
      </c>
      <c r="J374" s="666"/>
      <c r="K374" s="665">
        <f t="shared" si="27"/>
        <v>0.7</v>
      </c>
      <c r="L374" s="666">
        <f t="shared" si="28"/>
        <v>1654.7859999999998</v>
      </c>
      <c r="M374" s="672">
        <v>0.7</v>
      </c>
      <c r="N374" s="668">
        <f t="shared" si="29"/>
        <v>0</v>
      </c>
    </row>
    <row r="375" spans="1:20" s="677" customFormat="1" ht="39" hidden="1" customHeight="1">
      <c r="A375" s="662">
        <v>82</v>
      </c>
      <c r="B375" s="663" t="s">
        <v>1145</v>
      </c>
      <c r="C375" s="675">
        <f>ROUND([8]Data!K2289,2)</f>
        <v>2774.3</v>
      </c>
      <c r="D375" s="674" t="s">
        <v>522</v>
      </c>
      <c r="E375" s="659"/>
      <c r="F375" s="666">
        <f t="shared" si="25"/>
        <v>0</v>
      </c>
      <c r="G375" s="666"/>
      <c r="H375" s="666"/>
      <c r="I375" s="666">
        <f t="shared" si="26"/>
        <v>0</v>
      </c>
      <c r="J375" s="666"/>
      <c r="K375" s="665">
        <f t="shared" si="27"/>
        <v>0</v>
      </c>
      <c r="L375" s="666">
        <f t="shared" si="28"/>
        <v>0</v>
      </c>
      <c r="M375" s="672">
        <v>0</v>
      </c>
      <c r="N375" s="668">
        <f t="shared" si="29"/>
        <v>0</v>
      </c>
      <c r="O375" s="676"/>
      <c r="P375" s="676"/>
    </row>
    <row r="376" spans="1:20" s="677" customFormat="1" ht="40.5" customHeight="1">
      <c r="A376" s="662">
        <v>83</v>
      </c>
      <c r="B376" s="663" t="s">
        <v>1615</v>
      </c>
      <c r="C376" s="675">
        <f>[8]Elec.Data!K3556</f>
        <v>169.77</v>
      </c>
      <c r="D376" s="674" t="s">
        <v>61</v>
      </c>
      <c r="E376" s="659">
        <f>[8]Detailed!H928</f>
        <v>2.1</v>
      </c>
      <c r="F376" s="666">
        <f t="shared" si="25"/>
        <v>356.51700000000005</v>
      </c>
      <c r="G376" s="666"/>
      <c r="H376" s="666"/>
      <c r="I376" s="666">
        <f t="shared" si="26"/>
        <v>0</v>
      </c>
      <c r="J376" s="666"/>
      <c r="K376" s="665">
        <f t="shared" si="27"/>
        <v>2.1</v>
      </c>
      <c r="L376" s="666">
        <f t="shared" si="28"/>
        <v>356.51700000000005</v>
      </c>
      <c r="M376" s="672">
        <v>2.1</v>
      </c>
      <c r="N376" s="668">
        <f t="shared" si="29"/>
        <v>0</v>
      </c>
      <c r="O376" s="676"/>
      <c r="P376" s="676"/>
    </row>
    <row r="377" spans="1:20" s="677" customFormat="1" ht="20.100000000000001" hidden="1" customHeight="1">
      <c r="A377" s="662">
        <v>84</v>
      </c>
      <c r="B377" s="663" t="s">
        <v>1616</v>
      </c>
      <c r="C377" s="675"/>
      <c r="D377" s="674" t="s">
        <v>61</v>
      </c>
      <c r="E377" s="659"/>
      <c r="F377" s="666">
        <f t="shared" si="25"/>
        <v>0</v>
      </c>
      <c r="G377" s="666"/>
      <c r="H377" s="666"/>
      <c r="I377" s="666">
        <f t="shared" si="26"/>
        <v>0</v>
      </c>
      <c r="J377" s="666"/>
      <c r="K377" s="665">
        <f t="shared" si="27"/>
        <v>0</v>
      </c>
      <c r="L377" s="666">
        <f t="shared" si="28"/>
        <v>0</v>
      </c>
      <c r="M377" s="672">
        <v>0</v>
      </c>
      <c r="N377" s="668">
        <f t="shared" si="29"/>
        <v>0</v>
      </c>
      <c r="O377" s="676"/>
      <c r="P377" s="676"/>
    </row>
    <row r="378" spans="1:20" s="677" customFormat="1" ht="20.100000000000001" hidden="1" customHeight="1">
      <c r="A378" s="662">
        <v>85</v>
      </c>
      <c r="B378" s="663" t="s">
        <v>1617</v>
      </c>
      <c r="C378" s="675">
        <f>[8]Elec.Data!K3515</f>
        <v>130</v>
      </c>
      <c r="D378" s="674" t="s">
        <v>61</v>
      </c>
      <c r="E378" s="659"/>
      <c r="F378" s="666">
        <f t="shared" si="25"/>
        <v>0</v>
      </c>
      <c r="G378" s="666"/>
      <c r="H378" s="666"/>
      <c r="I378" s="666">
        <f t="shared" si="26"/>
        <v>0</v>
      </c>
      <c r="J378" s="666"/>
      <c r="K378" s="665">
        <f t="shared" si="27"/>
        <v>0</v>
      </c>
      <c r="L378" s="666">
        <f t="shared" si="28"/>
        <v>0</v>
      </c>
      <c r="M378" s="672">
        <v>0</v>
      </c>
      <c r="N378" s="668">
        <f t="shared" si="29"/>
        <v>0</v>
      </c>
      <c r="O378" s="676"/>
      <c r="P378" s="676"/>
    </row>
    <row r="379" spans="1:20" ht="45.75" customHeight="1">
      <c r="A379" s="662">
        <v>86</v>
      </c>
      <c r="B379" s="663" t="s">
        <v>1618</v>
      </c>
      <c r="C379" s="667">
        <v>34</v>
      </c>
      <c r="D379" s="663" t="s">
        <v>264</v>
      </c>
      <c r="E379" s="665">
        <f>[8]Detailed!H935</f>
        <v>137</v>
      </c>
      <c r="F379" s="666">
        <f t="shared" si="25"/>
        <v>4658</v>
      </c>
      <c r="G379" s="666"/>
      <c r="H379" s="666"/>
      <c r="I379" s="666">
        <f t="shared" si="26"/>
        <v>0</v>
      </c>
      <c r="J379" s="666"/>
      <c r="K379" s="665">
        <f t="shared" si="27"/>
        <v>137</v>
      </c>
      <c r="L379" s="666">
        <f t="shared" si="28"/>
        <v>4658</v>
      </c>
      <c r="M379" s="672">
        <v>137</v>
      </c>
      <c r="N379" s="668">
        <f t="shared" si="29"/>
        <v>0</v>
      </c>
    </row>
    <row r="380" spans="1:20" s="677" customFormat="1" ht="51.75" hidden="1" customHeight="1">
      <c r="A380" s="662">
        <v>87</v>
      </c>
      <c r="B380" s="663" t="s">
        <v>1619</v>
      </c>
      <c r="C380" s="675">
        <f>ROUND([8]Data!K2290,2)</f>
        <v>2602.1</v>
      </c>
      <c r="D380" s="674" t="s">
        <v>522</v>
      </c>
      <c r="E380" s="659"/>
      <c r="F380" s="666">
        <f t="shared" si="25"/>
        <v>0</v>
      </c>
      <c r="G380" s="666"/>
      <c r="H380" s="666"/>
      <c r="I380" s="666">
        <f t="shared" si="26"/>
        <v>0</v>
      </c>
      <c r="J380" s="666"/>
      <c r="K380" s="665">
        <f t="shared" si="27"/>
        <v>0</v>
      </c>
      <c r="L380" s="666">
        <f t="shared" si="28"/>
        <v>0</v>
      </c>
      <c r="M380" s="672">
        <v>0</v>
      </c>
      <c r="N380" s="668">
        <f t="shared" si="29"/>
        <v>0</v>
      </c>
      <c r="O380" s="676"/>
      <c r="P380" s="676"/>
    </row>
    <row r="381" spans="1:20" s="677" customFormat="1" ht="41.25" hidden="1" customHeight="1">
      <c r="A381" s="662">
        <v>112</v>
      </c>
      <c r="B381" s="663" t="s">
        <v>1620</v>
      </c>
      <c r="C381" s="675">
        <f>ROUND([8]Data!K2280,2)</f>
        <v>1967.5</v>
      </c>
      <c r="D381" s="674" t="s">
        <v>522</v>
      </c>
      <c r="E381" s="659"/>
      <c r="F381" s="666">
        <f t="shared" si="25"/>
        <v>0</v>
      </c>
      <c r="G381" s="666"/>
      <c r="H381" s="666"/>
      <c r="I381" s="666">
        <f t="shared" si="26"/>
        <v>0</v>
      </c>
      <c r="J381" s="666"/>
      <c r="K381" s="665">
        <f t="shared" si="27"/>
        <v>0</v>
      </c>
      <c r="L381" s="666">
        <f t="shared" si="28"/>
        <v>0</v>
      </c>
      <c r="M381" s="672">
        <v>0</v>
      </c>
      <c r="N381" s="668">
        <f t="shared" si="29"/>
        <v>0</v>
      </c>
      <c r="O381" s="676"/>
      <c r="P381" s="676"/>
    </row>
    <row r="382" spans="1:20" s="677" customFormat="1" ht="48.75" hidden="1" customHeight="1">
      <c r="A382" s="662">
        <v>238</v>
      </c>
      <c r="B382" s="663" t="s">
        <v>1621</v>
      </c>
      <c r="C382" s="675">
        <f>ROUND([8]Data!K1567,2)</f>
        <v>4403.5</v>
      </c>
      <c r="D382" s="674" t="s">
        <v>58</v>
      </c>
      <c r="E382" s="659"/>
      <c r="F382" s="666">
        <f t="shared" si="25"/>
        <v>0</v>
      </c>
      <c r="G382" s="666"/>
      <c r="H382" s="666"/>
      <c r="I382" s="666">
        <f t="shared" si="26"/>
        <v>0</v>
      </c>
      <c r="J382" s="666"/>
      <c r="K382" s="665">
        <f t="shared" si="27"/>
        <v>0</v>
      </c>
      <c r="L382" s="666">
        <f t="shared" si="28"/>
        <v>0</v>
      </c>
      <c r="M382" s="672">
        <v>0</v>
      </c>
      <c r="N382" s="668">
        <f t="shared" si="29"/>
        <v>0</v>
      </c>
      <c r="O382" s="676"/>
      <c r="P382" s="676"/>
    </row>
    <row r="383" spans="1:20" ht="45.75" customHeight="1">
      <c r="A383" s="662"/>
      <c r="B383" s="658" t="s">
        <v>1622</v>
      </c>
      <c r="C383" s="667"/>
      <c r="D383" s="663"/>
      <c r="E383" s="665"/>
      <c r="F383" s="666">
        <f t="shared" si="25"/>
        <v>0</v>
      </c>
      <c r="G383" s="666"/>
      <c r="H383" s="666"/>
      <c r="I383" s="666">
        <f t="shared" si="26"/>
        <v>0</v>
      </c>
      <c r="J383" s="666"/>
      <c r="K383" s="665">
        <f t="shared" si="27"/>
        <v>0</v>
      </c>
      <c r="L383" s="666">
        <f t="shared" si="28"/>
        <v>0</v>
      </c>
      <c r="M383" s="668">
        <v>0</v>
      </c>
      <c r="N383" s="668">
        <f t="shared" si="29"/>
        <v>0</v>
      </c>
      <c r="O383" s="678"/>
      <c r="Q383" s="679"/>
    </row>
    <row r="384" spans="1:20" s="683" customFormat="1" ht="75" customHeight="1">
      <c r="A384" s="666" t="s">
        <v>1454</v>
      </c>
      <c r="B384" s="685" t="s">
        <v>1623</v>
      </c>
      <c r="C384" s="667"/>
      <c r="D384" s="663"/>
      <c r="E384" s="665"/>
      <c r="F384" s="666">
        <f t="shared" si="25"/>
        <v>0</v>
      </c>
      <c r="G384" s="666"/>
      <c r="H384" s="666"/>
      <c r="I384" s="666">
        <f t="shared" si="26"/>
        <v>0</v>
      </c>
      <c r="J384" s="666"/>
      <c r="K384" s="665">
        <f t="shared" si="27"/>
        <v>0</v>
      </c>
      <c r="L384" s="666">
        <f t="shared" si="28"/>
        <v>0</v>
      </c>
      <c r="M384" s="668">
        <v>0</v>
      </c>
      <c r="N384" s="668">
        <f t="shared" si="29"/>
        <v>0</v>
      </c>
      <c r="O384" s="678"/>
      <c r="P384" s="669"/>
      <c r="Q384" s="679"/>
      <c r="R384" s="702"/>
      <c r="S384" s="702"/>
      <c r="T384" s="702"/>
    </row>
    <row r="385" spans="1:20" s="683" customFormat="1" ht="41.25" customHeight="1">
      <c r="A385" s="666"/>
      <c r="B385" s="663" t="s">
        <v>1405</v>
      </c>
      <c r="C385" s="667">
        <f>[8]Data!X537</f>
        <v>1292.4000000000001</v>
      </c>
      <c r="D385" s="663" t="s">
        <v>264</v>
      </c>
      <c r="E385" s="665">
        <f>[8]Detailed!H423</f>
        <v>9.4</v>
      </c>
      <c r="F385" s="666">
        <f t="shared" si="25"/>
        <v>12148.560000000001</v>
      </c>
      <c r="G385" s="666"/>
      <c r="H385" s="666"/>
      <c r="I385" s="666">
        <f t="shared" si="26"/>
        <v>0</v>
      </c>
      <c r="J385" s="666"/>
      <c r="K385" s="665">
        <f t="shared" si="27"/>
        <v>9.4</v>
      </c>
      <c r="L385" s="666">
        <f t="shared" si="28"/>
        <v>12148.560000000001</v>
      </c>
      <c r="M385" s="672">
        <v>9.4</v>
      </c>
      <c r="N385" s="668">
        <f t="shared" si="29"/>
        <v>0</v>
      </c>
      <c r="O385" s="669"/>
      <c r="P385" s="669"/>
      <c r="Q385" s="702"/>
      <c r="R385" s="702"/>
      <c r="S385" s="702"/>
      <c r="T385" s="702"/>
    </row>
    <row r="386" spans="1:20" s="683" customFormat="1" ht="41.25" customHeight="1">
      <c r="A386" s="666"/>
      <c r="B386" s="663" t="s">
        <v>1406</v>
      </c>
      <c r="C386" s="667">
        <f>[8]Data!X538</f>
        <v>1296.51</v>
      </c>
      <c r="D386" s="663" t="s">
        <v>264</v>
      </c>
      <c r="E386" s="665">
        <f>[8]Detailed!H432</f>
        <v>25.4</v>
      </c>
      <c r="F386" s="666">
        <f t="shared" si="25"/>
        <v>32931.353999999999</v>
      </c>
      <c r="G386" s="666"/>
      <c r="H386" s="666"/>
      <c r="I386" s="666">
        <f t="shared" si="26"/>
        <v>0</v>
      </c>
      <c r="J386" s="666"/>
      <c r="K386" s="665">
        <f t="shared" si="27"/>
        <v>25.4</v>
      </c>
      <c r="L386" s="666">
        <f t="shared" si="28"/>
        <v>32931.353999999999</v>
      </c>
      <c r="M386" s="672">
        <v>25.4</v>
      </c>
      <c r="N386" s="668">
        <f t="shared" si="29"/>
        <v>0</v>
      </c>
      <c r="O386" s="669"/>
      <c r="P386" s="669"/>
      <c r="Q386" s="702"/>
      <c r="R386" s="702"/>
      <c r="S386" s="702"/>
      <c r="T386" s="702"/>
    </row>
    <row r="387" spans="1:20" s="683" customFormat="1" ht="37.5" hidden="1" customHeight="1">
      <c r="A387" s="666"/>
      <c r="B387" s="663" t="s">
        <v>1407</v>
      </c>
      <c r="C387" s="667">
        <f>[8]Data!X539</f>
        <v>1300.6199999999999</v>
      </c>
      <c r="D387" s="663" t="s">
        <v>264</v>
      </c>
      <c r="E387" s="665"/>
      <c r="F387" s="666">
        <f t="shared" si="25"/>
        <v>0</v>
      </c>
      <c r="G387" s="666"/>
      <c r="H387" s="666"/>
      <c r="I387" s="666">
        <f t="shared" si="26"/>
        <v>0</v>
      </c>
      <c r="J387" s="666"/>
      <c r="K387" s="665">
        <f t="shared" si="27"/>
        <v>0</v>
      </c>
      <c r="L387" s="666">
        <f t="shared" si="28"/>
        <v>0</v>
      </c>
      <c r="M387" s="672">
        <v>0</v>
      </c>
      <c r="N387" s="668">
        <f t="shared" si="29"/>
        <v>0</v>
      </c>
      <c r="O387" s="669"/>
      <c r="P387" s="669"/>
      <c r="Q387" s="702"/>
      <c r="R387" s="702"/>
      <c r="S387" s="702"/>
      <c r="T387" s="702"/>
    </row>
    <row r="388" spans="1:20" s="683" customFormat="1" ht="47.25" hidden="1" customHeight="1">
      <c r="A388" s="703"/>
      <c r="B388" s="704" t="s">
        <v>1408</v>
      </c>
      <c r="C388" s="667">
        <f>[8]Data!X540</f>
        <v>1304.73</v>
      </c>
      <c r="D388" s="704" t="s">
        <v>264</v>
      </c>
      <c r="E388" s="1402"/>
      <c r="F388" s="666">
        <f t="shared" si="25"/>
        <v>0</v>
      </c>
      <c r="G388" s="666"/>
      <c r="H388" s="666"/>
      <c r="I388" s="666">
        <f t="shared" si="26"/>
        <v>0</v>
      </c>
      <c r="J388" s="666"/>
      <c r="K388" s="665">
        <f t="shared" si="27"/>
        <v>0</v>
      </c>
      <c r="L388" s="666">
        <f t="shared" si="28"/>
        <v>0</v>
      </c>
      <c r="M388" s="672">
        <v>0</v>
      </c>
      <c r="N388" s="668">
        <f t="shared" si="29"/>
        <v>0</v>
      </c>
      <c r="O388" s="669"/>
      <c r="P388" s="669"/>
      <c r="Q388" s="702"/>
      <c r="R388" s="702"/>
      <c r="S388" s="702"/>
      <c r="T388" s="702"/>
    </row>
    <row r="389" spans="1:20" s="677" customFormat="1" ht="56.25" hidden="1" customHeight="1">
      <c r="A389" s="705"/>
      <c r="B389" s="706" t="s">
        <v>1409</v>
      </c>
      <c r="C389" s="667">
        <f>[8]Data!X541</f>
        <v>1308.8399999999999</v>
      </c>
      <c r="D389" s="706" t="s">
        <v>264</v>
      </c>
      <c r="E389" s="1407"/>
      <c r="F389" s="666">
        <f t="shared" si="25"/>
        <v>0</v>
      </c>
      <c r="G389" s="666"/>
      <c r="H389" s="666"/>
      <c r="I389" s="666">
        <f t="shared" si="26"/>
        <v>0</v>
      </c>
      <c r="J389" s="666"/>
      <c r="K389" s="665">
        <f t="shared" si="27"/>
        <v>0</v>
      </c>
      <c r="L389" s="666">
        <f t="shared" si="28"/>
        <v>0</v>
      </c>
      <c r="M389" s="672">
        <v>0</v>
      </c>
      <c r="N389" s="668">
        <f t="shared" si="29"/>
        <v>0</v>
      </c>
      <c r="O389" s="676"/>
      <c r="P389" s="676"/>
      <c r="Q389" s="676"/>
      <c r="R389" s="676"/>
      <c r="S389" s="676"/>
      <c r="T389" s="676"/>
    </row>
    <row r="390" spans="1:20" s="683" customFormat="1" ht="68.25" customHeight="1">
      <c r="A390" s="666" t="s">
        <v>39</v>
      </c>
      <c r="B390" s="685" t="s">
        <v>1624</v>
      </c>
      <c r="C390" s="667"/>
      <c r="D390" s="663"/>
      <c r="E390" s="665"/>
      <c r="F390" s="666">
        <f t="shared" si="25"/>
        <v>0</v>
      </c>
      <c r="G390" s="666"/>
      <c r="H390" s="666"/>
      <c r="I390" s="666">
        <f t="shared" si="26"/>
        <v>0</v>
      </c>
      <c r="J390" s="666"/>
      <c r="K390" s="665">
        <f t="shared" si="27"/>
        <v>0</v>
      </c>
      <c r="L390" s="666">
        <f t="shared" si="28"/>
        <v>0</v>
      </c>
      <c r="M390" s="668">
        <v>0</v>
      </c>
      <c r="N390" s="668">
        <f t="shared" si="29"/>
        <v>0</v>
      </c>
      <c r="O390" s="669"/>
      <c r="P390" s="669"/>
      <c r="Q390" s="702"/>
      <c r="R390" s="702"/>
      <c r="S390" s="702"/>
      <c r="T390" s="702"/>
    </row>
    <row r="391" spans="1:20" s="683" customFormat="1" ht="49.5" customHeight="1">
      <c r="A391" s="666"/>
      <c r="B391" s="663" t="s">
        <v>1457</v>
      </c>
      <c r="C391" s="667">
        <f>[8]Data!X559</f>
        <v>1433.93</v>
      </c>
      <c r="D391" s="663" t="s">
        <v>264</v>
      </c>
      <c r="E391" s="665">
        <f>[8]Detailed!H437</f>
        <v>4.5</v>
      </c>
      <c r="F391" s="666">
        <f t="shared" ref="F391:F454" si="30">E391*C391</f>
        <v>6452.6850000000004</v>
      </c>
      <c r="G391" s="666"/>
      <c r="H391" s="666"/>
      <c r="I391" s="666">
        <f t="shared" ref="I391:I454" si="31">G391</f>
        <v>0</v>
      </c>
      <c r="J391" s="666"/>
      <c r="K391" s="665">
        <f t="shared" ref="K391:K454" si="32">E391</f>
        <v>4.5</v>
      </c>
      <c r="L391" s="666">
        <f t="shared" ref="L391:L454" si="33">C391*K391</f>
        <v>6452.6850000000004</v>
      </c>
      <c r="M391" s="672">
        <v>4.5</v>
      </c>
      <c r="N391" s="668">
        <f t="shared" ref="N391:N454" si="34">K391-M391</f>
        <v>0</v>
      </c>
      <c r="O391" s="669"/>
      <c r="P391" s="669"/>
      <c r="Q391" s="702"/>
      <c r="R391" s="702"/>
      <c r="S391" s="702"/>
      <c r="T391" s="702"/>
    </row>
    <row r="392" spans="1:20" s="683" customFormat="1" ht="49.5" customHeight="1">
      <c r="A392" s="666"/>
      <c r="B392" s="663" t="s">
        <v>1458</v>
      </c>
      <c r="C392" s="667">
        <f>[8]Data!X561</f>
        <v>1438.1</v>
      </c>
      <c r="D392" s="663" t="s">
        <v>264</v>
      </c>
      <c r="E392" s="665">
        <f>[8]Detailed!H443</f>
        <v>1</v>
      </c>
      <c r="F392" s="666">
        <f t="shared" si="30"/>
        <v>1438.1</v>
      </c>
      <c r="G392" s="666"/>
      <c r="H392" s="666"/>
      <c r="I392" s="666">
        <f t="shared" si="31"/>
        <v>0</v>
      </c>
      <c r="J392" s="666"/>
      <c r="K392" s="665">
        <f t="shared" si="32"/>
        <v>1</v>
      </c>
      <c r="L392" s="666">
        <f t="shared" si="33"/>
        <v>1438.1</v>
      </c>
      <c r="M392" s="672">
        <v>1</v>
      </c>
      <c r="N392" s="668">
        <f t="shared" si="34"/>
        <v>0</v>
      </c>
      <c r="O392" s="669"/>
      <c r="P392" s="669"/>
      <c r="Q392" s="702"/>
      <c r="R392" s="702"/>
      <c r="S392" s="702"/>
      <c r="T392" s="702"/>
    </row>
    <row r="393" spans="1:20" s="683" customFormat="1" ht="49.5" customHeight="1">
      <c r="A393" s="666"/>
      <c r="B393" s="663" t="s">
        <v>1459</v>
      </c>
      <c r="C393" s="667">
        <f>[8]Data!X562</f>
        <v>1446.32</v>
      </c>
      <c r="D393" s="663" t="s">
        <v>264</v>
      </c>
      <c r="E393" s="665">
        <f>[8]Detailed!H451</f>
        <v>12.4</v>
      </c>
      <c r="F393" s="666">
        <f t="shared" si="30"/>
        <v>17934.367999999999</v>
      </c>
      <c r="G393" s="666"/>
      <c r="H393" s="666"/>
      <c r="I393" s="666">
        <f t="shared" si="31"/>
        <v>0</v>
      </c>
      <c r="J393" s="666"/>
      <c r="K393" s="665">
        <f t="shared" si="32"/>
        <v>12.4</v>
      </c>
      <c r="L393" s="666">
        <f t="shared" si="33"/>
        <v>17934.367999999999</v>
      </c>
      <c r="M393" s="672">
        <v>12.4</v>
      </c>
      <c r="N393" s="668">
        <f t="shared" si="34"/>
        <v>0</v>
      </c>
      <c r="O393" s="669"/>
      <c r="P393" s="669"/>
      <c r="Q393" s="702"/>
      <c r="R393" s="702"/>
      <c r="S393" s="702"/>
      <c r="T393" s="702"/>
    </row>
    <row r="394" spans="1:20" s="683" customFormat="1" ht="49.5" hidden="1" customHeight="1">
      <c r="A394" s="703"/>
      <c r="B394" s="704" t="s">
        <v>1460</v>
      </c>
      <c r="C394" s="667">
        <f>[8]Data!X563</f>
        <v>1454.54</v>
      </c>
      <c r="D394" s="704" t="s">
        <v>264</v>
      </c>
      <c r="E394" s="1402"/>
      <c r="F394" s="666">
        <f t="shared" si="30"/>
        <v>0</v>
      </c>
      <c r="G394" s="666"/>
      <c r="H394" s="666"/>
      <c r="I394" s="666">
        <f t="shared" si="31"/>
        <v>0</v>
      </c>
      <c r="J394" s="666"/>
      <c r="K394" s="665">
        <f t="shared" si="32"/>
        <v>0</v>
      </c>
      <c r="L394" s="666">
        <f t="shared" si="33"/>
        <v>0</v>
      </c>
      <c r="M394" s="672">
        <v>0</v>
      </c>
      <c r="N394" s="668">
        <f t="shared" si="34"/>
        <v>0</v>
      </c>
      <c r="O394" s="669"/>
      <c r="P394" s="669"/>
      <c r="Q394" s="702"/>
      <c r="R394" s="702"/>
      <c r="S394" s="702"/>
      <c r="T394" s="702"/>
    </row>
    <row r="395" spans="1:20" s="683" customFormat="1" ht="49.5" hidden="1" customHeight="1">
      <c r="A395" s="666"/>
      <c r="B395" s="663" t="s">
        <v>1461</v>
      </c>
      <c r="C395" s="667">
        <f>[8]Data!X564</f>
        <v>1462.76</v>
      </c>
      <c r="D395" s="663" t="s">
        <v>264</v>
      </c>
      <c r="E395" s="665"/>
      <c r="F395" s="666">
        <f t="shared" si="30"/>
        <v>0</v>
      </c>
      <c r="G395" s="666"/>
      <c r="H395" s="666"/>
      <c r="I395" s="666">
        <f t="shared" si="31"/>
        <v>0</v>
      </c>
      <c r="J395" s="666"/>
      <c r="K395" s="665">
        <f t="shared" si="32"/>
        <v>0</v>
      </c>
      <c r="L395" s="666">
        <f t="shared" si="33"/>
        <v>0</v>
      </c>
      <c r="M395" s="672">
        <v>0</v>
      </c>
      <c r="N395" s="668">
        <f t="shared" si="34"/>
        <v>0</v>
      </c>
      <c r="O395" s="669"/>
      <c r="P395" s="669"/>
      <c r="Q395" s="702"/>
      <c r="R395" s="702"/>
      <c r="S395" s="702"/>
      <c r="T395" s="702"/>
    </row>
    <row r="396" spans="1:20" s="677" customFormat="1" ht="25.5" hidden="1" customHeight="1">
      <c r="A396" s="707"/>
      <c r="B396" s="708" t="s">
        <v>1462</v>
      </c>
      <c r="C396" s="675">
        <f>[8]Data!X565</f>
        <v>1470.98</v>
      </c>
      <c r="D396" s="674" t="s">
        <v>264</v>
      </c>
      <c r="E396" s="659"/>
      <c r="F396" s="666">
        <f t="shared" si="30"/>
        <v>0</v>
      </c>
      <c r="G396" s="666"/>
      <c r="H396" s="666"/>
      <c r="I396" s="666">
        <f t="shared" si="31"/>
        <v>0</v>
      </c>
      <c r="J396" s="666"/>
      <c r="K396" s="665">
        <f t="shared" si="32"/>
        <v>0</v>
      </c>
      <c r="L396" s="666">
        <f t="shared" si="33"/>
        <v>0</v>
      </c>
      <c r="M396" s="672">
        <v>0</v>
      </c>
      <c r="N396" s="668">
        <f t="shared" si="34"/>
        <v>0</v>
      </c>
      <c r="O396" s="676"/>
      <c r="P396" s="676"/>
      <c r="Q396" s="676"/>
      <c r="R396" s="676"/>
      <c r="S396" s="676"/>
      <c r="T396" s="676"/>
    </row>
    <row r="397" spans="1:20" s="677" customFormat="1" ht="43.5" hidden="1" customHeight="1">
      <c r="A397" s="709" t="s">
        <v>1454</v>
      </c>
      <c r="B397" s="710" t="s">
        <v>1625</v>
      </c>
      <c r="C397" s="675"/>
      <c r="D397" s="674"/>
      <c r="E397" s="659"/>
      <c r="F397" s="666">
        <f t="shared" si="30"/>
        <v>0</v>
      </c>
      <c r="G397" s="666"/>
      <c r="H397" s="666"/>
      <c r="I397" s="666">
        <f t="shared" si="31"/>
        <v>0</v>
      </c>
      <c r="J397" s="666"/>
      <c r="K397" s="665">
        <f t="shared" si="32"/>
        <v>0</v>
      </c>
      <c r="L397" s="666">
        <f t="shared" si="33"/>
        <v>0</v>
      </c>
      <c r="M397" s="672">
        <v>0</v>
      </c>
      <c r="N397" s="668">
        <f t="shared" si="34"/>
        <v>0</v>
      </c>
      <c r="O397" s="676"/>
      <c r="P397" s="676"/>
      <c r="Q397" s="676"/>
      <c r="R397" s="676"/>
      <c r="S397" s="676"/>
      <c r="T397" s="676"/>
    </row>
    <row r="398" spans="1:20" s="677" customFormat="1" ht="25.5" hidden="1" customHeight="1">
      <c r="A398" s="709"/>
      <c r="B398" s="708" t="s">
        <v>1405</v>
      </c>
      <c r="C398" s="675">
        <f>[8]Data!AD537</f>
        <v>1303.25</v>
      </c>
      <c r="D398" s="674" t="s">
        <v>264</v>
      </c>
      <c r="E398" s="659"/>
      <c r="F398" s="666">
        <f t="shared" si="30"/>
        <v>0</v>
      </c>
      <c r="G398" s="666"/>
      <c r="H398" s="666"/>
      <c r="I398" s="666">
        <f t="shared" si="31"/>
        <v>0</v>
      </c>
      <c r="J398" s="666"/>
      <c r="K398" s="665">
        <f t="shared" si="32"/>
        <v>0</v>
      </c>
      <c r="L398" s="666">
        <f t="shared" si="33"/>
        <v>0</v>
      </c>
      <c r="M398" s="672">
        <v>0</v>
      </c>
      <c r="N398" s="668">
        <f t="shared" si="34"/>
        <v>0</v>
      </c>
      <c r="O398" s="676"/>
      <c r="P398" s="676"/>
      <c r="Q398" s="676"/>
      <c r="R398" s="676"/>
      <c r="S398" s="676"/>
      <c r="T398" s="676"/>
    </row>
    <row r="399" spans="1:20" s="677" customFormat="1" ht="25.5" hidden="1" customHeight="1">
      <c r="A399" s="709"/>
      <c r="B399" s="708" t="s">
        <v>1406</v>
      </c>
      <c r="C399" s="675">
        <f>[8]Data!AD538</f>
        <v>1307.3599999999999</v>
      </c>
      <c r="D399" s="674" t="s">
        <v>264</v>
      </c>
      <c r="E399" s="659"/>
      <c r="F399" s="666">
        <f t="shared" si="30"/>
        <v>0</v>
      </c>
      <c r="G399" s="666"/>
      <c r="H399" s="666"/>
      <c r="I399" s="666">
        <f t="shared" si="31"/>
        <v>0</v>
      </c>
      <c r="J399" s="666"/>
      <c r="K399" s="665">
        <f t="shared" si="32"/>
        <v>0</v>
      </c>
      <c r="L399" s="666">
        <f t="shared" si="33"/>
        <v>0</v>
      </c>
      <c r="M399" s="672">
        <v>0</v>
      </c>
      <c r="N399" s="668">
        <f t="shared" si="34"/>
        <v>0</v>
      </c>
      <c r="O399" s="676"/>
      <c r="P399" s="676"/>
      <c r="Q399" s="676"/>
      <c r="R399" s="676"/>
      <c r="S399" s="676"/>
      <c r="T399" s="676"/>
    </row>
    <row r="400" spans="1:20" s="677" customFormat="1" ht="25.5" hidden="1" customHeight="1">
      <c r="A400" s="709"/>
      <c r="B400" s="708" t="s">
        <v>1407</v>
      </c>
      <c r="C400" s="675">
        <f>[8]Data!AD539</f>
        <v>1311.47</v>
      </c>
      <c r="D400" s="674" t="s">
        <v>264</v>
      </c>
      <c r="E400" s="659"/>
      <c r="F400" s="666">
        <f t="shared" si="30"/>
        <v>0</v>
      </c>
      <c r="G400" s="666"/>
      <c r="H400" s="666"/>
      <c r="I400" s="666">
        <f t="shared" si="31"/>
        <v>0</v>
      </c>
      <c r="J400" s="666"/>
      <c r="K400" s="665">
        <f t="shared" si="32"/>
        <v>0</v>
      </c>
      <c r="L400" s="666">
        <f t="shared" si="33"/>
        <v>0</v>
      </c>
      <c r="M400" s="672">
        <v>0</v>
      </c>
      <c r="N400" s="668">
        <f t="shared" si="34"/>
        <v>0</v>
      </c>
      <c r="O400" s="676"/>
      <c r="P400" s="676"/>
      <c r="Q400" s="676"/>
      <c r="R400" s="676"/>
      <c r="S400" s="676"/>
      <c r="T400" s="676"/>
    </row>
    <row r="401" spans="1:20" s="677" customFormat="1" ht="25.5" hidden="1" customHeight="1">
      <c r="A401" s="711"/>
      <c r="B401" s="712" t="s">
        <v>1408</v>
      </c>
      <c r="C401" s="675">
        <f>[8]Data!AD540</f>
        <v>1315.58</v>
      </c>
      <c r="D401" s="713" t="s">
        <v>264</v>
      </c>
      <c r="E401" s="1408"/>
      <c r="F401" s="666">
        <f t="shared" si="30"/>
        <v>0</v>
      </c>
      <c r="G401" s="666"/>
      <c r="H401" s="666"/>
      <c r="I401" s="666">
        <f t="shared" si="31"/>
        <v>0</v>
      </c>
      <c r="J401" s="666"/>
      <c r="K401" s="665">
        <f t="shared" si="32"/>
        <v>0</v>
      </c>
      <c r="L401" s="666">
        <f t="shared" si="33"/>
        <v>0</v>
      </c>
      <c r="M401" s="672">
        <v>0</v>
      </c>
      <c r="N401" s="668">
        <f t="shared" si="34"/>
        <v>0</v>
      </c>
      <c r="O401" s="676"/>
      <c r="P401" s="676"/>
      <c r="Q401" s="676"/>
      <c r="R401" s="676"/>
      <c r="S401" s="676"/>
      <c r="T401" s="676"/>
    </row>
    <row r="402" spans="1:20" s="677" customFormat="1" ht="25.5" hidden="1" customHeight="1">
      <c r="A402" s="714"/>
      <c r="B402" s="715" t="s">
        <v>1409</v>
      </c>
      <c r="C402" s="675">
        <f>[8]Data!AD541</f>
        <v>1319.69</v>
      </c>
      <c r="D402" s="716" t="s">
        <v>264</v>
      </c>
      <c r="E402" s="1406"/>
      <c r="F402" s="666">
        <f t="shared" si="30"/>
        <v>0</v>
      </c>
      <c r="G402" s="666"/>
      <c r="H402" s="666"/>
      <c r="I402" s="666">
        <f t="shared" si="31"/>
        <v>0</v>
      </c>
      <c r="J402" s="666"/>
      <c r="K402" s="665">
        <f t="shared" si="32"/>
        <v>0</v>
      </c>
      <c r="L402" s="666">
        <f t="shared" si="33"/>
        <v>0</v>
      </c>
      <c r="M402" s="672">
        <v>0</v>
      </c>
      <c r="N402" s="668">
        <f t="shared" si="34"/>
        <v>0</v>
      </c>
      <c r="O402" s="676"/>
      <c r="P402" s="676"/>
      <c r="Q402" s="676"/>
      <c r="R402" s="676"/>
      <c r="S402" s="676"/>
      <c r="T402" s="676"/>
    </row>
    <row r="403" spans="1:20" s="677" customFormat="1" ht="61.5" hidden="1" customHeight="1">
      <c r="A403" s="709" t="s">
        <v>39</v>
      </c>
      <c r="B403" s="710" t="s">
        <v>1626</v>
      </c>
      <c r="C403" s="675"/>
      <c r="D403" s="674"/>
      <c r="E403" s="659"/>
      <c r="F403" s="666">
        <f t="shared" si="30"/>
        <v>0</v>
      </c>
      <c r="G403" s="666"/>
      <c r="H403" s="666"/>
      <c r="I403" s="666">
        <f t="shared" si="31"/>
        <v>0</v>
      </c>
      <c r="J403" s="666"/>
      <c r="K403" s="665">
        <f t="shared" si="32"/>
        <v>0</v>
      </c>
      <c r="L403" s="666">
        <f t="shared" si="33"/>
        <v>0</v>
      </c>
      <c r="M403" s="672">
        <v>0</v>
      </c>
      <c r="N403" s="668">
        <f t="shared" si="34"/>
        <v>0</v>
      </c>
      <c r="O403" s="676"/>
      <c r="P403" s="676"/>
      <c r="Q403" s="676"/>
      <c r="R403" s="676"/>
      <c r="S403" s="676"/>
      <c r="T403" s="676"/>
    </row>
    <row r="404" spans="1:20" s="677" customFormat="1" ht="39" hidden="1" customHeight="1">
      <c r="A404" s="709"/>
      <c r="B404" s="674" t="s">
        <v>1457</v>
      </c>
      <c r="C404" s="675">
        <f>[8]Data!AD559</f>
        <v>1455.63</v>
      </c>
      <c r="D404" s="674" t="s">
        <v>264</v>
      </c>
      <c r="E404" s="659"/>
      <c r="F404" s="666">
        <f t="shared" si="30"/>
        <v>0</v>
      </c>
      <c r="G404" s="666"/>
      <c r="H404" s="666"/>
      <c r="I404" s="666">
        <f t="shared" si="31"/>
        <v>0</v>
      </c>
      <c r="J404" s="666"/>
      <c r="K404" s="665">
        <f t="shared" si="32"/>
        <v>0</v>
      </c>
      <c r="L404" s="666">
        <f t="shared" si="33"/>
        <v>0</v>
      </c>
      <c r="M404" s="672">
        <v>0</v>
      </c>
      <c r="N404" s="668">
        <f t="shared" si="34"/>
        <v>0</v>
      </c>
      <c r="O404" s="676"/>
      <c r="P404" s="676"/>
      <c r="Q404" s="676"/>
      <c r="R404" s="676"/>
      <c r="S404" s="676"/>
      <c r="T404" s="676"/>
    </row>
    <row r="405" spans="1:20" s="677" customFormat="1" ht="25.5" hidden="1" customHeight="1">
      <c r="A405" s="709"/>
      <c r="B405" s="708" t="s">
        <v>1458</v>
      </c>
      <c r="C405" s="675">
        <f>[8]Data!AD561</f>
        <v>1459.8</v>
      </c>
      <c r="D405" s="674" t="s">
        <v>264</v>
      </c>
      <c r="E405" s="659"/>
      <c r="F405" s="666">
        <f t="shared" si="30"/>
        <v>0</v>
      </c>
      <c r="G405" s="666"/>
      <c r="H405" s="666"/>
      <c r="I405" s="666">
        <f t="shared" si="31"/>
        <v>0</v>
      </c>
      <c r="J405" s="666"/>
      <c r="K405" s="665">
        <f t="shared" si="32"/>
        <v>0</v>
      </c>
      <c r="L405" s="666">
        <f t="shared" si="33"/>
        <v>0</v>
      </c>
      <c r="M405" s="672">
        <v>0</v>
      </c>
      <c r="N405" s="668">
        <f t="shared" si="34"/>
        <v>0</v>
      </c>
      <c r="O405" s="676"/>
      <c r="P405" s="676"/>
      <c r="Q405" s="676"/>
      <c r="R405" s="676"/>
      <c r="S405" s="676"/>
      <c r="T405" s="676"/>
    </row>
    <row r="406" spans="1:20" s="677" customFormat="1" ht="25.5" hidden="1" customHeight="1">
      <c r="A406" s="709"/>
      <c r="B406" s="708" t="s">
        <v>1459</v>
      </c>
      <c r="C406" s="675">
        <f>[8]Data!AD562</f>
        <v>1468.02</v>
      </c>
      <c r="D406" s="674" t="s">
        <v>264</v>
      </c>
      <c r="E406" s="659"/>
      <c r="F406" s="666">
        <f t="shared" si="30"/>
        <v>0</v>
      </c>
      <c r="G406" s="666"/>
      <c r="H406" s="666"/>
      <c r="I406" s="666">
        <f t="shared" si="31"/>
        <v>0</v>
      </c>
      <c r="J406" s="666"/>
      <c r="K406" s="665">
        <f t="shared" si="32"/>
        <v>0</v>
      </c>
      <c r="L406" s="666">
        <f t="shared" si="33"/>
        <v>0</v>
      </c>
      <c r="M406" s="672">
        <v>0</v>
      </c>
      <c r="N406" s="668">
        <f t="shared" si="34"/>
        <v>0</v>
      </c>
      <c r="O406" s="676"/>
      <c r="P406" s="676"/>
      <c r="Q406" s="676"/>
      <c r="R406" s="676"/>
      <c r="S406" s="676"/>
      <c r="T406" s="676"/>
    </row>
    <row r="407" spans="1:20" s="677" customFormat="1" ht="25.5" hidden="1" customHeight="1">
      <c r="A407" s="711"/>
      <c r="B407" s="712" t="s">
        <v>1460</v>
      </c>
      <c r="C407" s="675">
        <f>[8]Data!AD563</f>
        <v>1476.24</v>
      </c>
      <c r="D407" s="713" t="s">
        <v>264</v>
      </c>
      <c r="E407" s="1408"/>
      <c r="F407" s="666">
        <f t="shared" si="30"/>
        <v>0</v>
      </c>
      <c r="G407" s="666"/>
      <c r="H407" s="666"/>
      <c r="I407" s="666">
        <f t="shared" si="31"/>
        <v>0</v>
      </c>
      <c r="J407" s="666"/>
      <c r="K407" s="665">
        <f t="shared" si="32"/>
        <v>0</v>
      </c>
      <c r="L407" s="666">
        <f t="shared" si="33"/>
        <v>0</v>
      </c>
      <c r="M407" s="672">
        <v>0</v>
      </c>
      <c r="N407" s="668">
        <f t="shared" si="34"/>
        <v>0</v>
      </c>
      <c r="O407" s="676"/>
      <c r="P407" s="676"/>
      <c r="Q407" s="676"/>
      <c r="R407" s="676"/>
      <c r="S407" s="676"/>
      <c r="T407" s="676"/>
    </row>
    <row r="408" spans="1:20" s="677" customFormat="1" ht="25.5" hidden="1" customHeight="1">
      <c r="A408" s="709"/>
      <c r="B408" s="708" t="s">
        <v>1461</v>
      </c>
      <c r="C408" s="675">
        <f>[8]Data!AD564</f>
        <v>1484.46</v>
      </c>
      <c r="D408" s="674" t="s">
        <v>264</v>
      </c>
      <c r="E408" s="659"/>
      <c r="F408" s="666">
        <f t="shared" si="30"/>
        <v>0</v>
      </c>
      <c r="G408" s="666"/>
      <c r="H408" s="666"/>
      <c r="I408" s="666">
        <f t="shared" si="31"/>
        <v>0</v>
      </c>
      <c r="J408" s="666"/>
      <c r="K408" s="665">
        <f t="shared" si="32"/>
        <v>0</v>
      </c>
      <c r="L408" s="666">
        <f t="shared" si="33"/>
        <v>0</v>
      </c>
      <c r="M408" s="672">
        <v>0</v>
      </c>
      <c r="N408" s="668">
        <f t="shared" si="34"/>
        <v>0</v>
      </c>
      <c r="O408" s="676"/>
      <c r="P408" s="676"/>
      <c r="Q408" s="676"/>
      <c r="R408" s="676"/>
      <c r="S408" s="676"/>
      <c r="T408" s="676"/>
    </row>
    <row r="409" spans="1:20" s="677" customFormat="1" ht="25.5" hidden="1" customHeight="1">
      <c r="A409" s="707"/>
      <c r="B409" s="708" t="s">
        <v>1462</v>
      </c>
      <c r="C409" s="675">
        <f>[8]Data!AD565</f>
        <v>1492.68</v>
      </c>
      <c r="D409" s="674" t="s">
        <v>264</v>
      </c>
      <c r="E409" s="659"/>
      <c r="F409" s="666">
        <f t="shared" si="30"/>
        <v>0</v>
      </c>
      <c r="G409" s="666"/>
      <c r="H409" s="666"/>
      <c r="I409" s="666">
        <f t="shared" si="31"/>
        <v>0</v>
      </c>
      <c r="J409" s="666"/>
      <c r="K409" s="665">
        <f t="shared" si="32"/>
        <v>0</v>
      </c>
      <c r="L409" s="666">
        <f t="shared" si="33"/>
        <v>0</v>
      </c>
      <c r="M409" s="672">
        <v>0</v>
      </c>
      <c r="N409" s="668">
        <f t="shared" si="34"/>
        <v>0</v>
      </c>
      <c r="O409" s="676"/>
      <c r="P409" s="676"/>
      <c r="Q409" s="676"/>
      <c r="R409" s="676"/>
      <c r="S409" s="676"/>
      <c r="T409" s="676"/>
    </row>
    <row r="410" spans="1:20" s="677" customFormat="1" ht="40.5" hidden="1" customHeight="1">
      <c r="A410" s="707"/>
      <c r="B410" s="717" t="s">
        <v>1627</v>
      </c>
      <c r="C410" s="718"/>
      <c r="D410" s="713"/>
      <c r="E410" s="1408"/>
      <c r="F410" s="666">
        <f t="shared" si="30"/>
        <v>0</v>
      </c>
      <c r="G410" s="666"/>
      <c r="H410" s="666"/>
      <c r="I410" s="666">
        <f t="shared" si="31"/>
        <v>0</v>
      </c>
      <c r="J410" s="666"/>
      <c r="K410" s="665">
        <f t="shared" si="32"/>
        <v>0</v>
      </c>
      <c r="L410" s="666">
        <f t="shared" si="33"/>
        <v>0</v>
      </c>
      <c r="M410" s="672">
        <v>0</v>
      </c>
      <c r="N410" s="668">
        <f t="shared" si="34"/>
        <v>0</v>
      </c>
      <c r="O410" s="676"/>
      <c r="P410" s="676"/>
      <c r="Q410" s="676"/>
      <c r="R410" s="676"/>
      <c r="S410" s="676"/>
      <c r="T410" s="676"/>
    </row>
    <row r="411" spans="1:20" s="677" customFormat="1" ht="25.5" hidden="1" customHeight="1">
      <c r="A411" s="707"/>
      <c r="B411" s="719" t="s">
        <v>1628</v>
      </c>
      <c r="C411" s="720">
        <f>[8]Data!AD486</f>
        <v>2604.59</v>
      </c>
      <c r="D411" s="719" t="s">
        <v>264</v>
      </c>
      <c r="E411" s="1409"/>
      <c r="F411" s="666">
        <f t="shared" si="30"/>
        <v>0</v>
      </c>
      <c r="G411" s="666"/>
      <c r="H411" s="666"/>
      <c r="I411" s="666">
        <f t="shared" si="31"/>
        <v>0</v>
      </c>
      <c r="J411" s="666"/>
      <c r="K411" s="665">
        <f t="shared" si="32"/>
        <v>0</v>
      </c>
      <c r="L411" s="666">
        <f t="shared" si="33"/>
        <v>0</v>
      </c>
      <c r="M411" s="672">
        <v>0</v>
      </c>
      <c r="N411" s="668">
        <f t="shared" si="34"/>
        <v>0</v>
      </c>
      <c r="O411" s="676"/>
      <c r="P411" s="676"/>
      <c r="Q411" s="676"/>
      <c r="R411" s="676"/>
      <c r="S411" s="676"/>
      <c r="T411" s="676"/>
    </row>
    <row r="412" spans="1:20" s="677" customFormat="1" ht="25.5" hidden="1" customHeight="1">
      <c r="A412" s="707"/>
      <c r="B412" s="721" t="s">
        <v>1406</v>
      </c>
      <c r="C412" s="720">
        <f>[8]Data!AD487</f>
        <v>2612.25</v>
      </c>
      <c r="D412" s="721" t="s">
        <v>264</v>
      </c>
      <c r="E412" s="1410"/>
      <c r="F412" s="666">
        <f t="shared" si="30"/>
        <v>0</v>
      </c>
      <c r="G412" s="666"/>
      <c r="H412" s="666"/>
      <c r="I412" s="666">
        <f t="shared" si="31"/>
        <v>0</v>
      </c>
      <c r="J412" s="666"/>
      <c r="K412" s="665">
        <f t="shared" si="32"/>
        <v>0</v>
      </c>
      <c r="L412" s="666">
        <f t="shared" si="33"/>
        <v>0</v>
      </c>
      <c r="M412" s="672">
        <v>0</v>
      </c>
      <c r="N412" s="668">
        <f t="shared" si="34"/>
        <v>0</v>
      </c>
      <c r="O412" s="676"/>
      <c r="P412" s="676"/>
      <c r="Q412" s="676"/>
      <c r="R412" s="676"/>
      <c r="S412" s="676"/>
      <c r="T412" s="676"/>
    </row>
    <row r="413" spans="1:20" s="677" customFormat="1" ht="25.5" hidden="1" customHeight="1">
      <c r="A413" s="707"/>
      <c r="B413" s="708" t="s">
        <v>1407</v>
      </c>
      <c r="C413" s="720">
        <f>[8]Data!AD488</f>
        <v>2619.91</v>
      </c>
      <c r="D413" s="674" t="s">
        <v>264</v>
      </c>
      <c r="E413" s="659"/>
      <c r="F413" s="666">
        <f t="shared" si="30"/>
        <v>0</v>
      </c>
      <c r="G413" s="666"/>
      <c r="H413" s="666"/>
      <c r="I413" s="666">
        <f t="shared" si="31"/>
        <v>0</v>
      </c>
      <c r="J413" s="666"/>
      <c r="K413" s="665">
        <f t="shared" si="32"/>
        <v>0</v>
      </c>
      <c r="L413" s="666">
        <f t="shared" si="33"/>
        <v>0</v>
      </c>
      <c r="M413" s="672">
        <v>0</v>
      </c>
      <c r="N413" s="668">
        <f t="shared" si="34"/>
        <v>0</v>
      </c>
      <c r="O413" s="676"/>
      <c r="P413" s="676"/>
      <c r="Q413" s="676"/>
      <c r="R413" s="676"/>
      <c r="S413" s="676"/>
      <c r="T413" s="676"/>
    </row>
    <row r="414" spans="1:20" s="677" customFormat="1" ht="25.5" hidden="1" customHeight="1">
      <c r="A414" s="707"/>
      <c r="B414" s="712" t="s">
        <v>1408</v>
      </c>
      <c r="C414" s="720">
        <f>[8]Data!AD489</f>
        <v>2627.57</v>
      </c>
      <c r="D414" s="713" t="s">
        <v>264</v>
      </c>
      <c r="E414" s="1408"/>
      <c r="F414" s="666">
        <f t="shared" si="30"/>
        <v>0</v>
      </c>
      <c r="G414" s="666"/>
      <c r="H414" s="666"/>
      <c r="I414" s="666">
        <f t="shared" si="31"/>
        <v>0</v>
      </c>
      <c r="J414" s="666"/>
      <c r="K414" s="665">
        <f t="shared" si="32"/>
        <v>0</v>
      </c>
      <c r="L414" s="666">
        <f t="shared" si="33"/>
        <v>0</v>
      </c>
      <c r="M414" s="672">
        <v>0</v>
      </c>
      <c r="N414" s="668">
        <f t="shared" si="34"/>
        <v>0</v>
      </c>
      <c r="O414" s="676"/>
      <c r="P414" s="676"/>
      <c r="Q414" s="676"/>
      <c r="R414" s="676"/>
      <c r="S414" s="676"/>
      <c r="T414" s="676"/>
    </row>
    <row r="415" spans="1:20" s="677" customFormat="1" ht="5.25" hidden="1" customHeight="1">
      <c r="A415" s="707"/>
      <c r="B415" s="715" t="s">
        <v>1409</v>
      </c>
      <c r="C415" s="720">
        <f>[8]Data!AD490</f>
        <v>2635.23</v>
      </c>
      <c r="D415" s="716" t="s">
        <v>264</v>
      </c>
      <c r="E415" s="1406"/>
      <c r="F415" s="666">
        <f t="shared" si="30"/>
        <v>0</v>
      </c>
      <c r="G415" s="666"/>
      <c r="H415" s="666"/>
      <c r="I415" s="666">
        <f t="shared" si="31"/>
        <v>0</v>
      </c>
      <c r="J415" s="666"/>
      <c r="K415" s="665">
        <f t="shared" si="32"/>
        <v>0</v>
      </c>
      <c r="L415" s="666">
        <f t="shared" si="33"/>
        <v>0</v>
      </c>
      <c r="M415" s="672">
        <v>0</v>
      </c>
      <c r="N415" s="668">
        <f t="shared" si="34"/>
        <v>0</v>
      </c>
      <c r="O415" s="676"/>
      <c r="P415" s="676"/>
      <c r="Q415" s="676"/>
      <c r="R415" s="676"/>
      <c r="S415" s="676"/>
      <c r="T415" s="676"/>
    </row>
    <row r="416" spans="1:20" s="683" customFormat="1" ht="90.75" hidden="1" customHeight="1">
      <c r="A416" s="722"/>
      <c r="B416" s="663" t="s">
        <v>1629</v>
      </c>
      <c r="C416" s="667"/>
      <c r="D416" s="663"/>
      <c r="E416" s="665"/>
      <c r="F416" s="666">
        <f t="shared" si="30"/>
        <v>0</v>
      </c>
      <c r="G416" s="666"/>
      <c r="H416" s="666"/>
      <c r="I416" s="666">
        <f t="shared" si="31"/>
        <v>0</v>
      </c>
      <c r="J416" s="666"/>
      <c r="K416" s="665">
        <f t="shared" si="32"/>
        <v>0</v>
      </c>
      <c r="L416" s="666">
        <f t="shared" si="33"/>
        <v>0</v>
      </c>
      <c r="M416" s="668">
        <v>0</v>
      </c>
      <c r="N416" s="668">
        <f t="shared" si="34"/>
        <v>0</v>
      </c>
      <c r="O416" s="678"/>
      <c r="P416" s="669"/>
      <c r="Q416" s="679"/>
      <c r="R416" s="702"/>
      <c r="S416" s="702"/>
      <c r="T416" s="702"/>
    </row>
    <row r="417" spans="1:20" s="683" customFormat="1" ht="48.75" hidden="1" customHeight="1">
      <c r="A417" s="662"/>
      <c r="B417" s="663" t="s">
        <v>1420</v>
      </c>
      <c r="C417" s="667">
        <f>[8]Data!X486</f>
        <v>2584.37</v>
      </c>
      <c r="D417" s="663" t="s">
        <v>264</v>
      </c>
      <c r="E417" s="1407"/>
      <c r="F417" s="666">
        <f t="shared" si="30"/>
        <v>0</v>
      </c>
      <c r="G417" s="666"/>
      <c r="H417" s="666"/>
      <c r="I417" s="666">
        <f t="shared" si="31"/>
        <v>0</v>
      </c>
      <c r="J417" s="666"/>
      <c r="K417" s="665">
        <f t="shared" si="32"/>
        <v>0</v>
      </c>
      <c r="L417" s="666">
        <f t="shared" si="33"/>
        <v>0</v>
      </c>
      <c r="M417" s="672">
        <v>0</v>
      </c>
      <c r="N417" s="668">
        <f t="shared" si="34"/>
        <v>0</v>
      </c>
      <c r="O417" s="669"/>
      <c r="P417" s="669"/>
      <c r="Q417" s="702"/>
      <c r="R417" s="702"/>
      <c r="S417" s="702"/>
      <c r="T417" s="702"/>
    </row>
    <row r="418" spans="1:20" s="683" customFormat="1" ht="48.75" hidden="1" customHeight="1">
      <c r="A418" s="662"/>
      <c r="B418" s="663" t="s">
        <v>1406</v>
      </c>
      <c r="C418" s="667">
        <f>[8]Data!X487</f>
        <v>2592.0300000000002</v>
      </c>
      <c r="D418" s="663" t="s">
        <v>264</v>
      </c>
      <c r="E418" s="1407"/>
      <c r="F418" s="666">
        <f t="shared" si="30"/>
        <v>0</v>
      </c>
      <c r="G418" s="666"/>
      <c r="H418" s="666"/>
      <c r="I418" s="666">
        <f t="shared" si="31"/>
        <v>0</v>
      </c>
      <c r="J418" s="666"/>
      <c r="K418" s="665">
        <f t="shared" si="32"/>
        <v>0</v>
      </c>
      <c r="L418" s="666">
        <f t="shared" si="33"/>
        <v>0</v>
      </c>
      <c r="M418" s="672">
        <v>0</v>
      </c>
      <c r="N418" s="668">
        <f t="shared" si="34"/>
        <v>0</v>
      </c>
      <c r="O418" s="669"/>
      <c r="P418" s="669"/>
      <c r="Q418" s="702"/>
      <c r="R418" s="702"/>
      <c r="S418" s="702"/>
      <c r="T418" s="702"/>
    </row>
    <row r="419" spans="1:20" s="683" customFormat="1" ht="48.75" hidden="1" customHeight="1">
      <c r="A419" s="662"/>
      <c r="B419" s="663" t="s">
        <v>1407</v>
      </c>
      <c r="C419" s="667">
        <f>[8]Data!X488</f>
        <v>2599.69</v>
      </c>
      <c r="D419" s="663" t="s">
        <v>264</v>
      </c>
      <c r="E419" s="1407"/>
      <c r="F419" s="666">
        <f t="shared" si="30"/>
        <v>0</v>
      </c>
      <c r="G419" s="666"/>
      <c r="H419" s="666"/>
      <c r="I419" s="666">
        <f t="shared" si="31"/>
        <v>0</v>
      </c>
      <c r="J419" s="666"/>
      <c r="K419" s="665">
        <f t="shared" si="32"/>
        <v>0</v>
      </c>
      <c r="L419" s="666">
        <f t="shared" si="33"/>
        <v>0</v>
      </c>
      <c r="M419" s="672">
        <v>0</v>
      </c>
      <c r="N419" s="668">
        <f t="shared" si="34"/>
        <v>0</v>
      </c>
      <c r="O419" s="669"/>
      <c r="P419" s="669"/>
      <c r="Q419" s="702"/>
      <c r="R419" s="702"/>
      <c r="S419" s="702"/>
      <c r="T419" s="702"/>
    </row>
    <row r="420" spans="1:20" s="683" customFormat="1" ht="48.75" hidden="1" customHeight="1">
      <c r="A420" s="662"/>
      <c r="B420" s="663" t="s">
        <v>1408</v>
      </c>
      <c r="C420" s="667">
        <f>[8]Data!X489</f>
        <v>2607.35</v>
      </c>
      <c r="D420" s="663" t="s">
        <v>264</v>
      </c>
      <c r="E420" s="1407"/>
      <c r="F420" s="666">
        <f t="shared" si="30"/>
        <v>0</v>
      </c>
      <c r="G420" s="666"/>
      <c r="H420" s="666"/>
      <c r="I420" s="666">
        <f t="shared" si="31"/>
        <v>0</v>
      </c>
      <c r="J420" s="666"/>
      <c r="K420" s="665">
        <f t="shared" si="32"/>
        <v>0</v>
      </c>
      <c r="L420" s="666">
        <f t="shared" si="33"/>
        <v>0</v>
      </c>
      <c r="M420" s="672">
        <v>0</v>
      </c>
      <c r="N420" s="668">
        <f t="shared" si="34"/>
        <v>0</v>
      </c>
      <c r="O420" s="669"/>
      <c r="P420" s="669"/>
      <c r="Q420" s="702"/>
      <c r="R420" s="702"/>
      <c r="S420" s="702"/>
      <c r="T420" s="702"/>
    </row>
    <row r="421" spans="1:20" s="683" customFormat="1" ht="44.25" hidden="1" customHeight="1">
      <c r="A421" s="688"/>
      <c r="B421" s="663" t="s">
        <v>1409</v>
      </c>
      <c r="C421" s="667">
        <f>[8]Data!X490</f>
        <v>2615.0100000000002</v>
      </c>
      <c r="D421" s="663" t="s">
        <v>264</v>
      </c>
      <c r="E421" s="1407"/>
      <c r="F421" s="666">
        <f t="shared" si="30"/>
        <v>0</v>
      </c>
      <c r="G421" s="666"/>
      <c r="H421" s="666"/>
      <c r="I421" s="666">
        <f t="shared" si="31"/>
        <v>0</v>
      </c>
      <c r="J421" s="666"/>
      <c r="K421" s="665">
        <f t="shared" si="32"/>
        <v>0</v>
      </c>
      <c r="L421" s="666">
        <f t="shared" si="33"/>
        <v>0</v>
      </c>
      <c r="M421" s="672">
        <v>0</v>
      </c>
      <c r="N421" s="668">
        <f t="shared" si="34"/>
        <v>0</v>
      </c>
      <c r="O421" s="669"/>
      <c r="P421" s="669"/>
      <c r="Q421" s="702"/>
      <c r="R421" s="702"/>
      <c r="S421" s="702"/>
      <c r="T421" s="702"/>
    </row>
    <row r="422" spans="1:20" s="726" customFormat="1" ht="25.5" hidden="1" customHeight="1">
      <c r="A422" s="723"/>
      <c r="B422" s="724" t="s">
        <v>1411</v>
      </c>
      <c r="C422" s="675">
        <f>[8]Data!X491</f>
        <v>0</v>
      </c>
      <c r="D422" s="674" t="s">
        <v>264</v>
      </c>
      <c r="E422" s="659"/>
      <c r="F422" s="666">
        <f t="shared" si="30"/>
        <v>0</v>
      </c>
      <c r="G422" s="666"/>
      <c r="H422" s="666"/>
      <c r="I422" s="666">
        <f t="shared" si="31"/>
        <v>0</v>
      </c>
      <c r="J422" s="666"/>
      <c r="K422" s="665">
        <f t="shared" si="32"/>
        <v>0</v>
      </c>
      <c r="L422" s="666">
        <f t="shared" si="33"/>
        <v>0</v>
      </c>
      <c r="M422" s="672">
        <v>0</v>
      </c>
      <c r="N422" s="668">
        <f t="shared" si="34"/>
        <v>0</v>
      </c>
      <c r="O422" s="725"/>
      <c r="P422" s="725"/>
      <c r="Q422" s="725"/>
      <c r="R422" s="725"/>
      <c r="S422" s="725"/>
      <c r="T422" s="725"/>
    </row>
    <row r="423" spans="1:20" ht="44.25" customHeight="1">
      <c r="A423" s="727">
        <v>4.0999999999999996</v>
      </c>
      <c r="B423" s="728" t="s">
        <v>547</v>
      </c>
      <c r="C423" s="729"/>
      <c r="D423" s="704"/>
      <c r="E423" s="1402"/>
      <c r="F423" s="666">
        <f t="shared" si="30"/>
        <v>0</v>
      </c>
      <c r="G423" s="666"/>
      <c r="H423" s="666"/>
      <c r="I423" s="666">
        <f t="shared" si="31"/>
        <v>0</v>
      </c>
      <c r="J423" s="666"/>
      <c r="K423" s="665">
        <f t="shared" si="32"/>
        <v>0</v>
      </c>
      <c r="L423" s="666">
        <f t="shared" si="33"/>
        <v>0</v>
      </c>
      <c r="M423" s="668">
        <v>0</v>
      </c>
      <c r="N423" s="668">
        <f t="shared" si="34"/>
        <v>0</v>
      </c>
      <c r="O423" s="678"/>
      <c r="Q423" s="679"/>
    </row>
    <row r="424" spans="1:20" ht="50.25" customHeight="1">
      <c r="A424" s="727"/>
      <c r="B424" s="663" t="s">
        <v>1433</v>
      </c>
      <c r="C424" s="729">
        <f>[8]Data!X718</f>
        <v>7676.3</v>
      </c>
      <c r="D424" s="663" t="s">
        <v>16</v>
      </c>
      <c r="E424" s="665">
        <f>[8]Detailed!H121</f>
        <v>30.6</v>
      </c>
      <c r="F424" s="666">
        <f t="shared" si="30"/>
        <v>234894.78000000003</v>
      </c>
      <c r="G424" s="666"/>
      <c r="H424" s="666"/>
      <c r="I424" s="666">
        <f t="shared" si="31"/>
        <v>0</v>
      </c>
      <c r="J424" s="666"/>
      <c r="K424" s="665">
        <f t="shared" si="32"/>
        <v>30.6</v>
      </c>
      <c r="L424" s="666">
        <f t="shared" si="33"/>
        <v>234894.78000000003</v>
      </c>
      <c r="M424" s="672">
        <v>38.4</v>
      </c>
      <c r="N424" s="668">
        <f t="shared" si="34"/>
        <v>-7.7999999999999972</v>
      </c>
    </row>
    <row r="425" spans="1:20" ht="50.25" customHeight="1">
      <c r="A425" s="727">
        <v>8.1</v>
      </c>
      <c r="B425" s="663" t="s">
        <v>1630</v>
      </c>
      <c r="C425" s="729">
        <f>[8]Data!X720</f>
        <v>7779.6</v>
      </c>
      <c r="D425" s="663" t="s">
        <v>16</v>
      </c>
      <c r="E425" s="665">
        <f>[8]Detailed!H198</f>
        <v>34.799999999999997</v>
      </c>
      <c r="F425" s="666">
        <f t="shared" si="30"/>
        <v>270730.08</v>
      </c>
      <c r="G425" s="666"/>
      <c r="H425" s="666"/>
      <c r="I425" s="666">
        <f t="shared" si="31"/>
        <v>0</v>
      </c>
      <c r="J425" s="666"/>
      <c r="K425" s="665">
        <f t="shared" si="32"/>
        <v>34.799999999999997</v>
      </c>
      <c r="L425" s="666">
        <f t="shared" si="33"/>
        <v>270730.08</v>
      </c>
      <c r="M425" s="672">
        <v>34.799999999999997</v>
      </c>
      <c r="N425" s="668">
        <f t="shared" si="34"/>
        <v>0</v>
      </c>
    </row>
    <row r="426" spans="1:20" ht="50.25" customHeight="1">
      <c r="A426" s="727"/>
      <c r="B426" s="663" t="s">
        <v>1435</v>
      </c>
      <c r="C426" s="729">
        <f>[8]Data!X721</f>
        <v>7983.1</v>
      </c>
      <c r="D426" s="663" t="s">
        <v>16</v>
      </c>
      <c r="E426" s="665">
        <f>[8]Detailed!H241</f>
        <v>27.1</v>
      </c>
      <c r="F426" s="666">
        <f t="shared" si="30"/>
        <v>216342.01</v>
      </c>
      <c r="G426" s="666"/>
      <c r="H426" s="666"/>
      <c r="I426" s="666">
        <f t="shared" si="31"/>
        <v>0</v>
      </c>
      <c r="J426" s="666"/>
      <c r="K426" s="665">
        <f t="shared" si="32"/>
        <v>27.1</v>
      </c>
      <c r="L426" s="666">
        <f t="shared" si="33"/>
        <v>216342.01</v>
      </c>
      <c r="M426" s="672">
        <v>28.2</v>
      </c>
      <c r="N426" s="668">
        <f t="shared" si="34"/>
        <v>-1.0999999999999979</v>
      </c>
      <c r="O426" s="669">
        <f>N426*123</f>
        <v>-135.29999999999973</v>
      </c>
    </row>
    <row r="427" spans="1:20" ht="50.25" customHeight="1">
      <c r="A427" s="727"/>
      <c r="B427" s="663" t="s">
        <v>1436</v>
      </c>
      <c r="C427" s="729">
        <f>[8]Data!X722</f>
        <v>8186.6</v>
      </c>
      <c r="D427" s="663" t="s">
        <v>16</v>
      </c>
      <c r="E427" s="1402">
        <f>[8]Detailed!H251</f>
        <v>5.6</v>
      </c>
      <c r="F427" s="666">
        <f t="shared" si="30"/>
        <v>45844.959999999999</v>
      </c>
      <c r="G427" s="666"/>
      <c r="H427" s="666"/>
      <c r="I427" s="666">
        <f t="shared" si="31"/>
        <v>0</v>
      </c>
      <c r="J427" s="666"/>
      <c r="K427" s="665">
        <f t="shared" si="32"/>
        <v>5.6</v>
      </c>
      <c r="L427" s="666">
        <f t="shared" si="33"/>
        <v>45844.959999999999</v>
      </c>
      <c r="M427" s="672">
        <v>5.6</v>
      </c>
      <c r="N427" s="668">
        <f t="shared" si="34"/>
        <v>0</v>
      </c>
    </row>
    <row r="428" spans="1:20" ht="50.25" hidden="1" customHeight="1">
      <c r="A428" s="727"/>
      <c r="B428" s="663" t="s">
        <v>1461</v>
      </c>
      <c r="C428" s="729">
        <f>[8]Data!X723</f>
        <v>8390.1</v>
      </c>
      <c r="D428" s="663" t="s">
        <v>16</v>
      </c>
      <c r="E428" s="1402"/>
      <c r="F428" s="666">
        <f t="shared" si="30"/>
        <v>0</v>
      </c>
      <c r="G428" s="666"/>
      <c r="H428" s="666"/>
      <c r="I428" s="666">
        <f t="shared" si="31"/>
        <v>0</v>
      </c>
      <c r="J428" s="666"/>
      <c r="K428" s="665">
        <f t="shared" si="32"/>
        <v>0</v>
      </c>
      <c r="L428" s="666">
        <f t="shared" si="33"/>
        <v>0</v>
      </c>
      <c r="M428" s="672">
        <v>0</v>
      </c>
      <c r="N428" s="668">
        <f t="shared" si="34"/>
        <v>0</v>
      </c>
    </row>
    <row r="429" spans="1:20" ht="48.75" hidden="1" customHeight="1">
      <c r="A429" s="727"/>
      <c r="B429" s="704" t="s">
        <v>1631</v>
      </c>
      <c r="C429" s="729">
        <f>[8]Data!X724</f>
        <v>8593.6</v>
      </c>
      <c r="D429" s="663" t="s">
        <v>16</v>
      </c>
      <c r="E429" s="1402"/>
      <c r="F429" s="666">
        <f t="shared" si="30"/>
        <v>0</v>
      </c>
      <c r="G429" s="666"/>
      <c r="H429" s="666"/>
      <c r="I429" s="666">
        <f t="shared" si="31"/>
        <v>0</v>
      </c>
      <c r="J429" s="666"/>
      <c r="K429" s="665">
        <f t="shared" si="32"/>
        <v>0</v>
      </c>
      <c r="L429" s="666">
        <f t="shared" si="33"/>
        <v>0</v>
      </c>
      <c r="M429" s="672">
        <v>0</v>
      </c>
      <c r="N429" s="668">
        <f t="shared" si="34"/>
        <v>0</v>
      </c>
    </row>
    <row r="430" spans="1:20" s="677" customFormat="1" ht="38.25" hidden="1" customHeight="1">
      <c r="A430" s="730" t="s">
        <v>1632</v>
      </c>
      <c r="B430" s="731" t="s">
        <v>1633</v>
      </c>
      <c r="C430" s="675"/>
      <c r="D430" s="674"/>
      <c r="E430" s="659"/>
      <c r="F430" s="666">
        <f t="shared" si="30"/>
        <v>0</v>
      </c>
      <c r="G430" s="666"/>
      <c r="H430" s="666"/>
      <c r="I430" s="666">
        <f t="shared" si="31"/>
        <v>0</v>
      </c>
      <c r="J430" s="666"/>
      <c r="K430" s="665">
        <f t="shared" si="32"/>
        <v>0</v>
      </c>
      <c r="L430" s="666">
        <f t="shared" si="33"/>
        <v>0</v>
      </c>
      <c r="M430" s="672">
        <v>0</v>
      </c>
      <c r="N430" s="668">
        <f t="shared" si="34"/>
        <v>0</v>
      </c>
      <c r="O430" s="676"/>
      <c r="P430" s="676"/>
    </row>
    <row r="431" spans="1:20" s="677" customFormat="1" ht="38.25" hidden="1" customHeight="1">
      <c r="A431" s="730"/>
      <c r="B431" s="708" t="s">
        <v>1433</v>
      </c>
      <c r="C431" s="675">
        <f>[8]Data!X688</f>
        <v>8213.7099999999991</v>
      </c>
      <c r="D431" s="674" t="s">
        <v>16</v>
      </c>
      <c r="E431" s="999"/>
      <c r="F431" s="666">
        <f t="shared" si="30"/>
        <v>0</v>
      </c>
      <c r="G431" s="666"/>
      <c r="H431" s="666"/>
      <c r="I431" s="666">
        <f t="shared" si="31"/>
        <v>0</v>
      </c>
      <c r="J431" s="666"/>
      <c r="K431" s="665">
        <f t="shared" si="32"/>
        <v>0</v>
      </c>
      <c r="L431" s="666">
        <f t="shared" si="33"/>
        <v>0</v>
      </c>
      <c r="M431" s="672">
        <v>0</v>
      </c>
      <c r="N431" s="668">
        <f t="shared" si="34"/>
        <v>0</v>
      </c>
      <c r="O431" s="676"/>
      <c r="P431" s="676"/>
    </row>
    <row r="432" spans="1:20" s="677" customFormat="1" ht="38.25" hidden="1" customHeight="1">
      <c r="A432" s="730"/>
      <c r="B432" s="708" t="s">
        <v>1434</v>
      </c>
      <c r="C432" s="675">
        <f>[8]Data!X690</f>
        <v>8317.01</v>
      </c>
      <c r="D432" s="674" t="s">
        <v>16</v>
      </c>
      <c r="E432" s="999"/>
      <c r="F432" s="666">
        <f t="shared" si="30"/>
        <v>0</v>
      </c>
      <c r="G432" s="666"/>
      <c r="H432" s="666"/>
      <c r="I432" s="666">
        <f t="shared" si="31"/>
        <v>0</v>
      </c>
      <c r="J432" s="666"/>
      <c r="K432" s="665">
        <f t="shared" si="32"/>
        <v>0</v>
      </c>
      <c r="L432" s="666">
        <f t="shared" si="33"/>
        <v>0</v>
      </c>
      <c r="M432" s="672">
        <v>0</v>
      </c>
      <c r="N432" s="668">
        <f t="shared" si="34"/>
        <v>0</v>
      </c>
      <c r="O432" s="676"/>
      <c r="P432" s="676"/>
    </row>
    <row r="433" spans="1:16" s="677" customFormat="1" ht="38.25" hidden="1" customHeight="1">
      <c r="A433" s="730"/>
      <c r="B433" s="708" t="s">
        <v>1435</v>
      </c>
      <c r="C433" s="675">
        <f>[8]Data!X691</f>
        <v>8520.51</v>
      </c>
      <c r="D433" s="674" t="s">
        <v>16</v>
      </c>
      <c r="E433" s="999"/>
      <c r="F433" s="666">
        <f t="shared" si="30"/>
        <v>0</v>
      </c>
      <c r="G433" s="666"/>
      <c r="H433" s="666"/>
      <c r="I433" s="666">
        <f t="shared" si="31"/>
        <v>0</v>
      </c>
      <c r="J433" s="666"/>
      <c r="K433" s="665">
        <f t="shared" si="32"/>
        <v>0</v>
      </c>
      <c r="L433" s="666">
        <f t="shared" si="33"/>
        <v>0</v>
      </c>
      <c r="M433" s="672">
        <v>0</v>
      </c>
      <c r="N433" s="668">
        <f t="shared" si="34"/>
        <v>0</v>
      </c>
      <c r="O433" s="676"/>
      <c r="P433" s="676"/>
    </row>
    <row r="434" spans="1:16" s="677" customFormat="1" ht="50.25" hidden="1" customHeight="1">
      <c r="A434" s="732"/>
      <c r="B434" s="708" t="s">
        <v>1436</v>
      </c>
      <c r="C434" s="733">
        <f>[8]Data!X692</f>
        <v>8724.01</v>
      </c>
      <c r="D434" s="674" t="s">
        <v>16</v>
      </c>
      <c r="E434" s="659"/>
      <c r="F434" s="666">
        <f t="shared" si="30"/>
        <v>0</v>
      </c>
      <c r="G434" s="666"/>
      <c r="H434" s="666"/>
      <c r="I434" s="666">
        <f t="shared" si="31"/>
        <v>0</v>
      </c>
      <c r="J434" s="666"/>
      <c r="K434" s="665">
        <f t="shared" si="32"/>
        <v>0</v>
      </c>
      <c r="L434" s="666">
        <f t="shared" si="33"/>
        <v>0</v>
      </c>
      <c r="M434" s="672">
        <v>0</v>
      </c>
      <c r="N434" s="668">
        <f t="shared" si="34"/>
        <v>0</v>
      </c>
      <c r="O434" s="676"/>
      <c r="P434" s="676"/>
    </row>
    <row r="435" spans="1:16" s="677" customFormat="1" ht="50.25" hidden="1" customHeight="1">
      <c r="A435" s="732"/>
      <c r="B435" s="708" t="s">
        <v>1461</v>
      </c>
      <c r="C435" s="733">
        <f>[8]Data!X693</f>
        <v>8927.51</v>
      </c>
      <c r="D435" s="674" t="s">
        <v>16</v>
      </c>
      <c r="E435" s="659"/>
      <c r="F435" s="666">
        <f t="shared" si="30"/>
        <v>0</v>
      </c>
      <c r="G435" s="666"/>
      <c r="H435" s="666"/>
      <c r="I435" s="666">
        <f t="shared" si="31"/>
        <v>0</v>
      </c>
      <c r="J435" s="666"/>
      <c r="K435" s="665">
        <f t="shared" si="32"/>
        <v>0</v>
      </c>
      <c r="L435" s="666">
        <f t="shared" si="33"/>
        <v>0</v>
      </c>
      <c r="M435" s="672">
        <v>0</v>
      </c>
      <c r="N435" s="668">
        <f t="shared" si="34"/>
        <v>0</v>
      </c>
      <c r="O435" s="676"/>
      <c r="P435" s="676"/>
    </row>
    <row r="436" spans="1:16" s="677" customFormat="1" ht="60" hidden="1" customHeight="1">
      <c r="A436" s="662"/>
      <c r="B436" s="734" t="s">
        <v>1634</v>
      </c>
      <c r="C436" s="675"/>
      <c r="D436" s="674"/>
      <c r="E436" s="659"/>
      <c r="F436" s="666">
        <f t="shared" si="30"/>
        <v>0</v>
      </c>
      <c r="G436" s="666"/>
      <c r="H436" s="666"/>
      <c r="I436" s="666">
        <f t="shared" si="31"/>
        <v>0</v>
      </c>
      <c r="J436" s="666"/>
      <c r="K436" s="665">
        <f t="shared" si="32"/>
        <v>0</v>
      </c>
      <c r="L436" s="666">
        <f t="shared" si="33"/>
        <v>0</v>
      </c>
      <c r="M436" s="672">
        <v>0</v>
      </c>
      <c r="N436" s="668">
        <f t="shared" si="34"/>
        <v>0</v>
      </c>
      <c r="O436" s="676"/>
      <c r="P436" s="676"/>
    </row>
    <row r="437" spans="1:16" s="677" customFormat="1" ht="51" hidden="1" customHeight="1">
      <c r="A437" s="662"/>
      <c r="B437" s="735" t="s">
        <v>1635</v>
      </c>
      <c r="C437" s="675">
        <f>[8]Data!R1183</f>
        <v>8047.63</v>
      </c>
      <c r="D437" s="674" t="s">
        <v>16</v>
      </c>
      <c r="E437" s="659"/>
      <c r="F437" s="666">
        <f t="shared" si="30"/>
        <v>0</v>
      </c>
      <c r="G437" s="666"/>
      <c r="H437" s="666"/>
      <c r="I437" s="666">
        <f t="shared" si="31"/>
        <v>0</v>
      </c>
      <c r="J437" s="666"/>
      <c r="K437" s="665">
        <f t="shared" si="32"/>
        <v>0</v>
      </c>
      <c r="L437" s="666">
        <f t="shared" si="33"/>
        <v>0</v>
      </c>
      <c r="M437" s="672">
        <v>0</v>
      </c>
      <c r="N437" s="668">
        <f t="shared" si="34"/>
        <v>0</v>
      </c>
      <c r="O437" s="676"/>
      <c r="P437" s="676"/>
    </row>
    <row r="438" spans="1:16" s="677" customFormat="1" ht="33" hidden="1" customHeight="1">
      <c r="A438" s="662"/>
      <c r="B438" s="735" t="s">
        <v>1636</v>
      </c>
      <c r="C438" s="675">
        <f>[8]Data!R1184</f>
        <v>8150.93</v>
      </c>
      <c r="D438" s="674" t="s">
        <v>16</v>
      </c>
      <c r="E438" s="659"/>
      <c r="F438" s="666">
        <f t="shared" si="30"/>
        <v>0</v>
      </c>
      <c r="G438" s="666"/>
      <c r="H438" s="666"/>
      <c r="I438" s="666">
        <f t="shared" si="31"/>
        <v>0</v>
      </c>
      <c r="J438" s="666"/>
      <c r="K438" s="665">
        <f t="shared" si="32"/>
        <v>0</v>
      </c>
      <c r="L438" s="666">
        <f t="shared" si="33"/>
        <v>0</v>
      </c>
      <c r="M438" s="672">
        <v>0</v>
      </c>
      <c r="N438" s="668">
        <f t="shared" si="34"/>
        <v>0</v>
      </c>
      <c r="O438" s="676"/>
      <c r="P438" s="676"/>
    </row>
    <row r="439" spans="1:16" s="677" customFormat="1" ht="58.5" hidden="1" customHeight="1">
      <c r="A439" s="662"/>
      <c r="B439" s="685" t="s">
        <v>1637</v>
      </c>
      <c r="C439" s="675"/>
      <c r="D439" s="674"/>
      <c r="E439" s="659"/>
      <c r="F439" s="666">
        <f t="shared" si="30"/>
        <v>0</v>
      </c>
      <c r="G439" s="666"/>
      <c r="H439" s="666"/>
      <c r="I439" s="666">
        <f t="shared" si="31"/>
        <v>0</v>
      </c>
      <c r="J439" s="666"/>
      <c r="K439" s="665">
        <f t="shared" si="32"/>
        <v>0</v>
      </c>
      <c r="L439" s="666">
        <f t="shared" si="33"/>
        <v>0</v>
      </c>
      <c r="M439" s="672">
        <v>0</v>
      </c>
      <c r="N439" s="668">
        <f t="shared" si="34"/>
        <v>0</v>
      </c>
      <c r="O439" s="676"/>
      <c r="P439" s="676"/>
    </row>
    <row r="440" spans="1:16" s="677" customFormat="1" ht="45.75" hidden="1" customHeight="1">
      <c r="A440" s="662"/>
      <c r="B440" s="663" t="s">
        <v>1433</v>
      </c>
      <c r="C440" s="675">
        <f>[8]Data!R1156</f>
        <v>7977.27</v>
      </c>
      <c r="D440" s="674" t="s">
        <v>235</v>
      </c>
      <c r="E440" s="659"/>
      <c r="F440" s="666">
        <f t="shared" si="30"/>
        <v>0</v>
      </c>
      <c r="G440" s="666"/>
      <c r="H440" s="666"/>
      <c r="I440" s="666">
        <f t="shared" si="31"/>
        <v>0</v>
      </c>
      <c r="J440" s="666"/>
      <c r="K440" s="665">
        <f t="shared" si="32"/>
        <v>0</v>
      </c>
      <c r="L440" s="666">
        <f t="shared" si="33"/>
        <v>0</v>
      </c>
      <c r="M440" s="672">
        <v>0</v>
      </c>
      <c r="N440" s="668">
        <f t="shared" si="34"/>
        <v>0</v>
      </c>
      <c r="O440" s="676"/>
      <c r="P440" s="676"/>
    </row>
    <row r="441" spans="1:16" s="677" customFormat="1" ht="45.75" hidden="1" customHeight="1">
      <c r="A441" s="662"/>
      <c r="B441" s="663" t="s">
        <v>1638</v>
      </c>
      <c r="C441" s="675">
        <f>[8]Data!R1158</f>
        <v>8080.57</v>
      </c>
      <c r="D441" s="674" t="s">
        <v>235</v>
      </c>
      <c r="E441" s="659"/>
      <c r="F441" s="666">
        <f t="shared" si="30"/>
        <v>0</v>
      </c>
      <c r="G441" s="666"/>
      <c r="H441" s="666"/>
      <c r="I441" s="666">
        <f t="shared" si="31"/>
        <v>0</v>
      </c>
      <c r="J441" s="666"/>
      <c r="K441" s="665">
        <f t="shared" si="32"/>
        <v>0</v>
      </c>
      <c r="L441" s="666">
        <f t="shared" si="33"/>
        <v>0</v>
      </c>
      <c r="M441" s="672">
        <v>0</v>
      </c>
      <c r="N441" s="668">
        <f t="shared" si="34"/>
        <v>0</v>
      </c>
      <c r="O441" s="676"/>
      <c r="P441" s="676"/>
    </row>
    <row r="442" spans="1:16" s="677" customFormat="1" ht="45.75" hidden="1" customHeight="1">
      <c r="A442" s="662"/>
      <c r="B442" s="663" t="s">
        <v>1435</v>
      </c>
      <c r="C442" s="675">
        <f>[8]Data!R1159</f>
        <v>8284.07</v>
      </c>
      <c r="D442" s="674" t="s">
        <v>235</v>
      </c>
      <c r="E442" s="659"/>
      <c r="F442" s="666">
        <f t="shared" si="30"/>
        <v>0</v>
      </c>
      <c r="G442" s="666"/>
      <c r="H442" s="666"/>
      <c r="I442" s="666">
        <f t="shared" si="31"/>
        <v>0</v>
      </c>
      <c r="J442" s="666"/>
      <c r="K442" s="665">
        <f t="shared" si="32"/>
        <v>0</v>
      </c>
      <c r="L442" s="666">
        <f t="shared" si="33"/>
        <v>0</v>
      </c>
      <c r="M442" s="672">
        <v>0</v>
      </c>
      <c r="N442" s="668">
        <f t="shared" si="34"/>
        <v>0</v>
      </c>
      <c r="O442" s="676"/>
      <c r="P442" s="676"/>
    </row>
    <row r="443" spans="1:16" s="677" customFormat="1" ht="45.75" hidden="1" customHeight="1">
      <c r="A443" s="662"/>
      <c r="B443" s="663" t="s">
        <v>1436</v>
      </c>
      <c r="C443" s="675">
        <f>[8]Data!R1160</f>
        <v>8487.57</v>
      </c>
      <c r="D443" s="674" t="s">
        <v>235</v>
      </c>
      <c r="E443" s="659"/>
      <c r="F443" s="666">
        <f t="shared" si="30"/>
        <v>0</v>
      </c>
      <c r="G443" s="666"/>
      <c r="H443" s="666"/>
      <c r="I443" s="666">
        <f t="shared" si="31"/>
        <v>0</v>
      </c>
      <c r="J443" s="666"/>
      <c r="K443" s="665">
        <f t="shared" si="32"/>
        <v>0</v>
      </c>
      <c r="L443" s="666">
        <f t="shared" si="33"/>
        <v>0</v>
      </c>
      <c r="M443" s="672">
        <v>0</v>
      </c>
      <c r="N443" s="668">
        <f t="shared" si="34"/>
        <v>0</v>
      </c>
      <c r="O443" s="676"/>
      <c r="P443" s="676"/>
    </row>
    <row r="444" spans="1:16" s="677" customFormat="1" ht="45.75" hidden="1" customHeight="1">
      <c r="A444" s="662"/>
      <c r="B444" s="663" t="s">
        <v>1461</v>
      </c>
      <c r="C444" s="675">
        <f>[8]Data!R1161</f>
        <v>8691.07</v>
      </c>
      <c r="D444" s="674" t="s">
        <v>235</v>
      </c>
      <c r="E444" s="659"/>
      <c r="F444" s="666">
        <f t="shared" si="30"/>
        <v>0</v>
      </c>
      <c r="G444" s="666"/>
      <c r="H444" s="666"/>
      <c r="I444" s="666">
        <f t="shared" si="31"/>
        <v>0</v>
      </c>
      <c r="J444" s="666"/>
      <c r="K444" s="665">
        <f t="shared" si="32"/>
        <v>0</v>
      </c>
      <c r="L444" s="666">
        <f t="shared" si="33"/>
        <v>0</v>
      </c>
      <c r="M444" s="672">
        <v>0</v>
      </c>
      <c r="N444" s="668">
        <f t="shared" si="34"/>
        <v>0</v>
      </c>
      <c r="O444" s="676"/>
      <c r="P444" s="676"/>
    </row>
    <row r="445" spans="1:16" s="677" customFormat="1" ht="45.75" hidden="1" customHeight="1">
      <c r="A445" s="662"/>
      <c r="B445" s="663" t="s">
        <v>1438</v>
      </c>
      <c r="C445" s="675">
        <f>[8]Data!R1162</f>
        <v>8894.57</v>
      </c>
      <c r="D445" s="674" t="s">
        <v>235</v>
      </c>
      <c r="E445" s="659"/>
      <c r="F445" s="666">
        <f t="shared" si="30"/>
        <v>0</v>
      </c>
      <c r="G445" s="666"/>
      <c r="H445" s="666"/>
      <c r="I445" s="666">
        <f t="shared" si="31"/>
        <v>0</v>
      </c>
      <c r="J445" s="666"/>
      <c r="K445" s="665">
        <f t="shared" si="32"/>
        <v>0</v>
      </c>
      <c r="L445" s="666">
        <f t="shared" si="33"/>
        <v>0</v>
      </c>
      <c r="M445" s="672">
        <v>0</v>
      </c>
      <c r="N445" s="668">
        <f t="shared" si="34"/>
        <v>0</v>
      </c>
      <c r="O445" s="676"/>
      <c r="P445" s="676"/>
    </row>
    <row r="446" spans="1:16" s="677" customFormat="1" ht="45.75" hidden="1" customHeight="1">
      <c r="A446" s="662"/>
      <c r="B446" s="663" t="s">
        <v>1639</v>
      </c>
      <c r="C446" s="675">
        <f>[8]Data!R1163</f>
        <v>9098.07</v>
      </c>
      <c r="D446" s="674" t="s">
        <v>235</v>
      </c>
      <c r="E446" s="659"/>
      <c r="F446" s="666">
        <f t="shared" si="30"/>
        <v>0</v>
      </c>
      <c r="G446" s="666"/>
      <c r="H446" s="666"/>
      <c r="I446" s="666">
        <f t="shared" si="31"/>
        <v>0</v>
      </c>
      <c r="J446" s="666"/>
      <c r="K446" s="665">
        <f t="shared" si="32"/>
        <v>0</v>
      </c>
      <c r="L446" s="666">
        <f t="shared" si="33"/>
        <v>0</v>
      </c>
      <c r="M446" s="672">
        <v>0</v>
      </c>
      <c r="N446" s="668">
        <f t="shared" si="34"/>
        <v>0</v>
      </c>
      <c r="O446" s="676"/>
      <c r="P446" s="676"/>
    </row>
    <row r="447" spans="1:16" s="677" customFormat="1" ht="45.75" hidden="1" customHeight="1">
      <c r="A447" s="662"/>
      <c r="B447" s="663" t="s">
        <v>1640</v>
      </c>
      <c r="C447" s="675">
        <f>[8]Data!R1164</f>
        <v>9301.57</v>
      </c>
      <c r="D447" s="674" t="s">
        <v>235</v>
      </c>
      <c r="E447" s="659"/>
      <c r="F447" s="666">
        <f t="shared" si="30"/>
        <v>0</v>
      </c>
      <c r="G447" s="666"/>
      <c r="H447" s="666"/>
      <c r="I447" s="666">
        <f t="shared" si="31"/>
        <v>0</v>
      </c>
      <c r="J447" s="666"/>
      <c r="K447" s="665">
        <f t="shared" si="32"/>
        <v>0</v>
      </c>
      <c r="L447" s="666">
        <f t="shared" si="33"/>
        <v>0</v>
      </c>
      <c r="M447" s="672">
        <v>0</v>
      </c>
      <c r="N447" s="668">
        <f t="shared" si="34"/>
        <v>0</v>
      </c>
      <c r="O447" s="676"/>
      <c r="P447" s="676"/>
    </row>
    <row r="448" spans="1:16" s="677" customFormat="1" ht="45.75" hidden="1" customHeight="1">
      <c r="A448" s="662"/>
      <c r="B448" s="663" t="s">
        <v>1641</v>
      </c>
      <c r="C448" s="675">
        <f>[8]Data!R1165</f>
        <v>9505.07</v>
      </c>
      <c r="D448" s="674" t="s">
        <v>235</v>
      </c>
      <c r="E448" s="659"/>
      <c r="F448" s="666">
        <f t="shared" si="30"/>
        <v>0</v>
      </c>
      <c r="G448" s="666"/>
      <c r="H448" s="666"/>
      <c r="I448" s="666">
        <f t="shared" si="31"/>
        <v>0</v>
      </c>
      <c r="J448" s="666"/>
      <c r="K448" s="665">
        <f t="shared" si="32"/>
        <v>0</v>
      </c>
      <c r="L448" s="666">
        <f t="shared" si="33"/>
        <v>0</v>
      </c>
      <c r="M448" s="672">
        <v>0</v>
      </c>
      <c r="N448" s="668">
        <f t="shared" si="34"/>
        <v>0</v>
      </c>
      <c r="O448" s="676"/>
      <c r="P448" s="676"/>
    </row>
    <row r="449" spans="1:16" s="677" customFormat="1" ht="45.75" hidden="1" customHeight="1">
      <c r="A449" s="662"/>
      <c r="B449" s="735" t="s">
        <v>1642</v>
      </c>
      <c r="C449" s="675">
        <f>[8]Data!R1166</f>
        <v>9708.57</v>
      </c>
      <c r="D449" s="674" t="s">
        <v>235</v>
      </c>
      <c r="E449" s="659"/>
      <c r="F449" s="666">
        <f t="shared" si="30"/>
        <v>0</v>
      </c>
      <c r="G449" s="666"/>
      <c r="H449" s="666"/>
      <c r="I449" s="666">
        <f t="shared" si="31"/>
        <v>0</v>
      </c>
      <c r="J449" s="666"/>
      <c r="K449" s="665">
        <f t="shared" si="32"/>
        <v>0</v>
      </c>
      <c r="L449" s="666">
        <f t="shared" si="33"/>
        <v>0</v>
      </c>
      <c r="M449" s="672">
        <v>0</v>
      </c>
      <c r="N449" s="668">
        <f t="shared" si="34"/>
        <v>0</v>
      </c>
      <c r="O449" s="676"/>
      <c r="P449" s="676"/>
    </row>
    <row r="450" spans="1:16" s="677" customFormat="1" ht="45.75" hidden="1" customHeight="1">
      <c r="A450" s="662"/>
      <c r="B450" s="735" t="s">
        <v>1643</v>
      </c>
      <c r="C450" s="675">
        <f>[8]Data!R1167</f>
        <v>9912.07</v>
      </c>
      <c r="D450" s="674" t="s">
        <v>235</v>
      </c>
      <c r="E450" s="659"/>
      <c r="F450" s="666">
        <f t="shared" si="30"/>
        <v>0</v>
      </c>
      <c r="G450" s="666"/>
      <c r="H450" s="666"/>
      <c r="I450" s="666">
        <f t="shared" si="31"/>
        <v>0</v>
      </c>
      <c r="J450" s="666"/>
      <c r="K450" s="665">
        <f t="shared" si="32"/>
        <v>0</v>
      </c>
      <c r="L450" s="666">
        <f t="shared" si="33"/>
        <v>0</v>
      </c>
      <c r="M450" s="672">
        <v>0</v>
      </c>
      <c r="N450" s="668">
        <f t="shared" si="34"/>
        <v>0</v>
      </c>
      <c r="O450" s="676"/>
      <c r="P450" s="676"/>
    </row>
    <row r="451" spans="1:16" s="677" customFormat="1" ht="45.75" hidden="1" customHeight="1">
      <c r="A451" s="662"/>
      <c r="B451" s="735" t="s">
        <v>1644</v>
      </c>
      <c r="C451" s="675">
        <f>[8]Data!R1168</f>
        <v>10115.57</v>
      </c>
      <c r="D451" s="674" t="s">
        <v>235</v>
      </c>
      <c r="E451" s="659"/>
      <c r="F451" s="666">
        <f t="shared" si="30"/>
        <v>0</v>
      </c>
      <c r="G451" s="666"/>
      <c r="H451" s="666"/>
      <c r="I451" s="666">
        <f t="shared" si="31"/>
        <v>0</v>
      </c>
      <c r="J451" s="666"/>
      <c r="K451" s="665">
        <f t="shared" si="32"/>
        <v>0</v>
      </c>
      <c r="L451" s="666">
        <f t="shared" si="33"/>
        <v>0</v>
      </c>
      <c r="M451" s="672">
        <v>0</v>
      </c>
      <c r="N451" s="668">
        <f t="shared" si="34"/>
        <v>0</v>
      </c>
      <c r="O451" s="676"/>
      <c r="P451" s="676"/>
    </row>
    <row r="452" spans="1:16" s="677" customFormat="1" ht="45.75" hidden="1" customHeight="1">
      <c r="A452" s="662"/>
      <c r="B452" s="663" t="s">
        <v>1417</v>
      </c>
      <c r="C452" s="675">
        <f>[8]Data!R1169</f>
        <v>10319.07</v>
      </c>
      <c r="D452" s="674" t="s">
        <v>235</v>
      </c>
      <c r="E452" s="659"/>
      <c r="F452" s="666">
        <f t="shared" si="30"/>
        <v>0</v>
      </c>
      <c r="G452" s="666"/>
      <c r="H452" s="666"/>
      <c r="I452" s="666">
        <f t="shared" si="31"/>
        <v>0</v>
      </c>
      <c r="J452" s="666"/>
      <c r="K452" s="665">
        <f t="shared" si="32"/>
        <v>0</v>
      </c>
      <c r="L452" s="666">
        <f t="shared" si="33"/>
        <v>0</v>
      </c>
      <c r="M452" s="672">
        <v>0</v>
      </c>
      <c r="N452" s="668">
        <f t="shared" si="34"/>
        <v>0</v>
      </c>
      <c r="O452" s="676"/>
      <c r="P452" s="676"/>
    </row>
    <row r="453" spans="1:16" s="677" customFormat="1" ht="45.75" hidden="1" customHeight="1">
      <c r="A453" s="662"/>
      <c r="B453" s="663" t="s">
        <v>1418</v>
      </c>
      <c r="C453" s="675">
        <f>[8]Data!R1170</f>
        <v>10522.57</v>
      </c>
      <c r="D453" s="674" t="s">
        <v>235</v>
      </c>
      <c r="E453" s="659"/>
      <c r="F453" s="666">
        <f t="shared" si="30"/>
        <v>0</v>
      </c>
      <c r="G453" s="666"/>
      <c r="H453" s="666"/>
      <c r="I453" s="666">
        <f t="shared" si="31"/>
        <v>0</v>
      </c>
      <c r="J453" s="666"/>
      <c r="K453" s="665">
        <f t="shared" si="32"/>
        <v>0</v>
      </c>
      <c r="L453" s="666">
        <f t="shared" si="33"/>
        <v>0</v>
      </c>
      <c r="M453" s="672">
        <v>0</v>
      </c>
      <c r="N453" s="668">
        <f t="shared" si="34"/>
        <v>0</v>
      </c>
      <c r="O453" s="676"/>
      <c r="P453" s="676"/>
    </row>
    <row r="454" spans="1:16" s="677" customFormat="1" ht="45.75" hidden="1" customHeight="1">
      <c r="A454" s="662"/>
      <c r="B454" s="663" t="s">
        <v>1645</v>
      </c>
      <c r="C454" s="675">
        <f>[8]Data!R1171</f>
        <v>10726.07</v>
      </c>
      <c r="D454" s="674" t="s">
        <v>235</v>
      </c>
      <c r="E454" s="659"/>
      <c r="F454" s="666">
        <f t="shared" si="30"/>
        <v>0</v>
      </c>
      <c r="G454" s="666"/>
      <c r="H454" s="666"/>
      <c r="I454" s="666">
        <f t="shared" si="31"/>
        <v>0</v>
      </c>
      <c r="J454" s="666"/>
      <c r="K454" s="665">
        <f t="shared" si="32"/>
        <v>0</v>
      </c>
      <c r="L454" s="666">
        <f t="shared" si="33"/>
        <v>0</v>
      </c>
      <c r="M454" s="672">
        <v>0</v>
      </c>
      <c r="N454" s="668">
        <f t="shared" si="34"/>
        <v>0</v>
      </c>
      <c r="O454" s="676"/>
      <c r="P454" s="676"/>
    </row>
    <row r="455" spans="1:16" s="677" customFormat="1" ht="49.5" hidden="1" customHeight="1">
      <c r="A455" s="662">
        <v>9.1999999999999993</v>
      </c>
      <c r="B455" s="685" t="s">
        <v>1425</v>
      </c>
      <c r="C455" s="675"/>
      <c r="D455" s="674"/>
      <c r="E455" s="659"/>
      <c r="F455" s="666">
        <f t="shared" ref="F455:F518" si="35">E455*C455</f>
        <v>0</v>
      </c>
      <c r="G455" s="666"/>
      <c r="H455" s="666"/>
      <c r="I455" s="666">
        <f t="shared" ref="I455:I518" si="36">G455</f>
        <v>0</v>
      </c>
      <c r="J455" s="666"/>
      <c r="K455" s="665">
        <f t="shared" ref="K455:K518" si="37">E455</f>
        <v>0</v>
      </c>
      <c r="L455" s="666">
        <f t="shared" ref="L455:L518" si="38">C455*K455</f>
        <v>0</v>
      </c>
      <c r="M455" s="672">
        <v>0</v>
      </c>
      <c r="N455" s="668">
        <f t="shared" ref="N455:N518" si="39">K455-M455</f>
        <v>0</v>
      </c>
      <c r="O455" s="676"/>
      <c r="P455" s="676"/>
    </row>
    <row r="456" spans="1:16" s="677" customFormat="1" ht="33" hidden="1" customHeight="1">
      <c r="A456" s="662"/>
      <c r="B456" s="663" t="s">
        <v>1639</v>
      </c>
      <c r="C456" s="675">
        <f>[8]Data!AG352</f>
        <v>6768.14</v>
      </c>
      <c r="D456" s="674" t="s">
        <v>235</v>
      </c>
      <c r="E456" s="659"/>
      <c r="F456" s="666">
        <f t="shared" si="35"/>
        <v>0</v>
      </c>
      <c r="G456" s="666"/>
      <c r="H456" s="666"/>
      <c r="I456" s="666">
        <f t="shared" si="36"/>
        <v>0</v>
      </c>
      <c r="J456" s="666"/>
      <c r="K456" s="665">
        <f t="shared" si="37"/>
        <v>0</v>
      </c>
      <c r="L456" s="666">
        <f t="shared" si="38"/>
        <v>0</v>
      </c>
      <c r="M456" s="672">
        <v>0</v>
      </c>
      <c r="N456" s="668">
        <f t="shared" si="39"/>
        <v>0</v>
      </c>
      <c r="O456" s="676"/>
      <c r="P456" s="676"/>
    </row>
    <row r="457" spans="1:16" s="677" customFormat="1" ht="33" hidden="1" customHeight="1">
      <c r="A457" s="662"/>
      <c r="B457" s="663" t="s">
        <v>1640</v>
      </c>
      <c r="C457" s="675">
        <f>[8]Data!AG353</f>
        <v>6905.34</v>
      </c>
      <c r="D457" s="674" t="s">
        <v>235</v>
      </c>
      <c r="E457" s="659"/>
      <c r="F457" s="666">
        <f t="shared" si="35"/>
        <v>0</v>
      </c>
      <c r="G457" s="666"/>
      <c r="H457" s="666"/>
      <c r="I457" s="666">
        <f t="shared" si="36"/>
        <v>0</v>
      </c>
      <c r="J457" s="666"/>
      <c r="K457" s="665">
        <f t="shared" si="37"/>
        <v>0</v>
      </c>
      <c r="L457" s="666">
        <f t="shared" si="38"/>
        <v>0</v>
      </c>
      <c r="M457" s="672">
        <v>0</v>
      </c>
      <c r="N457" s="668">
        <f t="shared" si="39"/>
        <v>0</v>
      </c>
      <c r="O457" s="676"/>
      <c r="P457" s="676"/>
    </row>
    <row r="458" spans="1:16" s="677" customFormat="1" ht="33" hidden="1" customHeight="1">
      <c r="A458" s="662"/>
      <c r="B458" s="663" t="s">
        <v>1641</v>
      </c>
      <c r="C458" s="675">
        <f>[8]Data!AG354</f>
        <v>7042.54</v>
      </c>
      <c r="D458" s="674" t="s">
        <v>235</v>
      </c>
      <c r="E458" s="659"/>
      <c r="F458" s="666">
        <f t="shared" si="35"/>
        <v>0</v>
      </c>
      <c r="G458" s="666"/>
      <c r="H458" s="666"/>
      <c r="I458" s="666">
        <f t="shared" si="36"/>
        <v>0</v>
      </c>
      <c r="J458" s="666"/>
      <c r="K458" s="665">
        <f t="shared" si="37"/>
        <v>0</v>
      </c>
      <c r="L458" s="666">
        <f t="shared" si="38"/>
        <v>0</v>
      </c>
      <c r="M458" s="672">
        <v>0</v>
      </c>
      <c r="N458" s="668">
        <f t="shared" si="39"/>
        <v>0</v>
      </c>
      <c r="O458" s="676"/>
      <c r="P458" s="676"/>
    </row>
    <row r="459" spans="1:16" s="677" customFormat="1" ht="33" hidden="1" customHeight="1">
      <c r="A459" s="662"/>
      <c r="B459" s="735" t="s">
        <v>1642</v>
      </c>
      <c r="C459" s="675">
        <f>[8]Data!AG355</f>
        <v>7179.74</v>
      </c>
      <c r="D459" s="674" t="s">
        <v>235</v>
      </c>
      <c r="E459" s="659"/>
      <c r="F459" s="666">
        <f t="shared" si="35"/>
        <v>0</v>
      </c>
      <c r="G459" s="666"/>
      <c r="H459" s="666"/>
      <c r="I459" s="666">
        <f t="shared" si="36"/>
        <v>0</v>
      </c>
      <c r="J459" s="666"/>
      <c r="K459" s="665">
        <f t="shared" si="37"/>
        <v>0</v>
      </c>
      <c r="L459" s="666">
        <f t="shared" si="38"/>
        <v>0</v>
      </c>
      <c r="M459" s="672">
        <v>0</v>
      </c>
      <c r="N459" s="668">
        <f t="shared" si="39"/>
        <v>0</v>
      </c>
      <c r="O459" s="676"/>
      <c r="P459" s="676"/>
    </row>
    <row r="460" spans="1:16" s="677" customFormat="1" ht="33" hidden="1" customHeight="1">
      <c r="A460" s="662"/>
      <c r="B460" s="735" t="s">
        <v>1643</v>
      </c>
      <c r="C460" s="675">
        <f>[8]Data!AG356</f>
        <v>7316.94</v>
      </c>
      <c r="D460" s="674" t="s">
        <v>235</v>
      </c>
      <c r="E460" s="659"/>
      <c r="F460" s="666">
        <f t="shared" si="35"/>
        <v>0</v>
      </c>
      <c r="G460" s="666"/>
      <c r="H460" s="666"/>
      <c r="I460" s="666">
        <f t="shared" si="36"/>
        <v>0</v>
      </c>
      <c r="J460" s="666"/>
      <c r="K460" s="665">
        <f t="shared" si="37"/>
        <v>0</v>
      </c>
      <c r="L460" s="666">
        <f t="shared" si="38"/>
        <v>0</v>
      </c>
      <c r="M460" s="672">
        <v>0</v>
      </c>
      <c r="N460" s="668">
        <f t="shared" si="39"/>
        <v>0</v>
      </c>
      <c r="O460" s="676"/>
      <c r="P460" s="676"/>
    </row>
    <row r="461" spans="1:16" s="677" customFormat="1" ht="33" hidden="1" customHeight="1">
      <c r="A461" s="662"/>
      <c r="B461" s="735" t="s">
        <v>1644</v>
      </c>
      <c r="C461" s="675">
        <f>[8]Data!AG357</f>
        <v>7454.14</v>
      </c>
      <c r="D461" s="674"/>
      <c r="E461" s="659"/>
      <c r="F461" s="666">
        <f t="shared" si="35"/>
        <v>0</v>
      </c>
      <c r="G461" s="666"/>
      <c r="H461" s="666"/>
      <c r="I461" s="666">
        <f t="shared" si="36"/>
        <v>0</v>
      </c>
      <c r="J461" s="666"/>
      <c r="K461" s="665">
        <f t="shared" si="37"/>
        <v>0</v>
      </c>
      <c r="L461" s="666">
        <f t="shared" si="38"/>
        <v>0</v>
      </c>
      <c r="M461" s="672">
        <v>0</v>
      </c>
      <c r="N461" s="668">
        <f t="shared" si="39"/>
        <v>0</v>
      </c>
      <c r="O461" s="676"/>
      <c r="P461" s="676"/>
    </row>
    <row r="462" spans="1:16" s="677" customFormat="1" ht="68.25" hidden="1" customHeight="1">
      <c r="A462" s="662">
        <v>10.199999999999999</v>
      </c>
      <c r="B462" s="685" t="s">
        <v>1439</v>
      </c>
      <c r="C462" s="675"/>
      <c r="D462" s="674"/>
      <c r="E462" s="659"/>
      <c r="F462" s="666">
        <f t="shared" si="35"/>
        <v>0</v>
      </c>
      <c r="G462" s="666"/>
      <c r="H462" s="666"/>
      <c r="I462" s="666">
        <f t="shared" si="36"/>
        <v>0</v>
      </c>
      <c r="J462" s="666"/>
      <c r="K462" s="665">
        <f t="shared" si="37"/>
        <v>0</v>
      </c>
      <c r="L462" s="666">
        <f t="shared" si="38"/>
        <v>0</v>
      </c>
      <c r="M462" s="672">
        <v>0</v>
      </c>
      <c r="N462" s="668">
        <f t="shared" si="39"/>
        <v>0</v>
      </c>
      <c r="O462" s="676"/>
      <c r="P462" s="676"/>
    </row>
    <row r="463" spans="1:16" s="677" customFormat="1" ht="33" hidden="1" customHeight="1">
      <c r="A463" s="662"/>
      <c r="B463" s="663" t="s">
        <v>1639</v>
      </c>
      <c r="C463" s="675">
        <f>[8]Data!AG416</f>
        <v>842.28</v>
      </c>
      <c r="D463" s="674" t="s">
        <v>235</v>
      </c>
      <c r="E463" s="659"/>
      <c r="F463" s="666">
        <f t="shared" si="35"/>
        <v>0</v>
      </c>
      <c r="G463" s="666"/>
      <c r="H463" s="666"/>
      <c r="I463" s="666">
        <f t="shared" si="36"/>
        <v>0</v>
      </c>
      <c r="J463" s="666"/>
      <c r="K463" s="665">
        <f t="shared" si="37"/>
        <v>0</v>
      </c>
      <c r="L463" s="666">
        <f t="shared" si="38"/>
        <v>0</v>
      </c>
      <c r="M463" s="672">
        <v>0</v>
      </c>
      <c r="N463" s="668">
        <f t="shared" si="39"/>
        <v>0</v>
      </c>
      <c r="O463" s="676"/>
      <c r="P463" s="676"/>
    </row>
    <row r="464" spans="1:16" s="677" customFormat="1" ht="33" hidden="1" customHeight="1">
      <c r="A464" s="662"/>
      <c r="B464" s="663" t="s">
        <v>1640</v>
      </c>
      <c r="C464" s="675">
        <f>[8]Data!AG417</f>
        <v>857.92</v>
      </c>
      <c r="D464" s="674" t="s">
        <v>235</v>
      </c>
      <c r="E464" s="659"/>
      <c r="F464" s="666">
        <f t="shared" si="35"/>
        <v>0</v>
      </c>
      <c r="G464" s="666"/>
      <c r="H464" s="666"/>
      <c r="I464" s="666">
        <f t="shared" si="36"/>
        <v>0</v>
      </c>
      <c r="J464" s="666"/>
      <c r="K464" s="665">
        <f t="shared" si="37"/>
        <v>0</v>
      </c>
      <c r="L464" s="666">
        <f t="shared" si="38"/>
        <v>0</v>
      </c>
      <c r="M464" s="672">
        <v>0</v>
      </c>
      <c r="N464" s="668">
        <f t="shared" si="39"/>
        <v>0</v>
      </c>
      <c r="O464" s="676"/>
      <c r="P464" s="676"/>
    </row>
    <row r="465" spans="1:16" ht="35.25" hidden="1" customHeight="1">
      <c r="A465" s="662"/>
      <c r="B465" s="663" t="s">
        <v>1641</v>
      </c>
      <c r="C465" s="667"/>
      <c r="D465" s="663" t="s">
        <v>235</v>
      </c>
      <c r="E465" s="665"/>
      <c r="F465" s="666">
        <f t="shared" si="35"/>
        <v>0</v>
      </c>
      <c r="G465" s="666"/>
      <c r="H465" s="666"/>
      <c r="I465" s="666">
        <f t="shared" si="36"/>
        <v>0</v>
      </c>
      <c r="J465" s="666"/>
      <c r="K465" s="665">
        <f t="shared" si="37"/>
        <v>0</v>
      </c>
      <c r="L465" s="666">
        <f t="shared" si="38"/>
        <v>0</v>
      </c>
      <c r="M465" s="672">
        <v>0</v>
      </c>
      <c r="N465" s="668">
        <f t="shared" si="39"/>
        <v>0</v>
      </c>
    </row>
    <row r="466" spans="1:16" s="677" customFormat="1" ht="33" hidden="1" customHeight="1">
      <c r="A466" s="662"/>
      <c r="B466" s="735" t="s">
        <v>1642</v>
      </c>
      <c r="C466" s="675">
        <f>[8]Data!AG419</f>
        <v>889.2</v>
      </c>
      <c r="D466" s="674" t="s">
        <v>235</v>
      </c>
      <c r="E466" s="659"/>
      <c r="F466" s="666">
        <f t="shared" si="35"/>
        <v>0</v>
      </c>
      <c r="G466" s="666"/>
      <c r="H466" s="666"/>
      <c r="I466" s="666">
        <f t="shared" si="36"/>
        <v>0</v>
      </c>
      <c r="J466" s="666"/>
      <c r="K466" s="665">
        <f t="shared" si="37"/>
        <v>0</v>
      </c>
      <c r="L466" s="666">
        <f t="shared" si="38"/>
        <v>0</v>
      </c>
      <c r="M466" s="672">
        <v>0</v>
      </c>
      <c r="N466" s="668">
        <f t="shared" si="39"/>
        <v>0</v>
      </c>
      <c r="O466" s="676"/>
      <c r="P466" s="676"/>
    </row>
    <row r="467" spans="1:16" s="677" customFormat="1" ht="33" hidden="1" customHeight="1">
      <c r="A467" s="662"/>
      <c r="B467" s="735" t="s">
        <v>1643</v>
      </c>
      <c r="C467" s="675">
        <f>[8]Data!AG420</f>
        <v>904.84</v>
      </c>
      <c r="D467" s="674" t="s">
        <v>235</v>
      </c>
      <c r="E467" s="659"/>
      <c r="F467" s="666">
        <f t="shared" si="35"/>
        <v>0</v>
      </c>
      <c r="G467" s="666"/>
      <c r="H467" s="666"/>
      <c r="I467" s="666">
        <f t="shared" si="36"/>
        <v>0</v>
      </c>
      <c r="J467" s="666"/>
      <c r="K467" s="665">
        <f t="shared" si="37"/>
        <v>0</v>
      </c>
      <c r="L467" s="666">
        <f t="shared" si="38"/>
        <v>0</v>
      </c>
      <c r="M467" s="672">
        <v>0</v>
      </c>
      <c r="N467" s="668">
        <f t="shared" si="39"/>
        <v>0</v>
      </c>
      <c r="O467" s="676"/>
      <c r="P467" s="676"/>
    </row>
    <row r="468" spans="1:16" s="677" customFormat="1" ht="62.25" hidden="1" customHeight="1">
      <c r="A468" s="662">
        <v>11.2</v>
      </c>
      <c r="B468" s="685" t="s">
        <v>1446</v>
      </c>
      <c r="C468" s="675"/>
      <c r="D468" s="674"/>
      <c r="E468" s="659"/>
      <c r="F468" s="666">
        <f t="shared" si="35"/>
        <v>0</v>
      </c>
      <c r="G468" s="666"/>
      <c r="H468" s="666"/>
      <c r="I468" s="666">
        <f t="shared" si="36"/>
        <v>0</v>
      </c>
      <c r="J468" s="666"/>
      <c r="K468" s="665">
        <f t="shared" si="37"/>
        <v>0</v>
      </c>
      <c r="L468" s="666">
        <f t="shared" si="38"/>
        <v>0</v>
      </c>
      <c r="M468" s="672">
        <v>0</v>
      </c>
      <c r="N468" s="668">
        <f t="shared" si="39"/>
        <v>0</v>
      </c>
      <c r="O468" s="676"/>
      <c r="P468" s="676"/>
    </row>
    <row r="469" spans="1:16" s="677" customFormat="1" ht="33" hidden="1" customHeight="1">
      <c r="A469" s="662"/>
      <c r="B469" s="663" t="s">
        <v>1639</v>
      </c>
      <c r="C469" s="675">
        <f>[8]Data!AG455</f>
        <v>604.16999999999996</v>
      </c>
      <c r="D469" s="674" t="s">
        <v>37</v>
      </c>
      <c r="E469" s="659"/>
      <c r="F469" s="666">
        <f t="shared" si="35"/>
        <v>0</v>
      </c>
      <c r="G469" s="666"/>
      <c r="H469" s="666"/>
      <c r="I469" s="666">
        <f t="shared" si="36"/>
        <v>0</v>
      </c>
      <c r="J469" s="666"/>
      <c r="K469" s="665">
        <f t="shared" si="37"/>
        <v>0</v>
      </c>
      <c r="L469" s="666">
        <f t="shared" si="38"/>
        <v>0</v>
      </c>
      <c r="M469" s="672">
        <v>0</v>
      </c>
      <c r="N469" s="668">
        <f t="shared" si="39"/>
        <v>0</v>
      </c>
      <c r="O469" s="676"/>
      <c r="P469" s="676"/>
    </row>
    <row r="470" spans="1:16" s="677" customFormat="1" ht="33" hidden="1" customHeight="1">
      <c r="A470" s="662"/>
      <c r="B470" s="663" t="s">
        <v>1640</v>
      </c>
      <c r="C470" s="675">
        <f>[8]Data!AG456</f>
        <v>614.46</v>
      </c>
      <c r="D470" s="674" t="s">
        <v>37</v>
      </c>
      <c r="E470" s="659"/>
      <c r="F470" s="666">
        <f t="shared" si="35"/>
        <v>0</v>
      </c>
      <c r="G470" s="666"/>
      <c r="H470" s="666"/>
      <c r="I470" s="666">
        <f t="shared" si="36"/>
        <v>0</v>
      </c>
      <c r="J470" s="666"/>
      <c r="K470" s="665">
        <f t="shared" si="37"/>
        <v>0</v>
      </c>
      <c r="L470" s="666">
        <f t="shared" si="38"/>
        <v>0</v>
      </c>
      <c r="M470" s="672">
        <v>0</v>
      </c>
      <c r="N470" s="668">
        <f t="shared" si="39"/>
        <v>0</v>
      </c>
      <c r="O470" s="676"/>
      <c r="P470" s="676"/>
    </row>
    <row r="471" spans="1:16" s="677" customFormat="1" ht="33" hidden="1" customHeight="1">
      <c r="A471" s="662"/>
      <c r="B471" s="663" t="s">
        <v>1641</v>
      </c>
      <c r="C471" s="675">
        <f>[8]Data!AG457</f>
        <v>624.75</v>
      </c>
      <c r="D471" s="674" t="s">
        <v>37</v>
      </c>
      <c r="E471" s="659"/>
      <c r="F471" s="666">
        <f t="shared" si="35"/>
        <v>0</v>
      </c>
      <c r="G471" s="666"/>
      <c r="H471" s="666"/>
      <c r="I471" s="666">
        <f t="shared" si="36"/>
        <v>0</v>
      </c>
      <c r="J471" s="666"/>
      <c r="K471" s="665">
        <f t="shared" si="37"/>
        <v>0</v>
      </c>
      <c r="L471" s="666">
        <f t="shared" si="38"/>
        <v>0</v>
      </c>
      <c r="M471" s="672">
        <v>0</v>
      </c>
      <c r="N471" s="668">
        <f t="shared" si="39"/>
        <v>0</v>
      </c>
      <c r="O471" s="676"/>
      <c r="P471" s="676"/>
    </row>
    <row r="472" spans="1:16" s="677" customFormat="1" ht="33" hidden="1" customHeight="1">
      <c r="A472" s="662"/>
      <c r="B472" s="735" t="s">
        <v>1646</v>
      </c>
      <c r="C472" s="675">
        <f>[8]Data!AG458</f>
        <v>635.04</v>
      </c>
      <c r="D472" s="674" t="s">
        <v>37</v>
      </c>
      <c r="E472" s="659"/>
      <c r="F472" s="666">
        <f t="shared" si="35"/>
        <v>0</v>
      </c>
      <c r="G472" s="666"/>
      <c r="H472" s="666"/>
      <c r="I472" s="666">
        <f t="shared" si="36"/>
        <v>0</v>
      </c>
      <c r="J472" s="666"/>
      <c r="K472" s="665">
        <f t="shared" si="37"/>
        <v>0</v>
      </c>
      <c r="L472" s="666">
        <f t="shared" si="38"/>
        <v>0</v>
      </c>
      <c r="M472" s="672">
        <v>0</v>
      </c>
      <c r="N472" s="668">
        <f t="shared" si="39"/>
        <v>0</v>
      </c>
      <c r="O472" s="676"/>
      <c r="P472" s="676"/>
    </row>
    <row r="473" spans="1:16" s="677" customFormat="1" ht="33" hidden="1" customHeight="1">
      <c r="A473" s="662"/>
      <c r="B473" s="735" t="s">
        <v>1643</v>
      </c>
      <c r="C473" s="675">
        <f>[8]Data!AG459</f>
        <v>645.33000000000004</v>
      </c>
      <c r="D473" s="674" t="s">
        <v>37</v>
      </c>
      <c r="E473" s="659"/>
      <c r="F473" s="666">
        <f t="shared" si="35"/>
        <v>0</v>
      </c>
      <c r="G473" s="666"/>
      <c r="H473" s="666"/>
      <c r="I473" s="666">
        <f t="shared" si="36"/>
        <v>0</v>
      </c>
      <c r="J473" s="666"/>
      <c r="K473" s="665">
        <f t="shared" si="37"/>
        <v>0</v>
      </c>
      <c r="L473" s="666">
        <f t="shared" si="38"/>
        <v>0</v>
      </c>
      <c r="M473" s="672">
        <v>0</v>
      </c>
      <c r="N473" s="668">
        <f t="shared" si="39"/>
        <v>0</v>
      </c>
      <c r="O473" s="676"/>
      <c r="P473" s="676"/>
    </row>
    <row r="474" spans="1:16" s="677" customFormat="1" ht="45" hidden="1" customHeight="1">
      <c r="A474" s="662"/>
      <c r="B474" s="663" t="s">
        <v>1647</v>
      </c>
      <c r="C474" s="675">
        <v>2796.22</v>
      </c>
      <c r="D474" s="674" t="s">
        <v>16</v>
      </c>
      <c r="E474" s="659"/>
      <c r="F474" s="666">
        <f t="shared" si="35"/>
        <v>0</v>
      </c>
      <c r="G474" s="666"/>
      <c r="H474" s="666"/>
      <c r="I474" s="666">
        <f t="shared" si="36"/>
        <v>0</v>
      </c>
      <c r="J474" s="666"/>
      <c r="K474" s="665">
        <f t="shared" si="37"/>
        <v>0</v>
      </c>
      <c r="L474" s="666">
        <f t="shared" si="38"/>
        <v>0</v>
      </c>
      <c r="M474" s="672">
        <v>0</v>
      </c>
      <c r="N474" s="668">
        <f t="shared" si="39"/>
        <v>0</v>
      </c>
      <c r="O474" s="676"/>
      <c r="P474" s="676"/>
    </row>
    <row r="475" spans="1:16" s="677" customFormat="1" ht="51.75" hidden="1" customHeight="1">
      <c r="A475" s="662"/>
      <c r="B475" s="735" t="s">
        <v>1648</v>
      </c>
      <c r="C475" s="675">
        <f>[8]Data!R154</f>
        <v>365.68</v>
      </c>
      <c r="D475" s="674" t="s">
        <v>235</v>
      </c>
      <c r="E475" s="659"/>
      <c r="F475" s="666">
        <f t="shared" si="35"/>
        <v>0</v>
      </c>
      <c r="G475" s="666"/>
      <c r="H475" s="666"/>
      <c r="I475" s="666">
        <f t="shared" si="36"/>
        <v>0</v>
      </c>
      <c r="J475" s="666"/>
      <c r="K475" s="665">
        <f t="shared" si="37"/>
        <v>0</v>
      </c>
      <c r="L475" s="666">
        <f t="shared" si="38"/>
        <v>0</v>
      </c>
      <c r="M475" s="672">
        <v>0</v>
      </c>
      <c r="N475" s="668">
        <f t="shared" si="39"/>
        <v>0</v>
      </c>
      <c r="O475" s="676"/>
      <c r="P475" s="676"/>
    </row>
    <row r="476" spans="1:16" ht="41.25" hidden="1" customHeight="1">
      <c r="A476" s="667"/>
      <c r="B476" s="663" t="s">
        <v>630</v>
      </c>
      <c r="C476" s="667">
        <f>[8]Data!K1442</f>
        <v>249.62</v>
      </c>
      <c r="D476" s="663" t="s">
        <v>37</v>
      </c>
      <c r="E476" s="665"/>
      <c r="F476" s="666">
        <f t="shared" si="35"/>
        <v>0</v>
      </c>
      <c r="G476" s="666"/>
      <c r="H476" s="666"/>
      <c r="I476" s="666">
        <f t="shared" si="36"/>
        <v>0</v>
      </c>
      <c r="J476" s="666"/>
      <c r="K476" s="665">
        <f t="shared" si="37"/>
        <v>0</v>
      </c>
      <c r="L476" s="666">
        <f t="shared" si="38"/>
        <v>0</v>
      </c>
      <c r="M476" s="672">
        <v>0</v>
      </c>
      <c r="N476" s="668">
        <f t="shared" si="39"/>
        <v>0</v>
      </c>
    </row>
    <row r="477" spans="1:16" ht="42.75" customHeight="1">
      <c r="A477" s="736"/>
      <c r="B477" s="704" t="s">
        <v>1649</v>
      </c>
      <c r="C477" s="703">
        <f>[8]Data!R144</f>
        <v>546.6</v>
      </c>
      <c r="D477" s="704" t="s">
        <v>16</v>
      </c>
      <c r="E477" s="1402">
        <f>[8]Detailed!H951</f>
        <v>88</v>
      </c>
      <c r="F477" s="666">
        <f t="shared" si="35"/>
        <v>48100.800000000003</v>
      </c>
      <c r="G477" s="666"/>
      <c r="H477" s="666"/>
      <c r="I477" s="666">
        <f t="shared" si="36"/>
        <v>0</v>
      </c>
      <c r="J477" s="666"/>
      <c r="K477" s="665">
        <f t="shared" si="37"/>
        <v>88</v>
      </c>
      <c r="L477" s="666">
        <f t="shared" si="38"/>
        <v>48100.800000000003</v>
      </c>
      <c r="M477" s="672">
        <v>79</v>
      </c>
      <c r="N477" s="668">
        <f t="shared" si="39"/>
        <v>9</v>
      </c>
    </row>
    <row r="478" spans="1:16" ht="48.75" hidden="1" customHeight="1">
      <c r="A478" s="657"/>
      <c r="B478" s="663" t="s">
        <v>1650</v>
      </c>
      <c r="C478" s="675">
        <f>[8]Data!K368</f>
        <v>6545.68</v>
      </c>
      <c r="D478" s="674" t="s">
        <v>16</v>
      </c>
      <c r="E478" s="659"/>
      <c r="F478" s="666">
        <f t="shared" si="35"/>
        <v>0</v>
      </c>
      <c r="G478" s="666"/>
      <c r="H478" s="666"/>
      <c r="I478" s="666">
        <f t="shared" si="36"/>
        <v>0</v>
      </c>
      <c r="J478" s="666"/>
      <c r="K478" s="665">
        <f t="shared" si="37"/>
        <v>0</v>
      </c>
      <c r="L478" s="666">
        <f t="shared" si="38"/>
        <v>0</v>
      </c>
      <c r="M478" s="672">
        <v>0</v>
      </c>
      <c r="N478" s="668">
        <f t="shared" si="39"/>
        <v>0</v>
      </c>
    </row>
    <row r="479" spans="1:16" s="677" customFormat="1" ht="25.5" hidden="1" customHeight="1">
      <c r="A479" s="737"/>
      <c r="B479" s="663" t="s">
        <v>1651</v>
      </c>
      <c r="C479" s="675">
        <f>[8]Data!K369</f>
        <v>6682.88</v>
      </c>
      <c r="D479" s="674" t="s">
        <v>16</v>
      </c>
      <c r="E479" s="659"/>
      <c r="F479" s="666">
        <f t="shared" si="35"/>
        <v>0</v>
      </c>
      <c r="G479" s="666"/>
      <c r="H479" s="666"/>
      <c r="I479" s="666">
        <f t="shared" si="36"/>
        <v>0</v>
      </c>
      <c r="J479" s="666"/>
      <c r="K479" s="665">
        <f t="shared" si="37"/>
        <v>0</v>
      </c>
      <c r="L479" s="666">
        <f t="shared" si="38"/>
        <v>0</v>
      </c>
      <c r="M479" s="672">
        <v>0</v>
      </c>
      <c r="N479" s="668">
        <f t="shared" si="39"/>
        <v>0</v>
      </c>
      <c r="O479" s="676"/>
      <c r="P479" s="676"/>
    </row>
    <row r="480" spans="1:16" ht="65.25" hidden="1" customHeight="1">
      <c r="A480" s="657"/>
      <c r="B480" s="663" t="s">
        <v>1652</v>
      </c>
      <c r="C480" s="675">
        <f>[8]Data!$K$370</f>
        <v>6820.08</v>
      </c>
      <c r="D480" s="674" t="s">
        <v>16</v>
      </c>
      <c r="E480" s="659"/>
      <c r="F480" s="666">
        <f t="shared" si="35"/>
        <v>0</v>
      </c>
      <c r="G480" s="666"/>
      <c r="H480" s="666"/>
      <c r="I480" s="666">
        <f t="shared" si="36"/>
        <v>0</v>
      </c>
      <c r="J480" s="666"/>
      <c r="K480" s="665">
        <f t="shared" si="37"/>
        <v>0</v>
      </c>
      <c r="L480" s="666">
        <f t="shared" si="38"/>
        <v>0</v>
      </c>
      <c r="M480" s="672">
        <v>0</v>
      </c>
      <c r="N480" s="668">
        <f t="shared" si="39"/>
        <v>0</v>
      </c>
    </row>
    <row r="481" spans="1:16" ht="64.5" hidden="1" customHeight="1">
      <c r="A481" s="657"/>
      <c r="B481" s="674" t="s">
        <v>1653</v>
      </c>
      <c r="C481" s="675">
        <f>[8]Data!K371</f>
        <v>6957.28</v>
      </c>
      <c r="D481" s="674" t="s">
        <v>16</v>
      </c>
      <c r="E481" s="659"/>
      <c r="F481" s="666">
        <f t="shared" si="35"/>
        <v>0</v>
      </c>
      <c r="G481" s="666"/>
      <c r="H481" s="666"/>
      <c r="I481" s="666">
        <f t="shared" si="36"/>
        <v>0</v>
      </c>
      <c r="J481" s="666"/>
      <c r="K481" s="665">
        <f t="shared" si="37"/>
        <v>0</v>
      </c>
      <c r="L481" s="666">
        <f t="shared" si="38"/>
        <v>0</v>
      </c>
      <c r="M481" s="672">
        <v>0</v>
      </c>
      <c r="N481" s="668">
        <f t="shared" si="39"/>
        <v>0</v>
      </c>
    </row>
    <row r="482" spans="1:16" s="677" customFormat="1" ht="46.5" hidden="1" customHeight="1">
      <c r="A482" s="690"/>
      <c r="B482" s="663" t="s">
        <v>1654</v>
      </c>
      <c r="C482" s="675">
        <f>[8]Data!X88</f>
        <v>138.83000000000001</v>
      </c>
      <c r="D482" s="674"/>
      <c r="E482" s="659"/>
      <c r="F482" s="666">
        <f t="shared" si="35"/>
        <v>0</v>
      </c>
      <c r="G482" s="666"/>
      <c r="H482" s="666"/>
      <c r="I482" s="666">
        <f t="shared" si="36"/>
        <v>0</v>
      </c>
      <c r="J482" s="666"/>
      <c r="K482" s="665">
        <f t="shared" si="37"/>
        <v>0</v>
      </c>
      <c r="L482" s="666">
        <f t="shared" si="38"/>
        <v>0</v>
      </c>
      <c r="M482" s="672">
        <v>0</v>
      </c>
      <c r="N482" s="668">
        <f t="shared" si="39"/>
        <v>0</v>
      </c>
      <c r="O482" s="676"/>
      <c r="P482" s="676"/>
    </row>
    <row r="483" spans="1:16" s="677" customFormat="1" ht="57" hidden="1" customHeight="1">
      <c r="A483" s="690"/>
      <c r="B483" s="663" t="s">
        <v>1655</v>
      </c>
      <c r="C483" s="675">
        <f>[8]Data!X118</f>
        <v>64.5</v>
      </c>
      <c r="D483" s="674"/>
      <c r="E483" s="659"/>
      <c r="F483" s="666">
        <f t="shared" si="35"/>
        <v>0</v>
      </c>
      <c r="G483" s="666"/>
      <c r="H483" s="666"/>
      <c r="I483" s="666">
        <f t="shared" si="36"/>
        <v>0</v>
      </c>
      <c r="J483" s="666"/>
      <c r="K483" s="665">
        <f t="shared" si="37"/>
        <v>0</v>
      </c>
      <c r="L483" s="666">
        <f t="shared" si="38"/>
        <v>0</v>
      </c>
      <c r="M483" s="672">
        <v>0</v>
      </c>
      <c r="N483" s="668">
        <f t="shared" si="39"/>
        <v>0</v>
      </c>
      <c r="O483" s="676"/>
      <c r="P483" s="676"/>
    </row>
    <row r="484" spans="1:16" s="677" customFormat="1" ht="60" hidden="1" customHeight="1">
      <c r="A484" s="690"/>
      <c r="B484" s="663" t="s">
        <v>1656</v>
      </c>
      <c r="C484" s="675">
        <f>[8]Data!X133</f>
        <v>96.75</v>
      </c>
      <c r="D484" s="674"/>
      <c r="E484" s="659"/>
      <c r="F484" s="666">
        <f t="shared" si="35"/>
        <v>0</v>
      </c>
      <c r="G484" s="666"/>
      <c r="H484" s="666"/>
      <c r="I484" s="666">
        <f t="shared" si="36"/>
        <v>0</v>
      </c>
      <c r="J484" s="666"/>
      <c r="K484" s="665">
        <f t="shared" si="37"/>
        <v>0</v>
      </c>
      <c r="L484" s="666">
        <f t="shared" si="38"/>
        <v>0</v>
      </c>
      <c r="M484" s="672">
        <v>0</v>
      </c>
      <c r="N484" s="668">
        <f t="shared" si="39"/>
        <v>0</v>
      </c>
      <c r="O484" s="676"/>
      <c r="P484" s="676"/>
    </row>
    <row r="485" spans="1:16" s="677" customFormat="1" ht="25.5" hidden="1" customHeight="1">
      <c r="A485" s="662">
        <v>8.4</v>
      </c>
      <c r="B485" s="685" t="s">
        <v>1657</v>
      </c>
      <c r="C485" s="675"/>
      <c r="D485" s="674"/>
      <c r="E485" s="659"/>
      <c r="F485" s="666">
        <f t="shared" si="35"/>
        <v>0</v>
      </c>
      <c r="G485" s="666"/>
      <c r="H485" s="666"/>
      <c r="I485" s="666">
        <f t="shared" si="36"/>
        <v>0</v>
      </c>
      <c r="J485" s="666"/>
      <c r="K485" s="665">
        <f t="shared" si="37"/>
        <v>0</v>
      </c>
      <c r="L485" s="666">
        <f t="shared" si="38"/>
        <v>0</v>
      </c>
      <c r="M485" s="672">
        <v>0</v>
      </c>
      <c r="N485" s="668">
        <f t="shared" si="39"/>
        <v>0</v>
      </c>
      <c r="O485" s="676"/>
      <c r="P485" s="676"/>
    </row>
    <row r="486" spans="1:16" s="677" customFormat="1" ht="25.5" hidden="1" customHeight="1">
      <c r="A486" s="662"/>
      <c r="B486" s="663" t="s">
        <v>1635</v>
      </c>
      <c r="C486" s="675">
        <f>ROUND([8]Data!K2911,2)</f>
        <v>7021.07</v>
      </c>
      <c r="D486" s="674" t="s">
        <v>16</v>
      </c>
      <c r="E486" s="659"/>
      <c r="F486" s="666">
        <f t="shared" si="35"/>
        <v>0</v>
      </c>
      <c r="G486" s="666"/>
      <c r="H486" s="666"/>
      <c r="I486" s="666">
        <f t="shared" si="36"/>
        <v>0</v>
      </c>
      <c r="J486" s="666"/>
      <c r="K486" s="665">
        <f t="shared" si="37"/>
        <v>0</v>
      </c>
      <c r="L486" s="666">
        <f t="shared" si="38"/>
        <v>0</v>
      </c>
      <c r="M486" s="672">
        <v>0</v>
      </c>
      <c r="N486" s="668">
        <f t="shared" si="39"/>
        <v>0</v>
      </c>
      <c r="O486" s="676"/>
      <c r="P486" s="676"/>
    </row>
    <row r="487" spans="1:16" s="677" customFormat="1" ht="25.5" hidden="1" customHeight="1">
      <c r="A487" s="662"/>
      <c r="B487" s="663" t="s">
        <v>1630</v>
      </c>
      <c r="C487" s="675">
        <f>ROUND([8]Data!K2913,2)</f>
        <v>7124.37</v>
      </c>
      <c r="D487" s="674" t="s">
        <v>16</v>
      </c>
      <c r="E487" s="659"/>
      <c r="F487" s="666">
        <f t="shared" si="35"/>
        <v>0</v>
      </c>
      <c r="G487" s="666"/>
      <c r="H487" s="666"/>
      <c r="I487" s="666">
        <f t="shared" si="36"/>
        <v>0</v>
      </c>
      <c r="J487" s="666"/>
      <c r="K487" s="665">
        <f t="shared" si="37"/>
        <v>0</v>
      </c>
      <c r="L487" s="666">
        <f t="shared" si="38"/>
        <v>0</v>
      </c>
      <c r="M487" s="672">
        <v>0</v>
      </c>
      <c r="N487" s="668">
        <f t="shared" si="39"/>
        <v>0</v>
      </c>
      <c r="O487" s="676"/>
      <c r="P487" s="676"/>
    </row>
    <row r="488" spans="1:16" s="677" customFormat="1" ht="25.5" hidden="1" customHeight="1">
      <c r="A488" s="662"/>
      <c r="B488" s="663" t="s">
        <v>1658</v>
      </c>
      <c r="C488" s="675">
        <f>ROUND([8]Data!K2914,2)</f>
        <v>7327.87</v>
      </c>
      <c r="D488" s="674" t="s">
        <v>16</v>
      </c>
      <c r="E488" s="659"/>
      <c r="F488" s="666">
        <f t="shared" si="35"/>
        <v>0</v>
      </c>
      <c r="G488" s="666"/>
      <c r="H488" s="666"/>
      <c r="I488" s="666">
        <f t="shared" si="36"/>
        <v>0</v>
      </c>
      <c r="J488" s="666"/>
      <c r="K488" s="665">
        <f t="shared" si="37"/>
        <v>0</v>
      </c>
      <c r="L488" s="666">
        <f t="shared" si="38"/>
        <v>0</v>
      </c>
      <c r="M488" s="672">
        <v>0</v>
      </c>
      <c r="N488" s="668">
        <f t="shared" si="39"/>
        <v>0</v>
      </c>
      <c r="O488" s="676"/>
      <c r="P488" s="676"/>
    </row>
    <row r="489" spans="1:16" s="677" customFormat="1" ht="25.5" hidden="1" customHeight="1">
      <c r="A489" s="690"/>
      <c r="B489" s="663" t="s">
        <v>1659</v>
      </c>
      <c r="C489" s="660">
        <f>ROUND([8]Data!K2915,2)</f>
        <v>7531.37</v>
      </c>
      <c r="D489" s="674" t="s">
        <v>16</v>
      </c>
      <c r="E489" s="659"/>
      <c r="F489" s="666">
        <f t="shared" si="35"/>
        <v>0</v>
      </c>
      <c r="G489" s="666"/>
      <c r="H489" s="666"/>
      <c r="I489" s="666">
        <f t="shared" si="36"/>
        <v>0</v>
      </c>
      <c r="J489" s="666"/>
      <c r="K489" s="665">
        <f t="shared" si="37"/>
        <v>0</v>
      </c>
      <c r="L489" s="666">
        <f t="shared" si="38"/>
        <v>0</v>
      </c>
      <c r="M489" s="672">
        <v>0</v>
      </c>
      <c r="N489" s="668">
        <f t="shared" si="39"/>
        <v>0</v>
      </c>
      <c r="O489" s="676"/>
      <c r="P489" s="676"/>
    </row>
    <row r="490" spans="1:16" s="677" customFormat="1" ht="46.5" hidden="1" customHeight="1">
      <c r="A490" s="662">
        <v>8.5</v>
      </c>
      <c r="B490" s="685" t="s">
        <v>1660</v>
      </c>
      <c r="C490" s="675"/>
      <c r="D490" s="674"/>
      <c r="E490" s="659"/>
      <c r="F490" s="666">
        <f t="shared" si="35"/>
        <v>0</v>
      </c>
      <c r="G490" s="666"/>
      <c r="H490" s="666"/>
      <c r="I490" s="666">
        <f t="shared" si="36"/>
        <v>0</v>
      </c>
      <c r="J490" s="666"/>
      <c r="K490" s="665">
        <f t="shared" si="37"/>
        <v>0</v>
      </c>
      <c r="L490" s="666">
        <f t="shared" si="38"/>
        <v>0</v>
      </c>
      <c r="M490" s="672">
        <v>0</v>
      </c>
      <c r="N490" s="668">
        <f t="shared" si="39"/>
        <v>0</v>
      </c>
      <c r="O490" s="676"/>
      <c r="P490" s="676"/>
    </row>
    <row r="491" spans="1:16" s="677" customFormat="1" ht="25.5" hidden="1" customHeight="1">
      <c r="A491" s="662"/>
      <c r="B491" s="663" t="s">
        <v>1661</v>
      </c>
      <c r="C491" s="675">
        <f>ROUND([8]Data!K2931,2)</f>
        <v>618.14</v>
      </c>
      <c r="D491" s="674" t="s">
        <v>61</v>
      </c>
      <c r="E491" s="659"/>
      <c r="F491" s="666">
        <f t="shared" si="35"/>
        <v>0</v>
      </c>
      <c r="G491" s="666"/>
      <c r="H491" s="666"/>
      <c r="I491" s="666">
        <f t="shared" si="36"/>
        <v>0</v>
      </c>
      <c r="J491" s="666"/>
      <c r="K491" s="665">
        <f t="shared" si="37"/>
        <v>0</v>
      </c>
      <c r="L491" s="666">
        <f t="shared" si="38"/>
        <v>0</v>
      </c>
      <c r="M491" s="672">
        <v>0</v>
      </c>
      <c r="N491" s="668">
        <f t="shared" si="39"/>
        <v>0</v>
      </c>
      <c r="O491" s="676"/>
      <c r="P491" s="676"/>
    </row>
    <row r="492" spans="1:16" s="677" customFormat="1" ht="25.5" hidden="1" customHeight="1">
      <c r="A492" s="662"/>
      <c r="B492" s="663" t="s">
        <v>1662</v>
      </c>
      <c r="C492" s="675">
        <f>ROUND([8]Data!K2940,2)</f>
        <v>621.63</v>
      </c>
      <c r="D492" s="674" t="s">
        <v>61</v>
      </c>
      <c r="E492" s="659"/>
      <c r="F492" s="666">
        <f t="shared" si="35"/>
        <v>0</v>
      </c>
      <c r="G492" s="666"/>
      <c r="H492" s="666"/>
      <c r="I492" s="666">
        <f t="shared" si="36"/>
        <v>0</v>
      </c>
      <c r="J492" s="666"/>
      <c r="K492" s="665">
        <f t="shared" si="37"/>
        <v>0</v>
      </c>
      <c r="L492" s="666">
        <f t="shared" si="38"/>
        <v>0</v>
      </c>
      <c r="M492" s="672">
        <v>0</v>
      </c>
      <c r="N492" s="668">
        <f t="shared" si="39"/>
        <v>0</v>
      </c>
      <c r="O492" s="676"/>
      <c r="P492" s="676"/>
    </row>
    <row r="493" spans="1:16" s="677" customFormat="1" ht="25.5" hidden="1" customHeight="1">
      <c r="A493" s="662"/>
      <c r="B493" s="663" t="s">
        <v>1663</v>
      </c>
      <c r="C493" s="675">
        <f>ROUND([8]Data!K2950,2)</f>
        <v>625.12</v>
      </c>
      <c r="D493" s="674" t="s">
        <v>61</v>
      </c>
      <c r="E493" s="659"/>
      <c r="F493" s="666">
        <f t="shared" si="35"/>
        <v>0</v>
      </c>
      <c r="G493" s="666"/>
      <c r="H493" s="666"/>
      <c r="I493" s="666">
        <f t="shared" si="36"/>
        <v>0</v>
      </c>
      <c r="J493" s="666"/>
      <c r="K493" s="665">
        <f t="shared" si="37"/>
        <v>0</v>
      </c>
      <c r="L493" s="666">
        <f t="shared" si="38"/>
        <v>0</v>
      </c>
      <c r="M493" s="672">
        <v>0</v>
      </c>
      <c r="N493" s="668">
        <f t="shared" si="39"/>
        <v>0</v>
      </c>
      <c r="O493" s="676"/>
      <c r="P493" s="676"/>
    </row>
    <row r="494" spans="1:16" s="677" customFormat="1" ht="51" hidden="1" customHeight="1">
      <c r="A494" s="662" t="s">
        <v>1664</v>
      </c>
      <c r="B494" s="685" t="s">
        <v>1665</v>
      </c>
      <c r="C494" s="675"/>
      <c r="D494" s="674"/>
      <c r="E494" s="659"/>
      <c r="F494" s="666">
        <f t="shared" si="35"/>
        <v>0</v>
      </c>
      <c r="G494" s="666"/>
      <c r="H494" s="666"/>
      <c r="I494" s="666">
        <f t="shared" si="36"/>
        <v>0</v>
      </c>
      <c r="J494" s="666"/>
      <c r="K494" s="665">
        <f t="shared" si="37"/>
        <v>0</v>
      </c>
      <c r="L494" s="666">
        <f t="shared" si="38"/>
        <v>0</v>
      </c>
      <c r="M494" s="672">
        <v>0</v>
      </c>
      <c r="N494" s="668">
        <f t="shared" si="39"/>
        <v>0</v>
      </c>
      <c r="O494" s="676"/>
      <c r="P494" s="676"/>
    </row>
    <row r="495" spans="1:16" s="677" customFormat="1" ht="25.5" hidden="1" customHeight="1">
      <c r="A495" s="662"/>
      <c r="B495" s="663" t="s">
        <v>1666</v>
      </c>
      <c r="C495" s="675">
        <f>'[8]pile data ( M20 grade)'!F81</f>
        <v>2674.87</v>
      </c>
      <c r="D495" s="674" t="s">
        <v>61</v>
      </c>
      <c r="E495" s="659"/>
      <c r="F495" s="666">
        <f t="shared" si="35"/>
        <v>0</v>
      </c>
      <c r="G495" s="666"/>
      <c r="H495" s="666"/>
      <c r="I495" s="666">
        <f t="shared" si="36"/>
        <v>0</v>
      </c>
      <c r="J495" s="666"/>
      <c r="K495" s="665">
        <f t="shared" si="37"/>
        <v>0</v>
      </c>
      <c r="L495" s="666">
        <f t="shared" si="38"/>
        <v>0</v>
      </c>
      <c r="M495" s="672">
        <v>0</v>
      </c>
      <c r="N495" s="668">
        <f t="shared" si="39"/>
        <v>0</v>
      </c>
      <c r="O495" s="676"/>
      <c r="P495" s="676"/>
    </row>
    <row r="496" spans="1:16" s="677" customFormat="1" ht="69.75" hidden="1" customHeight="1">
      <c r="A496" s="662"/>
      <c r="B496" s="738" t="s">
        <v>1667</v>
      </c>
      <c r="C496" s="675"/>
      <c r="D496" s="674"/>
      <c r="E496" s="659"/>
      <c r="F496" s="666">
        <f t="shared" si="35"/>
        <v>0</v>
      </c>
      <c r="G496" s="666"/>
      <c r="H496" s="666"/>
      <c r="I496" s="666">
        <f t="shared" si="36"/>
        <v>0</v>
      </c>
      <c r="J496" s="666"/>
      <c r="K496" s="665">
        <f t="shared" si="37"/>
        <v>0</v>
      </c>
      <c r="L496" s="666">
        <f t="shared" si="38"/>
        <v>0</v>
      </c>
      <c r="M496" s="672">
        <v>0</v>
      </c>
      <c r="N496" s="668">
        <f t="shared" si="39"/>
        <v>0</v>
      </c>
      <c r="O496" s="676"/>
      <c r="P496" s="676"/>
    </row>
    <row r="497" spans="1:17" s="677" customFormat="1" ht="25.5" hidden="1" customHeight="1">
      <c r="A497" s="662"/>
      <c r="B497" s="738" t="s">
        <v>1668</v>
      </c>
      <c r="C497" s="739">
        <f>'[8]pile data ( M20 grade)'!F92</f>
        <v>710.92</v>
      </c>
      <c r="D497" s="740" t="s">
        <v>61</v>
      </c>
      <c r="E497" s="1411"/>
      <c r="F497" s="666">
        <f t="shared" si="35"/>
        <v>0</v>
      </c>
      <c r="G497" s="666"/>
      <c r="H497" s="666"/>
      <c r="I497" s="666">
        <f t="shared" si="36"/>
        <v>0</v>
      </c>
      <c r="J497" s="666"/>
      <c r="K497" s="665">
        <f t="shared" si="37"/>
        <v>0</v>
      </c>
      <c r="L497" s="666">
        <f t="shared" si="38"/>
        <v>0</v>
      </c>
      <c r="M497" s="672">
        <v>0</v>
      </c>
      <c r="N497" s="668">
        <f t="shared" si="39"/>
        <v>0</v>
      </c>
      <c r="O497" s="676"/>
      <c r="P497" s="676"/>
    </row>
    <row r="498" spans="1:17" s="677" customFormat="1" ht="46.5" hidden="1" customHeight="1">
      <c r="A498" s="662"/>
      <c r="B498" s="738" t="s">
        <v>1669</v>
      </c>
      <c r="C498" s="739">
        <v>70000</v>
      </c>
      <c r="D498" s="741" t="s">
        <v>4</v>
      </c>
      <c r="E498" s="1412"/>
      <c r="F498" s="666">
        <f t="shared" si="35"/>
        <v>0</v>
      </c>
      <c r="G498" s="666"/>
      <c r="H498" s="666"/>
      <c r="I498" s="666">
        <f t="shared" si="36"/>
        <v>0</v>
      </c>
      <c r="J498" s="666"/>
      <c r="K498" s="665">
        <f t="shared" si="37"/>
        <v>0</v>
      </c>
      <c r="L498" s="666">
        <f t="shared" si="38"/>
        <v>0</v>
      </c>
      <c r="M498" s="672">
        <v>0</v>
      </c>
      <c r="N498" s="668">
        <f t="shared" si="39"/>
        <v>0</v>
      </c>
      <c r="O498" s="676"/>
      <c r="P498" s="676"/>
    </row>
    <row r="499" spans="1:17" s="677" customFormat="1" ht="27" hidden="1" customHeight="1">
      <c r="A499" s="662"/>
      <c r="B499" s="738" t="s">
        <v>1670</v>
      </c>
      <c r="C499" s="739">
        <v>50000</v>
      </c>
      <c r="D499" s="741" t="s">
        <v>1671</v>
      </c>
      <c r="E499" s="1412"/>
      <c r="F499" s="666">
        <f t="shared" si="35"/>
        <v>0</v>
      </c>
      <c r="G499" s="666"/>
      <c r="H499" s="666"/>
      <c r="I499" s="666">
        <f t="shared" si="36"/>
        <v>0</v>
      </c>
      <c r="J499" s="666"/>
      <c r="K499" s="665">
        <f t="shared" si="37"/>
        <v>0</v>
      </c>
      <c r="L499" s="666">
        <f t="shared" si="38"/>
        <v>0</v>
      </c>
      <c r="M499" s="672">
        <v>0</v>
      </c>
      <c r="N499" s="668">
        <f t="shared" si="39"/>
        <v>0</v>
      </c>
      <c r="O499" s="676"/>
      <c r="P499" s="676"/>
    </row>
    <row r="500" spans="1:17" s="677" customFormat="1" ht="37.5" hidden="1" customHeight="1">
      <c r="A500" s="662"/>
      <c r="B500" s="738" t="s">
        <v>1672</v>
      </c>
      <c r="C500" s="739">
        <f>[8]Data!K2448</f>
        <v>690.97</v>
      </c>
      <c r="D500" s="741" t="s">
        <v>37</v>
      </c>
      <c r="E500" s="1412"/>
      <c r="F500" s="666">
        <f t="shared" si="35"/>
        <v>0</v>
      </c>
      <c r="G500" s="666"/>
      <c r="H500" s="666"/>
      <c r="I500" s="666">
        <f t="shared" si="36"/>
        <v>0</v>
      </c>
      <c r="J500" s="666"/>
      <c r="K500" s="665">
        <f t="shared" si="37"/>
        <v>0</v>
      </c>
      <c r="L500" s="666">
        <f t="shared" si="38"/>
        <v>0</v>
      </c>
      <c r="M500" s="672">
        <v>0</v>
      </c>
      <c r="N500" s="668">
        <f t="shared" si="39"/>
        <v>0</v>
      </c>
      <c r="O500" s="676"/>
      <c r="P500" s="676"/>
    </row>
    <row r="501" spans="1:17" ht="45.75" customHeight="1">
      <c r="A501" s="662">
        <v>18.100000000000001</v>
      </c>
      <c r="B501" s="685" t="s">
        <v>549</v>
      </c>
      <c r="C501" s="667"/>
      <c r="D501" s="663"/>
      <c r="E501" s="665"/>
      <c r="F501" s="666">
        <f t="shared" si="35"/>
        <v>0</v>
      </c>
      <c r="G501" s="666"/>
      <c r="H501" s="666"/>
      <c r="I501" s="666">
        <f t="shared" si="36"/>
        <v>0</v>
      </c>
      <c r="J501" s="666"/>
      <c r="K501" s="665">
        <f t="shared" si="37"/>
        <v>0</v>
      </c>
      <c r="L501" s="666">
        <f t="shared" si="38"/>
        <v>0</v>
      </c>
      <c r="M501" s="668">
        <v>0</v>
      </c>
      <c r="N501" s="668">
        <f t="shared" si="39"/>
        <v>0</v>
      </c>
      <c r="O501" s="678"/>
      <c r="Q501" s="679"/>
    </row>
    <row r="502" spans="1:17" ht="63" customHeight="1">
      <c r="A502" s="662"/>
      <c r="B502" s="663" t="s">
        <v>124</v>
      </c>
      <c r="C502" s="667">
        <f>ROUND([8]Data!I2354,2)</f>
        <v>739.38</v>
      </c>
      <c r="D502" s="663" t="s">
        <v>37</v>
      </c>
      <c r="E502" s="665">
        <f>[8]Detailed!H982</f>
        <v>143.80000000000001</v>
      </c>
      <c r="F502" s="666">
        <f t="shared" si="35"/>
        <v>106322.84400000001</v>
      </c>
      <c r="G502" s="666"/>
      <c r="H502" s="666"/>
      <c r="I502" s="666">
        <f t="shared" si="36"/>
        <v>0</v>
      </c>
      <c r="J502" s="666"/>
      <c r="K502" s="665">
        <f t="shared" si="37"/>
        <v>143.80000000000001</v>
      </c>
      <c r="L502" s="666">
        <f t="shared" si="38"/>
        <v>106322.84400000001</v>
      </c>
      <c r="M502" s="672">
        <v>160.9</v>
      </c>
      <c r="N502" s="668">
        <f t="shared" si="39"/>
        <v>-17.099999999999994</v>
      </c>
    </row>
    <row r="503" spans="1:17" ht="93.75" customHeight="1">
      <c r="A503" s="662"/>
      <c r="B503" s="663" t="s">
        <v>31</v>
      </c>
      <c r="C503" s="667">
        <f>ROUND([8]Data!I2356,2)</f>
        <v>831.23</v>
      </c>
      <c r="D503" s="663" t="s">
        <v>37</v>
      </c>
      <c r="E503" s="665">
        <f>[8]Detailed!H1100</f>
        <v>512.5</v>
      </c>
      <c r="F503" s="666">
        <f t="shared" si="35"/>
        <v>426005.375</v>
      </c>
      <c r="G503" s="666"/>
      <c r="H503" s="666"/>
      <c r="I503" s="666">
        <f t="shared" si="36"/>
        <v>0</v>
      </c>
      <c r="J503" s="666"/>
      <c r="K503" s="665">
        <f t="shared" si="37"/>
        <v>512.5</v>
      </c>
      <c r="L503" s="666">
        <f t="shared" si="38"/>
        <v>426005.375</v>
      </c>
      <c r="M503" s="672">
        <v>512.4</v>
      </c>
      <c r="N503" s="668">
        <f t="shared" si="39"/>
        <v>0.10000000000002274</v>
      </c>
    </row>
    <row r="504" spans="1:17" ht="63" customHeight="1">
      <c r="A504" s="666"/>
      <c r="B504" s="663" t="s">
        <v>131</v>
      </c>
      <c r="C504" s="667">
        <f>ROUND([8]Data!I2358,2)</f>
        <v>997.48</v>
      </c>
      <c r="D504" s="663" t="s">
        <v>37</v>
      </c>
      <c r="E504" s="665">
        <f>[8]Detailed!H1149</f>
        <v>206.7</v>
      </c>
      <c r="F504" s="666">
        <f t="shared" si="35"/>
        <v>206179.11599999998</v>
      </c>
      <c r="G504" s="666"/>
      <c r="H504" s="666"/>
      <c r="I504" s="666">
        <f t="shared" si="36"/>
        <v>0</v>
      </c>
      <c r="J504" s="666"/>
      <c r="K504" s="665">
        <f t="shared" si="37"/>
        <v>206.7</v>
      </c>
      <c r="L504" s="666">
        <f t="shared" si="38"/>
        <v>206179.11599999998</v>
      </c>
      <c r="M504" s="672">
        <v>206.7</v>
      </c>
      <c r="N504" s="668">
        <f t="shared" si="39"/>
        <v>0</v>
      </c>
    </row>
    <row r="505" spans="1:17" ht="48" hidden="1" customHeight="1">
      <c r="A505" s="667"/>
      <c r="B505" s="663" t="s">
        <v>1673</v>
      </c>
      <c r="C505" s="667">
        <f>[8]Data!I2360</f>
        <v>914.35</v>
      </c>
      <c r="D505" s="663" t="s">
        <v>37</v>
      </c>
      <c r="E505" s="665"/>
      <c r="F505" s="666">
        <f t="shared" si="35"/>
        <v>0</v>
      </c>
      <c r="G505" s="666"/>
      <c r="H505" s="666"/>
      <c r="I505" s="666">
        <f t="shared" si="36"/>
        <v>0</v>
      </c>
      <c r="J505" s="666"/>
      <c r="K505" s="665">
        <f t="shared" si="37"/>
        <v>0</v>
      </c>
      <c r="L505" s="666">
        <f t="shared" si="38"/>
        <v>0</v>
      </c>
      <c r="M505" s="672">
        <v>0</v>
      </c>
      <c r="N505" s="668">
        <f t="shared" si="39"/>
        <v>0</v>
      </c>
    </row>
    <row r="506" spans="1:17" s="677" customFormat="1" ht="64.5" hidden="1" customHeight="1">
      <c r="A506" s="690"/>
      <c r="B506" s="663" t="s">
        <v>1674</v>
      </c>
      <c r="C506" s="675">
        <f>C504*2</f>
        <v>1994.96</v>
      </c>
      <c r="D506" s="674" t="s">
        <v>37</v>
      </c>
      <c r="E506" s="659"/>
      <c r="F506" s="666">
        <f t="shared" si="35"/>
        <v>0</v>
      </c>
      <c r="G506" s="666"/>
      <c r="H506" s="666"/>
      <c r="I506" s="666">
        <f t="shared" si="36"/>
        <v>0</v>
      </c>
      <c r="J506" s="666"/>
      <c r="K506" s="665">
        <f t="shared" si="37"/>
        <v>0</v>
      </c>
      <c r="L506" s="666">
        <f t="shared" si="38"/>
        <v>0</v>
      </c>
      <c r="M506" s="672">
        <v>0</v>
      </c>
      <c r="N506" s="668">
        <f t="shared" si="39"/>
        <v>0</v>
      </c>
      <c r="O506" s="676"/>
      <c r="P506" s="676"/>
    </row>
    <row r="507" spans="1:17" ht="48" hidden="1" customHeight="1">
      <c r="A507" s="690"/>
      <c r="B507" s="663" t="s">
        <v>1675</v>
      </c>
      <c r="C507" s="667">
        <f>C503*1.5</f>
        <v>1246.845</v>
      </c>
      <c r="D507" s="663" t="s">
        <v>37</v>
      </c>
      <c r="E507" s="665"/>
      <c r="F507" s="666">
        <f t="shared" si="35"/>
        <v>0</v>
      </c>
      <c r="G507" s="666"/>
      <c r="H507" s="666"/>
      <c r="I507" s="666">
        <f t="shared" si="36"/>
        <v>0</v>
      </c>
      <c r="J507" s="666"/>
      <c r="K507" s="665">
        <f t="shared" si="37"/>
        <v>0</v>
      </c>
      <c r="L507" s="666">
        <f t="shared" si="38"/>
        <v>0</v>
      </c>
      <c r="M507" s="672">
        <v>0</v>
      </c>
      <c r="N507" s="668">
        <f t="shared" si="39"/>
        <v>0</v>
      </c>
    </row>
    <row r="508" spans="1:17" s="677" customFormat="1" ht="57" hidden="1" customHeight="1">
      <c r="A508" s="690"/>
      <c r="B508" s="663" t="s">
        <v>1676</v>
      </c>
      <c r="C508" s="675">
        <f>C503*2</f>
        <v>1662.46</v>
      </c>
      <c r="D508" s="674" t="s">
        <v>37</v>
      </c>
      <c r="E508" s="659"/>
      <c r="F508" s="666">
        <f t="shared" si="35"/>
        <v>0</v>
      </c>
      <c r="G508" s="666"/>
      <c r="H508" s="666"/>
      <c r="I508" s="666">
        <f t="shared" si="36"/>
        <v>0</v>
      </c>
      <c r="J508" s="666"/>
      <c r="K508" s="665">
        <f t="shared" si="37"/>
        <v>0</v>
      </c>
      <c r="L508" s="666">
        <f t="shared" si="38"/>
        <v>0</v>
      </c>
      <c r="M508" s="672">
        <v>0</v>
      </c>
      <c r="N508" s="668">
        <f t="shared" si="39"/>
        <v>0</v>
      </c>
      <c r="O508" s="676"/>
      <c r="P508" s="676"/>
    </row>
    <row r="509" spans="1:17" ht="82.5" customHeight="1">
      <c r="A509" s="662">
        <v>21.6</v>
      </c>
      <c r="B509" s="710" t="s">
        <v>1677</v>
      </c>
      <c r="C509" s="667"/>
      <c r="D509" s="663"/>
      <c r="E509" s="665"/>
      <c r="F509" s="666">
        <f t="shared" si="35"/>
        <v>0</v>
      </c>
      <c r="G509" s="666"/>
      <c r="H509" s="666"/>
      <c r="I509" s="666">
        <f t="shared" si="36"/>
        <v>0</v>
      </c>
      <c r="J509" s="666"/>
      <c r="K509" s="665">
        <f t="shared" si="37"/>
        <v>0</v>
      </c>
      <c r="L509" s="666">
        <f t="shared" si="38"/>
        <v>0</v>
      </c>
      <c r="M509" s="668">
        <v>0</v>
      </c>
      <c r="N509" s="668">
        <f t="shared" si="39"/>
        <v>0</v>
      </c>
      <c r="O509" s="678"/>
      <c r="Q509" s="679"/>
    </row>
    <row r="510" spans="1:17" ht="45" customHeight="1">
      <c r="A510" s="700"/>
      <c r="B510" s="663" t="s">
        <v>1473</v>
      </c>
      <c r="C510" s="667">
        <f>ROUND([8]Data!K889,2)</f>
        <v>2446.66</v>
      </c>
      <c r="D510" s="663" t="s">
        <v>522</v>
      </c>
      <c r="E510" s="665">
        <f>[8]Detailed!H1154</f>
        <v>4</v>
      </c>
      <c r="F510" s="666">
        <f t="shared" si="35"/>
        <v>9786.64</v>
      </c>
      <c r="G510" s="666"/>
      <c r="H510" s="666"/>
      <c r="I510" s="666">
        <f t="shared" si="36"/>
        <v>0</v>
      </c>
      <c r="J510" s="666"/>
      <c r="K510" s="665">
        <f t="shared" si="37"/>
        <v>4</v>
      </c>
      <c r="L510" s="666">
        <f t="shared" si="38"/>
        <v>9786.64</v>
      </c>
      <c r="M510" s="672">
        <v>3</v>
      </c>
      <c r="N510" s="668">
        <f t="shared" si="39"/>
        <v>1</v>
      </c>
    </row>
    <row r="511" spans="1:17" s="677" customFormat="1" ht="25.5" hidden="1" customHeight="1">
      <c r="A511" s="700"/>
      <c r="B511" s="663" t="s">
        <v>1678</v>
      </c>
      <c r="C511" s="675">
        <f>[8]Data!R864</f>
        <v>2941.61</v>
      </c>
      <c r="D511" s="674" t="s">
        <v>522</v>
      </c>
      <c r="E511" s="659"/>
      <c r="F511" s="666">
        <f t="shared" si="35"/>
        <v>0</v>
      </c>
      <c r="G511" s="666"/>
      <c r="H511" s="666"/>
      <c r="I511" s="666">
        <f t="shared" si="36"/>
        <v>0</v>
      </c>
      <c r="J511" s="666"/>
      <c r="K511" s="665">
        <f t="shared" si="37"/>
        <v>0</v>
      </c>
      <c r="L511" s="666">
        <f t="shared" si="38"/>
        <v>0</v>
      </c>
      <c r="M511" s="672">
        <v>0</v>
      </c>
      <c r="N511" s="668">
        <f t="shared" si="39"/>
        <v>0</v>
      </c>
      <c r="O511" s="676"/>
      <c r="P511" s="676"/>
    </row>
    <row r="512" spans="1:17" s="677" customFormat="1" ht="25.5" hidden="1" customHeight="1">
      <c r="A512" s="700"/>
      <c r="B512" s="663" t="s">
        <v>1679</v>
      </c>
      <c r="C512" s="675">
        <f>[8]Data!K905</f>
        <v>2412.73</v>
      </c>
      <c r="D512" s="674"/>
      <c r="E512" s="659"/>
      <c r="F512" s="666">
        <f t="shared" si="35"/>
        <v>0</v>
      </c>
      <c r="G512" s="666"/>
      <c r="H512" s="666"/>
      <c r="I512" s="666">
        <f t="shared" si="36"/>
        <v>0</v>
      </c>
      <c r="J512" s="666"/>
      <c r="K512" s="665">
        <f t="shared" si="37"/>
        <v>0</v>
      </c>
      <c r="L512" s="666">
        <f t="shared" si="38"/>
        <v>0</v>
      </c>
      <c r="M512" s="672">
        <v>0</v>
      </c>
      <c r="N512" s="668">
        <f t="shared" si="39"/>
        <v>0</v>
      </c>
      <c r="O512" s="676"/>
      <c r="P512" s="676"/>
    </row>
    <row r="513" spans="1:16" s="677" customFormat="1" ht="35.25" customHeight="1">
      <c r="A513" s="690"/>
      <c r="B513" s="663" t="s">
        <v>1475</v>
      </c>
      <c r="C513" s="675">
        <f>ROUND([8]Data!K871,2)</f>
        <v>2466.65</v>
      </c>
      <c r="D513" s="674" t="s">
        <v>522</v>
      </c>
      <c r="E513" s="659">
        <f>[8]Detailed!H1160</f>
        <v>6</v>
      </c>
      <c r="F513" s="666">
        <f t="shared" si="35"/>
        <v>14799.900000000001</v>
      </c>
      <c r="G513" s="666"/>
      <c r="H513" s="666"/>
      <c r="I513" s="666">
        <f t="shared" si="36"/>
        <v>0</v>
      </c>
      <c r="J513" s="666"/>
      <c r="K513" s="665">
        <f t="shared" si="37"/>
        <v>6</v>
      </c>
      <c r="L513" s="666">
        <f t="shared" si="38"/>
        <v>14799.900000000001</v>
      </c>
      <c r="M513" s="672">
        <v>6</v>
      </c>
      <c r="N513" s="668">
        <f t="shared" si="39"/>
        <v>0</v>
      </c>
      <c r="O513" s="676"/>
      <c r="P513" s="676"/>
    </row>
    <row r="514" spans="1:16" s="677" customFormat="1" ht="61.5" hidden="1" customHeight="1">
      <c r="A514" s="690"/>
      <c r="B514" s="685" t="s">
        <v>1680</v>
      </c>
      <c r="C514" s="675"/>
      <c r="D514" s="674"/>
      <c r="E514" s="659"/>
      <c r="F514" s="666">
        <f t="shared" si="35"/>
        <v>0</v>
      </c>
      <c r="G514" s="666"/>
      <c r="H514" s="666"/>
      <c r="I514" s="666">
        <f t="shared" si="36"/>
        <v>0</v>
      </c>
      <c r="J514" s="666"/>
      <c r="K514" s="665">
        <f t="shared" si="37"/>
        <v>0</v>
      </c>
      <c r="L514" s="666">
        <f t="shared" si="38"/>
        <v>0</v>
      </c>
      <c r="M514" s="672">
        <v>0</v>
      </c>
      <c r="N514" s="668">
        <f t="shared" si="39"/>
        <v>0</v>
      </c>
      <c r="O514" s="676"/>
      <c r="P514" s="676"/>
    </row>
    <row r="515" spans="1:16" s="677" customFormat="1" ht="25.5" hidden="1" customHeight="1">
      <c r="A515" s="690"/>
      <c r="B515" s="663" t="s">
        <v>1486</v>
      </c>
      <c r="C515" s="675">
        <f>[8]Data!K1081</f>
        <v>3364.08</v>
      </c>
      <c r="D515" s="674" t="s">
        <v>264</v>
      </c>
      <c r="E515" s="659"/>
      <c r="F515" s="666">
        <f t="shared" si="35"/>
        <v>0</v>
      </c>
      <c r="G515" s="666"/>
      <c r="H515" s="666"/>
      <c r="I515" s="666">
        <f t="shared" si="36"/>
        <v>0</v>
      </c>
      <c r="J515" s="666"/>
      <c r="K515" s="665">
        <f t="shared" si="37"/>
        <v>0</v>
      </c>
      <c r="L515" s="666">
        <f t="shared" si="38"/>
        <v>0</v>
      </c>
      <c r="M515" s="672">
        <v>0</v>
      </c>
      <c r="N515" s="668">
        <f t="shared" si="39"/>
        <v>0</v>
      </c>
      <c r="O515" s="676"/>
      <c r="P515" s="676"/>
    </row>
    <row r="516" spans="1:16" s="677" customFormat="1" ht="25.5" hidden="1" customHeight="1">
      <c r="A516" s="690"/>
      <c r="B516" s="663" t="s">
        <v>1487</v>
      </c>
      <c r="C516" s="675"/>
      <c r="D516" s="674" t="s">
        <v>264</v>
      </c>
      <c r="E516" s="659"/>
      <c r="F516" s="666">
        <f t="shared" si="35"/>
        <v>0</v>
      </c>
      <c r="G516" s="666"/>
      <c r="H516" s="666"/>
      <c r="I516" s="666">
        <f t="shared" si="36"/>
        <v>0</v>
      </c>
      <c r="J516" s="666"/>
      <c r="K516" s="665">
        <f t="shared" si="37"/>
        <v>0</v>
      </c>
      <c r="L516" s="666">
        <f t="shared" si="38"/>
        <v>0</v>
      </c>
      <c r="M516" s="672">
        <v>0</v>
      </c>
      <c r="N516" s="668">
        <f t="shared" si="39"/>
        <v>0</v>
      </c>
      <c r="O516" s="676"/>
      <c r="P516" s="676"/>
    </row>
    <row r="517" spans="1:16" s="677" customFormat="1" ht="31.5" hidden="1" customHeight="1">
      <c r="A517" s="690"/>
      <c r="B517" s="663" t="s">
        <v>1488</v>
      </c>
      <c r="C517" s="675">
        <f>[8]Data!K1097</f>
        <v>3552.27</v>
      </c>
      <c r="D517" s="674" t="s">
        <v>264</v>
      </c>
      <c r="E517" s="659"/>
      <c r="F517" s="666">
        <f t="shared" si="35"/>
        <v>0</v>
      </c>
      <c r="G517" s="666"/>
      <c r="H517" s="666"/>
      <c r="I517" s="666">
        <f t="shared" si="36"/>
        <v>0</v>
      </c>
      <c r="J517" s="666"/>
      <c r="K517" s="665">
        <f t="shared" si="37"/>
        <v>0</v>
      </c>
      <c r="L517" s="666">
        <f t="shared" si="38"/>
        <v>0</v>
      </c>
      <c r="M517" s="672">
        <v>0</v>
      </c>
      <c r="N517" s="668">
        <f t="shared" si="39"/>
        <v>0</v>
      </c>
      <c r="O517" s="676"/>
      <c r="P517" s="676"/>
    </row>
    <row r="518" spans="1:16" s="677" customFormat="1" ht="42" hidden="1" customHeight="1">
      <c r="A518" s="690"/>
      <c r="B518" s="663" t="s">
        <v>1489</v>
      </c>
      <c r="C518" s="675">
        <f>[8]Data!K1112</f>
        <v>2642.35</v>
      </c>
      <c r="D518" s="674" t="s">
        <v>264</v>
      </c>
      <c r="E518" s="659"/>
      <c r="F518" s="666">
        <f t="shared" si="35"/>
        <v>0</v>
      </c>
      <c r="G518" s="666"/>
      <c r="H518" s="666"/>
      <c r="I518" s="666">
        <f t="shared" si="36"/>
        <v>0</v>
      </c>
      <c r="J518" s="666"/>
      <c r="K518" s="665">
        <f t="shared" si="37"/>
        <v>0</v>
      </c>
      <c r="L518" s="666">
        <f t="shared" si="38"/>
        <v>0</v>
      </c>
      <c r="M518" s="672">
        <v>0</v>
      </c>
      <c r="N518" s="668">
        <f t="shared" si="39"/>
        <v>0</v>
      </c>
      <c r="O518" s="676"/>
      <c r="P518" s="676"/>
    </row>
    <row r="519" spans="1:16" s="677" customFormat="1" ht="38.25" hidden="1" customHeight="1">
      <c r="A519" s="690"/>
      <c r="B519" s="663" t="s">
        <v>1681</v>
      </c>
      <c r="C519" s="675">
        <v>2203.2800000000002</v>
      </c>
      <c r="D519" s="674" t="s">
        <v>264</v>
      </c>
      <c r="E519" s="659"/>
      <c r="F519" s="666">
        <f t="shared" ref="F519:F582" si="40">E519*C519</f>
        <v>0</v>
      </c>
      <c r="G519" s="666"/>
      <c r="H519" s="666"/>
      <c r="I519" s="666">
        <f t="shared" ref="I519:I582" si="41">G519</f>
        <v>0</v>
      </c>
      <c r="J519" s="666"/>
      <c r="K519" s="665">
        <f t="shared" ref="K519:K582" si="42">E519</f>
        <v>0</v>
      </c>
      <c r="L519" s="666">
        <f t="shared" ref="L519:L582" si="43">C519*K519</f>
        <v>0</v>
      </c>
      <c r="M519" s="672">
        <v>0</v>
      </c>
      <c r="N519" s="668">
        <f t="shared" ref="N519:N582" si="44">K519-M519</f>
        <v>0</v>
      </c>
      <c r="O519" s="676"/>
      <c r="P519" s="676"/>
    </row>
    <row r="520" spans="1:16" s="677" customFormat="1" ht="46.5" hidden="1" customHeight="1">
      <c r="A520" s="662" t="s">
        <v>1682</v>
      </c>
      <c r="B520" s="663" t="s">
        <v>1683</v>
      </c>
      <c r="C520" s="675">
        <f>ROUND([8]Data!K2877,2)</f>
        <v>2110.4899999999998</v>
      </c>
      <c r="D520" s="674" t="s">
        <v>37</v>
      </c>
      <c r="E520" s="659"/>
      <c r="F520" s="666">
        <f t="shared" si="40"/>
        <v>0</v>
      </c>
      <c r="G520" s="666"/>
      <c r="H520" s="666"/>
      <c r="I520" s="666">
        <f t="shared" si="41"/>
        <v>0</v>
      </c>
      <c r="J520" s="666"/>
      <c r="K520" s="665">
        <f t="shared" si="42"/>
        <v>0</v>
      </c>
      <c r="L520" s="666">
        <f t="shared" si="43"/>
        <v>0</v>
      </c>
      <c r="M520" s="672">
        <v>0</v>
      </c>
      <c r="N520" s="668">
        <f t="shared" si="44"/>
        <v>0</v>
      </c>
      <c r="O520" s="676"/>
      <c r="P520" s="676"/>
    </row>
    <row r="521" spans="1:16" s="677" customFormat="1" ht="78.599999999999994" hidden="1" customHeight="1">
      <c r="A521" s="662"/>
      <c r="B521" s="663" t="s">
        <v>1684</v>
      </c>
      <c r="C521" s="675">
        <f>[8]Data!R2090</f>
        <v>6981.88</v>
      </c>
      <c r="D521" s="674" t="s">
        <v>37</v>
      </c>
      <c r="E521" s="659"/>
      <c r="F521" s="666">
        <f t="shared" si="40"/>
        <v>0</v>
      </c>
      <c r="G521" s="666"/>
      <c r="H521" s="666"/>
      <c r="I521" s="666">
        <f t="shared" si="41"/>
        <v>0</v>
      </c>
      <c r="J521" s="666"/>
      <c r="K521" s="665">
        <f t="shared" si="42"/>
        <v>0</v>
      </c>
      <c r="L521" s="666">
        <f t="shared" si="43"/>
        <v>0</v>
      </c>
      <c r="M521" s="672">
        <v>0</v>
      </c>
      <c r="N521" s="668">
        <f t="shared" si="44"/>
        <v>0</v>
      </c>
      <c r="O521" s="676"/>
      <c r="P521" s="676"/>
    </row>
    <row r="522" spans="1:16" ht="84.75" hidden="1" customHeight="1">
      <c r="A522" s="673"/>
      <c r="B522" s="674" t="s">
        <v>1685</v>
      </c>
      <c r="C522" s="675">
        <f>ROUND([8]Data!K3114,2)</f>
        <v>4024.1</v>
      </c>
      <c r="D522" s="674" t="s">
        <v>37</v>
      </c>
      <c r="E522" s="659"/>
      <c r="F522" s="666">
        <f t="shared" si="40"/>
        <v>0</v>
      </c>
      <c r="G522" s="666"/>
      <c r="H522" s="666"/>
      <c r="I522" s="666">
        <f t="shared" si="41"/>
        <v>0</v>
      </c>
      <c r="J522" s="666"/>
      <c r="K522" s="665">
        <f t="shared" si="42"/>
        <v>0</v>
      </c>
      <c r="L522" s="666">
        <f t="shared" si="43"/>
        <v>0</v>
      </c>
      <c r="M522" s="672">
        <v>0</v>
      </c>
      <c r="N522" s="668">
        <f t="shared" si="44"/>
        <v>0</v>
      </c>
    </row>
    <row r="523" spans="1:16" s="677" customFormat="1" ht="72" hidden="1" customHeight="1">
      <c r="A523" s="662">
        <v>22.8</v>
      </c>
      <c r="B523" s="663" t="s">
        <v>1686</v>
      </c>
      <c r="C523" s="675"/>
      <c r="D523" s="674"/>
      <c r="E523" s="659"/>
      <c r="F523" s="666">
        <f t="shared" si="40"/>
        <v>0</v>
      </c>
      <c r="G523" s="666"/>
      <c r="H523" s="666"/>
      <c r="I523" s="666">
        <f t="shared" si="41"/>
        <v>0</v>
      </c>
      <c r="J523" s="666"/>
      <c r="K523" s="665">
        <f t="shared" si="42"/>
        <v>0</v>
      </c>
      <c r="L523" s="666">
        <f t="shared" si="43"/>
        <v>0</v>
      </c>
      <c r="M523" s="672">
        <v>0</v>
      </c>
      <c r="N523" s="668">
        <f t="shared" si="44"/>
        <v>0</v>
      </c>
      <c r="O523" s="676"/>
      <c r="P523" s="676"/>
    </row>
    <row r="524" spans="1:16" s="677" customFormat="1" ht="35.1" hidden="1" customHeight="1">
      <c r="A524" s="662"/>
      <c r="B524" s="663" t="s">
        <v>1687</v>
      </c>
      <c r="C524" s="675">
        <f>ROUND([8]Data!K2845,2)</f>
        <v>2937.59</v>
      </c>
      <c r="D524" s="674" t="s">
        <v>37</v>
      </c>
      <c r="E524" s="659"/>
      <c r="F524" s="666">
        <f t="shared" si="40"/>
        <v>0</v>
      </c>
      <c r="G524" s="666"/>
      <c r="H524" s="666"/>
      <c r="I524" s="666">
        <f t="shared" si="41"/>
        <v>0</v>
      </c>
      <c r="J524" s="666"/>
      <c r="K524" s="665">
        <f t="shared" si="42"/>
        <v>0</v>
      </c>
      <c r="L524" s="666">
        <f t="shared" si="43"/>
        <v>0</v>
      </c>
      <c r="M524" s="672">
        <v>0</v>
      </c>
      <c r="N524" s="668">
        <f t="shared" si="44"/>
        <v>0</v>
      </c>
      <c r="O524" s="676"/>
      <c r="P524" s="676"/>
    </row>
    <row r="525" spans="1:16" s="677" customFormat="1" ht="35.1" hidden="1" customHeight="1">
      <c r="A525" s="662"/>
      <c r="B525" s="663" t="s">
        <v>1688</v>
      </c>
      <c r="C525" s="675">
        <f>ROUND([8]Data!K2981,2)</f>
        <v>2980.14</v>
      </c>
      <c r="D525" s="674" t="s">
        <v>37</v>
      </c>
      <c r="E525" s="659"/>
      <c r="F525" s="666">
        <f t="shared" si="40"/>
        <v>0</v>
      </c>
      <c r="G525" s="666"/>
      <c r="H525" s="666"/>
      <c r="I525" s="666">
        <f t="shared" si="41"/>
        <v>0</v>
      </c>
      <c r="J525" s="666"/>
      <c r="K525" s="665">
        <f t="shared" si="42"/>
        <v>0</v>
      </c>
      <c r="L525" s="666">
        <f t="shared" si="43"/>
        <v>0</v>
      </c>
      <c r="M525" s="672">
        <v>0</v>
      </c>
      <c r="N525" s="668">
        <f t="shared" si="44"/>
        <v>0</v>
      </c>
      <c r="O525" s="676"/>
      <c r="P525" s="676"/>
    </row>
    <row r="526" spans="1:16" s="677" customFormat="1" ht="28.5" hidden="1" customHeight="1">
      <c r="A526" s="690"/>
      <c r="B526" s="663" t="s">
        <v>1689</v>
      </c>
      <c r="C526" s="675"/>
      <c r="D526" s="674" t="s">
        <v>37</v>
      </c>
      <c r="E526" s="659"/>
      <c r="F526" s="666">
        <f t="shared" si="40"/>
        <v>0</v>
      </c>
      <c r="G526" s="666"/>
      <c r="H526" s="666"/>
      <c r="I526" s="666">
        <f t="shared" si="41"/>
        <v>0</v>
      </c>
      <c r="J526" s="666"/>
      <c r="K526" s="665">
        <f t="shared" si="42"/>
        <v>0</v>
      </c>
      <c r="L526" s="666">
        <f t="shared" si="43"/>
        <v>0</v>
      </c>
      <c r="M526" s="672">
        <v>0</v>
      </c>
      <c r="N526" s="668">
        <f t="shared" si="44"/>
        <v>0</v>
      </c>
      <c r="O526" s="676"/>
      <c r="P526" s="676"/>
    </row>
    <row r="527" spans="1:16" ht="47.25" customHeight="1">
      <c r="A527" s="667"/>
      <c r="B527" s="685" t="s">
        <v>1092</v>
      </c>
      <c r="C527" s="667"/>
      <c r="D527" s="663"/>
      <c r="E527" s="665"/>
      <c r="F527" s="666">
        <f t="shared" si="40"/>
        <v>0</v>
      </c>
      <c r="G527" s="666"/>
      <c r="H527" s="666"/>
      <c r="I527" s="666">
        <f t="shared" si="41"/>
        <v>0</v>
      </c>
      <c r="J527" s="666"/>
      <c r="K527" s="665">
        <f t="shared" si="42"/>
        <v>0</v>
      </c>
      <c r="L527" s="666">
        <f t="shared" si="43"/>
        <v>0</v>
      </c>
      <c r="M527" s="668">
        <v>0</v>
      </c>
      <c r="N527" s="668">
        <f t="shared" si="44"/>
        <v>0</v>
      </c>
    </row>
    <row r="528" spans="1:16" ht="49.5" hidden="1" customHeight="1">
      <c r="A528" s="667"/>
      <c r="B528" s="663" t="s">
        <v>1690</v>
      </c>
      <c r="C528" s="667">
        <f>ROUND([8]Data!K2827,2)</f>
        <v>5724.71</v>
      </c>
      <c r="D528" s="663" t="s">
        <v>37</v>
      </c>
      <c r="E528" s="665"/>
      <c r="F528" s="666">
        <f t="shared" si="40"/>
        <v>0</v>
      </c>
      <c r="G528" s="666"/>
      <c r="H528" s="666"/>
      <c r="I528" s="666">
        <f t="shared" si="41"/>
        <v>0</v>
      </c>
      <c r="J528" s="666"/>
      <c r="K528" s="665">
        <f t="shared" si="42"/>
        <v>0</v>
      </c>
      <c r="L528" s="666">
        <f t="shared" si="43"/>
        <v>0</v>
      </c>
      <c r="M528" s="672">
        <v>0</v>
      </c>
      <c r="N528" s="668">
        <f t="shared" si="44"/>
        <v>0</v>
      </c>
    </row>
    <row r="529" spans="1:16" s="677" customFormat="1" ht="33" hidden="1" customHeight="1">
      <c r="A529" s="690"/>
      <c r="B529" s="663" t="s">
        <v>1691</v>
      </c>
      <c r="C529" s="675"/>
      <c r="D529" s="674"/>
      <c r="E529" s="659"/>
      <c r="F529" s="666">
        <f t="shared" si="40"/>
        <v>0</v>
      </c>
      <c r="G529" s="666"/>
      <c r="H529" s="666"/>
      <c r="I529" s="666">
        <f t="shared" si="41"/>
        <v>0</v>
      </c>
      <c r="J529" s="666"/>
      <c r="K529" s="665">
        <f t="shared" si="42"/>
        <v>0</v>
      </c>
      <c r="L529" s="666">
        <f t="shared" si="43"/>
        <v>0</v>
      </c>
      <c r="M529" s="672">
        <v>0</v>
      </c>
      <c r="N529" s="668">
        <f t="shared" si="44"/>
        <v>0</v>
      </c>
      <c r="O529" s="676"/>
      <c r="P529" s="676"/>
    </row>
    <row r="530" spans="1:16" s="677" customFormat="1" ht="43.5" hidden="1" customHeight="1">
      <c r="A530" s="690"/>
      <c r="B530" s="663" t="s">
        <v>1692</v>
      </c>
      <c r="C530" s="675">
        <f>[8]Data!R2867</f>
        <v>4989.05</v>
      </c>
      <c r="D530" s="674" t="s">
        <v>37</v>
      </c>
      <c r="E530" s="659"/>
      <c r="F530" s="666">
        <f t="shared" si="40"/>
        <v>0</v>
      </c>
      <c r="G530" s="666"/>
      <c r="H530" s="666"/>
      <c r="I530" s="666">
        <f t="shared" si="41"/>
        <v>0</v>
      </c>
      <c r="J530" s="666"/>
      <c r="K530" s="665">
        <f t="shared" si="42"/>
        <v>0</v>
      </c>
      <c r="L530" s="666">
        <f t="shared" si="43"/>
        <v>0</v>
      </c>
      <c r="M530" s="672">
        <v>0</v>
      </c>
      <c r="N530" s="668">
        <f t="shared" si="44"/>
        <v>0</v>
      </c>
      <c r="O530" s="676"/>
      <c r="P530" s="676"/>
    </row>
    <row r="531" spans="1:16" s="677" customFormat="1" ht="46.5" hidden="1" customHeight="1">
      <c r="A531" s="690"/>
      <c r="B531" s="663" t="s">
        <v>1693</v>
      </c>
      <c r="C531" s="675">
        <f>[8]Data!K1000</f>
        <v>4803.54</v>
      </c>
      <c r="D531" s="674"/>
      <c r="E531" s="659"/>
      <c r="F531" s="666">
        <f t="shared" si="40"/>
        <v>0</v>
      </c>
      <c r="G531" s="666"/>
      <c r="H531" s="666"/>
      <c r="I531" s="666">
        <f t="shared" si="41"/>
        <v>0</v>
      </c>
      <c r="J531" s="666"/>
      <c r="K531" s="665">
        <f t="shared" si="42"/>
        <v>0</v>
      </c>
      <c r="L531" s="666">
        <f t="shared" si="43"/>
        <v>0</v>
      </c>
      <c r="M531" s="672">
        <v>0</v>
      </c>
      <c r="N531" s="668">
        <f t="shared" si="44"/>
        <v>0</v>
      </c>
      <c r="O531" s="676"/>
      <c r="P531" s="676"/>
    </row>
    <row r="532" spans="1:16" s="677" customFormat="1" ht="34.5" hidden="1" customHeight="1">
      <c r="A532" s="690"/>
      <c r="B532" s="663" t="s">
        <v>1694</v>
      </c>
      <c r="C532" s="675"/>
      <c r="D532" s="674"/>
      <c r="E532" s="659"/>
      <c r="F532" s="666">
        <f t="shared" si="40"/>
        <v>0</v>
      </c>
      <c r="G532" s="666"/>
      <c r="H532" s="666"/>
      <c r="I532" s="666">
        <f t="shared" si="41"/>
        <v>0</v>
      </c>
      <c r="J532" s="666"/>
      <c r="K532" s="665">
        <f t="shared" si="42"/>
        <v>0</v>
      </c>
      <c r="L532" s="666">
        <f t="shared" si="43"/>
        <v>0</v>
      </c>
      <c r="M532" s="672">
        <v>0</v>
      </c>
      <c r="N532" s="668">
        <f t="shared" si="44"/>
        <v>0</v>
      </c>
      <c r="O532" s="676"/>
      <c r="P532" s="676"/>
    </row>
    <row r="533" spans="1:16" s="677" customFormat="1" ht="59.25" customHeight="1">
      <c r="A533" s="690"/>
      <c r="B533" s="663" t="s">
        <v>1695</v>
      </c>
      <c r="C533" s="675">
        <f>[8]Data!AG2663</f>
        <v>5533.07</v>
      </c>
      <c r="D533" s="742" t="s">
        <v>37</v>
      </c>
      <c r="E533" s="1411">
        <f>[8]Detailed!H1171</f>
        <v>3.4</v>
      </c>
      <c r="F533" s="666">
        <f t="shared" si="40"/>
        <v>18812.437999999998</v>
      </c>
      <c r="G533" s="666"/>
      <c r="H533" s="666"/>
      <c r="I533" s="666">
        <f t="shared" si="41"/>
        <v>0</v>
      </c>
      <c r="J533" s="666"/>
      <c r="K533" s="665">
        <f t="shared" si="42"/>
        <v>3.4</v>
      </c>
      <c r="L533" s="666">
        <f t="shared" si="43"/>
        <v>18812.437999999998</v>
      </c>
      <c r="M533" s="672">
        <v>3.4</v>
      </c>
      <c r="N533" s="668">
        <f t="shared" si="44"/>
        <v>0</v>
      </c>
      <c r="O533" s="676"/>
      <c r="P533" s="676"/>
    </row>
    <row r="534" spans="1:16" s="677" customFormat="1" ht="59.25" hidden="1" customHeight="1">
      <c r="A534" s="690"/>
      <c r="B534" s="663" t="s">
        <v>1696</v>
      </c>
      <c r="C534" s="675">
        <f>[8]Data!K2647</f>
        <v>5846.33</v>
      </c>
      <c r="D534" s="674" t="s">
        <v>37</v>
      </c>
      <c r="E534" s="659"/>
      <c r="F534" s="666">
        <f t="shared" si="40"/>
        <v>0</v>
      </c>
      <c r="G534" s="666"/>
      <c r="H534" s="666"/>
      <c r="I534" s="666">
        <f t="shared" si="41"/>
        <v>0</v>
      </c>
      <c r="J534" s="666"/>
      <c r="K534" s="665">
        <f t="shared" si="42"/>
        <v>0</v>
      </c>
      <c r="L534" s="666">
        <f t="shared" si="43"/>
        <v>0</v>
      </c>
      <c r="M534" s="672">
        <v>0</v>
      </c>
      <c r="N534" s="668">
        <f t="shared" si="44"/>
        <v>0</v>
      </c>
      <c r="O534" s="676"/>
      <c r="P534" s="676"/>
    </row>
    <row r="535" spans="1:16" s="677" customFormat="1" ht="59.25" hidden="1" customHeight="1">
      <c r="A535" s="690"/>
      <c r="B535" s="663" t="s">
        <v>1697</v>
      </c>
      <c r="C535" s="675">
        <f>[8]Data!K3434</f>
        <v>5051.6899999999996</v>
      </c>
      <c r="D535" s="674" t="s">
        <v>37</v>
      </c>
      <c r="E535" s="659"/>
      <c r="F535" s="666">
        <f t="shared" si="40"/>
        <v>0</v>
      </c>
      <c r="G535" s="666"/>
      <c r="H535" s="666"/>
      <c r="I535" s="666">
        <f t="shared" si="41"/>
        <v>0</v>
      </c>
      <c r="J535" s="666"/>
      <c r="K535" s="665">
        <f t="shared" si="42"/>
        <v>0</v>
      </c>
      <c r="L535" s="666">
        <f t="shared" si="43"/>
        <v>0</v>
      </c>
      <c r="M535" s="672">
        <v>0</v>
      </c>
      <c r="N535" s="668">
        <f t="shared" si="44"/>
        <v>0</v>
      </c>
      <c r="O535" s="676"/>
      <c r="P535" s="676"/>
    </row>
    <row r="536" spans="1:16" s="677" customFormat="1" ht="59.25" hidden="1" customHeight="1">
      <c r="A536" s="690"/>
      <c r="B536" s="743" t="s">
        <v>1698</v>
      </c>
      <c r="C536" s="675">
        <f>[8]Data!R2654</f>
        <v>6199.77</v>
      </c>
      <c r="D536" s="674" t="s">
        <v>37</v>
      </c>
      <c r="E536" s="659"/>
      <c r="F536" s="666">
        <f t="shared" si="40"/>
        <v>0</v>
      </c>
      <c r="G536" s="666"/>
      <c r="H536" s="666"/>
      <c r="I536" s="666">
        <f t="shared" si="41"/>
        <v>0</v>
      </c>
      <c r="J536" s="666"/>
      <c r="K536" s="665">
        <f t="shared" si="42"/>
        <v>0</v>
      </c>
      <c r="L536" s="666">
        <f t="shared" si="43"/>
        <v>0</v>
      </c>
      <c r="M536" s="672">
        <v>0</v>
      </c>
      <c r="N536" s="668">
        <f t="shared" si="44"/>
        <v>0</v>
      </c>
      <c r="O536" s="676"/>
      <c r="P536" s="676"/>
    </row>
    <row r="537" spans="1:16" s="677" customFormat="1" ht="59.25" hidden="1" customHeight="1">
      <c r="A537" s="690"/>
      <c r="B537" s="743" t="s">
        <v>1699</v>
      </c>
      <c r="C537" s="675">
        <f>[8]Data!AG2629</f>
        <v>5298.17</v>
      </c>
      <c r="D537" s="674" t="s">
        <v>37</v>
      </c>
      <c r="E537" s="659"/>
      <c r="F537" s="666">
        <f t="shared" si="40"/>
        <v>0</v>
      </c>
      <c r="G537" s="666"/>
      <c r="H537" s="666"/>
      <c r="I537" s="666">
        <f t="shared" si="41"/>
        <v>0</v>
      </c>
      <c r="J537" s="666"/>
      <c r="K537" s="665">
        <f t="shared" si="42"/>
        <v>0</v>
      </c>
      <c r="L537" s="666">
        <f t="shared" si="43"/>
        <v>0</v>
      </c>
      <c r="M537" s="672">
        <v>0</v>
      </c>
      <c r="N537" s="668">
        <f t="shared" si="44"/>
        <v>0</v>
      </c>
      <c r="O537" s="676"/>
      <c r="P537" s="676"/>
    </row>
    <row r="538" spans="1:16" ht="65.25" hidden="1" customHeight="1">
      <c r="A538" s="667"/>
      <c r="B538" s="663" t="s">
        <v>1700</v>
      </c>
      <c r="C538" s="667">
        <f>[8]Data!K1066</f>
        <v>3424.55</v>
      </c>
      <c r="D538" s="663" t="s">
        <v>37</v>
      </c>
      <c r="E538" s="665"/>
      <c r="F538" s="666">
        <f t="shared" si="40"/>
        <v>0</v>
      </c>
      <c r="G538" s="666"/>
      <c r="H538" s="666"/>
      <c r="I538" s="666">
        <f t="shared" si="41"/>
        <v>0</v>
      </c>
      <c r="J538" s="666"/>
      <c r="K538" s="665">
        <f t="shared" si="42"/>
        <v>0</v>
      </c>
      <c r="L538" s="666">
        <f t="shared" si="43"/>
        <v>0</v>
      </c>
      <c r="M538" s="672">
        <v>0</v>
      </c>
      <c r="N538" s="668">
        <f t="shared" si="44"/>
        <v>0</v>
      </c>
    </row>
    <row r="539" spans="1:16" s="677" customFormat="1" ht="82.5" hidden="1" customHeight="1">
      <c r="A539" s="690"/>
      <c r="B539" s="663" t="s">
        <v>1701</v>
      </c>
      <c r="C539" s="675">
        <f>[8]Data!R1000</f>
        <v>3850.37</v>
      </c>
      <c r="D539" s="674" t="s">
        <v>37</v>
      </c>
      <c r="E539" s="659"/>
      <c r="F539" s="666">
        <f t="shared" si="40"/>
        <v>0</v>
      </c>
      <c r="G539" s="666"/>
      <c r="H539" s="666"/>
      <c r="I539" s="666">
        <f t="shared" si="41"/>
        <v>0</v>
      </c>
      <c r="J539" s="666"/>
      <c r="K539" s="665">
        <f t="shared" si="42"/>
        <v>0</v>
      </c>
      <c r="L539" s="666">
        <f t="shared" si="43"/>
        <v>0</v>
      </c>
      <c r="M539" s="672">
        <v>0</v>
      </c>
      <c r="N539" s="668">
        <f t="shared" si="44"/>
        <v>0</v>
      </c>
      <c r="O539" s="676"/>
      <c r="P539" s="676"/>
    </row>
    <row r="540" spans="1:16" s="677" customFormat="1" ht="63.75" hidden="1" customHeight="1">
      <c r="A540" s="690"/>
      <c r="B540" s="663" t="s">
        <v>1702</v>
      </c>
      <c r="C540" s="667">
        <f>[8]Data!R1077</f>
        <v>3309.65</v>
      </c>
      <c r="D540" s="663" t="s">
        <v>37</v>
      </c>
      <c r="E540" s="665"/>
      <c r="F540" s="666">
        <f t="shared" si="40"/>
        <v>0</v>
      </c>
      <c r="G540" s="666"/>
      <c r="H540" s="666"/>
      <c r="I540" s="666">
        <f t="shared" si="41"/>
        <v>0</v>
      </c>
      <c r="J540" s="666"/>
      <c r="K540" s="665">
        <f t="shared" si="42"/>
        <v>0</v>
      </c>
      <c r="L540" s="666">
        <f t="shared" si="43"/>
        <v>0</v>
      </c>
      <c r="M540" s="672">
        <v>0</v>
      </c>
      <c r="N540" s="668">
        <f t="shared" si="44"/>
        <v>0</v>
      </c>
      <c r="O540" s="676"/>
      <c r="P540" s="676"/>
    </row>
    <row r="541" spans="1:16" s="677" customFormat="1" ht="74.25" hidden="1" customHeight="1">
      <c r="A541" s="690"/>
      <c r="B541" s="663" t="s">
        <v>1703</v>
      </c>
      <c r="C541" s="675"/>
      <c r="D541" s="674" t="s">
        <v>37</v>
      </c>
      <c r="E541" s="659"/>
      <c r="F541" s="666">
        <f t="shared" si="40"/>
        <v>0</v>
      </c>
      <c r="G541" s="666"/>
      <c r="H541" s="666"/>
      <c r="I541" s="666">
        <f t="shared" si="41"/>
        <v>0</v>
      </c>
      <c r="J541" s="666"/>
      <c r="K541" s="665">
        <f t="shared" si="42"/>
        <v>0</v>
      </c>
      <c r="L541" s="666">
        <f t="shared" si="43"/>
        <v>0</v>
      </c>
      <c r="M541" s="672">
        <v>0</v>
      </c>
      <c r="N541" s="668">
        <f t="shared" si="44"/>
        <v>0</v>
      </c>
      <c r="O541" s="676"/>
      <c r="P541" s="676"/>
    </row>
    <row r="542" spans="1:16" s="677" customFormat="1" ht="74.25" hidden="1" customHeight="1">
      <c r="A542" s="690"/>
      <c r="B542" s="663" t="s">
        <v>1704</v>
      </c>
      <c r="C542" s="675">
        <f>[8]Data!R3166</f>
        <v>3117.04</v>
      </c>
      <c r="D542" s="674" t="s">
        <v>37</v>
      </c>
      <c r="E542" s="659"/>
      <c r="F542" s="666">
        <f t="shared" si="40"/>
        <v>0</v>
      </c>
      <c r="G542" s="666"/>
      <c r="H542" s="666"/>
      <c r="I542" s="666">
        <f t="shared" si="41"/>
        <v>0</v>
      </c>
      <c r="J542" s="666"/>
      <c r="K542" s="665">
        <f t="shared" si="42"/>
        <v>0</v>
      </c>
      <c r="L542" s="666">
        <f t="shared" si="43"/>
        <v>0</v>
      </c>
      <c r="M542" s="672">
        <v>0</v>
      </c>
      <c r="N542" s="668">
        <f t="shared" si="44"/>
        <v>0</v>
      </c>
      <c r="O542" s="676"/>
      <c r="P542" s="676"/>
    </row>
    <row r="543" spans="1:16" ht="48.75" customHeight="1">
      <c r="A543" s="662" t="s">
        <v>1095</v>
      </c>
      <c r="B543" s="663" t="s">
        <v>1705</v>
      </c>
      <c r="C543" s="667">
        <f>[8]Data!C704</f>
        <v>3167</v>
      </c>
      <c r="D543" s="663" t="s">
        <v>37</v>
      </c>
      <c r="E543" s="665">
        <f>[8]Detailed!H1189</f>
        <v>11.5</v>
      </c>
      <c r="F543" s="666">
        <f t="shared" si="40"/>
        <v>36420.5</v>
      </c>
      <c r="G543" s="666"/>
      <c r="H543" s="666"/>
      <c r="I543" s="666">
        <f t="shared" si="41"/>
        <v>0</v>
      </c>
      <c r="J543" s="666"/>
      <c r="K543" s="665">
        <f t="shared" si="42"/>
        <v>11.5</v>
      </c>
      <c r="L543" s="666">
        <f t="shared" si="43"/>
        <v>36420.5</v>
      </c>
      <c r="M543" s="672">
        <v>11.5</v>
      </c>
      <c r="N543" s="668">
        <f t="shared" si="44"/>
        <v>0</v>
      </c>
    </row>
    <row r="544" spans="1:16" ht="66.75" customHeight="1">
      <c r="A544" s="700" t="s">
        <v>1100</v>
      </c>
      <c r="B544" s="663" t="s">
        <v>507</v>
      </c>
      <c r="C544" s="667">
        <f>ROUND([8]Data!K1185,2)</f>
        <v>708.1</v>
      </c>
      <c r="D544" s="663" t="s">
        <v>37</v>
      </c>
      <c r="E544" s="665">
        <f>[8]Detailed!H1202</f>
        <v>41</v>
      </c>
      <c r="F544" s="666">
        <f t="shared" si="40"/>
        <v>29032.100000000002</v>
      </c>
      <c r="G544" s="666"/>
      <c r="H544" s="666"/>
      <c r="I544" s="666">
        <f t="shared" si="41"/>
        <v>0</v>
      </c>
      <c r="J544" s="666"/>
      <c r="K544" s="665">
        <f t="shared" si="42"/>
        <v>41</v>
      </c>
      <c r="L544" s="666">
        <f t="shared" si="43"/>
        <v>29032.100000000002</v>
      </c>
      <c r="M544" s="672">
        <v>42.3</v>
      </c>
      <c r="N544" s="668">
        <f t="shared" si="44"/>
        <v>-1.2999999999999972</v>
      </c>
    </row>
    <row r="545" spans="1:17" s="677" customFormat="1" ht="45.75" hidden="1" customHeight="1">
      <c r="A545" s="666"/>
      <c r="B545" s="685" t="s">
        <v>1706</v>
      </c>
      <c r="C545" s="675"/>
      <c r="D545" s="674"/>
      <c r="E545" s="659"/>
      <c r="F545" s="666">
        <f t="shared" si="40"/>
        <v>0</v>
      </c>
      <c r="G545" s="666"/>
      <c r="H545" s="666"/>
      <c r="I545" s="666">
        <f t="shared" si="41"/>
        <v>0</v>
      </c>
      <c r="J545" s="666"/>
      <c r="K545" s="665">
        <f t="shared" si="42"/>
        <v>0</v>
      </c>
      <c r="L545" s="666">
        <f t="shared" si="43"/>
        <v>0</v>
      </c>
      <c r="M545" s="672">
        <v>0</v>
      </c>
      <c r="N545" s="668">
        <f t="shared" si="44"/>
        <v>0</v>
      </c>
      <c r="O545" s="676"/>
      <c r="P545" s="676"/>
    </row>
    <row r="546" spans="1:17" s="677" customFormat="1" ht="39" hidden="1" customHeight="1">
      <c r="A546" s="666"/>
      <c r="B546" s="663" t="s">
        <v>1405</v>
      </c>
      <c r="C546" s="675">
        <f>ROUND([8]Data!K628,2)</f>
        <v>574.95000000000005</v>
      </c>
      <c r="D546" s="674" t="s">
        <v>264</v>
      </c>
      <c r="E546" s="659"/>
      <c r="F546" s="666">
        <f t="shared" si="40"/>
        <v>0</v>
      </c>
      <c r="G546" s="666"/>
      <c r="H546" s="666"/>
      <c r="I546" s="666">
        <f t="shared" si="41"/>
        <v>0</v>
      </c>
      <c r="J546" s="666"/>
      <c r="K546" s="665">
        <f t="shared" si="42"/>
        <v>0</v>
      </c>
      <c r="L546" s="666">
        <f t="shared" si="43"/>
        <v>0</v>
      </c>
      <c r="M546" s="672">
        <v>0</v>
      </c>
      <c r="N546" s="668">
        <f t="shared" si="44"/>
        <v>0</v>
      </c>
      <c r="O546" s="676"/>
      <c r="P546" s="676"/>
    </row>
    <row r="547" spans="1:17" s="677" customFormat="1" ht="39" hidden="1" customHeight="1">
      <c r="A547" s="666"/>
      <c r="B547" s="663" t="s">
        <v>1406</v>
      </c>
      <c r="C547" s="675">
        <f>ROUND([8]Data!K629,2)</f>
        <v>579.02</v>
      </c>
      <c r="D547" s="674" t="s">
        <v>264</v>
      </c>
      <c r="E547" s="659"/>
      <c r="F547" s="666">
        <f t="shared" si="40"/>
        <v>0</v>
      </c>
      <c r="G547" s="666"/>
      <c r="H547" s="666"/>
      <c r="I547" s="666">
        <f t="shared" si="41"/>
        <v>0</v>
      </c>
      <c r="J547" s="666"/>
      <c r="K547" s="665">
        <f t="shared" si="42"/>
        <v>0</v>
      </c>
      <c r="L547" s="666">
        <f t="shared" si="43"/>
        <v>0</v>
      </c>
      <c r="M547" s="672">
        <v>0</v>
      </c>
      <c r="N547" s="668">
        <f t="shared" si="44"/>
        <v>0</v>
      </c>
      <c r="O547" s="676"/>
      <c r="P547" s="676"/>
    </row>
    <row r="548" spans="1:17" s="677" customFormat="1" ht="39" hidden="1" customHeight="1">
      <c r="A548" s="666"/>
      <c r="B548" s="663" t="s">
        <v>1407</v>
      </c>
      <c r="C548" s="675">
        <f>ROUND([8]Data!K630,2)</f>
        <v>583.09</v>
      </c>
      <c r="D548" s="674" t="s">
        <v>264</v>
      </c>
      <c r="E548" s="659"/>
      <c r="F548" s="666">
        <f t="shared" si="40"/>
        <v>0</v>
      </c>
      <c r="G548" s="666"/>
      <c r="H548" s="666"/>
      <c r="I548" s="666">
        <f t="shared" si="41"/>
        <v>0</v>
      </c>
      <c r="J548" s="666"/>
      <c r="K548" s="665">
        <f t="shared" si="42"/>
        <v>0</v>
      </c>
      <c r="L548" s="666">
        <f t="shared" si="43"/>
        <v>0</v>
      </c>
      <c r="M548" s="672">
        <v>0</v>
      </c>
      <c r="N548" s="668">
        <f t="shared" si="44"/>
        <v>0</v>
      </c>
      <c r="O548" s="676"/>
      <c r="P548" s="676"/>
    </row>
    <row r="549" spans="1:17" s="677" customFormat="1" ht="39" hidden="1" customHeight="1">
      <c r="A549" s="666"/>
      <c r="B549" s="663" t="s">
        <v>1408</v>
      </c>
      <c r="C549" s="675">
        <f>ROUND([8]Data!K631,2)</f>
        <v>587.16</v>
      </c>
      <c r="D549" s="674" t="s">
        <v>264</v>
      </c>
      <c r="E549" s="659"/>
      <c r="F549" s="666">
        <f t="shared" si="40"/>
        <v>0</v>
      </c>
      <c r="G549" s="666"/>
      <c r="H549" s="666"/>
      <c r="I549" s="666">
        <f t="shared" si="41"/>
        <v>0</v>
      </c>
      <c r="J549" s="666"/>
      <c r="K549" s="665">
        <f t="shared" si="42"/>
        <v>0</v>
      </c>
      <c r="L549" s="666">
        <f t="shared" si="43"/>
        <v>0</v>
      </c>
      <c r="M549" s="672">
        <v>0</v>
      </c>
      <c r="N549" s="668">
        <f t="shared" si="44"/>
        <v>0</v>
      </c>
      <c r="O549" s="676"/>
      <c r="P549" s="676"/>
    </row>
    <row r="550" spans="1:17" s="677" customFormat="1" ht="36" hidden="1" customHeight="1">
      <c r="A550" s="690"/>
      <c r="B550" s="663" t="s">
        <v>1409</v>
      </c>
      <c r="C550" s="675">
        <f>ROUND([8]Data!K632,2)</f>
        <v>591.23</v>
      </c>
      <c r="D550" s="674" t="s">
        <v>264</v>
      </c>
      <c r="E550" s="659"/>
      <c r="F550" s="666">
        <f t="shared" si="40"/>
        <v>0</v>
      </c>
      <c r="G550" s="666"/>
      <c r="H550" s="666"/>
      <c r="I550" s="666">
        <f t="shared" si="41"/>
        <v>0</v>
      </c>
      <c r="J550" s="666"/>
      <c r="K550" s="665">
        <f t="shared" si="42"/>
        <v>0</v>
      </c>
      <c r="L550" s="666">
        <f t="shared" si="43"/>
        <v>0</v>
      </c>
      <c r="M550" s="672">
        <v>0</v>
      </c>
      <c r="N550" s="668">
        <f t="shared" si="44"/>
        <v>0</v>
      </c>
      <c r="O550" s="676"/>
      <c r="P550" s="676"/>
    </row>
    <row r="551" spans="1:17" ht="40.5" hidden="1" customHeight="1">
      <c r="A551" s="684"/>
      <c r="B551" s="695" t="s">
        <v>1707</v>
      </c>
      <c r="C551" s="675"/>
      <c r="D551" s="674"/>
      <c r="E551" s="659"/>
      <c r="F551" s="666">
        <f t="shared" si="40"/>
        <v>0</v>
      </c>
      <c r="G551" s="666"/>
      <c r="H551" s="666"/>
      <c r="I551" s="666">
        <f t="shared" si="41"/>
        <v>0</v>
      </c>
      <c r="J551" s="666"/>
      <c r="K551" s="665">
        <f t="shared" si="42"/>
        <v>0</v>
      </c>
      <c r="L551" s="666">
        <f t="shared" si="43"/>
        <v>0</v>
      </c>
      <c r="M551" s="672">
        <v>0</v>
      </c>
      <c r="N551" s="668">
        <f t="shared" si="44"/>
        <v>0</v>
      </c>
      <c r="O551" s="678"/>
      <c r="Q551" s="679"/>
    </row>
    <row r="552" spans="1:17" s="677" customFormat="1" ht="39" hidden="1" customHeight="1">
      <c r="A552" s="690"/>
      <c r="B552" s="663" t="s">
        <v>1708</v>
      </c>
      <c r="C552" s="675">
        <f>[8]Data!K590</f>
        <v>529.37</v>
      </c>
      <c r="D552" s="674" t="s">
        <v>264</v>
      </c>
      <c r="E552" s="659"/>
      <c r="F552" s="666">
        <f t="shared" si="40"/>
        <v>0</v>
      </c>
      <c r="G552" s="666"/>
      <c r="H552" s="666"/>
      <c r="I552" s="666">
        <f t="shared" si="41"/>
        <v>0</v>
      </c>
      <c r="J552" s="666"/>
      <c r="K552" s="665">
        <f t="shared" si="42"/>
        <v>0</v>
      </c>
      <c r="L552" s="666">
        <f t="shared" si="43"/>
        <v>0</v>
      </c>
      <c r="M552" s="672">
        <v>0</v>
      </c>
      <c r="N552" s="668">
        <f t="shared" si="44"/>
        <v>0</v>
      </c>
      <c r="O552" s="676"/>
      <c r="P552" s="676"/>
    </row>
    <row r="553" spans="1:17" s="677" customFormat="1" ht="45.75" hidden="1" customHeight="1">
      <c r="A553" s="690"/>
      <c r="B553" s="663" t="s">
        <v>1406</v>
      </c>
      <c r="C553" s="675">
        <f>[8]Data!K591</f>
        <v>533.44000000000005</v>
      </c>
      <c r="D553" s="674" t="s">
        <v>264</v>
      </c>
      <c r="E553" s="659"/>
      <c r="F553" s="666">
        <f t="shared" si="40"/>
        <v>0</v>
      </c>
      <c r="G553" s="666"/>
      <c r="H553" s="666"/>
      <c r="I553" s="666">
        <f t="shared" si="41"/>
        <v>0</v>
      </c>
      <c r="J553" s="666"/>
      <c r="K553" s="665">
        <f t="shared" si="42"/>
        <v>0</v>
      </c>
      <c r="L553" s="666">
        <f t="shared" si="43"/>
        <v>0</v>
      </c>
      <c r="M553" s="672">
        <v>0</v>
      </c>
      <c r="N553" s="668">
        <f t="shared" si="44"/>
        <v>0</v>
      </c>
      <c r="O553" s="676"/>
      <c r="P553" s="676"/>
    </row>
    <row r="554" spans="1:17" s="677" customFormat="1" ht="45.75" hidden="1" customHeight="1">
      <c r="A554" s="690"/>
      <c r="B554" s="663" t="s">
        <v>1407</v>
      </c>
      <c r="C554" s="675">
        <f>[8]Data!K592</f>
        <v>537.51</v>
      </c>
      <c r="D554" s="674" t="s">
        <v>264</v>
      </c>
      <c r="E554" s="659"/>
      <c r="F554" s="666">
        <f t="shared" si="40"/>
        <v>0</v>
      </c>
      <c r="G554" s="666"/>
      <c r="H554" s="666"/>
      <c r="I554" s="666">
        <f t="shared" si="41"/>
        <v>0</v>
      </c>
      <c r="J554" s="666"/>
      <c r="K554" s="665">
        <f t="shared" si="42"/>
        <v>0</v>
      </c>
      <c r="L554" s="666">
        <f t="shared" si="43"/>
        <v>0</v>
      </c>
      <c r="M554" s="672">
        <v>0</v>
      </c>
      <c r="N554" s="668">
        <f t="shared" si="44"/>
        <v>0</v>
      </c>
      <c r="O554" s="676"/>
      <c r="P554" s="676"/>
    </row>
    <row r="555" spans="1:17" s="677" customFormat="1" ht="45.75" hidden="1" customHeight="1">
      <c r="A555" s="690"/>
      <c r="B555" s="663" t="s">
        <v>1408</v>
      </c>
      <c r="C555" s="675">
        <f>[8]Data!K593</f>
        <v>541.58000000000004</v>
      </c>
      <c r="D555" s="674" t="s">
        <v>264</v>
      </c>
      <c r="E555" s="659"/>
      <c r="F555" s="666">
        <f t="shared" si="40"/>
        <v>0</v>
      </c>
      <c r="G555" s="666"/>
      <c r="H555" s="666"/>
      <c r="I555" s="666">
        <f t="shared" si="41"/>
        <v>0</v>
      </c>
      <c r="J555" s="666"/>
      <c r="K555" s="665">
        <f t="shared" si="42"/>
        <v>0</v>
      </c>
      <c r="L555" s="666">
        <f t="shared" si="43"/>
        <v>0</v>
      </c>
      <c r="M555" s="672">
        <v>0</v>
      </c>
      <c r="N555" s="668">
        <f t="shared" si="44"/>
        <v>0</v>
      </c>
      <c r="O555" s="676"/>
      <c r="P555" s="676"/>
    </row>
    <row r="556" spans="1:17" s="677" customFormat="1" ht="36" hidden="1" customHeight="1">
      <c r="A556" s="690"/>
      <c r="B556" s="663" t="s">
        <v>1409</v>
      </c>
      <c r="C556" s="675">
        <f>[8]Data!K594</f>
        <v>545.65</v>
      </c>
      <c r="D556" s="674" t="s">
        <v>264</v>
      </c>
      <c r="E556" s="659"/>
      <c r="F556" s="666">
        <f t="shared" si="40"/>
        <v>0</v>
      </c>
      <c r="G556" s="666"/>
      <c r="H556" s="666"/>
      <c r="I556" s="666">
        <f t="shared" si="41"/>
        <v>0</v>
      </c>
      <c r="J556" s="666"/>
      <c r="K556" s="665">
        <f t="shared" si="42"/>
        <v>0</v>
      </c>
      <c r="L556" s="666">
        <f t="shared" si="43"/>
        <v>0</v>
      </c>
      <c r="M556" s="672">
        <v>0</v>
      </c>
      <c r="N556" s="668">
        <f t="shared" si="44"/>
        <v>0</v>
      </c>
      <c r="O556" s="676"/>
      <c r="P556" s="676"/>
    </row>
    <row r="557" spans="1:17" s="677" customFormat="1" ht="43.5" hidden="1" customHeight="1">
      <c r="A557" s="690"/>
      <c r="B557" s="663" t="s">
        <v>1406</v>
      </c>
      <c r="C557" s="675">
        <f>[8]Data!X590</f>
        <v>562.42999999999995</v>
      </c>
      <c r="D557" s="674" t="s">
        <v>264</v>
      </c>
      <c r="E557" s="659"/>
      <c r="F557" s="666">
        <f t="shared" si="40"/>
        <v>0</v>
      </c>
      <c r="G557" s="666"/>
      <c r="H557" s="666"/>
      <c r="I557" s="666">
        <f t="shared" si="41"/>
        <v>0</v>
      </c>
      <c r="J557" s="666"/>
      <c r="K557" s="665">
        <f t="shared" si="42"/>
        <v>0</v>
      </c>
      <c r="L557" s="666">
        <f t="shared" si="43"/>
        <v>0</v>
      </c>
      <c r="M557" s="672">
        <v>0</v>
      </c>
      <c r="N557" s="668">
        <f t="shared" si="44"/>
        <v>0</v>
      </c>
      <c r="O557" s="676"/>
      <c r="P557" s="676"/>
    </row>
    <row r="558" spans="1:17" s="677" customFormat="1" ht="36" hidden="1" customHeight="1">
      <c r="A558" s="690"/>
      <c r="B558" s="663" t="s">
        <v>1407</v>
      </c>
      <c r="C558" s="675">
        <f>[8]Data!X591</f>
        <v>570.57000000000005</v>
      </c>
      <c r="D558" s="674" t="s">
        <v>264</v>
      </c>
      <c r="E558" s="659"/>
      <c r="F558" s="666">
        <f t="shared" si="40"/>
        <v>0</v>
      </c>
      <c r="G558" s="666"/>
      <c r="H558" s="666"/>
      <c r="I558" s="666">
        <f t="shared" si="41"/>
        <v>0</v>
      </c>
      <c r="J558" s="666"/>
      <c r="K558" s="665">
        <f t="shared" si="42"/>
        <v>0</v>
      </c>
      <c r="L558" s="666">
        <f t="shared" si="43"/>
        <v>0</v>
      </c>
      <c r="M558" s="672">
        <v>0</v>
      </c>
      <c r="N558" s="668">
        <f t="shared" si="44"/>
        <v>0</v>
      </c>
      <c r="O558" s="676"/>
      <c r="P558" s="676"/>
    </row>
    <row r="559" spans="1:17" s="677" customFormat="1" ht="36" hidden="1" customHeight="1">
      <c r="A559" s="690"/>
      <c r="B559" s="663" t="s">
        <v>1408</v>
      </c>
      <c r="C559" s="675">
        <f>[8]Data!X592</f>
        <v>578.71</v>
      </c>
      <c r="D559" s="674" t="s">
        <v>264</v>
      </c>
      <c r="E559" s="659"/>
      <c r="F559" s="666">
        <f t="shared" si="40"/>
        <v>0</v>
      </c>
      <c r="G559" s="666"/>
      <c r="H559" s="666"/>
      <c r="I559" s="666">
        <f t="shared" si="41"/>
        <v>0</v>
      </c>
      <c r="J559" s="666"/>
      <c r="K559" s="665">
        <f t="shared" si="42"/>
        <v>0</v>
      </c>
      <c r="L559" s="666">
        <f t="shared" si="43"/>
        <v>0</v>
      </c>
      <c r="M559" s="672">
        <v>0</v>
      </c>
      <c r="N559" s="668">
        <f t="shared" si="44"/>
        <v>0</v>
      </c>
      <c r="O559" s="676"/>
      <c r="P559" s="676"/>
    </row>
    <row r="560" spans="1:17" s="677" customFormat="1" ht="36" hidden="1" customHeight="1">
      <c r="A560" s="690"/>
      <c r="B560" s="663" t="s">
        <v>1409</v>
      </c>
      <c r="C560" s="675">
        <f>[8]Data!X593</f>
        <v>586.85</v>
      </c>
      <c r="D560" s="674"/>
      <c r="E560" s="659"/>
      <c r="F560" s="666">
        <f t="shared" si="40"/>
        <v>0</v>
      </c>
      <c r="G560" s="666"/>
      <c r="H560" s="666"/>
      <c r="I560" s="666">
        <f t="shared" si="41"/>
        <v>0</v>
      </c>
      <c r="J560" s="666"/>
      <c r="K560" s="665">
        <f t="shared" si="42"/>
        <v>0</v>
      </c>
      <c r="L560" s="666">
        <f t="shared" si="43"/>
        <v>0</v>
      </c>
      <c r="M560" s="672">
        <v>0</v>
      </c>
      <c r="N560" s="668">
        <f t="shared" si="44"/>
        <v>0</v>
      </c>
      <c r="O560" s="676"/>
      <c r="P560" s="676"/>
    </row>
    <row r="561" spans="1:19" s="677" customFormat="1" ht="45.75" hidden="1" customHeight="1">
      <c r="A561" s="690"/>
      <c r="B561" s="685" t="s">
        <v>1710</v>
      </c>
      <c r="C561" s="675"/>
      <c r="D561" s="674"/>
      <c r="E561" s="659"/>
      <c r="F561" s="666">
        <f t="shared" si="40"/>
        <v>0</v>
      </c>
      <c r="G561" s="666"/>
      <c r="H561" s="666"/>
      <c r="I561" s="666">
        <f t="shared" si="41"/>
        <v>0</v>
      </c>
      <c r="J561" s="666"/>
      <c r="K561" s="665">
        <f t="shared" si="42"/>
        <v>0</v>
      </c>
      <c r="L561" s="666">
        <f t="shared" si="43"/>
        <v>0</v>
      </c>
      <c r="M561" s="672">
        <v>0</v>
      </c>
      <c r="N561" s="668">
        <f t="shared" si="44"/>
        <v>0</v>
      </c>
      <c r="O561" s="676"/>
      <c r="P561" s="676"/>
    </row>
    <row r="562" spans="1:19" s="677" customFormat="1" ht="25.5" hidden="1" customHeight="1">
      <c r="A562" s="690"/>
      <c r="B562" s="663" t="s">
        <v>1405</v>
      </c>
      <c r="C562" s="675">
        <f>[8]Data!K612</f>
        <v>1847.38</v>
      </c>
      <c r="D562" s="674" t="s">
        <v>264</v>
      </c>
      <c r="E562" s="659"/>
      <c r="F562" s="666">
        <f t="shared" si="40"/>
        <v>0</v>
      </c>
      <c r="G562" s="666"/>
      <c r="H562" s="666"/>
      <c r="I562" s="666">
        <f t="shared" si="41"/>
        <v>0</v>
      </c>
      <c r="J562" s="666"/>
      <c r="K562" s="665">
        <f t="shared" si="42"/>
        <v>0</v>
      </c>
      <c r="L562" s="666">
        <f t="shared" si="43"/>
        <v>0</v>
      </c>
      <c r="M562" s="672">
        <v>0</v>
      </c>
      <c r="N562" s="668">
        <f t="shared" si="44"/>
        <v>0</v>
      </c>
      <c r="O562" s="676"/>
      <c r="P562" s="676"/>
    </row>
    <row r="563" spans="1:19" s="677" customFormat="1" ht="25.5" hidden="1" customHeight="1">
      <c r="A563" s="690"/>
      <c r="B563" s="663" t="s">
        <v>1406</v>
      </c>
      <c r="C563" s="675">
        <f>[8]Data!K613</f>
        <v>1855.52</v>
      </c>
      <c r="D563" s="674" t="s">
        <v>264</v>
      </c>
      <c r="E563" s="659"/>
      <c r="F563" s="666">
        <f t="shared" si="40"/>
        <v>0</v>
      </c>
      <c r="G563" s="666"/>
      <c r="H563" s="666"/>
      <c r="I563" s="666">
        <f t="shared" si="41"/>
        <v>0</v>
      </c>
      <c r="J563" s="666"/>
      <c r="K563" s="665">
        <f t="shared" si="42"/>
        <v>0</v>
      </c>
      <c r="L563" s="666">
        <f t="shared" si="43"/>
        <v>0</v>
      </c>
      <c r="M563" s="672">
        <v>0</v>
      </c>
      <c r="N563" s="668">
        <f t="shared" si="44"/>
        <v>0</v>
      </c>
      <c r="O563" s="676"/>
      <c r="P563" s="676"/>
    </row>
    <row r="564" spans="1:19" s="677" customFormat="1" ht="25.5" hidden="1" customHeight="1">
      <c r="A564" s="690"/>
      <c r="B564" s="663" t="s">
        <v>1407</v>
      </c>
      <c r="C564" s="675">
        <f>[8]Data!K614</f>
        <v>1863.66</v>
      </c>
      <c r="D564" s="674" t="s">
        <v>264</v>
      </c>
      <c r="E564" s="659"/>
      <c r="F564" s="666">
        <f t="shared" si="40"/>
        <v>0</v>
      </c>
      <c r="G564" s="666"/>
      <c r="H564" s="666"/>
      <c r="I564" s="666">
        <f t="shared" si="41"/>
        <v>0</v>
      </c>
      <c r="J564" s="666"/>
      <c r="K564" s="665">
        <f t="shared" si="42"/>
        <v>0</v>
      </c>
      <c r="L564" s="666">
        <f t="shared" si="43"/>
        <v>0</v>
      </c>
      <c r="M564" s="672">
        <v>0</v>
      </c>
      <c r="N564" s="668">
        <f t="shared" si="44"/>
        <v>0</v>
      </c>
      <c r="O564" s="676"/>
      <c r="P564" s="676"/>
    </row>
    <row r="565" spans="1:19" s="677" customFormat="1" ht="25.5" hidden="1" customHeight="1">
      <c r="A565" s="690"/>
      <c r="B565" s="663" t="s">
        <v>1408</v>
      </c>
      <c r="C565" s="675">
        <f>[8]Data!K615</f>
        <v>1871.8</v>
      </c>
      <c r="D565" s="674" t="s">
        <v>264</v>
      </c>
      <c r="E565" s="659"/>
      <c r="F565" s="666">
        <f t="shared" si="40"/>
        <v>0</v>
      </c>
      <c r="G565" s="666"/>
      <c r="H565" s="666"/>
      <c r="I565" s="666">
        <f t="shared" si="41"/>
        <v>0</v>
      </c>
      <c r="J565" s="666"/>
      <c r="K565" s="665">
        <f t="shared" si="42"/>
        <v>0</v>
      </c>
      <c r="L565" s="666">
        <f t="shared" si="43"/>
        <v>0</v>
      </c>
      <c r="M565" s="672">
        <v>0</v>
      </c>
      <c r="N565" s="668">
        <f t="shared" si="44"/>
        <v>0</v>
      </c>
      <c r="O565" s="676"/>
      <c r="P565" s="676"/>
    </row>
    <row r="566" spans="1:19" s="677" customFormat="1" ht="25.5" hidden="1" customHeight="1">
      <c r="A566" s="690"/>
      <c r="B566" s="663" t="s">
        <v>1409</v>
      </c>
      <c r="C566" s="675">
        <f>[8]Data!K616</f>
        <v>1879.94</v>
      </c>
      <c r="D566" s="674" t="s">
        <v>264</v>
      </c>
      <c r="E566" s="659"/>
      <c r="F566" s="666">
        <f t="shared" si="40"/>
        <v>0</v>
      </c>
      <c r="G566" s="666"/>
      <c r="H566" s="666"/>
      <c r="I566" s="666">
        <f t="shared" si="41"/>
        <v>0</v>
      </c>
      <c r="J566" s="666"/>
      <c r="K566" s="665">
        <f t="shared" si="42"/>
        <v>0</v>
      </c>
      <c r="L566" s="666">
        <f t="shared" si="43"/>
        <v>0</v>
      </c>
      <c r="M566" s="672">
        <v>0</v>
      </c>
      <c r="N566" s="668">
        <f t="shared" si="44"/>
        <v>0</v>
      </c>
      <c r="O566" s="676"/>
      <c r="P566" s="676"/>
    </row>
    <row r="567" spans="1:19" ht="46.5" customHeight="1">
      <c r="A567" s="662">
        <v>29.8</v>
      </c>
      <c r="B567" s="663" t="s">
        <v>1711</v>
      </c>
      <c r="C567" s="667">
        <f>ROUND([8]Data!K1278,2)</f>
        <v>1239.77</v>
      </c>
      <c r="D567" s="663" t="s">
        <v>37</v>
      </c>
      <c r="E567" s="665">
        <f>[8]Detailed!H1250</f>
        <v>103.5</v>
      </c>
      <c r="F567" s="666">
        <f t="shared" si="40"/>
        <v>128316.19499999999</v>
      </c>
      <c r="G567" s="666"/>
      <c r="H567" s="666"/>
      <c r="I567" s="666">
        <f t="shared" si="41"/>
        <v>0</v>
      </c>
      <c r="J567" s="666"/>
      <c r="K567" s="665">
        <f t="shared" si="42"/>
        <v>103.5</v>
      </c>
      <c r="L567" s="666">
        <f t="shared" si="43"/>
        <v>128316.19499999999</v>
      </c>
      <c r="M567" s="672">
        <v>103.4</v>
      </c>
      <c r="N567" s="668">
        <f t="shared" si="44"/>
        <v>9.9999999999994316E-2</v>
      </c>
      <c r="S567" s="670">
        <f>43.34+32.51+10.84+3.6</f>
        <v>90.289999999999992</v>
      </c>
    </row>
    <row r="568" spans="1:19" s="677" customFormat="1" ht="25.5" hidden="1" customHeight="1">
      <c r="A568" s="662"/>
      <c r="B568" s="663" t="s">
        <v>1712</v>
      </c>
      <c r="C568" s="675">
        <f>ROUND([8]Data!K1264,2)</f>
        <v>1098.8499999999999</v>
      </c>
      <c r="D568" s="674" t="s">
        <v>37</v>
      </c>
      <c r="E568" s="659"/>
      <c r="F568" s="666">
        <f t="shared" si="40"/>
        <v>0</v>
      </c>
      <c r="G568" s="666"/>
      <c r="H568" s="666"/>
      <c r="I568" s="666">
        <f t="shared" si="41"/>
        <v>0</v>
      </c>
      <c r="J568" s="666"/>
      <c r="K568" s="665">
        <f t="shared" si="42"/>
        <v>0</v>
      </c>
      <c r="L568" s="666">
        <f t="shared" si="43"/>
        <v>0</v>
      </c>
      <c r="M568" s="672">
        <v>0</v>
      </c>
      <c r="N568" s="668">
        <f t="shared" si="44"/>
        <v>0</v>
      </c>
      <c r="O568" s="676"/>
      <c r="P568" s="676"/>
    </row>
    <row r="569" spans="1:19" ht="56.25" customHeight="1">
      <c r="A569" s="662">
        <v>29.9</v>
      </c>
      <c r="B569" s="663" t="s">
        <v>137</v>
      </c>
      <c r="C569" s="667">
        <f>ROUND([8]Data!K1264,2)</f>
        <v>1098.8499999999999</v>
      </c>
      <c r="D569" s="663" t="s">
        <v>37</v>
      </c>
      <c r="E569" s="665">
        <f>[8]Detailed!H1266</f>
        <v>20.100000000000001</v>
      </c>
      <c r="F569" s="666">
        <f t="shared" si="40"/>
        <v>22086.884999999998</v>
      </c>
      <c r="G569" s="666"/>
      <c r="H569" s="666"/>
      <c r="I569" s="666">
        <f t="shared" si="41"/>
        <v>0</v>
      </c>
      <c r="J569" s="666"/>
      <c r="K569" s="665">
        <f t="shared" si="42"/>
        <v>20.100000000000001</v>
      </c>
      <c r="L569" s="666">
        <f t="shared" si="43"/>
        <v>22086.884999999998</v>
      </c>
      <c r="M569" s="672">
        <v>20.100000000000001</v>
      </c>
      <c r="N569" s="668">
        <f t="shared" si="44"/>
        <v>0</v>
      </c>
      <c r="S569" s="670">
        <f>S567+1685</f>
        <v>1775.29</v>
      </c>
    </row>
    <row r="570" spans="1:19" ht="72.75" hidden="1" customHeight="1">
      <c r="A570" s="673">
        <v>38.4</v>
      </c>
      <c r="B570" s="674" t="s">
        <v>1713</v>
      </c>
      <c r="C570" s="675">
        <f>[8]Data!K2725</f>
        <v>114.39</v>
      </c>
      <c r="D570" s="674" t="s">
        <v>37</v>
      </c>
      <c r="E570" s="659"/>
      <c r="F570" s="666">
        <f t="shared" si="40"/>
        <v>0</v>
      </c>
      <c r="G570" s="666"/>
      <c r="H570" s="666"/>
      <c r="I570" s="666">
        <f t="shared" si="41"/>
        <v>0</v>
      </c>
      <c r="J570" s="666"/>
      <c r="K570" s="665">
        <f t="shared" si="42"/>
        <v>0</v>
      </c>
      <c r="L570" s="666">
        <f t="shared" si="43"/>
        <v>0</v>
      </c>
      <c r="M570" s="672">
        <v>0</v>
      </c>
      <c r="N570" s="668">
        <f t="shared" si="44"/>
        <v>0</v>
      </c>
    </row>
    <row r="571" spans="1:19" s="677" customFormat="1" ht="16.5" hidden="1" customHeight="1">
      <c r="A571" s="662">
        <v>38.5</v>
      </c>
      <c r="B571" s="663" t="s">
        <v>1536</v>
      </c>
      <c r="C571" s="675">
        <f>ROUND([8]Data!K1526,2)</f>
        <v>147.27000000000001</v>
      </c>
      <c r="D571" s="674" t="s">
        <v>37</v>
      </c>
      <c r="E571" s="659"/>
      <c r="F571" s="666">
        <f t="shared" si="40"/>
        <v>0</v>
      </c>
      <c r="G571" s="666"/>
      <c r="H571" s="666"/>
      <c r="I571" s="666">
        <f t="shared" si="41"/>
        <v>0</v>
      </c>
      <c r="J571" s="666"/>
      <c r="K571" s="665">
        <f t="shared" si="42"/>
        <v>0</v>
      </c>
      <c r="L571" s="666">
        <f t="shared" si="43"/>
        <v>0</v>
      </c>
      <c r="M571" s="672">
        <v>0</v>
      </c>
      <c r="N571" s="668">
        <f t="shared" si="44"/>
        <v>0</v>
      </c>
      <c r="O571" s="676"/>
      <c r="P571" s="676"/>
    </row>
    <row r="572" spans="1:19" ht="63" customHeight="1">
      <c r="A572" s="662">
        <v>38.6</v>
      </c>
      <c r="B572" s="663" t="s">
        <v>160</v>
      </c>
      <c r="C572" s="667">
        <f>ROUND([8]Data!K2716,2)</f>
        <v>53.72</v>
      </c>
      <c r="D572" s="663" t="s">
        <v>37</v>
      </c>
      <c r="E572" s="665">
        <f>[8]Detailed!H1408</f>
        <v>828</v>
      </c>
      <c r="F572" s="666">
        <f t="shared" si="40"/>
        <v>44480.159999999996</v>
      </c>
      <c r="G572" s="666"/>
      <c r="H572" s="666"/>
      <c r="I572" s="666">
        <f t="shared" si="41"/>
        <v>0</v>
      </c>
      <c r="J572" s="666"/>
      <c r="K572" s="665">
        <f t="shared" si="42"/>
        <v>828</v>
      </c>
      <c r="L572" s="666">
        <f t="shared" si="43"/>
        <v>44480.159999999996</v>
      </c>
      <c r="M572" s="672">
        <v>828</v>
      </c>
      <c r="N572" s="668">
        <f t="shared" si="44"/>
        <v>0</v>
      </c>
    </row>
    <row r="573" spans="1:19" s="677" customFormat="1" ht="73.5" hidden="1" customHeight="1">
      <c r="A573" s="662">
        <v>42</v>
      </c>
      <c r="B573" s="663" t="s">
        <v>1714</v>
      </c>
      <c r="C573" s="675">
        <f>ROUND([8]Data!K1582,2)</f>
        <v>80140.5</v>
      </c>
      <c r="D573" s="674" t="s">
        <v>58</v>
      </c>
      <c r="E573" s="659"/>
      <c r="F573" s="666">
        <f t="shared" si="40"/>
        <v>0</v>
      </c>
      <c r="G573" s="666"/>
      <c r="H573" s="666"/>
      <c r="I573" s="666">
        <f t="shared" si="41"/>
        <v>0</v>
      </c>
      <c r="J573" s="666"/>
      <c r="K573" s="665">
        <f t="shared" si="42"/>
        <v>0</v>
      </c>
      <c r="L573" s="666">
        <f t="shared" si="43"/>
        <v>0</v>
      </c>
      <c r="M573" s="672">
        <v>0</v>
      </c>
      <c r="N573" s="668">
        <f t="shared" si="44"/>
        <v>0</v>
      </c>
      <c r="O573" s="676"/>
      <c r="P573" s="676"/>
    </row>
    <row r="574" spans="1:19" ht="66" customHeight="1">
      <c r="A574" s="662">
        <v>43</v>
      </c>
      <c r="B574" s="663" t="s">
        <v>1715</v>
      </c>
      <c r="C574" s="667">
        <f>ROUND([8]Data!K1608,2)</f>
        <v>78398</v>
      </c>
      <c r="D574" s="663" t="s">
        <v>58</v>
      </c>
      <c r="E574" s="744">
        <f>[8]Detailed!H1441</f>
        <v>11.942</v>
      </c>
      <c r="F574" s="666">
        <f t="shared" si="40"/>
        <v>936228.91599999997</v>
      </c>
      <c r="G574" s="666"/>
      <c r="H574" s="666"/>
      <c r="I574" s="666">
        <f t="shared" si="41"/>
        <v>0</v>
      </c>
      <c r="J574" s="666"/>
      <c r="K574" s="744">
        <f t="shared" si="42"/>
        <v>11.942</v>
      </c>
      <c r="L574" s="666">
        <f t="shared" si="43"/>
        <v>936228.91599999997</v>
      </c>
      <c r="M574" s="672">
        <v>13.667</v>
      </c>
      <c r="N574" s="668">
        <f t="shared" si="44"/>
        <v>-1.7249999999999996</v>
      </c>
    </row>
    <row r="575" spans="1:19" ht="65.25" customHeight="1">
      <c r="A575" s="662">
        <v>44.6</v>
      </c>
      <c r="B575" s="706" t="s">
        <v>1716</v>
      </c>
      <c r="C575" s="667">
        <f>ROUND([8]Data!K1638,2)</f>
        <v>321.74</v>
      </c>
      <c r="D575" s="663" t="s">
        <v>61</v>
      </c>
      <c r="E575" s="665">
        <f>[8]Detailed!H1451</f>
        <v>57</v>
      </c>
      <c r="F575" s="666">
        <f t="shared" si="40"/>
        <v>18339.18</v>
      </c>
      <c r="G575" s="666"/>
      <c r="H575" s="666"/>
      <c r="I575" s="666">
        <f t="shared" si="41"/>
        <v>0</v>
      </c>
      <c r="J575" s="666"/>
      <c r="K575" s="665">
        <f t="shared" si="42"/>
        <v>57</v>
      </c>
      <c r="L575" s="666">
        <f t="shared" si="43"/>
        <v>18339.18</v>
      </c>
      <c r="M575" s="672">
        <v>57</v>
      </c>
      <c r="N575" s="668">
        <f t="shared" si="44"/>
        <v>0</v>
      </c>
    </row>
    <row r="576" spans="1:19" ht="47.25" hidden="1" customHeight="1">
      <c r="A576" s="746">
        <v>50.6</v>
      </c>
      <c r="B576" s="747" t="s">
        <v>71</v>
      </c>
      <c r="C576" s="748">
        <f>ROUND([8]Data!K2392,2)</f>
        <v>394.54</v>
      </c>
      <c r="D576" s="663" t="s">
        <v>37</v>
      </c>
      <c r="E576" s="665"/>
      <c r="F576" s="666">
        <f t="shared" si="40"/>
        <v>0</v>
      </c>
      <c r="G576" s="666"/>
      <c r="H576" s="666"/>
      <c r="I576" s="666">
        <f t="shared" si="41"/>
        <v>0</v>
      </c>
      <c r="J576" s="666"/>
      <c r="K576" s="665">
        <f t="shared" si="42"/>
        <v>0</v>
      </c>
      <c r="L576" s="666">
        <f t="shared" si="43"/>
        <v>0</v>
      </c>
      <c r="M576" s="672">
        <v>0</v>
      </c>
      <c r="N576" s="668">
        <f t="shared" si="44"/>
        <v>0</v>
      </c>
    </row>
    <row r="577" spans="1:17" ht="63.75" customHeight="1">
      <c r="A577" s="662">
        <v>52.4</v>
      </c>
      <c r="B577" s="704" t="s">
        <v>1717</v>
      </c>
      <c r="C577" s="667">
        <f>ROUND([8]Data!K2767,2)</f>
        <v>205.94</v>
      </c>
      <c r="D577" s="663" t="s">
        <v>61</v>
      </c>
      <c r="E577" s="665">
        <f>[8]Detailed!H1457</f>
        <v>41</v>
      </c>
      <c r="F577" s="666">
        <f t="shared" si="40"/>
        <v>8443.5399999999991</v>
      </c>
      <c r="G577" s="666"/>
      <c r="H577" s="666"/>
      <c r="I577" s="666">
        <f t="shared" si="41"/>
        <v>0</v>
      </c>
      <c r="J577" s="666"/>
      <c r="K577" s="665">
        <f t="shared" si="42"/>
        <v>41</v>
      </c>
      <c r="L577" s="666">
        <f t="shared" si="43"/>
        <v>8443.5399999999991</v>
      </c>
      <c r="M577" s="672">
        <v>41</v>
      </c>
      <c r="N577" s="668">
        <f t="shared" si="44"/>
        <v>0</v>
      </c>
    </row>
    <row r="578" spans="1:17" ht="55.5" hidden="1" customHeight="1">
      <c r="A578" s="662">
        <v>53.4</v>
      </c>
      <c r="B578" s="663" t="s">
        <v>38</v>
      </c>
      <c r="C578" s="667">
        <f>[8]Data!K1951</f>
        <v>1846</v>
      </c>
      <c r="D578" s="663" t="s">
        <v>522</v>
      </c>
      <c r="E578" s="665"/>
      <c r="F578" s="666">
        <f t="shared" si="40"/>
        <v>0</v>
      </c>
      <c r="G578" s="666"/>
      <c r="H578" s="666"/>
      <c r="I578" s="666">
        <f t="shared" si="41"/>
        <v>0</v>
      </c>
      <c r="J578" s="666"/>
      <c r="K578" s="665">
        <f t="shared" si="42"/>
        <v>0</v>
      </c>
      <c r="L578" s="666">
        <f t="shared" si="43"/>
        <v>0</v>
      </c>
      <c r="M578" s="672">
        <v>0</v>
      </c>
      <c r="N578" s="668">
        <f t="shared" si="44"/>
        <v>0</v>
      </c>
    </row>
    <row r="579" spans="1:17" ht="45.75" customHeight="1">
      <c r="A579" s="662"/>
      <c r="B579" s="663" t="s">
        <v>1718</v>
      </c>
      <c r="C579" s="667">
        <f>[8]Data!K3569</f>
        <v>3104.82</v>
      </c>
      <c r="D579" s="663" t="s">
        <v>522</v>
      </c>
      <c r="E579" s="665">
        <f>[8]Detailed!H1462</f>
        <v>6</v>
      </c>
      <c r="F579" s="666">
        <f t="shared" si="40"/>
        <v>18628.920000000002</v>
      </c>
      <c r="G579" s="666"/>
      <c r="H579" s="666"/>
      <c r="I579" s="666">
        <f t="shared" si="41"/>
        <v>0</v>
      </c>
      <c r="J579" s="666"/>
      <c r="K579" s="665">
        <f t="shared" si="42"/>
        <v>6</v>
      </c>
      <c r="L579" s="666">
        <f t="shared" si="43"/>
        <v>18628.920000000002</v>
      </c>
      <c r="M579" s="672">
        <v>6</v>
      </c>
      <c r="N579" s="668">
        <f t="shared" si="44"/>
        <v>0</v>
      </c>
    </row>
    <row r="580" spans="1:17" s="677" customFormat="1" ht="88.5" hidden="1" customHeight="1">
      <c r="A580" s="662">
        <v>54.3</v>
      </c>
      <c r="B580" s="663" t="s">
        <v>1719</v>
      </c>
      <c r="C580" s="675">
        <f>ROUND([8]Data!K1954,2)</f>
        <v>204</v>
      </c>
      <c r="D580" s="674" t="s">
        <v>522</v>
      </c>
      <c r="E580" s="659"/>
      <c r="F580" s="666">
        <f t="shared" si="40"/>
        <v>0</v>
      </c>
      <c r="G580" s="666"/>
      <c r="H580" s="666"/>
      <c r="I580" s="666">
        <f t="shared" si="41"/>
        <v>0</v>
      </c>
      <c r="J580" s="666"/>
      <c r="K580" s="665">
        <f t="shared" si="42"/>
        <v>0</v>
      </c>
      <c r="L580" s="666">
        <f t="shared" si="43"/>
        <v>0</v>
      </c>
      <c r="M580" s="672">
        <v>0</v>
      </c>
      <c r="N580" s="668">
        <f t="shared" si="44"/>
        <v>0</v>
      </c>
      <c r="O580" s="676"/>
      <c r="P580" s="676"/>
    </row>
    <row r="581" spans="1:17" s="677" customFormat="1" ht="72.75" hidden="1" customHeight="1">
      <c r="A581" s="662">
        <v>56.3</v>
      </c>
      <c r="B581" s="663" t="s">
        <v>1167</v>
      </c>
      <c r="C581" s="675">
        <f>ROUND([8]Data!K1977,2)</f>
        <v>3085.18</v>
      </c>
      <c r="D581" s="674" t="s">
        <v>522</v>
      </c>
      <c r="E581" s="659"/>
      <c r="F581" s="666">
        <f t="shared" si="40"/>
        <v>0</v>
      </c>
      <c r="G581" s="666"/>
      <c r="H581" s="666"/>
      <c r="I581" s="666">
        <f t="shared" si="41"/>
        <v>0</v>
      </c>
      <c r="J581" s="666"/>
      <c r="K581" s="665">
        <f t="shared" si="42"/>
        <v>0</v>
      </c>
      <c r="L581" s="666">
        <f t="shared" si="43"/>
        <v>0</v>
      </c>
      <c r="M581" s="672">
        <v>0</v>
      </c>
      <c r="N581" s="668">
        <f t="shared" si="44"/>
        <v>0</v>
      </c>
      <c r="O581" s="676"/>
      <c r="P581" s="676"/>
    </row>
    <row r="582" spans="1:17" s="677" customFormat="1" ht="86.25" hidden="1" customHeight="1">
      <c r="A582" s="662">
        <v>56.4</v>
      </c>
      <c r="B582" s="663" t="s">
        <v>1720</v>
      </c>
      <c r="C582" s="675">
        <f>ROUND([8]Data!K1998,2)</f>
        <v>4869.5600000000004</v>
      </c>
      <c r="D582" s="674" t="s">
        <v>522</v>
      </c>
      <c r="E582" s="659"/>
      <c r="F582" s="666">
        <f t="shared" si="40"/>
        <v>0</v>
      </c>
      <c r="G582" s="666"/>
      <c r="H582" s="666"/>
      <c r="I582" s="666">
        <f t="shared" si="41"/>
        <v>0</v>
      </c>
      <c r="J582" s="666"/>
      <c r="K582" s="665">
        <f t="shared" si="42"/>
        <v>0</v>
      </c>
      <c r="L582" s="666">
        <f t="shared" si="43"/>
        <v>0</v>
      </c>
      <c r="M582" s="672">
        <v>0</v>
      </c>
      <c r="N582" s="668">
        <f t="shared" si="44"/>
        <v>0</v>
      </c>
      <c r="O582" s="676"/>
      <c r="P582" s="676"/>
    </row>
    <row r="583" spans="1:17" ht="43.5" customHeight="1">
      <c r="A583" s="662">
        <v>58.3</v>
      </c>
      <c r="B583" s="685" t="s">
        <v>1721</v>
      </c>
      <c r="C583" s="667"/>
      <c r="D583" s="750"/>
      <c r="E583" s="1413"/>
      <c r="F583" s="666">
        <f t="shared" ref="F583:F647" si="45">E583*C583</f>
        <v>0</v>
      </c>
      <c r="G583" s="666"/>
      <c r="H583" s="666"/>
      <c r="I583" s="666">
        <f t="shared" ref="I583:I646" si="46">G583</f>
        <v>0</v>
      </c>
      <c r="J583" s="666"/>
      <c r="K583" s="665">
        <f t="shared" ref="K583:K646" si="47">E583</f>
        <v>0</v>
      </c>
      <c r="L583" s="666">
        <f t="shared" ref="L583:L646" si="48">C583*K583</f>
        <v>0</v>
      </c>
      <c r="M583" s="668">
        <v>0</v>
      </c>
      <c r="N583" s="668">
        <f t="shared" ref="N583:N646" si="49">K583-M583</f>
        <v>0</v>
      </c>
      <c r="O583" s="678"/>
      <c r="Q583" s="679"/>
    </row>
    <row r="584" spans="1:17" ht="48" customHeight="1">
      <c r="A584" s="662"/>
      <c r="B584" s="663" t="s">
        <v>1572</v>
      </c>
      <c r="C584" s="667">
        <f>ROUND([8]Data!K2063,2)</f>
        <v>657.29</v>
      </c>
      <c r="D584" s="663" t="s">
        <v>61</v>
      </c>
      <c r="E584" s="665">
        <f>[8]Detailed!H1475</f>
        <v>75</v>
      </c>
      <c r="F584" s="666">
        <f t="shared" si="45"/>
        <v>49296.75</v>
      </c>
      <c r="G584" s="666"/>
      <c r="H584" s="666"/>
      <c r="I584" s="666">
        <f t="shared" si="46"/>
        <v>0</v>
      </c>
      <c r="J584" s="666"/>
      <c r="K584" s="665">
        <f t="shared" si="47"/>
        <v>75</v>
      </c>
      <c r="L584" s="666">
        <f t="shared" si="48"/>
        <v>49296.75</v>
      </c>
      <c r="M584" s="672">
        <v>75</v>
      </c>
      <c r="N584" s="668">
        <f t="shared" si="49"/>
        <v>0</v>
      </c>
    </row>
    <row r="585" spans="1:17" ht="48" customHeight="1">
      <c r="A585" s="667"/>
      <c r="B585" s="663" t="s">
        <v>1573</v>
      </c>
      <c r="C585" s="667">
        <f>ROUND([8]Data!K2087,2)</f>
        <v>541.41999999999996</v>
      </c>
      <c r="D585" s="663" t="s">
        <v>61</v>
      </c>
      <c r="E585" s="665">
        <f>[8]Detailed!H1483</f>
        <v>66</v>
      </c>
      <c r="F585" s="666">
        <f t="shared" si="45"/>
        <v>35733.719999999994</v>
      </c>
      <c r="G585" s="666"/>
      <c r="H585" s="666"/>
      <c r="I585" s="666">
        <f t="shared" si="46"/>
        <v>0</v>
      </c>
      <c r="J585" s="666"/>
      <c r="K585" s="665">
        <f t="shared" si="47"/>
        <v>66</v>
      </c>
      <c r="L585" s="666">
        <f t="shared" si="48"/>
        <v>35733.719999999994</v>
      </c>
      <c r="M585" s="672">
        <v>66</v>
      </c>
      <c r="N585" s="668">
        <f t="shared" si="49"/>
        <v>0</v>
      </c>
    </row>
    <row r="586" spans="1:17" ht="78.75" customHeight="1">
      <c r="A586" s="662">
        <v>58.4</v>
      </c>
      <c r="B586" s="663" t="s">
        <v>1722</v>
      </c>
      <c r="C586" s="667">
        <f>ROUND([8]Data!K2888,2)</f>
        <v>81.2</v>
      </c>
      <c r="D586" s="750" t="s">
        <v>61</v>
      </c>
      <c r="E586" s="1413">
        <f>[8]Detailed!H1487</f>
        <v>6</v>
      </c>
      <c r="F586" s="666">
        <f t="shared" si="45"/>
        <v>487.20000000000005</v>
      </c>
      <c r="G586" s="666"/>
      <c r="H586" s="666"/>
      <c r="I586" s="666">
        <f t="shared" si="46"/>
        <v>0</v>
      </c>
      <c r="J586" s="666"/>
      <c r="K586" s="665">
        <f t="shared" si="47"/>
        <v>6</v>
      </c>
      <c r="L586" s="666">
        <f t="shared" si="48"/>
        <v>487.20000000000005</v>
      </c>
      <c r="M586" s="672">
        <v>6</v>
      </c>
      <c r="N586" s="668">
        <f t="shared" si="49"/>
        <v>0</v>
      </c>
    </row>
    <row r="587" spans="1:17" ht="61.5" hidden="1" customHeight="1">
      <c r="A587" s="662">
        <v>58.5</v>
      </c>
      <c r="B587" s="663" t="s">
        <v>1723</v>
      </c>
      <c r="C587" s="667">
        <f>ROUND([8]Data!K2098,2)</f>
        <v>450.1</v>
      </c>
      <c r="D587" s="750" t="s">
        <v>522</v>
      </c>
      <c r="E587" s="1413"/>
      <c r="F587" s="666">
        <f t="shared" si="45"/>
        <v>0</v>
      </c>
      <c r="G587" s="666"/>
      <c r="H587" s="666"/>
      <c r="I587" s="666">
        <f t="shared" si="46"/>
        <v>0</v>
      </c>
      <c r="J587" s="666"/>
      <c r="K587" s="665">
        <f t="shared" si="47"/>
        <v>0</v>
      </c>
      <c r="L587" s="666">
        <f t="shared" si="48"/>
        <v>0</v>
      </c>
      <c r="M587" s="672">
        <v>0</v>
      </c>
      <c r="N587" s="668">
        <f t="shared" si="49"/>
        <v>0</v>
      </c>
    </row>
    <row r="588" spans="1:17" ht="92.25" customHeight="1">
      <c r="A588" s="662"/>
      <c r="B588" s="685" t="s">
        <v>1724</v>
      </c>
      <c r="C588" s="667"/>
      <c r="D588" s="750"/>
      <c r="E588" s="1413"/>
      <c r="F588" s="666">
        <f t="shared" si="45"/>
        <v>0</v>
      </c>
      <c r="G588" s="666"/>
      <c r="H588" s="666"/>
      <c r="I588" s="666">
        <f t="shared" si="46"/>
        <v>0</v>
      </c>
      <c r="J588" s="666"/>
      <c r="K588" s="665">
        <f t="shared" si="47"/>
        <v>0</v>
      </c>
      <c r="L588" s="666">
        <f t="shared" si="48"/>
        <v>0</v>
      </c>
      <c r="M588" s="668">
        <v>0</v>
      </c>
      <c r="N588" s="668">
        <f t="shared" si="49"/>
        <v>0</v>
      </c>
    </row>
    <row r="589" spans="1:17" ht="47.25" customHeight="1">
      <c r="A589" s="662"/>
      <c r="B589" s="663" t="s">
        <v>168</v>
      </c>
      <c r="C589" s="667">
        <f>[8]Data!K2261</f>
        <v>1499.29</v>
      </c>
      <c r="D589" s="751" t="s">
        <v>522</v>
      </c>
      <c r="E589" s="1413">
        <f>[8]Detailed!H1516</f>
        <v>39</v>
      </c>
      <c r="F589" s="666">
        <f t="shared" si="45"/>
        <v>58472.31</v>
      </c>
      <c r="G589" s="666"/>
      <c r="H589" s="666"/>
      <c r="I589" s="666">
        <f t="shared" si="46"/>
        <v>0</v>
      </c>
      <c r="J589" s="666"/>
      <c r="K589" s="665">
        <f t="shared" si="47"/>
        <v>39</v>
      </c>
      <c r="L589" s="666">
        <f t="shared" si="48"/>
        <v>58472.31</v>
      </c>
      <c r="M589" s="672">
        <v>39</v>
      </c>
      <c r="N589" s="668">
        <f t="shared" si="49"/>
        <v>0</v>
      </c>
    </row>
    <row r="590" spans="1:17" ht="47.25" customHeight="1">
      <c r="A590" s="662"/>
      <c r="B590" s="663" t="s">
        <v>170</v>
      </c>
      <c r="C590" s="667">
        <f>[8]Data!K2262</f>
        <v>1503.34</v>
      </c>
      <c r="D590" s="751" t="s">
        <v>522</v>
      </c>
      <c r="E590" s="1413">
        <f>[8]Detailed!H1537</f>
        <v>23</v>
      </c>
      <c r="F590" s="666">
        <f t="shared" si="45"/>
        <v>34576.82</v>
      </c>
      <c r="G590" s="666"/>
      <c r="H590" s="666"/>
      <c r="I590" s="666">
        <f t="shared" si="46"/>
        <v>0</v>
      </c>
      <c r="J590" s="666"/>
      <c r="K590" s="665">
        <f t="shared" si="47"/>
        <v>23</v>
      </c>
      <c r="L590" s="666">
        <f t="shared" si="48"/>
        <v>34576.82</v>
      </c>
      <c r="M590" s="672">
        <v>23</v>
      </c>
      <c r="N590" s="668">
        <f t="shared" si="49"/>
        <v>0</v>
      </c>
    </row>
    <row r="591" spans="1:17" ht="47.25" customHeight="1">
      <c r="A591" s="667"/>
      <c r="B591" s="663" t="s">
        <v>1591</v>
      </c>
      <c r="C591" s="667">
        <f>[8]Data!K2263</f>
        <v>1531.07</v>
      </c>
      <c r="D591" s="751" t="s">
        <v>522</v>
      </c>
      <c r="E591" s="1413">
        <f>[8]Detailed!H1541</f>
        <v>2</v>
      </c>
      <c r="F591" s="666">
        <f t="shared" si="45"/>
        <v>3062.14</v>
      </c>
      <c r="G591" s="666"/>
      <c r="H591" s="666"/>
      <c r="I591" s="666">
        <f t="shared" si="46"/>
        <v>0</v>
      </c>
      <c r="J591" s="666"/>
      <c r="K591" s="665">
        <f t="shared" si="47"/>
        <v>2</v>
      </c>
      <c r="L591" s="666">
        <f t="shared" si="48"/>
        <v>3062.14</v>
      </c>
      <c r="M591" s="672">
        <v>2</v>
      </c>
      <c r="N591" s="668">
        <f t="shared" si="49"/>
        <v>0</v>
      </c>
    </row>
    <row r="592" spans="1:17" ht="90.75" customHeight="1">
      <c r="A592" s="662">
        <v>65.099999999999994</v>
      </c>
      <c r="B592" s="663" t="s">
        <v>1725</v>
      </c>
      <c r="C592" s="667">
        <f>[8]Data!K2264</f>
        <v>1565.5</v>
      </c>
      <c r="D592" s="751" t="s">
        <v>522</v>
      </c>
      <c r="E592" s="1413">
        <f>[8]Detailed!H1555</f>
        <v>17</v>
      </c>
      <c r="F592" s="666">
        <f t="shared" si="45"/>
        <v>26613.5</v>
      </c>
      <c r="G592" s="666"/>
      <c r="H592" s="666"/>
      <c r="I592" s="666">
        <f t="shared" si="46"/>
        <v>0</v>
      </c>
      <c r="J592" s="666"/>
      <c r="K592" s="665">
        <f t="shared" si="47"/>
        <v>17</v>
      </c>
      <c r="L592" s="666">
        <f t="shared" si="48"/>
        <v>26613.5</v>
      </c>
      <c r="M592" s="672">
        <v>17</v>
      </c>
      <c r="N592" s="668">
        <f t="shared" si="49"/>
        <v>0</v>
      </c>
    </row>
    <row r="593" spans="1:16" ht="93" customHeight="1">
      <c r="A593" s="662">
        <v>66.099999999999994</v>
      </c>
      <c r="B593" s="663" t="s">
        <v>1726</v>
      </c>
      <c r="C593" s="667">
        <f>[8]Data!K2265</f>
        <v>2802.19</v>
      </c>
      <c r="D593" s="751" t="s">
        <v>522</v>
      </c>
      <c r="E593" s="1413">
        <f>[8]Detailed!H1559</f>
        <v>2</v>
      </c>
      <c r="F593" s="666">
        <f t="shared" si="45"/>
        <v>5604.38</v>
      </c>
      <c r="G593" s="666"/>
      <c r="H593" s="666"/>
      <c r="I593" s="666">
        <f t="shared" si="46"/>
        <v>0</v>
      </c>
      <c r="J593" s="666"/>
      <c r="K593" s="665">
        <f t="shared" si="47"/>
        <v>2</v>
      </c>
      <c r="L593" s="666">
        <f t="shared" si="48"/>
        <v>5604.38</v>
      </c>
      <c r="M593" s="672">
        <v>2</v>
      </c>
      <c r="N593" s="668">
        <f t="shared" si="49"/>
        <v>0</v>
      </c>
    </row>
    <row r="594" spans="1:16" ht="120.75" customHeight="1">
      <c r="A594" s="662">
        <v>67.099999999999994</v>
      </c>
      <c r="B594" s="663" t="s">
        <v>1727</v>
      </c>
      <c r="C594" s="667">
        <f>[8]Data!K2266</f>
        <v>764.91</v>
      </c>
      <c r="D594" s="751" t="s">
        <v>522</v>
      </c>
      <c r="E594" s="1413">
        <f>[8]Detailed!H1575</f>
        <v>14</v>
      </c>
      <c r="F594" s="666">
        <f t="shared" si="45"/>
        <v>10708.74</v>
      </c>
      <c r="G594" s="666"/>
      <c r="H594" s="666"/>
      <c r="I594" s="666">
        <f t="shared" si="46"/>
        <v>0</v>
      </c>
      <c r="J594" s="666"/>
      <c r="K594" s="665">
        <f t="shared" si="47"/>
        <v>14</v>
      </c>
      <c r="L594" s="666">
        <f t="shared" si="48"/>
        <v>10708.74</v>
      </c>
      <c r="M594" s="672">
        <v>14</v>
      </c>
      <c r="N594" s="668">
        <f t="shared" si="49"/>
        <v>0</v>
      </c>
    </row>
    <row r="595" spans="1:16" ht="114.75" customHeight="1">
      <c r="A595" s="662">
        <v>68.2</v>
      </c>
      <c r="B595" s="663" t="s">
        <v>1728</v>
      </c>
      <c r="C595" s="667">
        <f>[8]Data!K2267</f>
        <v>1041.2</v>
      </c>
      <c r="D595" s="751" t="s">
        <v>522</v>
      </c>
      <c r="E595" s="1413">
        <f>[8]Detailed!H1587</f>
        <v>14</v>
      </c>
      <c r="F595" s="666">
        <f t="shared" si="45"/>
        <v>14576.800000000001</v>
      </c>
      <c r="G595" s="666"/>
      <c r="H595" s="666"/>
      <c r="I595" s="666">
        <f t="shared" si="46"/>
        <v>0</v>
      </c>
      <c r="J595" s="666"/>
      <c r="K595" s="665">
        <f t="shared" si="47"/>
        <v>14</v>
      </c>
      <c r="L595" s="666">
        <f t="shared" si="48"/>
        <v>14576.800000000001</v>
      </c>
      <c r="M595" s="672">
        <v>14</v>
      </c>
      <c r="N595" s="668">
        <f t="shared" si="49"/>
        <v>0</v>
      </c>
    </row>
    <row r="596" spans="1:16" s="677" customFormat="1" ht="60.75" hidden="1" customHeight="1">
      <c r="A596" s="662">
        <v>70.5</v>
      </c>
      <c r="B596" s="663" t="s">
        <v>1729</v>
      </c>
      <c r="C596" s="675">
        <f>[8]Elec.Data!K3781</f>
        <v>501.49</v>
      </c>
      <c r="D596" s="742" t="s">
        <v>522</v>
      </c>
      <c r="E596" s="1411"/>
      <c r="F596" s="666">
        <f t="shared" si="45"/>
        <v>0</v>
      </c>
      <c r="G596" s="666"/>
      <c r="H596" s="666"/>
      <c r="I596" s="666">
        <f t="shared" si="46"/>
        <v>0</v>
      </c>
      <c r="J596" s="666"/>
      <c r="K596" s="665">
        <f t="shared" si="47"/>
        <v>0</v>
      </c>
      <c r="L596" s="666">
        <f t="shared" si="48"/>
        <v>0</v>
      </c>
      <c r="M596" s="672">
        <v>0</v>
      </c>
      <c r="N596" s="668">
        <f t="shared" si="49"/>
        <v>0</v>
      </c>
      <c r="O596" s="676"/>
      <c r="P596" s="676"/>
    </row>
    <row r="597" spans="1:16" ht="63.75" customHeight="1">
      <c r="A597" s="667"/>
      <c r="B597" s="663" t="s">
        <v>1730</v>
      </c>
      <c r="C597" s="667">
        <f>ROUND([8]Data!K3038,2)</f>
        <v>1437.4</v>
      </c>
      <c r="D597" s="751" t="s">
        <v>522</v>
      </c>
      <c r="E597" s="1413">
        <f>[8]Detailed!H1592</f>
        <v>17</v>
      </c>
      <c r="F597" s="666">
        <f t="shared" si="45"/>
        <v>24435.800000000003</v>
      </c>
      <c r="G597" s="666"/>
      <c r="H597" s="666"/>
      <c r="I597" s="666">
        <f t="shared" si="46"/>
        <v>0</v>
      </c>
      <c r="J597" s="666"/>
      <c r="K597" s="665">
        <f t="shared" si="47"/>
        <v>17</v>
      </c>
      <c r="L597" s="666">
        <f t="shared" si="48"/>
        <v>24435.800000000003</v>
      </c>
      <c r="M597" s="672">
        <v>17</v>
      </c>
      <c r="N597" s="668">
        <f t="shared" si="49"/>
        <v>0</v>
      </c>
    </row>
    <row r="598" spans="1:16" ht="87" hidden="1" customHeight="1">
      <c r="A598" s="667"/>
      <c r="B598" s="663" t="s">
        <v>1731</v>
      </c>
      <c r="C598" s="667">
        <f>[8]Data!K2283</f>
        <v>246.68</v>
      </c>
      <c r="D598" s="750" t="s">
        <v>61</v>
      </c>
      <c r="E598" s="1413"/>
      <c r="F598" s="666">
        <f t="shared" si="45"/>
        <v>0</v>
      </c>
      <c r="G598" s="666"/>
      <c r="H598" s="666"/>
      <c r="I598" s="666">
        <f t="shared" si="46"/>
        <v>0</v>
      </c>
      <c r="J598" s="666"/>
      <c r="K598" s="665">
        <f t="shared" si="47"/>
        <v>0</v>
      </c>
      <c r="L598" s="666">
        <f t="shared" si="48"/>
        <v>0</v>
      </c>
      <c r="M598" s="672">
        <v>0</v>
      </c>
      <c r="N598" s="668">
        <f t="shared" si="49"/>
        <v>0</v>
      </c>
    </row>
    <row r="599" spans="1:16" s="677" customFormat="1" ht="84.75" hidden="1" customHeight="1">
      <c r="A599" s="662">
        <v>77.5</v>
      </c>
      <c r="B599" s="663" t="s">
        <v>1732</v>
      </c>
      <c r="C599" s="675">
        <f>ROUND([8]Data!K2282,2)</f>
        <v>192.58</v>
      </c>
      <c r="D599" s="752" t="s">
        <v>61</v>
      </c>
      <c r="E599" s="1411"/>
      <c r="F599" s="666">
        <f t="shared" si="45"/>
        <v>0</v>
      </c>
      <c r="G599" s="666"/>
      <c r="H599" s="666"/>
      <c r="I599" s="666">
        <f t="shared" si="46"/>
        <v>0</v>
      </c>
      <c r="J599" s="666"/>
      <c r="K599" s="665">
        <f t="shared" si="47"/>
        <v>0</v>
      </c>
      <c r="L599" s="666">
        <f t="shared" si="48"/>
        <v>0</v>
      </c>
      <c r="M599" s="672">
        <v>0</v>
      </c>
      <c r="N599" s="668">
        <f t="shared" si="49"/>
        <v>0</v>
      </c>
      <c r="O599" s="676"/>
      <c r="P599" s="676"/>
    </row>
    <row r="600" spans="1:16" ht="102" hidden="1" customHeight="1">
      <c r="A600" s="673"/>
      <c r="B600" s="674" t="s">
        <v>1731</v>
      </c>
      <c r="C600" s="675">
        <f>ROUND([8]Data!K2283,2)</f>
        <v>246.68</v>
      </c>
      <c r="D600" s="752" t="s">
        <v>61</v>
      </c>
      <c r="E600" s="1411"/>
      <c r="F600" s="666">
        <f t="shared" si="45"/>
        <v>0</v>
      </c>
      <c r="G600" s="666"/>
      <c r="H600" s="666"/>
      <c r="I600" s="666">
        <f t="shared" si="46"/>
        <v>0</v>
      </c>
      <c r="J600" s="666"/>
      <c r="K600" s="665">
        <f t="shared" si="47"/>
        <v>0</v>
      </c>
      <c r="L600" s="666">
        <f t="shared" si="48"/>
        <v>0</v>
      </c>
      <c r="M600" s="672">
        <v>0</v>
      </c>
      <c r="N600" s="668">
        <f t="shared" si="49"/>
        <v>0</v>
      </c>
    </row>
    <row r="601" spans="1:16" ht="71.25" customHeight="1">
      <c r="A601" s="662"/>
      <c r="B601" s="663" t="s">
        <v>397</v>
      </c>
      <c r="C601" s="667">
        <f>[8]Elec.Data!K3539</f>
        <v>251.18</v>
      </c>
      <c r="D601" s="750" t="s">
        <v>61</v>
      </c>
      <c r="E601" s="1413">
        <f>[8]Detailed!H1606</f>
        <v>30</v>
      </c>
      <c r="F601" s="666">
        <f t="shared" si="45"/>
        <v>7535.4000000000005</v>
      </c>
      <c r="G601" s="666"/>
      <c r="H601" s="666"/>
      <c r="I601" s="666">
        <f t="shared" si="46"/>
        <v>0</v>
      </c>
      <c r="J601" s="666"/>
      <c r="K601" s="665">
        <f t="shared" si="47"/>
        <v>30</v>
      </c>
      <c r="L601" s="666">
        <f t="shared" si="48"/>
        <v>7535.4000000000005</v>
      </c>
      <c r="M601" s="672">
        <v>30</v>
      </c>
      <c r="N601" s="668">
        <f t="shared" si="49"/>
        <v>0</v>
      </c>
    </row>
    <row r="602" spans="1:16" s="677" customFormat="1" ht="91.5" customHeight="1">
      <c r="A602" s="662"/>
      <c r="B602" s="663" t="s">
        <v>1134</v>
      </c>
      <c r="C602" s="667">
        <f>C920</f>
        <v>209.78</v>
      </c>
      <c r="D602" s="753" t="s">
        <v>61</v>
      </c>
      <c r="E602" s="665">
        <f>[8]Detailed!H1602</f>
        <v>175</v>
      </c>
      <c r="F602" s="666">
        <f t="shared" si="45"/>
        <v>36711.5</v>
      </c>
      <c r="G602" s="666"/>
      <c r="H602" s="666"/>
      <c r="I602" s="666">
        <f t="shared" si="46"/>
        <v>0</v>
      </c>
      <c r="J602" s="666"/>
      <c r="K602" s="665">
        <f t="shared" si="47"/>
        <v>175</v>
      </c>
      <c r="L602" s="666">
        <f t="shared" si="48"/>
        <v>36711.5</v>
      </c>
      <c r="M602" s="672">
        <v>0</v>
      </c>
      <c r="N602" s="668">
        <f t="shared" si="49"/>
        <v>175</v>
      </c>
      <c r="O602" s="676"/>
      <c r="P602" s="676"/>
    </row>
    <row r="603" spans="1:16" s="677" customFormat="1" ht="59.25" hidden="1" customHeight="1">
      <c r="A603" s="662"/>
      <c r="B603" s="754" t="s">
        <v>1733</v>
      </c>
      <c r="C603" s="675">
        <f>[8]Elec.Data!R3119</f>
        <v>457.07</v>
      </c>
      <c r="D603" s="755" t="s">
        <v>61</v>
      </c>
      <c r="E603" s="659"/>
      <c r="F603" s="666">
        <f t="shared" si="45"/>
        <v>0</v>
      </c>
      <c r="G603" s="666"/>
      <c r="H603" s="666"/>
      <c r="I603" s="666">
        <f t="shared" si="46"/>
        <v>0</v>
      </c>
      <c r="J603" s="666"/>
      <c r="K603" s="665">
        <f t="shared" si="47"/>
        <v>0</v>
      </c>
      <c r="L603" s="666">
        <f t="shared" si="48"/>
        <v>0</v>
      </c>
      <c r="M603" s="672">
        <v>0</v>
      </c>
      <c r="N603" s="668">
        <f t="shared" si="49"/>
        <v>0</v>
      </c>
      <c r="O603" s="676"/>
      <c r="P603" s="676"/>
    </row>
    <row r="604" spans="1:16" s="677" customFormat="1" ht="66.75" hidden="1" customHeight="1">
      <c r="A604" s="662"/>
      <c r="B604" s="754" t="s">
        <v>1734</v>
      </c>
      <c r="C604" s="675">
        <f>[8]Elec.Data!R3133</f>
        <v>589.27</v>
      </c>
      <c r="D604" s="755" t="s">
        <v>61</v>
      </c>
      <c r="E604" s="659"/>
      <c r="F604" s="666">
        <f t="shared" si="45"/>
        <v>0</v>
      </c>
      <c r="G604" s="666"/>
      <c r="H604" s="666"/>
      <c r="I604" s="666">
        <f t="shared" si="46"/>
        <v>0</v>
      </c>
      <c r="J604" s="666"/>
      <c r="K604" s="665">
        <f t="shared" si="47"/>
        <v>0</v>
      </c>
      <c r="L604" s="666">
        <f t="shared" si="48"/>
        <v>0</v>
      </c>
      <c r="M604" s="672">
        <v>0</v>
      </c>
      <c r="N604" s="668">
        <f t="shared" si="49"/>
        <v>0</v>
      </c>
      <c r="O604" s="676"/>
      <c r="P604" s="676"/>
    </row>
    <row r="605" spans="1:16" ht="42" customHeight="1">
      <c r="A605" s="662">
        <v>112.1</v>
      </c>
      <c r="B605" s="663" t="s">
        <v>1735</v>
      </c>
      <c r="C605" s="667">
        <f>[8]Data!K3018</f>
        <v>1942.75</v>
      </c>
      <c r="D605" s="751" t="s">
        <v>522</v>
      </c>
      <c r="E605" s="1413">
        <f>[8]Detailed!H1634</f>
        <v>5</v>
      </c>
      <c r="F605" s="666">
        <f t="shared" si="45"/>
        <v>9713.75</v>
      </c>
      <c r="G605" s="666"/>
      <c r="H605" s="666"/>
      <c r="I605" s="666">
        <f t="shared" si="46"/>
        <v>0</v>
      </c>
      <c r="J605" s="666"/>
      <c r="K605" s="665">
        <f t="shared" si="47"/>
        <v>5</v>
      </c>
      <c r="L605" s="666">
        <f t="shared" si="48"/>
        <v>9713.75</v>
      </c>
      <c r="M605" s="672">
        <v>5</v>
      </c>
      <c r="N605" s="668">
        <f t="shared" si="49"/>
        <v>0</v>
      </c>
    </row>
    <row r="606" spans="1:16" s="677" customFormat="1" ht="46.5" hidden="1" customHeight="1">
      <c r="A606" s="662"/>
      <c r="B606" s="685" t="s">
        <v>1736</v>
      </c>
      <c r="C606" s="675"/>
      <c r="D606" s="742"/>
      <c r="E606" s="1411"/>
      <c r="F606" s="666">
        <f t="shared" si="45"/>
        <v>0</v>
      </c>
      <c r="G606" s="666"/>
      <c r="H606" s="666"/>
      <c r="I606" s="666">
        <f t="shared" si="46"/>
        <v>0</v>
      </c>
      <c r="J606" s="666"/>
      <c r="K606" s="665">
        <f t="shared" si="47"/>
        <v>0</v>
      </c>
      <c r="L606" s="666">
        <f t="shared" si="48"/>
        <v>0</v>
      </c>
      <c r="M606" s="672">
        <v>0</v>
      </c>
      <c r="N606" s="668">
        <f t="shared" si="49"/>
        <v>0</v>
      </c>
      <c r="O606" s="676"/>
      <c r="P606" s="676"/>
    </row>
    <row r="607" spans="1:16" s="677" customFormat="1" ht="51.75" hidden="1" customHeight="1">
      <c r="A607" s="662"/>
      <c r="B607" s="663" t="s">
        <v>1737</v>
      </c>
      <c r="C607" s="675">
        <f>ROUND([8]Data!K3031,2)</f>
        <v>130</v>
      </c>
      <c r="D607" s="742" t="s">
        <v>522</v>
      </c>
      <c r="E607" s="1411"/>
      <c r="F607" s="666">
        <f t="shared" si="45"/>
        <v>0</v>
      </c>
      <c r="G607" s="666"/>
      <c r="H607" s="666"/>
      <c r="I607" s="666">
        <f t="shared" si="46"/>
        <v>0</v>
      </c>
      <c r="J607" s="666"/>
      <c r="K607" s="665">
        <f t="shared" si="47"/>
        <v>0</v>
      </c>
      <c r="L607" s="666">
        <f t="shared" si="48"/>
        <v>0</v>
      </c>
      <c r="M607" s="672">
        <v>0</v>
      </c>
      <c r="N607" s="668">
        <f t="shared" si="49"/>
        <v>0</v>
      </c>
      <c r="O607" s="676"/>
      <c r="P607" s="676"/>
    </row>
    <row r="608" spans="1:16" s="677" customFormat="1" ht="51.75" hidden="1" customHeight="1">
      <c r="A608" s="662"/>
      <c r="B608" s="663" t="s">
        <v>1738</v>
      </c>
      <c r="C608" s="675">
        <f>[8]Data!K3033</f>
        <v>170</v>
      </c>
      <c r="D608" s="742" t="s">
        <v>522</v>
      </c>
      <c r="E608" s="1411"/>
      <c r="F608" s="666">
        <f t="shared" si="45"/>
        <v>0</v>
      </c>
      <c r="G608" s="666"/>
      <c r="H608" s="666"/>
      <c r="I608" s="666">
        <f t="shared" si="46"/>
        <v>0</v>
      </c>
      <c r="J608" s="666"/>
      <c r="K608" s="665">
        <f t="shared" si="47"/>
        <v>0</v>
      </c>
      <c r="L608" s="666">
        <f t="shared" si="48"/>
        <v>0</v>
      </c>
      <c r="M608" s="672">
        <v>0</v>
      </c>
      <c r="N608" s="668">
        <f t="shared" si="49"/>
        <v>0</v>
      </c>
      <c r="O608" s="676"/>
      <c r="P608" s="676"/>
    </row>
    <row r="609" spans="1:16" s="677" customFormat="1" ht="39" hidden="1" customHeight="1">
      <c r="A609" s="662"/>
      <c r="B609" s="663" t="s">
        <v>1739</v>
      </c>
      <c r="C609" s="675">
        <f>[8]Data!K3036</f>
        <v>443</v>
      </c>
      <c r="D609" s="742" t="s">
        <v>522</v>
      </c>
      <c r="E609" s="1411"/>
      <c r="F609" s="666">
        <f t="shared" si="45"/>
        <v>0</v>
      </c>
      <c r="G609" s="666"/>
      <c r="H609" s="666"/>
      <c r="I609" s="666">
        <f t="shared" si="46"/>
        <v>0</v>
      </c>
      <c r="J609" s="666"/>
      <c r="K609" s="665">
        <f t="shared" si="47"/>
        <v>0</v>
      </c>
      <c r="L609" s="666">
        <f t="shared" si="48"/>
        <v>0</v>
      </c>
      <c r="M609" s="672">
        <v>0</v>
      </c>
      <c r="N609" s="668">
        <f t="shared" si="49"/>
        <v>0</v>
      </c>
      <c r="O609" s="676"/>
      <c r="P609" s="676"/>
    </row>
    <row r="610" spans="1:16" s="677" customFormat="1" ht="67.5" customHeight="1">
      <c r="A610" s="662">
        <v>44.2</v>
      </c>
      <c r="B610" s="685" t="s">
        <v>1740</v>
      </c>
      <c r="C610" s="667"/>
      <c r="D610" s="751"/>
      <c r="E610" s="1413"/>
      <c r="F610" s="666">
        <f t="shared" si="45"/>
        <v>0</v>
      </c>
      <c r="G610" s="666"/>
      <c r="H610" s="666"/>
      <c r="I610" s="666">
        <f t="shared" si="46"/>
        <v>0</v>
      </c>
      <c r="J610" s="666"/>
      <c r="K610" s="665">
        <f t="shared" si="47"/>
        <v>0</v>
      </c>
      <c r="L610" s="666">
        <f t="shared" si="48"/>
        <v>0</v>
      </c>
      <c r="M610" s="668">
        <v>0</v>
      </c>
      <c r="N610" s="668">
        <f t="shared" si="49"/>
        <v>0</v>
      </c>
      <c r="O610" s="676"/>
      <c r="P610" s="676"/>
    </row>
    <row r="611" spans="1:16" ht="48.75" customHeight="1">
      <c r="A611" s="662"/>
      <c r="B611" s="663" t="s">
        <v>1741</v>
      </c>
      <c r="C611" s="667">
        <f>[8]Data!R2350</f>
        <v>2044.18</v>
      </c>
      <c r="D611" s="751" t="s">
        <v>522</v>
      </c>
      <c r="E611" s="1413">
        <f>[8]Detailed!H1444</f>
        <v>4</v>
      </c>
      <c r="F611" s="666">
        <f t="shared" si="45"/>
        <v>8176.72</v>
      </c>
      <c r="G611" s="666"/>
      <c r="H611" s="666"/>
      <c r="I611" s="666">
        <f t="shared" si="46"/>
        <v>0</v>
      </c>
      <c r="J611" s="666"/>
      <c r="K611" s="665">
        <f t="shared" si="47"/>
        <v>4</v>
      </c>
      <c r="L611" s="666">
        <f t="shared" si="48"/>
        <v>8176.72</v>
      </c>
      <c r="M611" s="672">
        <v>4</v>
      </c>
      <c r="N611" s="668">
        <f t="shared" si="49"/>
        <v>0</v>
      </c>
    </row>
    <row r="612" spans="1:16" ht="48.75" customHeight="1">
      <c r="A612" s="662"/>
      <c r="B612" s="663" t="s">
        <v>1742</v>
      </c>
      <c r="C612" s="667">
        <f>[8]Data!R2357</f>
        <v>456.45</v>
      </c>
      <c r="D612" s="751" t="s">
        <v>61</v>
      </c>
      <c r="E612" s="1413">
        <f>[8]Detailed!H1445</f>
        <v>12</v>
      </c>
      <c r="F612" s="666">
        <f t="shared" si="45"/>
        <v>5477.4</v>
      </c>
      <c r="G612" s="666"/>
      <c r="H612" s="666"/>
      <c r="I612" s="666">
        <f t="shared" si="46"/>
        <v>0</v>
      </c>
      <c r="J612" s="666"/>
      <c r="K612" s="665">
        <f t="shared" si="47"/>
        <v>12</v>
      </c>
      <c r="L612" s="666">
        <f t="shared" si="48"/>
        <v>5477.4</v>
      </c>
      <c r="M612" s="672">
        <v>12</v>
      </c>
      <c r="N612" s="668">
        <f t="shared" si="49"/>
        <v>0</v>
      </c>
    </row>
    <row r="613" spans="1:16" ht="79.900000000000006" hidden="1" customHeight="1">
      <c r="A613" s="662"/>
      <c r="B613" s="663" t="s">
        <v>1743</v>
      </c>
      <c r="C613" s="667">
        <f>[8]Data!R2044</f>
        <v>1311.94</v>
      </c>
      <c r="D613" s="751" t="s">
        <v>522</v>
      </c>
      <c r="E613" s="1413"/>
      <c r="F613" s="666">
        <f t="shared" si="45"/>
        <v>0</v>
      </c>
      <c r="G613" s="666"/>
      <c r="H613" s="666"/>
      <c r="I613" s="666">
        <f t="shared" si="46"/>
        <v>0</v>
      </c>
      <c r="J613" s="666"/>
      <c r="K613" s="665">
        <f t="shared" si="47"/>
        <v>0</v>
      </c>
      <c r="L613" s="666">
        <f t="shared" si="48"/>
        <v>0</v>
      </c>
      <c r="M613" s="672">
        <v>0</v>
      </c>
      <c r="N613" s="668">
        <f t="shared" si="49"/>
        <v>0</v>
      </c>
    </row>
    <row r="614" spans="1:16" s="677" customFormat="1" ht="45.75" hidden="1" customHeight="1">
      <c r="A614" s="662">
        <v>257.10000000000002</v>
      </c>
      <c r="B614" s="663" t="s">
        <v>1744</v>
      </c>
      <c r="C614" s="675">
        <f>ROUND([8]Data!K2703,2)</f>
        <v>239.99</v>
      </c>
      <c r="D614" s="742" t="s">
        <v>61</v>
      </c>
      <c r="E614" s="1411"/>
      <c r="F614" s="666">
        <f t="shared" si="45"/>
        <v>0</v>
      </c>
      <c r="G614" s="666"/>
      <c r="H614" s="666"/>
      <c r="I614" s="666">
        <f t="shared" si="46"/>
        <v>0</v>
      </c>
      <c r="J614" s="666"/>
      <c r="K614" s="665">
        <f t="shared" si="47"/>
        <v>0</v>
      </c>
      <c r="L614" s="666">
        <f t="shared" si="48"/>
        <v>0</v>
      </c>
      <c r="M614" s="672">
        <v>0</v>
      </c>
      <c r="N614" s="668">
        <f t="shared" si="49"/>
        <v>0</v>
      </c>
      <c r="O614" s="676"/>
      <c r="P614" s="676"/>
    </row>
    <row r="615" spans="1:16" ht="48.75" customHeight="1">
      <c r="A615" s="662">
        <v>344.2</v>
      </c>
      <c r="B615" s="663" t="s">
        <v>1139</v>
      </c>
      <c r="C615" s="667">
        <f>ROUND([8]Data!K3014,2)</f>
        <v>379.4</v>
      </c>
      <c r="D615" s="751" t="s">
        <v>522</v>
      </c>
      <c r="E615" s="1413">
        <f>[8]Detailed!H1610</f>
        <v>6</v>
      </c>
      <c r="F615" s="666">
        <f t="shared" si="45"/>
        <v>2276.3999999999996</v>
      </c>
      <c r="G615" s="666"/>
      <c r="H615" s="666"/>
      <c r="I615" s="666">
        <f t="shared" si="46"/>
        <v>0</v>
      </c>
      <c r="J615" s="666"/>
      <c r="K615" s="665">
        <f t="shared" si="47"/>
        <v>6</v>
      </c>
      <c r="L615" s="666">
        <f t="shared" si="48"/>
        <v>2276.3999999999996</v>
      </c>
      <c r="M615" s="672">
        <v>6</v>
      </c>
      <c r="N615" s="668">
        <f t="shared" si="49"/>
        <v>0</v>
      </c>
    </row>
    <row r="616" spans="1:16" ht="48.75" hidden="1" customHeight="1">
      <c r="A616" s="700">
        <v>383</v>
      </c>
      <c r="B616" s="663" t="s">
        <v>1745</v>
      </c>
      <c r="C616" s="667">
        <f>[8]Data!C764</f>
        <v>1010</v>
      </c>
      <c r="D616" s="663" t="s">
        <v>522</v>
      </c>
      <c r="E616" s="665"/>
      <c r="F616" s="666">
        <f t="shared" si="45"/>
        <v>0</v>
      </c>
      <c r="G616" s="666"/>
      <c r="H616" s="666"/>
      <c r="I616" s="666">
        <f t="shared" si="46"/>
        <v>0</v>
      </c>
      <c r="J616" s="666"/>
      <c r="K616" s="665">
        <f t="shared" si="47"/>
        <v>0</v>
      </c>
      <c r="L616" s="666">
        <f t="shared" si="48"/>
        <v>0</v>
      </c>
      <c r="M616" s="672">
        <v>0</v>
      </c>
      <c r="N616" s="668">
        <f t="shared" si="49"/>
        <v>0</v>
      </c>
    </row>
    <row r="617" spans="1:16" s="677" customFormat="1" ht="44.25" hidden="1" customHeight="1">
      <c r="A617" s="662">
        <v>383.1</v>
      </c>
      <c r="B617" s="663" t="s">
        <v>1746</v>
      </c>
      <c r="C617" s="675">
        <v>235</v>
      </c>
      <c r="D617" s="742" t="s">
        <v>61</v>
      </c>
      <c r="E617" s="1411"/>
      <c r="F617" s="666">
        <f t="shared" si="45"/>
        <v>0</v>
      </c>
      <c r="G617" s="666"/>
      <c r="H617" s="666"/>
      <c r="I617" s="666">
        <f t="shared" si="46"/>
        <v>0</v>
      </c>
      <c r="J617" s="666"/>
      <c r="K617" s="665">
        <f t="shared" si="47"/>
        <v>0</v>
      </c>
      <c r="L617" s="666">
        <f t="shared" si="48"/>
        <v>0</v>
      </c>
      <c r="M617" s="672">
        <v>0</v>
      </c>
      <c r="N617" s="668">
        <f t="shared" si="49"/>
        <v>0</v>
      </c>
      <c r="O617" s="676"/>
      <c r="P617" s="676"/>
    </row>
    <row r="618" spans="1:16" s="677" customFormat="1" ht="45" hidden="1" customHeight="1">
      <c r="A618" s="662"/>
      <c r="B618" s="663" t="s">
        <v>1747</v>
      </c>
      <c r="C618" s="675">
        <f>[8]Data!R1912</f>
        <v>273.74</v>
      </c>
      <c r="D618" s="742"/>
      <c r="E618" s="1411"/>
      <c r="F618" s="666">
        <f t="shared" si="45"/>
        <v>0</v>
      </c>
      <c r="G618" s="666"/>
      <c r="H618" s="666"/>
      <c r="I618" s="666">
        <f t="shared" si="46"/>
        <v>0</v>
      </c>
      <c r="J618" s="666"/>
      <c r="K618" s="665">
        <f t="shared" si="47"/>
        <v>0</v>
      </c>
      <c r="L618" s="666">
        <f t="shared" si="48"/>
        <v>0</v>
      </c>
      <c r="M618" s="672">
        <v>0</v>
      </c>
      <c r="N618" s="668">
        <f t="shared" si="49"/>
        <v>0</v>
      </c>
      <c r="O618" s="676"/>
      <c r="P618" s="676"/>
    </row>
    <row r="619" spans="1:16" ht="48.75" hidden="1" customHeight="1">
      <c r="A619" s="700">
        <v>384</v>
      </c>
      <c r="B619" s="663" t="s">
        <v>1748</v>
      </c>
      <c r="C619" s="667">
        <f>[8]Data!K3046</f>
        <v>1602.5</v>
      </c>
      <c r="D619" s="753" t="s">
        <v>522</v>
      </c>
      <c r="E619" s="665"/>
      <c r="F619" s="666">
        <f t="shared" si="45"/>
        <v>0</v>
      </c>
      <c r="G619" s="666"/>
      <c r="H619" s="666"/>
      <c r="I619" s="666">
        <f t="shared" si="46"/>
        <v>0</v>
      </c>
      <c r="J619" s="666"/>
      <c r="K619" s="665">
        <f t="shared" si="47"/>
        <v>0</v>
      </c>
      <c r="L619" s="666">
        <f t="shared" si="48"/>
        <v>0</v>
      </c>
      <c r="M619" s="672">
        <v>0</v>
      </c>
      <c r="N619" s="668">
        <f t="shared" si="49"/>
        <v>0</v>
      </c>
    </row>
    <row r="620" spans="1:16" s="677" customFormat="1" ht="33.75" hidden="1" customHeight="1">
      <c r="A620" s="700">
        <v>385</v>
      </c>
      <c r="B620" s="663" t="s">
        <v>1749</v>
      </c>
      <c r="C620" s="675">
        <f>ROUND([8]Data!K2690,2)</f>
        <v>762.6</v>
      </c>
      <c r="D620" s="674" t="s">
        <v>522</v>
      </c>
      <c r="E620" s="659"/>
      <c r="F620" s="666">
        <f t="shared" si="45"/>
        <v>0</v>
      </c>
      <c r="G620" s="666"/>
      <c r="H620" s="666"/>
      <c r="I620" s="666">
        <f t="shared" si="46"/>
        <v>0</v>
      </c>
      <c r="J620" s="666"/>
      <c r="K620" s="665">
        <f t="shared" si="47"/>
        <v>0</v>
      </c>
      <c r="L620" s="666">
        <f t="shared" si="48"/>
        <v>0</v>
      </c>
      <c r="M620" s="672">
        <v>0</v>
      </c>
      <c r="N620" s="668">
        <f t="shared" si="49"/>
        <v>0</v>
      </c>
      <c r="O620" s="676"/>
      <c r="P620" s="676"/>
    </row>
    <row r="621" spans="1:16" s="677" customFormat="1" ht="42" hidden="1" customHeight="1">
      <c r="A621" s="662">
        <v>238.1</v>
      </c>
      <c r="B621" s="663" t="s">
        <v>1750</v>
      </c>
      <c r="C621" s="675">
        <f>ROUND([8]Data!K2778,2)</f>
        <v>2595.25</v>
      </c>
      <c r="D621" s="755" t="s">
        <v>58</v>
      </c>
      <c r="E621" s="659"/>
      <c r="F621" s="666">
        <f t="shared" si="45"/>
        <v>0</v>
      </c>
      <c r="G621" s="666"/>
      <c r="H621" s="666"/>
      <c r="I621" s="666">
        <f t="shared" si="46"/>
        <v>0</v>
      </c>
      <c r="J621" s="666"/>
      <c r="K621" s="665">
        <f t="shared" si="47"/>
        <v>0</v>
      </c>
      <c r="L621" s="666">
        <f t="shared" si="48"/>
        <v>0</v>
      </c>
      <c r="M621" s="672">
        <v>0</v>
      </c>
      <c r="N621" s="668">
        <f t="shared" si="49"/>
        <v>0</v>
      </c>
      <c r="O621" s="676"/>
      <c r="P621" s="676"/>
    </row>
    <row r="622" spans="1:16" ht="58.5" customHeight="1">
      <c r="A622" s="662">
        <v>71.2</v>
      </c>
      <c r="B622" s="663" t="s">
        <v>1181</v>
      </c>
      <c r="C622" s="667">
        <f>[8]Elec.Data!K3210</f>
        <v>2083.67</v>
      </c>
      <c r="D622" s="753" t="s">
        <v>522</v>
      </c>
      <c r="E622" s="665">
        <f>[8]Detailed!H1614</f>
        <v>1</v>
      </c>
      <c r="F622" s="666">
        <f t="shared" si="45"/>
        <v>2083.67</v>
      </c>
      <c r="G622" s="666"/>
      <c r="H622" s="666"/>
      <c r="I622" s="666">
        <f t="shared" si="46"/>
        <v>0</v>
      </c>
      <c r="J622" s="666"/>
      <c r="K622" s="665">
        <f t="shared" si="47"/>
        <v>1</v>
      </c>
      <c r="L622" s="666">
        <f t="shared" si="48"/>
        <v>2083.67</v>
      </c>
      <c r="M622" s="672">
        <v>1</v>
      </c>
      <c r="N622" s="668">
        <f t="shared" si="49"/>
        <v>0</v>
      </c>
    </row>
    <row r="623" spans="1:16" ht="47.25" customHeight="1">
      <c r="A623" s="662">
        <v>80.099999999999994</v>
      </c>
      <c r="B623" s="663" t="s">
        <v>1751</v>
      </c>
      <c r="C623" s="667">
        <f>C902</f>
        <v>1242.21</v>
      </c>
      <c r="D623" s="753" t="s">
        <v>522</v>
      </c>
      <c r="E623" s="665">
        <f>[8]Detailed!H1618</f>
        <v>2</v>
      </c>
      <c r="F623" s="666">
        <f t="shared" si="45"/>
        <v>2484.42</v>
      </c>
      <c r="G623" s="666"/>
      <c r="H623" s="666"/>
      <c r="I623" s="666">
        <f t="shared" si="46"/>
        <v>0</v>
      </c>
      <c r="J623" s="666"/>
      <c r="K623" s="665">
        <f t="shared" si="47"/>
        <v>2</v>
      </c>
      <c r="L623" s="666">
        <f t="shared" si="48"/>
        <v>2484.42</v>
      </c>
      <c r="M623" s="672">
        <v>2</v>
      </c>
      <c r="N623" s="668">
        <f t="shared" si="49"/>
        <v>0</v>
      </c>
    </row>
    <row r="624" spans="1:16" s="677" customFormat="1" ht="39.75" customHeight="1">
      <c r="A624" s="662"/>
      <c r="B624" s="663" t="s">
        <v>1752</v>
      </c>
      <c r="C624" s="675">
        <f>[8]Elec.Data!K3419</f>
        <v>776.68</v>
      </c>
      <c r="D624" s="755" t="s">
        <v>522</v>
      </c>
      <c r="E624" s="659">
        <f>[8]Detailed!H1622</f>
        <v>2</v>
      </c>
      <c r="F624" s="666">
        <f t="shared" si="45"/>
        <v>1553.36</v>
      </c>
      <c r="G624" s="666"/>
      <c r="H624" s="666"/>
      <c r="I624" s="666">
        <f t="shared" si="46"/>
        <v>0</v>
      </c>
      <c r="J624" s="666"/>
      <c r="K624" s="665">
        <f t="shared" si="47"/>
        <v>2</v>
      </c>
      <c r="L624" s="666">
        <f t="shared" si="48"/>
        <v>1553.36</v>
      </c>
      <c r="M624" s="672">
        <v>2</v>
      </c>
      <c r="N624" s="668">
        <f t="shared" si="49"/>
        <v>0</v>
      </c>
      <c r="O624" s="676"/>
      <c r="P624" s="676"/>
    </row>
    <row r="625" spans="1:16" s="677" customFormat="1" ht="39.75" hidden="1" customHeight="1">
      <c r="A625" s="662"/>
      <c r="B625" s="663" t="s">
        <v>1753</v>
      </c>
      <c r="C625" s="675">
        <f>[8]Elec.Data!K3400</f>
        <v>508.26</v>
      </c>
      <c r="D625" s="755" t="s">
        <v>522</v>
      </c>
      <c r="E625" s="659"/>
      <c r="F625" s="666">
        <f t="shared" si="45"/>
        <v>0</v>
      </c>
      <c r="G625" s="666"/>
      <c r="H625" s="666"/>
      <c r="I625" s="666">
        <f t="shared" si="46"/>
        <v>0</v>
      </c>
      <c r="J625" s="666"/>
      <c r="K625" s="665">
        <f t="shared" si="47"/>
        <v>0</v>
      </c>
      <c r="L625" s="666">
        <f t="shared" si="48"/>
        <v>0</v>
      </c>
      <c r="M625" s="672">
        <v>0</v>
      </c>
      <c r="N625" s="668">
        <f t="shared" si="49"/>
        <v>0</v>
      </c>
      <c r="O625" s="676"/>
      <c r="P625" s="676"/>
    </row>
    <row r="626" spans="1:16" ht="45.75" customHeight="1">
      <c r="A626" s="662">
        <v>87.1</v>
      </c>
      <c r="B626" s="663" t="str">
        <f>B936</f>
        <v>Supplying and delivery of Three phase ELCB/RCCB</v>
      </c>
      <c r="C626" s="667">
        <f>[8]Elec.Data!K3468</f>
        <v>2972.1</v>
      </c>
      <c r="D626" s="753" t="s">
        <v>522</v>
      </c>
      <c r="E626" s="665">
        <f>[8]Detailed!H1626</f>
        <v>2</v>
      </c>
      <c r="F626" s="666">
        <f t="shared" si="45"/>
        <v>5944.2</v>
      </c>
      <c r="G626" s="666"/>
      <c r="H626" s="666"/>
      <c r="I626" s="666">
        <f t="shared" si="46"/>
        <v>0</v>
      </c>
      <c r="J626" s="666"/>
      <c r="K626" s="665">
        <f t="shared" si="47"/>
        <v>2</v>
      </c>
      <c r="L626" s="666">
        <f t="shared" si="48"/>
        <v>5944.2</v>
      </c>
      <c r="M626" s="672">
        <v>2</v>
      </c>
      <c r="N626" s="668">
        <f t="shared" si="49"/>
        <v>0</v>
      </c>
    </row>
    <row r="627" spans="1:16" s="677" customFormat="1" ht="46.5" hidden="1" customHeight="1">
      <c r="A627" s="662"/>
      <c r="B627" s="663" t="s">
        <v>1754</v>
      </c>
      <c r="C627" s="675">
        <f>C939</f>
        <v>165</v>
      </c>
      <c r="D627" s="755" t="s">
        <v>61</v>
      </c>
      <c r="E627" s="659"/>
      <c r="F627" s="666">
        <f t="shared" si="45"/>
        <v>0</v>
      </c>
      <c r="G627" s="666"/>
      <c r="H627" s="666"/>
      <c r="I627" s="666">
        <f t="shared" si="46"/>
        <v>0</v>
      </c>
      <c r="J627" s="666"/>
      <c r="K627" s="665">
        <f t="shared" si="47"/>
        <v>0</v>
      </c>
      <c r="L627" s="666">
        <f t="shared" si="48"/>
        <v>0</v>
      </c>
      <c r="M627" s="672">
        <v>0</v>
      </c>
      <c r="N627" s="668">
        <f t="shared" si="49"/>
        <v>0</v>
      </c>
      <c r="O627" s="676"/>
      <c r="P627" s="676"/>
    </row>
    <row r="628" spans="1:16" ht="62.25" customHeight="1">
      <c r="A628" s="662"/>
      <c r="B628" s="663" t="s">
        <v>1755</v>
      </c>
      <c r="C628" s="667">
        <f>[8]Data!R1326</f>
        <v>206.91</v>
      </c>
      <c r="D628" s="753" t="s">
        <v>37</v>
      </c>
      <c r="E628" s="665">
        <f>[8]Detailed!H1433</f>
        <v>583</v>
      </c>
      <c r="F628" s="666">
        <f t="shared" si="45"/>
        <v>120628.53</v>
      </c>
      <c r="G628" s="666"/>
      <c r="H628" s="666"/>
      <c r="I628" s="666">
        <f t="shared" si="46"/>
        <v>0</v>
      </c>
      <c r="J628" s="666"/>
      <c r="K628" s="665">
        <f t="shared" si="47"/>
        <v>583</v>
      </c>
      <c r="L628" s="666">
        <f t="shared" si="48"/>
        <v>120628.53</v>
      </c>
      <c r="M628" s="672">
        <v>583</v>
      </c>
      <c r="N628" s="668">
        <f t="shared" si="49"/>
        <v>0</v>
      </c>
    </row>
    <row r="629" spans="1:16" ht="59.25" customHeight="1">
      <c r="A629" s="662" t="s">
        <v>1172</v>
      </c>
      <c r="B629" s="663" t="s">
        <v>1756</v>
      </c>
      <c r="C629" s="667">
        <f>[8]Data!K3348</f>
        <v>109.44</v>
      </c>
      <c r="D629" s="753" t="s">
        <v>37</v>
      </c>
      <c r="E629" s="665">
        <f>E572</f>
        <v>828</v>
      </c>
      <c r="F629" s="666">
        <f t="shared" si="45"/>
        <v>90616.319999999992</v>
      </c>
      <c r="G629" s="666"/>
      <c r="H629" s="666"/>
      <c r="I629" s="666">
        <f t="shared" si="46"/>
        <v>0</v>
      </c>
      <c r="J629" s="666"/>
      <c r="K629" s="665">
        <f t="shared" si="47"/>
        <v>828</v>
      </c>
      <c r="L629" s="666">
        <f t="shared" si="48"/>
        <v>90616.319999999992</v>
      </c>
      <c r="M629" s="672">
        <v>828</v>
      </c>
      <c r="N629" s="668">
        <f t="shared" si="49"/>
        <v>0</v>
      </c>
    </row>
    <row r="630" spans="1:16" s="677" customFormat="1" ht="81" hidden="1" customHeight="1">
      <c r="A630" s="662"/>
      <c r="B630" s="663" t="str">
        <f>B937</f>
        <v>2 x 4 Sqmm Copper PVC insulated unsheathed single core 1 KV grade cable for EB service single phase.</v>
      </c>
      <c r="C630" s="675">
        <f>C937</f>
        <v>142.97999999999999</v>
      </c>
      <c r="D630" s="755" t="s">
        <v>61</v>
      </c>
      <c r="E630" s="659"/>
      <c r="F630" s="666">
        <f t="shared" si="45"/>
        <v>0</v>
      </c>
      <c r="G630" s="666"/>
      <c r="H630" s="666"/>
      <c r="I630" s="666">
        <f t="shared" si="46"/>
        <v>0</v>
      </c>
      <c r="J630" s="666"/>
      <c r="K630" s="665">
        <f t="shared" si="47"/>
        <v>0</v>
      </c>
      <c r="L630" s="666">
        <f t="shared" si="48"/>
        <v>0</v>
      </c>
      <c r="M630" s="672">
        <v>0</v>
      </c>
      <c r="N630" s="668">
        <f t="shared" si="49"/>
        <v>0</v>
      </c>
      <c r="O630" s="676"/>
      <c r="P630" s="676"/>
    </row>
    <row r="631" spans="1:16" s="677" customFormat="1" ht="42.75" customHeight="1">
      <c r="A631" s="662"/>
      <c r="B631" s="663" t="str">
        <f>B903</f>
        <v>40 mm dia GI pipe "B"class</v>
      </c>
      <c r="C631" s="660">
        <f>C903</f>
        <v>165</v>
      </c>
      <c r="D631" s="755" t="s">
        <v>61</v>
      </c>
      <c r="E631" s="659">
        <f>[8]Detailed!H1630</f>
        <v>6</v>
      </c>
      <c r="F631" s="666">
        <f t="shared" si="45"/>
        <v>990</v>
      </c>
      <c r="G631" s="666"/>
      <c r="H631" s="666"/>
      <c r="I631" s="666">
        <f t="shared" si="46"/>
        <v>0</v>
      </c>
      <c r="J631" s="666"/>
      <c r="K631" s="665">
        <f t="shared" si="47"/>
        <v>6</v>
      </c>
      <c r="L631" s="666">
        <f t="shared" si="48"/>
        <v>990</v>
      </c>
      <c r="M631" s="672">
        <v>6</v>
      </c>
      <c r="N631" s="668">
        <f t="shared" si="49"/>
        <v>0</v>
      </c>
      <c r="O631" s="676"/>
      <c r="P631" s="676"/>
    </row>
    <row r="632" spans="1:16" s="677" customFormat="1" ht="44.25" hidden="1" customHeight="1">
      <c r="A632" s="662"/>
      <c r="B632" s="663" t="s">
        <v>1757</v>
      </c>
      <c r="C632" s="675">
        <f>[8]Elec.Data!K3400</f>
        <v>508.26</v>
      </c>
      <c r="D632" s="674" t="s">
        <v>522</v>
      </c>
      <c r="E632" s="659"/>
      <c r="F632" s="666">
        <f t="shared" si="45"/>
        <v>0</v>
      </c>
      <c r="G632" s="666"/>
      <c r="H632" s="666"/>
      <c r="I632" s="666">
        <f t="shared" si="46"/>
        <v>0</v>
      </c>
      <c r="J632" s="666"/>
      <c r="K632" s="665">
        <f t="shared" si="47"/>
        <v>0</v>
      </c>
      <c r="L632" s="666">
        <f t="shared" si="48"/>
        <v>0</v>
      </c>
      <c r="M632" s="672">
        <v>0</v>
      </c>
      <c r="N632" s="668">
        <f t="shared" si="49"/>
        <v>0</v>
      </c>
      <c r="O632" s="676"/>
      <c r="P632" s="676"/>
    </row>
    <row r="633" spans="1:16" s="677" customFormat="1" ht="44.25" hidden="1" customHeight="1">
      <c r="A633" s="662"/>
      <c r="B633" s="663" t="s">
        <v>1758</v>
      </c>
      <c r="C633" s="675">
        <f>[8]A.DATA!F602</f>
        <v>211</v>
      </c>
      <c r="D633" s="674" t="s">
        <v>61</v>
      </c>
      <c r="E633" s="659"/>
      <c r="F633" s="666"/>
      <c r="G633" s="666"/>
      <c r="H633" s="666"/>
      <c r="I633" s="666">
        <f t="shared" si="46"/>
        <v>0</v>
      </c>
      <c r="J633" s="666"/>
      <c r="K633" s="665">
        <f t="shared" si="47"/>
        <v>0</v>
      </c>
      <c r="L633" s="666">
        <f t="shared" si="48"/>
        <v>0</v>
      </c>
      <c r="M633" s="672">
        <v>0</v>
      </c>
      <c r="N633" s="668">
        <f t="shared" si="49"/>
        <v>0</v>
      </c>
      <c r="O633" s="676"/>
      <c r="P633" s="676"/>
    </row>
    <row r="634" spans="1:16" s="677" customFormat="1" ht="60" hidden="1" customHeight="1">
      <c r="A634" s="662"/>
      <c r="B634" s="663" t="s">
        <v>1759</v>
      </c>
      <c r="C634" s="675">
        <f>[8]Data!R204</f>
        <v>5735.96</v>
      </c>
      <c r="D634" s="674" t="s">
        <v>16</v>
      </c>
      <c r="E634" s="659"/>
      <c r="F634" s="666">
        <f t="shared" si="45"/>
        <v>0</v>
      </c>
      <c r="G634" s="666"/>
      <c r="H634" s="666"/>
      <c r="I634" s="666">
        <f t="shared" si="46"/>
        <v>0</v>
      </c>
      <c r="J634" s="666"/>
      <c r="K634" s="665">
        <f t="shared" si="47"/>
        <v>0</v>
      </c>
      <c r="L634" s="666">
        <f t="shared" si="48"/>
        <v>0</v>
      </c>
      <c r="M634" s="672">
        <v>0</v>
      </c>
      <c r="N634" s="668">
        <f t="shared" si="49"/>
        <v>0</v>
      </c>
      <c r="O634" s="676"/>
      <c r="P634" s="676"/>
    </row>
    <row r="635" spans="1:16" ht="43.5" customHeight="1">
      <c r="A635" s="662">
        <v>448.2</v>
      </c>
      <c r="B635" s="663" t="s">
        <v>1141</v>
      </c>
      <c r="C635" s="667">
        <f>[8]Data!R3123</f>
        <v>122.25</v>
      </c>
      <c r="D635" s="753" t="s">
        <v>522</v>
      </c>
      <c r="E635" s="665">
        <f>[8]Detailed!H1662</f>
        <v>6</v>
      </c>
      <c r="F635" s="666">
        <f t="shared" si="45"/>
        <v>733.5</v>
      </c>
      <c r="G635" s="666"/>
      <c r="H635" s="666"/>
      <c r="I635" s="666">
        <f t="shared" si="46"/>
        <v>0</v>
      </c>
      <c r="J635" s="666"/>
      <c r="K635" s="665">
        <f t="shared" si="47"/>
        <v>6</v>
      </c>
      <c r="L635" s="666">
        <f t="shared" si="48"/>
        <v>733.5</v>
      </c>
      <c r="M635" s="672">
        <v>6</v>
      </c>
      <c r="N635" s="668">
        <f t="shared" si="49"/>
        <v>0</v>
      </c>
    </row>
    <row r="636" spans="1:16" s="677" customFormat="1" ht="25.5" customHeight="1">
      <c r="A636" s="662"/>
      <c r="B636" s="663" t="s">
        <v>1760</v>
      </c>
      <c r="C636" s="675">
        <f>C887</f>
        <v>1498.51</v>
      </c>
      <c r="D636" s="742" t="s">
        <v>37</v>
      </c>
      <c r="E636" s="1411">
        <f>[8]Detailed!H1281</f>
        <v>59.5</v>
      </c>
      <c r="F636" s="666">
        <f t="shared" si="45"/>
        <v>89161.345000000001</v>
      </c>
      <c r="G636" s="666"/>
      <c r="H636" s="666"/>
      <c r="I636" s="666">
        <f t="shared" si="46"/>
        <v>0</v>
      </c>
      <c r="J636" s="666"/>
      <c r="K636" s="665">
        <f t="shared" si="47"/>
        <v>59.5</v>
      </c>
      <c r="L636" s="666">
        <f t="shared" si="48"/>
        <v>89161.345000000001</v>
      </c>
      <c r="M636" s="672">
        <v>59.5</v>
      </c>
      <c r="N636" s="668">
        <f t="shared" si="49"/>
        <v>0</v>
      </c>
      <c r="O636" s="676"/>
      <c r="P636" s="676"/>
    </row>
    <row r="637" spans="1:16" ht="48.75" customHeight="1">
      <c r="A637" s="662"/>
      <c r="B637" s="663" t="s">
        <v>1761</v>
      </c>
      <c r="C637" s="667">
        <f>[8]Data!R2416</f>
        <v>1298.51</v>
      </c>
      <c r="D637" s="751" t="s">
        <v>37</v>
      </c>
      <c r="E637" s="1413">
        <f>[8]Detailed!H785</f>
        <v>8.6</v>
      </c>
      <c r="F637" s="666">
        <f t="shared" si="45"/>
        <v>11167.186</v>
      </c>
      <c r="G637" s="666"/>
      <c r="H637" s="666"/>
      <c r="I637" s="666">
        <f t="shared" si="46"/>
        <v>0</v>
      </c>
      <c r="J637" s="666"/>
      <c r="K637" s="665">
        <f t="shared" si="47"/>
        <v>8.6</v>
      </c>
      <c r="L637" s="666">
        <f t="shared" si="48"/>
        <v>11167.186</v>
      </c>
      <c r="M637" s="672">
        <v>8.6</v>
      </c>
      <c r="N637" s="668">
        <f t="shared" si="49"/>
        <v>0</v>
      </c>
    </row>
    <row r="638" spans="1:16" s="677" customFormat="1" ht="72" hidden="1" customHeight="1">
      <c r="A638" s="662"/>
      <c r="B638" s="663" t="s">
        <v>1762</v>
      </c>
      <c r="C638" s="675">
        <v>4500</v>
      </c>
      <c r="D638" s="742" t="s">
        <v>61</v>
      </c>
      <c r="E638" s="1411"/>
      <c r="F638" s="666">
        <f t="shared" si="45"/>
        <v>0</v>
      </c>
      <c r="G638" s="666"/>
      <c r="H638" s="666"/>
      <c r="I638" s="666">
        <f t="shared" si="46"/>
        <v>0</v>
      </c>
      <c r="J638" s="666"/>
      <c r="K638" s="665">
        <f t="shared" si="47"/>
        <v>0</v>
      </c>
      <c r="L638" s="666">
        <f t="shared" si="48"/>
        <v>0</v>
      </c>
      <c r="M638" s="672">
        <v>0</v>
      </c>
      <c r="N638" s="668">
        <f t="shared" si="49"/>
        <v>0</v>
      </c>
      <c r="O638" s="676"/>
      <c r="P638" s="676"/>
    </row>
    <row r="639" spans="1:16" ht="49.5" customHeight="1">
      <c r="A639" s="662"/>
      <c r="B639" s="663" t="s">
        <v>1763</v>
      </c>
      <c r="C639" s="667">
        <f>[8]Data!R1272</f>
        <v>1156.81</v>
      </c>
      <c r="D639" s="751" t="s">
        <v>37</v>
      </c>
      <c r="E639" s="1413">
        <f>[8]Detailed!H1298</f>
        <v>91.2</v>
      </c>
      <c r="F639" s="666">
        <f t="shared" si="45"/>
        <v>105501.072</v>
      </c>
      <c r="G639" s="666"/>
      <c r="H639" s="666"/>
      <c r="I639" s="666">
        <f t="shared" si="46"/>
        <v>0</v>
      </c>
      <c r="J639" s="666"/>
      <c r="K639" s="665">
        <f t="shared" si="47"/>
        <v>91.2</v>
      </c>
      <c r="L639" s="666">
        <f t="shared" si="48"/>
        <v>105501.072</v>
      </c>
      <c r="M639" s="672">
        <v>91.2</v>
      </c>
      <c r="N639" s="668">
        <f t="shared" si="49"/>
        <v>0</v>
      </c>
    </row>
    <row r="640" spans="1:16" s="677" customFormat="1" ht="27.75" hidden="1" customHeight="1">
      <c r="A640" s="662"/>
      <c r="B640" s="663" t="s">
        <v>1764</v>
      </c>
      <c r="C640" s="675">
        <f>[8]Data!R1249</f>
        <v>1332.51</v>
      </c>
      <c r="D640" s="742" t="s">
        <v>37</v>
      </c>
      <c r="E640" s="1411"/>
      <c r="F640" s="666">
        <f t="shared" si="45"/>
        <v>0</v>
      </c>
      <c r="G640" s="666"/>
      <c r="H640" s="666"/>
      <c r="I640" s="666">
        <f t="shared" si="46"/>
        <v>0</v>
      </c>
      <c r="J640" s="666"/>
      <c r="K640" s="665">
        <f t="shared" si="47"/>
        <v>0</v>
      </c>
      <c r="L640" s="666">
        <f t="shared" si="48"/>
        <v>0</v>
      </c>
      <c r="M640" s="672">
        <v>0</v>
      </c>
      <c r="N640" s="668">
        <f t="shared" si="49"/>
        <v>0</v>
      </c>
      <c r="O640" s="676"/>
      <c r="P640" s="676"/>
    </row>
    <row r="641" spans="1:16" s="677" customFormat="1" ht="39" hidden="1" customHeight="1">
      <c r="A641" s="662" t="s">
        <v>1765</v>
      </c>
      <c r="B641" s="663" t="s">
        <v>1766</v>
      </c>
      <c r="C641" s="675">
        <f>[8]Data!R1230</f>
        <v>1361.69</v>
      </c>
      <c r="D641" s="742" t="s">
        <v>37</v>
      </c>
      <c r="E641" s="1411"/>
      <c r="F641" s="666">
        <f t="shared" si="45"/>
        <v>0</v>
      </c>
      <c r="G641" s="666"/>
      <c r="H641" s="666"/>
      <c r="I641" s="666">
        <f t="shared" si="46"/>
        <v>0</v>
      </c>
      <c r="J641" s="666"/>
      <c r="K641" s="665">
        <f t="shared" si="47"/>
        <v>0</v>
      </c>
      <c r="L641" s="666">
        <f t="shared" si="48"/>
        <v>0</v>
      </c>
      <c r="M641" s="672">
        <v>0</v>
      </c>
      <c r="N641" s="668">
        <f t="shared" si="49"/>
        <v>0</v>
      </c>
      <c r="O641" s="676"/>
      <c r="P641" s="676"/>
    </row>
    <row r="642" spans="1:16" s="677" customFormat="1" ht="66" customHeight="1">
      <c r="A642" s="662"/>
      <c r="B642" s="663" t="s">
        <v>1767</v>
      </c>
      <c r="C642" s="675">
        <f>[8]Data!R1230</f>
        <v>1361.69</v>
      </c>
      <c r="D642" s="742" t="s">
        <v>37</v>
      </c>
      <c r="E642" s="1411">
        <f>[8]Detailed!H1646</f>
        <v>92.2</v>
      </c>
      <c r="F642" s="666">
        <f t="shared" si="45"/>
        <v>125547.81800000001</v>
      </c>
      <c r="G642" s="666"/>
      <c r="H642" s="666"/>
      <c r="I642" s="666">
        <f t="shared" si="46"/>
        <v>0</v>
      </c>
      <c r="J642" s="666"/>
      <c r="K642" s="665">
        <f t="shared" si="47"/>
        <v>92.2</v>
      </c>
      <c r="L642" s="666">
        <f t="shared" si="48"/>
        <v>125547.81800000001</v>
      </c>
      <c r="M642" s="672">
        <v>92.2</v>
      </c>
      <c r="N642" s="668">
        <f t="shared" si="49"/>
        <v>0</v>
      </c>
      <c r="O642" s="676"/>
      <c r="P642" s="676"/>
    </row>
    <row r="643" spans="1:16" s="677" customFormat="1" ht="46.5" hidden="1" customHeight="1">
      <c r="A643" s="662"/>
      <c r="B643" s="756" t="s">
        <v>1768</v>
      </c>
      <c r="C643" s="675"/>
      <c r="D643" s="742"/>
      <c r="E643" s="1411"/>
      <c r="F643" s="666">
        <f t="shared" si="45"/>
        <v>0</v>
      </c>
      <c r="G643" s="666"/>
      <c r="H643" s="666"/>
      <c r="I643" s="666">
        <f t="shared" si="46"/>
        <v>0</v>
      </c>
      <c r="J643" s="666"/>
      <c r="K643" s="665">
        <f t="shared" si="47"/>
        <v>0</v>
      </c>
      <c r="L643" s="666">
        <f t="shared" si="48"/>
        <v>0</v>
      </c>
      <c r="M643" s="672">
        <v>0</v>
      </c>
      <c r="N643" s="668">
        <f t="shared" si="49"/>
        <v>0</v>
      </c>
      <c r="O643" s="676"/>
      <c r="P643" s="676"/>
    </row>
    <row r="644" spans="1:16" s="677" customFormat="1" ht="25.5" hidden="1" customHeight="1">
      <c r="A644" s="662"/>
      <c r="B644" s="738" t="s">
        <v>1769</v>
      </c>
      <c r="C644" s="675">
        <f>[8]Data!X3711</f>
        <v>3584</v>
      </c>
      <c r="D644" s="742"/>
      <c r="E644" s="1411"/>
      <c r="F644" s="666">
        <f t="shared" si="45"/>
        <v>0</v>
      </c>
      <c r="G644" s="666"/>
      <c r="H644" s="666"/>
      <c r="I644" s="666">
        <f t="shared" si="46"/>
        <v>0</v>
      </c>
      <c r="J644" s="666"/>
      <c r="K644" s="665">
        <f t="shared" si="47"/>
        <v>0</v>
      </c>
      <c r="L644" s="666">
        <f t="shared" si="48"/>
        <v>0</v>
      </c>
      <c r="M644" s="672">
        <v>0</v>
      </c>
      <c r="N644" s="668">
        <f t="shared" si="49"/>
        <v>0</v>
      </c>
      <c r="O644" s="676"/>
      <c r="P644" s="676"/>
    </row>
    <row r="645" spans="1:16" s="677" customFormat="1" ht="25.5" hidden="1" customHeight="1">
      <c r="A645" s="662"/>
      <c r="B645" s="738" t="s">
        <v>1770</v>
      </c>
      <c r="C645" s="675">
        <f>[8]Data!X3725</f>
        <v>3873</v>
      </c>
      <c r="D645" s="742"/>
      <c r="E645" s="1411"/>
      <c r="F645" s="666">
        <f t="shared" si="45"/>
        <v>0</v>
      </c>
      <c r="G645" s="666"/>
      <c r="H645" s="666"/>
      <c r="I645" s="666">
        <f t="shared" si="46"/>
        <v>0</v>
      </c>
      <c r="J645" s="666"/>
      <c r="K645" s="665">
        <f t="shared" si="47"/>
        <v>0</v>
      </c>
      <c r="L645" s="666">
        <f t="shared" si="48"/>
        <v>0</v>
      </c>
      <c r="M645" s="672">
        <v>0</v>
      </c>
      <c r="N645" s="668">
        <f t="shared" si="49"/>
        <v>0</v>
      </c>
      <c r="O645" s="676"/>
      <c r="P645" s="676"/>
    </row>
    <row r="646" spans="1:16" s="677" customFormat="1" ht="25.5" hidden="1" customHeight="1">
      <c r="A646" s="662"/>
      <c r="B646" s="738" t="s">
        <v>1771</v>
      </c>
      <c r="C646" s="675"/>
      <c r="D646" s="742" t="s">
        <v>37</v>
      </c>
      <c r="E646" s="1411"/>
      <c r="F646" s="666">
        <f t="shared" si="45"/>
        <v>0</v>
      </c>
      <c r="G646" s="666"/>
      <c r="H646" s="666"/>
      <c r="I646" s="666">
        <f t="shared" si="46"/>
        <v>0</v>
      </c>
      <c r="J646" s="666"/>
      <c r="K646" s="665">
        <f t="shared" si="47"/>
        <v>0</v>
      </c>
      <c r="L646" s="666">
        <f t="shared" si="48"/>
        <v>0</v>
      </c>
      <c r="M646" s="672">
        <v>0</v>
      </c>
      <c r="N646" s="668">
        <f t="shared" si="49"/>
        <v>0</v>
      </c>
      <c r="O646" s="676"/>
      <c r="P646" s="676"/>
    </row>
    <row r="647" spans="1:16" s="677" customFormat="1" ht="25.5" hidden="1" customHeight="1">
      <c r="A647" s="662"/>
      <c r="B647" s="738" t="s">
        <v>1772</v>
      </c>
      <c r="C647" s="675"/>
      <c r="D647" s="742" t="s">
        <v>37</v>
      </c>
      <c r="E647" s="1411"/>
      <c r="F647" s="666">
        <f t="shared" si="45"/>
        <v>0</v>
      </c>
      <c r="G647" s="666"/>
      <c r="H647" s="666"/>
      <c r="I647" s="666">
        <f t="shared" ref="I647:I710" si="50">G647</f>
        <v>0</v>
      </c>
      <c r="J647" s="666"/>
      <c r="K647" s="665">
        <f t="shared" ref="K647:K710" si="51">E647</f>
        <v>0</v>
      </c>
      <c r="L647" s="666">
        <f t="shared" ref="L647:L710" si="52">C647*K647</f>
        <v>0</v>
      </c>
      <c r="M647" s="672">
        <v>0</v>
      </c>
      <c r="N647" s="668">
        <f t="shared" ref="N647:N710" si="53">K647-M647</f>
        <v>0</v>
      </c>
      <c r="O647" s="676"/>
      <c r="P647" s="676"/>
    </row>
    <row r="648" spans="1:16" s="677" customFormat="1" ht="46.5" hidden="1" customHeight="1">
      <c r="A648" s="662"/>
      <c r="B648" s="738" t="s">
        <v>1773</v>
      </c>
      <c r="C648" s="739">
        <f>[8]Data!X1293</f>
        <v>1273.72</v>
      </c>
      <c r="D648" s="741" t="s">
        <v>264</v>
      </c>
      <c r="E648" s="1412"/>
      <c r="F648" s="666">
        <f t="shared" ref="F648:F711" si="54">E648*C648</f>
        <v>0</v>
      </c>
      <c r="G648" s="666"/>
      <c r="H648" s="666"/>
      <c r="I648" s="666">
        <f t="shared" si="50"/>
        <v>0</v>
      </c>
      <c r="J648" s="666"/>
      <c r="K648" s="665">
        <f t="shared" si="51"/>
        <v>0</v>
      </c>
      <c r="L648" s="666">
        <f t="shared" si="52"/>
        <v>0</v>
      </c>
      <c r="M648" s="672">
        <v>0</v>
      </c>
      <c r="N648" s="668">
        <f t="shared" si="53"/>
        <v>0</v>
      </c>
      <c r="O648" s="676"/>
      <c r="P648" s="676"/>
    </row>
    <row r="649" spans="1:16" s="677" customFormat="1" ht="46.5" hidden="1" customHeight="1">
      <c r="A649" s="662"/>
      <c r="B649" s="738" t="s">
        <v>1774</v>
      </c>
      <c r="C649" s="739">
        <f>[8]Data!K1292</f>
        <v>2813.12</v>
      </c>
      <c r="D649" s="741" t="s">
        <v>264</v>
      </c>
      <c r="E649" s="1412"/>
      <c r="F649" s="666">
        <f t="shared" si="54"/>
        <v>0</v>
      </c>
      <c r="G649" s="666"/>
      <c r="H649" s="666"/>
      <c r="I649" s="666">
        <f t="shared" si="50"/>
        <v>0</v>
      </c>
      <c r="J649" s="666"/>
      <c r="K649" s="665">
        <f t="shared" si="51"/>
        <v>0</v>
      </c>
      <c r="L649" s="666">
        <f t="shared" si="52"/>
        <v>0</v>
      </c>
      <c r="M649" s="672">
        <v>0</v>
      </c>
      <c r="N649" s="668">
        <f t="shared" si="53"/>
        <v>0</v>
      </c>
      <c r="O649" s="676"/>
      <c r="P649" s="676"/>
    </row>
    <row r="650" spans="1:16" s="677" customFormat="1" ht="46.5" hidden="1" customHeight="1">
      <c r="A650" s="662"/>
      <c r="B650" s="663" t="s">
        <v>1775</v>
      </c>
      <c r="C650" s="739">
        <v>3034.4</v>
      </c>
      <c r="D650" s="674" t="s">
        <v>37</v>
      </c>
      <c r="E650" s="659"/>
      <c r="F650" s="666">
        <f t="shared" si="54"/>
        <v>0</v>
      </c>
      <c r="G650" s="666"/>
      <c r="H650" s="666"/>
      <c r="I650" s="666">
        <f t="shared" si="50"/>
        <v>0</v>
      </c>
      <c r="J650" s="666"/>
      <c r="K650" s="665">
        <f t="shared" si="51"/>
        <v>0</v>
      </c>
      <c r="L650" s="666">
        <f t="shared" si="52"/>
        <v>0</v>
      </c>
      <c r="M650" s="672">
        <v>0</v>
      </c>
      <c r="N650" s="668">
        <f t="shared" si="53"/>
        <v>0</v>
      </c>
      <c r="O650" s="676"/>
      <c r="P650" s="676"/>
    </row>
    <row r="651" spans="1:16" s="677" customFormat="1" ht="46.5" hidden="1" customHeight="1">
      <c r="A651" s="662">
        <f>11.6-7.25</f>
        <v>4.3499999999999996</v>
      </c>
      <c r="B651" s="663" t="s">
        <v>1776</v>
      </c>
      <c r="C651" s="739">
        <v>915.02</v>
      </c>
      <c r="D651" s="674" t="s">
        <v>37</v>
      </c>
      <c r="E651" s="659"/>
      <c r="F651" s="666">
        <f t="shared" si="54"/>
        <v>0</v>
      </c>
      <c r="G651" s="666"/>
      <c r="H651" s="666"/>
      <c r="I651" s="666">
        <f t="shared" si="50"/>
        <v>0</v>
      </c>
      <c r="J651" s="666"/>
      <c r="K651" s="665">
        <f t="shared" si="51"/>
        <v>0</v>
      </c>
      <c r="L651" s="666">
        <f t="shared" si="52"/>
        <v>0</v>
      </c>
      <c r="M651" s="672">
        <v>0</v>
      </c>
      <c r="N651" s="668">
        <f t="shared" si="53"/>
        <v>0</v>
      </c>
      <c r="O651" s="676"/>
      <c r="P651" s="676"/>
    </row>
    <row r="652" spans="1:16" s="677" customFormat="1" ht="69.75" hidden="1" customHeight="1">
      <c r="A652" s="662"/>
      <c r="B652" s="663" t="s">
        <v>1777</v>
      </c>
      <c r="C652" s="739">
        <v>990</v>
      </c>
      <c r="D652" s="674" t="s">
        <v>37</v>
      </c>
      <c r="E652" s="659"/>
      <c r="F652" s="666">
        <f t="shared" si="54"/>
        <v>0</v>
      </c>
      <c r="G652" s="666"/>
      <c r="H652" s="666"/>
      <c r="I652" s="666">
        <f t="shared" si="50"/>
        <v>0</v>
      </c>
      <c r="J652" s="666"/>
      <c r="K652" s="665">
        <f t="shared" si="51"/>
        <v>0</v>
      </c>
      <c r="L652" s="666">
        <f t="shared" si="52"/>
        <v>0</v>
      </c>
      <c r="M652" s="672">
        <v>0</v>
      </c>
      <c r="N652" s="668">
        <f t="shared" si="53"/>
        <v>0</v>
      </c>
      <c r="O652" s="676"/>
      <c r="P652" s="676"/>
    </row>
    <row r="653" spans="1:16" s="677" customFormat="1" ht="25.5" hidden="1" customHeight="1">
      <c r="A653" s="662"/>
      <c r="B653" s="663" t="s">
        <v>1778</v>
      </c>
      <c r="C653" s="739">
        <v>905</v>
      </c>
      <c r="D653" s="674" t="s">
        <v>61</v>
      </c>
      <c r="E653" s="659"/>
      <c r="F653" s="666">
        <f t="shared" si="54"/>
        <v>0</v>
      </c>
      <c r="G653" s="666"/>
      <c r="H653" s="666"/>
      <c r="I653" s="666">
        <f t="shared" si="50"/>
        <v>0</v>
      </c>
      <c r="J653" s="666"/>
      <c r="K653" s="665">
        <f t="shared" si="51"/>
        <v>0</v>
      </c>
      <c r="L653" s="666">
        <f t="shared" si="52"/>
        <v>0</v>
      </c>
      <c r="M653" s="672">
        <v>0</v>
      </c>
      <c r="N653" s="668">
        <f t="shared" si="53"/>
        <v>0</v>
      </c>
      <c r="O653" s="676"/>
      <c r="P653" s="676"/>
    </row>
    <row r="654" spans="1:16" s="677" customFormat="1" ht="25.5" hidden="1" customHeight="1">
      <c r="A654" s="662"/>
      <c r="B654" s="663" t="s">
        <v>1779</v>
      </c>
      <c r="C654" s="739">
        <v>8467.2999999999993</v>
      </c>
      <c r="D654" s="674" t="s">
        <v>522</v>
      </c>
      <c r="E654" s="659"/>
      <c r="F654" s="666">
        <f t="shared" si="54"/>
        <v>0</v>
      </c>
      <c r="G654" s="666"/>
      <c r="H654" s="666"/>
      <c r="I654" s="666">
        <f t="shared" si="50"/>
        <v>0</v>
      </c>
      <c r="J654" s="666"/>
      <c r="K654" s="665">
        <f t="shared" si="51"/>
        <v>0</v>
      </c>
      <c r="L654" s="666">
        <f t="shared" si="52"/>
        <v>0</v>
      </c>
      <c r="M654" s="672">
        <v>0</v>
      </c>
      <c r="N654" s="668">
        <f t="shared" si="53"/>
        <v>0</v>
      </c>
      <c r="O654" s="676"/>
      <c r="P654" s="676"/>
    </row>
    <row r="655" spans="1:16" s="677" customFormat="1" ht="93" hidden="1" customHeight="1">
      <c r="A655" s="662"/>
      <c r="B655" s="663" t="s">
        <v>1780</v>
      </c>
      <c r="C655" s="739">
        <v>3409</v>
      </c>
      <c r="D655" s="674" t="s">
        <v>522</v>
      </c>
      <c r="E655" s="659"/>
      <c r="F655" s="666">
        <f t="shared" si="54"/>
        <v>0</v>
      </c>
      <c r="G655" s="666"/>
      <c r="H655" s="666"/>
      <c r="I655" s="666">
        <f t="shared" si="50"/>
        <v>0</v>
      </c>
      <c r="J655" s="666"/>
      <c r="K655" s="665">
        <f t="shared" si="51"/>
        <v>0</v>
      </c>
      <c r="L655" s="666">
        <f t="shared" si="52"/>
        <v>0</v>
      </c>
      <c r="M655" s="672">
        <v>0</v>
      </c>
      <c r="N655" s="668">
        <f t="shared" si="53"/>
        <v>0</v>
      </c>
      <c r="O655" s="676"/>
      <c r="P655" s="676"/>
    </row>
    <row r="656" spans="1:16" s="677" customFormat="1" ht="93" hidden="1" customHeight="1">
      <c r="A656" s="662"/>
      <c r="B656" s="663" t="s">
        <v>1781</v>
      </c>
      <c r="C656" s="739">
        <v>469.42</v>
      </c>
      <c r="D656" s="674" t="s">
        <v>522</v>
      </c>
      <c r="E656" s="659"/>
      <c r="F656" s="666">
        <f t="shared" si="54"/>
        <v>0</v>
      </c>
      <c r="G656" s="666"/>
      <c r="H656" s="666"/>
      <c r="I656" s="666">
        <f t="shared" si="50"/>
        <v>0</v>
      </c>
      <c r="J656" s="666"/>
      <c r="K656" s="665">
        <f t="shared" si="51"/>
        <v>0</v>
      </c>
      <c r="L656" s="666">
        <f t="shared" si="52"/>
        <v>0</v>
      </c>
      <c r="M656" s="672">
        <v>0</v>
      </c>
      <c r="N656" s="668">
        <f t="shared" si="53"/>
        <v>0</v>
      </c>
      <c r="O656" s="676"/>
      <c r="P656" s="676"/>
    </row>
    <row r="657" spans="1:16" s="677" customFormat="1" ht="25.5" hidden="1" customHeight="1">
      <c r="A657" s="662"/>
      <c r="B657" s="663" t="s">
        <v>1782</v>
      </c>
      <c r="C657" s="739"/>
      <c r="D657" s="674"/>
      <c r="E657" s="659"/>
      <c r="F657" s="666">
        <f t="shared" si="54"/>
        <v>0</v>
      </c>
      <c r="G657" s="666"/>
      <c r="H657" s="666"/>
      <c r="I657" s="666">
        <f t="shared" si="50"/>
        <v>0</v>
      </c>
      <c r="J657" s="666"/>
      <c r="K657" s="665">
        <f t="shared" si="51"/>
        <v>0</v>
      </c>
      <c r="L657" s="666">
        <f t="shared" si="52"/>
        <v>0</v>
      </c>
      <c r="M657" s="672">
        <v>0</v>
      </c>
      <c r="N657" s="668">
        <f t="shared" si="53"/>
        <v>0</v>
      </c>
      <c r="O657" s="676"/>
      <c r="P657" s="676"/>
    </row>
    <row r="658" spans="1:16" s="677" customFormat="1" ht="26.25" hidden="1" customHeight="1">
      <c r="A658" s="662"/>
      <c r="B658" s="663" t="s">
        <v>1783</v>
      </c>
      <c r="C658" s="739">
        <v>5640</v>
      </c>
      <c r="D658" s="674" t="s">
        <v>522</v>
      </c>
      <c r="E658" s="659"/>
      <c r="F658" s="666">
        <f t="shared" si="54"/>
        <v>0</v>
      </c>
      <c r="G658" s="666"/>
      <c r="H658" s="666"/>
      <c r="I658" s="666">
        <f t="shared" si="50"/>
        <v>0</v>
      </c>
      <c r="J658" s="666"/>
      <c r="K658" s="665">
        <f t="shared" si="51"/>
        <v>0</v>
      </c>
      <c r="L658" s="666">
        <f t="shared" si="52"/>
        <v>0</v>
      </c>
      <c r="M658" s="672">
        <v>0</v>
      </c>
      <c r="N658" s="668">
        <f t="shared" si="53"/>
        <v>0</v>
      </c>
      <c r="O658" s="676"/>
      <c r="P658" s="676"/>
    </row>
    <row r="659" spans="1:16" s="677" customFormat="1" ht="25.5" hidden="1" customHeight="1">
      <c r="A659" s="662"/>
      <c r="B659" s="663" t="s">
        <v>1784</v>
      </c>
      <c r="C659" s="739">
        <v>1340</v>
      </c>
      <c r="D659" s="674" t="s">
        <v>522</v>
      </c>
      <c r="E659" s="659"/>
      <c r="F659" s="666">
        <f t="shared" si="54"/>
        <v>0</v>
      </c>
      <c r="G659" s="666"/>
      <c r="H659" s="666"/>
      <c r="I659" s="666">
        <f t="shared" si="50"/>
        <v>0</v>
      </c>
      <c r="J659" s="666"/>
      <c r="K659" s="665">
        <f t="shared" si="51"/>
        <v>0</v>
      </c>
      <c r="L659" s="666">
        <f t="shared" si="52"/>
        <v>0</v>
      </c>
      <c r="M659" s="672">
        <v>0</v>
      </c>
      <c r="N659" s="668">
        <f t="shared" si="53"/>
        <v>0</v>
      </c>
      <c r="O659" s="676"/>
      <c r="P659" s="676"/>
    </row>
    <row r="660" spans="1:16" s="677" customFormat="1" ht="25.5" hidden="1" customHeight="1">
      <c r="A660" s="662"/>
      <c r="B660" s="663" t="s">
        <v>1785</v>
      </c>
      <c r="C660" s="739">
        <v>604</v>
      </c>
      <c r="D660" s="674" t="s">
        <v>522</v>
      </c>
      <c r="E660" s="659"/>
      <c r="F660" s="666">
        <f t="shared" si="54"/>
        <v>0</v>
      </c>
      <c r="G660" s="666"/>
      <c r="H660" s="666"/>
      <c r="I660" s="666">
        <f t="shared" si="50"/>
        <v>0</v>
      </c>
      <c r="J660" s="666"/>
      <c r="K660" s="665">
        <f t="shared" si="51"/>
        <v>0</v>
      </c>
      <c r="L660" s="666">
        <f t="shared" si="52"/>
        <v>0</v>
      </c>
      <c r="M660" s="672">
        <v>0</v>
      </c>
      <c r="N660" s="668">
        <f t="shared" si="53"/>
        <v>0</v>
      </c>
      <c r="O660" s="676"/>
      <c r="P660" s="676"/>
    </row>
    <row r="661" spans="1:16" s="677" customFormat="1" ht="69.75" hidden="1" customHeight="1">
      <c r="A661" s="662"/>
      <c r="B661" s="663" t="s">
        <v>1786</v>
      </c>
      <c r="C661" s="739"/>
      <c r="D661" s="674"/>
      <c r="E661" s="659"/>
      <c r="F661" s="666">
        <f t="shared" si="54"/>
        <v>0</v>
      </c>
      <c r="G661" s="666"/>
      <c r="H661" s="666"/>
      <c r="I661" s="666">
        <f t="shared" si="50"/>
        <v>0</v>
      </c>
      <c r="J661" s="666"/>
      <c r="K661" s="665">
        <f t="shared" si="51"/>
        <v>0</v>
      </c>
      <c r="L661" s="666">
        <f t="shared" si="52"/>
        <v>0</v>
      </c>
      <c r="M661" s="672">
        <v>0</v>
      </c>
      <c r="N661" s="668">
        <f t="shared" si="53"/>
        <v>0</v>
      </c>
      <c r="O661" s="676"/>
      <c r="P661" s="676"/>
    </row>
    <row r="662" spans="1:16" s="677" customFormat="1" ht="25.5" hidden="1" customHeight="1">
      <c r="A662" s="662"/>
      <c r="B662" s="663" t="s">
        <v>168</v>
      </c>
      <c r="C662" s="739">
        <v>1000.51</v>
      </c>
      <c r="D662" s="674" t="s">
        <v>522</v>
      </c>
      <c r="E662" s="659"/>
      <c r="F662" s="666">
        <f t="shared" si="54"/>
        <v>0</v>
      </c>
      <c r="G662" s="666"/>
      <c r="H662" s="666"/>
      <c r="I662" s="666">
        <f t="shared" si="50"/>
        <v>0</v>
      </c>
      <c r="J662" s="666"/>
      <c r="K662" s="665">
        <f t="shared" si="51"/>
        <v>0</v>
      </c>
      <c r="L662" s="666">
        <f t="shared" si="52"/>
        <v>0</v>
      </c>
      <c r="M662" s="672">
        <v>0</v>
      </c>
      <c r="N662" s="668">
        <f t="shared" si="53"/>
        <v>0</v>
      </c>
      <c r="O662" s="676"/>
      <c r="P662" s="676"/>
    </row>
    <row r="663" spans="1:16" s="677" customFormat="1" ht="25.5" hidden="1" customHeight="1">
      <c r="A663" s="662"/>
      <c r="B663" s="663" t="s">
        <v>170</v>
      </c>
      <c r="C663" s="739">
        <v>1003.51</v>
      </c>
      <c r="D663" s="674" t="s">
        <v>522</v>
      </c>
      <c r="E663" s="659"/>
      <c r="F663" s="666">
        <f t="shared" si="54"/>
        <v>0</v>
      </c>
      <c r="G663" s="666"/>
      <c r="H663" s="666"/>
      <c r="I663" s="666">
        <f t="shared" si="50"/>
        <v>0</v>
      </c>
      <c r="J663" s="666"/>
      <c r="K663" s="665">
        <f t="shared" si="51"/>
        <v>0</v>
      </c>
      <c r="L663" s="666">
        <f t="shared" si="52"/>
        <v>0</v>
      </c>
      <c r="M663" s="672">
        <v>0</v>
      </c>
      <c r="N663" s="668">
        <f t="shared" si="53"/>
        <v>0</v>
      </c>
      <c r="O663" s="676"/>
      <c r="P663" s="676"/>
    </row>
    <row r="664" spans="1:16" s="677" customFormat="1" ht="116.25" hidden="1" customHeight="1">
      <c r="A664" s="662"/>
      <c r="B664" s="663" t="s">
        <v>1787</v>
      </c>
      <c r="C664" s="739">
        <v>769.3</v>
      </c>
      <c r="D664" s="674" t="s">
        <v>522</v>
      </c>
      <c r="E664" s="659"/>
      <c r="F664" s="666">
        <f t="shared" si="54"/>
        <v>0</v>
      </c>
      <c r="G664" s="666"/>
      <c r="H664" s="666"/>
      <c r="I664" s="666">
        <f t="shared" si="50"/>
        <v>0</v>
      </c>
      <c r="J664" s="666"/>
      <c r="K664" s="665">
        <f t="shared" si="51"/>
        <v>0</v>
      </c>
      <c r="L664" s="666">
        <f t="shared" si="52"/>
        <v>0</v>
      </c>
      <c r="M664" s="672">
        <v>0</v>
      </c>
      <c r="N664" s="668">
        <f t="shared" si="53"/>
        <v>0</v>
      </c>
      <c r="O664" s="676"/>
      <c r="P664" s="676"/>
    </row>
    <row r="665" spans="1:16" s="677" customFormat="1" ht="116.25" hidden="1" customHeight="1">
      <c r="A665" s="662"/>
      <c r="B665" s="663" t="s">
        <v>1788</v>
      </c>
      <c r="C665" s="739">
        <v>536.54999999999995</v>
      </c>
      <c r="D665" s="674" t="s">
        <v>522</v>
      </c>
      <c r="E665" s="659"/>
      <c r="F665" s="666">
        <f t="shared" si="54"/>
        <v>0</v>
      </c>
      <c r="G665" s="666"/>
      <c r="H665" s="666"/>
      <c r="I665" s="666">
        <f t="shared" si="50"/>
        <v>0</v>
      </c>
      <c r="J665" s="666"/>
      <c r="K665" s="665">
        <f t="shared" si="51"/>
        <v>0</v>
      </c>
      <c r="L665" s="666">
        <f t="shared" si="52"/>
        <v>0</v>
      </c>
      <c r="M665" s="672">
        <v>0</v>
      </c>
      <c r="N665" s="668">
        <f t="shared" si="53"/>
        <v>0</v>
      </c>
      <c r="O665" s="676"/>
      <c r="P665" s="676"/>
    </row>
    <row r="666" spans="1:16" s="677" customFormat="1" ht="46.5" hidden="1" customHeight="1">
      <c r="A666" s="662"/>
      <c r="B666" s="663" t="s">
        <v>1789</v>
      </c>
      <c r="C666" s="739">
        <v>627.4</v>
      </c>
      <c r="D666" s="757" t="s">
        <v>1790</v>
      </c>
      <c r="E666" s="1414"/>
      <c r="F666" s="666">
        <f t="shared" si="54"/>
        <v>0</v>
      </c>
      <c r="G666" s="666"/>
      <c r="H666" s="666"/>
      <c r="I666" s="666">
        <f t="shared" si="50"/>
        <v>0</v>
      </c>
      <c r="J666" s="666"/>
      <c r="K666" s="665">
        <f t="shared" si="51"/>
        <v>0</v>
      </c>
      <c r="L666" s="666">
        <f t="shared" si="52"/>
        <v>0</v>
      </c>
      <c r="M666" s="672">
        <v>0</v>
      </c>
      <c r="N666" s="668">
        <f t="shared" si="53"/>
        <v>0</v>
      </c>
      <c r="O666" s="676"/>
      <c r="P666" s="676"/>
    </row>
    <row r="667" spans="1:16" s="677" customFormat="1" ht="25.5" hidden="1" customHeight="1">
      <c r="A667" s="662"/>
      <c r="B667" s="663" t="s">
        <v>1791</v>
      </c>
      <c r="C667" s="739">
        <v>435</v>
      </c>
      <c r="D667" s="757" t="s">
        <v>1790</v>
      </c>
      <c r="E667" s="1414"/>
      <c r="F667" s="666">
        <f t="shared" si="54"/>
        <v>0</v>
      </c>
      <c r="G667" s="666"/>
      <c r="H667" s="666"/>
      <c r="I667" s="666">
        <f t="shared" si="50"/>
        <v>0</v>
      </c>
      <c r="J667" s="666"/>
      <c r="K667" s="665">
        <f t="shared" si="51"/>
        <v>0</v>
      </c>
      <c r="L667" s="666">
        <f t="shared" si="52"/>
        <v>0</v>
      </c>
      <c r="M667" s="672">
        <v>0</v>
      </c>
      <c r="N667" s="668">
        <f t="shared" si="53"/>
        <v>0</v>
      </c>
      <c r="O667" s="676"/>
      <c r="P667" s="676"/>
    </row>
    <row r="668" spans="1:16" s="677" customFormat="1" ht="25.5" hidden="1" customHeight="1">
      <c r="A668" s="662"/>
      <c r="B668" s="663" t="s">
        <v>1792</v>
      </c>
      <c r="C668" s="739">
        <v>356</v>
      </c>
      <c r="D668" s="757" t="s">
        <v>1790</v>
      </c>
      <c r="E668" s="1414"/>
      <c r="F668" s="666">
        <f t="shared" si="54"/>
        <v>0</v>
      </c>
      <c r="G668" s="666"/>
      <c r="H668" s="666"/>
      <c r="I668" s="666">
        <f t="shared" si="50"/>
        <v>0</v>
      </c>
      <c r="J668" s="666"/>
      <c r="K668" s="665">
        <f t="shared" si="51"/>
        <v>0</v>
      </c>
      <c r="L668" s="666">
        <f t="shared" si="52"/>
        <v>0</v>
      </c>
      <c r="M668" s="672">
        <v>0</v>
      </c>
      <c r="N668" s="668">
        <f t="shared" si="53"/>
        <v>0</v>
      </c>
      <c r="O668" s="676"/>
      <c r="P668" s="676"/>
    </row>
    <row r="669" spans="1:16" s="677" customFormat="1" ht="25.5" hidden="1" customHeight="1">
      <c r="A669" s="662"/>
      <c r="B669" s="663" t="s">
        <v>1793</v>
      </c>
      <c r="C669" s="739">
        <v>317</v>
      </c>
      <c r="D669" s="757" t="s">
        <v>1790</v>
      </c>
      <c r="E669" s="1414"/>
      <c r="F669" s="666">
        <f t="shared" si="54"/>
        <v>0</v>
      </c>
      <c r="G669" s="666"/>
      <c r="H669" s="666"/>
      <c r="I669" s="666">
        <f t="shared" si="50"/>
        <v>0</v>
      </c>
      <c r="J669" s="666"/>
      <c r="K669" s="665">
        <f t="shared" si="51"/>
        <v>0</v>
      </c>
      <c r="L669" s="666">
        <f t="shared" si="52"/>
        <v>0</v>
      </c>
      <c r="M669" s="672">
        <v>0</v>
      </c>
      <c r="N669" s="668">
        <f t="shared" si="53"/>
        <v>0</v>
      </c>
      <c r="O669" s="676"/>
      <c r="P669" s="676"/>
    </row>
    <row r="670" spans="1:16" s="677" customFormat="1" ht="25.5" hidden="1" customHeight="1">
      <c r="A670" s="662"/>
      <c r="B670" s="663" t="s">
        <v>1794</v>
      </c>
      <c r="C670" s="739">
        <v>176.84</v>
      </c>
      <c r="D670" s="757" t="s">
        <v>61</v>
      </c>
      <c r="E670" s="1414"/>
      <c r="F670" s="666">
        <f t="shared" si="54"/>
        <v>0</v>
      </c>
      <c r="G670" s="666"/>
      <c r="H670" s="666"/>
      <c r="I670" s="666">
        <f t="shared" si="50"/>
        <v>0</v>
      </c>
      <c r="J670" s="666"/>
      <c r="K670" s="665">
        <f t="shared" si="51"/>
        <v>0</v>
      </c>
      <c r="L670" s="666">
        <f t="shared" si="52"/>
        <v>0</v>
      </c>
      <c r="M670" s="672">
        <v>0</v>
      </c>
      <c r="N670" s="668">
        <f t="shared" si="53"/>
        <v>0</v>
      </c>
      <c r="O670" s="676"/>
      <c r="P670" s="676"/>
    </row>
    <row r="671" spans="1:16" s="677" customFormat="1" ht="69.75" hidden="1" customHeight="1">
      <c r="A671" s="662"/>
      <c r="B671" s="663" t="s">
        <v>1795</v>
      </c>
      <c r="C671" s="739">
        <v>293.25</v>
      </c>
      <c r="D671" s="757" t="s">
        <v>522</v>
      </c>
      <c r="E671" s="1414"/>
      <c r="F671" s="666">
        <f t="shared" si="54"/>
        <v>0</v>
      </c>
      <c r="G671" s="666"/>
      <c r="H671" s="666"/>
      <c r="I671" s="666">
        <f t="shared" si="50"/>
        <v>0</v>
      </c>
      <c r="J671" s="666"/>
      <c r="K671" s="665">
        <f t="shared" si="51"/>
        <v>0</v>
      </c>
      <c r="L671" s="666">
        <f t="shared" si="52"/>
        <v>0</v>
      </c>
      <c r="M671" s="672">
        <v>0</v>
      </c>
      <c r="N671" s="668">
        <f t="shared" si="53"/>
        <v>0</v>
      </c>
      <c r="O671" s="676"/>
      <c r="P671" s="676"/>
    </row>
    <row r="672" spans="1:16" s="677" customFormat="1" ht="69.75" hidden="1" customHeight="1">
      <c r="A672" s="662"/>
      <c r="B672" s="756" t="s">
        <v>1796</v>
      </c>
      <c r="C672" s="684"/>
      <c r="D672" s="674"/>
      <c r="E672" s="659"/>
      <c r="F672" s="666">
        <f t="shared" si="54"/>
        <v>0</v>
      </c>
      <c r="G672" s="666"/>
      <c r="H672" s="666"/>
      <c r="I672" s="666">
        <f t="shared" si="50"/>
        <v>0</v>
      </c>
      <c r="J672" s="666"/>
      <c r="K672" s="665">
        <f t="shared" si="51"/>
        <v>0</v>
      </c>
      <c r="L672" s="666">
        <f t="shared" si="52"/>
        <v>0</v>
      </c>
      <c r="M672" s="672">
        <v>0</v>
      </c>
      <c r="N672" s="668">
        <f t="shared" si="53"/>
        <v>0</v>
      </c>
      <c r="O672" s="676"/>
      <c r="P672" s="676"/>
    </row>
    <row r="673" spans="1:16" s="677" customFormat="1" ht="25.5" hidden="1" customHeight="1">
      <c r="A673" s="662"/>
      <c r="B673" s="738" t="s">
        <v>1797</v>
      </c>
      <c r="C673" s="684">
        <f>[8]Data!R1455</f>
        <v>5611.1</v>
      </c>
      <c r="D673" s="674" t="s">
        <v>37</v>
      </c>
      <c r="E673" s="659"/>
      <c r="F673" s="666">
        <f t="shared" si="54"/>
        <v>0</v>
      </c>
      <c r="G673" s="666"/>
      <c r="H673" s="666"/>
      <c r="I673" s="666">
        <f t="shared" si="50"/>
        <v>0</v>
      </c>
      <c r="J673" s="666"/>
      <c r="K673" s="665">
        <f t="shared" si="51"/>
        <v>0</v>
      </c>
      <c r="L673" s="666">
        <f t="shared" si="52"/>
        <v>0</v>
      </c>
      <c r="M673" s="672">
        <v>0</v>
      </c>
      <c r="N673" s="668">
        <f t="shared" si="53"/>
        <v>0</v>
      </c>
      <c r="O673" s="676"/>
      <c r="P673" s="676"/>
    </row>
    <row r="674" spans="1:16" s="677" customFormat="1" ht="25.5" hidden="1" customHeight="1">
      <c r="A674" s="662"/>
      <c r="B674" s="738" t="s">
        <v>1798</v>
      </c>
      <c r="C674" s="684">
        <f>'[8]Sliding and french window'!F145</f>
        <v>5107.12</v>
      </c>
      <c r="D674" s="674" t="s">
        <v>37</v>
      </c>
      <c r="E674" s="659"/>
      <c r="F674" s="666">
        <f t="shared" si="54"/>
        <v>0</v>
      </c>
      <c r="G674" s="666"/>
      <c r="H674" s="666"/>
      <c r="I674" s="666">
        <f t="shared" si="50"/>
        <v>0</v>
      </c>
      <c r="J674" s="666"/>
      <c r="K674" s="665">
        <f t="shared" si="51"/>
        <v>0</v>
      </c>
      <c r="L674" s="666">
        <f t="shared" si="52"/>
        <v>0</v>
      </c>
      <c r="M674" s="672">
        <v>0</v>
      </c>
      <c r="N674" s="668">
        <f t="shared" si="53"/>
        <v>0</v>
      </c>
      <c r="O674" s="676"/>
      <c r="P674" s="676"/>
    </row>
    <row r="675" spans="1:16" s="677" customFormat="1" ht="25.5" hidden="1" customHeight="1">
      <c r="A675" s="662"/>
      <c r="B675" s="738" t="s">
        <v>1799</v>
      </c>
      <c r="C675" s="684">
        <f>'[8]Sliding and french window'!F32</f>
        <v>4757.03</v>
      </c>
      <c r="D675" s="674" t="s">
        <v>37</v>
      </c>
      <c r="E675" s="659"/>
      <c r="F675" s="666">
        <f t="shared" si="54"/>
        <v>0</v>
      </c>
      <c r="G675" s="666"/>
      <c r="H675" s="666"/>
      <c r="I675" s="666">
        <f t="shared" si="50"/>
        <v>0</v>
      </c>
      <c r="J675" s="666"/>
      <c r="K675" s="665">
        <f t="shared" si="51"/>
        <v>0</v>
      </c>
      <c r="L675" s="666">
        <f t="shared" si="52"/>
        <v>0</v>
      </c>
      <c r="M675" s="672">
        <v>0</v>
      </c>
      <c r="N675" s="668">
        <f t="shared" si="53"/>
        <v>0</v>
      </c>
      <c r="O675" s="676"/>
      <c r="P675" s="676"/>
    </row>
    <row r="676" spans="1:16" s="677" customFormat="1" ht="25.5" hidden="1" customHeight="1">
      <c r="A676" s="662"/>
      <c r="B676" s="738" t="s">
        <v>1800</v>
      </c>
      <c r="C676" s="684">
        <f>'[8]Sliding and french window'!F310</f>
        <v>5118.9399999999996</v>
      </c>
      <c r="D676" s="674" t="s">
        <v>37</v>
      </c>
      <c r="E676" s="659"/>
      <c r="F676" s="666">
        <f t="shared" si="54"/>
        <v>0</v>
      </c>
      <c r="G676" s="666"/>
      <c r="H676" s="666"/>
      <c r="I676" s="666">
        <f t="shared" si="50"/>
        <v>0</v>
      </c>
      <c r="J676" s="666"/>
      <c r="K676" s="665">
        <f t="shared" si="51"/>
        <v>0</v>
      </c>
      <c r="L676" s="666">
        <f t="shared" si="52"/>
        <v>0</v>
      </c>
      <c r="M676" s="672">
        <v>0</v>
      </c>
      <c r="N676" s="668">
        <f t="shared" si="53"/>
        <v>0</v>
      </c>
      <c r="O676" s="676"/>
      <c r="P676" s="676"/>
    </row>
    <row r="677" spans="1:16" s="677" customFormat="1" ht="25.5" hidden="1" customHeight="1">
      <c r="A677" s="662"/>
      <c r="B677" s="738" t="s">
        <v>1801</v>
      </c>
      <c r="C677" s="684">
        <f>'[8]Sliding and french window'!F167</f>
        <v>4446.5</v>
      </c>
      <c r="D677" s="674" t="s">
        <v>37</v>
      </c>
      <c r="E677" s="659"/>
      <c r="F677" s="666">
        <f t="shared" si="54"/>
        <v>0</v>
      </c>
      <c r="G677" s="666"/>
      <c r="H677" s="666"/>
      <c r="I677" s="666">
        <f t="shared" si="50"/>
        <v>0</v>
      </c>
      <c r="J677" s="666"/>
      <c r="K677" s="665">
        <f t="shared" si="51"/>
        <v>0</v>
      </c>
      <c r="L677" s="666">
        <f t="shared" si="52"/>
        <v>0</v>
      </c>
      <c r="M677" s="672">
        <v>0</v>
      </c>
      <c r="N677" s="668">
        <f t="shared" si="53"/>
        <v>0</v>
      </c>
      <c r="O677" s="676"/>
      <c r="P677" s="676"/>
    </row>
    <row r="678" spans="1:16" s="677" customFormat="1" ht="25.5" hidden="1" customHeight="1">
      <c r="A678" s="662"/>
      <c r="B678" s="738" t="s">
        <v>1802</v>
      </c>
      <c r="C678" s="684">
        <f>'[8]Sliding and french window'!F145</f>
        <v>5107.12</v>
      </c>
      <c r="D678" s="674" t="s">
        <v>37</v>
      </c>
      <c r="E678" s="659"/>
      <c r="F678" s="666">
        <f t="shared" si="54"/>
        <v>0</v>
      </c>
      <c r="G678" s="666"/>
      <c r="H678" s="666"/>
      <c r="I678" s="666">
        <f t="shared" si="50"/>
        <v>0</v>
      </c>
      <c r="J678" s="666"/>
      <c r="K678" s="665">
        <f t="shared" si="51"/>
        <v>0</v>
      </c>
      <c r="L678" s="666">
        <f t="shared" si="52"/>
        <v>0</v>
      </c>
      <c r="M678" s="672">
        <v>0</v>
      </c>
      <c r="N678" s="668">
        <f t="shared" si="53"/>
        <v>0</v>
      </c>
      <c r="O678" s="676"/>
      <c r="P678" s="676"/>
    </row>
    <row r="679" spans="1:16" s="677" customFormat="1" ht="25.5" hidden="1" customHeight="1">
      <c r="A679" s="662"/>
      <c r="B679" s="738" t="s">
        <v>1803</v>
      </c>
      <c r="C679" s="684">
        <f>'[8]Sliding and french window'!F46</f>
        <v>4517.32</v>
      </c>
      <c r="D679" s="674" t="s">
        <v>37</v>
      </c>
      <c r="E679" s="659"/>
      <c r="F679" s="666">
        <f t="shared" si="54"/>
        <v>0</v>
      </c>
      <c r="G679" s="666"/>
      <c r="H679" s="666"/>
      <c r="I679" s="666">
        <f t="shared" si="50"/>
        <v>0</v>
      </c>
      <c r="J679" s="666"/>
      <c r="K679" s="665">
        <f t="shared" si="51"/>
        <v>0</v>
      </c>
      <c r="L679" s="666">
        <f t="shared" si="52"/>
        <v>0</v>
      </c>
      <c r="M679" s="672">
        <v>0</v>
      </c>
      <c r="N679" s="668">
        <f t="shared" si="53"/>
        <v>0</v>
      </c>
      <c r="O679" s="676"/>
      <c r="P679" s="676"/>
    </row>
    <row r="680" spans="1:16" s="677" customFormat="1" ht="25.5" hidden="1" customHeight="1">
      <c r="A680" s="662"/>
      <c r="B680" s="738" t="s">
        <v>1804</v>
      </c>
      <c r="C680" s="684">
        <f>'[8]Sliding and french window'!F32</f>
        <v>4757.03</v>
      </c>
      <c r="D680" s="674" t="s">
        <v>37</v>
      </c>
      <c r="E680" s="659"/>
      <c r="F680" s="666">
        <f t="shared" si="54"/>
        <v>0</v>
      </c>
      <c r="G680" s="666"/>
      <c r="H680" s="666"/>
      <c r="I680" s="666">
        <f t="shared" si="50"/>
        <v>0</v>
      </c>
      <c r="J680" s="666"/>
      <c r="K680" s="665">
        <f t="shared" si="51"/>
        <v>0</v>
      </c>
      <c r="L680" s="666">
        <f t="shared" si="52"/>
        <v>0</v>
      </c>
      <c r="M680" s="672">
        <v>0</v>
      </c>
      <c r="N680" s="668">
        <f t="shared" si="53"/>
        <v>0</v>
      </c>
      <c r="O680" s="676"/>
      <c r="P680" s="676"/>
    </row>
    <row r="681" spans="1:16" s="677" customFormat="1" ht="25.5" hidden="1" customHeight="1">
      <c r="A681" s="662"/>
      <c r="B681" s="738" t="s">
        <v>1805</v>
      </c>
      <c r="C681" s="684">
        <f>'[8]Sliding and french window'!F167</f>
        <v>4446.5</v>
      </c>
      <c r="D681" s="674" t="s">
        <v>37</v>
      </c>
      <c r="E681" s="659"/>
      <c r="F681" s="666">
        <f t="shared" si="54"/>
        <v>0</v>
      </c>
      <c r="G681" s="666"/>
      <c r="H681" s="666"/>
      <c r="I681" s="666">
        <f t="shared" si="50"/>
        <v>0</v>
      </c>
      <c r="J681" s="666"/>
      <c r="K681" s="665">
        <f t="shared" si="51"/>
        <v>0</v>
      </c>
      <c r="L681" s="666">
        <f t="shared" si="52"/>
        <v>0</v>
      </c>
      <c r="M681" s="672">
        <v>0</v>
      </c>
      <c r="N681" s="668">
        <f t="shared" si="53"/>
        <v>0</v>
      </c>
      <c r="O681" s="676"/>
      <c r="P681" s="676"/>
    </row>
    <row r="682" spans="1:16" s="677" customFormat="1" ht="25.5" hidden="1" customHeight="1">
      <c r="A682" s="662"/>
      <c r="B682" s="756" t="s">
        <v>1806</v>
      </c>
      <c r="C682" s="684"/>
      <c r="D682" s="674"/>
      <c r="E682" s="659"/>
      <c r="F682" s="666">
        <f t="shared" si="54"/>
        <v>0</v>
      </c>
      <c r="G682" s="666"/>
      <c r="H682" s="666"/>
      <c r="I682" s="666">
        <f t="shared" si="50"/>
        <v>0</v>
      </c>
      <c r="J682" s="666"/>
      <c r="K682" s="665">
        <f t="shared" si="51"/>
        <v>0</v>
      </c>
      <c r="L682" s="666">
        <f t="shared" si="52"/>
        <v>0</v>
      </c>
      <c r="M682" s="672">
        <v>0</v>
      </c>
      <c r="N682" s="668">
        <f t="shared" si="53"/>
        <v>0</v>
      </c>
      <c r="O682" s="676"/>
      <c r="P682" s="676"/>
    </row>
    <row r="683" spans="1:16" s="677" customFormat="1" ht="33" hidden="1" customHeight="1">
      <c r="A683" s="662"/>
      <c r="B683" s="756" t="s">
        <v>1807</v>
      </c>
      <c r="C683" s="758">
        <f>[8]Data!K3999</f>
        <v>4714.8100000000004</v>
      </c>
      <c r="D683" s="674" t="s">
        <v>37</v>
      </c>
      <c r="E683" s="659"/>
      <c r="F683" s="666">
        <f t="shared" si="54"/>
        <v>0</v>
      </c>
      <c r="G683" s="666"/>
      <c r="H683" s="666"/>
      <c r="I683" s="666">
        <f t="shared" si="50"/>
        <v>0</v>
      </c>
      <c r="J683" s="666"/>
      <c r="K683" s="665">
        <f t="shared" si="51"/>
        <v>0</v>
      </c>
      <c r="L683" s="666">
        <f t="shared" si="52"/>
        <v>0</v>
      </c>
      <c r="M683" s="672">
        <v>0</v>
      </c>
      <c r="N683" s="668">
        <f t="shared" si="53"/>
        <v>0</v>
      </c>
      <c r="O683" s="676"/>
      <c r="P683" s="676"/>
    </row>
    <row r="684" spans="1:16" s="677" customFormat="1" ht="33" hidden="1" customHeight="1">
      <c r="A684" s="662"/>
      <c r="B684" s="759" t="s">
        <v>1808</v>
      </c>
      <c r="C684" s="760">
        <f>[8]Data!K4015</f>
        <v>4530.8</v>
      </c>
      <c r="D684" s="674" t="s">
        <v>37</v>
      </c>
      <c r="E684" s="659"/>
      <c r="F684" s="666">
        <f t="shared" si="54"/>
        <v>0</v>
      </c>
      <c r="G684" s="666"/>
      <c r="H684" s="666"/>
      <c r="I684" s="666">
        <f t="shared" si="50"/>
        <v>0</v>
      </c>
      <c r="J684" s="666"/>
      <c r="K684" s="665">
        <f t="shared" si="51"/>
        <v>0</v>
      </c>
      <c r="L684" s="666">
        <f t="shared" si="52"/>
        <v>0</v>
      </c>
      <c r="M684" s="672">
        <v>0</v>
      </c>
      <c r="N684" s="668">
        <f t="shared" si="53"/>
        <v>0</v>
      </c>
      <c r="O684" s="676"/>
      <c r="P684" s="676"/>
    </row>
    <row r="685" spans="1:16" s="677" customFormat="1" ht="33" hidden="1" customHeight="1">
      <c r="A685" s="662"/>
      <c r="B685" s="759" t="s">
        <v>1809</v>
      </c>
      <c r="C685" s="761">
        <f>[8]Data!K4030</f>
        <v>4872.84</v>
      </c>
      <c r="D685" s="674" t="s">
        <v>37</v>
      </c>
      <c r="E685" s="659"/>
      <c r="F685" s="666">
        <f t="shared" si="54"/>
        <v>0</v>
      </c>
      <c r="G685" s="666"/>
      <c r="H685" s="666"/>
      <c r="I685" s="666">
        <f t="shared" si="50"/>
        <v>0</v>
      </c>
      <c r="J685" s="666"/>
      <c r="K685" s="665">
        <f t="shared" si="51"/>
        <v>0</v>
      </c>
      <c r="L685" s="666">
        <f t="shared" si="52"/>
        <v>0</v>
      </c>
      <c r="M685" s="672">
        <v>0</v>
      </c>
      <c r="N685" s="668">
        <f t="shared" si="53"/>
        <v>0</v>
      </c>
      <c r="O685" s="676"/>
      <c r="P685" s="676"/>
    </row>
    <row r="686" spans="1:16" s="677" customFormat="1" ht="33" hidden="1" customHeight="1">
      <c r="A686" s="662"/>
      <c r="B686" s="759" t="s">
        <v>1810</v>
      </c>
      <c r="C686" s="761">
        <f>[8]Data!K4042</f>
        <v>4763.7</v>
      </c>
      <c r="D686" s="674" t="s">
        <v>37</v>
      </c>
      <c r="E686" s="659"/>
      <c r="F686" s="666">
        <f t="shared" si="54"/>
        <v>0</v>
      </c>
      <c r="G686" s="666"/>
      <c r="H686" s="666"/>
      <c r="I686" s="666">
        <f t="shared" si="50"/>
        <v>0</v>
      </c>
      <c r="J686" s="666"/>
      <c r="K686" s="665">
        <f t="shared" si="51"/>
        <v>0</v>
      </c>
      <c r="L686" s="666">
        <f t="shared" si="52"/>
        <v>0</v>
      </c>
      <c r="M686" s="672">
        <v>0</v>
      </c>
      <c r="N686" s="668">
        <f t="shared" si="53"/>
        <v>0</v>
      </c>
      <c r="O686" s="676"/>
      <c r="P686" s="676"/>
    </row>
    <row r="687" spans="1:16" s="677" customFormat="1" ht="25.5" hidden="1" customHeight="1">
      <c r="A687" s="662"/>
      <c r="B687" s="762"/>
      <c r="C687" s="739"/>
      <c r="D687" s="757" t="s">
        <v>522</v>
      </c>
      <c r="E687" s="1414"/>
      <c r="F687" s="666">
        <f t="shared" si="54"/>
        <v>0</v>
      </c>
      <c r="G687" s="666"/>
      <c r="H687" s="666"/>
      <c r="I687" s="666">
        <f t="shared" si="50"/>
        <v>0</v>
      </c>
      <c r="J687" s="666"/>
      <c r="K687" s="665">
        <f t="shared" si="51"/>
        <v>0</v>
      </c>
      <c r="L687" s="666">
        <f t="shared" si="52"/>
        <v>0</v>
      </c>
      <c r="M687" s="672">
        <v>0</v>
      </c>
      <c r="N687" s="668">
        <f t="shared" si="53"/>
        <v>0</v>
      </c>
      <c r="O687" s="676"/>
      <c r="P687" s="676"/>
    </row>
    <row r="688" spans="1:16" s="677" customFormat="1" ht="93" hidden="1" customHeight="1">
      <c r="A688" s="662"/>
      <c r="B688" s="663" t="s">
        <v>1811</v>
      </c>
      <c r="C688" s="739">
        <v>6950</v>
      </c>
      <c r="D688" s="757" t="s">
        <v>522</v>
      </c>
      <c r="E688" s="1414"/>
      <c r="F688" s="666">
        <f t="shared" si="54"/>
        <v>0</v>
      </c>
      <c r="G688" s="666"/>
      <c r="H688" s="666"/>
      <c r="I688" s="666">
        <f t="shared" si="50"/>
        <v>0</v>
      </c>
      <c r="J688" s="666"/>
      <c r="K688" s="665">
        <f t="shared" si="51"/>
        <v>0</v>
      </c>
      <c r="L688" s="666">
        <f t="shared" si="52"/>
        <v>0</v>
      </c>
      <c r="M688" s="672">
        <v>0</v>
      </c>
      <c r="N688" s="668">
        <f t="shared" si="53"/>
        <v>0</v>
      </c>
      <c r="O688" s="676"/>
      <c r="P688" s="676"/>
    </row>
    <row r="689" spans="1:16" s="677" customFormat="1" ht="46.5" hidden="1" customHeight="1">
      <c r="A689" s="662"/>
      <c r="B689" s="663" t="s">
        <v>1812</v>
      </c>
      <c r="C689" s="739">
        <v>634</v>
      </c>
      <c r="D689" s="757" t="s">
        <v>522</v>
      </c>
      <c r="E689" s="1414"/>
      <c r="F689" s="666">
        <f t="shared" si="54"/>
        <v>0</v>
      </c>
      <c r="G689" s="666"/>
      <c r="H689" s="666"/>
      <c r="I689" s="666">
        <f t="shared" si="50"/>
        <v>0</v>
      </c>
      <c r="J689" s="666"/>
      <c r="K689" s="665">
        <f t="shared" si="51"/>
        <v>0</v>
      </c>
      <c r="L689" s="666">
        <f t="shared" si="52"/>
        <v>0</v>
      </c>
      <c r="M689" s="672">
        <v>0</v>
      </c>
      <c r="N689" s="668">
        <f t="shared" si="53"/>
        <v>0</v>
      </c>
      <c r="O689" s="676"/>
      <c r="P689" s="676"/>
    </row>
    <row r="690" spans="1:16" s="677" customFormat="1" ht="69.75" hidden="1" customHeight="1">
      <c r="A690" s="662"/>
      <c r="B690" s="663" t="s">
        <v>1813</v>
      </c>
      <c r="C690" s="739">
        <v>9470</v>
      </c>
      <c r="D690" s="757" t="s">
        <v>522</v>
      </c>
      <c r="E690" s="1414"/>
      <c r="F690" s="666">
        <f t="shared" si="54"/>
        <v>0</v>
      </c>
      <c r="G690" s="666"/>
      <c r="H690" s="666"/>
      <c r="I690" s="666">
        <f t="shared" si="50"/>
        <v>0</v>
      </c>
      <c r="J690" s="666"/>
      <c r="K690" s="665">
        <f t="shared" si="51"/>
        <v>0</v>
      </c>
      <c r="L690" s="666">
        <f t="shared" si="52"/>
        <v>0</v>
      </c>
      <c r="M690" s="672">
        <v>0</v>
      </c>
      <c r="N690" s="668">
        <f t="shared" si="53"/>
        <v>0</v>
      </c>
      <c r="O690" s="676"/>
      <c r="P690" s="676"/>
    </row>
    <row r="691" spans="1:16" s="677" customFormat="1" ht="46.5" hidden="1" customHeight="1">
      <c r="A691" s="662"/>
      <c r="B691" s="663" t="s">
        <v>1814</v>
      </c>
      <c r="C691" s="739">
        <v>123622</v>
      </c>
      <c r="D691" s="757" t="s">
        <v>522</v>
      </c>
      <c r="E691" s="1414"/>
      <c r="F691" s="666">
        <f t="shared" si="54"/>
        <v>0</v>
      </c>
      <c r="G691" s="666"/>
      <c r="H691" s="666"/>
      <c r="I691" s="666">
        <f t="shared" si="50"/>
        <v>0</v>
      </c>
      <c r="J691" s="666"/>
      <c r="K691" s="665">
        <f t="shared" si="51"/>
        <v>0</v>
      </c>
      <c r="L691" s="666">
        <f t="shared" si="52"/>
        <v>0</v>
      </c>
      <c r="M691" s="672">
        <v>0</v>
      </c>
      <c r="N691" s="668">
        <f t="shared" si="53"/>
        <v>0</v>
      </c>
      <c r="O691" s="676"/>
      <c r="P691" s="676"/>
    </row>
    <row r="692" spans="1:16" s="677" customFormat="1" ht="69.75" hidden="1" customHeight="1">
      <c r="A692" s="662"/>
      <c r="B692" s="663" t="s">
        <v>1815</v>
      </c>
      <c r="C692" s="739">
        <v>704.75</v>
      </c>
      <c r="D692" s="674" t="s">
        <v>522</v>
      </c>
      <c r="E692" s="659"/>
      <c r="F692" s="666">
        <f t="shared" si="54"/>
        <v>0</v>
      </c>
      <c r="G692" s="666"/>
      <c r="H692" s="666"/>
      <c r="I692" s="666">
        <f t="shared" si="50"/>
        <v>0</v>
      </c>
      <c r="J692" s="666"/>
      <c r="K692" s="665">
        <f t="shared" si="51"/>
        <v>0</v>
      </c>
      <c r="L692" s="666">
        <f t="shared" si="52"/>
        <v>0</v>
      </c>
      <c r="M692" s="672">
        <v>0</v>
      </c>
      <c r="N692" s="668">
        <f t="shared" si="53"/>
        <v>0</v>
      </c>
      <c r="O692" s="676"/>
      <c r="P692" s="676"/>
    </row>
    <row r="693" spans="1:16" s="677" customFormat="1" ht="69.75" hidden="1" customHeight="1">
      <c r="A693" s="662"/>
      <c r="B693" s="663" t="s">
        <v>1816</v>
      </c>
      <c r="C693" s="739">
        <v>514.85</v>
      </c>
      <c r="D693" s="674" t="s">
        <v>522</v>
      </c>
      <c r="E693" s="659"/>
      <c r="F693" s="666">
        <f t="shared" si="54"/>
        <v>0</v>
      </c>
      <c r="G693" s="666"/>
      <c r="H693" s="666"/>
      <c r="I693" s="666">
        <f t="shared" si="50"/>
        <v>0</v>
      </c>
      <c r="J693" s="666"/>
      <c r="K693" s="665">
        <f t="shared" si="51"/>
        <v>0</v>
      </c>
      <c r="L693" s="666">
        <f t="shared" si="52"/>
        <v>0</v>
      </c>
      <c r="M693" s="672">
        <v>0</v>
      </c>
      <c r="N693" s="668">
        <f t="shared" si="53"/>
        <v>0</v>
      </c>
      <c r="O693" s="676"/>
      <c r="P693" s="676"/>
    </row>
    <row r="694" spans="1:16" s="677" customFormat="1" ht="25.5" hidden="1" customHeight="1">
      <c r="A694" s="662"/>
      <c r="B694" s="762" t="s">
        <v>1817</v>
      </c>
      <c r="C694" s="739">
        <v>473.5</v>
      </c>
      <c r="D694" s="757" t="s">
        <v>61</v>
      </c>
      <c r="E694" s="1414"/>
      <c r="F694" s="666">
        <f t="shared" si="54"/>
        <v>0</v>
      </c>
      <c r="G694" s="666"/>
      <c r="H694" s="666"/>
      <c r="I694" s="666">
        <f t="shared" si="50"/>
        <v>0</v>
      </c>
      <c r="J694" s="666"/>
      <c r="K694" s="665">
        <f t="shared" si="51"/>
        <v>0</v>
      </c>
      <c r="L694" s="666">
        <f t="shared" si="52"/>
        <v>0</v>
      </c>
      <c r="M694" s="672">
        <v>0</v>
      </c>
      <c r="N694" s="668">
        <f t="shared" si="53"/>
        <v>0</v>
      </c>
      <c r="O694" s="676"/>
      <c r="P694" s="676"/>
    </row>
    <row r="695" spans="1:16" s="677" customFormat="1" ht="46.5" hidden="1" customHeight="1">
      <c r="A695" s="662"/>
      <c r="B695" s="762" t="s">
        <v>1818</v>
      </c>
      <c r="C695" s="739">
        <v>952</v>
      </c>
      <c r="D695" s="757" t="s">
        <v>522</v>
      </c>
      <c r="E695" s="1414"/>
      <c r="F695" s="666">
        <f t="shared" si="54"/>
        <v>0</v>
      </c>
      <c r="G695" s="666"/>
      <c r="H695" s="666"/>
      <c r="I695" s="666">
        <f t="shared" si="50"/>
        <v>0</v>
      </c>
      <c r="J695" s="666"/>
      <c r="K695" s="665">
        <f t="shared" si="51"/>
        <v>0</v>
      </c>
      <c r="L695" s="666">
        <f t="shared" si="52"/>
        <v>0</v>
      </c>
      <c r="M695" s="672">
        <v>0</v>
      </c>
      <c r="N695" s="668">
        <f t="shared" si="53"/>
        <v>0</v>
      </c>
      <c r="O695" s="676"/>
      <c r="P695" s="676"/>
    </row>
    <row r="696" spans="1:16" s="677" customFormat="1" ht="25.5" hidden="1" customHeight="1">
      <c r="A696" s="662"/>
      <c r="B696" s="762" t="s">
        <v>1819</v>
      </c>
      <c r="C696" s="739">
        <v>11481.8</v>
      </c>
      <c r="D696" s="757" t="s">
        <v>522</v>
      </c>
      <c r="E696" s="1414"/>
      <c r="F696" s="666">
        <f t="shared" si="54"/>
        <v>0</v>
      </c>
      <c r="G696" s="666"/>
      <c r="H696" s="666"/>
      <c r="I696" s="666">
        <f t="shared" si="50"/>
        <v>0</v>
      </c>
      <c r="J696" s="666"/>
      <c r="K696" s="665">
        <f t="shared" si="51"/>
        <v>0</v>
      </c>
      <c r="L696" s="666">
        <f t="shared" si="52"/>
        <v>0</v>
      </c>
      <c r="M696" s="672">
        <v>0</v>
      </c>
      <c r="N696" s="668">
        <f t="shared" si="53"/>
        <v>0</v>
      </c>
      <c r="O696" s="676"/>
      <c r="P696" s="676"/>
    </row>
    <row r="697" spans="1:16" s="677" customFormat="1" ht="46.5" hidden="1" customHeight="1">
      <c r="A697" s="662"/>
      <c r="B697" s="762" t="s">
        <v>1820</v>
      </c>
      <c r="C697" s="739">
        <v>5325.6</v>
      </c>
      <c r="D697" s="757" t="s">
        <v>522</v>
      </c>
      <c r="E697" s="1414"/>
      <c r="F697" s="666">
        <f t="shared" si="54"/>
        <v>0</v>
      </c>
      <c r="G697" s="666"/>
      <c r="H697" s="666"/>
      <c r="I697" s="666">
        <f t="shared" si="50"/>
        <v>0</v>
      </c>
      <c r="J697" s="666"/>
      <c r="K697" s="665">
        <f t="shared" si="51"/>
        <v>0</v>
      </c>
      <c r="L697" s="666">
        <f t="shared" si="52"/>
        <v>0</v>
      </c>
      <c r="M697" s="672">
        <v>0</v>
      </c>
      <c r="N697" s="668">
        <f t="shared" si="53"/>
        <v>0</v>
      </c>
      <c r="O697" s="676"/>
      <c r="P697" s="676"/>
    </row>
    <row r="698" spans="1:16" s="677" customFormat="1" ht="46.5" hidden="1" customHeight="1">
      <c r="A698" s="662"/>
      <c r="B698" s="762" t="s">
        <v>1821</v>
      </c>
      <c r="C698" s="739">
        <v>8254.6</v>
      </c>
      <c r="D698" s="757" t="s">
        <v>522</v>
      </c>
      <c r="E698" s="1414"/>
      <c r="F698" s="666">
        <f t="shared" si="54"/>
        <v>0</v>
      </c>
      <c r="G698" s="666"/>
      <c r="H698" s="666"/>
      <c r="I698" s="666">
        <f t="shared" si="50"/>
        <v>0</v>
      </c>
      <c r="J698" s="666"/>
      <c r="K698" s="665">
        <f t="shared" si="51"/>
        <v>0</v>
      </c>
      <c r="L698" s="666">
        <f t="shared" si="52"/>
        <v>0</v>
      </c>
      <c r="M698" s="672">
        <v>0</v>
      </c>
      <c r="N698" s="668">
        <f t="shared" si="53"/>
        <v>0</v>
      </c>
      <c r="O698" s="676"/>
      <c r="P698" s="676"/>
    </row>
    <row r="699" spans="1:16" s="677" customFormat="1" ht="46.5" hidden="1" customHeight="1">
      <c r="A699" s="662"/>
      <c r="B699" s="762" t="s">
        <v>1822</v>
      </c>
      <c r="C699" s="739">
        <v>6588</v>
      </c>
      <c r="D699" s="757" t="s">
        <v>522</v>
      </c>
      <c r="E699" s="1414"/>
      <c r="F699" s="666">
        <f t="shared" si="54"/>
        <v>0</v>
      </c>
      <c r="G699" s="666"/>
      <c r="H699" s="666"/>
      <c r="I699" s="666">
        <f t="shared" si="50"/>
        <v>0</v>
      </c>
      <c r="J699" s="666"/>
      <c r="K699" s="665">
        <f t="shared" si="51"/>
        <v>0</v>
      </c>
      <c r="L699" s="666">
        <f t="shared" si="52"/>
        <v>0</v>
      </c>
      <c r="M699" s="672">
        <v>0</v>
      </c>
      <c r="N699" s="668">
        <f t="shared" si="53"/>
        <v>0</v>
      </c>
      <c r="O699" s="676"/>
      <c r="P699" s="676"/>
    </row>
    <row r="700" spans="1:16" s="677" customFormat="1" ht="46.5" hidden="1" customHeight="1">
      <c r="A700" s="662"/>
      <c r="B700" s="762" t="s">
        <v>1823</v>
      </c>
      <c r="C700" s="739">
        <v>593</v>
      </c>
      <c r="D700" s="763" t="s">
        <v>522</v>
      </c>
      <c r="E700" s="1414"/>
      <c r="F700" s="666">
        <f t="shared" si="54"/>
        <v>0</v>
      </c>
      <c r="G700" s="666"/>
      <c r="H700" s="666"/>
      <c r="I700" s="666">
        <f t="shared" si="50"/>
        <v>0</v>
      </c>
      <c r="J700" s="666"/>
      <c r="K700" s="665">
        <f t="shared" si="51"/>
        <v>0</v>
      </c>
      <c r="L700" s="666">
        <f t="shared" si="52"/>
        <v>0</v>
      </c>
      <c r="M700" s="672">
        <v>0</v>
      </c>
      <c r="N700" s="668">
        <f t="shared" si="53"/>
        <v>0</v>
      </c>
      <c r="O700" s="676"/>
      <c r="P700" s="676"/>
    </row>
    <row r="701" spans="1:16" s="677" customFormat="1" ht="25.5" hidden="1" customHeight="1">
      <c r="A701" s="662"/>
      <c r="B701" s="738" t="s">
        <v>1824</v>
      </c>
      <c r="C701" s="739"/>
      <c r="D701" s="741"/>
      <c r="E701" s="1412"/>
      <c r="F701" s="666">
        <f t="shared" si="54"/>
        <v>0</v>
      </c>
      <c r="G701" s="666"/>
      <c r="H701" s="666"/>
      <c r="I701" s="666">
        <f t="shared" si="50"/>
        <v>0</v>
      </c>
      <c r="J701" s="666"/>
      <c r="K701" s="665">
        <f t="shared" si="51"/>
        <v>0</v>
      </c>
      <c r="L701" s="666">
        <f t="shared" si="52"/>
        <v>0</v>
      </c>
      <c r="M701" s="672">
        <v>0</v>
      </c>
      <c r="N701" s="668">
        <f t="shared" si="53"/>
        <v>0</v>
      </c>
      <c r="O701" s="676"/>
      <c r="P701" s="676"/>
    </row>
    <row r="702" spans="1:16" s="677" customFormat="1" ht="25.5" hidden="1" customHeight="1">
      <c r="A702" s="662"/>
      <c r="B702" s="738" t="s">
        <v>1825</v>
      </c>
      <c r="C702" s="739">
        <v>6300</v>
      </c>
      <c r="D702" s="741" t="s">
        <v>37</v>
      </c>
      <c r="E702" s="1412"/>
      <c r="F702" s="666">
        <f t="shared" si="54"/>
        <v>0</v>
      </c>
      <c r="G702" s="666"/>
      <c r="H702" s="666"/>
      <c r="I702" s="666">
        <f t="shared" si="50"/>
        <v>0</v>
      </c>
      <c r="J702" s="666"/>
      <c r="K702" s="665">
        <f t="shared" si="51"/>
        <v>0</v>
      </c>
      <c r="L702" s="666">
        <f t="shared" si="52"/>
        <v>0</v>
      </c>
      <c r="M702" s="672">
        <v>0</v>
      </c>
      <c r="N702" s="668">
        <f t="shared" si="53"/>
        <v>0</v>
      </c>
      <c r="O702" s="676"/>
      <c r="P702" s="676"/>
    </row>
    <row r="703" spans="1:16" s="677" customFormat="1" ht="25.5" hidden="1" customHeight="1">
      <c r="A703" s="662"/>
      <c r="B703" s="738" t="s">
        <v>1826</v>
      </c>
      <c r="C703" s="739">
        <v>6300</v>
      </c>
      <c r="D703" s="741" t="s">
        <v>37</v>
      </c>
      <c r="E703" s="1412"/>
      <c r="F703" s="666">
        <f t="shared" si="54"/>
        <v>0</v>
      </c>
      <c r="G703" s="666"/>
      <c r="H703" s="666"/>
      <c r="I703" s="666">
        <f t="shared" si="50"/>
        <v>0</v>
      </c>
      <c r="J703" s="666"/>
      <c r="K703" s="665">
        <f t="shared" si="51"/>
        <v>0</v>
      </c>
      <c r="L703" s="666">
        <f t="shared" si="52"/>
        <v>0</v>
      </c>
      <c r="M703" s="672">
        <v>0</v>
      </c>
      <c r="N703" s="668">
        <f t="shared" si="53"/>
        <v>0</v>
      </c>
      <c r="O703" s="676"/>
      <c r="P703" s="676"/>
    </row>
    <row r="704" spans="1:16" s="677" customFormat="1" ht="25.5" hidden="1" customHeight="1">
      <c r="A704" s="662"/>
      <c r="B704" s="738" t="s">
        <v>1827</v>
      </c>
      <c r="C704" s="739">
        <v>6300</v>
      </c>
      <c r="D704" s="741" t="s">
        <v>37</v>
      </c>
      <c r="E704" s="1412"/>
      <c r="F704" s="666">
        <f t="shared" si="54"/>
        <v>0</v>
      </c>
      <c r="G704" s="666"/>
      <c r="H704" s="666"/>
      <c r="I704" s="666">
        <f t="shared" si="50"/>
        <v>0</v>
      </c>
      <c r="J704" s="666"/>
      <c r="K704" s="665">
        <f t="shared" si="51"/>
        <v>0</v>
      </c>
      <c r="L704" s="666">
        <f t="shared" si="52"/>
        <v>0</v>
      </c>
      <c r="M704" s="672">
        <v>0</v>
      </c>
      <c r="N704" s="668">
        <f t="shared" si="53"/>
        <v>0</v>
      </c>
      <c r="O704" s="676"/>
      <c r="P704" s="676"/>
    </row>
    <row r="705" spans="1:16" s="677" customFormat="1" ht="25.5" hidden="1" customHeight="1">
      <c r="A705" s="662"/>
      <c r="B705" s="738" t="s">
        <v>1828</v>
      </c>
      <c r="C705" s="739">
        <v>6300</v>
      </c>
      <c r="D705" s="741" t="s">
        <v>37</v>
      </c>
      <c r="E705" s="1412"/>
      <c r="F705" s="666">
        <f t="shared" si="54"/>
        <v>0</v>
      </c>
      <c r="G705" s="666"/>
      <c r="H705" s="666"/>
      <c r="I705" s="666">
        <f t="shared" si="50"/>
        <v>0</v>
      </c>
      <c r="J705" s="666"/>
      <c r="K705" s="665">
        <f t="shared" si="51"/>
        <v>0</v>
      </c>
      <c r="L705" s="666">
        <f t="shared" si="52"/>
        <v>0</v>
      </c>
      <c r="M705" s="672">
        <v>0</v>
      </c>
      <c r="N705" s="668">
        <f t="shared" si="53"/>
        <v>0</v>
      </c>
      <c r="O705" s="676"/>
      <c r="P705" s="676"/>
    </row>
    <row r="706" spans="1:16" s="677" customFormat="1" ht="25.5" hidden="1" customHeight="1">
      <c r="A706" s="662"/>
      <c r="B706" s="738" t="s">
        <v>1829</v>
      </c>
      <c r="C706" s="739">
        <v>6300</v>
      </c>
      <c r="D706" s="741" t="s">
        <v>37</v>
      </c>
      <c r="E706" s="1412"/>
      <c r="F706" s="666">
        <f t="shared" si="54"/>
        <v>0</v>
      </c>
      <c r="G706" s="666"/>
      <c r="H706" s="666"/>
      <c r="I706" s="666">
        <f t="shared" si="50"/>
        <v>0</v>
      </c>
      <c r="J706" s="666"/>
      <c r="K706" s="665">
        <f t="shared" si="51"/>
        <v>0</v>
      </c>
      <c r="L706" s="666">
        <f t="shared" si="52"/>
        <v>0</v>
      </c>
      <c r="M706" s="672">
        <v>0</v>
      </c>
      <c r="N706" s="668">
        <f t="shared" si="53"/>
        <v>0</v>
      </c>
      <c r="O706" s="676"/>
      <c r="P706" s="676"/>
    </row>
    <row r="707" spans="1:16" s="677" customFormat="1" ht="25.5" hidden="1" customHeight="1">
      <c r="A707" s="662"/>
      <c r="B707" s="738" t="s">
        <v>1830</v>
      </c>
      <c r="C707" s="739">
        <v>6300</v>
      </c>
      <c r="D707" s="741" t="s">
        <v>37</v>
      </c>
      <c r="E707" s="1412"/>
      <c r="F707" s="666">
        <f t="shared" si="54"/>
        <v>0</v>
      </c>
      <c r="G707" s="666"/>
      <c r="H707" s="666"/>
      <c r="I707" s="666">
        <f t="shared" si="50"/>
        <v>0</v>
      </c>
      <c r="J707" s="666"/>
      <c r="K707" s="665">
        <f t="shared" si="51"/>
        <v>0</v>
      </c>
      <c r="L707" s="666">
        <f t="shared" si="52"/>
        <v>0</v>
      </c>
      <c r="M707" s="672">
        <v>0</v>
      </c>
      <c r="N707" s="668">
        <f t="shared" si="53"/>
        <v>0</v>
      </c>
      <c r="O707" s="676"/>
      <c r="P707" s="676"/>
    </row>
    <row r="708" spans="1:16" s="677" customFormat="1" ht="25.5" hidden="1" customHeight="1">
      <c r="A708" s="662"/>
      <c r="B708" s="738" t="s">
        <v>1831</v>
      </c>
      <c r="C708" s="739">
        <v>6300</v>
      </c>
      <c r="D708" s="741" t="s">
        <v>37</v>
      </c>
      <c r="E708" s="1412"/>
      <c r="F708" s="666">
        <f t="shared" si="54"/>
        <v>0</v>
      </c>
      <c r="G708" s="666"/>
      <c r="H708" s="666"/>
      <c r="I708" s="666">
        <f t="shared" si="50"/>
        <v>0</v>
      </c>
      <c r="J708" s="666"/>
      <c r="K708" s="665">
        <f t="shared" si="51"/>
        <v>0</v>
      </c>
      <c r="L708" s="666">
        <f t="shared" si="52"/>
        <v>0</v>
      </c>
      <c r="M708" s="672">
        <v>0</v>
      </c>
      <c r="N708" s="668">
        <f t="shared" si="53"/>
        <v>0</v>
      </c>
      <c r="O708" s="676"/>
      <c r="P708" s="676"/>
    </row>
    <row r="709" spans="1:16" s="677" customFormat="1" ht="25.5" hidden="1" customHeight="1">
      <c r="A709" s="662"/>
      <c r="B709" s="738" t="s">
        <v>1832</v>
      </c>
      <c r="C709" s="739">
        <v>6300</v>
      </c>
      <c r="D709" s="741" t="s">
        <v>37</v>
      </c>
      <c r="E709" s="1412"/>
      <c r="F709" s="666">
        <f t="shared" si="54"/>
        <v>0</v>
      </c>
      <c r="G709" s="666"/>
      <c r="H709" s="666"/>
      <c r="I709" s="666">
        <f t="shared" si="50"/>
        <v>0</v>
      </c>
      <c r="J709" s="666"/>
      <c r="K709" s="665">
        <f t="shared" si="51"/>
        <v>0</v>
      </c>
      <c r="L709" s="666">
        <f t="shared" si="52"/>
        <v>0</v>
      </c>
      <c r="M709" s="672">
        <v>0</v>
      </c>
      <c r="N709" s="668">
        <f t="shared" si="53"/>
        <v>0</v>
      </c>
      <c r="O709" s="676"/>
      <c r="P709" s="676"/>
    </row>
    <row r="710" spans="1:16" s="677" customFormat="1" ht="26.25" hidden="1" customHeight="1">
      <c r="A710" s="662"/>
      <c r="B710" s="685" t="s">
        <v>1833</v>
      </c>
      <c r="C710" s="739"/>
      <c r="D710" s="741"/>
      <c r="E710" s="1412"/>
      <c r="F710" s="666">
        <f t="shared" si="54"/>
        <v>0</v>
      </c>
      <c r="G710" s="666"/>
      <c r="H710" s="666"/>
      <c r="I710" s="666">
        <f t="shared" si="50"/>
        <v>0</v>
      </c>
      <c r="J710" s="666"/>
      <c r="K710" s="665">
        <f t="shared" si="51"/>
        <v>0</v>
      </c>
      <c r="L710" s="666">
        <f t="shared" si="52"/>
        <v>0</v>
      </c>
      <c r="M710" s="672">
        <v>0</v>
      </c>
      <c r="N710" s="668">
        <f t="shared" si="53"/>
        <v>0</v>
      </c>
      <c r="O710" s="676"/>
      <c r="P710" s="676"/>
    </row>
    <row r="711" spans="1:16" s="677" customFormat="1" ht="25.5" hidden="1" customHeight="1">
      <c r="A711" s="662"/>
      <c r="B711" s="738" t="s">
        <v>1834</v>
      </c>
      <c r="C711" s="739">
        <v>8520</v>
      </c>
      <c r="D711" s="741" t="s">
        <v>522</v>
      </c>
      <c r="E711" s="1412"/>
      <c r="F711" s="666">
        <f t="shared" si="54"/>
        <v>0</v>
      </c>
      <c r="G711" s="666"/>
      <c r="H711" s="666"/>
      <c r="I711" s="666">
        <f t="shared" ref="I711:I774" si="55">G711</f>
        <v>0</v>
      </c>
      <c r="J711" s="666"/>
      <c r="K711" s="665">
        <f t="shared" ref="K711:K774" si="56">E711</f>
        <v>0</v>
      </c>
      <c r="L711" s="666">
        <f t="shared" ref="L711:L774" si="57">C711*K711</f>
        <v>0</v>
      </c>
      <c r="M711" s="672">
        <v>0</v>
      </c>
      <c r="N711" s="668">
        <f t="shared" ref="N711:N774" si="58">K711-M711</f>
        <v>0</v>
      </c>
      <c r="O711" s="676"/>
      <c r="P711" s="676"/>
    </row>
    <row r="712" spans="1:16" s="677" customFormat="1" ht="46.5" hidden="1" customHeight="1">
      <c r="A712" s="662"/>
      <c r="B712" s="685" t="s">
        <v>1835</v>
      </c>
      <c r="C712" s="739"/>
      <c r="D712" s="741"/>
      <c r="E712" s="1412"/>
      <c r="F712" s="666">
        <f t="shared" ref="F712:F775" si="59">E712*C712</f>
        <v>0</v>
      </c>
      <c r="G712" s="666"/>
      <c r="H712" s="666"/>
      <c r="I712" s="666">
        <f t="shared" si="55"/>
        <v>0</v>
      </c>
      <c r="J712" s="666"/>
      <c r="K712" s="665">
        <f t="shared" si="56"/>
        <v>0</v>
      </c>
      <c r="L712" s="666">
        <f t="shared" si="57"/>
        <v>0</v>
      </c>
      <c r="M712" s="672">
        <v>0</v>
      </c>
      <c r="N712" s="668">
        <f t="shared" si="58"/>
        <v>0</v>
      </c>
      <c r="O712" s="676"/>
      <c r="P712" s="676"/>
    </row>
    <row r="713" spans="1:16" s="677" customFormat="1" ht="25.5" hidden="1" customHeight="1">
      <c r="A713" s="662"/>
      <c r="B713" s="738" t="s">
        <v>1836</v>
      </c>
      <c r="C713" s="739">
        <f>[8]Data!K2492</f>
        <v>4353.33</v>
      </c>
      <c r="D713" s="741" t="s">
        <v>37</v>
      </c>
      <c r="E713" s="1412"/>
      <c r="F713" s="666">
        <f t="shared" si="59"/>
        <v>0</v>
      </c>
      <c r="G713" s="666"/>
      <c r="H713" s="666"/>
      <c r="I713" s="666">
        <f t="shared" si="55"/>
        <v>0</v>
      </c>
      <c r="J713" s="666"/>
      <c r="K713" s="665">
        <f t="shared" si="56"/>
        <v>0</v>
      </c>
      <c r="L713" s="666">
        <f t="shared" si="57"/>
        <v>0</v>
      </c>
      <c r="M713" s="672">
        <v>0</v>
      </c>
      <c r="N713" s="668">
        <f t="shared" si="58"/>
        <v>0</v>
      </c>
      <c r="O713" s="676"/>
      <c r="P713" s="676"/>
    </row>
    <row r="714" spans="1:16" s="677" customFormat="1" ht="25.5" hidden="1" customHeight="1">
      <c r="A714" s="662"/>
      <c r="B714" s="738" t="s">
        <v>1837</v>
      </c>
      <c r="C714" s="675">
        <v>5654</v>
      </c>
      <c r="D714" s="742" t="s">
        <v>1838</v>
      </c>
      <c r="E714" s="1411"/>
      <c r="F714" s="666">
        <f t="shared" si="59"/>
        <v>0</v>
      </c>
      <c r="G714" s="666"/>
      <c r="H714" s="666"/>
      <c r="I714" s="666">
        <f t="shared" si="55"/>
        <v>0</v>
      </c>
      <c r="J714" s="666"/>
      <c r="K714" s="665">
        <f t="shared" si="56"/>
        <v>0</v>
      </c>
      <c r="L714" s="666">
        <f t="shared" si="57"/>
        <v>0</v>
      </c>
      <c r="M714" s="672">
        <v>0</v>
      </c>
      <c r="N714" s="668">
        <f t="shared" si="58"/>
        <v>0</v>
      </c>
      <c r="O714" s="676"/>
      <c r="P714" s="676"/>
    </row>
    <row r="715" spans="1:16" s="677" customFormat="1" ht="81.75" hidden="1" customHeight="1">
      <c r="A715" s="662"/>
      <c r="B715" s="764" t="s">
        <v>1839</v>
      </c>
      <c r="C715" s="675">
        <v>6500</v>
      </c>
      <c r="D715" s="765" t="s">
        <v>37</v>
      </c>
      <c r="E715" s="1415"/>
      <c r="F715" s="666">
        <f t="shared" si="59"/>
        <v>0</v>
      </c>
      <c r="G715" s="666"/>
      <c r="H715" s="666"/>
      <c r="I715" s="666">
        <f t="shared" si="55"/>
        <v>0</v>
      </c>
      <c r="J715" s="666"/>
      <c r="K715" s="665">
        <f t="shared" si="56"/>
        <v>0</v>
      </c>
      <c r="L715" s="666">
        <f t="shared" si="57"/>
        <v>0</v>
      </c>
      <c r="M715" s="672">
        <v>0</v>
      </c>
      <c r="N715" s="668">
        <f t="shared" si="58"/>
        <v>0</v>
      </c>
      <c r="O715" s="676"/>
      <c r="P715" s="676"/>
    </row>
    <row r="716" spans="1:16" s="677" customFormat="1" ht="65.25" hidden="1" customHeight="1">
      <c r="A716" s="662"/>
      <c r="B716" s="764" t="s">
        <v>1840</v>
      </c>
      <c r="C716" s="675">
        <v>6000</v>
      </c>
      <c r="D716" s="765" t="s">
        <v>37</v>
      </c>
      <c r="E716" s="1415"/>
      <c r="F716" s="666">
        <f t="shared" si="59"/>
        <v>0</v>
      </c>
      <c r="G716" s="666"/>
      <c r="H716" s="666"/>
      <c r="I716" s="666">
        <f t="shared" si="55"/>
        <v>0</v>
      </c>
      <c r="J716" s="666"/>
      <c r="K716" s="665">
        <f t="shared" si="56"/>
        <v>0</v>
      </c>
      <c r="L716" s="666">
        <f t="shared" si="57"/>
        <v>0</v>
      </c>
      <c r="M716" s="672">
        <v>0</v>
      </c>
      <c r="N716" s="668">
        <f t="shared" si="58"/>
        <v>0</v>
      </c>
      <c r="O716" s="676"/>
      <c r="P716" s="676"/>
    </row>
    <row r="717" spans="1:16" s="677" customFormat="1" ht="46.5" hidden="1" customHeight="1">
      <c r="A717" s="662"/>
      <c r="B717" s="738" t="s">
        <v>1841</v>
      </c>
      <c r="C717" s="739">
        <v>2286.4499999999998</v>
      </c>
      <c r="D717" s="741" t="s">
        <v>522</v>
      </c>
      <c r="E717" s="1412"/>
      <c r="F717" s="666">
        <f t="shared" si="59"/>
        <v>0</v>
      </c>
      <c r="G717" s="666"/>
      <c r="H717" s="666"/>
      <c r="I717" s="666">
        <f t="shared" si="55"/>
        <v>0</v>
      </c>
      <c r="J717" s="666"/>
      <c r="K717" s="665">
        <f t="shared" si="56"/>
        <v>0</v>
      </c>
      <c r="L717" s="666">
        <f t="shared" si="57"/>
        <v>0</v>
      </c>
      <c r="M717" s="672">
        <v>0</v>
      </c>
      <c r="N717" s="668">
        <f t="shared" si="58"/>
        <v>0</v>
      </c>
      <c r="O717" s="676"/>
      <c r="P717" s="676"/>
    </row>
    <row r="718" spans="1:16" s="677" customFormat="1" ht="86.25" hidden="1" customHeight="1">
      <c r="A718" s="662"/>
      <c r="B718" s="743" t="s">
        <v>1842</v>
      </c>
      <c r="C718" s="684">
        <v>2240</v>
      </c>
      <c r="D718" s="766" t="s">
        <v>37</v>
      </c>
      <c r="E718" s="1416"/>
      <c r="F718" s="666">
        <f t="shared" si="59"/>
        <v>0</v>
      </c>
      <c r="G718" s="666"/>
      <c r="H718" s="666"/>
      <c r="I718" s="666">
        <f t="shared" si="55"/>
        <v>0</v>
      </c>
      <c r="J718" s="666"/>
      <c r="K718" s="665">
        <f t="shared" si="56"/>
        <v>0</v>
      </c>
      <c r="L718" s="666">
        <f t="shared" si="57"/>
        <v>0</v>
      </c>
      <c r="M718" s="672">
        <v>0</v>
      </c>
      <c r="N718" s="668">
        <f t="shared" si="58"/>
        <v>0</v>
      </c>
      <c r="O718" s="676"/>
      <c r="P718" s="676"/>
    </row>
    <row r="719" spans="1:16" s="677" customFormat="1" ht="46.5" customHeight="1">
      <c r="A719" s="662"/>
      <c r="B719" s="685" t="s">
        <v>1843</v>
      </c>
      <c r="C719" s="739"/>
      <c r="D719" s="741"/>
      <c r="E719" s="1412"/>
      <c r="F719" s="666">
        <f t="shared" si="59"/>
        <v>0</v>
      </c>
      <c r="G719" s="666"/>
      <c r="H719" s="666"/>
      <c r="I719" s="666">
        <f t="shared" si="55"/>
        <v>0</v>
      </c>
      <c r="J719" s="666"/>
      <c r="K719" s="665">
        <f t="shared" si="56"/>
        <v>0</v>
      </c>
      <c r="L719" s="666">
        <f t="shared" si="57"/>
        <v>0</v>
      </c>
      <c r="M719" s="672">
        <v>0</v>
      </c>
      <c r="N719" s="668">
        <f t="shared" si="58"/>
        <v>0</v>
      </c>
      <c r="O719" s="676"/>
      <c r="P719" s="676"/>
    </row>
    <row r="720" spans="1:16" s="677" customFormat="1" ht="25.5" hidden="1" customHeight="1">
      <c r="A720" s="662"/>
      <c r="B720" s="663" t="s">
        <v>1844</v>
      </c>
      <c r="C720" s="739">
        <f>[8]Data!X3628</f>
        <v>2795.43</v>
      </c>
      <c r="D720" s="741" t="s">
        <v>37</v>
      </c>
      <c r="E720" s="1412"/>
      <c r="F720" s="666">
        <f t="shared" si="59"/>
        <v>0</v>
      </c>
      <c r="G720" s="666"/>
      <c r="H720" s="666"/>
      <c r="I720" s="666">
        <f t="shared" si="55"/>
        <v>0</v>
      </c>
      <c r="J720" s="666"/>
      <c r="K720" s="665">
        <f t="shared" si="56"/>
        <v>0</v>
      </c>
      <c r="L720" s="666">
        <f t="shared" si="57"/>
        <v>0</v>
      </c>
      <c r="M720" s="672">
        <v>0</v>
      </c>
      <c r="N720" s="668">
        <f t="shared" si="58"/>
        <v>0</v>
      </c>
      <c r="O720" s="676"/>
      <c r="P720" s="676"/>
    </row>
    <row r="721" spans="1:16" s="677" customFormat="1" ht="25.5" hidden="1" customHeight="1">
      <c r="A721" s="662"/>
      <c r="B721" s="663" t="s">
        <v>1846</v>
      </c>
      <c r="C721" s="739">
        <f>[8]Data!K3549</f>
        <v>2997.34</v>
      </c>
      <c r="D721" s="741" t="s">
        <v>37</v>
      </c>
      <c r="E721" s="1412"/>
      <c r="F721" s="666">
        <f t="shared" si="59"/>
        <v>0</v>
      </c>
      <c r="G721" s="666"/>
      <c r="H721" s="666"/>
      <c r="I721" s="666">
        <f t="shared" si="55"/>
        <v>0</v>
      </c>
      <c r="J721" s="666"/>
      <c r="K721" s="665">
        <f t="shared" si="56"/>
        <v>0</v>
      </c>
      <c r="L721" s="666">
        <f t="shared" si="57"/>
        <v>0</v>
      </c>
      <c r="M721" s="672">
        <v>0</v>
      </c>
      <c r="N721" s="668">
        <f t="shared" si="58"/>
        <v>0</v>
      </c>
      <c r="O721" s="676"/>
      <c r="P721" s="676"/>
    </row>
    <row r="722" spans="1:16" s="677" customFormat="1" ht="25.5" hidden="1" customHeight="1">
      <c r="A722" s="662"/>
      <c r="B722" s="663" t="s">
        <v>1847</v>
      </c>
      <c r="C722" s="739">
        <v>2225.27</v>
      </c>
      <c r="D722" s="741" t="s">
        <v>37</v>
      </c>
      <c r="E722" s="1412"/>
      <c r="F722" s="666">
        <f t="shared" si="59"/>
        <v>0</v>
      </c>
      <c r="G722" s="666"/>
      <c r="H722" s="666"/>
      <c r="I722" s="666">
        <f t="shared" si="55"/>
        <v>0</v>
      </c>
      <c r="J722" s="666"/>
      <c r="K722" s="665">
        <f t="shared" si="56"/>
        <v>0</v>
      </c>
      <c r="L722" s="666">
        <f t="shared" si="57"/>
        <v>0</v>
      </c>
      <c r="M722" s="672">
        <v>0</v>
      </c>
      <c r="N722" s="668">
        <f t="shared" si="58"/>
        <v>0</v>
      </c>
      <c r="O722" s="676"/>
      <c r="P722" s="676"/>
    </row>
    <row r="723" spans="1:16" s="677" customFormat="1" ht="48" customHeight="1">
      <c r="A723" s="662"/>
      <c r="B723" s="663" t="s">
        <v>2753</v>
      </c>
      <c r="C723" s="739">
        <f>[8]Data!X3549</f>
        <v>2959.11</v>
      </c>
      <c r="D723" s="741" t="s">
        <v>37</v>
      </c>
      <c r="E723" s="1412">
        <f>[8]Detailed!H1180</f>
        <v>11.1</v>
      </c>
      <c r="F723" s="666">
        <f t="shared" si="59"/>
        <v>32846.120999999999</v>
      </c>
      <c r="G723" s="666"/>
      <c r="H723" s="666"/>
      <c r="I723" s="666">
        <f t="shared" si="55"/>
        <v>0</v>
      </c>
      <c r="J723" s="666"/>
      <c r="K723" s="665">
        <f t="shared" si="56"/>
        <v>11.1</v>
      </c>
      <c r="L723" s="666">
        <f t="shared" si="57"/>
        <v>32846.120999999999</v>
      </c>
      <c r="M723" s="672">
        <v>13.7</v>
      </c>
      <c r="N723" s="668">
        <f t="shared" si="58"/>
        <v>-2.5999999999999996</v>
      </c>
      <c r="O723" s="676"/>
      <c r="P723" s="676"/>
    </row>
    <row r="724" spans="1:16" s="677" customFormat="1" ht="25.5" customHeight="1">
      <c r="A724" s="662"/>
      <c r="B724" s="663" t="s">
        <v>2754</v>
      </c>
      <c r="C724" s="739">
        <f>[8]Data!AG3549</f>
        <v>3071.83</v>
      </c>
      <c r="D724" s="741" t="s">
        <v>37</v>
      </c>
      <c r="E724" s="1412">
        <f>[8]Detailed!H1184</f>
        <v>6.6</v>
      </c>
      <c r="F724" s="666">
        <f t="shared" si="59"/>
        <v>20274.077999999998</v>
      </c>
      <c r="G724" s="666"/>
      <c r="H724" s="666"/>
      <c r="I724" s="666">
        <f t="shared" si="55"/>
        <v>0</v>
      </c>
      <c r="J724" s="666"/>
      <c r="K724" s="665">
        <f t="shared" si="56"/>
        <v>6.6</v>
      </c>
      <c r="L724" s="666">
        <f t="shared" si="57"/>
        <v>20274.077999999998</v>
      </c>
      <c r="M724" s="672">
        <v>5.3</v>
      </c>
      <c r="N724" s="668">
        <f t="shared" si="58"/>
        <v>1.2999999999999998</v>
      </c>
      <c r="O724" s="676"/>
      <c r="P724" s="676"/>
    </row>
    <row r="725" spans="1:16" s="677" customFormat="1" ht="25.5" hidden="1" customHeight="1">
      <c r="A725" s="662"/>
      <c r="B725" s="663" t="s">
        <v>1850</v>
      </c>
      <c r="C725" s="739">
        <f>[8]Data!X3581</f>
        <v>3167.17</v>
      </c>
      <c r="D725" s="741" t="s">
        <v>37</v>
      </c>
      <c r="E725" s="1412"/>
      <c r="F725" s="666">
        <f t="shared" si="59"/>
        <v>0</v>
      </c>
      <c r="G725" s="666"/>
      <c r="H725" s="666"/>
      <c r="I725" s="666">
        <f t="shared" si="55"/>
        <v>0</v>
      </c>
      <c r="J725" s="666"/>
      <c r="K725" s="665">
        <f t="shared" si="56"/>
        <v>0</v>
      </c>
      <c r="L725" s="666">
        <f t="shared" si="57"/>
        <v>0</v>
      </c>
      <c r="M725" s="672">
        <v>0</v>
      </c>
      <c r="N725" s="668">
        <f t="shared" si="58"/>
        <v>0</v>
      </c>
      <c r="O725" s="676"/>
      <c r="P725" s="676"/>
    </row>
    <row r="726" spans="1:16" s="677" customFormat="1" ht="25.5" hidden="1" customHeight="1">
      <c r="A726" s="662"/>
      <c r="B726" s="663" t="s">
        <v>1851</v>
      </c>
      <c r="C726" s="739">
        <f>[8]Data!X3596</f>
        <v>2939.44</v>
      </c>
      <c r="D726" s="741" t="s">
        <v>37</v>
      </c>
      <c r="E726" s="1412"/>
      <c r="F726" s="666">
        <f t="shared" si="59"/>
        <v>0</v>
      </c>
      <c r="G726" s="666"/>
      <c r="H726" s="666"/>
      <c r="I726" s="666">
        <f t="shared" si="55"/>
        <v>0</v>
      </c>
      <c r="J726" s="666"/>
      <c r="K726" s="665">
        <f t="shared" si="56"/>
        <v>0</v>
      </c>
      <c r="L726" s="666">
        <f t="shared" si="57"/>
        <v>0</v>
      </c>
      <c r="M726" s="672">
        <v>0</v>
      </c>
      <c r="N726" s="668">
        <f t="shared" si="58"/>
        <v>0</v>
      </c>
      <c r="O726" s="676"/>
      <c r="P726" s="676"/>
    </row>
    <row r="727" spans="1:16" s="677" customFormat="1" ht="25.5" hidden="1" customHeight="1">
      <c r="A727" s="662"/>
      <c r="B727" s="663" t="s">
        <v>1852</v>
      </c>
      <c r="C727" s="739">
        <f>[8]Data!X3613</f>
        <v>3007.4</v>
      </c>
      <c r="D727" s="741" t="s">
        <v>37</v>
      </c>
      <c r="E727" s="1412"/>
      <c r="F727" s="666">
        <f t="shared" si="59"/>
        <v>0</v>
      </c>
      <c r="G727" s="666"/>
      <c r="H727" s="666"/>
      <c r="I727" s="666">
        <f t="shared" si="55"/>
        <v>0</v>
      </c>
      <c r="J727" s="666"/>
      <c r="K727" s="665">
        <f t="shared" si="56"/>
        <v>0</v>
      </c>
      <c r="L727" s="666">
        <f t="shared" si="57"/>
        <v>0</v>
      </c>
      <c r="M727" s="672">
        <v>0</v>
      </c>
      <c r="N727" s="668">
        <f t="shared" si="58"/>
        <v>0</v>
      </c>
      <c r="O727" s="676"/>
      <c r="P727" s="676"/>
    </row>
    <row r="728" spans="1:16" s="677" customFormat="1" ht="46.5" hidden="1" customHeight="1">
      <c r="A728" s="662"/>
      <c r="B728" s="663" t="s">
        <v>1853</v>
      </c>
      <c r="C728" s="675">
        <f>[8]Data!K2353</f>
        <v>30.62</v>
      </c>
      <c r="D728" s="742" t="s">
        <v>37</v>
      </c>
      <c r="E728" s="1411"/>
      <c r="F728" s="666">
        <f t="shared" si="59"/>
        <v>0</v>
      </c>
      <c r="G728" s="666"/>
      <c r="H728" s="666"/>
      <c r="I728" s="666">
        <f t="shared" si="55"/>
        <v>0</v>
      </c>
      <c r="J728" s="666"/>
      <c r="K728" s="665">
        <f t="shared" si="56"/>
        <v>0</v>
      </c>
      <c r="L728" s="666">
        <f t="shared" si="57"/>
        <v>0</v>
      </c>
      <c r="M728" s="672">
        <v>0</v>
      </c>
      <c r="N728" s="668">
        <f t="shared" si="58"/>
        <v>0</v>
      </c>
      <c r="O728" s="676"/>
      <c r="P728" s="676"/>
    </row>
    <row r="729" spans="1:16" s="677" customFormat="1" ht="46.5" hidden="1" customHeight="1">
      <c r="A729" s="662"/>
      <c r="B729" s="756" t="s">
        <v>1854</v>
      </c>
      <c r="C729" s="675"/>
      <c r="D729" s="742"/>
      <c r="E729" s="1411"/>
      <c r="F729" s="666">
        <f t="shared" si="59"/>
        <v>0</v>
      </c>
      <c r="G729" s="666"/>
      <c r="H729" s="666"/>
      <c r="I729" s="666">
        <f t="shared" si="55"/>
        <v>0</v>
      </c>
      <c r="J729" s="666"/>
      <c r="K729" s="665">
        <f t="shared" si="56"/>
        <v>0</v>
      </c>
      <c r="L729" s="666">
        <f t="shared" si="57"/>
        <v>0</v>
      </c>
      <c r="M729" s="672">
        <v>0</v>
      </c>
      <c r="N729" s="668">
        <f t="shared" si="58"/>
        <v>0</v>
      </c>
      <c r="O729" s="676"/>
      <c r="P729" s="676"/>
    </row>
    <row r="730" spans="1:16" s="677" customFormat="1" ht="46.5" hidden="1" customHeight="1">
      <c r="A730" s="662"/>
      <c r="B730" s="663" t="s">
        <v>1405</v>
      </c>
      <c r="C730" s="675">
        <f>[8]Data!AD1196</f>
        <v>1919.88</v>
      </c>
      <c r="D730" s="742" t="s">
        <v>37</v>
      </c>
      <c r="E730" s="1411"/>
      <c r="F730" s="666">
        <f t="shared" si="59"/>
        <v>0</v>
      </c>
      <c r="G730" s="666"/>
      <c r="H730" s="666"/>
      <c r="I730" s="666">
        <f t="shared" si="55"/>
        <v>0</v>
      </c>
      <c r="J730" s="666"/>
      <c r="K730" s="665">
        <f t="shared" si="56"/>
        <v>0</v>
      </c>
      <c r="L730" s="666">
        <f t="shared" si="57"/>
        <v>0</v>
      </c>
      <c r="M730" s="672">
        <v>0</v>
      </c>
      <c r="N730" s="668">
        <f t="shared" si="58"/>
        <v>0</v>
      </c>
      <c r="O730" s="676"/>
      <c r="P730" s="676"/>
    </row>
    <row r="731" spans="1:16" s="677" customFormat="1" ht="46.5" hidden="1" customHeight="1">
      <c r="A731" s="662"/>
      <c r="B731" s="663" t="s">
        <v>1406</v>
      </c>
      <c r="C731" s="675">
        <f>[8]Data!AD1198</f>
        <v>1926.02</v>
      </c>
      <c r="D731" s="742" t="s">
        <v>37</v>
      </c>
      <c r="E731" s="1411"/>
      <c r="F731" s="666">
        <f t="shared" si="59"/>
        <v>0</v>
      </c>
      <c r="G731" s="666"/>
      <c r="H731" s="666"/>
      <c r="I731" s="666">
        <f t="shared" si="55"/>
        <v>0</v>
      </c>
      <c r="J731" s="666"/>
      <c r="K731" s="665">
        <f t="shared" si="56"/>
        <v>0</v>
      </c>
      <c r="L731" s="666">
        <f t="shared" si="57"/>
        <v>0</v>
      </c>
      <c r="M731" s="672">
        <v>0</v>
      </c>
      <c r="N731" s="668">
        <f t="shared" si="58"/>
        <v>0</v>
      </c>
      <c r="O731" s="676"/>
      <c r="P731" s="676"/>
    </row>
    <row r="732" spans="1:16" s="677" customFormat="1" ht="46.5" hidden="1" customHeight="1">
      <c r="A732" s="662"/>
      <c r="B732" s="663" t="s">
        <v>1407</v>
      </c>
      <c r="C732" s="675">
        <f>[8]Data!AD1199</f>
        <v>1930.09</v>
      </c>
      <c r="D732" s="742" t="s">
        <v>37</v>
      </c>
      <c r="E732" s="1411"/>
      <c r="F732" s="666">
        <f t="shared" si="59"/>
        <v>0</v>
      </c>
      <c r="G732" s="666"/>
      <c r="H732" s="666"/>
      <c r="I732" s="666">
        <f t="shared" si="55"/>
        <v>0</v>
      </c>
      <c r="J732" s="666"/>
      <c r="K732" s="665">
        <f t="shared" si="56"/>
        <v>0</v>
      </c>
      <c r="L732" s="666">
        <f t="shared" si="57"/>
        <v>0</v>
      </c>
      <c r="M732" s="672">
        <v>0</v>
      </c>
      <c r="N732" s="668">
        <f t="shared" si="58"/>
        <v>0</v>
      </c>
      <c r="O732" s="676"/>
      <c r="P732" s="676"/>
    </row>
    <row r="733" spans="1:16" s="677" customFormat="1" ht="6" hidden="1" customHeight="1">
      <c r="A733" s="662"/>
      <c r="B733" s="663" t="s">
        <v>1408</v>
      </c>
      <c r="C733" s="675">
        <f>[8]Data!AD1200</f>
        <v>1934.16</v>
      </c>
      <c r="D733" s="742" t="s">
        <v>37</v>
      </c>
      <c r="E733" s="1411"/>
      <c r="F733" s="666">
        <f t="shared" si="59"/>
        <v>0</v>
      </c>
      <c r="G733" s="666"/>
      <c r="H733" s="666"/>
      <c r="I733" s="666">
        <f t="shared" si="55"/>
        <v>0</v>
      </c>
      <c r="J733" s="666"/>
      <c r="K733" s="665">
        <f t="shared" si="56"/>
        <v>0</v>
      </c>
      <c r="L733" s="666">
        <f t="shared" si="57"/>
        <v>0</v>
      </c>
      <c r="M733" s="672">
        <v>0</v>
      </c>
      <c r="N733" s="668">
        <f t="shared" si="58"/>
        <v>0</v>
      </c>
      <c r="O733" s="676"/>
      <c r="P733" s="676"/>
    </row>
    <row r="734" spans="1:16" ht="57.75" hidden="1" customHeight="1">
      <c r="A734" s="662"/>
      <c r="B734" s="756" t="s">
        <v>1855</v>
      </c>
      <c r="C734" s="667"/>
      <c r="D734" s="751"/>
      <c r="E734" s="1413"/>
      <c r="F734" s="666">
        <f t="shared" si="59"/>
        <v>0</v>
      </c>
      <c r="G734" s="666"/>
      <c r="H734" s="666"/>
      <c r="I734" s="666">
        <f t="shared" si="55"/>
        <v>0</v>
      </c>
      <c r="J734" s="666"/>
      <c r="K734" s="665">
        <f t="shared" si="56"/>
        <v>0</v>
      </c>
      <c r="L734" s="666">
        <f t="shared" si="57"/>
        <v>0</v>
      </c>
      <c r="M734" s="668">
        <v>0</v>
      </c>
      <c r="N734" s="668">
        <f t="shared" si="58"/>
        <v>0</v>
      </c>
    </row>
    <row r="735" spans="1:16" ht="48.75" hidden="1" customHeight="1">
      <c r="A735" s="662"/>
      <c r="B735" s="663" t="s">
        <v>1405</v>
      </c>
      <c r="C735" s="667">
        <f>[8]Data!AK1197</f>
        <v>1052.9100000000001</v>
      </c>
      <c r="D735" s="751" t="s">
        <v>37</v>
      </c>
      <c r="E735" s="1413"/>
      <c r="F735" s="666">
        <f t="shared" si="59"/>
        <v>0</v>
      </c>
      <c r="G735" s="666"/>
      <c r="H735" s="666"/>
      <c r="I735" s="666">
        <f t="shared" si="55"/>
        <v>0</v>
      </c>
      <c r="J735" s="666"/>
      <c r="K735" s="665">
        <f t="shared" si="56"/>
        <v>0</v>
      </c>
      <c r="L735" s="666">
        <f t="shared" si="57"/>
        <v>0</v>
      </c>
      <c r="M735" s="672">
        <v>0</v>
      </c>
      <c r="N735" s="668">
        <f t="shared" si="58"/>
        <v>0</v>
      </c>
    </row>
    <row r="736" spans="1:16" ht="48.75" hidden="1" customHeight="1">
      <c r="A736" s="662"/>
      <c r="B736" s="663" t="s">
        <v>1406</v>
      </c>
      <c r="C736" s="667">
        <f>[8]Data!AK1198</f>
        <v>1054.95</v>
      </c>
      <c r="D736" s="751" t="s">
        <v>37</v>
      </c>
      <c r="E736" s="1413"/>
      <c r="F736" s="666">
        <f t="shared" si="59"/>
        <v>0</v>
      </c>
      <c r="G736" s="666"/>
      <c r="H736" s="666"/>
      <c r="I736" s="666">
        <f t="shared" si="55"/>
        <v>0</v>
      </c>
      <c r="J736" s="666"/>
      <c r="K736" s="665">
        <f t="shared" si="56"/>
        <v>0</v>
      </c>
      <c r="L736" s="666">
        <f t="shared" si="57"/>
        <v>0</v>
      </c>
      <c r="M736" s="672">
        <v>0</v>
      </c>
      <c r="N736" s="668">
        <f t="shared" si="58"/>
        <v>0</v>
      </c>
    </row>
    <row r="737" spans="1:16" ht="48.75" hidden="1" customHeight="1">
      <c r="A737" s="662"/>
      <c r="B737" s="663" t="s">
        <v>1407</v>
      </c>
      <c r="C737" s="667">
        <f>[8]Data!AK1199</f>
        <v>1056.99</v>
      </c>
      <c r="D737" s="751" t="s">
        <v>37</v>
      </c>
      <c r="E737" s="1413"/>
      <c r="F737" s="666">
        <f t="shared" si="59"/>
        <v>0</v>
      </c>
      <c r="G737" s="666"/>
      <c r="H737" s="666"/>
      <c r="I737" s="666">
        <f t="shared" si="55"/>
        <v>0</v>
      </c>
      <c r="J737" s="666"/>
      <c r="K737" s="665">
        <f t="shared" si="56"/>
        <v>0</v>
      </c>
      <c r="L737" s="666">
        <f t="shared" si="57"/>
        <v>0</v>
      </c>
      <c r="M737" s="672">
        <v>0</v>
      </c>
      <c r="N737" s="668">
        <f t="shared" si="58"/>
        <v>0</v>
      </c>
    </row>
    <row r="738" spans="1:16" ht="48.75" hidden="1" customHeight="1">
      <c r="A738" s="662"/>
      <c r="B738" s="663" t="s">
        <v>1856</v>
      </c>
      <c r="C738" s="667">
        <f>[8]Data!AK1200</f>
        <v>1058.94</v>
      </c>
      <c r="D738" s="751" t="s">
        <v>37</v>
      </c>
      <c r="E738" s="1413"/>
      <c r="F738" s="666">
        <f t="shared" si="59"/>
        <v>0</v>
      </c>
      <c r="G738" s="666"/>
      <c r="H738" s="666"/>
      <c r="I738" s="666">
        <f t="shared" si="55"/>
        <v>0</v>
      </c>
      <c r="J738" s="666"/>
      <c r="K738" s="665">
        <f t="shared" si="56"/>
        <v>0</v>
      </c>
      <c r="L738" s="666">
        <f t="shared" si="57"/>
        <v>0</v>
      </c>
      <c r="M738" s="672">
        <v>0</v>
      </c>
      <c r="N738" s="668">
        <f t="shared" si="58"/>
        <v>0</v>
      </c>
    </row>
    <row r="739" spans="1:16" s="677" customFormat="1" ht="39" hidden="1" customHeight="1">
      <c r="A739" s="662"/>
      <c r="B739" s="685" t="s">
        <v>1857</v>
      </c>
      <c r="C739" s="739"/>
      <c r="D739" s="741"/>
      <c r="E739" s="1412"/>
      <c r="F739" s="666">
        <f t="shared" si="59"/>
        <v>0</v>
      </c>
      <c r="G739" s="666"/>
      <c r="H739" s="666"/>
      <c r="I739" s="666">
        <f t="shared" si="55"/>
        <v>0</v>
      </c>
      <c r="J739" s="666"/>
      <c r="K739" s="665">
        <f t="shared" si="56"/>
        <v>0</v>
      </c>
      <c r="L739" s="666">
        <f t="shared" si="57"/>
        <v>0</v>
      </c>
      <c r="M739" s="672">
        <v>0</v>
      </c>
      <c r="N739" s="668">
        <f t="shared" si="58"/>
        <v>0</v>
      </c>
      <c r="O739" s="676"/>
      <c r="P739" s="676"/>
    </row>
    <row r="740" spans="1:16" s="677" customFormat="1" ht="45" hidden="1" customHeight="1">
      <c r="A740" s="662"/>
      <c r="B740" s="663" t="s">
        <v>1858</v>
      </c>
      <c r="C740" s="675">
        <f>[8]Data!X3126</f>
        <v>3402.37</v>
      </c>
      <c r="D740" s="742" t="s">
        <v>264</v>
      </c>
      <c r="E740" s="1411"/>
      <c r="F740" s="666">
        <f t="shared" si="59"/>
        <v>0</v>
      </c>
      <c r="G740" s="666"/>
      <c r="H740" s="666"/>
      <c r="I740" s="666">
        <f t="shared" si="55"/>
        <v>0</v>
      </c>
      <c r="J740" s="666"/>
      <c r="K740" s="665">
        <f t="shared" si="56"/>
        <v>0</v>
      </c>
      <c r="L740" s="666">
        <f t="shared" si="57"/>
        <v>0</v>
      </c>
      <c r="M740" s="672">
        <v>0</v>
      </c>
      <c r="N740" s="668">
        <f t="shared" si="58"/>
        <v>0</v>
      </c>
      <c r="O740" s="676"/>
      <c r="P740" s="676"/>
    </row>
    <row r="741" spans="1:16" s="677" customFormat="1" ht="49.5" hidden="1" customHeight="1">
      <c r="A741" s="662"/>
      <c r="B741" s="738" t="s">
        <v>1859</v>
      </c>
      <c r="C741" s="684">
        <v>3358.02</v>
      </c>
      <c r="D741" s="741" t="s">
        <v>37</v>
      </c>
      <c r="E741" s="1412"/>
      <c r="F741" s="666">
        <f t="shared" si="59"/>
        <v>0</v>
      </c>
      <c r="G741" s="666"/>
      <c r="H741" s="666"/>
      <c r="I741" s="666">
        <f t="shared" si="55"/>
        <v>0</v>
      </c>
      <c r="J741" s="666"/>
      <c r="K741" s="665">
        <f t="shared" si="56"/>
        <v>0</v>
      </c>
      <c r="L741" s="666">
        <f t="shared" si="57"/>
        <v>0</v>
      </c>
      <c r="M741" s="672">
        <v>0</v>
      </c>
      <c r="N741" s="668">
        <f t="shared" si="58"/>
        <v>0</v>
      </c>
      <c r="O741" s="676"/>
      <c r="P741" s="676"/>
    </row>
    <row r="742" spans="1:16" s="677" customFormat="1" ht="41.25" hidden="1" customHeight="1">
      <c r="A742" s="662"/>
      <c r="B742" s="738" t="s">
        <v>1860</v>
      </c>
      <c r="C742" s="684">
        <v>3828.85</v>
      </c>
      <c r="D742" s="741" t="s">
        <v>37</v>
      </c>
      <c r="E742" s="1412"/>
      <c r="F742" s="666">
        <f t="shared" si="59"/>
        <v>0</v>
      </c>
      <c r="G742" s="666"/>
      <c r="H742" s="666"/>
      <c r="I742" s="666">
        <f t="shared" si="55"/>
        <v>0</v>
      </c>
      <c r="J742" s="666"/>
      <c r="K742" s="665">
        <f t="shared" si="56"/>
        <v>0</v>
      </c>
      <c r="L742" s="666">
        <f t="shared" si="57"/>
        <v>0</v>
      </c>
      <c r="M742" s="672">
        <v>0</v>
      </c>
      <c r="N742" s="668">
        <f t="shared" si="58"/>
        <v>0</v>
      </c>
      <c r="O742" s="676"/>
      <c r="P742" s="676"/>
    </row>
    <row r="743" spans="1:16" s="677" customFormat="1" ht="41.25" hidden="1" customHeight="1">
      <c r="A743" s="662"/>
      <c r="B743" s="756" t="s">
        <v>1861</v>
      </c>
      <c r="C743" s="684">
        <f>[8]Data!X3168</f>
        <v>3283.94</v>
      </c>
      <c r="D743" s="741" t="s">
        <v>37</v>
      </c>
      <c r="E743" s="1412"/>
      <c r="F743" s="666">
        <f t="shared" si="59"/>
        <v>0</v>
      </c>
      <c r="G743" s="666"/>
      <c r="H743" s="666"/>
      <c r="I743" s="666">
        <f t="shared" si="55"/>
        <v>0</v>
      </c>
      <c r="J743" s="666"/>
      <c r="K743" s="665">
        <f t="shared" si="56"/>
        <v>0</v>
      </c>
      <c r="L743" s="666">
        <f t="shared" si="57"/>
        <v>0</v>
      </c>
      <c r="M743" s="672">
        <v>0</v>
      </c>
      <c r="N743" s="668">
        <f t="shared" si="58"/>
        <v>0</v>
      </c>
      <c r="O743" s="676"/>
      <c r="P743" s="676"/>
    </row>
    <row r="744" spans="1:16" s="677" customFormat="1" ht="42" hidden="1" customHeight="1">
      <c r="A744" s="662"/>
      <c r="B744" s="756" t="s">
        <v>1862</v>
      </c>
      <c r="C744" s="739"/>
      <c r="D744" s="741"/>
      <c r="E744" s="1412"/>
      <c r="F744" s="666">
        <f t="shared" si="59"/>
        <v>0</v>
      </c>
      <c r="G744" s="666"/>
      <c r="H744" s="666"/>
      <c r="I744" s="666">
        <f t="shared" si="55"/>
        <v>0</v>
      </c>
      <c r="J744" s="666"/>
      <c r="K744" s="665">
        <f t="shared" si="56"/>
        <v>0</v>
      </c>
      <c r="L744" s="666">
        <f t="shared" si="57"/>
        <v>0</v>
      </c>
      <c r="M744" s="672">
        <v>0</v>
      </c>
      <c r="N744" s="668">
        <f t="shared" si="58"/>
        <v>0</v>
      </c>
      <c r="O744" s="676"/>
      <c r="P744" s="676"/>
    </row>
    <row r="745" spans="1:16" s="677" customFormat="1" ht="42" hidden="1" customHeight="1">
      <c r="A745" s="662"/>
      <c r="B745" s="738" t="s">
        <v>1863</v>
      </c>
      <c r="C745" s="739">
        <f>[8]Data!R1479</f>
        <v>4535.8900000000003</v>
      </c>
      <c r="D745" s="741" t="s">
        <v>37</v>
      </c>
      <c r="E745" s="1412"/>
      <c r="F745" s="666">
        <f t="shared" si="59"/>
        <v>0</v>
      </c>
      <c r="G745" s="666"/>
      <c r="H745" s="666"/>
      <c r="I745" s="666">
        <f t="shared" si="55"/>
        <v>0</v>
      </c>
      <c r="J745" s="666"/>
      <c r="K745" s="665">
        <f t="shared" si="56"/>
        <v>0</v>
      </c>
      <c r="L745" s="666">
        <f t="shared" si="57"/>
        <v>0</v>
      </c>
      <c r="M745" s="672">
        <v>0</v>
      </c>
      <c r="N745" s="668">
        <f t="shared" si="58"/>
        <v>0</v>
      </c>
      <c r="O745" s="676"/>
      <c r="P745" s="676"/>
    </row>
    <row r="746" spans="1:16" s="677" customFormat="1" ht="42" hidden="1" customHeight="1">
      <c r="A746" s="662"/>
      <c r="B746" s="738" t="s">
        <v>1864</v>
      </c>
      <c r="C746" s="739">
        <f>[8]Data!X1440</f>
        <v>5059.03</v>
      </c>
      <c r="D746" s="741" t="s">
        <v>37</v>
      </c>
      <c r="E746" s="1412"/>
      <c r="F746" s="666">
        <f t="shared" si="59"/>
        <v>0</v>
      </c>
      <c r="G746" s="666"/>
      <c r="H746" s="666"/>
      <c r="I746" s="666">
        <f t="shared" si="55"/>
        <v>0</v>
      </c>
      <c r="J746" s="666"/>
      <c r="K746" s="665">
        <f t="shared" si="56"/>
        <v>0</v>
      </c>
      <c r="L746" s="666">
        <f t="shared" si="57"/>
        <v>0</v>
      </c>
      <c r="M746" s="672">
        <v>0</v>
      </c>
      <c r="N746" s="668">
        <f t="shared" si="58"/>
        <v>0</v>
      </c>
      <c r="O746" s="676"/>
      <c r="P746" s="676"/>
    </row>
    <row r="747" spans="1:16" s="677" customFormat="1" ht="23.1" hidden="1" customHeight="1">
      <c r="A747" s="662"/>
      <c r="B747" s="738" t="s">
        <v>1865</v>
      </c>
      <c r="C747" s="739">
        <f>[8]Data!X1447</f>
        <v>4748.82</v>
      </c>
      <c r="D747" s="741" t="s">
        <v>37</v>
      </c>
      <c r="E747" s="1412"/>
      <c r="F747" s="666">
        <f t="shared" si="59"/>
        <v>0</v>
      </c>
      <c r="G747" s="666"/>
      <c r="H747" s="666"/>
      <c r="I747" s="666">
        <f t="shared" si="55"/>
        <v>0</v>
      </c>
      <c r="J747" s="666"/>
      <c r="K747" s="665">
        <f t="shared" si="56"/>
        <v>0</v>
      </c>
      <c r="L747" s="666">
        <f t="shared" si="57"/>
        <v>0</v>
      </c>
      <c r="M747" s="672">
        <v>0</v>
      </c>
      <c r="N747" s="668">
        <f t="shared" si="58"/>
        <v>0</v>
      </c>
      <c r="O747" s="676"/>
      <c r="P747" s="676"/>
    </row>
    <row r="748" spans="1:16" s="677" customFormat="1" ht="23.1" hidden="1" customHeight="1">
      <c r="A748" s="662"/>
      <c r="B748" s="738" t="s">
        <v>1866</v>
      </c>
      <c r="C748" s="739">
        <f>[8]Data!R1479</f>
        <v>4535.8900000000003</v>
      </c>
      <c r="D748" s="741" t="s">
        <v>37</v>
      </c>
      <c r="E748" s="1412"/>
      <c r="F748" s="666">
        <f t="shared" si="59"/>
        <v>0</v>
      </c>
      <c r="G748" s="666"/>
      <c r="H748" s="666"/>
      <c r="I748" s="666">
        <f t="shared" si="55"/>
        <v>0</v>
      </c>
      <c r="J748" s="666"/>
      <c r="K748" s="665">
        <f t="shared" si="56"/>
        <v>0</v>
      </c>
      <c r="L748" s="666">
        <f t="shared" si="57"/>
        <v>0</v>
      </c>
      <c r="M748" s="672">
        <v>0</v>
      </c>
      <c r="N748" s="668">
        <f t="shared" si="58"/>
        <v>0</v>
      </c>
      <c r="O748" s="676"/>
      <c r="P748" s="676"/>
    </row>
    <row r="749" spans="1:16" s="677" customFormat="1" ht="25.5" customHeight="1">
      <c r="A749" s="662"/>
      <c r="B749" s="756" t="str">
        <f>'[9]Bldg+Dev'!$B$566</f>
        <v>Supply &amp; Fixing of MS door  (for lockup door )</v>
      </c>
      <c r="C749" s="675"/>
      <c r="D749" s="742"/>
      <c r="E749" s="1411"/>
      <c r="F749" s="666">
        <f t="shared" si="59"/>
        <v>0</v>
      </c>
      <c r="G749" s="666"/>
      <c r="H749" s="666"/>
      <c r="I749" s="666">
        <f t="shared" si="55"/>
        <v>0</v>
      </c>
      <c r="J749" s="666"/>
      <c r="K749" s="665">
        <f t="shared" si="56"/>
        <v>0</v>
      </c>
      <c r="L749" s="666">
        <f t="shared" si="57"/>
        <v>0</v>
      </c>
      <c r="M749" s="672">
        <v>0</v>
      </c>
      <c r="N749" s="668">
        <f t="shared" si="58"/>
        <v>0</v>
      </c>
      <c r="O749" s="676"/>
      <c r="P749" s="676"/>
    </row>
    <row r="750" spans="1:16" s="677" customFormat="1" ht="25.5" customHeight="1">
      <c r="A750" s="662"/>
      <c r="B750" s="663" t="s">
        <v>1867</v>
      </c>
      <c r="C750" s="675">
        <f>[8]Data!K2545</f>
        <v>8430.9</v>
      </c>
      <c r="D750" s="742" t="s">
        <v>992</v>
      </c>
      <c r="E750" s="1411">
        <f>[8]Detailed!H1650</f>
        <v>2</v>
      </c>
      <c r="F750" s="666">
        <f t="shared" si="59"/>
        <v>16861.8</v>
      </c>
      <c r="G750" s="666"/>
      <c r="H750" s="666"/>
      <c r="I750" s="666">
        <f t="shared" si="55"/>
        <v>0</v>
      </c>
      <c r="J750" s="666"/>
      <c r="K750" s="665">
        <f t="shared" si="56"/>
        <v>2</v>
      </c>
      <c r="L750" s="666">
        <f t="shared" si="57"/>
        <v>16861.8</v>
      </c>
      <c r="M750" s="672">
        <v>2</v>
      </c>
      <c r="N750" s="668">
        <f t="shared" si="58"/>
        <v>0</v>
      </c>
      <c r="O750" s="676"/>
      <c r="P750" s="676"/>
    </row>
    <row r="751" spans="1:16" s="677" customFormat="1" ht="25.5" hidden="1" customHeight="1">
      <c r="A751" s="662"/>
      <c r="B751" s="663" t="s">
        <v>1868</v>
      </c>
      <c r="C751" s="675">
        <f>C874</f>
        <v>0</v>
      </c>
      <c r="D751" s="742" t="s">
        <v>522</v>
      </c>
      <c r="E751" s="1411"/>
      <c r="F751" s="666">
        <f t="shared" si="59"/>
        <v>0</v>
      </c>
      <c r="G751" s="666"/>
      <c r="H751" s="666"/>
      <c r="I751" s="666">
        <f t="shared" si="55"/>
        <v>0</v>
      </c>
      <c r="J751" s="666"/>
      <c r="K751" s="665">
        <f t="shared" si="56"/>
        <v>0</v>
      </c>
      <c r="L751" s="666">
        <f t="shared" si="57"/>
        <v>0</v>
      </c>
      <c r="M751" s="672">
        <v>0</v>
      </c>
      <c r="N751" s="668">
        <f t="shared" si="58"/>
        <v>0</v>
      </c>
      <c r="O751" s="676"/>
      <c r="P751" s="676"/>
    </row>
    <row r="752" spans="1:16" s="677" customFormat="1" ht="69.75" customHeight="1">
      <c r="A752" s="662"/>
      <c r="B752" s="685" t="s">
        <v>1869</v>
      </c>
      <c r="C752" s="675"/>
      <c r="D752" s="742"/>
      <c r="E752" s="1411"/>
      <c r="F752" s="666">
        <f t="shared" si="59"/>
        <v>0</v>
      </c>
      <c r="G752" s="666"/>
      <c r="H752" s="666"/>
      <c r="I752" s="666">
        <f t="shared" si="55"/>
        <v>0</v>
      </c>
      <c r="J752" s="666"/>
      <c r="K752" s="665">
        <f t="shared" si="56"/>
        <v>0</v>
      </c>
      <c r="L752" s="666">
        <f t="shared" si="57"/>
        <v>0</v>
      </c>
      <c r="M752" s="672">
        <v>0</v>
      </c>
      <c r="N752" s="668">
        <f t="shared" si="58"/>
        <v>0</v>
      </c>
      <c r="O752" s="676"/>
      <c r="P752" s="676"/>
    </row>
    <row r="753" spans="1:16" s="677" customFormat="1" ht="51" hidden="1" customHeight="1">
      <c r="A753" s="662"/>
      <c r="B753" s="663" t="s">
        <v>1870</v>
      </c>
      <c r="C753" s="675">
        <v>3004.33</v>
      </c>
      <c r="D753" s="742" t="s">
        <v>37</v>
      </c>
      <c r="E753" s="1411"/>
      <c r="F753" s="666">
        <f t="shared" si="59"/>
        <v>0</v>
      </c>
      <c r="G753" s="666"/>
      <c r="H753" s="666"/>
      <c r="I753" s="666">
        <f t="shared" si="55"/>
        <v>0</v>
      </c>
      <c r="J753" s="666"/>
      <c r="K753" s="665">
        <f t="shared" si="56"/>
        <v>0</v>
      </c>
      <c r="L753" s="666">
        <f t="shared" si="57"/>
        <v>0</v>
      </c>
      <c r="M753" s="672">
        <v>0</v>
      </c>
      <c r="N753" s="668">
        <f t="shared" si="58"/>
        <v>0</v>
      </c>
      <c r="O753" s="676"/>
      <c r="P753" s="676"/>
    </row>
    <row r="754" spans="1:16" ht="51" hidden="1" customHeight="1">
      <c r="A754" s="662"/>
      <c r="B754" s="663" t="s">
        <v>1871</v>
      </c>
      <c r="C754" s="667">
        <f>C875</f>
        <v>4353.33</v>
      </c>
      <c r="D754" s="751" t="s">
        <v>37</v>
      </c>
      <c r="E754" s="1413"/>
      <c r="F754" s="666">
        <f t="shared" si="59"/>
        <v>0</v>
      </c>
      <c r="G754" s="666"/>
      <c r="H754" s="666"/>
      <c r="I754" s="666">
        <f t="shared" si="55"/>
        <v>0</v>
      </c>
      <c r="J754" s="666"/>
      <c r="K754" s="665">
        <f t="shared" si="56"/>
        <v>0</v>
      </c>
      <c r="L754" s="666">
        <f t="shared" si="57"/>
        <v>0</v>
      </c>
      <c r="M754" s="672">
        <v>0</v>
      </c>
      <c r="N754" s="668">
        <f t="shared" si="58"/>
        <v>0</v>
      </c>
    </row>
    <row r="755" spans="1:16" s="677" customFormat="1" ht="51" hidden="1" customHeight="1">
      <c r="A755" s="662"/>
      <c r="B755" s="663" t="s">
        <v>1872</v>
      </c>
      <c r="C755" s="675">
        <f>'Coding sheet'!C876</f>
        <v>4626.8100000000004</v>
      </c>
      <c r="D755" s="742" t="s">
        <v>37</v>
      </c>
      <c r="E755" s="1411"/>
      <c r="F755" s="666">
        <f t="shared" si="59"/>
        <v>0</v>
      </c>
      <c r="G755" s="666"/>
      <c r="H755" s="666"/>
      <c r="I755" s="666">
        <f t="shared" si="55"/>
        <v>0</v>
      </c>
      <c r="J755" s="666"/>
      <c r="K755" s="665">
        <f t="shared" si="56"/>
        <v>0</v>
      </c>
      <c r="L755" s="666">
        <f t="shared" si="57"/>
        <v>0</v>
      </c>
      <c r="M755" s="672">
        <v>0</v>
      </c>
      <c r="N755" s="668">
        <f t="shared" si="58"/>
        <v>0</v>
      </c>
      <c r="O755" s="676"/>
      <c r="P755" s="676"/>
    </row>
    <row r="756" spans="1:16" s="677" customFormat="1" ht="42" hidden="1" customHeight="1">
      <c r="A756" s="662"/>
      <c r="B756" s="663" t="s">
        <v>1873</v>
      </c>
      <c r="C756" s="675">
        <f>C877</f>
        <v>3971.57</v>
      </c>
      <c r="D756" s="742" t="s">
        <v>37</v>
      </c>
      <c r="E756" s="1411"/>
      <c r="F756" s="666">
        <f t="shared" si="59"/>
        <v>0</v>
      </c>
      <c r="G756" s="666"/>
      <c r="H756" s="666"/>
      <c r="I756" s="666">
        <f t="shared" si="55"/>
        <v>0</v>
      </c>
      <c r="J756" s="666"/>
      <c r="K756" s="665">
        <f t="shared" si="56"/>
        <v>0</v>
      </c>
      <c r="L756" s="666">
        <f t="shared" si="57"/>
        <v>0</v>
      </c>
      <c r="M756" s="672">
        <v>0</v>
      </c>
      <c r="N756" s="668">
        <f t="shared" si="58"/>
        <v>0</v>
      </c>
      <c r="O756" s="676"/>
      <c r="P756" s="676"/>
    </row>
    <row r="757" spans="1:16" s="677" customFormat="1" ht="81.75" hidden="1" customHeight="1">
      <c r="A757" s="662"/>
      <c r="B757" s="685" t="s">
        <v>1874</v>
      </c>
      <c r="C757" s="739">
        <f>[8]Data!J3859</f>
        <v>4173.82</v>
      </c>
      <c r="D757" s="743" t="s">
        <v>37</v>
      </c>
      <c r="E757" s="1417"/>
      <c r="F757" s="666">
        <f t="shared" si="59"/>
        <v>0</v>
      </c>
      <c r="G757" s="666"/>
      <c r="H757" s="666"/>
      <c r="I757" s="666">
        <f t="shared" si="55"/>
        <v>0</v>
      </c>
      <c r="J757" s="666"/>
      <c r="K757" s="665">
        <f t="shared" si="56"/>
        <v>0</v>
      </c>
      <c r="L757" s="666">
        <f t="shared" si="57"/>
        <v>0</v>
      </c>
      <c r="M757" s="672">
        <v>0</v>
      </c>
      <c r="N757" s="668">
        <f t="shared" si="58"/>
        <v>0</v>
      </c>
      <c r="O757" s="676"/>
      <c r="P757" s="676"/>
    </row>
    <row r="758" spans="1:16" s="677" customFormat="1" ht="42" customHeight="1">
      <c r="A758" s="662"/>
      <c r="B758" s="685" t="s">
        <v>1875</v>
      </c>
      <c r="C758" s="739">
        <f>[8]Data!J3880</f>
        <v>3464.01</v>
      </c>
      <c r="D758" s="743" t="s">
        <v>37</v>
      </c>
      <c r="E758" s="1417">
        <f>[8]Detailed!H1656</f>
        <v>2.1</v>
      </c>
      <c r="F758" s="666">
        <f t="shared" si="59"/>
        <v>7274.4210000000012</v>
      </c>
      <c r="G758" s="666"/>
      <c r="H758" s="666"/>
      <c r="I758" s="666">
        <f t="shared" si="55"/>
        <v>0</v>
      </c>
      <c r="J758" s="666"/>
      <c r="K758" s="665">
        <f t="shared" si="56"/>
        <v>2.1</v>
      </c>
      <c r="L758" s="666">
        <f t="shared" si="57"/>
        <v>7274.4210000000012</v>
      </c>
      <c r="M758" s="672">
        <v>2.1</v>
      </c>
      <c r="N758" s="668">
        <f t="shared" si="58"/>
        <v>0</v>
      </c>
      <c r="O758" s="676"/>
      <c r="P758" s="676"/>
    </row>
    <row r="759" spans="1:16" s="677" customFormat="1" ht="52.5" hidden="1" customHeight="1">
      <c r="A759" s="662"/>
      <c r="B759" s="715" t="s">
        <v>1876</v>
      </c>
      <c r="C759" s="767">
        <v>61.8</v>
      </c>
      <c r="D759" s="768" t="s">
        <v>522</v>
      </c>
      <c r="E759" s="1418"/>
      <c r="F759" s="666">
        <f t="shared" si="59"/>
        <v>0</v>
      </c>
      <c r="G759" s="666"/>
      <c r="H759" s="666"/>
      <c r="I759" s="666">
        <f t="shared" si="55"/>
        <v>0</v>
      </c>
      <c r="J759" s="666"/>
      <c r="K759" s="665">
        <f t="shared" si="56"/>
        <v>0</v>
      </c>
      <c r="L759" s="666">
        <f t="shared" si="57"/>
        <v>0</v>
      </c>
      <c r="M759" s="672">
        <v>0</v>
      </c>
      <c r="N759" s="668">
        <f t="shared" si="58"/>
        <v>0</v>
      </c>
      <c r="O759" s="676"/>
      <c r="P759" s="676"/>
    </row>
    <row r="760" spans="1:16" s="677" customFormat="1" ht="59.25" hidden="1" customHeight="1">
      <c r="A760" s="662"/>
      <c r="B760" s="663" t="s">
        <v>1877</v>
      </c>
      <c r="C760" s="739">
        <v>405</v>
      </c>
      <c r="D760" s="674" t="s">
        <v>61</v>
      </c>
      <c r="E760" s="659"/>
      <c r="F760" s="666">
        <f t="shared" si="59"/>
        <v>0</v>
      </c>
      <c r="G760" s="666"/>
      <c r="H760" s="666"/>
      <c r="I760" s="666">
        <f t="shared" si="55"/>
        <v>0</v>
      </c>
      <c r="J760" s="666"/>
      <c r="K760" s="665">
        <f t="shared" si="56"/>
        <v>0</v>
      </c>
      <c r="L760" s="666">
        <f t="shared" si="57"/>
        <v>0</v>
      </c>
      <c r="M760" s="672">
        <v>0</v>
      </c>
      <c r="N760" s="668">
        <f t="shared" si="58"/>
        <v>0</v>
      </c>
      <c r="O760" s="676"/>
      <c r="P760" s="676"/>
    </row>
    <row r="761" spans="1:16" s="677" customFormat="1" ht="45.75" hidden="1" customHeight="1">
      <c r="A761" s="662"/>
      <c r="B761" s="663" t="s">
        <v>1878</v>
      </c>
      <c r="C761" s="684">
        <v>325</v>
      </c>
      <c r="D761" s="766" t="s">
        <v>37</v>
      </c>
      <c r="E761" s="1416"/>
      <c r="F761" s="666">
        <f t="shared" si="59"/>
        <v>0</v>
      </c>
      <c r="G761" s="666"/>
      <c r="H761" s="666"/>
      <c r="I761" s="666">
        <f t="shared" si="55"/>
        <v>0</v>
      </c>
      <c r="J761" s="666"/>
      <c r="K761" s="665">
        <f t="shared" si="56"/>
        <v>0</v>
      </c>
      <c r="L761" s="666">
        <f t="shared" si="57"/>
        <v>0</v>
      </c>
      <c r="M761" s="672">
        <v>0</v>
      </c>
      <c r="N761" s="668">
        <f t="shared" si="58"/>
        <v>0</v>
      </c>
      <c r="O761" s="676"/>
      <c r="P761" s="676"/>
    </row>
    <row r="762" spans="1:16" s="677" customFormat="1" ht="37.5" hidden="1" customHeight="1">
      <c r="A762" s="662"/>
      <c r="B762" s="663" t="s">
        <v>1879</v>
      </c>
      <c r="C762" s="684">
        <v>35</v>
      </c>
      <c r="D762" s="766" t="s">
        <v>37</v>
      </c>
      <c r="E762" s="1416"/>
      <c r="F762" s="666">
        <f t="shared" si="59"/>
        <v>0</v>
      </c>
      <c r="G762" s="666"/>
      <c r="H762" s="666"/>
      <c r="I762" s="666">
        <f t="shared" si="55"/>
        <v>0</v>
      </c>
      <c r="J762" s="666"/>
      <c r="K762" s="665">
        <f t="shared" si="56"/>
        <v>0</v>
      </c>
      <c r="L762" s="666">
        <f t="shared" si="57"/>
        <v>0</v>
      </c>
      <c r="M762" s="672">
        <v>0</v>
      </c>
      <c r="N762" s="668">
        <f t="shared" si="58"/>
        <v>0</v>
      </c>
      <c r="O762" s="676"/>
      <c r="P762" s="676"/>
    </row>
    <row r="763" spans="1:16" s="677" customFormat="1" ht="63.75" hidden="1" customHeight="1">
      <c r="A763" s="662"/>
      <c r="B763" s="738" t="s">
        <v>1880</v>
      </c>
      <c r="C763" s="696">
        <f>[8]Data!AQ3116</f>
        <v>231</v>
      </c>
      <c r="D763" s="741" t="s">
        <v>522</v>
      </c>
      <c r="E763" s="1412"/>
      <c r="F763" s="666">
        <f t="shared" si="59"/>
        <v>0</v>
      </c>
      <c r="G763" s="666"/>
      <c r="H763" s="666"/>
      <c r="I763" s="666">
        <f t="shared" si="55"/>
        <v>0</v>
      </c>
      <c r="J763" s="666"/>
      <c r="K763" s="665">
        <f t="shared" si="56"/>
        <v>0</v>
      </c>
      <c r="L763" s="666">
        <f t="shared" si="57"/>
        <v>0</v>
      </c>
      <c r="M763" s="672">
        <v>0</v>
      </c>
      <c r="N763" s="668">
        <f t="shared" si="58"/>
        <v>0</v>
      </c>
      <c r="O763" s="676"/>
      <c r="P763" s="676"/>
    </row>
    <row r="764" spans="1:16" s="677" customFormat="1" ht="55.5" hidden="1" customHeight="1">
      <c r="A764" s="662"/>
      <c r="B764" s="738" t="s">
        <v>1881</v>
      </c>
      <c r="C764" s="696">
        <f>[8]Data!AR3116</f>
        <v>220</v>
      </c>
      <c r="D764" s="741" t="s">
        <v>522</v>
      </c>
      <c r="E764" s="1412"/>
      <c r="F764" s="666">
        <f t="shared" si="59"/>
        <v>0</v>
      </c>
      <c r="G764" s="666"/>
      <c r="H764" s="666"/>
      <c r="I764" s="666">
        <f t="shared" si="55"/>
        <v>0</v>
      </c>
      <c r="J764" s="666"/>
      <c r="K764" s="665">
        <f t="shared" si="56"/>
        <v>0</v>
      </c>
      <c r="L764" s="666">
        <f t="shared" si="57"/>
        <v>0</v>
      </c>
      <c r="M764" s="672">
        <v>0</v>
      </c>
      <c r="N764" s="668">
        <f t="shared" si="58"/>
        <v>0</v>
      </c>
      <c r="O764" s="676"/>
      <c r="P764" s="676"/>
    </row>
    <row r="765" spans="1:16" s="677" customFormat="1" ht="63" hidden="1" customHeight="1">
      <c r="A765" s="662"/>
      <c r="B765" s="738" t="s">
        <v>1882</v>
      </c>
      <c r="C765" s="696">
        <f>[8]Elec.Data!R3638</f>
        <v>2808.14</v>
      </c>
      <c r="D765" s="674" t="s">
        <v>522</v>
      </c>
      <c r="E765" s="659"/>
      <c r="F765" s="666">
        <f t="shared" si="59"/>
        <v>0</v>
      </c>
      <c r="G765" s="666"/>
      <c r="H765" s="666"/>
      <c r="I765" s="666">
        <f t="shared" si="55"/>
        <v>0</v>
      </c>
      <c r="J765" s="666"/>
      <c r="K765" s="665">
        <f t="shared" si="56"/>
        <v>0</v>
      </c>
      <c r="L765" s="666">
        <f t="shared" si="57"/>
        <v>0</v>
      </c>
      <c r="M765" s="672">
        <v>0</v>
      </c>
      <c r="N765" s="668">
        <f t="shared" si="58"/>
        <v>0</v>
      </c>
      <c r="O765" s="676"/>
      <c r="P765" s="676"/>
    </row>
    <row r="766" spans="1:16" s="677" customFormat="1" ht="45.75" hidden="1" customHeight="1">
      <c r="A766" s="662"/>
      <c r="B766" s="663" t="s">
        <v>1883</v>
      </c>
      <c r="C766" s="660">
        <f>[8]Data!R2365</f>
        <v>343.98</v>
      </c>
      <c r="D766" s="674" t="s">
        <v>61</v>
      </c>
      <c r="E766" s="659"/>
      <c r="F766" s="666">
        <f t="shared" si="59"/>
        <v>0</v>
      </c>
      <c r="G766" s="666"/>
      <c r="H766" s="666"/>
      <c r="I766" s="666">
        <f t="shared" si="55"/>
        <v>0</v>
      </c>
      <c r="J766" s="666"/>
      <c r="K766" s="665">
        <f t="shared" si="56"/>
        <v>0</v>
      </c>
      <c r="L766" s="666">
        <f t="shared" si="57"/>
        <v>0</v>
      </c>
      <c r="M766" s="672">
        <v>0</v>
      </c>
      <c r="N766" s="668">
        <f t="shared" si="58"/>
        <v>0</v>
      </c>
      <c r="O766" s="676"/>
      <c r="P766" s="676"/>
    </row>
    <row r="767" spans="1:16" ht="61.15" customHeight="1">
      <c r="A767" s="662"/>
      <c r="B767" s="663" t="str">
        <f>[8]Detailed!B545</f>
        <v>Pressed tiles (23cmx23cmx20mm) mixed with Water proofing compound</v>
      </c>
      <c r="C767" s="769">
        <f>'[8]Building (2)'!C339</f>
        <v>1082.8499999999999</v>
      </c>
      <c r="D767" s="663" t="s">
        <v>264</v>
      </c>
      <c r="E767" s="665">
        <f>[8]Detailed!H554</f>
        <v>140</v>
      </c>
      <c r="F767" s="666">
        <f t="shared" si="59"/>
        <v>151599</v>
      </c>
      <c r="G767" s="666"/>
      <c r="H767" s="666"/>
      <c r="I767" s="666">
        <f t="shared" si="55"/>
        <v>0</v>
      </c>
      <c r="J767" s="666"/>
      <c r="K767" s="665">
        <f t="shared" si="56"/>
        <v>140</v>
      </c>
      <c r="L767" s="666">
        <f t="shared" si="57"/>
        <v>151599</v>
      </c>
      <c r="M767" s="672">
        <v>140</v>
      </c>
      <c r="N767" s="668">
        <f t="shared" si="58"/>
        <v>0</v>
      </c>
    </row>
    <row r="768" spans="1:16" s="677" customFormat="1" ht="40.15" hidden="1" customHeight="1">
      <c r="A768" s="662" t="s">
        <v>1885</v>
      </c>
      <c r="B768" s="663" t="s">
        <v>1886</v>
      </c>
      <c r="C768" s="675">
        <f>[8]Data!K1797</f>
        <v>1920</v>
      </c>
      <c r="D768" s="674" t="s">
        <v>522</v>
      </c>
      <c r="E768" s="659"/>
      <c r="F768" s="666">
        <f t="shared" si="59"/>
        <v>0</v>
      </c>
      <c r="G768" s="666"/>
      <c r="H768" s="666"/>
      <c r="I768" s="666">
        <f t="shared" si="55"/>
        <v>0</v>
      </c>
      <c r="J768" s="666"/>
      <c r="K768" s="665">
        <f t="shared" si="56"/>
        <v>0</v>
      </c>
      <c r="L768" s="666">
        <f t="shared" si="57"/>
        <v>0</v>
      </c>
      <c r="M768" s="672">
        <v>0</v>
      </c>
      <c r="N768" s="668">
        <f t="shared" si="58"/>
        <v>0</v>
      </c>
      <c r="O768" s="676"/>
      <c r="P768" s="676"/>
    </row>
    <row r="769" spans="1:16" ht="60.75" customHeight="1">
      <c r="A769" s="662"/>
      <c r="B769" s="685" t="s">
        <v>1887</v>
      </c>
      <c r="C769" s="667"/>
      <c r="D769" s="663"/>
      <c r="E769" s="665"/>
      <c r="F769" s="666">
        <f t="shared" si="59"/>
        <v>0</v>
      </c>
      <c r="G769" s="666"/>
      <c r="H769" s="666"/>
      <c r="I769" s="666">
        <f t="shared" si="55"/>
        <v>0</v>
      </c>
      <c r="J769" s="666"/>
      <c r="K769" s="665">
        <f t="shared" si="56"/>
        <v>0</v>
      </c>
      <c r="L769" s="666">
        <f t="shared" si="57"/>
        <v>0</v>
      </c>
      <c r="M769" s="668">
        <v>0</v>
      </c>
      <c r="N769" s="668">
        <f t="shared" si="58"/>
        <v>0</v>
      </c>
    </row>
    <row r="770" spans="1:16" ht="50.25" customHeight="1">
      <c r="A770" s="662"/>
      <c r="B770" s="663" t="s">
        <v>1888</v>
      </c>
      <c r="C770" s="769">
        <f>[8]Data!K3677</f>
        <v>442.95</v>
      </c>
      <c r="D770" s="663" t="s">
        <v>61</v>
      </c>
      <c r="E770" s="665">
        <f>[8]Detailed!H879</f>
        <v>80</v>
      </c>
      <c r="F770" s="666">
        <f t="shared" si="59"/>
        <v>35436</v>
      </c>
      <c r="G770" s="666"/>
      <c r="H770" s="666"/>
      <c r="I770" s="666">
        <f t="shared" si="55"/>
        <v>0</v>
      </c>
      <c r="J770" s="666"/>
      <c r="K770" s="665">
        <f t="shared" si="56"/>
        <v>80</v>
      </c>
      <c r="L770" s="666">
        <f t="shared" si="57"/>
        <v>35436</v>
      </c>
      <c r="M770" s="672">
        <v>80</v>
      </c>
      <c r="N770" s="668">
        <f t="shared" si="58"/>
        <v>0</v>
      </c>
    </row>
    <row r="771" spans="1:16" ht="50.25" hidden="1" customHeight="1">
      <c r="A771" s="662"/>
      <c r="B771" s="663" t="s">
        <v>1889</v>
      </c>
      <c r="C771" s="769">
        <f>[8]Data!K3697</f>
        <v>753.21</v>
      </c>
      <c r="D771" s="663" t="s">
        <v>61</v>
      </c>
      <c r="E771" s="665"/>
      <c r="F771" s="666">
        <f t="shared" si="59"/>
        <v>0</v>
      </c>
      <c r="G771" s="666"/>
      <c r="H771" s="666"/>
      <c r="I771" s="666">
        <f t="shared" si="55"/>
        <v>0</v>
      </c>
      <c r="J771" s="666"/>
      <c r="K771" s="665">
        <f t="shared" si="56"/>
        <v>0</v>
      </c>
      <c r="L771" s="666">
        <f t="shared" si="57"/>
        <v>0</v>
      </c>
      <c r="M771" s="672">
        <v>0</v>
      </c>
      <c r="N771" s="668">
        <f t="shared" si="58"/>
        <v>0</v>
      </c>
    </row>
    <row r="772" spans="1:16" ht="50.25" customHeight="1">
      <c r="A772" s="662"/>
      <c r="B772" s="685" t="s">
        <v>1890</v>
      </c>
      <c r="C772" s="769"/>
      <c r="D772" s="663"/>
      <c r="E772" s="665"/>
      <c r="F772" s="666">
        <f t="shared" si="59"/>
        <v>0</v>
      </c>
      <c r="G772" s="666"/>
      <c r="H772" s="666"/>
      <c r="I772" s="666">
        <f t="shared" si="55"/>
        <v>0</v>
      </c>
      <c r="J772" s="666"/>
      <c r="K772" s="665">
        <f t="shared" si="56"/>
        <v>0</v>
      </c>
      <c r="L772" s="666">
        <f t="shared" si="57"/>
        <v>0</v>
      </c>
      <c r="M772" s="668">
        <v>0</v>
      </c>
      <c r="N772" s="668">
        <f t="shared" si="58"/>
        <v>0</v>
      </c>
    </row>
    <row r="773" spans="1:16" ht="57.75" customHeight="1">
      <c r="A773" s="662"/>
      <c r="B773" s="770" t="s">
        <v>1891</v>
      </c>
      <c r="C773" s="769">
        <v>248</v>
      </c>
      <c r="D773" s="663" t="s">
        <v>522</v>
      </c>
      <c r="E773" s="665">
        <f>[8]Detailed!H883</f>
        <v>2</v>
      </c>
      <c r="F773" s="666">
        <f t="shared" si="59"/>
        <v>496</v>
      </c>
      <c r="G773" s="666"/>
      <c r="H773" s="666"/>
      <c r="I773" s="666">
        <f t="shared" si="55"/>
        <v>0</v>
      </c>
      <c r="J773" s="666"/>
      <c r="K773" s="665">
        <f t="shared" si="56"/>
        <v>2</v>
      </c>
      <c r="L773" s="666">
        <f t="shared" si="57"/>
        <v>496</v>
      </c>
      <c r="M773" s="672">
        <v>2</v>
      </c>
      <c r="N773" s="668">
        <f t="shared" si="58"/>
        <v>0</v>
      </c>
    </row>
    <row r="774" spans="1:16" ht="63.75" hidden="1" customHeight="1">
      <c r="A774" s="662"/>
      <c r="B774" s="708" t="s">
        <v>1892</v>
      </c>
      <c r="C774" s="769">
        <v>1048</v>
      </c>
      <c r="D774" s="663" t="s">
        <v>522</v>
      </c>
      <c r="E774" s="665"/>
      <c r="F774" s="666">
        <f t="shared" si="59"/>
        <v>0</v>
      </c>
      <c r="G774" s="666"/>
      <c r="H774" s="666"/>
      <c r="I774" s="666">
        <f t="shared" si="55"/>
        <v>0</v>
      </c>
      <c r="J774" s="666"/>
      <c r="K774" s="665">
        <f t="shared" si="56"/>
        <v>0</v>
      </c>
      <c r="L774" s="666">
        <f t="shared" si="57"/>
        <v>0</v>
      </c>
      <c r="M774" s="672">
        <v>0</v>
      </c>
      <c r="N774" s="668">
        <f t="shared" si="58"/>
        <v>0</v>
      </c>
    </row>
    <row r="775" spans="1:16" ht="51.75" hidden="1" customHeight="1">
      <c r="A775" s="662"/>
      <c r="B775" s="685" t="s">
        <v>1893</v>
      </c>
      <c r="C775" s="769"/>
      <c r="D775" s="663"/>
      <c r="E775" s="665"/>
      <c r="F775" s="666">
        <f t="shared" si="59"/>
        <v>0</v>
      </c>
      <c r="G775" s="666"/>
      <c r="H775" s="666"/>
      <c r="I775" s="666">
        <f t="shared" ref="I775:I838" si="60">G775</f>
        <v>0</v>
      </c>
      <c r="J775" s="666"/>
      <c r="K775" s="665">
        <f t="shared" ref="K775:K838" si="61">E775</f>
        <v>0</v>
      </c>
      <c r="L775" s="666">
        <f t="shared" ref="L775:L838" si="62">C775*K775</f>
        <v>0</v>
      </c>
      <c r="M775" s="668">
        <v>0</v>
      </c>
      <c r="N775" s="668">
        <f t="shared" ref="N775:N838" si="63">K775-M775</f>
        <v>0</v>
      </c>
    </row>
    <row r="776" spans="1:16" ht="52.5" hidden="1" customHeight="1">
      <c r="A776" s="662"/>
      <c r="B776" s="663" t="s">
        <v>1894</v>
      </c>
      <c r="C776" s="769">
        <v>303</v>
      </c>
      <c r="D776" s="663" t="s">
        <v>522</v>
      </c>
      <c r="E776" s="665"/>
      <c r="F776" s="666">
        <f t="shared" ref="F776:F839" si="64">E776*C776</f>
        <v>0</v>
      </c>
      <c r="G776" s="666"/>
      <c r="H776" s="666"/>
      <c r="I776" s="666">
        <f t="shared" si="60"/>
        <v>0</v>
      </c>
      <c r="J776" s="666"/>
      <c r="K776" s="665">
        <f t="shared" si="61"/>
        <v>0</v>
      </c>
      <c r="L776" s="666">
        <f t="shared" si="62"/>
        <v>0</v>
      </c>
      <c r="M776" s="672">
        <v>0</v>
      </c>
      <c r="N776" s="668">
        <f t="shared" si="63"/>
        <v>0</v>
      </c>
    </row>
    <row r="777" spans="1:16" ht="65.25" hidden="1" customHeight="1">
      <c r="A777" s="662"/>
      <c r="B777" s="663" t="s">
        <v>1895</v>
      </c>
      <c r="C777" s="771">
        <v>827</v>
      </c>
      <c r="D777" s="663" t="s">
        <v>522</v>
      </c>
      <c r="E777" s="665"/>
      <c r="F777" s="666">
        <f t="shared" si="64"/>
        <v>0</v>
      </c>
      <c r="G777" s="666"/>
      <c r="H777" s="666"/>
      <c r="I777" s="666">
        <f t="shared" si="60"/>
        <v>0</v>
      </c>
      <c r="J777" s="666"/>
      <c r="K777" s="665">
        <f t="shared" si="61"/>
        <v>0</v>
      </c>
      <c r="L777" s="666">
        <f t="shared" si="62"/>
        <v>0</v>
      </c>
      <c r="M777" s="672">
        <v>0</v>
      </c>
      <c r="N777" s="668">
        <f t="shared" si="63"/>
        <v>0</v>
      </c>
    </row>
    <row r="778" spans="1:16" ht="86.25" customHeight="1">
      <c r="A778" s="662"/>
      <c r="B778" s="663" t="s">
        <v>1896</v>
      </c>
      <c r="C778" s="769">
        <f>[8]Data!R1978</f>
        <v>3054.35</v>
      </c>
      <c r="D778" s="663" t="s">
        <v>522</v>
      </c>
      <c r="E778" s="665">
        <f>[8]Detailed!H1466</f>
        <v>4</v>
      </c>
      <c r="F778" s="666">
        <f t="shared" si="64"/>
        <v>12217.4</v>
      </c>
      <c r="G778" s="666"/>
      <c r="H778" s="666"/>
      <c r="I778" s="666">
        <f t="shared" si="60"/>
        <v>0</v>
      </c>
      <c r="J778" s="666"/>
      <c r="K778" s="665">
        <f t="shared" si="61"/>
        <v>4</v>
      </c>
      <c r="L778" s="666">
        <f t="shared" si="62"/>
        <v>12217.4</v>
      </c>
      <c r="M778" s="672">
        <v>4</v>
      </c>
      <c r="N778" s="668">
        <f t="shared" si="63"/>
        <v>0</v>
      </c>
    </row>
    <row r="779" spans="1:16" ht="84.75" hidden="1" customHeight="1">
      <c r="A779" s="662"/>
      <c r="B779" s="663" t="s">
        <v>1897</v>
      </c>
      <c r="C779" s="769">
        <f>[8]Data!R1999</f>
        <v>4839.1000000000004</v>
      </c>
      <c r="D779" s="663" t="s">
        <v>522</v>
      </c>
      <c r="E779" s="665"/>
      <c r="F779" s="666">
        <f t="shared" si="64"/>
        <v>0</v>
      </c>
      <c r="G779" s="666"/>
      <c r="H779" s="666"/>
      <c r="I779" s="666">
        <f t="shared" si="60"/>
        <v>0</v>
      </c>
      <c r="J779" s="666"/>
      <c r="K779" s="665">
        <f t="shared" si="61"/>
        <v>0</v>
      </c>
      <c r="L779" s="666">
        <f t="shared" si="62"/>
        <v>0</v>
      </c>
      <c r="M779" s="672">
        <v>0</v>
      </c>
      <c r="N779" s="668">
        <f t="shared" si="63"/>
        <v>0</v>
      </c>
    </row>
    <row r="780" spans="1:16" ht="84.75" customHeight="1">
      <c r="A780" s="662"/>
      <c r="B780" s="663" t="s">
        <v>1898</v>
      </c>
      <c r="C780" s="769">
        <f>[8]Data!R2018</f>
        <v>6501.3</v>
      </c>
      <c r="D780" s="663" t="s">
        <v>522</v>
      </c>
      <c r="E780" s="665">
        <f>[8]Detailed!H863</f>
        <v>4</v>
      </c>
      <c r="F780" s="666">
        <f t="shared" si="64"/>
        <v>26005.200000000001</v>
      </c>
      <c r="G780" s="666"/>
      <c r="H780" s="666"/>
      <c r="I780" s="666">
        <f t="shared" si="60"/>
        <v>0</v>
      </c>
      <c r="J780" s="666"/>
      <c r="K780" s="665">
        <f t="shared" si="61"/>
        <v>4</v>
      </c>
      <c r="L780" s="666">
        <f t="shared" si="62"/>
        <v>26005.200000000001</v>
      </c>
      <c r="M780" s="672">
        <v>4</v>
      </c>
      <c r="N780" s="668">
        <f t="shared" si="63"/>
        <v>0</v>
      </c>
    </row>
    <row r="781" spans="1:16" ht="61.5" hidden="1" customHeight="1">
      <c r="A781" s="662"/>
      <c r="B781" s="663" t="s">
        <v>1899</v>
      </c>
      <c r="C781" s="769">
        <f>[8]Data!R2037</f>
        <v>6861.3</v>
      </c>
      <c r="D781" s="663" t="s">
        <v>522</v>
      </c>
      <c r="E781" s="665"/>
      <c r="F781" s="666">
        <f t="shared" si="64"/>
        <v>0</v>
      </c>
      <c r="G781" s="666"/>
      <c r="H781" s="666"/>
      <c r="I781" s="666">
        <f t="shared" si="60"/>
        <v>0</v>
      </c>
      <c r="J781" s="666"/>
      <c r="K781" s="665">
        <f t="shared" si="61"/>
        <v>0</v>
      </c>
      <c r="L781" s="666">
        <f t="shared" si="62"/>
        <v>0</v>
      </c>
      <c r="M781" s="672">
        <v>0</v>
      </c>
      <c r="N781" s="668">
        <f t="shared" si="63"/>
        <v>0</v>
      </c>
    </row>
    <row r="782" spans="1:16" s="677" customFormat="1" ht="38.25" hidden="1" customHeight="1">
      <c r="A782" s="662"/>
      <c r="B782" s="685" t="s">
        <v>1857</v>
      </c>
      <c r="C782" s="739"/>
      <c r="D782" s="674"/>
      <c r="E782" s="659"/>
      <c r="F782" s="666">
        <f t="shared" si="64"/>
        <v>0</v>
      </c>
      <c r="G782" s="666"/>
      <c r="H782" s="666"/>
      <c r="I782" s="666">
        <f t="shared" si="60"/>
        <v>0</v>
      </c>
      <c r="J782" s="666"/>
      <c r="K782" s="665">
        <f t="shared" si="61"/>
        <v>0</v>
      </c>
      <c r="L782" s="666">
        <f t="shared" si="62"/>
        <v>0</v>
      </c>
      <c r="M782" s="672">
        <v>0</v>
      </c>
      <c r="N782" s="668">
        <f t="shared" si="63"/>
        <v>0</v>
      </c>
      <c r="O782" s="676"/>
      <c r="P782" s="676"/>
    </row>
    <row r="783" spans="1:16" s="677" customFormat="1" ht="45.75" hidden="1" customHeight="1">
      <c r="A783" s="662"/>
      <c r="B783" s="663" t="s">
        <v>1900</v>
      </c>
      <c r="C783" s="761">
        <f>'[10]doors &amp; windows'!$F$979</f>
        <v>2729.4446820175435</v>
      </c>
      <c r="D783" s="766" t="s">
        <v>37</v>
      </c>
      <c r="E783" s="1416"/>
      <c r="F783" s="666">
        <f t="shared" si="64"/>
        <v>0</v>
      </c>
      <c r="G783" s="666"/>
      <c r="H783" s="666"/>
      <c r="I783" s="666">
        <f t="shared" si="60"/>
        <v>0</v>
      </c>
      <c r="J783" s="666"/>
      <c r="K783" s="665">
        <f t="shared" si="61"/>
        <v>0</v>
      </c>
      <c r="L783" s="666">
        <f t="shared" si="62"/>
        <v>0</v>
      </c>
      <c r="M783" s="672">
        <v>0</v>
      </c>
      <c r="N783" s="668">
        <f t="shared" si="63"/>
        <v>0</v>
      </c>
      <c r="O783" s="676"/>
      <c r="P783" s="676"/>
    </row>
    <row r="784" spans="1:16" s="677" customFormat="1" ht="45.75" hidden="1" customHeight="1">
      <c r="A784" s="662"/>
      <c r="B784" s="663" t="s">
        <v>1901</v>
      </c>
      <c r="C784" s="739">
        <f>'[10]doors &amp; windows'!$F$942</f>
        <v>3025.6259868421052</v>
      </c>
      <c r="D784" s="766" t="s">
        <v>37</v>
      </c>
      <c r="E784" s="1416"/>
      <c r="F784" s="666">
        <f t="shared" si="64"/>
        <v>0</v>
      </c>
      <c r="G784" s="666"/>
      <c r="H784" s="666"/>
      <c r="I784" s="666">
        <f t="shared" si="60"/>
        <v>0</v>
      </c>
      <c r="J784" s="666"/>
      <c r="K784" s="665">
        <f t="shared" si="61"/>
        <v>0</v>
      </c>
      <c r="L784" s="666">
        <f t="shared" si="62"/>
        <v>0</v>
      </c>
      <c r="M784" s="672">
        <v>0</v>
      </c>
      <c r="N784" s="668">
        <f t="shared" si="63"/>
        <v>0</v>
      </c>
      <c r="O784" s="676"/>
      <c r="P784" s="676"/>
    </row>
    <row r="785" spans="1:16" s="677" customFormat="1" ht="45.75" hidden="1" customHeight="1">
      <c r="A785" s="662"/>
      <c r="B785" s="663" t="s">
        <v>1902</v>
      </c>
      <c r="C785" s="739">
        <f>'[10]doors &amp; windows'!$F$1014</f>
        <v>3025.6259868421048</v>
      </c>
      <c r="D785" s="766" t="s">
        <v>37</v>
      </c>
      <c r="E785" s="1416"/>
      <c r="F785" s="666">
        <f t="shared" si="64"/>
        <v>0</v>
      </c>
      <c r="G785" s="666"/>
      <c r="H785" s="666"/>
      <c r="I785" s="666">
        <f t="shared" si="60"/>
        <v>0</v>
      </c>
      <c r="J785" s="666"/>
      <c r="K785" s="665">
        <f t="shared" si="61"/>
        <v>0</v>
      </c>
      <c r="L785" s="666">
        <f t="shared" si="62"/>
        <v>0</v>
      </c>
      <c r="M785" s="672">
        <v>0</v>
      </c>
      <c r="N785" s="668">
        <f t="shared" si="63"/>
        <v>0</v>
      </c>
      <c r="O785" s="676"/>
      <c r="P785" s="676"/>
    </row>
    <row r="786" spans="1:16" s="677" customFormat="1" ht="45.75" hidden="1" customHeight="1">
      <c r="A786" s="662"/>
      <c r="B786" s="663" t="s">
        <v>1903</v>
      </c>
      <c r="C786" s="739">
        <f>'[10]doors &amp; windows'!$F$1050</f>
        <v>3553.6057186234821</v>
      </c>
      <c r="D786" s="766" t="s">
        <v>37</v>
      </c>
      <c r="E786" s="1416"/>
      <c r="F786" s="666">
        <f t="shared" si="64"/>
        <v>0</v>
      </c>
      <c r="G786" s="666"/>
      <c r="H786" s="666"/>
      <c r="I786" s="666">
        <f t="shared" si="60"/>
        <v>0</v>
      </c>
      <c r="J786" s="666"/>
      <c r="K786" s="665">
        <f t="shared" si="61"/>
        <v>0</v>
      </c>
      <c r="L786" s="666">
        <f t="shared" si="62"/>
        <v>0</v>
      </c>
      <c r="M786" s="672">
        <v>0</v>
      </c>
      <c r="N786" s="668">
        <f t="shared" si="63"/>
        <v>0</v>
      </c>
      <c r="O786" s="676"/>
      <c r="P786" s="676"/>
    </row>
    <row r="787" spans="1:16" s="677" customFormat="1" ht="45.75" hidden="1" customHeight="1">
      <c r="A787" s="662"/>
      <c r="B787" s="663" t="s">
        <v>1904</v>
      </c>
      <c r="C787" s="739">
        <f>[8]Data!X3143</f>
        <v>3717.9</v>
      </c>
      <c r="D787" s="766" t="s">
        <v>37</v>
      </c>
      <c r="E787" s="1416"/>
      <c r="F787" s="666">
        <f t="shared" si="64"/>
        <v>0</v>
      </c>
      <c r="G787" s="666"/>
      <c r="H787" s="666"/>
      <c r="I787" s="666">
        <f t="shared" si="60"/>
        <v>0</v>
      </c>
      <c r="J787" s="666"/>
      <c r="K787" s="665">
        <f t="shared" si="61"/>
        <v>0</v>
      </c>
      <c r="L787" s="666">
        <f t="shared" si="62"/>
        <v>0</v>
      </c>
      <c r="M787" s="672">
        <v>0</v>
      </c>
      <c r="N787" s="668">
        <f t="shared" si="63"/>
        <v>0</v>
      </c>
      <c r="O787" s="676"/>
      <c r="P787" s="676"/>
    </row>
    <row r="788" spans="1:16" s="677" customFormat="1" ht="110.25" hidden="1" customHeight="1">
      <c r="A788" s="662"/>
      <c r="B788" s="685" t="s">
        <v>1905</v>
      </c>
      <c r="C788" s="739"/>
      <c r="D788" s="752"/>
      <c r="E788" s="1411"/>
      <c r="F788" s="666">
        <f t="shared" si="64"/>
        <v>0</v>
      </c>
      <c r="G788" s="666"/>
      <c r="H788" s="666"/>
      <c r="I788" s="666">
        <f t="shared" si="60"/>
        <v>0</v>
      </c>
      <c r="J788" s="666"/>
      <c r="K788" s="665">
        <f t="shared" si="61"/>
        <v>0</v>
      </c>
      <c r="L788" s="666">
        <f t="shared" si="62"/>
        <v>0</v>
      </c>
      <c r="M788" s="672">
        <v>0</v>
      </c>
      <c r="N788" s="668">
        <f t="shared" si="63"/>
        <v>0</v>
      </c>
      <c r="O788" s="676"/>
      <c r="P788" s="676"/>
    </row>
    <row r="789" spans="1:16" s="677" customFormat="1" ht="51" hidden="1" customHeight="1">
      <c r="A789" s="662"/>
      <c r="B789" s="663" t="s">
        <v>168</v>
      </c>
      <c r="C789" s="739">
        <f>'[8]  Coastal  Elec.Data '!K2860</f>
        <v>1493.27</v>
      </c>
      <c r="D789" s="742" t="s">
        <v>522</v>
      </c>
      <c r="E789" s="1411"/>
      <c r="F789" s="666">
        <f t="shared" si="64"/>
        <v>0</v>
      </c>
      <c r="G789" s="666"/>
      <c r="H789" s="666"/>
      <c r="I789" s="666">
        <f t="shared" si="60"/>
        <v>0</v>
      </c>
      <c r="J789" s="666"/>
      <c r="K789" s="665">
        <f t="shared" si="61"/>
        <v>0</v>
      </c>
      <c r="L789" s="666">
        <f t="shared" si="62"/>
        <v>0</v>
      </c>
      <c r="M789" s="672">
        <v>0</v>
      </c>
      <c r="N789" s="668">
        <f t="shared" si="63"/>
        <v>0</v>
      </c>
      <c r="O789" s="676"/>
      <c r="P789" s="676"/>
    </row>
    <row r="790" spans="1:16" s="677" customFormat="1" ht="51" hidden="1" customHeight="1">
      <c r="A790" s="662"/>
      <c r="B790" s="663" t="s">
        <v>170</v>
      </c>
      <c r="C790" s="739">
        <f>'[8]  Coastal  Elec.Data '!K2884</f>
        <v>1496.32</v>
      </c>
      <c r="D790" s="742" t="s">
        <v>522</v>
      </c>
      <c r="E790" s="1411"/>
      <c r="F790" s="666">
        <f t="shared" si="64"/>
        <v>0</v>
      </c>
      <c r="G790" s="666"/>
      <c r="H790" s="666"/>
      <c r="I790" s="666">
        <f t="shared" si="60"/>
        <v>0</v>
      </c>
      <c r="J790" s="666"/>
      <c r="K790" s="665">
        <f t="shared" si="61"/>
        <v>0</v>
      </c>
      <c r="L790" s="666">
        <f t="shared" si="62"/>
        <v>0</v>
      </c>
      <c r="M790" s="672">
        <v>0</v>
      </c>
      <c r="N790" s="668">
        <f t="shared" si="63"/>
        <v>0</v>
      </c>
      <c r="O790" s="676"/>
      <c r="P790" s="676"/>
    </row>
    <row r="791" spans="1:16" s="677" customFormat="1" ht="51" hidden="1" customHeight="1">
      <c r="A791" s="690"/>
      <c r="B791" s="663" t="s">
        <v>1591</v>
      </c>
      <c r="C791" s="739">
        <f>'[8]  Coastal  Elec.Data '!K2899</f>
        <v>1526.05</v>
      </c>
      <c r="D791" s="742" t="s">
        <v>522</v>
      </c>
      <c r="E791" s="1411"/>
      <c r="F791" s="666">
        <f t="shared" si="64"/>
        <v>0</v>
      </c>
      <c r="G791" s="666"/>
      <c r="H791" s="666"/>
      <c r="I791" s="666">
        <f t="shared" si="60"/>
        <v>0</v>
      </c>
      <c r="J791" s="666"/>
      <c r="K791" s="665">
        <f t="shared" si="61"/>
        <v>0</v>
      </c>
      <c r="L791" s="666">
        <f t="shared" si="62"/>
        <v>0</v>
      </c>
      <c r="M791" s="672">
        <v>0</v>
      </c>
      <c r="N791" s="668">
        <f t="shared" si="63"/>
        <v>0</v>
      </c>
      <c r="O791" s="676"/>
      <c r="P791" s="676"/>
    </row>
    <row r="792" spans="1:16" s="677" customFormat="1" ht="108" hidden="1" customHeight="1">
      <c r="A792" s="662"/>
      <c r="B792" s="663" t="s">
        <v>1906</v>
      </c>
      <c r="C792" s="739">
        <f>'[8]  Coastal  Elec.Data '!K2921</f>
        <v>1547.28</v>
      </c>
      <c r="D792" s="742" t="s">
        <v>522</v>
      </c>
      <c r="E792" s="1411"/>
      <c r="F792" s="666">
        <f t="shared" si="64"/>
        <v>0</v>
      </c>
      <c r="G792" s="666"/>
      <c r="H792" s="666"/>
      <c r="I792" s="666">
        <f t="shared" si="60"/>
        <v>0</v>
      </c>
      <c r="J792" s="666"/>
      <c r="K792" s="665">
        <f t="shared" si="61"/>
        <v>0</v>
      </c>
      <c r="L792" s="666">
        <f t="shared" si="62"/>
        <v>0</v>
      </c>
      <c r="M792" s="672">
        <v>0</v>
      </c>
      <c r="N792" s="668">
        <f t="shared" si="63"/>
        <v>0</v>
      </c>
      <c r="O792" s="676"/>
      <c r="P792" s="676"/>
    </row>
    <row r="793" spans="1:16" s="677" customFormat="1" ht="105" hidden="1" customHeight="1">
      <c r="A793" s="662"/>
      <c r="B793" s="663" t="s">
        <v>1907</v>
      </c>
      <c r="C793" s="739">
        <f>'[8]  Coastal  Elec.Data '!K2945</f>
        <v>2795.01</v>
      </c>
      <c r="D793" s="742" t="s">
        <v>522</v>
      </c>
      <c r="E793" s="1411"/>
      <c r="F793" s="666">
        <f t="shared" si="64"/>
        <v>0</v>
      </c>
      <c r="G793" s="666"/>
      <c r="H793" s="666"/>
      <c r="I793" s="666">
        <f t="shared" si="60"/>
        <v>0</v>
      </c>
      <c r="J793" s="666"/>
      <c r="K793" s="665">
        <f t="shared" si="61"/>
        <v>0</v>
      </c>
      <c r="L793" s="666">
        <f t="shared" si="62"/>
        <v>0</v>
      </c>
      <c r="M793" s="672">
        <v>0</v>
      </c>
      <c r="N793" s="668">
        <f t="shared" si="63"/>
        <v>0</v>
      </c>
      <c r="O793" s="676"/>
      <c r="P793" s="676"/>
    </row>
    <row r="794" spans="1:16" s="677" customFormat="1" ht="113.25" hidden="1" customHeight="1">
      <c r="A794" s="662">
        <v>67.099999999999994</v>
      </c>
      <c r="B794" s="663" t="s">
        <v>1727</v>
      </c>
      <c r="C794" s="739">
        <f>'[8]  Coastal  Elec.Data '!K2977</f>
        <v>764.91</v>
      </c>
      <c r="D794" s="742" t="s">
        <v>522</v>
      </c>
      <c r="E794" s="1411"/>
      <c r="F794" s="666">
        <f t="shared" si="64"/>
        <v>0</v>
      </c>
      <c r="G794" s="666"/>
      <c r="H794" s="666"/>
      <c r="I794" s="666">
        <f t="shared" si="60"/>
        <v>0</v>
      </c>
      <c r="J794" s="666"/>
      <c r="K794" s="665">
        <f t="shared" si="61"/>
        <v>0</v>
      </c>
      <c r="L794" s="666">
        <f t="shared" si="62"/>
        <v>0</v>
      </c>
      <c r="M794" s="672">
        <v>0</v>
      </c>
      <c r="N794" s="668">
        <f t="shared" si="63"/>
        <v>0</v>
      </c>
      <c r="O794" s="676"/>
      <c r="P794" s="676"/>
    </row>
    <row r="795" spans="1:16" s="677" customFormat="1" ht="126" hidden="1" customHeight="1">
      <c r="A795" s="662"/>
      <c r="B795" s="663" t="s">
        <v>1908</v>
      </c>
      <c r="C795" s="739">
        <f>'[8]  Coastal  Elec.Data '!K2965</f>
        <v>1037.46</v>
      </c>
      <c r="D795" s="742" t="s">
        <v>522</v>
      </c>
      <c r="E795" s="1411"/>
      <c r="F795" s="666">
        <f t="shared" si="64"/>
        <v>0</v>
      </c>
      <c r="G795" s="666"/>
      <c r="H795" s="666"/>
      <c r="I795" s="666">
        <f t="shared" si="60"/>
        <v>0</v>
      </c>
      <c r="J795" s="666"/>
      <c r="K795" s="665">
        <f t="shared" si="61"/>
        <v>0</v>
      </c>
      <c r="L795" s="666">
        <f t="shared" si="62"/>
        <v>0</v>
      </c>
      <c r="M795" s="672">
        <v>0</v>
      </c>
      <c r="N795" s="668">
        <f t="shared" si="63"/>
        <v>0</v>
      </c>
      <c r="O795" s="676"/>
      <c r="P795" s="676"/>
    </row>
    <row r="796" spans="1:16" s="677" customFormat="1" ht="59.25" hidden="1" customHeight="1">
      <c r="A796" s="662"/>
      <c r="B796" s="663" t="s">
        <v>1909</v>
      </c>
      <c r="C796" s="739">
        <f>'[8]  Coastal  Elec.Data '!K2988</f>
        <v>133.5</v>
      </c>
      <c r="D796" s="742" t="s">
        <v>522</v>
      </c>
      <c r="E796" s="1411"/>
      <c r="F796" s="666">
        <f t="shared" si="64"/>
        <v>0</v>
      </c>
      <c r="G796" s="666"/>
      <c r="H796" s="666"/>
      <c r="I796" s="666">
        <f t="shared" si="60"/>
        <v>0</v>
      </c>
      <c r="J796" s="666"/>
      <c r="K796" s="665">
        <f t="shared" si="61"/>
        <v>0</v>
      </c>
      <c r="L796" s="666">
        <f t="shared" si="62"/>
        <v>0</v>
      </c>
      <c r="M796" s="672">
        <v>0</v>
      </c>
      <c r="N796" s="668">
        <f t="shared" si="63"/>
        <v>0</v>
      </c>
      <c r="O796" s="676"/>
      <c r="P796" s="676"/>
    </row>
    <row r="797" spans="1:16" s="677" customFormat="1" ht="85.5" hidden="1" customHeight="1">
      <c r="A797" s="662"/>
      <c r="B797" s="663" t="s">
        <v>1910</v>
      </c>
      <c r="C797" s="739">
        <f>[8]Data!R1609</f>
        <v>78609.3</v>
      </c>
      <c r="D797" s="674" t="s">
        <v>58</v>
      </c>
      <c r="E797" s="659"/>
      <c r="F797" s="666">
        <f t="shared" si="64"/>
        <v>0</v>
      </c>
      <c r="G797" s="666"/>
      <c r="H797" s="666"/>
      <c r="I797" s="666">
        <f t="shared" si="60"/>
        <v>0</v>
      </c>
      <c r="J797" s="666"/>
      <c r="K797" s="665">
        <f t="shared" si="61"/>
        <v>0</v>
      </c>
      <c r="L797" s="666">
        <f t="shared" si="62"/>
        <v>0</v>
      </c>
      <c r="M797" s="672">
        <v>0</v>
      </c>
      <c r="N797" s="668">
        <f t="shared" si="63"/>
        <v>0</v>
      </c>
      <c r="O797" s="676"/>
      <c r="P797" s="676"/>
    </row>
    <row r="798" spans="1:16" s="677" customFormat="1" ht="75" hidden="1" customHeight="1">
      <c r="A798" s="662"/>
      <c r="B798" s="663" t="s">
        <v>1911</v>
      </c>
      <c r="C798" s="739">
        <f>[8]Data!R1640</f>
        <v>326.29000000000002</v>
      </c>
      <c r="D798" s="674" t="s">
        <v>61</v>
      </c>
      <c r="E798" s="659"/>
      <c r="F798" s="666">
        <f t="shared" si="64"/>
        <v>0</v>
      </c>
      <c r="G798" s="666"/>
      <c r="H798" s="666"/>
      <c r="I798" s="666">
        <f t="shared" si="60"/>
        <v>0</v>
      </c>
      <c r="J798" s="666"/>
      <c r="K798" s="665">
        <f t="shared" si="61"/>
        <v>0</v>
      </c>
      <c r="L798" s="666">
        <f t="shared" si="62"/>
        <v>0</v>
      </c>
      <c r="M798" s="672">
        <v>0</v>
      </c>
      <c r="N798" s="668">
        <f t="shared" si="63"/>
        <v>0</v>
      </c>
      <c r="O798" s="676"/>
      <c r="P798" s="676"/>
    </row>
    <row r="799" spans="1:16" s="677" customFormat="1" ht="54" hidden="1" customHeight="1">
      <c r="A799" s="662"/>
      <c r="B799" s="685" t="s">
        <v>1912</v>
      </c>
      <c r="C799" s="739">
        <f>[8]Data!K2331</f>
        <v>33.229999999999997</v>
      </c>
      <c r="D799" s="674"/>
      <c r="E799" s="659"/>
      <c r="F799" s="666">
        <f t="shared" si="64"/>
        <v>0</v>
      </c>
      <c r="G799" s="666"/>
      <c r="H799" s="666"/>
      <c r="I799" s="666">
        <f t="shared" si="60"/>
        <v>0</v>
      </c>
      <c r="J799" s="666"/>
      <c r="K799" s="665">
        <f t="shared" si="61"/>
        <v>0</v>
      </c>
      <c r="L799" s="666">
        <f t="shared" si="62"/>
        <v>0</v>
      </c>
      <c r="M799" s="672">
        <v>0</v>
      </c>
      <c r="N799" s="668">
        <f t="shared" si="63"/>
        <v>0</v>
      </c>
      <c r="O799" s="676"/>
      <c r="P799" s="676"/>
    </row>
    <row r="800" spans="1:16" s="677" customFormat="1" ht="54" hidden="1" customHeight="1">
      <c r="A800" s="662"/>
      <c r="B800" s="756" t="s">
        <v>1913</v>
      </c>
      <c r="C800" s="739"/>
      <c r="D800" s="674"/>
      <c r="E800" s="659"/>
      <c r="F800" s="666">
        <f t="shared" si="64"/>
        <v>0</v>
      </c>
      <c r="G800" s="666"/>
      <c r="H800" s="666"/>
      <c r="I800" s="666">
        <f t="shared" si="60"/>
        <v>0</v>
      </c>
      <c r="J800" s="666"/>
      <c r="K800" s="665">
        <f t="shared" si="61"/>
        <v>0</v>
      </c>
      <c r="L800" s="666">
        <f t="shared" si="62"/>
        <v>0</v>
      </c>
      <c r="M800" s="672">
        <v>0</v>
      </c>
      <c r="N800" s="668">
        <f t="shared" si="63"/>
        <v>0</v>
      </c>
      <c r="O800" s="676"/>
      <c r="P800" s="676"/>
    </row>
    <row r="801" spans="1:16" s="677" customFormat="1" ht="45" hidden="1" customHeight="1">
      <c r="A801" s="662"/>
      <c r="B801" s="663" t="s">
        <v>1556</v>
      </c>
      <c r="C801" s="739">
        <f>[8]Data!K1890</f>
        <v>225.97</v>
      </c>
      <c r="D801" s="674" t="s">
        <v>61</v>
      </c>
      <c r="E801" s="659"/>
      <c r="F801" s="666">
        <f t="shared" si="64"/>
        <v>0</v>
      </c>
      <c r="G801" s="666"/>
      <c r="H801" s="666"/>
      <c r="I801" s="666">
        <f t="shared" si="60"/>
        <v>0</v>
      </c>
      <c r="J801" s="666"/>
      <c r="K801" s="665">
        <f t="shared" si="61"/>
        <v>0</v>
      </c>
      <c r="L801" s="666">
        <f t="shared" si="62"/>
        <v>0</v>
      </c>
      <c r="M801" s="672">
        <v>0</v>
      </c>
      <c r="N801" s="668">
        <f t="shared" si="63"/>
        <v>0</v>
      </c>
      <c r="O801" s="676"/>
      <c r="P801" s="676"/>
    </row>
    <row r="802" spans="1:16" s="677" customFormat="1" ht="45" hidden="1" customHeight="1">
      <c r="A802" s="662"/>
      <c r="B802" s="663" t="s">
        <v>1557</v>
      </c>
      <c r="C802" s="739">
        <f>[8]Data!K1882</f>
        <v>208.73</v>
      </c>
      <c r="D802" s="674" t="s">
        <v>61</v>
      </c>
      <c r="E802" s="659"/>
      <c r="F802" s="666">
        <f t="shared" si="64"/>
        <v>0</v>
      </c>
      <c r="G802" s="666"/>
      <c r="H802" s="666"/>
      <c r="I802" s="666">
        <f t="shared" si="60"/>
        <v>0</v>
      </c>
      <c r="J802" s="666"/>
      <c r="K802" s="665">
        <f t="shared" si="61"/>
        <v>0</v>
      </c>
      <c r="L802" s="666">
        <f t="shared" si="62"/>
        <v>0</v>
      </c>
      <c r="M802" s="672">
        <v>0</v>
      </c>
      <c r="N802" s="668">
        <f t="shared" si="63"/>
        <v>0</v>
      </c>
      <c r="O802" s="676"/>
      <c r="P802" s="676"/>
    </row>
    <row r="803" spans="1:16" s="677" customFormat="1" ht="53.25" hidden="1" customHeight="1">
      <c r="A803" s="662"/>
      <c r="B803" s="663" t="s">
        <v>1914</v>
      </c>
      <c r="C803" s="739">
        <f>[8]Data!K2767</f>
        <v>205.94</v>
      </c>
      <c r="D803" s="674" t="s">
        <v>61</v>
      </c>
      <c r="E803" s="659"/>
      <c r="F803" s="666">
        <f t="shared" si="64"/>
        <v>0</v>
      </c>
      <c r="G803" s="666"/>
      <c r="H803" s="666"/>
      <c r="I803" s="666">
        <f t="shared" si="60"/>
        <v>0</v>
      </c>
      <c r="J803" s="666"/>
      <c r="K803" s="665">
        <f t="shared" si="61"/>
        <v>0</v>
      </c>
      <c r="L803" s="666">
        <f t="shared" si="62"/>
        <v>0</v>
      </c>
      <c r="M803" s="672">
        <v>0</v>
      </c>
      <c r="N803" s="668">
        <f t="shared" si="63"/>
        <v>0</v>
      </c>
      <c r="O803" s="676"/>
      <c r="P803" s="676"/>
    </row>
    <row r="804" spans="1:16" s="677" customFormat="1" ht="21" hidden="1" customHeight="1">
      <c r="A804" s="662"/>
      <c r="B804" s="756" t="s">
        <v>184</v>
      </c>
      <c r="C804" s="739">
        <f>[8]Data!K3648</f>
        <v>334.22</v>
      </c>
      <c r="D804" s="742" t="s">
        <v>37</v>
      </c>
      <c r="E804" s="1411"/>
      <c r="F804" s="666">
        <f t="shared" si="64"/>
        <v>0</v>
      </c>
      <c r="G804" s="666"/>
      <c r="H804" s="666"/>
      <c r="I804" s="666">
        <f t="shared" si="60"/>
        <v>0</v>
      </c>
      <c r="J804" s="666"/>
      <c r="K804" s="665">
        <f t="shared" si="61"/>
        <v>0</v>
      </c>
      <c r="L804" s="666">
        <f t="shared" si="62"/>
        <v>0</v>
      </c>
      <c r="M804" s="672">
        <v>0</v>
      </c>
      <c r="N804" s="668">
        <f t="shared" si="63"/>
        <v>0</v>
      </c>
      <c r="O804" s="676"/>
      <c r="P804" s="676"/>
    </row>
    <row r="805" spans="1:16" ht="48.75" customHeight="1">
      <c r="A805" s="662"/>
      <c r="B805" s="738" t="s">
        <v>1915</v>
      </c>
      <c r="C805" s="769">
        <f>[8]Data!AF3115</f>
        <v>467</v>
      </c>
      <c r="D805" s="751" t="s">
        <v>522</v>
      </c>
      <c r="E805" s="1413">
        <f>[8]Detailed!H852</f>
        <v>6</v>
      </c>
      <c r="F805" s="666">
        <f t="shared" si="64"/>
        <v>2802</v>
      </c>
      <c r="G805" s="666"/>
      <c r="H805" s="666"/>
      <c r="I805" s="666">
        <f t="shared" si="60"/>
        <v>0</v>
      </c>
      <c r="J805" s="666"/>
      <c r="K805" s="665">
        <f t="shared" si="61"/>
        <v>6</v>
      </c>
      <c r="L805" s="666">
        <f t="shared" si="62"/>
        <v>2802</v>
      </c>
      <c r="M805" s="672">
        <v>6</v>
      </c>
      <c r="N805" s="668">
        <f t="shared" si="63"/>
        <v>0</v>
      </c>
    </row>
    <row r="806" spans="1:16" ht="48.75" customHeight="1">
      <c r="A806" s="662"/>
      <c r="B806" s="738" t="s">
        <v>1916</v>
      </c>
      <c r="C806" s="769">
        <f>[8]Data!AH3115</f>
        <v>419</v>
      </c>
      <c r="D806" s="751" t="s">
        <v>522</v>
      </c>
      <c r="E806" s="1413">
        <f>[8]Detailed!H858</f>
        <v>8</v>
      </c>
      <c r="F806" s="666">
        <f t="shared" si="64"/>
        <v>3352</v>
      </c>
      <c r="G806" s="666"/>
      <c r="H806" s="666"/>
      <c r="I806" s="666">
        <f t="shared" si="60"/>
        <v>0</v>
      </c>
      <c r="J806" s="666"/>
      <c r="K806" s="665">
        <f t="shared" si="61"/>
        <v>8</v>
      </c>
      <c r="L806" s="666">
        <f t="shared" si="62"/>
        <v>3352</v>
      </c>
      <c r="M806" s="672">
        <v>8</v>
      </c>
      <c r="N806" s="668">
        <f t="shared" si="63"/>
        <v>0</v>
      </c>
    </row>
    <row r="807" spans="1:16" s="677" customFormat="1" ht="25.5" hidden="1" customHeight="1">
      <c r="A807" s="662"/>
      <c r="B807" s="663" t="s">
        <v>1917</v>
      </c>
      <c r="C807" s="739">
        <v>51.4</v>
      </c>
      <c r="D807" s="766" t="s">
        <v>165</v>
      </c>
      <c r="E807" s="1416"/>
      <c r="F807" s="666">
        <f t="shared" si="64"/>
        <v>0</v>
      </c>
      <c r="G807" s="666"/>
      <c r="H807" s="666"/>
      <c r="I807" s="666">
        <f t="shared" si="60"/>
        <v>0</v>
      </c>
      <c r="J807" s="666"/>
      <c r="K807" s="665">
        <f t="shared" si="61"/>
        <v>0</v>
      </c>
      <c r="L807" s="666">
        <f t="shared" si="62"/>
        <v>0</v>
      </c>
      <c r="M807" s="672">
        <v>0</v>
      </c>
      <c r="N807" s="668">
        <f t="shared" si="63"/>
        <v>0</v>
      </c>
      <c r="O807" s="676"/>
      <c r="P807" s="676"/>
    </row>
    <row r="808" spans="1:16" s="677" customFormat="1" ht="46.5" hidden="1" customHeight="1">
      <c r="A808" s="662"/>
      <c r="B808" s="663" t="s">
        <v>1918</v>
      </c>
      <c r="C808" s="739">
        <f>[8]Data!AD1229</f>
        <v>1327.1</v>
      </c>
      <c r="D808" s="742" t="s">
        <v>37</v>
      </c>
      <c r="E808" s="1411"/>
      <c r="F808" s="666">
        <f t="shared" si="64"/>
        <v>0</v>
      </c>
      <c r="G808" s="666"/>
      <c r="H808" s="666"/>
      <c r="I808" s="666">
        <f t="shared" si="60"/>
        <v>0</v>
      </c>
      <c r="J808" s="666"/>
      <c r="K808" s="665">
        <f t="shared" si="61"/>
        <v>0</v>
      </c>
      <c r="L808" s="666">
        <f t="shared" si="62"/>
        <v>0</v>
      </c>
      <c r="M808" s="672">
        <v>0</v>
      </c>
      <c r="N808" s="668">
        <f t="shared" si="63"/>
        <v>0</v>
      </c>
      <c r="O808" s="676"/>
      <c r="P808" s="676"/>
    </row>
    <row r="809" spans="1:16" s="677" customFormat="1" ht="104.25" hidden="1" customHeight="1">
      <c r="A809" s="662"/>
      <c r="B809" s="685" t="s">
        <v>1919</v>
      </c>
      <c r="C809" s="707"/>
      <c r="D809" s="772"/>
      <c r="E809" s="1419"/>
      <c r="F809" s="666">
        <f t="shared" si="64"/>
        <v>0</v>
      </c>
      <c r="G809" s="666"/>
      <c r="H809" s="666"/>
      <c r="I809" s="666">
        <f t="shared" si="60"/>
        <v>0</v>
      </c>
      <c r="J809" s="666"/>
      <c r="K809" s="665">
        <f t="shared" si="61"/>
        <v>0</v>
      </c>
      <c r="L809" s="666">
        <f t="shared" si="62"/>
        <v>0</v>
      </c>
      <c r="M809" s="672">
        <v>0</v>
      </c>
      <c r="N809" s="668">
        <f t="shared" si="63"/>
        <v>0</v>
      </c>
      <c r="P809" s="676"/>
    </row>
    <row r="810" spans="1:16" s="677" customFormat="1" ht="25.5" hidden="1" customHeight="1">
      <c r="A810" s="662"/>
      <c r="B810" s="685" t="s">
        <v>1920</v>
      </c>
      <c r="C810" s="660">
        <f>'[8]pile data ( M20 grade)'!F17</f>
        <v>3015.22</v>
      </c>
      <c r="D810" s="674" t="s">
        <v>61</v>
      </c>
      <c r="E810" s="659"/>
      <c r="F810" s="666">
        <f t="shared" si="64"/>
        <v>0</v>
      </c>
      <c r="G810" s="666"/>
      <c r="H810" s="666"/>
      <c r="I810" s="666">
        <f t="shared" si="60"/>
        <v>0</v>
      </c>
      <c r="J810" s="666"/>
      <c r="K810" s="665">
        <f t="shared" si="61"/>
        <v>0</v>
      </c>
      <c r="L810" s="666">
        <f t="shared" si="62"/>
        <v>0</v>
      </c>
      <c r="M810" s="672">
        <v>0</v>
      </c>
      <c r="N810" s="668">
        <f t="shared" si="63"/>
        <v>0</v>
      </c>
      <c r="O810" s="676"/>
      <c r="P810" s="676"/>
    </row>
    <row r="811" spans="1:16" s="677" customFormat="1" ht="25.5" hidden="1" customHeight="1">
      <c r="A811" s="662"/>
      <c r="B811" s="685" t="s">
        <v>1921</v>
      </c>
      <c r="C811" s="660">
        <f>'[8]pile data ( M20 grade)'!F81</f>
        <v>2674.87</v>
      </c>
      <c r="D811" s="674" t="s">
        <v>61</v>
      </c>
      <c r="E811" s="659"/>
      <c r="F811" s="666">
        <f t="shared" si="64"/>
        <v>0</v>
      </c>
      <c r="G811" s="666"/>
      <c r="H811" s="666"/>
      <c r="I811" s="666">
        <f t="shared" si="60"/>
        <v>0</v>
      </c>
      <c r="J811" s="666"/>
      <c r="K811" s="665">
        <f t="shared" si="61"/>
        <v>0</v>
      </c>
      <c r="L811" s="666">
        <f t="shared" si="62"/>
        <v>0</v>
      </c>
      <c r="M811" s="672">
        <v>0</v>
      </c>
      <c r="N811" s="668">
        <f t="shared" si="63"/>
        <v>0</v>
      </c>
      <c r="O811" s="676"/>
      <c r="P811" s="676"/>
    </row>
    <row r="812" spans="1:16" s="677" customFormat="1" ht="25.5" hidden="1" customHeight="1">
      <c r="A812" s="662"/>
      <c r="B812" s="685" t="s">
        <v>1922</v>
      </c>
      <c r="C812" s="660">
        <f>'[8]pile data ( M20 grade)'!F141</f>
        <v>2369.94</v>
      </c>
      <c r="D812" s="674" t="s">
        <v>61</v>
      </c>
      <c r="E812" s="659"/>
      <c r="F812" s="666">
        <f t="shared" si="64"/>
        <v>0</v>
      </c>
      <c r="G812" s="666"/>
      <c r="H812" s="666"/>
      <c r="I812" s="666">
        <f t="shared" si="60"/>
        <v>0</v>
      </c>
      <c r="J812" s="666"/>
      <c r="K812" s="665">
        <f t="shared" si="61"/>
        <v>0</v>
      </c>
      <c r="L812" s="666">
        <f t="shared" si="62"/>
        <v>0</v>
      </c>
      <c r="M812" s="672">
        <v>0</v>
      </c>
      <c r="N812" s="668">
        <f t="shared" si="63"/>
        <v>0</v>
      </c>
      <c r="O812" s="676"/>
      <c r="P812" s="676"/>
    </row>
    <row r="813" spans="1:16" s="677" customFormat="1" ht="69.75" hidden="1" customHeight="1">
      <c r="A813" s="662"/>
      <c r="B813" s="685" t="s">
        <v>1923</v>
      </c>
      <c r="C813" s="660">
        <f>'[11]pile data'!G83</f>
        <v>0</v>
      </c>
      <c r="D813" s="674"/>
      <c r="E813" s="659"/>
      <c r="F813" s="666">
        <f t="shared" si="64"/>
        <v>0</v>
      </c>
      <c r="G813" s="666"/>
      <c r="H813" s="666"/>
      <c r="I813" s="666">
        <f t="shared" si="60"/>
        <v>0</v>
      </c>
      <c r="J813" s="666"/>
      <c r="K813" s="665">
        <f t="shared" si="61"/>
        <v>0</v>
      </c>
      <c r="L813" s="666">
        <f t="shared" si="62"/>
        <v>0</v>
      </c>
      <c r="M813" s="672">
        <v>0</v>
      </c>
      <c r="N813" s="668">
        <f t="shared" si="63"/>
        <v>0</v>
      </c>
      <c r="O813" s="676"/>
      <c r="P813" s="676"/>
    </row>
    <row r="814" spans="1:16" s="677" customFormat="1" ht="93" hidden="1" customHeight="1">
      <c r="A814" s="662"/>
      <c r="B814" s="685" t="s">
        <v>1924</v>
      </c>
      <c r="C814" s="707"/>
      <c r="D814" s="772"/>
      <c r="E814" s="1419"/>
      <c r="F814" s="666">
        <f t="shared" si="64"/>
        <v>0</v>
      </c>
      <c r="G814" s="666"/>
      <c r="H814" s="666"/>
      <c r="I814" s="666">
        <f t="shared" si="60"/>
        <v>0</v>
      </c>
      <c r="J814" s="666"/>
      <c r="K814" s="665">
        <f t="shared" si="61"/>
        <v>0</v>
      </c>
      <c r="L814" s="666">
        <f t="shared" si="62"/>
        <v>0</v>
      </c>
      <c r="M814" s="672">
        <v>0</v>
      </c>
      <c r="N814" s="668">
        <f t="shared" si="63"/>
        <v>0</v>
      </c>
    </row>
    <row r="815" spans="1:16" s="677" customFormat="1" ht="25.5" hidden="1" customHeight="1">
      <c r="A815" s="662"/>
      <c r="B815" s="685" t="s">
        <v>1920</v>
      </c>
      <c r="C815" s="660">
        <f>'[8]pile data ( M20 grade)'!F28</f>
        <v>876.36</v>
      </c>
      <c r="D815" s="674" t="s">
        <v>61</v>
      </c>
      <c r="E815" s="659"/>
      <c r="F815" s="666">
        <f t="shared" si="64"/>
        <v>0</v>
      </c>
      <c r="G815" s="666"/>
      <c r="H815" s="666"/>
      <c r="I815" s="666">
        <f t="shared" si="60"/>
        <v>0</v>
      </c>
      <c r="J815" s="666"/>
      <c r="K815" s="665">
        <f t="shared" si="61"/>
        <v>0</v>
      </c>
      <c r="L815" s="666">
        <f t="shared" si="62"/>
        <v>0</v>
      </c>
      <c r="M815" s="672">
        <v>0</v>
      </c>
      <c r="N815" s="668">
        <f t="shared" si="63"/>
        <v>0</v>
      </c>
      <c r="O815" s="676"/>
      <c r="P815" s="676"/>
    </row>
    <row r="816" spans="1:16" s="677" customFormat="1" ht="25.5" hidden="1" customHeight="1">
      <c r="A816" s="662"/>
      <c r="B816" s="685" t="s">
        <v>1921</v>
      </c>
      <c r="C816" s="660">
        <f>'[8]pile data ( M20 grade)'!F92</f>
        <v>710.92</v>
      </c>
      <c r="D816" s="674" t="s">
        <v>61</v>
      </c>
      <c r="E816" s="659"/>
      <c r="F816" s="666">
        <f t="shared" si="64"/>
        <v>0</v>
      </c>
      <c r="G816" s="666"/>
      <c r="H816" s="666"/>
      <c r="I816" s="666">
        <f t="shared" si="60"/>
        <v>0</v>
      </c>
      <c r="J816" s="666"/>
      <c r="K816" s="665">
        <f t="shared" si="61"/>
        <v>0</v>
      </c>
      <c r="L816" s="666">
        <f t="shared" si="62"/>
        <v>0</v>
      </c>
      <c r="M816" s="672">
        <v>0</v>
      </c>
      <c r="N816" s="668">
        <f t="shared" si="63"/>
        <v>0</v>
      </c>
      <c r="O816" s="676"/>
      <c r="P816" s="676"/>
    </row>
    <row r="817" spans="1:16" s="677" customFormat="1" ht="25.5" hidden="1" customHeight="1">
      <c r="A817" s="662"/>
      <c r="B817" s="685" t="s">
        <v>1922</v>
      </c>
      <c r="C817" s="660">
        <f>'[8]pile data ( M20 grade)'!F152</f>
        <v>563.37</v>
      </c>
      <c r="D817" s="674" t="s">
        <v>61</v>
      </c>
      <c r="E817" s="659"/>
      <c r="F817" s="666">
        <f t="shared" si="64"/>
        <v>0</v>
      </c>
      <c r="G817" s="666"/>
      <c r="H817" s="666"/>
      <c r="I817" s="666">
        <f t="shared" si="60"/>
        <v>0</v>
      </c>
      <c r="J817" s="666"/>
      <c r="K817" s="665">
        <f t="shared" si="61"/>
        <v>0</v>
      </c>
      <c r="L817" s="666">
        <f t="shared" si="62"/>
        <v>0</v>
      </c>
      <c r="M817" s="672">
        <v>0</v>
      </c>
      <c r="N817" s="668">
        <f t="shared" si="63"/>
        <v>0</v>
      </c>
      <c r="O817" s="676"/>
      <c r="P817" s="676"/>
    </row>
    <row r="818" spans="1:16" s="677" customFormat="1" ht="93" hidden="1" customHeight="1">
      <c r="A818" s="662"/>
      <c r="B818" s="685" t="s">
        <v>1925</v>
      </c>
      <c r="C818" s="660">
        <v>40000</v>
      </c>
      <c r="D818" s="674" t="s">
        <v>54</v>
      </c>
      <c r="E818" s="659"/>
      <c r="F818" s="666">
        <f t="shared" si="64"/>
        <v>0</v>
      </c>
      <c r="G818" s="666"/>
      <c r="H818" s="666"/>
      <c r="I818" s="666">
        <f t="shared" si="60"/>
        <v>0</v>
      </c>
      <c r="J818" s="666"/>
      <c r="K818" s="665">
        <f t="shared" si="61"/>
        <v>0</v>
      </c>
      <c r="L818" s="666">
        <f t="shared" si="62"/>
        <v>0</v>
      </c>
      <c r="M818" s="672">
        <v>0</v>
      </c>
      <c r="N818" s="668">
        <f t="shared" si="63"/>
        <v>0</v>
      </c>
      <c r="O818" s="676"/>
      <c r="P818" s="676"/>
    </row>
    <row r="819" spans="1:16" s="677" customFormat="1" ht="162.75" hidden="1" customHeight="1">
      <c r="A819" s="662"/>
      <c r="B819" s="685" t="s">
        <v>1926</v>
      </c>
      <c r="C819" s="660">
        <v>70000</v>
      </c>
      <c r="D819" s="674" t="s">
        <v>54</v>
      </c>
      <c r="E819" s="659"/>
      <c r="F819" s="666">
        <f t="shared" si="64"/>
        <v>0</v>
      </c>
      <c r="G819" s="666"/>
      <c r="H819" s="666"/>
      <c r="I819" s="666">
        <f t="shared" si="60"/>
        <v>0</v>
      </c>
      <c r="J819" s="666"/>
      <c r="K819" s="665">
        <f t="shared" si="61"/>
        <v>0</v>
      </c>
      <c r="L819" s="666">
        <f t="shared" si="62"/>
        <v>0</v>
      </c>
      <c r="M819" s="672">
        <v>0</v>
      </c>
      <c r="N819" s="668">
        <f t="shared" si="63"/>
        <v>0</v>
      </c>
      <c r="O819" s="676"/>
      <c r="P819" s="676"/>
    </row>
    <row r="820" spans="1:16" s="677" customFormat="1" ht="39.75" hidden="1" customHeight="1">
      <c r="A820" s="662"/>
      <c r="B820" s="663" t="s">
        <v>1927</v>
      </c>
      <c r="C820" s="739">
        <v>713.54</v>
      </c>
      <c r="D820" s="708" t="s">
        <v>37</v>
      </c>
      <c r="E820" s="1420"/>
      <c r="F820" s="666">
        <f t="shared" si="64"/>
        <v>0</v>
      </c>
      <c r="G820" s="666"/>
      <c r="H820" s="666"/>
      <c r="I820" s="666">
        <f t="shared" si="60"/>
        <v>0</v>
      </c>
      <c r="J820" s="666"/>
      <c r="K820" s="665">
        <f t="shared" si="61"/>
        <v>0</v>
      </c>
      <c r="L820" s="666">
        <f t="shared" si="62"/>
        <v>0</v>
      </c>
      <c r="M820" s="672">
        <v>0</v>
      </c>
      <c r="N820" s="668">
        <f t="shared" si="63"/>
        <v>0</v>
      </c>
      <c r="O820" s="676"/>
      <c r="P820" s="676"/>
    </row>
    <row r="821" spans="1:16" s="677" customFormat="1" ht="93" hidden="1" customHeight="1">
      <c r="A821" s="662"/>
      <c r="B821" s="685" t="s">
        <v>1928</v>
      </c>
      <c r="C821" s="773"/>
      <c r="D821" s="708"/>
      <c r="E821" s="1420"/>
      <c r="F821" s="666">
        <f t="shared" si="64"/>
        <v>0</v>
      </c>
      <c r="G821" s="666"/>
      <c r="H821" s="666"/>
      <c r="I821" s="666">
        <f t="shared" si="60"/>
        <v>0</v>
      </c>
      <c r="J821" s="666"/>
      <c r="K821" s="665">
        <f t="shared" si="61"/>
        <v>0</v>
      </c>
      <c r="L821" s="666">
        <f t="shared" si="62"/>
        <v>0</v>
      </c>
      <c r="M821" s="672">
        <v>0</v>
      </c>
      <c r="N821" s="668">
        <f t="shared" si="63"/>
        <v>0</v>
      </c>
      <c r="O821" s="676"/>
      <c r="P821" s="676"/>
    </row>
    <row r="822" spans="1:16" s="677" customFormat="1" ht="25.5" hidden="1" customHeight="1">
      <c r="A822" s="662"/>
      <c r="B822" s="708" t="s">
        <v>168</v>
      </c>
      <c r="C822" s="773">
        <f>[8]Elec.Data!K3815</f>
        <v>830.11</v>
      </c>
      <c r="D822" s="708" t="s">
        <v>522</v>
      </c>
      <c r="E822" s="1420"/>
      <c r="F822" s="666">
        <f t="shared" si="64"/>
        <v>0</v>
      </c>
      <c r="G822" s="666"/>
      <c r="H822" s="666"/>
      <c r="I822" s="666">
        <f t="shared" si="60"/>
        <v>0</v>
      </c>
      <c r="J822" s="666"/>
      <c r="K822" s="665">
        <f t="shared" si="61"/>
        <v>0</v>
      </c>
      <c r="L822" s="666">
        <f t="shared" si="62"/>
        <v>0</v>
      </c>
      <c r="M822" s="672">
        <v>0</v>
      </c>
      <c r="N822" s="668">
        <f t="shared" si="63"/>
        <v>0</v>
      </c>
      <c r="O822" s="676"/>
      <c r="P822" s="676"/>
    </row>
    <row r="823" spans="1:16" s="677" customFormat="1" ht="25.5" hidden="1" customHeight="1">
      <c r="A823" s="662"/>
      <c r="B823" s="708" t="s">
        <v>170</v>
      </c>
      <c r="C823" s="773">
        <f>[8]Elec.Data!K3841</f>
        <v>833.16</v>
      </c>
      <c r="D823" s="708" t="s">
        <v>522</v>
      </c>
      <c r="E823" s="1420"/>
      <c r="F823" s="666">
        <f t="shared" si="64"/>
        <v>0</v>
      </c>
      <c r="G823" s="666"/>
      <c r="H823" s="666"/>
      <c r="I823" s="666">
        <f t="shared" si="60"/>
        <v>0</v>
      </c>
      <c r="J823" s="666"/>
      <c r="K823" s="665">
        <f t="shared" si="61"/>
        <v>0</v>
      </c>
      <c r="L823" s="666">
        <f t="shared" si="62"/>
        <v>0</v>
      </c>
      <c r="M823" s="672">
        <v>0</v>
      </c>
      <c r="N823" s="668">
        <f t="shared" si="63"/>
        <v>0</v>
      </c>
      <c r="O823" s="676"/>
      <c r="P823" s="676"/>
    </row>
    <row r="824" spans="1:16" s="677" customFormat="1" ht="87" hidden="1" customHeight="1">
      <c r="A824" s="662"/>
      <c r="B824" s="708" t="s">
        <v>1929</v>
      </c>
      <c r="C824" s="773">
        <f>[8]Elec.Data!K3918</f>
        <v>638.45000000000005</v>
      </c>
      <c r="D824" s="708" t="s">
        <v>522</v>
      </c>
      <c r="E824" s="1420"/>
      <c r="F824" s="666">
        <f t="shared" si="64"/>
        <v>0</v>
      </c>
      <c r="G824" s="666"/>
      <c r="H824" s="666"/>
      <c r="I824" s="666">
        <f t="shared" si="60"/>
        <v>0</v>
      </c>
      <c r="J824" s="666"/>
      <c r="K824" s="665">
        <f t="shared" si="61"/>
        <v>0</v>
      </c>
      <c r="L824" s="666">
        <f t="shared" si="62"/>
        <v>0</v>
      </c>
      <c r="M824" s="672">
        <v>0</v>
      </c>
      <c r="N824" s="668">
        <f t="shared" si="63"/>
        <v>0</v>
      </c>
      <c r="O824" s="676"/>
      <c r="P824" s="676"/>
    </row>
    <row r="825" spans="1:16" s="677" customFormat="1" ht="87" hidden="1" customHeight="1">
      <c r="A825" s="662"/>
      <c r="B825" s="708" t="s">
        <v>1930</v>
      </c>
      <c r="C825" s="773">
        <f>[8]Elec.Data!K2977</f>
        <v>764.91</v>
      </c>
      <c r="D825" s="708" t="s">
        <v>522</v>
      </c>
      <c r="E825" s="1420"/>
      <c r="F825" s="666">
        <f t="shared" si="64"/>
        <v>0</v>
      </c>
      <c r="G825" s="666"/>
      <c r="H825" s="666"/>
      <c r="I825" s="666">
        <f t="shared" si="60"/>
        <v>0</v>
      </c>
      <c r="J825" s="666"/>
      <c r="K825" s="665">
        <f t="shared" si="61"/>
        <v>0</v>
      </c>
      <c r="L825" s="666">
        <f t="shared" si="62"/>
        <v>0</v>
      </c>
      <c r="M825" s="672">
        <v>0</v>
      </c>
      <c r="N825" s="668">
        <f t="shared" si="63"/>
        <v>0</v>
      </c>
      <c r="O825" s="676"/>
      <c r="P825" s="676"/>
    </row>
    <row r="826" spans="1:16" s="677" customFormat="1" ht="65.25" hidden="1" customHeight="1">
      <c r="A826" s="662"/>
      <c r="B826" s="774" t="s">
        <v>1931</v>
      </c>
      <c r="C826" s="775">
        <f>[8]Elec.Data!K3879</f>
        <v>917.46</v>
      </c>
      <c r="D826" s="776" t="s">
        <v>1790</v>
      </c>
      <c r="E826" s="1421"/>
      <c r="F826" s="666">
        <f t="shared" si="64"/>
        <v>0</v>
      </c>
      <c r="G826" s="666"/>
      <c r="H826" s="666"/>
      <c r="I826" s="666">
        <f t="shared" si="60"/>
        <v>0</v>
      </c>
      <c r="J826" s="666"/>
      <c r="K826" s="665">
        <f t="shared" si="61"/>
        <v>0</v>
      </c>
      <c r="L826" s="666">
        <f t="shared" si="62"/>
        <v>0</v>
      </c>
      <c r="M826" s="672">
        <v>0</v>
      </c>
      <c r="N826" s="668">
        <f t="shared" si="63"/>
        <v>0</v>
      </c>
      <c r="O826" s="676"/>
      <c r="P826" s="676"/>
    </row>
    <row r="827" spans="1:16" s="677" customFormat="1" ht="43.5" hidden="1" customHeight="1">
      <c r="A827" s="662"/>
      <c r="B827" s="708" t="s">
        <v>1932</v>
      </c>
      <c r="C827" s="775">
        <f>[8]Data!R2654</f>
        <v>6199.77</v>
      </c>
      <c r="D827" s="776" t="s">
        <v>37</v>
      </c>
      <c r="E827" s="1421"/>
      <c r="F827" s="666">
        <f t="shared" si="64"/>
        <v>0</v>
      </c>
      <c r="G827" s="666"/>
      <c r="H827" s="666"/>
      <c r="I827" s="666">
        <f t="shared" si="60"/>
        <v>0</v>
      </c>
      <c r="J827" s="666"/>
      <c r="K827" s="665">
        <f t="shared" si="61"/>
        <v>0</v>
      </c>
      <c r="L827" s="666">
        <f t="shared" si="62"/>
        <v>0</v>
      </c>
      <c r="M827" s="672">
        <v>0</v>
      </c>
      <c r="N827" s="668">
        <f t="shared" si="63"/>
        <v>0</v>
      </c>
      <c r="O827" s="676"/>
      <c r="P827" s="676"/>
    </row>
    <row r="828" spans="1:16" s="677" customFormat="1" ht="26.25" hidden="1" customHeight="1">
      <c r="A828" s="662"/>
      <c r="B828" s="663" t="s">
        <v>1933</v>
      </c>
      <c r="C828" s="775">
        <f>[8]Data!K3738</f>
        <v>82.53</v>
      </c>
      <c r="D828" s="674" t="s">
        <v>37</v>
      </c>
      <c r="E828" s="659"/>
      <c r="F828" s="666">
        <f t="shared" si="64"/>
        <v>0</v>
      </c>
      <c r="G828" s="666"/>
      <c r="H828" s="666"/>
      <c r="I828" s="666">
        <f t="shared" si="60"/>
        <v>0</v>
      </c>
      <c r="J828" s="666"/>
      <c r="K828" s="665">
        <f t="shared" si="61"/>
        <v>0</v>
      </c>
      <c r="L828" s="666">
        <f t="shared" si="62"/>
        <v>0</v>
      </c>
      <c r="M828" s="672">
        <v>0</v>
      </c>
      <c r="N828" s="668">
        <f t="shared" si="63"/>
        <v>0</v>
      </c>
      <c r="O828" s="676"/>
      <c r="P828" s="676"/>
    </row>
    <row r="829" spans="1:16" s="677" customFormat="1" ht="54" hidden="1" customHeight="1">
      <c r="A829" s="662"/>
      <c r="B829" s="777" t="s">
        <v>1934</v>
      </c>
      <c r="C829" s="775">
        <f>[8]Data!K3792</f>
        <v>3709.53</v>
      </c>
      <c r="D829" s="778" t="s">
        <v>37</v>
      </c>
      <c r="E829" s="1422"/>
      <c r="F829" s="666">
        <f t="shared" si="64"/>
        <v>0</v>
      </c>
      <c r="G829" s="666"/>
      <c r="H829" s="666"/>
      <c r="I829" s="666">
        <f t="shared" si="60"/>
        <v>0</v>
      </c>
      <c r="J829" s="666"/>
      <c r="K829" s="665">
        <f t="shared" si="61"/>
        <v>0</v>
      </c>
      <c r="L829" s="666">
        <f t="shared" si="62"/>
        <v>0</v>
      </c>
      <c r="M829" s="672">
        <v>0</v>
      </c>
      <c r="N829" s="668">
        <f t="shared" si="63"/>
        <v>0</v>
      </c>
      <c r="O829" s="676"/>
      <c r="P829" s="676"/>
    </row>
    <row r="830" spans="1:16" s="677" customFormat="1" ht="72" hidden="1" customHeight="1">
      <c r="A830" s="662"/>
      <c r="B830" s="777" t="s">
        <v>1935</v>
      </c>
      <c r="C830" s="775">
        <f>[8]Data!X3668</f>
        <v>5543.77</v>
      </c>
      <c r="D830" s="778" t="s">
        <v>37</v>
      </c>
      <c r="E830" s="1422"/>
      <c r="F830" s="666">
        <f t="shared" si="64"/>
        <v>0</v>
      </c>
      <c r="G830" s="666"/>
      <c r="H830" s="666"/>
      <c r="I830" s="666">
        <f t="shared" si="60"/>
        <v>0</v>
      </c>
      <c r="J830" s="666"/>
      <c r="K830" s="665">
        <f t="shared" si="61"/>
        <v>0</v>
      </c>
      <c r="L830" s="666">
        <f t="shared" si="62"/>
        <v>0</v>
      </c>
      <c r="M830" s="672">
        <v>0</v>
      </c>
      <c r="N830" s="668">
        <f t="shared" si="63"/>
        <v>0</v>
      </c>
      <c r="O830" s="676"/>
      <c r="P830" s="676"/>
    </row>
    <row r="831" spans="1:16" s="677" customFormat="1" ht="69" hidden="1" customHeight="1">
      <c r="A831" s="662"/>
      <c r="B831" s="777" t="s">
        <v>1936</v>
      </c>
      <c r="C831" s="775">
        <f>[8]Data!X3696</f>
        <v>7170.69</v>
      </c>
      <c r="D831" s="778" t="s">
        <v>37</v>
      </c>
      <c r="E831" s="1422"/>
      <c r="F831" s="666">
        <f t="shared" si="64"/>
        <v>0</v>
      </c>
      <c r="G831" s="666"/>
      <c r="H831" s="666"/>
      <c r="I831" s="666">
        <f t="shared" si="60"/>
        <v>0</v>
      </c>
      <c r="J831" s="666"/>
      <c r="K831" s="665">
        <f t="shared" si="61"/>
        <v>0</v>
      </c>
      <c r="L831" s="666">
        <f t="shared" si="62"/>
        <v>0</v>
      </c>
      <c r="M831" s="672">
        <v>0</v>
      </c>
      <c r="N831" s="668">
        <f t="shared" si="63"/>
        <v>0</v>
      </c>
      <c r="O831" s="676"/>
      <c r="P831" s="676"/>
    </row>
    <row r="832" spans="1:16" s="677" customFormat="1" ht="66" hidden="1" customHeight="1">
      <c r="A832" s="662"/>
      <c r="B832" s="777" t="s">
        <v>1937</v>
      </c>
      <c r="C832" s="775">
        <f>[8]Data!K3837</f>
        <v>1273.72</v>
      </c>
      <c r="D832" s="776" t="s">
        <v>37</v>
      </c>
      <c r="E832" s="1421"/>
      <c r="F832" s="666">
        <f t="shared" si="64"/>
        <v>0</v>
      </c>
      <c r="G832" s="666"/>
      <c r="H832" s="666"/>
      <c r="I832" s="666">
        <f t="shared" si="60"/>
        <v>0</v>
      </c>
      <c r="J832" s="666"/>
      <c r="K832" s="665">
        <f t="shared" si="61"/>
        <v>0</v>
      </c>
      <c r="L832" s="666">
        <f t="shared" si="62"/>
        <v>0</v>
      </c>
      <c r="M832" s="672">
        <v>0</v>
      </c>
      <c r="N832" s="668">
        <f t="shared" si="63"/>
        <v>0</v>
      </c>
      <c r="O832" s="676"/>
      <c r="P832" s="676"/>
    </row>
    <row r="833" spans="1:16" s="677" customFormat="1" ht="76.5" hidden="1" customHeight="1">
      <c r="A833" s="662"/>
      <c r="B833" s="743" t="s">
        <v>1938</v>
      </c>
      <c r="C833" s="775">
        <f>[8]Data!K3814</f>
        <v>1539.17</v>
      </c>
      <c r="D833" s="776" t="s">
        <v>37</v>
      </c>
      <c r="E833" s="1421"/>
      <c r="F833" s="666">
        <f t="shared" si="64"/>
        <v>0</v>
      </c>
      <c r="G833" s="666"/>
      <c r="H833" s="666"/>
      <c r="I833" s="666">
        <f t="shared" si="60"/>
        <v>0</v>
      </c>
      <c r="J833" s="666"/>
      <c r="K833" s="665">
        <f t="shared" si="61"/>
        <v>0</v>
      </c>
      <c r="L833" s="666">
        <f t="shared" si="62"/>
        <v>0</v>
      </c>
      <c r="M833" s="672">
        <v>0</v>
      </c>
      <c r="N833" s="668">
        <f t="shared" si="63"/>
        <v>0</v>
      </c>
      <c r="O833" s="676"/>
      <c r="P833" s="676"/>
    </row>
    <row r="834" spans="1:16" s="677" customFormat="1" ht="129" hidden="1" customHeight="1">
      <c r="A834" s="662"/>
      <c r="B834" s="663" t="s">
        <v>1939</v>
      </c>
      <c r="C834" s="771">
        <v>1692</v>
      </c>
      <c r="D834" s="779" t="s">
        <v>522</v>
      </c>
      <c r="E834" s="1423"/>
      <c r="F834" s="666">
        <f t="shared" si="64"/>
        <v>0</v>
      </c>
      <c r="G834" s="666"/>
      <c r="H834" s="666"/>
      <c r="I834" s="666">
        <f t="shared" si="60"/>
        <v>0</v>
      </c>
      <c r="J834" s="666"/>
      <c r="K834" s="665">
        <f t="shared" si="61"/>
        <v>0</v>
      </c>
      <c r="L834" s="666">
        <f t="shared" si="62"/>
        <v>0</v>
      </c>
      <c r="M834" s="672">
        <v>0</v>
      </c>
      <c r="N834" s="668">
        <f t="shared" si="63"/>
        <v>0</v>
      </c>
      <c r="O834" s="676"/>
      <c r="P834" s="676"/>
    </row>
    <row r="835" spans="1:16" s="677" customFormat="1" ht="94.5" hidden="1" customHeight="1">
      <c r="A835" s="662"/>
      <c r="B835" s="780" t="s">
        <v>1940</v>
      </c>
      <c r="C835" s="781">
        <f>[8]Elec.Data!K4087</f>
        <v>34310</v>
      </c>
      <c r="D835" s="780" t="s">
        <v>522</v>
      </c>
      <c r="E835" s="1077"/>
      <c r="F835" s="666">
        <f t="shared" si="64"/>
        <v>0</v>
      </c>
      <c r="G835" s="666"/>
      <c r="H835" s="666"/>
      <c r="I835" s="666">
        <f t="shared" si="60"/>
        <v>0</v>
      </c>
      <c r="J835" s="666"/>
      <c r="K835" s="665">
        <f t="shared" si="61"/>
        <v>0</v>
      </c>
      <c r="L835" s="666">
        <f t="shared" si="62"/>
        <v>0</v>
      </c>
      <c r="M835" s="672">
        <v>0</v>
      </c>
      <c r="N835" s="668">
        <f t="shared" si="63"/>
        <v>0</v>
      </c>
      <c r="O835" s="676"/>
      <c r="P835" s="676"/>
    </row>
    <row r="836" spans="1:16" s="677" customFormat="1" ht="89.25" hidden="1" customHeight="1">
      <c r="A836" s="662"/>
      <c r="B836" s="674" t="s">
        <v>1941</v>
      </c>
      <c r="C836" s="781">
        <v>8100</v>
      </c>
      <c r="D836" s="780" t="s">
        <v>522</v>
      </c>
      <c r="E836" s="1077"/>
      <c r="F836" s="666">
        <f t="shared" si="64"/>
        <v>0</v>
      </c>
      <c r="G836" s="666"/>
      <c r="H836" s="666"/>
      <c r="I836" s="666">
        <f t="shared" si="60"/>
        <v>0</v>
      </c>
      <c r="J836" s="666"/>
      <c r="K836" s="665">
        <f t="shared" si="61"/>
        <v>0</v>
      </c>
      <c r="L836" s="666">
        <f t="shared" si="62"/>
        <v>0</v>
      </c>
      <c r="M836" s="672">
        <v>0</v>
      </c>
      <c r="N836" s="668">
        <f t="shared" si="63"/>
        <v>0</v>
      </c>
      <c r="O836" s="676"/>
      <c r="P836" s="676"/>
    </row>
    <row r="837" spans="1:16" ht="117.75" hidden="1" customHeight="1">
      <c r="A837" s="673"/>
      <c r="B837" s="674" t="s">
        <v>1942</v>
      </c>
      <c r="C837" s="660">
        <v>829</v>
      </c>
      <c r="D837" s="742" t="s">
        <v>522</v>
      </c>
      <c r="E837" s="1411"/>
      <c r="F837" s="666">
        <f t="shared" si="64"/>
        <v>0</v>
      </c>
      <c r="G837" s="666"/>
      <c r="H837" s="666"/>
      <c r="I837" s="666">
        <f t="shared" si="60"/>
        <v>0</v>
      </c>
      <c r="J837" s="666"/>
      <c r="K837" s="665">
        <f t="shared" si="61"/>
        <v>0</v>
      </c>
      <c r="L837" s="666">
        <f t="shared" si="62"/>
        <v>0</v>
      </c>
      <c r="M837" s="672">
        <v>0</v>
      </c>
      <c r="N837" s="668">
        <f t="shared" si="63"/>
        <v>0</v>
      </c>
    </row>
    <row r="838" spans="1:16" s="677" customFormat="1" ht="45" hidden="1" customHeight="1">
      <c r="A838" s="662"/>
      <c r="B838" s="782" t="s">
        <v>1943</v>
      </c>
      <c r="C838" s="783">
        <f>[8]Elec.Data!R3646</f>
        <v>8624.34</v>
      </c>
      <c r="D838" s="780" t="s">
        <v>522</v>
      </c>
      <c r="E838" s="1077"/>
      <c r="F838" s="666">
        <f t="shared" si="64"/>
        <v>0</v>
      </c>
      <c r="G838" s="666"/>
      <c r="H838" s="666"/>
      <c r="I838" s="666">
        <f t="shared" si="60"/>
        <v>0</v>
      </c>
      <c r="J838" s="666"/>
      <c r="K838" s="665">
        <f t="shared" si="61"/>
        <v>0</v>
      </c>
      <c r="L838" s="666">
        <f t="shared" si="62"/>
        <v>0</v>
      </c>
      <c r="M838" s="672">
        <v>0</v>
      </c>
      <c r="N838" s="668">
        <f t="shared" si="63"/>
        <v>0</v>
      </c>
      <c r="O838" s="676"/>
      <c r="P838" s="676"/>
    </row>
    <row r="839" spans="1:16" s="677" customFormat="1" ht="111" hidden="1" customHeight="1">
      <c r="A839" s="673">
        <v>21.6</v>
      </c>
      <c r="B839" s="695" t="s">
        <v>1944</v>
      </c>
      <c r="C839" s="675"/>
      <c r="D839" s="674"/>
      <c r="E839" s="659"/>
      <c r="F839" s="666">
        <f t="shared" si="64"/>
        <v>0</v>
      </c>
      <c r="G839" s="666"/>
      <c r="H839" s="666"/>
      <c r="I839" s="666">
        <f t="shared" ref="I839:I869" si="65">G839</f>
        <v>0</v>
      </c>
      <c r="J839" s="666"/>
      <c r="K839" s="665">
        <f t="shared" ref="K839:K853" si="66">E839</f>
        <v>0</v>
      </c>
      <c r="L839" s="666">
        <f t="shared" ref="L839:L869" si="67">C839*K839</f>
        <v>0</v>
      </c>
      <c r="M839" s="672">
        <v>0</v>
      </c>
      <c r="N839" s="668">
        <f t="shared" ref="N839:N880" si="68">K839-M839</f>
        <v>0</v>
      </c>
      <c r="O839" s="676"/>
      <c r="P839" s="676"/>
    </row>
    <row r="840" spans="1:16" s="677" customFormat="1" ht="45" hidden="1" customHeight="1">
      <c r="A840" s="784"/>
      <c r="B840" s="674" t="s">
        <v>1473</v>
      </c>
      <c r="C840" s="675">
        <f>[8]Data!K3950</f>
        <v>2474.94</v>
      </c>
      <c r="D840" s="674" t="s">
        <v>522</v>
      </c>
      <c r="E840" s="659"/>
      <c r="F840" s="666">
        <f t="shared" ref="F840:F853" si="69">E840*C840</f>
        <v>0</v>
      </c>
      <c r="G840" s="666"/>
      <c r="H840" s="666"/>
      <c r="I840" s="666">
        <f t="shared" si="65"/>
        <v>0</v>
      </c>
      <c r="J840" s="666"/>
      <c r="K840" s="665">
        <f t="shared" si="66"/>
        <v>0</v>
      </c>
      <c r="L840" s="666">
        <f t="shared" si="67"/>
        <v>0</v>
      </c>
      <c r="M840" s="672">
        <v>0</v>
      </c>
      <c r="N840" s="668">
        <f t="shared" si="68"/>
        <v>0</v>
      </c>
      <c r="O840" s="676"/>
      <c r="P840" s="676"/>
    </row>
    <row r="841" spans="1:16" s="677" customFormat="1" ht="45" hidden="1" customHeight="1">
      <c r="A841" s="700"/>
      <c r="B841" s="663" t="s">
        <v>1678</v>
      </c>
      <c r="C841" s="675">
        <f>[8]Data!K3983</f>
        <v>2991.57</v>
      </c>
      <c r="D841" s="674" t="s">
        <v>522</v>
      </c>
      <c r="E841" s="659"/>
      <c r="F841" s="666">
        <f t="shared" si="69"/>
        <v>0</v>
      </c>
      <c r="G841" s="666"/>
      <c r="H841" s="666"/>
      <c r="I841" s="666">
        <f t="shared" si="65"/>
        <v>0</v>
      </c>
      <c r="J841" s="666"/>
      <c r="K841" s="665">
        <f t="shared" si="66"/>
        <v>0</v>
      </c>
      <c r="L841" s="666">
        <f t="shared" si="67"/>
        <v>0</v>
      </c>
      <c r="M841" s="672">
        <v>0</v>
      </c>
      <c r="N841" s="668">
        <f t="shared" si="68"/>
        <v>0</v>
      </c>
      <c r="O841" s="676"/>
      <c r="P841" s="676"/>
    </row>
    <row r="842" spans="1:16" s="677" customFormat="1" ht="45" hidden="1" customHeight="1">
      <c r="A842" s="700"/>
      <c r="B842" s="663" t="s">
        <v>1679</v>
      </c>
      <c r="C842" s="675">
        <f>[8]Data!K3966</f>
        <v>2439.86</v>
      </c>
      <c r="D842" s="674"/>
      <c r="E842" s="659"/>
      <c r="F842" s="666">
        <f t="shared" si="69"/>
        <v>0</v>
      </c>
      <c r="G842" s="666"/>
      <c r="H842" s="666"/>
      <c r="I842" s="666">
        <f t="shared" si="65"/>
        <v>0</v>
      </c>
      <c r="J842" s="666"/>
      <c r="K842" s="665">
        <f t="shared" si="66"/>
        <v>0</v>
      </c>
      <c r="L842" s="666">
        <f t="shared" si="67"/>
        <v>0</v>
      </c>
      <c r="M842" s="672">
        <v>0</v>
      </c>
      <c r="N842" s="668">
        <f t="shared" si="68"/>
        <v>0</v>
      </c>
      <c r="O842" s="676"/>
      <c r="P842" s="676"/>
    </row>
    <row r="843" spans="1:16" s="677" customFormat="1" ht="54.75" hidden="1" customHeight="1">
      <c r="A843" s="700"/>
      <c r="B843" s="663" t="s">
        <v>1475</v>
      </c>
      <c r="C843" s="675">
        <f>[8]Data!K3932</f>
        <v>2495.94</v>
      </c>
      <c r="D843" s="674" t="s">
        <v>522</v>
      </c>
      <c r="E843" s="659"/>
      <c r="F843" s="666">
        <f t="shared" si="69"/>
        <v>0</v>
      </c>
      <c r="G843" s="666"/>
      <c r="H843" s="666"/>
      <c r="I843" s="666">
        <f t="shared" si="65"/>
        <v>0</v>
      </c>
      <c r="J843" s="666"/>
      <c r="K843" s="665">
        <f t="shared" si="66"/>
        <v>0</v>
      </c>
      <c r="L843" s="666">
        <f t="shared" si="67"/>
        <v>0</v>
      </c>
      <c r="M843" s="672">
        <v>0</v>
      </c>
      <c r="N843" s="668">
        <f t="shared" si="68"/>
        <v>0</v>
      </c>
      <c r="O843" s="676"/>
      <c r="P843" s="676"/>
    </row>
    <row r="844" spans="1:16" s="677" customFormat="1" ht="54.75" customHeight="1">
      <c r="A844" s="700"/>
      <c r="B844" s="663" t="s">
        <v>1945</v>
      </c>
      <c r="C844" s="666">
        <v>134</v>
      </c>
      <c r="D844" s="674" t="s">
        <v>522</v>
      </c>
      <c r="E844" s="659">
        <f>[8]Detailed!H1667</f>
        <v>6</v>
      </c>
      <c r="F844" s="666">
        <f t="shared" si="69"/>
        <v>804</v>
      </c>
      <c r="G844" s="666"/>
      <c r="H844" s="666"/>
      <c r="I844" s="666">
        <f t="shared" si="65"/>
        <v>0</v>
      </c>
      <c r="J844" s="666"/>
      <c r="K844" s="665">
        <f t="shared" si="66"/>
        <v>6</v>
      </c>
      <c r="L844" s="666">
        <f t="shared" si="67"/>
        <v>804</v>
      </c>
      <c r="M844" s="672">
        <v>6</v>
      </c>
      <c r="N844" s="668">
        <f t="shared" si="68"/>
        <v>0</v>
      </c>
      <c r="O844" s="676"/>
      <c r="P844" s="676"/>
    </row>
    <row r="845" spans="1:16" s="677" customFormat="1" ht="54.75" customHeight="1">
      <c r="A845" s="700"/>
      <c r="B845" s="663" t="s">
        <v>1946</v>
      </c>
      <c r="C845" s="666">
        <v>170</v>
      </c>
      <c r="D845" s="674" t="s">
        <v>522</v>
      </c>
      <c r="E845" s="659">
        <f>[8]Detailed!G1718</f>
        <v>37</v>
      </c>
      <c r="F845" s="666">
        <f t="shared" si="69"/>
        <v>6290</v>
      </c>
      <c r="G845" s="666"/>
      <c r="H845" s="666"/>
      <c r="I845" s="666">
        <f t="shared" si="65"/>
        <v>0</v>
      </c>
      <c r="J845" s="666"/>
      <c r="K845" s="665">
        <f t="shared" si="66"/>
        <v>37</v>
      </c>
      <c r="L845" s="666">
        <f t="shared" si="67"/>
        <v>6290</v>
      </c>
      <c r="M845" s="672">
        <v>37</v>
      </c>
      <c r="N845" s="668">
        <f t="shared" si="68"/>
        <v>0</v>
      </c>
      <c r="O845" s="676"/>
      <c r="P845" s="676"/>
    </row>
    <row r="846" spans="1:16" s="677" customFormat="1" ht="54.75" customHeight="1">
      <c r="A846" s="700"/>
      <c r="B846" s="663" t="s">
        <v>1947</v>
      </c>
      <c r="C846" s="666">
        <f>[8]Elec.Data!K3787</f>
        <v>663.89</v>
      </c>
      <c r="D846" s="674" t="s">
        <v>522</v>
      </c>
      <c r="E846" s="659">
        <f>[8]Detailed!G1688</f>
        <v>25</v>
      </c>
      <c r="F846" s="666">
        <f t="shared" si="69"/>
        <v>16597.25</v>
      </c>
      <c r="G846" s="666"/>
      <c r="H846" s="666"/>
      <c r="I846" s="666">
        <f t="shared" si="65"/>
        <v>0</v>
      </c>
      <c r="J846" s="666"/>
      <c r="K846" s="665">
        <f t="shared" si="66"/>
        <v>25</v>
      </c>
      <c r="L846" s="666">
        <f t="shared" si="67"/>
        <v>16597.25</v>
      </c>
      <c r="M846" s="672">
        <v>25</v>
      </c>
      <c r="N846" s="668">
        <f t="shared" si="68"/>
        <v>0</v>
      </c>
      <c r="O846" s="676"/>
      <c r="P846" s="676"/>
    </row>
    <row r="847" spans="1:16" s="677" customFormat="1" ht="54.75" customHeight="1">
      <c r="A847" s="700"/>
      <c r="B847" s="663" t="s">
        <v>1948</v>
      </c>
      <c r="C847" s="666">
        <v>431</v>
      </c>
      <c r="D847" s="674" t="s">
        <v>522</v>
      </c>
      <c r="E847" s="659">
        <f>[8]Detailed!G1698</f>
        <v>7</v>
      </c>
      <c r="F847" s="666">
        <f t="shared" si="69"/>
        <v>3017</v>
      </c>
      <c r="G847" s="666"/>
      <c r="H847" s="666"/>
      <c r="I847" s="666">
        <f t="shared" si="65"/>
        <v>0</v>
      </c>
      <c r="J847" s="666"/>
      <c r="K847" s="665">
        <f t="shared" si="66"/>
        <v>7</v>
      </c>
      <c r="L847" s="666">
        <f t="shared" si="67"/>
        <v>3017</v>
      </c>
      <c r="M847" s="672">
        <v>7</v>
      </c>
      <c r="N847" s="668">
        <f t="shared" si="68"/>
        <v>0</v>
      </c>
      <c r="O847" s="676"/>
      <c r="P847" s="676"/>
    </row>
    <row r="848" spans="1:16" s="677" customFormat="1" ht="54.75" customHeight="1">
      <c r="A848" s="700"/>
      <c r="B848" s="663" t="str">
        <f>[8]Detailed!B1724</f>
        <v>HDPE water tank lit capacity with ISI mark</v>
      </c>
      <c r="C848" s="666">
        <v>9.6</v>
      </c>
      <c r="D848" s="674" t="s">
        <v>2750</v>
      </c>
      <c r="E848" s="659">
        <f>[8]Detailed!H1726</f>
        <v>2000</v>
      </c>
      <c r="F848" s="666">
        <f t="shared" si="69"/>
        <v>19200</v>
      </c>
      <c r="G848" s="666"/>
      <c r="H848" s="666"/>
      <c r="I848" s="666">
        <f t="shared" si="65"/>
        <v>0</v>
      </c>
      <c r="J848" s="666"/>
      <c r="K848" s="665">
        <f t="shared" si="66"/>
        <v>2000</v>
      </c>
      <c r="L848" s="666">
        <f t="shared" si="67"/>
        <v>19200</v>
      </c>
      <c r="M848" s="672">
        <v>2000</v>
      </c>
      <c r="N848" s="668">
        <f t="shared" si="68"/>
        <v>0</v>
      </c>
      <c r="O848" s="676"/>
      <c r="P848" s="676"/>
    </row>
    <row r="849" spans="1:16" s="677" customFormat="1" ht="54.75" customHeight="1">
      <c r="A849" s="700"/>
      <c r="B849" s="663" t="s">
        <v>1949</v>
      </c>
      <c r="C849" s="666">
        <f>1182+[8]Elec.Data!K3619</f>
        <v>3274</v>
      </c>
      <c r="D849" s="674" t="s">
        <v>522</v>
      </c>
      <c r="E849" s="659">
        <f>[8]Detailed!H924</f>
        <v>4</v>
      </c>
      <c r="F849" s="666">
        <f t="shared" si="69"/>
        <v>13096</v>
      </c>
      <c r="G849" s="666"/>
      <c r="H849" s="666"/>
      <c r="I849" s="666">
        <f t="shared" si="65"/>
        <v>0</v>
      </c>
      <c r="J849" s="666"/>
      <c r="K849" s="665">
        <f t="shared" si="66"/>
        <v>4</v>
      </c>
      <c r="L849" s="666">
        <f t="shared" si="67"/>
        <v>13096</v>
      </c>
      <c r="M849" s="672">
        <v>4</v>
      </c>
      <c r="N849" s="668">
        <f t="shared" si="68"/>
        <v>0</v>
      </c>
      <c r="O849" s="676"/>
      <c r="P849" s="676"/>
    </row>
    <row r="850" spans="1:16" s="677" customFormat="1" ht="60.75" hidden="1" customHeight="1">
      <c r="A850" s="700"/>
      <c r="B850" s="663" t="s">
        <v>1950</v>
      </c>
      <c r="C850" s="666">
        <v>5500</v>
      </c>
      <c r="D850" s="674" t="s">
        <v>522</v>
      </c>
      <c r="E850" s="659"/>
      <c r="F850" s="666">
        <f t="shared" si="69"/>
        <v>0</v>
      </c>
      <c r="G850" s="666"/>
      <c r="H850" s="666"/>
      <c r="I850" s="666">
        <f t="shared" si="65"/>
        <v>0</v>
      </c>
      <c r="J850" s="666"/>
      <c r="K850" s="665">
        <f t="shared" si="66"/>
        <v>0</v>
      </c>
      <c r="L850" s="666">
        <f t="shared" si="67"/>
        <v>0</v>
      </c>
      <c r="M850" s="672"/>
      <c r="N850" s="668">
        <f t="shared" si="68"/>
        <v>0</v>
      </c>
      <c r="O850" s="676"/>
      <c r="P850" s="676"/>
    </row>
    <row r="851" spans="1:16" s="677" customFormat="1" ht="60.75" hidden="1" customHeight="1">
      <c r="A851" s="700"/>
      <c r="B851" s="663" t="s">
        <v>1951</v>
      </c>
      <c r="C851" s="666">
        <v>5800</v>
      </c>
      <c r="D851" s="674" t="s">
        <v>522</v>
      </c>
      <c r="E851" s="659"/>
      <c r="F851" s="666">
        <f t="shared" si="69"/>
        <v>0</v>
      </c>
      <c r="G851" s="666"/>
      <c r="H851" s="666"/>
      <c r="I851" s="666">
        <f t="shared" si="65"/>
        <v>0</v>
      </c>
      <c r="J851" s="666"/>
      <c r="K851" s="665">
        <f t="shared" si="66"/>
        <v>0</v>
      </c>
      <c r="L851" s="666">
        <f t="shared" si="67"/>
        <v>0</v>
      </c>
      <c r="M851" s="672"/>
      <c r="N851" s="668">
        <f t="shared" si="68"/>
        <v>0</v>
      </c>
      <c r="O851" s="676"/>
      <c r="P851" s="676"/>
    </row>
    <row r="852" spans="1:16" s="677" customFormat="1" ht="60.75" hidden="1" customHeight="1">
      <c r="A852" s="700"/>
      <c r="B852" s="663" t="s">
        <v>1952</v>
      </c>
      <c r="C852" s="666">
        <v>1535.1</v>
      </c>
      <c r="D852" s="674" t="s">
        <v>204</v>
      </c>
      <c r="E852" s="659"/>
      <c r="F852" s="666">
        <f t="shared" si="69"/>
        <v>0</v>
      </c>
      <c r="G852" s="666"/>
      <c r="H852" s="666"/>
      <c r="I852" s="666">
        <f t="shared" si="65"/>
        <v>0</v>
      </c>
      <c r="J852" s="666"/>
      <c r="K852" s="665">
        <f t="shared" si="66"/>
        <v>0</v>
      </c>
      <c r="L852" s="666">
        <f t="shared" si="67"/>
        <v>0</v>
      </c>
      <c r="M852" s="672"/>
      <c r="N852" s="668">
        <f t="shared" si="68"/>
        <v>0</v>
      </c>
      <c r="O852" s="676"/>
      <c r="P852" s="676"/>
    </row>
    <row r="853" spans="1:16" s="677" customFormat="1" ht="83.25" hidden="1" customHeight="1">
      <c r="A853" s="700"/>
      <c r="B853" s="663" t="s">
        <v>1953</v>
      </c>
      <c r="C853" s="666">
        <v>1938.65</v>
      </c>
      <c r="D853" s="674" t="str">
        <f>D852</f>
        <v>cum</v>
      </c>
      <c r="E853" s="659"/>
      <c r="F853" s="666">
        <f t="shared" si="69"/>
        <v>0</v>
      </c>
      <c r="G853" s="666"/>
      <c r="H853" s="666"/>
      <c r="I853" s="666">
        <f t="shared" si="65"/>
        <v>0</v>
      </c>
      <c r="J853" s="666"/>
      <c r="K853" s="665">
        <f t="shared" si="66"/>
        <v>0</v>
      </c>
      <c r="L853" s="666">
        <f t="shared" si="67"/>
        <v>0</v>
      </c>
      <c r="M853" s="672"/>
      <c r="N853" s="668">
        <f t="shared" si="68"/>
        <v>0</v>
      </c>
      <c r="O853" s="676"/>
      <c r="P853" s="676"/>
    </row>
    <row r="854" spans="1:16" s="677" customFormat="1" ht="150.75" customHeight="1">
      <c r="A854" s="700">
        <v>1</v>
      </c>
      <c r="B854" s="663" t="s">
        <v>216</v>
      </c>
      <c r="C854" s="666"/>
      <c r="D854" s="674"/>
      <c r="E854" s="659"/>
      <c r="F854" s="666"/>
      <c r="G854" s="666"/>
      <c r="H854" s="666"/>
      <c r="I854" s="666">
        <f t="shared" si="65"/>
        <v>0</v>
      </c>
      <c r="J854" s="666"/>
      <c r="K854" s="665">
        <f>G854</f>
        <v>0</v>
      </c>
      <c r="L854" s="666">
        <f t="shared" si="67"/>
        <v>0</v>
      </c>
      <c r="M854" s="672"/>
      <c r="N854" s="668"/>
      <c r="O854" s="676"/>
      <c r="P854" s="676"/>
    </row>
    <row r="855" spans="1:16" s="677" customFormat="1" ht="83.25" customHeight="1">
      <c r="A855" s="700"/>
      <c r="B855" s="663" t="s">
        <v>217</v>
      </c>
      <c r="C855" s="666">
        <v>1536.1</v>
      </c>
      <c r="D855" s="674" t="s">
        <v>61</v>
      </c>
      <c r="E855" s="659"/>
      <c r="F855" s="666"/>
      <c r="G855" s="666">
        <v>60</v>
      </c>
      <c r="H855" s="666">
        <f>G855*C855</f>
        <v>92166</v>
      </c>
      <c r="I855" s="666">
        <f t="shared" si="65"/>
        <v>60</v>
      </c>
      <c r="J855" s="666">
        <f>I855*C855</f>
        <v>92166</v>
      </c>
      <c r="K855" s="665">
        <f t="shared" ref="K855:K869" si="70">G855</f>
        <v>60</v>
      </c>
      <c r="L855" s="666">
        <f t="shared" si="67"/>
        <v>92166</v>
      </c>
      <c r="M855" s="672"/>
      <c r="N855" s="668"/>
      <c r="O855" s="676"/>
      <c r="P855" s="676"/>
    </row>
    <row r="856" spans="1:16" s="677" customFormat="1" ht="83.25" customHeight="1">
      <c r="A856" s="700"/>
      <c r="B856" s="663" t="s">
        <v>219</v>
      </c>
      <c r="C856" s="666">
        <v>1663.6</v>
      </c>
      <c r="D856" s="674" t="s">
        <v>61</v>
      </c>
      <c r="E856" s="659"/>
      <c r="F856" s="666"/>
      <c r="G856" s="666">
        <v>30</v>
      </c>
      <c r="H856" s="666">
        <f t="shared" ref="H856:H869" si="71">G856*C856</f>
        <v>49908</v>
      </c>
      <c r="I856" s="666">
        <f t="shared" si="65"/>
        <v>30</v>
      </c>
      <c r="J856" s="666">
        <f t="shared" ref="J856:J869" si="72">I856*C856</f>
        <v>49908</v>
      </c>
      <c r="K856" s="665">
        <f t="shared" si="70"/>
        <v>30</v>
      </c>
      <c r="L856" s="666">
        <f t="shared" si="67"/>
        <v>49908</v>
      </c>
      <c r="M856" s="672"/>
      <c r="N856" s="668"/>
      <c r="O856" s="676"/>
      <c r="P856" s="676"/>
    </row>
    <row r="857" spans="1:16" s="677" customFormat="1" ht="83.25" customHeight="1">
      <c r="A857" s="700"/>
      <c r="B857" s="663" t="s">
        <v>2755</v>
      </c>
      <c r="C857" s="666">
        <v>1763.8</v>
      </c>
      <c r="D857" s="674" t="s">
        <v>61</v>
      </c>
      <c r="E857" s="659"/>
      <c r="F857" s="666"/>
      <c r="G857" s="666">
        <v>30</v>
      </c>
      <c r="H857" s="666">
        <f t="shared" si="71"/>
        <v>52914</v>
      </c>
      <c r="I857" s="666">
        <f t="shared" si="65"/>
        <v>30</v>
      </c>
      <c r="J857" s="666">
        <f t="shared" si="72"/>
        <v>52914</v>
      </c>
      <c r="K857" s="665">
        <f t="shared" si="70"/>
        <v>30</v>
      </c>
      <c r="L857" s="666">
        <f t="shared" si="67"/>
        <v>52914</v>
      </c>
      <c r="M857" s="672"/>
      <c r="N857" s="668"/>
      <c r="O857" s="676"/>
      <c r="P857" s="676"/>
    </row>
    <row r="858" spans="1:16" s="677" customFormat="1" ht="83.25" customHeight="1">
      <c r="A858" s="700"/>
      <c r="B858" s="663" t="s">
        <v>2756</v>
      </c>
      <c r="C858" s="666">
        <v>1857.3</v>
      </c>
      <c r="D858" s="674" t="s">
        <v>61</v>
      </c>
      <c r="E858" s="659"/>
      <c r="F858" s="666"/>
      <c r="G858" s="666"/>
      <c r="H858" s="666">
        <f t="shared" si="71"/>
        <v>0</v>
      </c>
      <c r="I858" s="666">
        <f t="shared" si="65"/>
        <v>0</v>
      </c>
      <c r="J858" s="666">
        <f t="shared" si="72"/>
        <v>0</v>
      </c>
      <c r="K858" s="665">
        <f t="shared" si="70"/>
        <v>0</v>
      </c>
      <c r="L858" s="666">
        <f t="shared" si="67"/>
        <v>0</v>
      </c>
      <c r="M858" s="672"/>
      <c r="N858" s="668"/>
      <c r="O858" s="676"/>
      <c r="P858" s="676"/>
    </row>
    <row r="859" spans="1:16" s="677" customFormat="1" ht="83.25" customHeight="1">
      <c r="A859" s="700">
        <v>2</v>
      </c>
      <c r="B859" s="663" t="s">
        <v>221</v>
      </c>
      <c r="C859" s="666"/>
      <c r="D859" s="674"/>
      <c r="E859" s="659"/>
      <c r="F859" s="666"/>
      <c r="G859" s="666"/>
      <c r="H859" s="666">
        <f t="shared" si="71"/>
        <v>0</v>
      </c>
      <c r="I859" s="666">
        <f t="shared" si="65"/>
        <v>0</v>
      </c>
      <c r="J859" s="666">
        <f t="shared" si="72"/>
        <v>0</v>
      </c>
      <c r="K859" s="665">
        <f t="shared" si="70"/>
        <v>0</v>
      </c>
      <c r="L859" s="666">
        <f t="shared" si="67"/>
        <v>0</v>
      </c>
      <c r="M859" s="672"/>
      <c r="N859" s="668"/>
      <c r="O859" s="676"/>
      <c r="P859" s="676"/>
    </row>
    <row r="860" spans="1:16" s="677" customFormat="1" ht="83.25" customHeight="1">
      <c r="A860" s="700"/>
      <c r="B860" s="663" t="s">
        <v>217</v>
      </c>
      <c r="C860" s="666">
        <v>385.7</v>
      </c>
      <c r="D860" s="674" t="s">
        <v>61</v>
      </c>
      <c r="E860" s="659"/>
      <c r="F860" s="666"/>
      <c r="G860" s="666">
        <v>60</v>
      </c>
      <c r="H860" s="666">
        <f t="shared" si="71"/>
        <v>23142</v>
      </c>
      <c r="I860" s="666">
        <f t="shared" si="65"/>
        <v>60</v>
      </c>
      <c r="J860" s="666">
        <f t="shared" si="72"/>
        <v>23142</v>
      </c>
      <c r="K860" s="665">
        <f t="shared" si="70"/>
        <v>60</v>
      </c>
      <c r="L860" s="666">
        <f t="shared" si="67"/>
        <v>23142</v>
      </c>
      <c r="M860" s="672"/>
      <c r="N860" s="668"/>
      <c r="O860" s="676"/>
      <c r="P860" s="676"/>
    </row>
    <row r="861" spans="1:16" s="677" customFormat="1" ht="83.25" customHeight="1">
      <c r="A861" s="700"/>
      <c r="B861" s="663" t="s">
        <v>219</v>
      </c>
      <c r="C861" s="666">
        <v>409.5</v>
      </c>
      <c r="D861" s="674" t="s">
        <v>61</v>
      </c>
      <c r="E861" s="659"/>
      <c r="F861" s="666"/>
      <c r="G861" s="666">
        <v>30</v>
      </c>
      <c r="H861" s="666">
        <f t="shared" si="71"/>
        <v>12285</v>
      </c>
      <c r="I861" s="666">
        <f t="shared" si="65"/>
        <v>30</v>
      </c>
      <c r="J861" s="666">
        <f t="shared" si="72"/>
        <v>12285</v>
      </c>
      <c r="K861" s="665">
        <f t="shared" si="70"/>
        <v>30</v>
      </c>
      <c r="L861" s="666">
        <f t="shared" si="67"/>
        <v>12285</v>
      </c>
      <c r="M861" s="672"/>
      <c r="N861" s="668"/>
      <c r="O861" s="676"/>
      <c r="P861" s="676"/>
    </row>
    <row r="862" spans="1:16" s="677" customFormat="1" ht="83.25" customHeight="1">
      <c r="A862" s="700"/>
      <c r="B862" s="663" t="s">
        <v>2755</v>
      </c>
      <c r="C862" s="666">
        <v>436.7</v>
      </c>
      <c r="D862" s="674" t="s">
        <v>61</v>
      </c>
      <c r="E862" s="659"/>
      <c r="F862" s="666"/>
      <c r="G862" s="666">
        <v>30</v>
      </c>
      <c r="H862" s="666">
        <f t="shared" si="71"/>
        <v>13101</v>
      </c>
      <c r="I862" s="666">
        <f t="shared" si="65"/>
        <v>30</v>
      </c>
      <c r="J862" s="666">
        <f t="shared" si="72"/>
        <v>13101</v>
      </c>
      <c r="K862" s="665">
        <f t="shared" si="70"/>
        <v>30</v>
      </c>
      <c r="L862" s="666">
        <f t="shared" si="67"/>
        <v>13101</v>
      </c>
      <c r="M862" s="672"/>
      <c r="N862" s="668"/>
      <c r="O862" s="676"/>
      <c r="P862" s="676"/>
    </row>
    <row r="863" spans="1:16" s="677" customFormat="1" ht="83.25" customHeight="1">
      <c r="A863" s="700"/>
      <c r="B863" s="663" t="s">
        <v>2756</v>
      </c>
      <c r="C863" s="666">
        <v>443.5</v>
      </c>
      <c r="D863" s="674" t="s">
        <v>61</v>
      </c>
      <c r="E863" s="659"/>
      <c r="F863" s="666"/>
      <c r="G863" s="666"/>
      <c r="H863" s="666">
        <f t="shared" si="71"/>
        <v>0</v>
      </c>
      <c r="I863" s="666">
        <f t="shared" si="65"/>
        <v>0</v>
      </c>
      <c r="J863" s="666">
        <f t="shared" si="72"/>
        <v>0</v>
      </c>
      <c r="K863" s="665">
        <f t="shared" si="70"/>
        <v>0</v>
      </c>
      <c r="L863" s="666">
        <f t="shared" si="67"/>
        <v>0</v>
      </c>
      <c r="M863" s="672"/>
      <c r="N863" s="668"/>
      <c r="O863" s="676"/>
      <c r="P863" s="676"/>
    </row>
    <row r="864" spans="1:16" s="677" customFormat="1" ht="83.25" customHeight="1">
      <c r="A864" s="700">
        <v>3</v>
      </c>
      <c r="B864" s="663" t="s">
        <v>222</v>
      </c>
      <c r="C864" s="666">
        <v>346.3</v>
      </c>
      <c r="D864" s="674" t="s">
        <v>61</v>
      </c>
      <c r="E864" s="659"/>
      <c r="F864" s="666"/>
      <c r="G864" s="666">
        <v>120</v>
      </c>
      <c r="H864" s="666">
        <f t="shared" si="71"/>
        <v>41556</v>
      </c>
      <c r="I864" s="666">
        <f t="shared" si="65"/>
        <v>120</v>
      </c>
      <c r="J864" s="666">
        <f t="shared" si="72"/>
        <v>41556</v>
      </c>
      <c r="K864" s="665">
        <f t="shared" si="70"/>
        <v>120</v>
      </c>
      <c r="L864" s="666">
        <f t="shared" si="67"/>
        <v>41556</v>
      </c>
      <c r="M864" s="672"/>
      <c r="N864" s="668"/>
      <c r="O864" s="676"/>
      <c r="P864" s="676"/>
    </row>
    <row r="865" spans="1:16" s="677" customFormat="1" ht="83.25" customHeight="1">
      <c r="A865" s="700">
        <v>4</v>
      </c>
      <c r="B865" s="663" t="s">
        <v>2757</v>
      </c>
      <c r="C865" s="666">
        <v>969</v>
      </c>
      <c r="D865" s="674" t="s">
        <v>61</v>
      </c>
      <c r="E865" s="659"/>
      <c r="F865" s="666"/>
      <c r="G865" s="666">
        <v>60</v>
      </c>
      <c r="H865" s="666">
        <f t="shared" si="71"/>
        <v>58140</v>
      </c>
      <c r="I865" s="666">
        <f t="shared" si="65"/>
        <v>60</v>
      </c>
      <c r="J865" s="666">
        <f t="shared" si="72"/>
        <v>58140</v>
      </c>
      <c r="K865" s="665">
        <f t="shared" si="70"/>
        <v>60</v>
      </c>
      <c r="L865" s="666">
        <f t="shared" si="67"/>
        <v>58140</v>
      </c>
      <c r="M865" s="672"/>
      <c r="N865" s="668"/>
      <c r="O865" s="676"/>
      <c r="P865" s="676"/>
    </row>
    <row r="866" spans="1:16" s="677" customFormat="1" ht="83.25" customHeight="1">
      <c r="A866" s="700" t="s">
        <v>2758</v>
      </c>
      <c r="B866" s="663" t="s">
        <v>2759</v>
      </c>
      <c r="C866" s="666">
        <v>807</v>
      </c>
      <c r="D866" s="674" t="s">
        <v>61</v>
      </c>
      <c r="E866" s="659"/>
      <c r="F866" s="666"/>
      <c r="G866" s="666">
        <v>60</v>
      </c>
      <c r="H866" s="666">
        <f t="shared" si="71"/>
        <v>48420</v>
      </c>
      <c r="I866" s="666">
        <f t="shared" si="65"/>
        <v>60</v>
      </c>
      <c r="J866" s="666">
        <f t="shared" si="72"/>
        <v>48420</v>
      </c>
      <c r="K866" s="665">
        <f t="shared" si="70"/>
        <v>60</v>
      </c>
      <c r="L866" s="666">
        <f t="shared" si="67"/>
        <v>48420</v>
      </c>
      <c r="M866" s="672"/>
      <c r="N866" s="668"/>
      <c r="O866" s="676"/>
      <c r="P866" s="676"/>
    </row>
    <row r="867" spans="1:16" s="677" customFormat="1" ht="83.25" customHeight="1">
      <c r="A867" s="700">
        <v>5</v>
      </c>
      <c r="B867" s="663" t="s">
        <v>226</v>
      </c>
      <c r="C867" s="666">
        <v>2263.9</v>
      </c>
      <c r="D867" s="674" t="s">
        <v>227</v>
      </c>
      <c r="E867" s="659"/>
      <c r="F867" s="666"/>
      <c r="G867" s="666">
        <v>8</v>
      </c>
      <c r="H867" s="666">
        <f t="shared" si="71"/>
        <v>18111.2</v>
      </c>
      <c r="I867" s="666">
        <f t="shared" si="65"/>
        <v>8</v>
      </c>
      <c r="J867" s="666">
        <f t="shared" si="72"/>
        <v>18111.2</v>
      </c>
      <c r="K867" s="665">
        <f t="shared" si="70"/>
        <v>8</v>
      </c>
      <c r="L867" s="666">
        <f t="shared" si="67"/>
        <v>18111.2</v>
      </c>
      <c r="M867" s="672"/>
      <c r="N867" s="668"/>
      <c r="O867" s="676"/>
      <c r="P867" s="676"/>
    </row>
    <row r="868" spans="1:16" s="677" customFormat="1" ht="83.25" customHeight="1">
      <c r="A868" s="700">
        <v>6</v>
      </c>
      <c r="B868" s="663" t="s">
        <v>228</v>
      </c>
      <c r="C868" s="666">
        <v>105</v>
      </c>
      <c r="D868" s="674" t="s">
        <v>54</v>
      </c>
      <c r="E868" s="659"/>
      <c r="F868" s="666"/>
      <c r="G868" s="666">
        <v>1</v>
      </c>
      <c r="H868" s="666">
        <f t="shared" si="71"/>
        <v>105</v>
      </c>
      <c r="I868" s="666">
        <f t="shared" si="65"/>
        <v>1</v>
      </c>
      <c r="J868" s="666">
        <f t="shared" si="72"/>
        <v>105</v>
      </c>
      <c r="K868" s="665">
        <f t="shared" si="70"/>
        <v>1</v>
      </c>
      <c r="L868" s="666">
        <f t="shared" si="67"/>
        <v>105</v>
      </c>
      <c r="M868" s="672"/>
      <c r="N868" s="668"/>
      <c r="O868" s="676"/>
      <c r="P868" s="676"/>
    </row>
    <row r="869" spans="1:16" s="677" customFormat="1" ht="83.25" customHeight="1">
      <c r="A869" s="700">
        <v>7</v>
      </c>
      <c r="B869" s="663" t="s">
        <v>229</v>
      </c>
      <c r="C869" s="666">
        <v>937</v>
      </c>
      <c r="D869" s="674" t="s">
        <v>54</v>
      </c>
      <c r="E869" s="659"/>
      <c r="F869" s="666"/>
      <c r="G869" s="666">
        <v>1</v>
      </c>
      <c r="H869" s="666">
        <f t="shared" si="71"/>
        <v>937</v>
      </c>
      <c r="I869" s="666">
        <f t="shared" si="65"/>
        <v>1</v>
      </c>
      <c r="J869" s="666">
        <f t="shared" si="72"/>
        <v>937</v>
      </c>
      <c r="K869" s="665">
        <f t="shared" si="70"/>
        <v>1</v>
      </c>
      <c r="L869" s="666">
        <f t="shared" si="67"/>
        <v>937</v>
      </c>
      <c r="M869" s="672"/>
      <c r="N869" s="668"/>
      <c r="O869" s="676"/>
      <c r="P869" s="676"/>
    </row>
    <row r="870" spans="1:16" ht="75" customHeight="1">
      <c r="A870" s="690"/>
      <c r="B870" s="685" t="s">
        <v>57</v>
      </c>
      <c r="C870" s="675">
        <f>ROUND([8]Data!K1206,2)</f>
        <v>0</v>
      </c>
      <c r="D870" s="674"/>
      <c r="E870" s="659"/>
      <c r="F870" s="736">
        <f>SUM(F6:F853)</f>
        <v>5990015.4820000008</v>
      </c>
      <c r="G870" s="736"/>
      <c r="H870" s="736">
        <f>SUM(H855:H869)</f>
        <v>410785.2</v>
      </c>
      <c r="I870" s="736"/>
      <c r="J870" s="736">
        <f>SUM(J855:J869)</f>
        <v>410785.2</v>
      </c>
      <c r="K870" s="665"/>
      <c r="L870" s="736">
        <f>SUM(L6:L869)</f>
        <v>6400800.682000001</v>
      </c>
      <c r="M870" s="672"/>
      <c r="N870" s="668">
        <f t="shared" si="68"/>
        <v>0</v>
      </c>
    </row>
    <row r="871" spans="1:16" ht="75" customHeight="1">
      <c r="A871" s="1080"/>
      <c r="B871" s="1081"/>
      <c r="C871" s="1082"/>
      <c r="D871" s="1083"/>
      <c r="E871" s="999"/>
      <c r="F871" s="1084"/>
      <c r="G871" s="1084"/>
      <c r="H871" s="1084"/>
      <c r="I871" s="1084"/>
      <c r="J871" s="1084"/>
      <c r="K871" s="665"/>
      <c r="L871" s="736">
        <f>L870*12%</f>
        <v>768096.08184000012</v>
      </c>
      <c r="M871" s="672"/>
      <c r="N871" s="668">
        <f t="shared" si="68"/>
        <v>0</v>
      </c>
    </row>
    <row r="872" spans="1:16" s="677" customFormat="1" ht="23.25">
      <c r="A872" s="787"/>
      <c r="B872" s="788"/>
      <c r="C872" s="787"/>
      <c r="D872" s="789"/>
      <c r="E872" s="1085"/>
      <c r="F872" s="691">
        <f>F870*12%</f>
        <v>718801.85784000007</v>
      </c>
      <c r="G872" s="691"/>
      <c r="H872" s="691"/>
      <c r="I872" s="691"/>
      <c r="J872" s="691"/>
      <c r="K872" s="665"/>
      <c r="L872" s="666">
        <f>SUM(L870:L871)</f>
        <v>7168896.7638400011</v>
      </c>
      <c r="M872" s="672"/>
      <c r="N872" s="668">
        <f t="shared" si="68"/>
        <v>0</v>
      </c>
      <c r="O872" s="676"/>
      <c r="P872" s="676"/>
    </row>
    <row r="873" spans="1:16" s="677" customFormat="1" ht="23.25">
      <c r="A873" s="787"/>
      <c r="B873" s="663" t="s">
        <v>1867</v>
      </c>
      <c r="C873" s="690"/>
      <c r="D873" s="708" t="s">
        <v>522</v>
      </c>
      <c r="E873" s="1077"/>
      <c r="F873" s="790">
        <f>SUM(F870:F872)</f>
        <v>6708817.3398400005</v>
      </c>
      <c r="G873" s="790"/>
      <c r="H873" s="790"/>
      <c r="I873" s="790"/>
      <c r="J873" s="790"/>
      <c r="K873" s="665"/>
      <c r="L873" s="666">
        <f>L872*1%</f>
        <v>71688.967638400019</v>
      </c>
      <c r="M873" s="672"/>
      <c r="N873" s="668">
        <f t="shared" si="68"/>
        <v>0</v>
      </c>
      <c r="O873" s="676"/>
      <c r="P873" s="676"/>
    </row>
    <row r="874" spans="1:16" s="677" customFormat="1" ht="23.25">
      <c r="A874" s="787"/>
      <c r="B874" s="663" t="s">
        <v>1868</v>
      </c>
      <c r="C874" s="690"/>
      <c r="D874" s="708" t="s">
        <v>522</v>
      </c>
      <c r="E874" s="1077"/>
      <c r="F874" s="790">
        <f>F873*1%</f>
        <v>67088.173398400002</v>
      </c>
      <c r="G874" s="790"/>
      <c r="H874" s="790"/>
      <c r="I874" s="790"/>
      <c r="J874" s="790"/>
      <c r="K874" s="665"/>
      <c r="L874" s="666">
        <f>L872*7.5%</f>
        <v>537667.25728800008</v>
      </c>
      <c r="M874" s="672"/>
      <c r="N874" s="668">
        <f t="shared" si="68"/>
        <v>0</v>
      </c>
      <c r="O874" s="676"/>
      <c r="P874" s="676"/>
    </row>
    <row r="875" spans="1:16" s="677" customFormat="1" ht="23.25">
      <c r="A875" s="787"/>
      <c r="B875" s="663" t="s">
        <v>1871</v>
      </c>
      <c r="C875" s="690">
        <f>[8]Data!K2492</f>
        <v>4353.33</v>
      </c>
      <c r="D875" s="789" t="s">
        <v>37</v>
      </c>
      <c r="E875" s="1085"/>
      <c r="F875" s="691">
        <f>F873*7.5%</f>
        <v>503161.30048800004</v>
      </c>
      <c r="G875" s="691"/>
      <c r="H875" s="691"/>
      <c r="I875" s="691"/>
      <c r="J875" s="691"/>
      <c r="K875" s="665"/>
      <c r="L875" s="666">
        <f>SUM(L872:L874)</f>
        <v>7778252.988766402</v>
      </c>
      <c r="M875" s="672"/>
      <c r="N875" s="668">
        <f t="shared" si="68"/>
        <v>0</v>
      </c>
      <c r="O875" s="676"/>
      <c r="P875" s="676"/>
    </row>
    <row r="876" spans="1:16" s="677" customFormat="1" ht="23.25">
      <c r="A876" s="787"/>
      <c r="B876" s="663" t="s">
        <v>1872</v>
      </c>
      <c r="C876" s="690">
        <f>[8]Data!K2515</f>
        <v>4626.8100000000004</v>
      </c>
      <c r="D876" s="789" t="s">
        <v>37</v>
      </c>
      <c r="E876" s="1085"/>
      <c r="F876" s="691">
        <f>SUM(F873:F875)</f>
        <v>7279066.8137264</v>
      </c>
      <c r="G876" s="691"/>
      <c r="H876" s="691"/>
      <c r="I876" s="691"/>
      <c r="J876" s="691"/>
      <c r="K876" s="665"/>
      <c r="L876" s="666">
        <f>L875-7818000</f>
        <v>-39747.011233597994</v>
      </c>
      <c r="M876" s="672"/>
      <c r="N876" s="668">
        <f t="shared" si="68"/>
        <v>0</v>
      </c>
      <c r="O876" s="676"/>
      <c r="P876" s="676"/>
    </row>
    <row r="877" spans="1:16" s="677" customFormat="1" ht="23.25">
      <c r="A877" s="787"/>
      <c r="B877" s="663" t="s">
        <v>1873</v>
      </c>
      <c r="C877" s="690">
        <f>[8]Data!R2580</f>
        <v>3971.57</v>
      </c>
      <c r="D877" s="789" t="s">
        <v>37</v>
      </c>
      <c r="E877" s="1085"/>
      <c r="F877" s="691" t="e">
        <f>F876+#REF!</f>
        <v>#REF!</v>
      </c>
      <c r="G877" s="691"/>
      <c r="H877" s="691"/>
      <c r="I877" s="691"/>
      <c r="J877" s="691"/>
      <c r="K877" s="665"/>
      <c r="L877" s="666">
        <f t="shared" ref="L877:L940" si="73">K877*C877</f>
        <v>0</v>
      </c>
      <c r="M877" s="672"/>
      <c r="N877" s="668">
        <f t="shared" si="68"/>
        <v>0</v>
      </c>
      <c r="O877" s="676"/>
      <c r="P877" s="676"/>
    </row>
    <row r="878" spans="1:16" s="677" customFormat="1" ht="23.25">
      <c r="A878" s="787"/>
      <c r="B878" s="663" t="s">
        <v>1870</v>
      </c>
      <c r="C878" s="690"/>
      <c r="D878" s="789" t="s">
        <v>37</v>
      </c>
      <c r="E878" s="1085"/>
      <c r="F878" s="691" t="e">
        <f>'[8]G. Abstractfinal'!G14</f>
        <v>#REF!</v>
      </c>
      <c r="G878" s="691"/>
      <c r="H878" s="691"/>
      <c r="I878" s="691"/>
      <c r="J878" s="691"/>
      <c r="K878" s="665"/>
      <c r="L878" s="666">
        <f t="shared" si="73"/>
        <v>0</v>
      </c>
      <c r="M878" s="672"/>
      <c r="N878" s="668">
        <f t="shared" si="68"/>
        <v>0</v>
      </c>
      <c r="O878" s="676"/>
      <c r="P878" s="676"/>
    </row>
    <row r="879" spans="1:16" s="677" customFormat="1" ht="46.5">
      <c r="A879" s="787"/>
      <c r="B879" s="663" t="s">
        <v>1958</v>
      </c>
      <c r="C879" s="690"/>
      <c r="D879" s="789" t="s">
        <v>37</v>
      </c>
      <c r="E879" s="1085"/>
      <c r="F879" s="691" t="e">
        <f>SUM(F877:F878)</f>
        <v>#REF!</v>
      </c>
      <c r="G879" s="691"/>
      <c r="H879" s="691"/>
      <c r="I879" s="691"/>
      <c r="J879" s="691"/>
      <c r="K879" s="665"/>
      <c r="L879" s="666">
        <f t="shared" si="73"/>
        <v>0</v>
      </c>
      <c r="M879" s="672"/>
      <c r="N879" s="668">
        <f t="shared" si="68"/>
        <v>0</v>
      </c>
      <c r="O879" s="676"/>
      <c r="P879" s="676"/>
    </row>
    <row r="880" spans="1:16" s="677" customFormat="1" ht="46.5">
      <c r="A880" s="787"/>
      <c r="B880" s="663" t="s">
        <v>1959</v>
      </c>
      <c r="C880" s="690"/>
      <c r="D880" s="789" t="s">
        <v>37</v>
      </c>
      <c r="E880" s="1085"/>
      <c r="F880" s="691" t="e">
        <f>7818000-F879</f>
        <v>#REF!</v>
      </c>
      <c r="G880" s="691"/>
      <c r="H880" s="691"/>
      <c r="I880" s="691"/>
      <c r="J880" s="691"/>
      <c r="K880" s="665"/>
      <c r="L880" s="666">
        <f t="shared" si="73"/>
        <v>0</v>
      </c>
      <c r="M880" s="672"/>
      <c r="N880" s="668">
        <f t="shared" si="68"/>
        <v>0</v>
      </c>
      <c r="O880" s="676"/>
      <c r="P880" s="676"/>
    </row>
    <row r="881" spans="1:16" s="677" customFormat="1" ht="46.5">
      <c r="A881" s="787"/>
      <c r="B881" s="663" t="s">
        <v>1960</v>
      </c>
      <c r="C881" s="690"/>
      <c r="D881" s="789" t="s">
        <v>37</v>
      </c>
      <c r="E881" s="1085"/>
      <c r="F881" s="691"/>
      <c r="G881" s="691"/>
      <c r="H881" s="691"/>
      <c r="I881" s="691"/>
      <c r="J881" s="691"/>
      <c r="K881" s="665"/>
      <c r="L881" s="666">
        <f t="shared" si="73"/>
        <v>0</v>
      </c>
      <c r="M881" s="672"/>
      <c r="N881" s="668"/>
      <c r="O881" s="676"/>
      <c r="P881" s="676"/>
    </row>
    <row r="882" spans="1:16" s="677" customFormat="1" ht="23.25">
      <c r="A882" s="787"/>
      <c r="B882" s="663" t="s">
        <v>1961</v>
      </c>
      <c r="C882" s="690">
        <f>8.2*1500</f>
        <v>12299.999999999998</v>
      </c>
      <c r="D882" s="789" t="s">
        <v>522</v>
      </c>
      <c r="E882" s="1085"/>
      <c r="F882" s="691"/>
      <c r="G882" s="691"/>
      <c r="H882" s="691"/>
      <c r="I882" s="691"/>
      <c r="J882" s="691"/>
      <c r="K882" s="665"/>
      <c r="L882" s="666">
        <f t="shared" si="73"/>
        <v>0</v>
      </c>
      <c r="M882" s="672"/>
      <c r="N882" s="668"/>
      <c r="O882" s="676"/>
      <c r="P882" s="676"/>
    </row>
    <row r="883" spans="1:16" s="677" customFormat="1" ht="23.25">
      <c r="A883" s="787"/>
      <c r="B883" s="663" t="s">
        <v>1962</v>
      </c>
      <c r="C883" s="690">
        <f>[8]Data!K2435</f>
        <v>1340.72</v>
      </c>
      <c r="D883" s="789" t="s">
        <v>37</v>
      </c>
      <c r="E883" s="1085"/>
      <c r="F883" s="691"/>
      <c r="G883" s="691"/>
      <c r="H883" s="691"/>
      <c r="I883" s="691"/>
      <c r="J883" s="691"/>
      <c r="K883" s="665"/>
      <c r="L883" s="666">
        <f t="shared" si="73"/>
        <v>0</v>
      </c>
      <c r="M883" s="672"/>
      <c r="N883" s="668"/>
      <c r="O883" s="676"/>
      <c r="P883" s="676"/>
    </row>
    <row r="884" spans="1:16" s="677" customFormat="1" ht="23.25">
      <c r="A884" s="787"/>
      <c r="B884" s="663" t="s">
        <v>1767</v>
      </c>
      <c r="C884" s="690">
        <f>[8]Data!R1230</f>
        <v>1361.69</v>
      </c>
      <c r="D884" s="789" t="s">
        <v>37</v>
      </c>
      <c r="E884" s="1085"/>
      <c r="F884" s="691"/>
      <c r="G884" s="691"/>
      <c r="H884" s="691"/>
      <c r="I884" s="691"/>
      <c r="J884" s="691"/>
      <c r="K884" s="665"/>
      <c r="L884" s="666">
        <f t="shared" si="73"/>
        <v>0</v>
      </c>
      <c r="M884" s="672"/>
      <c r="N884" s="668"/>
      <c r="O884" s="676"/>
      <c r="P884" s="676"/>
    </row>
    <row r="885" spans="1:16" s="677" customFormat="1" ht="23.25">
      <c r="A885" s="787"/>
      <c r="B885" s="663" t="s">
        <v>1963</v>
      </c>
      <c r="C885" s="690">
        <f>[8]Data!R1272</f>
        <v>1156.81</v>
      </c>
      <c r="D885" s="789" t="s">
        <v>37</v>
      </c>
      <c r="E885" s="1085"/>
      <c r="F885" s="691"/>
      <c r="G885" s="691"/>
      <c r="H885" s="691"/>
      <c r="I885" s="691"/>
      <c r="J885" s="691"/>
      <c r="K885" s="665"/>
      <c r="L885" s="666">
        <f t="shared" si="73"/>
        <v>0</v>
      </c>
      <c r="M885" s="672"/>
      <c r="N885" s="668"/>
      <c r="O885" s="676"/>
      <c r="P885" s="676"/>
    </row>
    <row r="886" spans="1:16" s="677" customFormat="1" ht="23.25">
      <c r="A886" s="787"/>
      <c r="B886" s="663" t="s">
        <v>1964</v>
      </c>
      <c r="C886" s="690">
        <f>[8]Data!R2442</f>
        <v>1513.97</v>
      </c>
      <c r="D886" s="789" t="s">
        <v>37</v>
      </c>
      <c r="E886" s="1085"/>
      <c r="F886" s="691"/>
      <c r="G886" s="691"/>
      <c r="H886" s="691"/>
      <c r="I886" s="691"/>
      <c r="J886" s="691"/>
      <c r="K886" s="665"/>
      <c r="L886" s="666">
        <f t="shared" si="73"/>
        <v>0</v>
      </c>
      <c r="M886" s="672"/>
      <c r="N886" s="668"/>
      <c r="O886" s="676"/>
      <c r="P886" s="676"/>
    </row>
    <row r="887" spans="1:16" s="677" customFormat="1" ht="23.25">
      <c r="A887" s="787"/>
      <c r="B887" s="663" t="s">
        <v>1965</v>
      </c>
      <c r="C887" s="690">
        <f>[8]Data!AD1257</f>
        <v>1498.51</v>
      </c>
      <c r="D887" s="789" t="s">
        <v>37</v>
      </c>
      <c r="E887" s="1085"/>
      <c r="F887" s="691"/>
      <c r="G887" s="691"/>
      <c r="H887" s="691"/>
      <c r="I887" s="691"/>
      <c r="J887" s="691"/>
      <c r="K887" s="665"/>
      <c r="L887" s="666">
        <f t="shared" si="73"/>
        <v>0</v>
      </c>
      <c r="M887" s="672"/>
      <c r="N887" s="668"/>
      <c r="O887" s="676"/>
      <c r="P887" s="676"/>
    </row>
    <row r="888" spans="1:16" s="677" customFormat="1" ht="23.25">
      <c r="A888" s="787"/>
      <c r="B888" s="791" t="s">
        <v>1966</v>
      </c>
      <c r="C888" s="787">
        <f>[8]Data!K1442</f>
        <v>249.62</v>
      </c>
      <c r="D888" s="789" t="s">
        <v>37</v>
      </c>
      <c r="E888" s="1085"/>
      <c r="F888" s="691"/>
      <c r="G888" s="691"/>
      <c r="H888" s="691"/>
      <c r="I888" s="691"/>
      <c r="J888" s="691"/>
      <c r="K888" s="665"/>
      <c r="L888" s="666">
        <f t="shared" si="73"/>
        <v>0</v>
      </c>
      <c r="M888" s="672"/>
      <c r="N888" s="668"/>
      <c r="O888" s="676"/>
      <c r="P888" s="676"/>
    </row>
    <row r="889" spans="1:16" s="677" customFormat="1" ht="23.25">
      <c r="A889" s="787"/>
      <c r="B889" s="791" t="s">
        <v>1967</v>
      </c>
      <c r="C889" s="787">
        <f>5000*8.2</f>
        <v>41000</v>
      </c>
      <c r="D889" s="789" t="s">
        <v>522</v>
      </c>
      <c r="E889" s="1085"/>
      <c r="F889" s="691"/>
      <c r="G889" s="691"/>
      <c r="H889" s="691"/>
      <c r="I889" s="691"/>
      <c r="J889" s="691"/>
      <c r="K889" s="665"/>
      <c r="L889" s="666">
        <f t="shared" si="73"/>
        <v>0</v>
      </c>
      <c r="M889" s="672"/>
      <c r="N889" s="668"/>
      <c r="O889" s="676"/>
      <c r="P889" s="676"/>
    </row>
    <row r="890" spans="1:16" s="677" customFormat="1" ht="23.25">
      <c r="A890" s="787"/>
      <c r="B890" s="791" t="str">
        <f>[8]Data!O2626</f>
        <v>T.W DOOR SHUTTER TWO LEAVES(1200 X 2100 mm ) with Brass Fittings</v>
      </c>
      <c r="C890" s="787">
        <f>[8]Data!R2654</f>
        <v>6199.77</v>
      </c>
      <c r="D890" s="789" t="s">
        <v>37</v>
      </c>
      <c r="E890" s="1085"/>
      <c r="F890" s="691"/>
      <c r="G890" s="691"/>
      <c r="H890" s="691"/>
      <c r="I890" s="691"/>
      <c r="J890" s="691"/>
      <c r="K890" s="665"/>
      <c r="L890" s="666">
        <f t="shared" si="73"/>
        <v>0</v>
      </c>
      <c r="M890" s="672"/>
      <c r="N890" s="668"/>
      <c r="O890" s="676"/>
      <c r="P890" s="676"/>
    </row>
    <row r="891" spans="1:16" s="677" customFormat="1" ht="23.25">
      <c r="A891" s="787"/>
      <c r="B891" s="791" t="s">
        <v>1968</v>
      </c>
      <c r="C891" s="787">
        <f>[8]Data!R1124</f>
        <v>5040.1899999999996</v>
      </c>
      <c r="D891" s="789" t="s">
        <v>37</v>
      </c>
      <c r="E891" s="1085"/>
      <c r="F891" s="691"/>
      <c r="G891" s="691"/>
      <c r="H891" s="691"/>
      <c r="I891" s="691"/>
      <c r="J891" s="691"/>
      <c r="K891" s="665"/>
      <c r="L891" s="666">
        <f t="shared" si="73"/>
        <v>0</v>
      </c>
      <c r="M891" s="672"/>
      <c r="N891" s="668"/>
      <c r="O891" s="676"/>
      <c r="P891" s="676"/>
    </row>
    <row r="892" spans="1:16" s="677" customFormat="1" ht="23.25">
      <c r="A892" s="787"/>
      <c r="B892" s="791" t="s">
        <v>1969</v>
      </c>
      <c r="C892" s="787">
        <f>[8]Data!R3203</f>
        <v>6182.41</v>
      </c>
      <c r="D892" s="789" t="s">
        <v>37</v>
      </c>
      <c r="E892" s="1085"/>
      <c r="F892" s="691"/>
      <c r="G892" s="691"/>
      <c r="H892" s="691"/>
      <c r="I892" s="691"/>
      <c r="J892" s="691"/>
      <c r="K892" s="665"/>
      <c r="L892" s="666">
        <f t="shared" si="73"/>
        <v>0</v>
      </c>
      <c r="M892" s="672"/>
      <c r="N892" s="668"/>
      <c r="O892" s="676"/>
      <c r="P892" s="676"/>
    </row>
    <row r="893" spans="1:16" s="677" customFormat="1" ht="23.25">
      <c r="A893" s="787"/>
      <c r="B893" s="791" t="s">
        <v>1970</v>
      </c>
      <c r="C893" s="787">
        <f>[8]Data!R3272</f>
        <v>6164.11</v>
      </c>
      <c r="D893" s="789" t="s">
        <v>37</v>
      </c>
      <c r="E893" s="1085"/>
      <c r="F893" s="691"/>
      <c r="G893" s="691"/>
      <c r="H893" s="691"/>
      <c r="I893" s="691"/>
      <c r="J893" s="691"/>
      <c r="K893" s="665"/>
      <c r="L893" s="666">
        <f t="shared" si="73"/>
        <v>0</v>
      </c>
      <c r="M893" s="672"/>
      <c r="N893" s="668"/>
      <c r="O893" s="676"/>
      <c r="P893" s="676"/>
    </row>
    <row r="894" spans="1:16" s="677" customFormat="1" ht="23.25">
      <c r="A894" s="787"/>
      <c r="B894" s="791" t="s">
        <v>1971</v>
      </c>
      <c r="C894" s="787">
        <f>[8]Data!K3331</f>
        <v>4845.1099999999997</v>
      </c>
      <c r="D894" s="789" t="s">
        <v>37</v>
      </c>
      <c r="E894" s="1085"/>
      <c r="F894" s="691"/>
      <c r="G894" s="691"/>
      <c r="H894" s="691"/>
      <c r="I894" s="691"/>
      <c r="J894" s="691"/>
      <c r="K894" s="665"/>
      <c r="L894" s="666">
        <f t="shared" si="73"/>
        <v>0</v>
      </c>
      <c r="M894" s="672"/>
      <c r="N894" s="668"/>
      <c r="O894" s="676"/>
      <c r="P894" s="676"/>
    </row>
    <row r="895" spans="1:16" s="677" customFormat="1" ht="69.75">
      <c r="A895" s="787"/>
      <c r="B895" s="685" t="s">
        <v>1972</v>
      </c>
      <c r="C895" s="787">
        <f>[8]Data!R3339</f>
        <v>4942.12</v>
      </c>
      <c r="D895" s="789" t="s">
        <v>37</v>
      </c>
      <c r="E895" s="1085"/>
      <c r="F895" s="691"/>
      <c r="G895" s="691"/>
      <c r="H895" s="691"/>
      <c r="I895" s="691"/>
      <c r="J895" s="691"/>
      <c r="K895" s="665"/>
      <c r="L895" s="666">
        <f t="shared" si="73"/>
        <v>0</v>
      </c>
      <c r="M895" s="672"/>
      <c r="N895" s="668"/>
      <c r="O895" s="676"/>
      <c r="P895" s="676"/>
    </row>
    <row r="896" spans="1:16" s="677" customFormat="1" ht="69.75">
      <c r="A896" s="787"/>
      <c r="B896" s="685" t="s">
        <v>1973</v>
      </c>
      <c r="C896" s="787">
        <f>[8]Data!R3452</f>
        <v>5792.32</v>
      </c>
      <c r="D896" s="789" t="s">
        <v>37</v>
      </c>
      <c r="E896" s="1085"/>
      <c r="F896" s="691"/>
      <c r="G896" s="691"/>
      <c r="H896" s="691"/>
      <c r="I896" s="691"/>
      <c r="J896" s="691"/>
      <c r="K896" s="665"/>
      <c r="L896" s="666">
        <f t="shared" si="73"/>
        <v>0</v>
      </c>
      <c r="M896" s="672"/>
      <c r="N896" s="668"/>
      <c r="O896" s="676"/>
      <c r="P896" s="676"/>
    </row>
    <row r="897" spans="1:16" s="677" customFormat="1" ht="46.5">
      <c r="A897" s="787"/>
      <c r="B897" s="663" t="s">
        <v>1974</v>
      </c>
      <c r="C897" s="787">
        <f>[8]Data!K3434</f>
        <v>5051.6899999999996</v>
      </c>
      <c r="D897" s="789" t="s">
        <v>37</v>
      </c>
      <c r="E897" s="1085"/>
      <c r="F897" s="691"/>
      <c r="G897" s="691"/>
      <c r="H897" s="691"/>
      <c r="I897" s="691"/>
      <c r="J897" s="691"/>
      <c r="K897" s="665"/>
      <c r="L897" s="666">
        <f t="shared" si="73"/>
        <v>0</v>
      </c>
      <c r="M897" s="672"/>
      <c r="N897" s="668"/>
      <c r="O897" s="676"/>
      <c r="P897" s="676"/>
    </row>
    <row r="898" spans="1:16" s="677" customFormat="1" ht="23.25">
      <c r="A898" s="787"/>
      <c r="B898" s="791" t="s">
        <v>1975</v>
      </c>
      <c r="C898" s="787">
        <f>[8]Data!R3374</f>
        <v>5522.66</v>
      </c>
      <c r="D898" s="789" t="s">
        <v>37</v>
      </c>
      <c r="E898" s="1085"/>
      <c r="F898" s="691"/>
      <c r="G898" s="691"/>
      <c r="H898" s="691"/>
      <c r="I898" s="691"/>
      <c r="J898" s="691"/>
      <c r="K898" s="665"/>
      <c r="L898" s="666">
        <f t="shared" si="73"/>
        <v>0</v>
      </c>
      <c r="M898" s="672"/>
      <c r="N898" s="668"/>
      <c r="O898" s="676"/>
      <c r="P898" s="676"/>
    </row>
    <row r="899" spans="1:16" s="677" customFormat="1" ht="23.25">
      <c r="A899" s="787"/>
      <c r="B899" s="791" t="s">
        <v>1976</v>
      </c>
      <c r="C899" s="787">
        <f>[8]Data!R3408</f>
        <v>4897.2299999999996</v>
      </c>
      <c r="D899" s="789" t="s">
        <v>37</v>
      </c>
      <c r="E899" s="1085"/>
      <c r="F899" s="691"/>
      <c r="G899" s="691"/>
      <c r="H899" s="691"/>
      <c r="I899" s="691"/>
      <c r="J899" s="691"/>
      <c r="K899" s="665"/>
      <c r="L899" s="666">
        <f t="shared" si="73"/>
        <v>0</v>
      </c>
      <c r="M899" s="672"/>
      <c r="N899" s="668"/>
      <c r="O899" s="676"/>
      <c r="P899" s="676"/>
    </row>
    <row r="900" spans="1:16" s="677" customFormat="1" ht="23.25">
      <c r="A900" s="787"/>
      <c r="B900" s="791" t="s">
        <v>1977</v>
      </c>
      <c r="C900" s="787">
        <f>[8]Data!R3305</f>
        <v>5445.16</v>
      </c>
      <c r="D900" s="789" t="s">
        <v>37</v>
      </c>
      <c r="E900" s="1085"/>
      <c r="F900" s="691"/>
      <c r="G900" s="691"/>
      <c r="H900" s="691"/>
      <c r="I900" s="691"/>
      <c r="J900" s="691"/>
      <c r="K900" s="665"/>
      <c r="L900" s="666">
        <f t="shared" si="73"/>
        <v>0</v>
      </c>
      <c r="M900" s="672"/>
      <c r="N900" s="668"/>
      <c r="O900" s="676"/>
      <c r="P900" s="676"/>
    </row>
    <row r="901" spans="1:16" s="677" customFormat="1" ht="23.25">
      <c r="A901" s="787"/>
      <c r="B901" s="791" t="s">
        <v>1978</v>
      </c>
      <c r="C901" s="787">
        <f>[8]Data!R3339</f>
        <v>4942.12</v>
      </c>
      <c r="D901" s="789" t="s">
        <v>37</v>
      </c>
      <c r="E901" s="1085"/>
      <c r="F901" s="691"/>
      <c r="G901" s="691"/>
      <c r="H901" s="691"/>
      <c r="I901" s="691"/>
      <c r="J901" s="691"/>
      <c r="K901" s="665"/>
      <c r="L901" s="666">
        <f t="shared" si="73"/>
        <v>0</v>
      </c>
      <c r="M901" s="672"/>
      <c r="N901" s="668"/>
      <c r="O901" s="676"/>
      <c r="P901" s="676"/>
    </row>
    <row r="902" spans="1:16" s="677" customFormat="1" ht="23.25">
      <c r="A902" s="787"/>
      <c r="B902" s="791" t="s">
        <v>1979</v>
      </c>
      <c r="C902" s="787">
        <f>[8]Elec.Data!K3481</f>
        <v>1242.21</v>
      </c>
      <c r="D902" s="789" t="s">
        <v>522</v>
      </c>
      <c r="E902" s="1085"/>
      <c r="F902" s="691"/>
      <c r="G902" s="691"/>
      <c r="H902" s="691"/>
      <c r="I902" s="691"/>
      <c r="J902" s="691"/>
      <c r="K902" s="665"/>
      <c r="L902" s="666">
        <f t="shared" si="73"/>
        <v>0</v>
      </c>
      <c r="M902" s="672"/>
      <c r="N902" s="668"/>
      <c r="O902" s="676"/>
      <c r="P902" s="676"/>
    </row>
    <row r="903" spans="1:16" s="677" customFormat="1" ht="23.25">
      <c r="A903" s="787"/>
      <c r="B903" s="791" t="s">
        <v>584</v>
      </c>
      <c r="C903" s="787">
        <f>[8]Elec.Data!K3547</f>
        <v>165</v>
      </c>
      <c r="D903" s="789" t="s">
        <v>61</v>
      </c>
      <c r="E903" s="1085"/>
      <c r="F903" s="691"/>
      <c r="G903" s="691"/>
      <c r="H903" s="691"/>
      <c r="I903" s="691"/>
      <c r="J903" s="691"/>
      <c r="K903" s="665"/>
      <c r="L903" s="666">
        <f t="shared" si="73"/>
        <v>0</v>
      </c>
      <c r="M903" s="672"/>
      <c r="N903" s="668"/>
      <c r="O903" s="676"/>
      <c r="P903" s="676"/>
    </row>
    <row r="904" spans="1:16" s="677" customFormat="1" ht="23.25">
      <c r="A904" s="787"/>
      <c r="B904" s="747" t="s">
        <v>1980</v>
      </c>
      <c r="C904" s="787">
        <f>[8]Elec.Data!K3468</f>
        <v>2972.1</v>
      </c>
      <c r="D904" s="789" t="s">
        <v>522</v>
      </c>
      <c r="E904" s="1085"/>
      <c r="F904" s="691"/>
      <c r="G904" s="691"/>
      <c r="H904" s="691"/>
      <c r="I904" s="691"/>
      <c r="J904" s="691"/>
      <c r="K904" s="665"/>
      <c r="L904" s="666">
        <f t="shared" si="73"/>
        <v>0</v>
      </c>
      <c r="M904" s="672"/>
      <c r="N904" s="668"/>
      <c r="O904" s="676"/>
      <c r="P904" s="676"/>
    </row>
    <row r="905" spans="1:16" s="677" customFormat="1" ht="23.25">
      <c r="A905" s="787"/>
      <c r="B905" s="791" t="s">
        <v>1981</v>
      </c>
      <c r="C905" s="787">
        <f>[8]Data!K2981</f>
        <v>2980.14</v>
      </c>
      <c r="D905" s="789" t="s">
        <v>37</v>
      </c>
      <c r="E905" s="1085"/>
      <c r="F905" s="691"/>
      <c r="G905" s="691"/>
      <c r="H905" s="691"/>
      <c r="I905" s="691"/>
      <c r="J905" s="691"/>
      <c r="K905" s="665"/>
      <c r="L905" s="666">
        <f t="shared" si="73"/>
        <v>0</v>
      </c>
      <c r="M905" s="672"/>
      <c r="N905" s="668"/>
      <c r="O905" s="676"/>
      <c r="P905" s="676"/>
    </row>
    <row r="906" spans="1:16" s="677" customFormat="1" ht="23.25">
      <c r="A906" s="787"/>
      <c r="B906" s="791" t="s">
        <v>1982</v>
      </c>
      <c r="C906" s="787">
        <f>[8]Data!K2845</f>
        <v>2937.59</v>
      </c>
      <c r="D906" s="789" t="s">
        <v>37</v>
      </c>
      <c r="E906" s="1085"/>
      <c r="F906" s="691"/>
      <c r="G906" s="691"/>
      <c r="H906" s="691"/>
      <c r="I906" s="691"/>
      <c r="J906" s="691"/>
      <c r="K906" s="665"/>
      <c r="L906" s="666">
        <f t="shared" si="73"/>
        <v>0</v>
      </c>
      <c r="M906" s="672"/>
      <c r="N906" s="668"/>
      <c r="O906" s="676"/>
      <c r="P906" s="676"/>
    </row>
    <row r="907" spans="1:16" s="677" customFormat="1" ht="23.25">
      <c r="A907" s="787"/>
      <c r="B907" s="791" t="s">
        <v>1983</v>
      </c>
      <c r="C907" s="787">
        <f>[8]Data!R2988</f>
        <v>2863.99</v>
      </c>
      <c r="D907" s="789" t="s">
        <v>37</v>
      </c>
      <c r="E907" s="1085"/>
      <c r="F907" s="691"/>
      <c r="G907" s="691"/>
      <c r="H907" s="691"/>
      <c r="I907" s="691"/>
      <c r="J907" s="691"/>
      <c r="K907" s="665"/>
      <c r="L907" s="666">
        <f t="shared" si="73"/>
        <v>0</v>
      </c>
      <c r="M907" s="672"/>
      <c r="N907" s="668"/>
      <c r="O907" s="676"/>
      <c r="P907" s="676"/>
    </row>
    <row r="908" spans="1:16" s="677" customFormat="1" ht="23.25">
      <c r="A908" s="787"/>
      <c r="B908" s="791" t="s">
        <v>1984</v>
      </c>
      <c r="C908" s="787">
        <f>[8]Data!K3085</f>
        <v>3082.51</v>
      </c>
      <c r="D908" s="789" t="s">
        <v>37</v>
      </c>
      <c r="E908" s="1085"/>
      <c r="F908" s="691"/>
      <c r="G908" s="691"/>
      <c r="H908" s="691"/>
      <c r="I908" s="691"/>
      <c r="J908" s="691"/>
      <c r="K908" s="665"/>
      <c r="L908" s="666">
        <f t="shared" si="73"/>
        <v>0</v>
      </c>
      <c r="M908" s="672"/>
      <c r="N908" s="668"/>
      <c r="O908" s="676"/>
      <c r="P908" s="676"/>
    </row>
    <row r="909" spans="1:16" s="677" customFormat="1" ht="23.25">
      <c r="A909" s="787"/>
      <c r="B909" s="791" t="s">
        <v>1985</v>
      </c>
      <c r="C909" s="787">
        <f>[8]Data!K3066</f>
        <v>3205.31</v>
      </c>
      <c r="D909" s="789" t="s">
        <v>37</v>
      </c>
      <c r="E909" s="1085"/>
      <c r="F909" s="691"/>
      <c r="G909" s="691"/>
      <c r="H909" s="691"/>
      <c r="I909" s="691"/>
      <c r="J909" s="691"/>
      <c r="K909" s="665" t="e">
        <f>#REF!+#REF!+#REF!+#REF!+#REF!+#REF!</f>
        <v>#REF!</v>
      </c>
      <c r="L909" s="666" t="e">
        <f t="shared" si="73"/>
        <v>#REF!</v>
      </c>
      <c r="M909" s="672"/>
      <c r="N909" s="668"/>
      <c r="O909" s="676"/>
      <c r="P909" s="676"/>
    </row>
    <row r="910" spans="1:16" s="677" customFormat="1" ht="23.25">
      <c r="A910" s="787"/>
      <c r="B910" s="791" t="s">
        <v>1986</v>
      </c>
      <c r="C910" s="787">
        <f>[8]Data!R3073</f>
        <v>3027.67</v>
      </c>
      <c r="D910" s="789" t="s">
        <v>37</v>
      </c>
      <c r="E910" s="1085"/>
      <c r="F910" s="691"/>
      <c r="G910" s="691"/>
      <c r="H910" s="691"/>
      <c r="I910" s="691"/>
      <c r="J910" s="691"/>
      <c r="K910" s="665" t="e">
        <f>#REF!+#REF!+#REF!+#REF!+#REF!+#REF!</f>
        <v>#REF!</v>
      </c>
      <c r="L910" s="666" t="e">
        <f t="shared" si="73"/>
        <v>#REF!</v>
      </c>
      <c r="M910" s="672"/>
      <c r="N910" s="668"/>
      <c r="O910" s="676"/>
      <c r="P910" s="676"/>
    </row>
    <row r="911" spans="1:16" s="677" customFormat="1" ht="46.5">
      <c r="A911" s="787"/>
      <c r="B911" s="792" t="s">
        <v>1987</v>
      </c>
      <c r="C911" s="787">
        <f>[8]Data!K2877</f>
        <v>2110.4899999999998</v>
      </c>
      <c r="D911" s="789" t="s">
        <v>37</v>
      </c>
      <c r="E911" s="1085"/>
      <c r="F911" s="691"/>
      <c r="G911" s="691"/>
      <c r="H911" s="691"/>
      <c r="I911" s="691"/>
      <c r="J911" s="691"/>
      <c r="K911" s="665" t="e">
        <f>#REF!+#REF!+#REF!+#REF!+#REF!+#REF!</f>
        <v>#REF!</v>
      </c>
      <c r="L911" s="666" t="e">
        <f t="shared" si="73"/>
        <v>#REF!</v>
      </c>
      <c r="M911" s="672"/>
      <c r="N911" s="668"/>
      <c r="O911" s="676"/>
      <c r="P911" s="676"/>
    </row>
    <row r="912" spans="1:16" s="677" customFormat="1" ht="23.25">
      <c r="A912" s="787"/>
      <c r="B912" s="791" t="s">
        <v>1988</v>
      </c>
      <c r="C912" s="787">
        <f>[8]Data!K1154</f>
        <v>109.86</v>
      </c>
      <c r="D912" s="789"/>
      <c r="E912" s="1085"/>
      <c r="F912" s="691"/>
      <c r="G912" s="691"/>
      <c r="H912" s="691"/>
      <c r="I912" s="691"/>
      <c r="J912" s="691"/>
      <c r="K912" s="665" t="e">
        <f>#REF!+#REF!+#REF!+#REF!+#REF!+#REF!</f>
        <v>#REF!</v>
      </c>
      <c r="L912" s="666" t="e">
        <f t="shared" si="73"/>
        <v>#REF!</v>
      </c>
      <c r="M912" s="672"/>
      <c r="N912" s="668"/>
      <c r="O912" s="676"/>
      <c r="P912" s="676"/>
    </row>
    <row r="913" spans="1:16" s="677" customFormat="1" ht="23.25">
      <c r="A913" s="787"/>
      <c r="B913" s="791" t="s">
        <v>1989</v>
      </c>
      <c r="C913" s="787">
        <f>[8]Data!K1167</f>
        <v>172.13</v>
      </c>
      <c r="D913" s="789"/>
      <c r="E913" s="1085"/>
      <c r="F913" s="691"/>
      <c r="G913" s="691"/>
      <c r="H913" s="691"/>
      <c r="I913" s="691"/>
      <c r="J913" s="691"/>
      <c r="K913" s="665" t="e">
        <f>#REF!+#REF!+#REF!+#REF!+#REF!+#REF!</f>
        <v>#REF!</v>
      </c>
      <c r="L913" s="666" t="e">
        <f t="shared" si="73"/>
        <v>#REF!</v>
      </c>
      <c r="M913" s="672"/>
      <c r="N913" s="668"/>
      <c r="O913" s="676"/>
      <c r="P913" s="676"/>
    </row>
    <row r="914" spans="1:16" s="677" customFormat="1" ht="23.25">
      <c r="A914" s="787"/>
      <c r="B914" s="791" t="s">
        <v>1990</v>
      </c>
      <c r="C914" s="787">
        <f>[8]Data!K2448</f>
        <v>690.97</v>
      </c>
      <c r="D914" s="789"/>
      <c r="E914" s="1085"/>
      <c r="F914" s="691"/>
      <c r="G914" s="691"/>
      <c r="H914" s="691"/>
      <c r="I914" s="691"/>
      <c r="J914" s="691"/>
      <c r="K914" s="665" t="e">
        <f>#REF!+#REF!+#REF!+#REF!+#REF!+#REF!</f>
        <v>#REF!</v>
      </c>
      <c r="L914" s="666" t="e">
        <f t="shared" si="73"/>
        <v>#REF!</v>
      </c>
      <c r="M914" s="672"/>
      <c r="N914" s="668"/>
      <c r="O914" s="676"/>
      <c r="P914" s="676"/>
    </row>
    <row r="915" spans="1:16" s="677" customFormat="1" ht="23.25">
      <c r="A915" s="787"/>
      <c r="B915" s="791" t="s">
        <v>1991</v>
      </c>
      <c r="C915" s="787">
        <f>[8]Data!K2798</f>
        <v>1556.88</v>
      </c>
      <c r="D915" s="789"/>
      <c r="E915" s="1085"/>
      <c r="F915" s="691"/>
      <c r="G915" s="691"/>
      <c r="H915" s="691"/>
      <c r="I915" s="691"/>
      <c r="J915" s="691"/>
      <c r="K915" s="665" t="e">
        <f>#REF!+#REF!+#REF!+#REF!+#REF!+#REF!</f>
        <v>#REF!</v>
      </c>
      <c r="L915" s="666" t="e">
        <f t="shared" si="73"/>
        <v>#REF!</v>
      </c>
      <c r="M915" s="672"/>
      <c r="N915" s="668"/>
      <c r="O915" s="676"/>
      <c r="P915" s="676"/>
    </row>
    <row r="916" spans="1:16" s="677" customFormat="1" ht="69.75">
      <c r="A916" s="787"/>
      <c r="B916" s="792" t="s">
        <v>1992</v>
      </c>
      <c r="C916" s="787">
        <f>[8]Elec.Data!K3011</f>
        <v>2424.4299999999998</v>
      </c>
      <c r="D916" s="789"/>
      <c r="E916" s="1085"/>
      <c r="F916" s="691"/>
      <c r="G916" s="691"/>
      <c r="H916" s="691"/>
      <c r="I916" s="691"/>
      <c r="J916" s="691"/>
      <c r="K916" s="665" t="e">
        <f>#REF!+#REF!+#REF!+#REF!+#REF!+#REF!</f>
        <v>#REF!</v>
      </c>
      <c r="L916" s="666" t="e">
        <f t="shared" si="73"/>
        <v>#REF!</v>
      </c>
      <c r="M916" s="672"/>
      <c r="N916" s="668"/>
      <c r="O916" s="676"/>
      <c r="P916" s="676"/>
    </row>
    <row r="917" spans="1:16" s="677" customFormat="1" ht="69.75">
      <c r="A917" s="787"/>
      <c r="B917" s="792" t="s">
        <v>1993</v>
      </c>
      <c r="C917" s="787">
        <f>[8]Elec.Data!K3023</f>
        <v>2425.48</v>
      </c>
      <c r="D917" s="789"/>
      <c r="E917" s="1085"/>
      <c r="F917" s="691"/>
      <c r="G917" s="691"/>
      <c r="H917" s="691"/>
      <c r="I917" s="691"/>
      <c r="J917" s="691"/>
      <c r="K917" s="665" t="e">
        <f>#REF!+#REF!+#REF!+#REF!+#REF!+#REF!</f>
        <v>#REF!</v>
      </c>
      <c r="L917" s="666" t="e">
        <f t="shared" si="73"/>
        <v>#REF!</v>
      </c>
      <c r="M917" s="672"/>
      <c r="N917" s="668"/>
      <c r="O917" s="676"/>
      <c r="P917" s="676"/>
    </row>
    <row r="918" spans="1:16" s="677" customFormat="1" ht="46.5">
      <c r="A918" s="787"/>
      <c r="B918" s="792" t="s">
        <v>1994</v>
      </c>
      <c r="C918" s="787">
        <f>[8]Elec.Data!K3044</f>
        <v>2491.65</v>
      </c>
      <c r="D918" s="789"/>
      <c r="E918" s="1085"/>
      <c r="F918" s="691"/>
      <c r="G918" s="691"/>
      <c r="H918" s="691"/>
      <c r="I918" s="691"/>
      <c r="J918" s="691"/>
      <c r="K918" s="665" t="e">
        <f>#REF!+#REF!+#REF!+#REF!+#REF!+#REF!</f>
        <v>#REF!</v>
      </c>
      <c r="L918" s="666" t="e">
        <f t="shared" si="73"/>
        <v>#REF!</v>
      </c>
      <c r="M918" s="672"/>
      <c r="N918" s="668"/>
      <c r="O918" s="676"/>
      <c r="P918" s="676"/>
    </row>
    <row r="919" spans="1:16" s="677" customFormat="1" ht="69.75">
      <c r="A919" s="787"/>
      <c r="B919" s="792" t="s">
        <v>1995</v>
      </c>
      <c r="C919" s="787">
        <f>[8]Elec.Data!K3063</f>
        <v>4553.6099999999997</v>
      </c>
      <c r="D919" s="789"/>
      <c r="E919" s="1085"/>
      <c r="F919" s="691"/>
      <c r="G919" s="691"/>
      <c r="H919" s="691"/>
      <c r="I919" s="691"/>
      <c r="J919" s="691"/>
      <c r="K919" s="665" t="e">
        <f>#REF!+#REF!+#REF!+#REF!+#REF!+#REF!</f>
        <v>#REF!</v>
      </c>
      <c r="L919" s="666" t="e">
        <f t="shared" si="73"/>
        <v>#REF!</v>
      </c>
      <c r="M919" s="672"/>
      <c r="N919" s="668"/>
      <c r="O919" s="676"/>
      <c r="P919" s="676"/>
    </row>
    <row r="920" spans="1:16" s="677" customFormat="1" ht="23.25">
      <c r="A920" s="787"/>
      <c r="B920" s="792" t="s">
        <v>1996</v>
      </c>
      <c r="C920" s="787">
        <f>[8]Elec.Data!K3092</f>
        <v>209.78</v>
      </c>
      <c r="D920" s="789"/>
      <c r="E920" s="1085"/>
      <c r="F920" s="691"/>
      <c r="G920" s="691"/>
      <c r="H920" s="691"/>
      <c r="I920" s="691"/>
      <c r="J920" s="691"/>
      <c r="K920" s="665" t="e">
        <f>#REF!+#REF!+#REF!+#REF!+#REF!+#REF!</f>
        <v>#REF!</v>
      </c>
      <c r="L920" s="666" t="e">
        <f t="shared" si="73"/>
        <v>#REF!</v>
      </c>
      <c r="M920" s="672"/>
      <c r="N920" s="668"/>
      <c r="O920" s="676"/>
      <c r="P920" s="676"/>
    </row>
    <row r="921" spans="1:16" s="677" customFormat="1" ht="23.25">
      <c r="A921" s="787"/>
      <c r="B921" s="792" t="s">
        <v>1997</v>
      </c>
      <c r="C921" s="787">
        <f>[8]Elec.Data!K3105</f>
        <v>246.68</v>
      </c>
      <c r="D921" s="789"/>
      <c r="E921" s="1085"/>
      <c r="F921" s="691"/>
      <c r="G921" s="691"/>
      <c r="H921" s="691"/>
      <c r="I921" s="691"/>
      <c r="J921" s="691"/>
      <c r="K921" s="665" t="e">
        <f>#REF!+#REF!+#REF!+#REF!+#REF!+#REF!</f>
        <v>#REF!</v>
      </c>
      <c r="L921" s="666" t="e">
        <f t="shared" si="73"/>
        <v>#REF!</v>
      </c>
      <c r="M921" s="672"/>
      <c r="N921" s="668"/>
      <c r="O921" s="676"/>
      <c r="P921" s="676"/>
    </row>
    <row r="922" spans="1:16" s="677" customFormat="1" ht="23.25">
      <c r="A922" s="787"/>
      <c r="B922" s="792" t="s">
        <v>1998</v>
      </c>
      <c r="C922" s="787">
        <f>[8]Elec.Data!K3119</f>
        <v>368.57</v>
      </c>
      <c r="D922" s="789"/>
      <c r="E922" s="1085"/>
      <c r="F922" s="691"/>
      <c r="G922" s="691"/>
      <c r="H922" s="691"/>
      <c r="I922" s="691"/>
      <c r="J922" s="691"/>
      <c r="K922" s="665" t="e">
        <f>#REF!+#REF!+#REF!+#REF!+#REF!+#REF!</f>
        <v>#REF!</v>
      </c>
      <c r="L922" s="666" t="e">
        <f t="shared" si="73"/>
        <v>#REF!</v>
      </c>
      <c r="M922" s="672"/>
      <c r="N922" s="668"/>
      <c r="O922" s="676"/>
      <c r="P922" s="676"/>
    </row>
    <row r="923" spans="1:16" s="677" customFormat="1" ht="93">
      <c r="A923" s="787"/>
      <c r="B923" s="792" t="s">
        <v>1999</v>
      </c>
      <c r="C923" s="787">
        <f>[8]Elec.Data!K3173</f>
        <v>1308</v>
      </c>
      <c r="D923" s="789"/>
      <c r="E923" s="1085"/>
      <c r="F923" s="691"/>
      <c r="G923" s="691"/>
      <c r="H923" s="691"/>
      <c r="I923" s="691"/>
      <c r="J923" s="691"/>
      <c r="K923" s="665" t="e">
        <f>#REF!+#REF!+#REF!+#REF!+#REF!+#REF!</f>
        <v>#REF!</v>
      </c>
      <c r="L923" s="666" t="e">
        <f t="shared" si="73"/>
        <v>#REF!</v>
      </c>
      <c r="M923" s="672"/>
      <c r="N923" s="668"/>
      <c r="O923" s="676"/>
      <c r="P923" s="676"/>
    </row>
    <row r="924" spans="1:16" s="677" customFormat="1" ht="93">
      <c r="A924" s="787"/>
      <c r="B924" s="792" t="s">
        <v>2000</v>
      </c>
      <c r="C924" s="787">
        <f>[8]Elec.Data!K3184</f>
        <v>984.5</v>
      </c>
      <c r="D924" s="789"/>
      <c r="E924" s="1085"/>
      <c r="F924" s="691"/>
      <c r="G924" s="691"/>
      <c r="H924" s="691"/>
      <c r="I924" s="691"/>
      <c r="J924" s="691"/>
      <c r="K924" s="665" t="e">
        <f>#REF!+#REF!+#REF!+#REF!+#REF!+#REF!</f>
        <v>#REF!</v>
      </c>
      <c r="L924" s="666" t="e">
        <f t="shared" si="73"/>
        <v>#REF!</v>
      </c>
      <c r="M924" s="672"/>
      <c r="N924" s="668"/>
      <c r="O924" s="676"/>
      <c r="P924" s="676"/>
    </row>
    <row r="925" spans="1:16" s="677" customFormat="1" ht="69.75">
      <c r="A925" s="787"/>
      <c r="B925" s="792" t="s">
        <v>2001</v>
      </c>
      <c r="C925" s="787">
        <f>[8]Elec.Data!K3195</f>
        <v>1662.67</v>
      </c>
      <c r="D925" s="789"/>
      <c r="E925" s="1085"/>
      <c r="F925" s="691"/>
      <c r="G925" s="691"/>
      <c r="H925" s="691"/>
      <c r="I925" s="691"/>
      <c r="J925" s="691"/>
      <c r="K925" s="665" t="e">
        <f>#REF!+#REF!+#REF!+#REF!+#REF!+#REF!</f>
        <v>#REF!</v>
      </c>
      <c r="L925" s="666" t="e">
        <f t="shared" si="73"/>
        <v>#REF!</v>
      </c>
      <c r="M925" s="672"/>
      <c r="N925" s="668"/>
      <c r="O925" s="676"/>
      <c r="P925" s="676"/>
    </row>
    <row r="926" spans="1:16" s="677" customFormat="1" ht="69.75">
      <c r="A926" s="787"/>
      <c r="B926" s="792" t="s">
        <v>2002</v>
      </c>
      <c r="C926" s="787">
        <f>[8]Elec.Data!K3210</f>
        <v>2083.67</v>
      </c>
      <c r="D926" s="789"/>
      <c r="E926" s="1085"/>
      <c r="F926" s="691"/>
      <c r="G926" s="691"/>
      <c r="H926" s="691"/>
      <c r="I926" s="691"/>
      <c r="J926" s="691"/>
      <c r="K926" s="665" t="e">
        <f>#REF!+#REF!+#REF!+#REF!+#REF!+#REF!</f>
        <v>#REF!</v>
      </c>
      <c r="L926" s="666" t="e">
        <f t="shared" si="73"/>
        <v>#REF!</v>
      </c>
      <c r="M926" s="672"/>
      <c r="N926" s="668"/>
      <c r="O926" s="676"/>
      <c r="P926" s="676"/>
    </row>
    <row r="927" spans="1:16" s="677" customFormat="1" ht="116.25">
      <c r="A927" s="787"/>
      <c r="B927" s="792" t="s">
        <v>2003</v>
      </c>
      <c r="C927" s="787">
        <f>[8]Elec.Data!K3233</f>
        <v>4116.8500000000004</v>
      </c>
      <c r="D927" s="789"/>
      <c r="E927" s="1085"/>
      <c r="F927" s="691"/>
      <c r="G927" s="691"/>
      <c r="H927" s="691"/>
      <c r="I927" s="691"/>
      <c r="J927" s="691"/>
      <c r="K927" s="665" t="e">
        <f>#REF!+#REF!+#REF!+#REF!+#REF!+#REF!</f>
        <v>#REF!</v>
      </c>
      <c r="L927" s="666" t="e">
        <f t="shared" si="73"/>
        <v>#REF!</v>
      </c>
      <c r="M927" s="672"/>
      <c r="N927" s="668"/>
      <c r="O927" s="676"/>
      <c r="P927" s="676"/>
    </row>
    <row r="928" spans="1:16" s="677" customFormat="1" ht="93">
      <c r="A928" s="787"/>
      <c r="B928" s="792" t="s">
        <v>2004</v>
      </c>
      <c r="C928" s="787">
        <f>[8]Elec.Data!K3221</f>
        <v>3342.85</v>
      </c>
      <c r="D928" s="789"/>
      <c r="E928" s="1085"/>
      <c r="F928" s="691"/>
      <c r="G928" s="691"/>
      <c r="H928" s="691"/>
      <c r="I928" s="691"/>
      <c r="J928" s="691"/>
      <c r="K928" s="665" t="e">
        <f>#REF!+#REF!+#REF!+#REF!+#REF!+#REF!</f>
        <v>#REF!</v>
      </c>
      <c r="L928" s="666" t="e">
        <f t="shared" si="73"/>
        <v>#REF!</v>
      </c>
      <c r="M928" s="672"/>
      <c r="N928" s="668"/>
      <c r="O928" s="676"/>
      <c r="P928" s="676"/>
    </row>
    <row r="929" spans="1:16" s="677" customFormat="1" ht="46.5">
      <c r="A929" s="787"/>
      <c r="B929" s="792" t="s">
        <v>2005</v>
      </c>
      <c r="C929" s="787">
        <f>[8]Elec.Data!K3244</f>
        <v>275.19</v>
      </c>
      <c r="D929" s="789"/>
      <c r="E929" s="1085"/>
      <c r="F929" s="691"/>
      <c r="G929" s="691"/>
      <c r="H929" s="691"/>
      <c r="I929" s="691"/>
      <c r="J929" s="691"/>
      <c r="K929" s="665" t="e">
        <f>#REF!+#REF!+#REF!+#REF!+#REF!+#REF!</f>
        <v>#REF!</v>
      </c>
      <c r="L929" s="666" t="e">
        <f t="shared" si="73"/>
        <v>#REF!</v>
      </c>
      <c r="M929" s="672"/>
      <c r="N929" s="668"/>
      <c r="O929" s="676"/>
      <c r="P929" s="676"/>
    </row>
    <row r="930" spans="1:16" s="677" customFormat="1" ht="46.5">
      <c r="A930" s="787"/>
      <c r="B930" s="792" t="s">
        <v>2006</v>
      </c>
      <c r="C930" s="787">
        <f>[8]Elec.Data!K3262</f>
        <v>463.6</v>
      </c>
      <c r="D930" s="789"/>
      <c r="E930" s="1085"/>
      <c r="F930" s="691"/>
      <c r="G930" s="691"/>
      <c r="H930" s="691"/>
      <c r="I930" s="691"/>
      <c r="J930" s="691"/>
      <c r="K930" s="665" t="e">
        <f>#REF!+#REF!+#REF!+#REF!+#REF!+#REF!</f>
        <v>#REF!</v>
      </c>
      <c r="L930" s="666" t="e">
        <f t="shared" si="73"/>
        <v>#REF!</v>
      </c>
      <c r="M930" s="672"/>
      <c r="N930" s="668"/>
      <c r="O930" s="676"/>
      <c r="P930" s="676"/>
    </row>
    <row r="931" spans="1:16" s="677" customFormat="1" ht="46.5">
      <c r="A931" s="787"/>
      <c r="B931" s="792" t="s">
        <v>2007</v>
      </c>
      <c r="C931" s="787">
        <f>[8]Elec.Data!K3333</f>
        <v>361.01</v>
      </c>
      <c r="D931" s="789"/>
      <c r="E931" s="1085"/>
      <c r="F931" s="691"/>
      <c r="G931" s="691"/>
      <c r="H931" s="691"/>
      <c r="I931" s="691"/>
      <c r="J931" s="691"/>
      <c r="K931" s="665" t="e">
        <f>#REF!+#REF!+#REF!+#REF!+#REF!+#REF!</f>
        <v>#REF!</v>
      </c>
      <c r="L931" s="666" t="e">
        <f t="shared" si="73"/>
        <v>#REF!</v>
      </c>
      <c r="M931" s="672"/>
      <c r="N931" s="668"/>
      <c r="O931" s="676"/>
      <c r="P931" s="676"/>
    </row>
    <row r="932" spans="1:16" s="677" customFormat="1" ht="46.5">
      <c r="A932" s="787"/>
      <c r="B932" s="792" t="s">
        <v>2008</v>
      </c>
      <c r="C932" s="787">
        <f>[8]Elec.Data!K3348</f>
        <v>714.1</v>
      </c>
      <c r="D932" s="789"/>
      <c r="E932" s="1085"/>
      <c r="F932" s="691"/>
      <c r="G932" s="691"/>
      <c r="H932" s="691"/>
      <c r="I932" s="691"/>
      <c r="J932" s="691"/>
      <c r="K932" s="665" t="e">
        <f>#REF!+#REF!+#REF!+#REF!+#REF!+#REF!</f>
        <v>#REF!</v>
      </c>
      <c r="L932" s="666" t="e">
        <f t="shared" si="73"/>
        <v>#REF!</v>
      </c>
      <c r="M932" s="672"/>
      <c r="N932" s="668"/>
      <c r="O932" s="676"/>
      <c r="P932" s="676"/>
    </row>
    <row r="933" spans="1:16" s="677" customFormat="1" ht="46.5">
      <c r="A933" s="787"/>
      <c r="B933" s="792" t="s">
        <v>2009</v>
      </c>
      <c r="C933" s="787">
        <f>[8]Elec.Data!K3366</f>
        <v>449.93</v>
      </c>
      <c r="D933" s="789"/>
      <c r="E933" s="1085"/>
      <c r="F933" s="691"/>
      <c r="G933" s="691"/>
      <c r="H933" s="691"/>
      <c r="I933" s="691"/>
      <c r="J933" s="691"/>
      <c r="K933" s="665" t="e">
        <f>#REF!+#REF!+#REF!+#REF!+#REF!+#REF!</f>
        <v>#REF!</v>
      </c>
      <c r="L933" s="666" t="e">
        <f t="shared" si="73"/>
        <v>#REF!</v>
      </c>
      <c r="M933" s="672"/>
      <c r="N933" s="668"/>
      <c r="O933" s="676"/>
      <c r="P933" s="676"/>
    </row>
    <row r="934" spans="1:16" s="677" customFormat="1" ht="46.5">
      <c r="A934" s="787"/>
      <c r="B934" s="792" t="s">
        <v>2010</v>
      </c>
      <c r="C934" s="787">
        <f>[8]Elec.Data!K3379</f>
        <v>728.1</v>
      </c>
      <c r="D934" s="789"/>
      <c r="E934" s="1085"/>
      <c r="F934" s="691"/>
      <c r="G934" s="691"/>
      <c r="H934" s="691"/>
      <c r="I934" s="691"/>
      <c r="J934" s="691"/>
      <c r="K934" s="665" t="e">
        <f>#REF!+#REF!+#REF!+#REF!+#REF!+#REF!</f>
        <v>#REF!</v>
      </c>
      <c r="L934" s="666" t="e">
        <f t="shared" si="73"/>
        <v>#REF!</v>
      </c>
      <c r="M934" s="672"/>
      <c r="N934" s="668"/>
      <c r="O934" s="676"/>
      <c r="P934" s="676"/>
    </row>
    <row r="935" spans="1:16" s="677" customFormat="1" ht="46.5">
      <c r="A935" s="787"/>
      <c r="B935" s="792" t="s">
        <v>2011</v>
      </c>
      <c r="C935" s="787">
        <f>[8]Elec.Data!K3384</f>
        <v>1505</v>
      </c>
      <c r="D935" s="789"/>
      <c r="E935" s="1085"/>
      <c r="F935" s="691"/>
      <c r="G935" s="691"/>
      <c r="H935" s="691"/>
      <c r="I935" s="691"/>
      <c r="J935" s="691"/>
      <c r="K935" s="665" t="e">
        <f>#REF!+#REF!+#REF!+#REF!+#REF!+#REF!</f>
        <v>#REF!</v>
      </c>
      <c r="L935" s="666" t="e">
        <f t="shared" si="73"/>
        <v>#REF!</v>
      </c>
      <c r="M935" s="672"/>
      <c r="N935" s="668"/>
      <c r="O935" s="676"/>
      <c r="P935" s="676"/>
    </row>
    <row r="936" spans="1:16" s="677" customFormat="1" ht="46.5">
      <c r="A936" s="787"/>
      <c r="B936" s="792" t="s">
        <v>2012</v>
      </c>
      <c r="C936" s="787">
        <f>[8]Elec.Data!K3389</f>
        <v>1858</v>
      </c>
      <c r="D936" s="789"/>
      <c r="E936" s="1085"/>
      <c r="F936" s="691"/>
      <c r="G936" s="691"/>
      <c r="H936" s="691"/>
      <c r="I936" s="691"/>
      <c r="J936" s="691"/>
      <c r="K936" s="665" t="e">
        <f>#REF!+#REF!+#REF!+#REF!+#REF!+#REF!</f>
        <v>#REF!</v>
      </c>
      <c r="L936" s="666" t="e">
        <f t="shared" si="73"/>
        <v>#REF!</v>
      </c>
      <c r="M936" s="672"/>
      <c r="N936" s="668"/>
      <c r="O936" s="676"/>
      <c r="P936" s="676"/>
    </row>
    <row r="937" spans="1:16" s="677" customFormat="1" ht="69.75">
      <c r="A937" s="787"/>
      <c r="B937" s="792" t="s">
        <v>2013</v>
      </c>
      <c r="C937" s="787">
        <f>[8]Elec.Data!K3501</f>
        <v>142.97999999999999</v>
      </c>
      <c r="D937" s="789"/>
      <c r="E937" s="1085"/>
      <c r="F937" s="691"/>
      <c r="G937" s="691"/>
      <c r="H937" s="691"/>
      <c r="I937" s="691"/>
      <c r="J937" s="691"/>
      <c r="K937" s="665" t="e">
        <f>#REF!+#REF!+#REF!+#REF!+#REF!+#REF!</f>
        <v>#REF!</v>
      </c>
      <c r="L937" s="666" t="e">
        <f t="shared" si="73"/>
        <v>#REF!</v>
      </c>
      <c r="M937" s="672"/>
      <c r="N937" s="668"/>
      <c r="O937" s="676"/>
      <c r="P937" s="676"/>
    </row>
    <row r="938" spans="1:16" s="677" customFormat="1" ht="69.75">
      <c r="A938" s="787"/>
      <c r="B938" s="792" t="s">
        <v>2014</v>
      </c>
      <c r="C938" s="787">
        <f>[8]Elec.Data!K3539</f>
        <v>251.18</v>
      </c>
      <c r="D938" s="789"/>
      <c r="E938" s="1085"/>
      <c r="F938" s="691"/>
      <c r="G938" s="691"/>
      <c r="H938" s="691"/>
      <c r="I938" s="691"/>
      <c r="J938" s="691"/>
      <c r="K938" s="665" t="e">
        <f>#REF!+#REF!+#REF!+#REF!+#REF!+#REF!</f>
        <v>#REF!</v>
      </c>
      <c r="L938" s="666" t="e">
        <f t="shared" si="73"/>
        <v>#REF!</v>
      </c>
      <c r="M938" s="672"/>
      <c r="N938" s="668"/>
      <c r="O938" s="676"/>
      <c r="P938" s="676"/>
    </row>
    <row r="939" spans="1:16" s="677" customFormat="1" ht="23.25">
      <c r="A939" s="787"/>
      <c r="B939" s="792" t="s">
        <v>2015</v>
      </c>
      <c r="C939" s="787">
        <f>[8]Elec.Data!K3547</f>
        <v>165</v>
      </c>
      <c r="D939" s="789"/>
      <c r="E939" s="1085"/>
      <c r="F939" s="691"/>
      <c r="G939" s="691"/>
      <c r="H939" s="691"/>
      <c r="I939" s="691"/>
      <c r="J939" s="691"/>
      <c r="K939" s="665" t="e">
        <f>#REF!+#REF!+#REF!+#REF!+#REF!+#REF!</f>
        <v>#REF!</v>
      </c>
      <c r="L939" s="666" t="e">
        <f t="shared" si="73"/>
        <v>#REF!</v>
      </c>
      <c r="M939" s="672"/>
      <c r="N939" s="668"/>
      <c r="O939" s="676"/>
      <c r="P939" s="676"/>
    </row>
    <row r="940" spans="1:16" s="677" customFormat="1" ht="23.25">
      <c r="A940" s="787"/>
      <c r="B940" s="792" t="s">
        <v>2016</v>
      </c>
      <c r="C940" s="787">
        <f>[8]Elec.Data!K3567</f>
        <v>245.49</v>
      </c>
      <c r="D940" s="789"/>
      <c r="E940" s="1085"/>
      <c r="F940" s="691"/>
      <c r="G940" s="691"/>
      <c r="H940" s="691"/>
      <c r="I940" s="691"/>
      <c r="J940" s="691"/>
      <c r="K940" s="665" t="e">
        <f>#REF!+#REF!+#REF!+#REF!+#REF!+#REF!</f>
        <v>#REF!</v>
      </c>
      <c r="L940" s="666" t="e">
        <f t="shared" si="73"/>
        <v>#REF!</v>
      </c>
      <c r="M940" s="672"/>
      <c r="N940" s="668"/>
      <c r="O940" s="676"/>
      <c r="P940" s="676"/>
    </row>
    <row r="941" spans="1:16" s="677" customFormat="1" ht="23.25">
      <c r="A941" s="787"/>
      <c r="B941" s="792" t="s">
        <v>2017</v>
      </c>
      <c r="C941" s="787">
        <f>[8]Elec.Data!K3584</f>
        <v>150.69</v>
      </c>
      <c r="D941" s="789"/>
      <c r="E941" s="1085"/>
      <c r="F941" s="691"/>
      <c r="G941" s="691"/>
      <c r="H941" s="691"/>
      <c r="I941" s="691"/>
      <c r="J941" s="691"/>
      <c r="K941" s="665" t="e">
        <f>#REF!+#REF!+#REF!+#REF!+#REF!+#REF!</f>
        <v>#REF!</v>
      </c>
      <c r="L941" s="666" t="e">
        <f t="shared" ref="L941:L971" si="74">K941*C941</f>
        <v>#REF!</v>
      </c>
      <c r="M941" s="672"/>
      <c r="N941" s="668"/>
      <c r="O941" s="676"/>
      <c r="P941" s="676"/>
    </row>
    <row r="942" spans="1:16" s="677" customFormat="1" ht="23.25">
      <c r="A942" s="787"/>
      <c r="B942" s="792" t="s">
        <v>2018</v>
      </c>
      <c r="C942" s="787">
        <f>[8]Elec.Data!K3619</f>
        <v>2092</v>
      </c>
      <c r="D942" s="789"/>
      <c r="E942" s="1085"/>
      <c r="F942" s="691"/>
      <c r="G942" s="691"/>
      <c r="H942" s="691"/>
      <c r="I942" s="691"/>
      <c r="J942" s="691"/>
      <c r="K942" s="665" t="e">
        <f>#REF!+#REF!+#REF!+#REF!+#REF!+#REF!</f>
        <v>#REF!</v>
      </c>
      <c r="L942" s="666" t="e">
        <f t="shared" si="74"/>
        <v>#REF!</v>
      </c>
      <c r="M942" s="672"/>
      <c r="N942" s="668"/>
      <c r="O942" s="676"/>
      <c r="P942" s="676"/>
    </row>
    <row r="943" spans="1:16" s="677" customFormat="1" ht="116.25">
      <c r="A943" s="787"/>
      <c r="B943" s="792" t="s">
        <v>2019</v>
      </c>
      <c r="C943" s="787">
        <f>[8]Elec.Data!K3650</f>
        <v>2207.4</v>
      </c>
      <c r="D943" s="789"/>
      <c r="E943" s="1085"/>
      <c r="F943" s="691"/>
      <c r="G943" s="691"/>
      <c r="H943" s="691"/>
      <c r="I943" s="691"/>
      <c r="J943" s="691"/>
      <c r="K943" s="665" t="e">
        <f>#REF!+#REF!+#REF!+#REF!+#REF!+#REF!</f>
        <v>#REF!</v>
      </c>
      <c r="L943" s="666" t="e">
        <f t="shared" si="74"/>
        <v>#REF!</v>
      </c>
      <c r="M943" s="672"/>
      <c r="N943" s="668"/>
      <c r="O943" s="676"/>
      <c r="P943" s="676"/>
    </row>
    <row r="944" spans="1:16" s="677" customFormat="1" ht="69.75">
      <c r="A944" s="787"/>
      <c r="B944" s="792" t="s">
        <v>2020</v>
      </c>
      <c r="C944" s="787">
        <f>[8]Elec.Data!K3676</f>
        <v>5045.38</v>
      </c>
      <c r="D944" s="789"/>
      <c r="E944" s="1085"/>
      <c r="F944" s="691"/>
      <c r="G944" s="691"/>
      <c r="H944" s="691"/>
      <c r="I944" s="691"/>
      <c r="J944" s="691"/>
      <c r="K944" s="665" t="e">
        <f>#REF!+#REF!+#REF!+#REF!+#REF!+#REF!</f>
        <v>#REF!</v>
      </c>
      <c r="L944" s="666" t="e">
        <f t="shared" si="74"/>
        <v>#REF!</v>
      </c>
      <c r="M944" s="672"/>
      <c r="N944" s="668"/>
      <c r="O944" s="676"/>
      <c r="P944" s="676"/>
    </row>
    <row r="945" spans="1:16" s="677" customFormat="1" ht="46.5">
      <c r="A945" s="787"/>
      <c r="B945" s="792" t="s">
        <v>2021</v>
      </c>
      <c r="C945" s="787">
        <f>[8]Elec.Data!K3695</f>
        <v>89.94</v>
      </c>
      <c r="D945" s="789"/>
      <c r="E945" s="1085"/>
      <c r="F945" s="691"/>
      <c r="G945" s="691"/>
      <c r="H945" s="691"/>
      <c r="I945" s="691"/>
      <c r="J945" s="691"/>
      <c r="K945" s="665" t="e">
        <f>#REF!+#REF!+#REF!+#REF!+#REF!+#REF!</f>
        <v>#REF!</v>
      </c>
      <c r="L945" s="666" t="e">
        <f t="shared" si="74"/>
        <v>#REF!</v>
      </c>
      <c r="M945" s="672"/>
      <c r="N945" s="668"/>
      <c r="O945" s="676"/>
      <c r="P945" s="676"/>
    </row>
    <row r="946" spans="1:16" s="677" customFormat="1" ht="23.25">
      <c r="A946" s="787"/>
      <c r="B946" s="792" t="s">
        <v>2022</v>
      </c>
      <c r="C946" s="787">
        <f>[8]Elec.Data!K3702</f>
        <v>54</v>
      </c>
      <c r="D946" s="789"/>
      <c r="E946" s="1085"/>
      <c r="F946" s="691"/>
      <c r="G946" s="691"/>
      <c r="H946" s="691"/>
      <c r="I946" s="691"/>
      <c r="J946" s="691"/>
      <c r="K946" s="665" t="e">
        <f>#REF!+#REF!+#REF!+#REF!+#REF!+#REF!</f>
        <v>#REF!</v>
      </c>
      <c r="L946" s="666" t="e">
        <f t="shared" si="74"/>
        <v>#REF!</v>
      </c>
      <c r="M946" s="672"/>
      <c r="N946" s="668"/>
      <c r="O946" s="676"/>
      <c r="P946" s="676"/>
    </row>
    <row r="947" spans="1:16" s="677" customFormat="1" ht="93">
      <c r="A947" s="787"/>
      <c r="B947" s="792" t="s">
        <v>2023</v>
      </c>
      <c r="C947" s="787">
        <f>[8]Elec.Data!K3727</f>
        <v>6840.4</v>
      </c>
      <c r="D947" s="789"/>
      <c r="E947" s="1085"/>
      <c r="F947" s="691"/>
      <c r="G947" s="691"/>
      <c r="H947" s="691"/>
      <c r="I947" s="691"/>
      <c r="J947" s="691"/>
      <c r="K947" s="665" t="e">
        <f>#REF!+#REF!+#REF!+#REF!+#REF!+#REF!</f>
        <v>#REF!</v>
      </c>
      <c r="L947" s="666" t="e">
        <f t="shared" si="74"/>
        <v>#REF!</v>
      </c>
      <c r="M947" s="672"/>
      <c r="N947" s="668"/>
      <c r="O947" s="676"/>
      <c r="P947" s="676"/>
    </row>
    <row r="948" spans="1:16" s="677" customFormat="1" ht="23.25">
      <c r="A948" s="787"/>
      <c r="B948" s="792" t="s">
        <v>2024</v>
      </c>
      <c r="C948" s="787">
        <f>[8]Elec.Data!K3774</f>
        <v>582.49</v>
      </c>
      <c r="D948" s="789"/>
      <c r="E948" s="1085"/>
      <c r="F948" s="691"/>
      <c r="G948" s="691"/>
      <c r="H948" s="691"/>
      <c r="I948" s="691"/>
      <c r="J948" s="691"/>
      <c r="K948" s="665" t="e">
        <f>#REF!+#REF!+#REF!+#REF!+#REF!+#REF!</f>
        <v>#REF!</v>
      </c>
      <c r="L948" s="666" t="e">
        <f t="shared" si="74"/>
        <v>#REF!</v>
      </c>
      <c r="M948" s="672"/>
      <c r="N948" s="668"/>
      <c r="O948" s="676"/>
      <c r="P948" s="676"/>
    </row>
    <row r="949" spans="1:16" s="677" customFormat="1" ht="46.5">
      <c r="A949" s="787"/>
      <c r="B949" s="793" t="s">
        <v>2025</v>
      </c>
      <c r="C949" s="787">
        <f>[8]Elec.Data!K3815</f>
        <v>830.11</v>
      </c>
      <c r="D949" s="789"/>
      <c r="E949" s="1085"/>
      <c r="F949" s="691"/>
      <c r="G949" s="691"/>
      <c r="H949" s="691"/>
      <c r="I949" s="691"/>
      <c r="J949" s="691"/>
      <c r="K949" s="665" t="e">
        <f>#REF!+#REF!+#REF!+#REF!+#REF!+#REF!</f>
        <v>#REF!</v>
      </c>
      <c r="L949" s="666" t="e">
        <f t="shared" si="74"/>
        <v>#REF!</v>
      </c>
      <c r="M949" s="672"/>
      <c r="N949" s="668"/>
      <c r="O949" s="676"/>
      <c r="P949" s="676"/>
    </row>
    <row r="950" spans="1:16" s="677" customFormat="1" ht="46.5">
      <c r="A950" s="787"/>
      <c r="B950" s="792" t="s">
        <v>2026</v>
      </c>
      <c r="C950" s="787">
        <f>[8]Elec.Data!K3841</f>
        <v>833.16</v>
      </c>
      <c r="D950" s="789"/>
      <c r="E950" s="1085"/>
      <c r="F950" s="691"/>
      <c r="G950" s="691"/>
      <c r="H950" s="691"/>
      <c r="I950" s="691"/>
      <c r="J950" s="691"/>
      <c r="K950" s="665" t="e">
        <f>#REF!+#REF!+#REF!+#REF!+#REF!+#REF!</f>
        <v>#REF!</v>
      </c>
      <c r="L950" s="666" t="e">
        <f t="shared" si="74"/>
        <v>#REF!</v>
      </c>
      <c r="M950" s="672"/>
      <c r="N950" s="668"/>
      <c r="O950" s="676"/>
      <c r="P950" s="676"/>
    </row>
    <row r="951" spans="1:16" s="677" customFormat="1" ht="69.75">
      <c r="A951" s="787"/>
      <c r="B951" s="793" t="s">
        <v>2027</v>
      </c>
      <c r="C951" s="787">
        <f>[8]Elec.Data!K3857</f>
        <v>871.29</v>
      </c>
      <c r="D951" s="789"/>
      <c r="E951" s="1085"/>
      <c r="F951" s="691"/>
      <c r="G951" s="691"/>
      <c r="H951" s="691"/>
      <c r="I951" s="691"/>
      <c r="J951" s="691"/>
      <c r="K951" s="665" t="e">
        <f>#REF!+#REF!+#REF!+#REF!+#REF!+#REF!</f>
        <v>#REF!</v>
      </c>
      <c r="L951" s="666" t="e">
        <f t="shared" si="74"/>
        <v>#REF!</v>
      </c>
      <c r="M951" s="672"/>
      <c r="N951" s="668"/>
      <c r="O951" s="676"/>
      <c r="P951" s="676"/>
    </row>
    <row r="952" spans="1:16" s="677" customFormat="1" ht="69.75">
      <c r="A952" s="787"/>
      <c r="B952" s="793" t="s">
        <v>2028</v>
      </c>
      <c r="C952" s="787">
        <f>[8]Elec.Data!K3879</f>
        <v>917.46</v>
      </c>
      <c r="D952" s="789"/>
      <c r="E952" s="1085"/>
      <c r="F952" s="691"/>
      <c r="G952" s="691"/>
      <c r="H952" s="691"/>
      <c r="I952" s="691"/>
      <c r="J952" s="691"/>
      <c r="K952" s="665" t="e">
        <f>#REF!+#REF!+#REF!+#REF!+#REF!+#REF!</f>
        <v>#REF!</v>
      </c>
      <c r="L952" s="666" t="e">
        <f t="shared" si="74"/>
        <v>#REF!</v>
      </c>
      <c r="M952" s="672"/>
      <c r="N952" s="668"/>
      <c r="O952" s="676"/>
      <c r="P952" s="676"/>
    </row>
    <row r="953" spans="1:16" s="677" customFormat="1" ht="69.75">
      <c r="A953" s="787"/>
      <c r="B953" s="793" t="s">
        <v>2029</v>
      </c>
      <c r="C953" s="787">
        <f>[8]Elec.Data!K3899</f>
        <v>1963.99</v>
      </c>
      <c r="D953" s="789"/>
      <c r="E953" s="1085"/>
      <c r="F953" s="691"/>
      <c r="G953" s="691"/>
      <c r="H953" s="691"/>
      <c r="I953" s="691"/>
      <c r="J953" s="691"/>
      <c r="K953" s="665" t="e">
        <f>#REF!+#REF!+#REF!+#REF!+#REF!+#REF!</f>
        <v>#REF!</v>
      </c>
      <c r="L953" s="666" t="e">
        <f t="shared" si="74"/>
        <v>#REF!</v>
      </c>
      <c r="M953" s="672"/>
      <c r="N953" s="668"/>
      <c r="O953" s="676"/>
      <c r="P953" s="676"/>
    </row>
    <row r="954" spans="1:16" s="677" customFormat="1" ht="69.75">
      <c r="A954" s="787"/>
      <c r="B954" s="793" t="s">
        <v>2030</v>
      </c>
      <c r="C954" s="787">
        <f>[8]Elec.Data!K3918</f>
        <v>638.45000000000005</v>
      </c>
      <c r="D954" s="789"/>
      <c r="E954" s="1085"/>
      <c r="F954" s="691"/>
      <c r="G954" s="691"/>
      <c r="H954" s="691"/>
      <c r="I954" s="691"/>
      <c r="J954" s="691"/>
      <c r="K954" s="665" t="e">
        <f>#REF!+#REF!+#REF!+#REF!+#REF!+#REF!</f>
        <v>#REF!</v>
      </c>
      <c r="L954" s="666" t="e">
        <f t="shared" si="74"/>
        <v>#REF!</v>
      </c>
      <c r="M954" s="672"/>
      <c r="N954" s="668"/>
      <c r="O954" s="676"/>
      <c r="P954" s="676"/>
    </row>
    <row r="955" spans="1:16" s="677" customFormat="1" ht="46.5">
      <c r="A955" s="787"/>
      <c r="B955" s="793" t="s">
        <v>2031</v>
      </c>
      <c r="C955" s="787">
        <f>[8]Elec.Data!K3942</f>
        <v>119.23</v>
      </c>
      <c r="D955" s="789"/>
      <c r="E955" s="1085"/>
      <c r="F955" s="691"/>
      <c r="G955" s="691"/>
      <c r="H955" s="691"/>
      <c r="I955" s="691"/>
      <c r="J955" s="691"/>
      <c r="K955" s="665" t="e">
        <f>#REF!+#REF!+#REF!+#REF!+#REF!+#REF!</f>
        <v>#REF!</v>
      </c>
      <c r="L955" s="666" t="e">
        <f t="shared" si="74"/>
        <v>#REF!</v>
      </c>
      <c r="M955" s="672"/>
      <c r="N955" s="668"/>
      <c r="O955" s="676"/>
      <c r="P955" s="676"/>
    </row>
    <row r="956" spans="1:16" s="677" customFormat="1" ht="46.5">
      <c r="A956" s="787"/>
      <c r="B956" s="792" t="s">
        <v>2032</v>
      </c>
      <c r="C956" s="787">
        <f>[8]Elec.Data!K3953</f>
        <v>136.43</v>
      </c>
      <c r="D956" s="789"/>
      <c r="E956" s="1085"/>
      <c r="F956" s="691"/>
      <c r="G956" s="691"/>
      <c r="H956" s="691"/>
      <c r="I956" s="691"/>
      <c r="J956" s="691"/>
      <c r="K956" s="665" t="e">
        <f>#REF!+#REF!+#REF!+#REF!+#REF!+#REF!</f>
        <v>#REF!</v>
      </c>
      <c r="L956" s="666" t="e">
        <f t="shared" si="74"/>
        <v>#REF!</v>
      </c>
      <c r="M956" s="672"/>
      <c r="N956" s="668"/>
      <c r="O956" s="676"/>
      <c r="P956" s="676"/>
    </row>
    <row r="957" spans="1:16" s="677" customFormat="1" ht="23.25">
      <c r="A957" s="787"/>
      <c r="B957" s="792" t="s">
        <v>2033</v>
      </c>
      <c r="C957" s="787">
        <f>[8]Data!R384</f>
        <v>19.96</v>
      </c>
      <c r="D957" s="789"/>
      <c r="E957" s="1085"/>
      <c r="F957" s="691"/>
      <c r="G957" s="691"/>
      <c r="H957" s="691"/>
      <c r="I957" s="691"/>
      <c r="J957" s="691"/>
      <c r="K957" s="665" t="e">
        <f>#REF!+#REF!+#REF!+#REF!+#REF!+#REF!</f>
        <v>#REF!</v>
      </c>
      <c r="L957" s="666" t="e">
        <f t="shared" si="74"/>
        <v>#REF!</v>
      </c>
      <c r="M957" s="672"/>
      <c r="N957" s="668"/>
      <c r="O957" s="676"/>
      <c r="P957" s="676"/>
    </row>
    <row r="958" spans="1:16" s="677" customFormat="1" ht="23.25">
      <c r="A958" s="787"/>
      <c r="B958" s="792" t="s">
        <v>2034</v>
      </c>
      <c r="C958" s="787">
        <f>C957+C960</f>
        <v>23.61</v>
      </c>
      <c r="D958" s="789"/>
      <c r="E958" s="1085"/>
      <c r="F958" s="691"/>
      <c r="G958" s="691"/>
      <c r="H958" s="691"/>
      <c r="I958" s="691"/>
      <c r="J958" s="691"/>
      <c r="K958" s="665" t="e">
        <f>#REF!+#REF!+#REF!+#REF!+#REF!+#REF!</f>
        <v>#REF!</v>
      </c>
      <c r="L958" s="666" t="e">
        <f t="shared" si="74"/>
        <v>#REF!</v>
      </c>
      <c r="M958" s="672"/>
      <c r="N958" s="668"/>
      <c r="O958" s="676"/>
      <c r="P958" s="676"/>
    </row>
    <row r="959" spans="1:16" s="677" customFormat="1" ht="23.25">
      <c r="A959" s="787"/>
      <c r="B959" s="792" t="s">
        <v>2035</v>
      </c>
      <c r="C959" s="787">
        <f>[8]Data!R398</f>
        <v>29.07</v>
      </c>
      <c r="D959" s="789"/>
      <c r="E959" s="1085"/>
      <c r="F959" s="691"/>
      <c r="G959" s="691"/>
      <c r="H959" s="691"/>
      <c r="I959" s="691"/>
      <c r="J959" s="691"/>
      <c r="K959" s="665" t="e">
        <f>#REF!+#REF!+#REF!+#REF!+#REF!+#REF!</f>
        <v>#REF!</v>
      </c>
      <c r="L959" s="666" t="e">
        <f t="shared" si="74"/>
        <v>#REF!</v>
      </c>
      <c r="M959" s="672"/>
      <c r="N959" s="668"/>
      <c r="O959" s="676"/>
      <c r="P959" s="676"/>
    </row>
    <row r="960" spans="1:16" s="677" customFormat="1" ht="23.25">
      <c r="A960" s="787"/>
      <c r="B960" s="792" t="s">
        <v>2036</v>
      </c>
      <c r="C960" s="787">
        <f>[8]Data!I3172</f>
        <v>3.65</v>
      </c>
      <c r="D960" s="789"/>
      <c r="E960" s="1085"/>
      <c r="F960" s="691"/>
      <c r="G960" s="691"/>
      <c r="H960" s="691"/>
      <c r="I960" s="691"/>
      <c r="J960" s="691"/>
      <c r="K960" s="665" t="e">
        <f>#REF!+#REF!+#REF!+#REF!+#REF!+#REF!</f>
        <v>#REF!</v>
      </c>
      <c r="L960" s="666" t="e">
        <f t="shared" si="74"/>
        <v>#REF!</v>
      </c>
      <c r="M960" s="672"/>
      <c r="N960" s="668"/>
      <c r="O960" s="676"/>
      <c r="P960" s="676"/>
    </row>
    <row r="961" spans="1:16" s="677" customFormat="1" ht="23.25">
      <c r="A961" s="787"/>
      <c r="B961" s="792" t="s">
        <v>2037</v>
      </c>
      <c r="C961" s="787">
        <f>[8]Data!I3198</f>
        <v>7.9</v>
      </c>
      <c r="D961" s="789"/>
      <c r="E961" s="1085"/>
      <c r="F961" s="691"/>
      <c r="G961" s="691"/>
      <c r="H961" s="691"/>
      <c r="I961" s="691"/>
      <c r="J961" s="691"/>
      <c r="K961" s="665" t="e">
        <f>#REF!+#REF!+#REF!+#REF!+#REF!+#REF!</f>
        <v>#REF!</v>
      </c>
      <c r="L961" s="666" t="e">
        <f t="shared" si="74"/>
        <v>#REF!</v>
      </c>
      <c r="M961" s="672"/>
      <c r="N961" s="668"/>
      <c r="O961" s="676"/>
      <c r="P961" s="676"/>
    </row>
    <row r="962" spans="1:16" s="677" customFormat="1" ht="23.25">
      <c r="A962" s="787"/>
      <c r="B962" s="792" t="s">
        <v>2038</v>
      </c>
      <c r="C962" s="787">
        <f>[8]Data!I3212</f>
        <v>8.5</v>
      </c>
      <c r="D962" s="789"/>
      <c r="E962" s="1085"/>
      <c r="F962" s="691"/>
      <c r="G962" s="691"/>
      <c r="H962" s="691"/>
      <c r="I962" s="691"/>
      <c r="J962" s="691"/>
      <c r="K962" s="665" t="e">
        <f>#REF!+#REF!+#REF!+#REF!+#REF!+#REF!</f>
        <v>#REF!</v>
      </c>
      <c r="L962" s="666" t="e">
        <f t="shared" si="74"/>
        <v>#REF!</v>
      </c>
      <c r="M962" s="672"/>
      <c r="N962" s="668"/>
      <c r="O962" s="676"/>
      <c r="P962" s="676"/>
    </row>
    <row r="963" spans="1:16" s="677" customFormat="1" ht="23.25">
      <c r="A963" s="787"/>
      <c r="B963" s="792" t="s">
        <v>2039</v>
      </c>
      <c r="C963" s="787">
        <f>[8]Data!K3188</f>
        <v>62.39</v>
      </c>
      <c r="D963" s="789"/>
      <c r="E963" s="1085"/>
      <c r="F963" s="691"/>
      <c r="G963" s="691"/>
      <c r="H963" s="691"/>
      <c r="I963" s="691"/>
      <c r="J963" s="691"/>
      <c r="K963" s="665" t="e">
        <f>#REF!+#REF!+#REF!+#REF!+#REF!+#REF!</f>
        <v>#REF!</v>
      </c>
      <c r="L963" s="666" t="e">
        <f t="shared" si="74"/>
        <v>#REF!</v>
      </c>
      <c r="M963" s="672"/>
      <c r="N963" s="668"/>
      <c r="O963" s="676"/>
      <c r="P963" s="676"/>
    </row>
    <row r="964" spans="1:16" s="677" customFormat="1" ht="23.25">
      <c r="A964" s="787"/>
      <c r="B964" s="792" t="s">
        <v>2040</v>
      </c>
      <c r="C964" s="787">
        <f>[8]Data!K3175</f>
        <v>119.16</v>
      </c>
      <c r="D964" s="789"/>
      <c r="E964" s="1085"/>
      <c r="F964" s="691"/>
      <c r="G964" s="691"/>
      <c r="H964" s="691"/>
      <c r="I964" s="691"/>
      <c r="J964" s="691"/>
      <c r="K964" s="665" t="e">
        <f>#REF!+#REF!+#REF!+#REF!+#REF!+#REF!</f>
        <v>#REF!</v>
      </c>
      <c r="L964" s="666" t="e">
        <f t="shared" si="74"/>
        <v>#REF!</v>
      </c>
      <c r="M964" s="672"/>
      <c r="N964" s="668"/>
      <c r="O964" s="676"/>
      <c r="P964" s="676"/>
    </row>
    <row r="965" spans="1:16" s="677" customFormat="1" ht="23.25">
      <c r="A965" s="787"/>
      <c r="B965" s="791" t="s">
        <v>2041</v>
      </c>
      <c r="C965" s="787">
        <f>[8]Data!K3202</f>
        <v>81.27</v>
      </c>
      <c r="D965" s="789"/>
      <c r="E965" s="1085"/>
      <c r="F965" s="691"/>
      <c r="G965" s="691"/>
      <c r="H965" s="691"/>
      <c r="I965" s="691"/>
      <c r="J965" s="691"/>
      <c r="K965" s="665" t="e">
        <f>#REF!+#REF!+#REF!+#REF!+#REF!+#REF!</f>
        <v>#REF!</v>
      </c>
      <c r="L965" s="666" t="e">
        <f t="shared" si="74"/>
        <v>#REF!</v>
      </c>
      <c r="M965" s="672"/>
      <c r="N965" s="668"/>
      <c r="O965" s="676"/>
      <c r="P965" s="676"/>
    </row>
    <row r="966" spans="1:16" s="677" customFormat="1" ht="23.25">
      <c r="A966" s="691"/>
      <c r="B966" s="789" t="s">
        <v>2042</v>
      </c>
      <c r="C966" s="691">
        <f>[8]Data!K3247</f>
        <v>125.87</v>
      </c>
      <c r="D966" s="789"/>
      <c r="E966" s="1085"/>
      <c r="F966" s="691"/>
      <c r="G966" s="691"/>
      <c r="H966" s="691"/>
      <c r="I966" s="691"/>
      <c r="J966" s="691"/>
      <c r="K966" s="665" t="e">
        <f>#REF!+#REF!+#REF!+#REF!+#REF!+#REF!</f>
        <v>#REF!</v>
      </c>
      <c r="L966" s="666" t="e">
        <f t="shared" si="74"/>
        <v>#REF!</v>
      </c>
      <c r="M966" s="672"/>
      <c r="N966" s="668"/>
      <c r="O966" s="676"/>
      <c r="P966" s="676"/>
    </row>
    <row r="967" spans="1:16" s="677" customFormat="1" ht="23.25">
      <c r="A967" s="691"/>
      <c r="B967" s="789" t="s">
        <v>2043</v>
      </c>
      <c r="C967" s="691">
        <f>[8]Data!K3216</f>
        <v>88.28</v>
      </c>
      <c r="D967" s="789"/>
      <c r="E967" s="1085"/>
      <c r="F967" s="691"/>
      <c r="G967" s="691"/>
      <c r="H967" s="691"/>
      <c r="I967" s="691"/>
      <c r="J967" s="691"/>
      <c r="K967" s="665" t="e">
        <f>#REF!+#REF!+#REF!+#REF!+#REF!+#REF!</f>
        <v>#REF!</v>
      </c>
      <c r="L967" s="666" t="e">
        <f t="shared" si="74"/>
        <v>#REF!</v>
      </c>
      <c r="M967" s="672"/>
      <c r="N967" s="668"/>
      <c r="O967" s="676"/>
      <c r="P967" s="676"/>
    </row>
    <row r="968" spans="1:16" s="677" customFormat="1" ht="23.25">
      <c r="A968" s="691"/>
      <c r="B968" s="789" t="s">
        <v>2044</v>
      </c>
      <c r="C968" s="691">
        <f>[8]Data!K3231</f>
        <v>144.25</v>
      </c>
      <c r="D968" s="789"/>
      <c r="E968" s="1085"/>
      <c r="F968" s="691"/>
      <c r="G968" s="691"/>
      <c r="H968" s="691"/>
      <c r="I968" s="691"/>
      <c r="J968" s="691"/>
      <c r="K968" s="665" t="e">
        <f>#REF!+#REF!+#REF!+#REF!+#REF!+#REF!</f>
        <v>#REF!</v>
      </c>
      <c r="L968" s="666" t="e">
        <f t="shared" si="74"/>
        <v>#REF!</v>
      </c>
      <c r="M968" s="672"/>
      <c r="N968" s="668"/>
      <c r="O968" s="676"/>
      <c r="P968" s="676"/>
    </row>
    <row r="969" spans="1:16" s="677" customFormat="1" ht="23.25">
      <c r="A969" s="691"/>
      <c r="B969" s="789" t="s">
        <v>2045</v>
      </c>
      <c r="C969" s="691">
        <f>[8]Data!K3275</f>
        <v>81.41</v>
      </c>
      <c r="D969" s="789"/>
      <c r="E969" s="1085"/>
      <c r="F969" s="691"/>
      <c r="G969" s="691"/>
      <c r="H969" s="691"/>
      <c r="I969" s="691"/>
      <c r="J969" s="691"/>
      <c r="K969" s="665" t="e">
        <f>#REF!+#REF!+#REF!+#REF!+#REF!+#REF!</f>
        <v>#REF!</v>
      </c>
      <c r="L969" s="666" t="e">
        <f t="shared" si="74"/>
        <v>#REF!</v>
      </c>
      <c r="M969" s="672"/>
      <c r="N969" s="668"/>
      <c r="O969" s="676"/>
      <c r="P969" s="676"/>
    </row>
    <row r="970" spans="1:16" s="677" customFormat="1" ht="23.25">
      <c r="A970" s="691"/>
      <c r="B970" s="789"/>
      <c r="C970" s="691"/>
      <c r="D970" s="789"/>
      <c r="E970" s="1085"/>
      <c r="F970" s="691"/>
      <c r="G970" s="691"/>
      <c r="H970" s="691"/>
      <c r="I970" s="691"/>
      <c r="J970" s="691"/>
      <c r="K970" s="665" t="e">
        <f>#REF!+#REF!+#REF!+#REF!+#REF!+#REF!</f>
        <v>#REF!</v>
      </c>
      <c r="L970" s="666" t="e">
        <f t="shared" si="74"/>
        <v>#REF!</v>
      </c>
      <c r="M970" s="672"/>
      <c r="N970" s="668"/>
      <c r="O970" s="676"/>
      <c r="P970" s="676"/>
    </row>
    <row r="971" spans="1:16" s="677" customFormat="1" ht="23.25">
      <c r="A971" s="691"/>
      <c r="B971" s="789"/>
      <c r="C971" s="691"/>
      <c r="D971" s="789"/>
      <c r="E971" s="1085"/>
      <c r="F971" s="691"/>
      <c r="G971" s="691"/>
      <c r="H971" s="691"/>
      <c r="I971" s="691"/>
      <c r="J971" s="691"/>
      <c r="K971" s="665" t="e">
        <f>#REF!+#REF!+#REF!+#REF!+#REF!+#REF!</f>
        <v>#REF!</v>
      </c>
      <c r="L971" s="666" t="e">
        <f t="shared" si="74"/>
        <v>#REF!</v>
      </c>
      <c r="M971" s="672"/>
      <c r="N971" s="668"/>
      <c r="O971" s="676"/>
      <c r="P971" s="676"/>
    </row>
    <row r="972" spans="1:16" s="677" customFormat="1">
      <c r="A972" s="691"/>
      <c r="B972" s="789"/>
      <c r="C972" s="691"/>
      <c r="D972" s="789"/>
      <c r="E972" s="1085"/>
      <c r="F972" s="691"/>
      <c r="G972" s="691"/>
      <c r="H972" s="691"/>
      <c r="I972" s="691"/>
      <c r="J972" s="691"/>
      <c r="K972" s="659"/>
      <c r="L972" s="660"/>
      <c r="M972" s="676"/>
      <c r="N972" s="676"/>
      <c r="O972" s="676"/>
      <c r="P972" s="676"/>
    </row>
    <row r="973" spans="1:16" s="677" customFormat="1">
      <c r="A973" s="691"/>
      <c r="B973" s="789"/>
      <c r="C973" s="691"/>
      <c r="D973" s="789"/>
      <c r="E973" s="1085"/>
      <c r="F973" s="691"/>
      <c r="G973" s="691"/>
      <c r="H973" s="691"/>
      <c r="I973" s="691"/>
      <c r="J973" s="691"/>
      <c r="K973" s="659"/>
      <c r="L973" s="660"/>
      <c r="M973" s="676"/>
      <c r="N973" s="676"/>
      <c r="O973" s="676"/>
      <c r="P973" s="676"/>
    </row>
    <row r="974" spans="1:16" s="677" customFormat="1">
      <c r="A974" s="691"/>
      <c r="B974" s="789"/>
      <c r="C974" s="691"/>
      <c r="D974" s="789"/>
      <c r="E974" s="1085"/>
      <c r="F974" s="691"/>
      <c r="G974" s="691"/>
      <c r="H974" s="691"/>
      <c r="I974" s="691"/>
      <c r="J974" s="691"/>
      <c r="K974" s="659"/>
      <c r="L974" s="660"/>
      <c r="M974" s="676"/>
      <c r="N974" s="676"/>
      <c r="O974" s="676"/>
      <c r="P974" s="676"/>
    </row>
    <row r="975" spans="1:16" s="677" customFormat="1">
      <c r="A975" s="691"/>
      <c r="B975" s="789"/>
      <c r="C975" s="691"/>
      <c r="D975" s="789"/>
      <c r="E975" s="1085"/>
      <c r="F975" s="691"/>
      <c r="G975" s="691"/>
      <c r="H975" s="691"/>
      <c r="I975" s="691"/>
      <c r="J975" s="691"/>
      <c r="K975" s="659"/>
      <c r="L975" s="660"/>
      <c r="M975" s="676"/>
      <c r="N975" s="676"/>
      <c r="O975" s="676"/>
      <c r="P975" s="676"/>
    </row>
    <row r="976" spans="1:16" s="677" customFormat="1">
      <c r="A976" s="691"/>
      <c r="B976" s="789"/>
      <c r="C976" s="691"/>
      <c r="D976" s="789"/>
      <c r="E976" s="1085"/>
      <c r="F976" s="691"/>
      <c r="G976" s="691"/>
      <c r="H976" s="691"/>
      <c r="I976" s="691"/>
      <c r="J976" s="691"/>
      <c r="K976" s="659"/>
      <c r="L976" s="660"/>
      <c r="M976" s="676"/>
      <c r="N976" s="676"/>
      <c r="O976" s="676"/>
      <c r="P976" s="676"/>
    </row>
    <row r="977" spans="1:16" s="677" customFormat="1">
      <c r="A977" s="691"/>
      <c r="B977" s="789"/>
      <c r="C977" s="691"/>
      <c r="D977" s="789"/>
      <c r="E977" s="1085"/>
      <c r="F977" s="691"/>
      <c r="G977" s="691"/>
      <c r="H977" s="691"/>
      <c r="I977" s="691"/>
      <c r="J977" s="691"/>
      <c r="K977" s="659"/>
      <c r="L977" s="660"/>
      <c r="M977" s="676"/>
      <c r="N977" s="676"/>
      <c r="O977" s="676"/>
      <c r="P977" s="676"/>
    </row>
    <row r="978" spans="1:16" s="677" customFormat="1">
      <c r="A978" s="691"/>
      <c r="B978" s="789"/>
      <c r="C978" s="691"/>
      <c r="D978" s="789"/>
      <c r="E978" s="1085"/>
      <c r="F978" s="691"/>
      <c r="G978" s="691"/>
      <c r="H978" s="691"/>
      <c r="I978" s="691"/>
      <c r="J978" s="691"/>
      <c r="K978" s="659"/>
      <c r="L978" s="660"/>
      <c r="M978" s="676"/>
      <c r="N978" s="676"/>
      <c r="O978" s="676"/>
      <c r="P978" s="676"/>
    </row>
    <row r="979" spans="1:16" s="677" customFormat="1">
      <c r="A979" s="691"/>
      <c r="B979" s="789"/>
      <c r="C979" s="691"/>
      <c r="D979" s="789"/>
      <c r="E979" s="1085"/>
      <c r="F979" s="691"/>
      <c r="G979" s="691"/>
      <c r="H979" s="691"/>
      <c r="I979" s="691"/>
      <c r="J979" s="691"/>
      <c r="K979" s="659"/>
      <c r="L979" s="660"/>
      <c r="M979" s="676"/>
      <c r="N979" s="676"/>
      <c r="O979" s="676"/>
      <c r="P979" s="676"/>
    </row>
    <row r="980" spans="1:16">
      <c r="K980" s="659"/>
      <c r="L980" s="660"/>
    </row>
    <row r="981" spans="1:16">
      <c r="K981" s="659"/>
      <c r="L981" s="660"/>
    </row>
    <row r="982" spans="1:16">
      <c r="K982" s="659"/>
      <c r="L982" s="660"/>
    </row>
    <row r="983" spans="1:16">
      <c r="K983" s="659"/>
      <c r="L983" s="660"/>
    </row>
    <row r="984" spans="1:16">
      <c r="K984" s="659"/>
      <c r="L984" s="660"/>
    </row>
    <row r="985" spans="1:16">
      <c r="K985" s="659"/>
      <c r="L985" s="660"/>
    </row>
    <row r="986" spans="1:16">
      <c r="K986" s="659"/>
      <c r="L986" s="660"/>
    </row>
    <row r="987" spans="1:16">
      <c r="K987" s="659"/>
      <c r="L987" s="660"/>
    </row>
    <row r="988" spans="1:16">
      <c r="K988" s="659"/>
      <c r="L988" s="660"/>
    </row>
    <row r="989" spans="1:16">
      <c r="K989" s="659"/>
      <c r="L989" s="660"/>
    </row>
    <row r="990" spans="1:16">
      <c r="K990" s="659"/>
      <c r="L990" s="660"/>
    </row>
    <row r="992" spans="1:16">
      <c r="K992" s="796"/>
      <c r="L992" s="794"/>
      <c r="M992" s="670"/>
      <c r="N992" s="670"/>
      <c r="O992" s="670"/>
      <c r="P992" s="670"/>
    </row>
    <row r="993" spans="11:16">
      <c r="K993" s="796"/>
      <c r="L993" s="794"/>
      <c r="M993" s="670"/>
      <c r="N993" s="670"/>
      <c r="O993" s="670"/>
      <c r="P993" s="670"/>
    </row>
    <row r="994" spans="11:16">
      <c r="K994" s="796"/>
      <c r="L994" s="794"/>
      <c r="M994" s="670"/>
      <c r="N994" s="670"/>
      <c r="O994" s="670"/>
      <c r="P994" s="670"/>
    </row>
    <row r="995" spans="11:16">
      <c r="K995" s="796"/>
      <c r="L995" s="794"/>
      <c r="M995" s="670"/>
      <c r="N995" s="670"/>
      <c r="O995" s="670"/>
      <c r="P995" s="670"/>
    </row>
    <row r="996" spans="11:16">
      <c r="K996" s="796"/>
      <c r="L996" s="794"/>
      <c r="M996" s="670"/>
      <c r="N996" s="670"/>
      <c r="O996" s="670"/>
      <c r="P996" s="670"/>
    </row>
    <row r="997" spans="11:16">
      <c r="K997" s="796"/>
      <c r="L997" s="794"/>
      <c r="M997" s="670"/>
      <c r="N997" s="670"/>
      <c r="O997" s="670"/>
      <c r="P997" s="670"/>
    </row>
    <row r="998" spans="11:16">
      <c r="K998" s="796"/>
      <c r="L998" s="794"/>
      <c r="M998" s="670"/>
      <c r="N998" s="670"/>
      <c r="O998" s="670"/>
      <c r="P998" s="670"/>
    </row>
    <row r="999" spans="11:16">
      <c r="K999" s="796"/>
      <c r="L999" s="794"/>
      <c r="M999" s="670"/>
      <c r="N999" s="670"/>
      <c r="O999" s="670"/>
      <c r="P999" s="670"/>
    </row>
    <row r="1000" spans="11:16">
      <c r="K1000" s="796"/>
      <c r="L1000" s="794"/>
      <c r="M1000" s="670"/>
      <c r="N1000" s="670"/>
      <c r="O1000" s="670"/>
      <c r="P1000" s="670"/>
    </row>
    <row r="1001" spans="11:16">
      <c r="K1001" s="796"/>
      <c r="L1001" s="794"/>
      <c r="M1001" s="670"/>
      <c r="N1001" s="670"/>
      <c r="O1001" s="670"/>
      <c r="P1001" s="670"/>
    </row>
    <row r="1002" spans="11:16">
      <c r="K1002" s="796"/>
      <c r="L1002" s="794"/>
      <c r="M1002" s="670"/>
      <c r="N1002" s="670"/>
      <c r="O1002" s="670"/>
      <c r="P1002" s="670"/>
    </row>
    <row r="1003" spans="11:16">
      <c r="K1003" s="796"/>
      <c r="L1003" s="794"/>
      <c r="M1003" s="670"/>
      <c r="N1003" s="670"/>
      <c r="O1003" s="670"/>
      <c r="P1003" s="670"/>
    </row>
    <row r="1004" spans="11:16">
      <c r="K1004" s="796"/>
      <c r="L1004" s="794"/>
      <c r="M1004" s="670"/>
      <c r="N1004" s="670"/>
      <c r="O1004" s="670"/>
      <c r="P1004" s="670"/>
    </row>
    <row r="1005" spans="11:16">
      <c r="K1005" s="796"/>
      <c r="L1005" s="794"/>
      <c r="M1005" s="670"/>
      <c r="N1005" s="670"/>
      <c r="O1005" s="670"/>
      <c r="P1005" s="670"/>
    </row>
    <row r="1006" spans="11:16">
      <c r="K1006" s="796"/>
      <c r="L1006" s="794"/>
      <c r="M1006" s="670"/>
      <c r="N1006" s="670"/>
      <c r="O1006" s="670"/>
      <c r="P1006" s="670"/>
    </row>
    <row r="1007" spans="11:16">
      <c r="K1007" s="796"/>
      <c r="L1007" s="794"/>
      <c r="M1007" s="670"/>
      <c r="N1007" s="670"/>
      <c r="O1007" s="670"/>
      <c r="P1007" s="670"/>
    </row>
    <row r="1008" spans="11:16">
      <c r="K1008" s="796"/>
      <c r="L1008" s="794"/>
      <c r="M1008" s="670"/>
      <c r="N1008" s="670"/>
      <c r="O1008" s="670"/>
      <c r="P1008" s="670"/>
    </row>
    <row r="1009" spans="11:16">
      <c r="K1009" s="796"/>
      <c r="L1009" s="794"/>
      <c r="M1009" s="670"/>
      <c r="N1009" s="670"/>
      <c r="O1009" s="670"/>
      <c r="P1009" s="670"/>
    </row>
    <row r="1010" spans="11:16">
      <c r="K1010" s="796"/>
      <c r="L1010" s="794"/>
      <c r="M1010" s="670"/>
      <c r="N1010" s="670"/>
      <c r="O1010" s="670"/>
      <c r="P1010" s="670"/>
    </row>
  </sheetData>
  <autoFilter ref="A4:X997"/>
  <mergeCells count="10">
    <mergeCell ref="M2:N2"/>
    <mergeCell ref="A1:L1"/>
    <mergeCell ref="A2:A3"/>
    <mergeCell ref="B2:B3"/>
    <mergeCell ref="C2:C3"/>
    <mergeCell ref="D2:D3"/>
    <mergeCell ref="E2:F2"/>
    <mergeCell ref="G2:H2"/>
    <mergeCell ref="I2:J2"/>
    <mergeCell ref="K2:L2"/>
  </mergeCells>
  <printOptions horizontalCentered="1"/>
  <pageMargins left="0.1" right="0.1" top="0.55118110236220497" bottom="0.55118110236220497" header="0.27559055118110198" footer="0.43307086614173201"/>
  <pageSetup paperSize="8" scale="47" orientation="landscape" r:id="rId1"/>
  <headerFooter alignWithMargins="0">
    <oddHeader>&amp;R&amp;P</oddHeader>
  </headerFooter>
</worksheet>
</file>

<file path=xl/worksheets/sheet3.xml><?xml version="1.0" encoding="utf-8"?>
<worksheet xmlns="http://schemas.openxmlformats.org/spreadsheetml/2006/main" xmlns:r="http://schemas.openxmlformats.org/officeDocument/2006/relationships">
  <sheetPr>
    <tabColor rgb="FF00B0F0"/>
  </sheetPr>
  <dimension ref="A1:N111"/>
  <sheetViews>
    <sheetView view="pageBreakPreview" zoomScaleSheetLayoutView="100" workbookViewId="0">
      <selection activeCell="B91" sqref="B91"/>
    </sheetView>
  </sheetViews>
  <sheetFormatPr defaultRowHeight="15.75"/>
  <cols>
    <col min="1" max="1" width="4.6640625" style="1377" customWidth="1"/>
    <col min="2" max="2" width="34.88671875" style="1399" customWidth="1"/>
    <col min="3" max="3" width="7.5546875" style="1400" customWidth="1"/>
    <col min="4" max="4" width="7.44140625" style="1400" customWidth="1"/>
    <col min="5" max="5" width="8.109375" style="1400" customWidth="1"/>
    <col min="6" max="6" width="7.88671875" style="1400" hidden="1" customWidth="1"/>
    <col min="7" max="7" width="7.44140625" style="1400" hidden="1" customWidth="1"/>
    <col min="8" max="8" width="10.5546875" style="1400" customWidth="1"/>
    <col min="9" max="29" width="8.88671875" style="1377"/>
    <col min="30" max="31" width="0" style="1377" hidden="1" customWidth="1"/>
    <col min="32" max="256" width="8.88671875" style="1377"/>
    <col min="257" max="257" width="4.6640625" style="1377" customWidth="1"/>
    <col min="258" max="258" width="34.88671875" style="1377" customWidth="1"/>
    <col min="259" max="259" width="7.5546875" style="1377" customWidth="1"/>
    <col min="260" max="260" width="7.44140625" style="1377" customWidth="1"/>
    <col min="261" max="261" width="8.109375" style="1377" customWidth="1"/>
    <col min="262" max="263" width="0" style="1377" hidden="1" customWidth="1"/>
    <col min="264" max="264" width="10.5546875" style="1377" customWidth="1"/>
    <col min="265" max="285" width="8.88671875" style="1377"/>
    <col min="286" max="287" width="0" style="1377" hidden="1" customWidth="1"/>
    <col min="288" max="512" width="8.88671875" style="1377"/>
    <col min="513" max="513" width="4.6640625" style="1377" customWidth="1"/>
    <col min="514" max="514" width="34.88671875" style="1377" customWidth="1"/>
    <col min="515" max="515" width="7.5546875" style="1377" customWidth="1"/>
    <col min="516" max="516" width="7.44140625" style="1377" customWidth="1"/>
    <col min="517" max="517" width="8.109375" style="1377" customWidth="1"/>
    <col min="518" max="519" width="0" style="1377" hidden="1" customWidth="1"/>
    <col min="520" max="520" width="10.5546875" style="1377" customWidth="1"/>
    <col min="521" max="541" width="8.88671875" style="1377"/>
    <col min="542" max="543" width="0" style="1377" hidden="1" customWidth="1"/>
    <col min="544" max="768" width="8.88671875" style="1377"/>
    <col min="769" max="769" width="4.6640625" style="1377" customWidth="1"/>
    <col min="770" max="770" width="34.88671875" style="1377" customWidth="1"/>
    <col min="771" max="771" width="7.5546875" style="1377" customWidth="1"/>
    <col min="772" max="772" width="7.44140625" style="1377" customWidth="1"/>
    <col min="773" max="773" width="8.109375" style="1377" customWidth="1"/>
    <col min="774" max="775" width="0" style="1377" hidden="1" customWidth="1"/>
    <col min="776" max="776" width="10.5546875" style="1377" customWidth="1"/>
    <col min="777" max="797" width="8.88671875" style="1377"/>
    <col min="798" max="799" width="0" style="1377" hidden="1" customWidth="1"/>
    <col min="800" max="1024" width="8.88671875" style="1377"/>
    <col min="1025" max="1025" width="4.6640625" style="1377" customWidth="1"/>
    <col min="1026" max="1026" width="34.88671875" style="1377" customWidth="1"/>
    <col min="1027" max="1027" width="7.5546875" style="1377" customWidth="1"/>
    <col min="1028" max="1028" width="7.44140625" style="1377" customWidth="1"/>
    <col min="1029" max="1029" width="8.109375" style="1377" customWidth="1"/>
    <col min="1030" max="1031" width="0" style="1377" hidden="1" customWidth="1"/>
    <col min="1032" max="1032" width="10.5546875" style="1377" customWidth="1"/>
    <col min="1033" max="1053" width="8.88671875" style="1377"/>
    <col min="1054" max="1055" width="0" style="1377" hidden="1" customWidth="1"/>
    <col min="1056" max="1280" width="8.88671875" style="1377"/>
    <col min="1281" max="1281" width="4.6640625" style="1377" customWidth="1"/>
    <col min="1282" max="1282" width="34.88671875" style="1377" customWidth="1"/>
    <col min="1283" max="1283" width="7.5546875" style="1377" customWidth="1"/>
    <col min="1284" max="1284" width="7.44140625" style="1377" customWidth="1"/>
    <col min="1285" max="1285" width="8.109375" style="1377" customWidth="1"/>
    <col min="1286" max="1287" width="0" style="1377" hidden="1" customWidth="1"/>
    <col min="1288" max="1288" width="10.5546875" style="1377" customWidth="1"/>
    <col min="1289" max="1309" width="8.88671875" style="1377"/>
    <col min="1310" max="1311" width="0" style="1377" hidden="1" customWidth="1"/>
    <col min="1312" max="1536" width="8.88671875" style="1377"/>
    <col min="1537" max="1537" width="4.6640625" style="1377" customWidth="1"/>
    <col min="1538" max="1538" width="34.88671875" style="1377" customWidth="1"/>
    <col min="1539" max="1539" width="7.5546875" style="1377" customWidth="1"/>
    <col min="1540" max="1540" width="7.44140625" style="1377" customWidth="1"/>
    <col min="1541" max="1541" width="8.109375" style="1377" customWidth="1"/>
    <col min="1542" max="1543" width="0" style="1377" hidden="1" customWidth="1"/>
    <col min="1544" max="1544" width="10.5546875" style="1377" customWidth="1"/>
    <col min="1545" max="1565" width="8.88671875" style="1377"/>
    <col min="1566" max="1567" width="0" style="1377" hidden="1" customWidth="1"/>
    <col min="1568" max="1792" width="8.88671875" style="1377"/>
    <col min="1793" max="1793" width="4.6640625" style="1377" customWidth="1"/>
    <col min="1794" max="1794" width="34.88671875" style="1377" customWidth="1"/>
    <col min="1795" max="1795" width="7.5546875" style="1377" customWidth="1"/>
    <col min="1796" max="1796" width="7.44140625" style="1377" customWidth="1"/>
    <col min="1797" max="1797" width="8.109375" style="1377" customWidth="1"/>
    <col min="1798" max="1799" width="0" style="1377" hidden="1" customWidth="1"/>
    <col min="1800" max="1800" width="10.5546875" style="1377" customWidth="1"/>
    <col min="1801" max="1821" width="8.88671875" style="1377"/>
    <col min="1822" max="1823" width="0" style="1377" hidden="1" customWidth="1"/>
    <col min="1824" max="2048" width="8.88671875" style="1377"/>
    <col min="2049" max="2049" width="4.6640625" style="1377" customWidth="1"/>
    <col min="2050" max="2050" width="34.88671875" style="1377" customWidth="1"/>
    <col min="2051" max="2051" width="7.5546875" style="1377" customWidth="1"/>
    <col min="2052" max="2052" width="7.44140625" style="1377" customWidth="1"/>
    <col min="2053" max="2053" width="8.109375" style="1377" customWidth="1"/>
    <col min="2054" max="2055" width="0" style="1377" hidden="1" customWidth="1"/>
    <col min="2056" max="2056" width="10.5546875" style="1377" customWidth="1"/>
    <col min="2057" max="2077" width="8.88671875" style="1377"/>
    <col min="2078" max="2079" width="0" style="1377" hidden="1" customWidth="1"/>
    <col min="2080" max="2304" width="8.88671875" style="1377"/>
    <col min="2305" max="2305" width="4.6640625" style="1377" customWidth="1"/>
    <col min="2306" max="2306" width="34.88671875" style="1377" customWidth="1"/>
    <col min="2307" max="2307" width="7.5546875" style="1377" customWidth="1"/>
    <col min="2308" max="2308" width="7.44140625" style="1377" customWidth="1"/>
    <col min="2309" max="2309" width="8.109375" style="1377" customWidth="1"/>
    <col min="2310" max="2311" width="0" style="1377" hidden="1" customWidth="1"/>
    <col min="2312" max="2312" width="10.5546875" style="1377" customWidth="1"/>
    <col min="2313" max="2333" width="8.88671875" style="1377"/>
    <col min="2334" max="2335" width="0" style="1377" hidden="1" customWidth="1"/>
    <col min="2336" max="2560" width="8.88671875" style="1377"/>
    <col min="2561" max="2561" width="4.6640625" style="1377" customWidth="1"/>
    <col min="2562" max="2562" width="34.88671875" style="1377" customWidth="1"/>
    <col min="2563" max="2563" width="7.5546875" style="1377" customWidth="1"/>
    <col min="2564" max="2564" width="7.44140625" style="1377" customWidth="1"/>
    <col min="2565" max="2565" width="8.109375" style="1377" customWidth="1"/>
    <col min="2566" max="2567" width="0" style="1377" hidden="1" customWidth="1"/>
    <col min="2568" max="2568" width="10.5546875" style="1377" customWidth="1"/>
    <col min="2569" max="2589" width="8.88671875" style="1377"/>
    <col min="2590" max="2591" width="0" style="1377" hidden="1" customWidth="1"/>
    <col min="2592" max="2816" width="8.88671875" style="1377"/>
    <col min="2817" max="2817" width="4.6640625" style="1377" customWidth="1"/>
    <col min="2818" max="2818" width="34.88671875" style="1377" customWidth="1"/>
    <col min="2819" max="2819" width="7.5546875" style="1377" customWidth="1"/>
    <col min="2820" max="2820" width="7.44140625" style="1377" customWidth="1"/>
    <col min="2821" max="2821" width="8.109375" style="1377" customWidth="1"/>
    <col min="2822" max="2823" width="0" style="1377" hidden="1" customWidth="1"/>
    <col min="2824" max="2824" width="10.5546875" style="1377" customWidth="1"/>
    <col min="2825" max="2845" width="8.88671875" style="1377"/>
    <col min="2846" max="2847" width="0" style="1377" hidden="1" customWidth="1"/>
    <col min="2848" max="3072" width="8.88671875" style="1377"/>
    <col min="3073" max="3073" width="4.6640625" style="1377" customWidth="1"/>
    <col min="3074" max="3074" width="34.88671875" style="1377" customWidth="1"/>
    <col min="3075" max="3075" width="7.5546875" style="1377" customWidth="1"/>
    <col min="3076" max="3076" width="7.44140625" style="1377" customWidth="1"/>
    <col min="3077" max="3077" width="8.109375" style="1377" customWidth="1"/>
    <col min="3078" max="3079" width="0" style="1377" hidden="1" customWidth="1"/>
    <col min="3080" max="3080" width="10.5546875" style="1377" customWidth="1"/>
    <col min="3081" max="3101" width="8.88671875" style="1377"/>
    <col min="3102" max="3103" width="0" style="1377" hidden="1" customWidth="1"/>
    <col min="3104" max="3328" width="8.88671875" style="1377"/>
    <col min="3329" max="3329" width="4.6640625" style="1377" customWidth="1"/>
    <col min="3330" max="3330" width="34.88671875" style="1377" customWidth="1"/>
    <col min="3331" max="3331" width="7.5546875" style="1377" customWidth="1"/>
    <col min="3332" max="3332" width="7.44140625" style="1377" customWidth="1"/>
    <col min="3333" max="3333" width="8.109375" style="1377" customWidth="1"/>
    <col min="3334" max="3335" width="0" style="1377" hidden="1" customWidth="1"/>
    <col min="3336" max="3336" width="10.5546875" style="1377" customWidth="1"/>
    <col min="3337" max="3357" width="8.88671875" style="1377"/>
    <col min="3358" max="3359" width="0" style="1377" hidden="1" customWidth="1"/>
    <col min="3360" max="3584" width="8.88671875" style="1377"/>
    <col min="3585" max="3585" width="4.6640625" style="1377" customWidth="1"/>
    <col min="3586" max="3586" width="34.88671875" style="1377" customWidth="1"/>
    <col min="3587" max="3587" width="7.5546875" style="1377" customWidth="1"/>
    <col min="3588" max="3588" width="7.44140625" style="1377" customWidth="1"/>
    <col min="3589" max="3589" width="8.109375" style="1377" customWidth="1"/>
    <col min="3590" max="3591" width="0" style="1377" hidden="1" customWidth="1"/>
    <col min="3592" max="3592" width="10.5546875" style="1377" customWidth="1"/>
    <col min="3593" max="3613" width="8.88671875" style="1377"/>
    <col min="3614" max="3615" width="0" style="1377" hidden="1" customWidth="1"/>
    <col min="3616" max="3840" width="8.88671875" style="1377"/>
    <col min="3841" max="3841" width="4.6640625" style="1377" customWidth="1"/>
    <col min="3842" max="3842" width="34.88671875" style="1377" customWidth="1"/>
    <col min="3843" max="3843" width="7.5546875" style="1377" customWidth="1"/>
    <col min="3844" max="3844" width="7.44140625" style="1377" customWidth="1"/>
    <col min="3845" max="3845" width="8.109375" style="1377" customWidth="1"/>
    <col min="3846" max="3847" width="0" style="1377" hidden="1" customWidth="1"/>
    <col min="3848" max="3848" width="10.5546875" style="1377" customWidth="1"/>
    <col min="3849" max="3869" width="8.88671875" style="1377"/>
    <col min="3870" max="3871" width="0" style="1377" hidden="1" customWidth="1"/>
    <col min="3872" max="4096" width="8.88671875" style="1377"/>
    <col min="4097" max="4097" width="4.6640625" style="1377" customWidth="1"/>
    <col min="4098" max="4098" width="34.88671875" style="1377" customWidth="1"/>
    <col min="4099" max="4099" width="7.5546875" style="1377" customWidth="1"/>
    <col min="4100" max="4100" width="7.44140625" style="1377" customWidth="1"/>
    <col min="4101" max="4101" width="8.109375" style="1377" customWidth="1"/>
    <col min="4102" max="4103" width="0" style="1377" hidden="1" customWidth="1"/>
    <col min="4104" max="4104" width="10.5546875" style="1377" customWidth="1"/>
    <col min="4105" max="4125" width="8.88671875" style="1377"/>
    <col min="4126" max="4127" width="0" style="1377" hidden="1" customWidth="1"/>
    <col min="4128" max="4352" width="8.88671875" style="1377"/>
    <col min="4353" max="4353" width="4.6640625" style="1377" customWidth="1"/>
    <col min="4354" max="4354" width="34.88671875" style="1377" customWidth="1"/>
    <col min="4355" max="4355" width="7.5546875" style="1377" customWidth="1"/>
    <col min="4356" max="4356" width="7.44140625" style="1377" customWidth="1"/>
    <col min="4357" max="4357" width="8.109375" style="1377" customWidth="1"/>
    <col min="4358" max="4359" width="0" style="1377" hidden="1" customWidth="1"/>
    <col min="4360" max="4360" width="10.5546875" style="1377" customWidth="1"/>
    <col min="4361" max="4381" width="8.88671875" style="1377"/>
    <col min="4382" max="4383" width="0" style="1377" hidden="1" customWidth="1"/>
    <col min="4384" max="4608" width="8.88671875" style="1377"/>
    <col min="4609" max="4609" width="4.6640625" style="1377" customWidth="1"/>
    <col min="4610" max="4610" width="34.88671875" style="1377" customWidth="1"/>
    <col min="4611" max="4611" width="7.5546875" style="1377" customWidth="1"/>
    <col min="4612" max="4612" width="7.44140625" style="1377" customWidth="1"/>
    <col min="4613" max="4613" width="8.109375" style="1377" customWidth="1"/>
    <col min="4614" max="4615" width="0" style="1377" hidden="1" customWidth="1"/>
    <col min="4616" max="4616" width="10.5546875" style="1377" customWidth="1"/>
    <col min="4617" max="4637" width="8.88671875" style="1377"/>
    <col min="4638" max="4639" width="0" style="1377" hidden="1" customWidth="1"/>
    <col min="4640" max="4864" width="8.88671875" style="1377"/>
    <col min="4865" max="4865" width="4.6640625" style="1377" customWidth="1"/>
    <col min="4866" max="4866" width="34.88671875" style="1377" customWidth="1"/>
    <col min="4867" max="4867" width="7.5546875" style="1377" customWidth="1"/>
    <col min="4868" max="4868" width="7.44140625" style="1377" customWidth="1"/>
    <col min="4869" max="4869" width="8.109375" style="1377" customWidth="1"/>
    <col min="4870" max="4871" width="0" style="1377" hidden="1" customWidth="1"/>
    <col min="4872" max="4872" width="10.5546875" style="1377" customWidth="1"/>
    <col min="4873" max="4893" width="8.88671875" style="1377"/>
    <col min="4894" max="4895" width="0" style="1377" hidden="1" customWidth="1"/>
    <col min="4896" max="5120" width="8.88671875" style="1377"/>
    <col min="5121" max="5121" width="4.6640625" style="1377" customWidth="1"/>
    <col min="5122" max="5122" width="34.88671875" style="1377" customWidth="1"/>
    <col min="5123" max="5123" width="7.5546875" style="1377" customWidth="1"/>
    <col min="5124" max="5124" width="7.44140625" style="1377" customWidth="1"/>
    <col min="5125" max="5125" width="8.109375" style="1377" customWidth="1"/>
    <col min="5126" max="5127" width="0" style="1377" hidden="1" customWidth="1"/>
    <col min="5128" max="5128" width="10.5546875" style="1377" customWidth="1"/>
    <col min="5129" max="5149" width="8.88671875" style="1377"/>
    <col min="5150" max="5151" width="0" style="1377" hidden="1" customWidth="1"/>
    <col min="5152" max="5376" width="8.88671875" style="1377"/>
    <col min="5377" max="5377" width="4.6640625" style="1377" customWidth="1"/>
    <col min="5378" max="5378" width="34.88671875" style="1377" customWidth="1"/>
    <col min="5379" max="5379" width="7.5546875" style="1377" customWidth="1"/>
    <col min="5380" max="5380" width="7.44140625" style="1377" customWidth="1"/>
    <col min="5381" max="5381" width="8.109375" style="1377" customWidth="1"/>
    <col min="5382" max="5383" width="0" style="1377" hidden="1" customWidth="1"/>
    <col min="5384" max="5384" width="10.5546875" style="1377" customWidth="1"/>
    <col min="5385" max="5405" width="8.88671875" style="1377"/>
    <col min="5406" max="5407" width="0" style="1377" hidden="1" customWidth="1"/>
    <col min="5408" max="5632" width="8.88671875" style="1377"/>
    <col min="5633" max="5633" width="4.6640625" style="1377" customWidth="1"/>
    <col min="5634" max="5634" width="34.88671875" style="1377" customWidth="1"/>
    <col min="5635" max="5635" width="7.5546875" style="1377" customWidth="1"/>
    <col min="5636" max="5636" width="7.44140625" style="1377" customWidth="1"/>
    <col min="5637" max="5637" width="8.109375" style="1377" customWidth="1"/>
    <col min="5638" max="5639" width="0" style="1377" hidden="1" customWidth="1"/>
    <col min="5640" max="5640" width="10.5546875" style="1377" customWidth="1"/>
    <col min="5641" max="5661" width="8.88671875" style="1377"/>
    <col min="5662" max="5663" width="0" style="1377" hidden="1" customWidth="1"/>
    <col min="5664" max="5888" width="8.88671875" style="1377"/>
    <col min="5889" max="5889" width="4.6640625" style="1377" customWidth="1"/>
    <col min="5890" max="5890" width="34.88671875" style="1377" customWidth="1"/>
    <col min="5891" max="5891" width="7.5546875" style="1377" customWidth="1"/>
    <col min="5892" max="5892" width="7.44140625" style="1377" customWidth="1"/>
    <col min="5893" max="5893" width="8.109375" style="1377" customWidth="1"/>
    <col min="5894" max="5895" width="0" style="1377" hidden="1" customWidth="1"/>
    <col min="5896" max="5896" width="10.5546875" style="1377" customWidth="1"/>
    <col min="5897" max="5917" width="8.88671875" style="1377"/>
    <col min="5918" max="5919" width="0" style="1377" hidden="1" customWidth="1"/>
    <col min="5920" max="6144" width="8.88671875" style="1377"/>
    <col min="6145" max="6145" width="4.6640625" style="1377" customWidth="1"/>
    <col min="6146" max="6146" width="34.88671875" style="1377" customWidth="1"/>
    <col min="6147" max="6147" width="7.5546875" style="1377" customWidth="1"/>
    <col min="6148" max="6148" width="7.44140625" style="1377" customWidth="1"/>
    <col min="6149" max="6149" width="8.109375" style="1377" customWidth="1"/>
    <col min="6150" max="6151" width="0" style="1377" hidden="1" customWidth="1"/>
    <col min="6152" max="6152" width="10.5546875" style="1377" customWidth="1"/>
    <col min="6153" max="6173" width="8.88671875" style="1377"/>
    <col min="6174" max="6175" width="0" style="1377" hidden="1" customWidth="1"/>
    <col min="6176" max="6400" width="8.88671875" style="1377"/>
    <col min="6401" max="6401" width="4.6640625" style="1377" customWidth="1"/>
    <col min="6402" max="6402" width="34.88671875" style="1377" customWidth="1"/>
    <col min="6403" max="6403" width="7.5546875" style="1377" customWidth="1"/>
    <col min="6404" max="6404" width="7.44140625" style="1377" customWidth="1"/>
    <col min="6405" max="6405" width="8.109375" style="1377" customWidth="1"/>
    <col min="6406" max="6407" width="0" style="1377" hidden="1" customWidth="1"/>
    <col min="6408" max="6408" width="10.5546875" style="1377" customWidth="1"/>
    <col min="6409" max="6429" width="8.88671875" style="1377"/>
    <col min="6430" max="6431" width="0" style="1377" hidden="1" customWidth="1"/>
    <col min="6432" max="6656" width="8.88671875" style="1377"/>
    <col min="6657" max="6657" width="4.6640625" style="1377" customWidth="1"/>
    <col min="6658" max="6658" width="34.88671875" style="1377" customWidth="1"/>
    <col min="6659" max="6659" width="7.5546875" style="1377" customWidth="1"/>
    <col min="6660" max="6660" width="7.44140625" style="1377" customWidth="1"/>
    <col min="6661" max="6661" width="8.109375" style="1377" customWidth="1"/>
    <col min="6662" max="6663" width="0" style="1377" hidden="1" customWidth="1"/>
    <col min="6664" max="6664" width="10.5546875" style="1377" customWidth="1"/>
    <col min="6665" max="6685" width="8.88671875" style="1377"/>
    <col min="6686" max="6687" width="0" style="1377" hidden="1" customWidth="1"/>
    <col min="6688" max="6912" width="8.88671875" style="1377"/>
    <col min="6913" max="6913" width="4.6640625" style="1377" customWidth="1"/>
    <col min="6914" max="6914" width="34.88671875" style="1377" customWidth="1"/>
    <col min="6915" max="6915" width="7.5546875" style="1377" customWidth="1"/>
    <col min="6916" max="6916" width="7.44140625" style="1377" customWidth="1"/>
    <col min="6917" max="6917" width="8.109375" style="1377" customWidth="1"/>
    <col min="6918" max="6919" width="0" style="1377" hidden="1" customWidth="1"/>
    <col min="6920" max="6920" width="10.5546875" style="1377" customWidth="1"/>
    <col min="6921" max="6941" width="8.88671875" style="1377"/>
    <col min="6942" max="6943" width="0" style="1377" hidden="1" customWidth="1"/>
    <col min="6944" max="7168" width="8.88671875" style="1377"/>
    <col min="7169" max="7169" width="4.6640625" style="1377" customWidth="1"/>
    <col min="7170" max="7170" width="34.88671875" style="1377" customWidth="1"/>
    <col min="7171" max="7171" width="7.5546875" style="1377" customWidth="1"/>
    <col min="7172" max="7172" width="7.44140625" style="1377" customWidth="1"/>
    <col min="7173" max="7173" width="8.109375" style="1377" customWidth="1"/>
    <col min="7174" max="7175" width="0" style="1377" hidden="1" customWidth="1"/>
    <col min="7176" max="7176" width="10.5546875" style="1377" customWidth="1"/>
    <col min="7177" max="7197" width="8.88671875" style="1377"/>
    <col min="7198" max="7199" width="0" style="1377" hidden="1" customWidth="1"/>
    <col min="7200" max="7424" width="8.88671875" style="1377"/>
    <col min="7425" max="7425" width="4.6640625" style="1377" customWidth="1"/>
    <col min="7426" max="7426" width="34.88671875" style="1377" customWidth="1"/>
    <col min="7427" max="7427" width="7.5546875" style="1377" customWidth="1"/>
    <col min="7428" max="7428" width="7.44140625" style="1377" customWidth="1"/>
    <col min="7429" max="7429" width="8.109375" style="1377" customWidth="1"/>
    <col min="7430" max="7431" width="0" style="1377" hidden="1" customWidth="1"/>
    <col min="7432" max="7432" width="10.5546875" style="1377" customWidth="1"/>
    <col min="7433" max="7453" width="8.88671875" style="1377"/>
    <col min="7454" max="7455" width="0" style="1377" hidden="1" customWidth="1"/>
    <col min="7456" max="7680" width="8.88671875" style="1377"/>
    <col min="7681" max="7681" width="4.6640625" style="1377" customWidth="1"/>
    <col min="7682" max="7682" width="34.88671875" style="1377" customWidth="1"/>
    <col min="7683" max="7683" width="7.5546875" style="1377" customWidth="1"/>
    <col min="7684" max="7684" width="7.44140625" style="1377" customWidth="1"/>
    <col min="7685" max="7685" width="8.109375" style="1377" customWidth="1"/>
    <col min="7686" max="7687" width="0" style="1377" hidden="1" customWidth="1"/>
    <col min="7688" max="7688" width="10.5546875" style="1377" customWidth="1"/>
    <col min="7689" max="7709" width="8.88671875" style="1377"/>
    <col min="7710" max="7711" width="0" style="1377" hidden="1" customWidth="1"/>
    <col min="7712" max="7936" width="8.88671875" style="1377"/>
    <col min="7937" max="7937" width="4.6640625" style="1377" customWidth="1"/>
    <col min="7938" max="7938" width="34.88671875" style="1377" customWidth="1"/>
    <col min="7939" max="7939" width="7.5546875" style="1377" customWidth="1"/>
    <col min="7940" max="7940" width="7.44140625" style="1377" customWidth="1"/>
    <col min="7941" max="7941" width="8.109375" style="1377" customWidth="1"/>
    <col min="7942" max="7943" width="0" style="1377" hidden="1" customWidth="1"/>
    <col min="7944" max="7944" width="10.5546875" style="1377" customWidth="1"/>
    <col min="7945" max="7965" width="8.88671875" style="1377"/>
    <col min="7966" max="7967" width="0" style="1377" hidden="1" customWidth="1"/>
    <col min="7968" max="8192" width="8.88671875" style="1377"/>
    <col min="8193" max="8193" width="4.6640625" style="1377" customWidth="1"/>
    <col min="8194" max="8194" width="34.88671875" style="1377" customWidth="1"/>
    <col min="8195" max="8195" width="7.5546875" style="1377" customWidth="1"/>
    <col min="8196" max="8196" width="7.44140625" style="1377" customWidth="1"/>
    <col min="8197" max="8197" width="8.109375" style="1377" customWidth="1"/>
    <col min="8198" max="8199" width="0" style="1377" hidden="1" customWidth="1"/>
    <col min="8200" max="8200" width="10.5546875" style="1377" customWidth="1"/>
    <col min="8201" max="8221" width="8.88671875" style="1377"/>
    <col min="8222" max="8223" width="0" style="1377" hidden="1" customWidth="1"/>
    <col min="8224" max="8448" width="8.88671875" style="1377"/>
    <col min="8449" max="8449" width="4.6640625" style="1377" customWidth="1"/>
    <col min="8450" max="8450" width="34.88671875" style="1377" customWidth="1"/>
    <col min="8451" max="8451" width="7.5546875" style="1377" customWidth="1"/>
    <col min="8452" max="8452" width="7.44140625" style="1377" customWidth="1"/>
    <col min="8453" max="8453" width="8.109375" style="1377" customWidth="1"/>
    <col min="8454" max="8455" width="0" style="1377" hidden="1" customWidth="1"/>
    <col min="8456" max="8456" width="10.5546875" style="1377" customWidth="1"/>
    <col min="8457" max="8477" width="8.88671875" style="1377"/>
    <col min="8478" max="8479" width="0" style="1377" hidden="1" customWidth="1"/>
    <col min="8480" max="8704" width="8.88671875" style="1377"/>
    <col min="8705" max="8705" width="4.6640625" style="1377" customWidth="1"/>
    <col min="8706" max="8706" width="34.88671875" style="1377" customWidth="1"/>
    <col min="8707" max="8707" width="7.5546875" style="1377" customWidth="1"/>
    <col min="8708" max="8708" width="7.44140625" style="1377" customWidth="1"/>
    <col min="8709" max="8709" width="8.109375" style="1377" customWidth="1"/>
    <col min="8710" max="8711" width="0" style="1377" hidden="1" customWidth="1"/>
    <col min="8712" max="8712" width="10.5546875" style="1377" customWidth="1"/>
    <col min="8713" max="8733" width="8.88671875" style="1377"/>
    <col min="8734" max="8735" width="0" style="1377" hidden="1" customWidth="1"/>
    <col min="8736" max="8960" width="8.88671875" style="1377"/>
    <col min="8961" max="8961" width="4.6640625" style="1377" customWidth="1"/>
    <col min="8962" max="8962" width="34.88671875" style="1377" customWidth="1"/>
    <col min="8963" max="8963" width="7.5546875" style="1377" customWidth="1"/>
    <col min="8964" max="8964" width="7.44140625" style="1377" customWidth="1"/>
    <col min="8965" max="8965" width="8.109375" style="1377" customWidth="1"/>
    <col min="8966" max="8967" width="0" style="1377" hidden="1" customWidth="1"/>
    <col min="8968" max="8968" width="10.5546875" style="1377" customWidth="1"/>
    <col min="8969" max="8989" width="8.88671875" style="1377"/>
    <col min="8990" max="8991" width="0" style="1377" hidden="1" customWidth="1"/>
    <col min="8992" max="9216" width="8.88671875" style="1377"/>
    <col min="9217" max="9217" width="4.6640625" style="1377" customWidth="1"/>
    <col min="9218" max="9218" width="34.88671875" style="1377" customWidth="1"/>
    <col min="9219" max="9219" width="7.5546875" style="1377" customWidth="1"/>
    <col min="9220" max="9220" width="7.44140625" style="1377" customWidth="1"/>
    <col min="9221" max="9221" width="8.109375" style="1377" customWidth="1"/>
    <col min="9222" max="9223" width="0" style="1377" hidden="1" customWidth="1"/>
    <col min="9224" max="9224" width="10.5546875" style="1377" customWidth="1"/>
    <col min="9225" max="9245" width="8.88671875" style="1377"/>
    <col min="9246" max="9247" width="0" style="1377" hidden="1" customWidth="1"/>
    <col min="9248" max="9472" width="8.88671875" style="1377"/>
    <col min="9473" max="9473" width="4.6640625" style="1377" customWidth="1"/>
    <col min="9474" max="9474" width="34.88671875" style="1377" customWidth="1"/>
    <col min="9475" max="9475" width="7.5546875" style="1377" customWidth="1"/>
    <col min="9476" max="9476" width="7.44140625" style="1377" customWidth="1"/>
    <col min="9477" max="9477" width="8.109375" style="1377" customWidth="1"/>
    <col min="9478" max="9479" width="0" style="1377" hidden="1" customWidth="1"/>
    <col min="9480" max="9480" width="10.5546875" style="1377" customWidth="1"/>
    <col min="9481" max="9501" width="8.88671875" style="1377"/>
    <col min="9502" max="9503" width="0" style="1377" hidden="1" customWidth="1"/>
    <col min="9504" max="9728" width="8.88671875" style="1377"/>
    <col min="9729" max="9729" width="4.6640625" style="1377" customWidth="1"/>
    <col min="9730" max="9730" width="34.88671875" style="1377" customWidth="1"/>
    <col min="9731" max="9731" width="7.5546875" style="1377" customWidth="1"/>
    <col min="9732" max="9732" width="7.44140625" style="1377" customWidth="1"/>
    <col min="9733" max="9733" width="8.109375" style="1377" customWidth="1"/>
    <col min="9734" max="9735" width="0" style="1377" hidden="1" customWidth="1"/>
    <col min="9736" max="9736" width="10.5546875" style="1377" customWidth="1"/>
    <col min="9737" max="9757" width="8.88671875" style="1377"/>
    <col min="9758" max="9759" width="0" style="1377" hidden="1" customWidth="1"/>
    <col min="9760" max="9984" width="8.88671875" style="1377"/>
    <col min="9985" max="9985" width="4.6640625" style="1377" customWidth="1"/>
    <col min="9986" max="9986" width="34.88671875" style="1377" customWidth="1"/>
    <col min="9987" max="9987" width="7.5546875" style="1377" customWidth="1"/>
    <col min="9988" max="9988" width="7.44140625" style="1377" customWidth="1"/>
    <col min="9989" max="9989" width="8.109375" style="1377" customWidth="1"/>
    <col min="9990" max="9991" width="0" style="1377" hidden="1" customWidth="1"/>
    <col min="9992" max="9992" width="10.5546875" style="1377" customWidth="1"/>
    <col min="9993" max="10013" width="8.88671875" style="1377"/>
    <col min="10014" max="10015" width="0" style="1377" hidden="1" customWidth="1"/>
    <col min="10016" max="10240" width="8.88671875" style="1377"/>
    <col min="10241" max="10241" width="4.6640625" style="1377" customWidth="1"/>
    <col min="10242" max="10242" width="34.88671875" style="1377" customWidth="1"/>
    <col min="10243" max="10243" width="7.5546875" style="1377" customWidth="1"/>
    <col min="10244" max="10244" width="7.44140625" style="1377" customWidth="1"/>
    <col min="10245" max="10245" width="8.109375" style="1377" customWidth="1"/>
    <col min="10246" max="10247" width="0" style="1377" hidden="1" customWidth="1"/>
    <col min="10248" max="10248" width="10.5546875" style="1377" customWidth="1"/>
    <col min="10249" max="10269" width="8.88671875" style="1377"/>
    <col min="10270" max="10271" width="0" style="1377" hidden="1" customWidth="1"/>
    <col min="10272" max="10496" width="8.88671875" style="1377"/>
    <col min="10497" max="10497" width="4.6640625" style="1377" customWidth="1"/>
    <col min="10498" max="10498" width="34.88671875" style="1377" customWidth="1"/>
    <col min="10499" max="10499" width="7.5546875" style="1377" customWidth="1"/>
    <col min="10500" max="10500" width="7.44140625" style="1377" customWidth="1"/>
    <col min="10501" max="10501" width="8.109375" style="1377" customWidth="1"/>
    <col min="10502" max="10503" width="0" style="1377" hidden="1" customWidth="1"/>
    <col min="10504" max="10504" width="10.5546875" style="1377" customWidth="1"/>
    <col min="10505" max="10525" width="8.88671875" style="1377"/>
    <col min="10526" max="10527" width="0" style="1377" hidden="1" customWidth="1"/>
    <col min="10528" max="10752" width="8.88671875" style="1377"/>
    <col min="10753" max="10753" width="4.6640625" style="1377" customWidth="1"/>
    <col min="10754" max="10754" width="34.88671875" style="1377" customWidth="1"/>
    <col min="10755" max="10755" width="7.5546875" style="1377" customWidth="1"/>
    <col min="10756" max="10756" width="7.44140625" style="1377" customWidth="1"/>
    <col min="10757" max="10757" width="8.109375" style="1377" customWidth="1"/>
    <col min="10758" max="10759" width="0" style="1377" hidden="1" customWidth="1"/>
    <col min="10760" max="10760" width="10.5546875" style="1377" customWidth="1"/>
    <col min="10761" max="10781" width="8.88671875" style="1377"/>
    <col min="10782" max="10783" width="0" style="1377" hidden="1" customWidth="1"/>
    <col min="10784" max="11008" width="8.88671875" style="1377"/>
    <col min="11009" max="11009" width="4.6640625" style="1377" customWidth="1"/>
    <col min="11010" max="11010" width="34.88671875" style="1377" customWidth="1"/>
    <col min="11011" max="11011" width="7.5546875" style="1377" customWidth="1"/>
    <col min="11012" max="11012" width="7.44140625" style="1377" customWidth="1"/>
    <col min="11013" max="11013" width="8.109375" style="1377" customWidth="1"/>
    <col min="11014" max="11015" width="0" style="1377" hidden="1" customWidth="1"/>
    <col min="11016" max="11016" width="10.5546875" style="1377" customWidth="1"/>
    <col min="11017" max="11037" width="8.88671875" style="1377"/>
    <col min="11038" max="11039" width="0" style="1377" hidden="1" customWidth="1"/>
    <col min="11040" max="11264" width="8.88671875" style="1377"/>
    <col min="11265" max="11265" width="4.6640625" style="1377" customWidth="1"/>
    <col min="11266" max="11266" width="34.88671875" style="1377" customWidth="1"/>
    <col min="11267" max="11267" width="7.5546875" style="1377" customWidth="1"/>
    <col min="11268" max="11268" width="7.44140625" style="1377" customWidth="1"/>
    <col min="11269" max="11269" width="8.109375" style="1377" customWidth="1"/>
    <col min="11270" max="11271" width="0" style="1377" hidden="1" customWidth="1"/>
    <col min="11272" max="11272" width="10.5546875" style="1377" customWidth="1"/>
    <col min="11273" max="11293" width="8.88671875" style="1377"/>
    <col min="11294" max="11295" width="0" style="1377" hidden="1" customWidth="1"/>
    <col min="11296" max="11520" width="8.88671875" style="1377"/>
    <col min="11521" max="11521" width="4.6640625" style="1377" customWidth="1"/>
    <col min="11522" max="11522" width="34.88671875" style="1377" customWidth="1"/>
    <col min="11523" max="11523" width="7.5546875" style="1377" customWidth="1"/>
    <col min="11524" max="11524" width="7.44140625" style="1377" customWidth="1"/>
    <col min="11525" max="11525" width="8.109375" style="1377" customWidth="1"/>
    <col min="11526" max="11527" width="0" style="1377" hidden="1" customWidth="1"/>
    <col min="11528" max="11528" width="10.5546875" style="1377" customWidth="1"/>
    <col min="11529" max="11549" width="8.88671875" style="1377"/>
    <col min="11550" max="11551" width="0" style="1377" hidden="1" customWidth="1"/>
    <col min="11552" max="11776" width="8.88671875" style="1377"/>
    <col min="11777" max="11777" width="4.6640625" style="1377" customWidth="1"/>
    <col min="11778" max="11778" width="34.88671875" style="1377" customWidth="1"/>
    <col min="11779" max="11779" width="7.5546875" style="1377" customWidth="1"/>
    <col min="11780" max="11780" width="7.44140625" style="1377" customWidth="1"/>
    <col min="11781" max="11781" width="8.109375" style="1377" customWidth="1"/>
    <col min="11782" max="11783" width="0" style="1377" hidden="1" customWidth="1"/>
    <col min="11784" max="11784" width="10.5546875" style="1377" customWidth="1"/>
    <col min="11785" max="11805" width="8.88671875" style="1377"/>
    <col min="11806" max="11807" width="0" style="1377" hidden="1" customWidth="1"/>
    <col min="11808" max="12032" width="8.88671875" style="1377"/>
    <col min="12033" max="12033" width="4.6640625" style="1377" customWidth="1"/>
    <col min="12034" max="12034" width="34.88671875" style="1377" customWidth="1"/>
    <col min="12035" max="12035" width="7.5546875" style="1377" customWidth="1"/>
    <col min="12036" max="12036" width="7.44140625" style="1377" customWidth="1"/>
    <col min="12037" max="12037" width="8.109375" style="1377" customWidth="1"/>
    <col min="12038" max="12039" width="0" style="1377" hidden="1" customWidth="1"/>
    <col min="12040" max="12040" width="10.5546875" style="1377" customWidth="1"/>
    <col min="12041" max="12061" width="8.88671875" style="1377"/>
    <col min="12062" max="12063" width="0" style="1377" hidden="1" customWidth="1"/>
    <col min="12064" max="12288" width="8.88671875" style="1377"/>
    <col min="12289" max="12289" width="4.6640625" style="1377" customWidth="1"/>
    <col min="12290" max="12290" width="34.88671875" style="1377" customWidth="1"/>
    <col min="12291" max="12291" width="7.5546875" style="1377" customWidth="1"/>
    <col min="12292" max="12292" width="7.44140625" style="1377" customWidth="1"/>
    <col min="12293" max="12293" width="8.109375" style="1377" customWidth="1"/>
    <col min="12294" max="12295" width="0" style="1377" hidden="1" customWidth="1"/>
    <col min="12296" max="12296" width="10.5546875" style="1377" customWidth="1"/>
    <col min="12297" max="12317" width="8.88671875" style="1377"/>
    <col min="12318" max="12319" width="0" style="1377" hidden="1" customWidth="1"/>
    <col min="12320" max="12544" width="8.88671875" style="1377"/>
    <col min="12545" max="12545" width="4.6640625" style="1377" customWidth="1"/>
    <col min="12546" max="12546" width="34.88671875" style="1377" customWidth="1"/>
    <col min="12547" max="12547" width="7.5546875" style="1377" customWidth="1"/>
    <col min="12548" max="12548" width="7.44140625" style="1377" customWidth="1"/>
    <col min="12549" max="12549" width="8.109375" style="1377" customWidth="1"/>
    <col min="12550" max="12551" width="0" style="1377" hidden="1" customWidth="1"/>
    <col min="12552" max="12552" width="10.5546875" style="1377" customWidth="1"/>
    <col min="12553" max="12573" width="8.88671875" style="1377"/>
    <col min="12574" max="12575" width="0" style="1377" hidden="1" customWidth="1"/>
    <col min="12576" max="12800" width="8.88671875" style="1377"/>
    <col min="12801" max="12801" width="4.6640625" style="1377" customWidth="1"/>
    <col min="12802" max="12802" width="34.88671875" style="1377" customWidth="1"/>
    <col min="12803" max="12803" width="7.5546875" style="1377" customWidth="1"/>
    <col min="12804" max="12804" width="7.44140625" style="1377" customWidth="1"/>
    <col min="12805" max="12805" width="8.109375" style="1377" customWidth="1"/>
    <col min="12806" max="12807" width="0" style="1377" hidden="1" customWidth="1"/>
    <col min="12808" max="12808" width="10.5546875" style="1377" customWidth="1"/>
    <col min="12809" max="12829" width="8.88671875" style="1377"/>
    <col min="12830" max="12831" width="0" style="1377" hidden="1" customWidth="1"/>
    <col min="12832" max="13056" width="8.88671875" style="1377"/>
    <col min="13057" max="13057" width="4.6640625" style="1377" customWidth="1"/>
    <col min="13058" max="13058" width="34.88671875" style="1377" customWidth="1"/>
    <col min="13059" max="13059" width="7.5546875" style="1377" customWidth="1"/>
    <col min="13060" max="13060" width="7.44140625" style="1377" customWidth="1"/>
    <col min="13061" max="13061" width="8.109375" style="1377" customWidth="1"/>
    <col min="13062" max="13063" width="0" style="1377" hidden="1" customWidth="1"/>
    <col min="13064" max="13064" width="10.5546875" style="1377" customWidth="1"/>
    <col min="13065" max="13085" width="8.88671875" style="1377"/>
    <col min="13086" max="13087" width="0" style="1377" hidden="1" customWidth="1"/>
    <col min="13088" max="13312" width="8.88671875" style="1377"/>
    <col min="13313" max="13313" width="4.6640625" style="1377" customWidth="1"/>
    <col min="13314" max="13314" width="34.88671875" style="1377" customWidth="1"/>
    <col min="13315" max="13315" width="7.5546875" style="1377" customWidth="1"/>
    <col min="13316" max="13316" width="7.44140625" style="1377" customWidth="1"/>
    <col min="13317" max="13317" width="8.109375" style="1377" customWidth="1"/>
    <col min="13318" max="13319" width="0" style="1377" hidden="1" customWidth="1"/>
    <col min="13320" max="13320" width="10.5546875" style="1377" customWidth="1"/>
    <col min="13321" max="13341" width="8.88671875" style="1377"/>
    <col min="13342" max="13343" width="0" style="1377" hidden="1" customWidth="1"/>
    <col min="13344" max="13568" width="8.88671875" style="1377"/>
    <col min="13569" max="13569" width="4.6640625" style="1377" customWidth="1"/>
    <col min="13570" max="13570" width="34.88671875" style="1377" customWidth="1"/>
    <col min="13571" max="13571" width="7.5546875" style="1377" customWidth="1"/>
    <col min="13572" max="13572" width="7.44140625" style="1377" customWidth="1"/>
    <col min="13573" max="13573" width="8.109375" style="1377" customWidth="1"/>
    <col min="13574" max="13575" width="0" style="1377" hidden="1" customWidth="1"/>
    <col min="13576" max="13576" width="10.5546875" style="1377" customWidth="1"/>
    <col min="13577" max="13597" width="8.88671875" style="1377"/>
    <col min="13598" max="13599" width="0" style="1377" hidden="1" customWidth="1"/>
    <col min="13600" max="13824" width="8.88671875" style="1377"/>
    <col min="13825" max="13825" width="4.6640625" style="1377" customWidth="1"/>
    <col min="13826" max="13826" width="34.88671875" style="1377" customWidth="1"/>
    <col min="13827" max="13827" width="7.5546875" style="1377" customWidth="1"/>
    <col min="13828" max="13828" width="7.44140625" style="1377" customWidth="1"/>
    <col min="13829" max="13829" width="8.109375" style="1377" customWidth="1"/>
    <col min="13830" max="13831" width="0" style="1377" hidden="1" customWidth="1"/>
    <col min="13832" max="13832" width="10.5546875" style="1377" customWidth="1"/>
    <col min="13833" max="13853" width="8.88671875" style="1377"/>
    <col min="13854" max="13855" width="0" style="1377" hidden="1" customWidth="1"/>
    <col min="13856" max="14080" width="8.88671875" style="1377"/>
    <col min="14081" max="14081" width="4.6640625" style="1377" customWidth="1"/>
    <col min="14082" max="14082" width="34.88671875" style="1377" customWidth="1"/>
    <col min="14083" max="14083" width="7.5546875" style="1377" customWidth="1"/>
    <col min="14084" max="14084" width="7.44140625" style="1377" customWidth="1"/>
    <col min="14085" max="14085" width="8.109375" style="1377" customWidth="1"/>
    <col min="14086" max="14087" width="0" style="1377" hidden="1" customWidth="1"/>
    <col min="14088" max="14088" width="10.5546875" style="1377" customWidth="1"/>
    <col min="14089" max="14109" width="8.88671875" style="1377"/>
    <col min="14110" max="14111" width="0" style="1377" hidden="1" customWidth="1"/>
    <col min="14112" max="14336" width="8.88671875" style="1377"/>
    <col min="14337" max="14337" width="4.6640625" style="1377" customWidth="1"/>
    <col min="14338" max="14338" width="34.88671875" style="1377" customWidth="1"/>
    <col min="14339" max="14339" width="7.5546875" style="1377" customWidth="1"/>
    <col min="14340" max="14340" width="7.44140625" style="1377" customWidth="1"/>
    <col min="14341" max="14341" width="8.109375" style="1377" customWidth="1"/>
    <col min="14342" max="14343" width="0" style="1377" hidden="1" customWidth="1"/>
    <col min="14344" max="14344" width="10.5546875" style="1377" customWidth="1"/>
    <col min="14345" max="14365" width="8.88671875" style="1377"/>
    <col min="14366" max="14367" width="0" style="1377" hidden="1" customWidth="1"/>
    <col min="14368" max="14592" width="8.88671875" style="1377"/>
    <col min="14593" max="14593" width="4.6640625" style="1377" customWidth="1"/>
    <col min="14594" max="14594" width="34.88671875" style="1377" customWidth="1"/>
    <col min="14595" max="14595" width="7.5546875" style="1377" customWidth="1"/>
    <col min="14596" max="14596" width="7.44140625" style="1377" customWidth="1"/>
    <col min="14597" max="14597" width="8.109375" style="1377" customWidth="1"/>
    <col min="14598" max="14599" width="0" style="1377" hidden="1" customWidth="1"/>
    <col min="14600" max="14600" width="10.5546875" style="1377" customWidth="1"/>
    <col min="14601" max="14621" width="8.88671875" style="1377"/>
    <col min="14622" max="14623" width="0" style="1377" hidden="1" customWidth="1"/>
    <col min="14624" max="14848" width="8.88671875" style="1377"/>
    <col min="14849" max="14849" width="4.6640625" style="1377" customWidth="1"/>
    <col min="14850" max="14850" width="34.88671875" style="1377" customWidth="1"/>
    <col min="14851" max="14851" width="7.5546875" style="1377" customWidth="1"/>
    <col min="14852" max="14852" width="7.44140625" style="1377" customWidth="1"/>
    <col min="14853" max="14853" width="8.109375" style="1377" customWidth="1"/>
    <col min="14854" max="14855" width="0" style="1377" hidden="1" customWidth="1"/>
    <col min="14856" max="14856" width="10.5546875" style="1377" customWidth="1"/>
    <col min="14857" max="14877" width="8.88671875" style="1377"/>
    <col min="14878" max="14879" width="0" style="1377" hidden="1" customWidth="1"/>
    <col min="14880" max="15104" width="8.88671875" style="1377"/>
    <col min="15105" max="15105" width="4.6640625" style="1377" customWidth="1"/>
    <col min="15106" max="15106" width="34.88671875" style="1377" customWidth="1"/>
    <col min="15107" max="15107" width="7.5546875" style="1377" customWidth="1"/>
    <col min="15108" max="15108" width="7.44140625" style="1377" customWidth="1"/>
    <col min="15109" max="15109" width="8.109375" style="1377" customWidth="1"/>
    <col min="15110" max="15111" width="0" style="1377" hidden="1" customWidth="1"/>
    <col min="15112" max="15112" width="10.5546875" style="1377" customWidth="1"/>
    <col min="15113" max="15133" width="8.88671875" style="1377"/>
    <col min="15134" max="15135" width="0" style="1377" hidden="1" customWidth="1"/>
    <col min="15136" max="15360" width="8.88671875" style="1377"/>
    <col min="15361" max="15361" width="4.6640625" style="1377" customWidth="1"/>
    <col min="15362" max="15362" width="34.88671875" style="1377" customWidth="1"/>
    <col min="15363" max="15363" width="7.5546875" style="1377" customWidth="1"/>
    <col min="15364" max="15364" width="7.44140625" style="1377" customWidth="1"/>
    <col min="15365" max="15365" width="8.109375" style="1377" customWidth="1"/>
    <col min="15366" max="15367" width="0" style="1377" hidden="1" customWidth="1"/>
    <col min="15368" max="15368" width="10.5546875" style="1377" customWidth="1"/>
    <col min="15369" max="15389" width="8.88671875" style="1377"/>
    <col min="15390" max="15391" width="0" style="1377" hidden="1" customWidth="1"/>
    <col min="15392" max="15616" width="8.88671875" style="1377"/>
    <col min="15617" max="15617" width="4.6640625" style="1377" customWidth="1"/>
    <col min="15618" max="15618" width="34.88671875" style="1377" customWidth="1"/>
    <col min="15619" max="15619" width="7.5546875" style="1377" customWidth="1"/>
    <col min="15620" max="15620" width="7.44140625" style="1377" customWidth="1"/>
    <col min="15621" max="15621" width="8.109375" style="1377" customWidth="1"/>
    <col min="15622" max="15623" width="0" style="1377" hidden="1" customWidth="1"/>
    <col min="15624" max="15624" width="10.5546875" style="1377" customWidth="1"/>
    <col min="15625" max="15645" width="8.88671875" style="1377"/>
    <col min="15646" max="15647" width="0" style="1377" hidden="1" customWidth="1"/>
    <col min="15648" max="15872" width="8.88671875" style="1377"/>
    <col min="15873" max="15873" width="4.6640625" style="1377" customWidth="1"/>
    <col min="15874" max="15874" width="34.88671875" style="1377" customWidth="1"/>
    <col min="15875" max="15875" width="7.5546875" style="1377" customWidth="1"/>
    <col min="15876" max="15876" width="7.44140625" style="1377" customWidth="1"/>
    <col min="15877" max="15877" width="8.109375" style="1377" customWidth="1"/>
    <col min="15878" max="15879" width="0" style="1377" hidden="1" customWidth="1"/>
    <col min="15880" max="15880" width="10.5546875" style="1377" customWidth="1"/>
    <col min="15881" max="15901" width="8.88671875" style="1377"/>
    <col min="15902" max="15903" width="0" style="1377" hidden="1" customWidth="1"/>
    <col min="15904" max="16128" width="8.88671875" style="1377"/>
    <col min="16129" max="16129" width="4.6640625" style="1377" customWidth="1"/>
    <col min="16130" max="16130" width="34.88671875" style="1377" customWidth="1"/>
    <col min="16131" max="16131" width="7.5546875" style="1377" customWidth="1"/>
    <col min="16132" max="16132" width="7.44140625" style="1377" customWidth="1"/>
    <col min="16133" max="16133" width="8.109375" style="1377" customWidth="1"/>
    <col min="16134" max="16135" width="0" style="1377" hidden="1" customWidth="1"/>
    <col min="16136" max="16136" width="10.5546875" style="1377" customWidth="1"/>
    <col min="16137" max="16157" width="8.88671875" style="1377"/>
    <col min="16158" max="16159" width="0" style="1377" hidden="1" customWidth="1"/>
    <col min="16160" max="16384" width="8.88671875" style="1377"/>
  </cols>
  <sheetData>
    <row r="1" spans="1:12">
      <c r="A1" s="1457" t="s">
        <v>0</v>
      </c>
      <c r="B1" s="1457"/>
      <c r="C1" s="1457"/>
      <c r="D1" s="1457"/>
      <c r="E1" s="1457"/>
      <c r="F1" s="1457"/>
      <c r="G1" s="1457"/>
      <c r="H1" s="1457"/>
    </row>
    <row r="2" spans="1:12">
      <c r="A2" s="1457" t="s">
        <v>1</v>
      </c>
      <c r="B2" s="1457"/>
      <c r="C2" s="1457"/>
      <c r="D2" s="1457"/>
      <c r="E2" s="1457"/>
      <c r="F2" s="1457"/>
      <c r="G2" s="1457"/>
      <c r="H2" s="1457"/>
    </row>
    <row r="3" spans="1:12" ht="54" customHeight="1">
      <c r="A3" s="1458" t="str">
        <f>[8]Detailed!A4</f>
        <v>CONSTRUCTION OF RURAL POLICE STATION BUILDING WITH DEVELOPMENT WORK AT REGUNATHAPURAM IN PUDUKKOTTAI DISRICT.</v>
      </c>
      <c r="B3" s="1458"/>
      <c r="C3" s="1458"/>
      <c r="D3" s="1458"/>
      <c r="E3" s="1458"/>
      <c r="F3" s="1458"/>
      <c r="G3" s="1458"/>
      <c r="H3" s="1458"/>
    </row>
    <row r="4" spans="1:12" ht="16.5" thickBot="1">
      <c r="A4" s="1459" t="s">
        <v>5650</v>
      </c>
      <c r="B4" s="1459"/>
      <c r="C4" s="1459"/>
      <c r="D4" s="1459"/>
      <c r="E4" s="1459"/>
      <c r="F4" s="1459"/>
      <c r="G4" s="1459"/>
      <c r="H4" s="1459"/>
    </row>
    <row r="5" spans="1:12" ht="16.5" thickTop="1">
      <c r="A5" s="1378" t="s">
        <v>87</v>
      </c>
      <c r="B5" s="1379" t="s">
        <v>88</v>
      </c>
      <c r="C5" s="1460" t="s">
        <v>54</v>
      </c>
      <c r="D5" s="1460"/>
      <c r="E5" s="1460" t="s">
        <v>89</v>
      </c>
      <c r="F5" s="1460"/>
      <c r="G5" s="1460"/>
      <c r="H5" s="1380" t="s">
        <v>8</v>
      </c>
    </row>
    <row r="6" spans="1:12">
      <c r="A6" s="1381"/>
      <c r="B6" s="1382"/>
      <c r="C6" s="1383"/>
      <c r="D6" s="1383"/>
      <c r="E6" s="1383" t="s">
        <v>91</v>
      </c>
      <c r="F6" s="1383" t="s">
        <v>6</v>
      </c>
      <c r="G6" s="1383" t="s">
        <v>7</v>
      </c>
      <c r="H6" s="1384"/>
    </row>
    <row r="7" spans="1:12" s="1387" customFormat="1" ht="95.25" customHeight="1">
      <c r="A7" s="1385">
        <v>1</v>
      </c>
      <c r="B7" s="1461" t="s">
        <v>5651</v>
      </c>
      <c r="C7" s="1461"/>
      <c r="D7" s="1461"/>
      <c r="E7" s="1461"/>
      <c r="F7" s="1461"/>
      <c r="G7" s="1461"/>
      <c r="H7" s="1386"/>
    </row>
    <row r="8" spans="1:12" s="1387" customFormat="1">
      <c r="A8" s="1388"/>
      <c r="B8" s="1389" t="s">
        <v>5652</v>
      </c>
      <c r="C8" s="1390"/>
      <c r="D8" s="1390"/>
      <c r="E8" s="1376"/>
      <c r="F8" s="1376"/>
      <c r="G8" s="1376"/>
      <c r="H8" s="1386"/>
    </row>
    <row r="9" spans="1:12" s="1387" customFormat="1">
      <c r="A9" s="1388"/>
      <c r="B9" s="1389" t="s">
        <v>5653</v>
      </c>
      <c r="C9" s="1390"/>
      <c r="D9" s="1390"/>
      <c r="E9" s="1376"/>
      <c r="F9" s="1376"/>
      <c r="G9" s="1376"/>
      <c r="H9" s="1386"/>
      <c r="L9" s="1391"/>
    </row>
    <row r="10" spans="1:12" s="1387" customFormat="1">
      <c r="A10" s="1388"/>
      <c r="B10" s="1392" t="s">
        <v>5654</v>
      </c>
      <c r="C10" s="1390">
        <v>1</v>
      </c>
      <c r="D10" s="1390">
        <v>1</v>
      </c>
      <c r="E10" s="1376">
        <v>60</v>
      </c>
      <c r="F10" s="1376"/>
      <c r="G10" s="1376"/>
      <c r="H10" s="1386">
        <f>PRODUCT(C10:G10)</f>
        <v>60</v>
      </c>
      <c r="L10" s="1391"/>
    </row>
    <row r="11" spans="1:12" s="1387" customFormat="1">
      <c r="A11" s="1388"/>
      <c r="B11" s="1392"/>
      <c r="C11" s="1390"/>
      <c r="D11" s="1390"/>
      <c r="E11" s="1393"/>
      <c r="F11" s="1393" t="s">
        <v>15</v>
      </c>
      <c r="G11" s="1393">
        <f>+H10</f>
        <v>60</v>
      </c>
      <c r="H11" s="1394" t="s">
        <v>61</v>
      </c>
    </row>
    <row r="12" spans="1:12" s="1387" customFormat="1" ht="31.5">
      <c r="A12" s="1388"/>
      <c r="B12" s="1389" t="s">
        <v>5655</v>
      </c>
      <c r="C12" s="1390"/>
      <c r="D12" s="1390"/>
      <c r="E12" s="1376"/>
      <c r="F12" s="1376"/>
      <c r="G12" s="1376"/>
      <c r="H12" s="1386"/>
    </row>
    <row r="13" spans="1:12" s="1387" customFormat="1">
      <c r="A13" s="1388"/>
      <c r="B13" s="1392" t="str">
        <f>+B10</f>
        <v>For bore well-1</v>
      </c>
      <c r="C13" s="1390">
        <f>+C10</f>
        <v>1</v>
      </c>
      <c r="D13" s="1390">
        <v>1</v>
      </c>
      <c r="E13" s="1376">
        <f>90-E10</f>
        <v>30</v>
      </c>
      <c r="F13" s="1376"/>
      <c r="G13" s="1376"/>
      <c r="H13" s="1386">
        <f>PRODUCT(C13:G13)</f>
        <v>30</v>
      </c>
    </row>
    <row r="14" spans="1:12" s="1387" customFormat="1">
      <c r="A14" s="1388"/>
      <c r="B14" s="1392"/>
      <c r="C14" s="1390"/>
      <c r="D14" s="1390"/>
      <c r="E14" s="1393"/>
      <c r="F14" s="1393" t="s">
        <v>15</v>
      </c>
      <c r="G14" s="1393">
        <f>+H13</f>
        <v>30</v>
      </c>
      <c r="H14" s="1394" t="s">
        <v>61</v>
      </c>
    </row>
    <row r="15" spans="1:12" s="1387" customFormat="1" ht="31.5">
      <c r="A15" s="1388"/>
      <c r="B15" s="1389" t="s">
        <v>5656</v>
      </c>
      <c r="C15" s="1390"/>
      <c r="D15" s="1390"/>
      <c r="E15" s="1376"/>
      <c r="F15" s="1376"/>
      <c r="G15" s="1376"/>
      <c r="H15" s="1386"/>
    </row>
    <row r="16" spans="1:12" s="1387" customFormat="1">
      <c r="A16" s="1388"/>
      <c r="B16" s="1392" t="str">
        <f>+B13</f>
        <v>For bore well-1</v>
      </c>
      <c r="C16" s="1390">
        <f>+C13</f>
        <v>1</v>
      </c>
      <c r="D16" s="1390">
        <v>1</v>
      </c>
      <c r="E16" s="1376">
        <f>120-(E13+E10)</f>
        <v>30</v>
      </c>
      <c r="F16" s="1376"/>
      <c r="G16" s="1376"/>
      <c r="H16" s="1386">
        <f>PRODUCT(C16:G16)</f>
        <v>30</v>
      </c>
    </row>
    <row r="17" spans="1:14" s="1387" customFormat="1">
      <c r="A17" s="1388"/>
      <c r="B17" s="1392"/>
      <c r="C17" s="1390"/>
      <c r="D17" s="1390"/>
      <c r="E17" s="1393"/>
      <c r="F17" s="1393" t="s">
        <v>15</v>
      </c>
      <c r="G17" s="1393">
        <f>+H16</f>
        <v>30</v>
      </c>
      <c r="H17" s="1394" t="s">
        <v>61</v>
      </c>
    </row>
    <row r="18" spans="1:14" s="1387" customFormat="1" ht="31.5" hidden="1">
      <c r="A18" s="1388"/>
      <c r="B18" s="1389" t="s">
        <v>5657</v>
      </c>
      <c r="C18" s="1390"/>
      <c r="D18" s="1390"/>
      <c r="E18" s="1376"/>
      <c r="F18" s="1376"/>
      <c r="G18" s="1376"/>
      <c r="H18" s="1386"/>
    </row>
    <row r="19" spans="1:14" s="1387" customFormat="1" hidden="1">
      <c r="A19" s="1388"/>
      <c r="B19" s="1392" t="str">
        <f>+B16</f>
        <v>For bore well-1</v>
      </c>
      <c r="C19" s="1390">
        <v>1</v>
      </c>
      <c r="D19" s="1390">
        <v>1</v>
      </c>
      <c r="E19" s="1376">
        <v>30</v>
      </c>
      <c r="F19" s="1376"/>
      <c r="G19" s="1376"/>
      <c r="H19" s="1386">
        <f>PRODUCT(C19:G19)</f>
        <v>30</v>
      </c>
      <c r="I19" s="1391">
        <f>140*3.28</f>
        <v>459.2</v>
      </c>
    </row>
    <row r="20" spans="1:14" s="1387" customFormat="1" hidden="1">
      <c r="A20" s="1388"/>
      <c r="B20" s="1392"/>
      <c r="C20" s="1390"/>
      <c r="D20" s="1390"/>
      <c r="E20" s="1393"/>
      <c r="F20" s="1393" t="s">
        <v>15</v>
      </c>
      <c r="G20" s="1393">
        <f>+H19</f>
        <v>30</v>
      </c>
      <c r="H20" s="1394" t="s">
        <v>61</v>
      </c>
    </row>
    <row r="21" spans="1:14" s="1387" customFormat="1" ht="31.5" hidden="1">
      <c r="A21" s="1388"/>
      <c r="B21" s="1389" t="s">
        <v>5658</v>
      </c>
      <c r="C21" s="1390"/>
      <c r="D21" s="1390"/>
      <c r="E21" s="1376"/>
      <c r="F21" s="1376"/>
      <c r="G21" s="1376"/>
      <c r="H21" s="1386"/>
      <c r="N21" s="1387">
        <f>210*3.28</f>
        <v>688.8</v>
      </c>
    </row>
    <row r="22" spans="1:14" s="1387" customFormat="1" hidden="1">
      <c r="A22" s="1388"/>
      <c r="B22" s="1392" t="str">
        <f>+B19</f>
        <v>For bore well-1</v>
      </c>
      <c r="C22" s="1390"/>
      <c r="D22" s="1390"/>
      <c r="E22" s="1376"/>
      <c r="F22" s="1376"/>
      <c r="G22" s="1376"/>
      <c r="H22" s="1386">
        <f>PRODUCT(C22:G22)</f>
        <v>0</v>
      </c>
      <c r="I22" s="1391"/>
    </row>
    <row r="23" spans="1:14" s="1387" customFormat="1" hidden="1">
      <c r="A23" s="1388"/>
      <c r="B23" s="1392"/>
      <c r="C23" s="1390"/>
      <c r="D23" s="1390"/>
      <c r="E23" s="1393"/>
      <c r="F23" s="1393" t="s">
        <v>15</v>
      </c>
      <c r="G23" s="1393">
        <f>+H22</f>
        <v>0</v>
      </c>
      <c r="H23" s="1394" t="s">
        <v>61</v>
      </c>
      <c r="J23" s="1391">
        <f>E22+E19+E16+E13+E10</f>
        <v>150</v>
      </c>
    </row>
    <row r="24" spans="1:14" s="1387" customFormat="1" ht="31.5" hidden="1">
      <c r="A24" s="1388"/>
      <c r="B24" s="1389" t="s">
        <v>5659</v>
      </c>
      <c r="C24" s="1390"/>
      <c r="D24" s="1390"/>
      <c r="E24" s="1376"/>
      <c r="F24" s="1376"/>
      <c r="G24" s="1376"/>
      <c r="H24" s="1386"/>
    </row>
    <row r="25" spans="1:14" s="1387" customFormat="1" hidden="1">
      <c r="A25" s="1388"/>
      <c r="B25" s="1392" t="str">
        <f>+B22</f>
        <v>For bore well-1</v>
      </c>
      <c r="C25" s="1390"/>
      <c r="D25" s="1390"/>
      <c r="E25" s="1376"/>
      <c r="F25" s="1376"/>
      <c r="G25" s="1376"/>
      <c r="H25" s="1386">
        <f>PRODUCT(C25:G25)</f>
        <v>0</v>
      </c>
      <c r="I25" s="1391"/>
    </row>
    <row r="26" spans="1:14" s="1387" customFormat="1" hidden="1">
      <c r="A26" s="1388"/>
      <c r="B26" s="1392"/>
      <c r="C26" s="1390"/>
      <c r="D26" s="1390"/>
      <c r="E26" s="1393"/>
      <c r="F26" s="1393" t="s">
        <v>15</v>
      </c>
      <c r="G26" s="1393">
        <f>+H25</f>
        <v>0</v>
      </c>
      <c r="H26" s="1394" t="s">
        <v>61</v>
      </c>
      <c r="J26" s="1391">
        <f>E25+E22+E19+E16+E13</f>
        <v>90</v>
      </c>
    </row>
    <row r="27" spans="1:14" s="1387" customFormat="1" ht="41.25" customHeight="1">
      <c r="A27" s="1388">
        <f>+A7+1</f>
        <v>2</v>
      </c>
      <c r="B27" s="1462" t="s">
        <v>5660</v>
      </c>
      <c r="C27" s="1462"/>
      <c r="D27" s="1462"/>
      <c r="E27" s="1462"/>
      <c r="F27" s="1462"/>
      <c r="G27" s="1462"/>
      <c r="H27" s="1463"/>
      <c r="J27" s="1391"/>
    </row>
    <row r="28" spans="1:14" s="1387" customFormat="1">
      <c r="A28" s="1388"/>
      <c r="B28" s="1389" t="s">
        <v>5653</v>
      </c>
      <c r="C28" s="1390"/>
      <c r="D28" s="1390"/>
      <c r="E28" s="1376"/>
      <c r="F28" s="1376"/>
      <c r="G28" s="1376"/>
      <c r="H28" s="1386"/>
      <c r="J28" s="1391"/>
    </row>
    <row r="29" spans="1:14" s="1387" customFormat="1">
      <c r="A29" s="1388"/>
      <c r="B29" s="1392" t="str">
        <f>+B13</f>
        <v>For bore well-1</v>
      </c>
      <c r="C29" s="1390">
        <f>+C13</f>
        <v>1</v>
      </c>
      <c r="D29" s="1390">
        <v>1</v>
      </c>
      <c r="E29" s="1376">
        <f>+E10</f>
        <v>60</v>
      </c>
      <c r="F29" s="1376"/>
      <c r="G29" s="1376"/>
      <c r="H29" s="1386">
        <f>PRODUCT(C29:G29)</f>
        <v>60</v>
      </c>
    </row>
    <row r="30" spans="1:14" s="1387" customFormat="1">
      <c r="A30" s="1388"/>
      <c r="B30" s="1392"/>
      <c r="C30" s="1390"/>
      <c r="D30" s="1390"/>
      <c r="E30" s="1393"/>
      <c r="F30" s="1393" t="s">
        <v>15</v>
      </c>
      <c r="G30" s="1393">
        <f>+H29</f>
        <v>60</v>
      </c>
      <c r="H30" s="1394" t="s">
        <v>61</v>
      </c>
    </row>
    <row r="31" spans="1:14" s="1387" customFormat="1" ht="31.5">
      <c r="A31" s="1388"/>
      <c r="B31" s="1389" t="s">
        <v>5655</v>
      </c>
      <c r="C31" s="1390"/>
      <c r="D31" s="1390"/>
      <c r="E31" s="1376"/>
      <c r="F31" s="1376"/>
      <c r="G31" s="1376"/>
      <c r="H31" s="1386"/>
      <c r="J31" s="1391"/>
    </row>
    <row r="32" spans="1:14" s="1387" customFormat="1">
      <c r="A32" s="1388"/>
      <c r="B32" s="1392" t="str">
        <f>+B29</f>
        <v>For bore well-1</v>
      </c>
      <c r="C32" s="1390">
        <f>+C29</f>
        <v>1</v>
      </c>
      <c r="D32" s="1390">
        <v>1</v>
      </c>
      <c r="E32" s="1376">
        <f>+E13</f>
        <v>30</v>
      </c>
      <c r="F32" s="1376"/>
      <c r="G32" s="1376"/>
      <c r="H32" s="1386">
        <f>PRODUCT(C32:G32)</f>
        <v>30</v>
      </c>
    </row>
    <row r="33" spans="1:10" s="1387" customFormat="1">
      <c r="A33" s="1388"/>
      <c r="B33" s="1392"/>
      <c r="C33" s="1390"/>
      <c r="D33" s="1390"/>
      <c r="E33" s="1393"/>
      <c r="F33" s="1393" t="s">
        <v>15</v>
      </c>
      <c r="G33" s="1393">
        <f>+H32</f>
        <v>30</v>
      </c>
      <c r="H33" s="1394" t="s">
        <v>61</v>
      </c>
    </row>
    <row r="34" spans="1:10" s="1387" customFormat="1" ht="31.5">
      <c r="A34" s="1388"/>
      <c r="B34" s="1389" t="s">
        <v>5661</v>
      </c>
      <c r="C34" s="1390"/>
      <c r="D34" s="1390"/>
      <c r="E34" s="1376"/>
      <c r="F34" s="1376"/>
      <c r="G34" s="1376"/>
      <c r="H34" s="1386"/>
      <c r="J34" s="1391"/>
    </row>
    <row r="35" spans="1:10" s="1387" customFormat="1">
      <c r="A35" s="1388"/>
      <c r="B35" s="1392" t="str">
        <f>+B32</f>
        <v>For bore well-1</v>
      </c>
      <c r="C35" s="1390">
        <f>+C32</f>
        <v>1</v>
      </c>
      <c r="D35" s="1390">
        <v>1</v>
      </c>
      <c r="E35" s="1376">
        <f>+E16</f>
        <v>30</v>
      </c>
      <c r="F35" s="1376"/>
      <c r="G35" s="1376"/>
      <c r="H35" s="1386">
        <f>PRODUCT(C35:G35)</f>
        <v>30</v>
      </c>
    </row>
    <row r="36" spans="1:10" s="1387" customFormat="1">
      <c r="A36" s="1388"/>
      <c r="B36" s="1392"/>
      <c r="C36" s="1390"/>
      <c r="D36" s="1390"/>
      <c r="E36" s="1393"/>
      <c r="F36" s="1393" t="s">
        <v>15</v>
      </c>
      <c r="G36" s="1393">
        <f>+H35</f>
        <v>30</v>
      </c>
      <c r="H36" s="1394" t="s">
        <v>61</v>
      </c>
    </row>
    <row r="37" spans="1:10" s="1387" customFormat="1" ht="31.5" hidden="1">
      <c r="A37" s="1388"/>
      <c r="B37" s="1389" t="s">
        <v>5662</v>
      </c>
      <c r="C37" s="1390"/>
      <c r="D37" s="1390"/>
      <c r="E37" s="1376"/>
      <c r="F37" s="1376"/>
      <c r="G37" s="1376"/>
      <c r="H37" s="1386"/>
      <c r="J37" s="1391"/>
    </row>
    <row r="38" spans="1:10" s="1387" customFormat="1" hidden="1">
      <c r="A38" s="1388"/>
      <c r="B38" s="1392" t="str">
        <f>+B35</f>
        <v>For bore well-1</v>
      </c>
      <c r="C38" s="1390">
        <f>+C35</f>
        <v>1</v>
      </c>
      <c r="D38" s="1390">
        <v>1</v>
      </c>
      <c r="E38" s="1376">
        <v>30</v>
      </c>
      <c r="F38" s="1376"/>
      <c r="G38" s="1376"/>
      <c r="H38" s="1386">
        <f>PRODUCT(C38:G38)</f>
        <v>30</v>
      </c>
      <c r="I38" s="1387">
        <f>150*3.28</f>
        <v>491.99999999999994</v>
      </c>
    </row>
    <row r="39" spans="1:10" s="1387" customFormat="1" hidden="1">
      <c r="A39" s="1388"/>
      <c r="B39" s="1392"/>
      <c r="C39" s="1390"/>
      <c r="D39" s="1390"/>
      <c r="E39" s="1393"/>
      <c r="F39" s="1393" t="s">
        <v>15</v>
      </c>
      <c r="G39" s="1393">
        <f>+H38</f>
        <v>30</v>
      </c>
      <c r="H39" s="1394" t="s">
        <v>61</v>
      </c>
    </row>
    <row r="40" spans="1:10" s="1387" customFormat="1" ht="31.5" hidden="1">
      <c r="A40" s="1388"/>
      <c r="B40" s="1389" t="s">
        <v>5658</v>
      </c>
      <c r="C40" s="1390"/>
      <c r="D40" s="1390"/>
      <c r="E40" s="1376"/>
      <c r="F40" s="1376"/>
      <c r="G40" s="1376"/>
      <c r="H40" s="1386"/>
    </row>
    <row r="41" spans="1:10" s="1387" customFormat="1" hidden="1">
      <c r="A41" s="1388"/>
      <c r="B41" s="1392" t="str">
        <f>+B38</f>
        <v>For bore well-1</v>
      </c>
      <c r="C41" s="1390"/>
      <c r="D41" s="1390"/>
      <c r="E41" s="1376"/>
      <c r="F41" s="1376"/>
      <c r="G41" s="1376"/>
      <c r="H41" s="1386"/>
      <c r="I41" s="1391"/>
    </row>
    <row r="42" spans="1:10" s="1387" customFormat="1" hidden="1">
      <c r="A42" s="1388"/>
      <c r="B42" s="1392"/>
      <c r="C42" s="1390"/>
      <c r="D42" s="1390"/>
      <c r="E42" s="1393"/>
      <c r="F42" s="1393" t="s">
        <v>15</v>
      </c>
      <c r="G42" s="1393">
        <f>+H41</f>
        <v>0</v>
      </c>
      <c r="H42" s="1394" t="s">
        <v>61</v>
      </c>
      <c r="J42" s="1391">
        <f>E41+E38+E35+E32+E29</f>
        <v>150</v>
      </c>
    </row>
    <row r="43" spans="1:10" s="1387" customFormat="1" ht="31.5" hidden="1">
      <c r="A43" s="1388"/>
      <c r="B43" s="1389" t="s">
        <v>5659</v>
      </c>
      <c r="C43" s="1390"/>
      <c r="D43" s="1390"/>
      <c r="E43" s="1376"/>
      <c r="F43" s="1376"/>
      <c r="G43" s="1376"/>
      <c r="H43" s="1386"/>
    </row>
    <row r="44" spans="1:10" s="1387" customFormat="1" hidden="1">
      <c r="A44" s="1388"/>
      <c r="B44" s="1392" t="str">
        <f>+B41</f>
        <v>For bore well-1</v>
      </c>
      <c r="C44" s="1390"/>
      <c r="D44" s="1390"/>
      <c r="E44" s="1376"/>
      <c r="F44" s="1376"/>
      <c r="G44" s="1376"/>
      <c r="H44" s="1386"/>
      <c r="I44" s="1391"/>
    </row>
    <row r="45" spans="1:10" s="1387" customFormat="1" hidden="1">
      <c r="A45" s="1388"/>
      <c r="B45" s="1392"/>
      <c r="C45" s="1390"/>
      <c r="D45" s="1390"/>
      <c r="E45" s="1393"/>
      <c r="F45" s="1393" t="s">
        <v>15</v>
      </c>
      <c r="G45" s="1393">
        <f>+H44</f>
        <v>0</v>
      </c>
      <c r="H45" s="1394" t="s">
        <v>61</v>
      </c>
      <c r="J45" s="1391">
        <f>E44+E41+E38+E35+E32</f>
        <v>90</v>
      </c>
    </row>
    <row r="46" spans="1:10" s="1387" customFormat="1" ht="41.25" customHeight="1">
      <c r="A46" s="1388">
        <f>+A27+1</f>
        <v>3</v>
      </c>
      <c r="B46" s="1464" t="s">
        <v>5663</v>
      </c>
      <c r="C46" s="1464"/>
      <c r="D46" s="1464"/>
      <c r="E46" s="1464"/>
      <c r="F46" s="1464"/>
      <c r="G46" s="1464"/>
      <c r="H46" s="1465"/>
      <c r="J46" s="1391"/>
    </row>
    <row r="47" spans="1:10" s="1387" customFormat="1">
      <c r="A47" s="1388"/>
      <c r="B47" s="1389" t="s">
        <v>5664</v>
      </c>
      <c r="C47" s="1390"/>
      <c r="D47" s="1390"/>
      <c r="E47" s="1376"/>
      <c r="F47" s="1376"/>
      <c r="G47" s="1376"/>
      <c r="H47" s="1394"/>
    </row>
    <row r="48" spans="1:10" s="1387" customFormat="1">
      <c r="A48" s="1388"/>
      <c r="B48" s="1392" t="str">
        <f>+B32</f>
        <v>For bore well-1</v>
      </c>
      <c r="C48" s="1390">
        <f>+C32</f>
        <v>1</v>
      </c>
      <c r="D48" s="1390">
        <v>1</v>
      </c>
      <c r="E48" s="1376">
        <v>60</v>
      </c>
      <c r="F48" s="1376"/>
      <c r="G48" s="1376"/>
      <c r="H48" s="1386">
        <f>PRODUCT(C48:G48)</f>
        <v>60</v>
      </c>
    </row>
    <row r="49" spans="1:10" s="1387" customFormat="1">
      <c r="A49" s="1388"/>
      <c r="B49" s="1392"/>
      <c r="C49" s="1390"/>
      <c r="D49" s="1390"/>
      <c r="E49" s="1393"/>
      <c r="F49" s="1393" t="s">
        <v>15</v>
      </c>
      <c r="G49" s="1393">
        <f>+H48</f>
        <v>60</v>
      </c>
      <c r="H49" s="1394" t="s">
        <v>61</v>
      </c>
    </row>
    <row r="50" spans="1:10" s="1387" customFormat="1">
      <c r="A50" s="1388"/>
      <c r="B50" s="1389" t="s">
        <v>5665</v>
      </c>
      <c r="C50" s="1390"/>
      <c r="D50" s="1390"/>
      <c r="E50" s="1376"/>
      <c r="F50" s="1376"/>
      <c r="G50" s="1376"/>
      <c r="H50" s="1394"/>
    </row>
    <row r="51" spans="1:10" s="1387" customFormat="1">
      <c r="A51" s="1388"/>
      <c r="B51" s="1392" t="str">
        <f>+B35</f>
        <v>For bore well-1</v>
      </c>
      <c r="C51" s="1390">
        <f>+C35</f>
        <v>1</v>
      </c>
      <c r="D51" s="1390">
        <v>1</v>
      </c>
      <c r="E51" s="1376">
        <v>60</v>
      </c>
      <c r="F51" s="1376"/>
      <c r="G51" s="1376"/>
      <c r="H51" s="1386">
        <f>PRODUCT(C51:G51)</f>
        <v>60</v>
      </c>
      <c r="I51" s="1391">
        <f>E51+E48</f>
        <v>120</v>
      </c>
      <c r="J51" s="1387">
        <f>500/3.28</f>
        <v>152.4390243902439</v>
      </c>
    </row>
    <row r="52" spans="1:10" s="1387" customFormat="1">
      <c r="A52" s="1388"/>
      <c r="B52" s="1392"/>
      <c r="C52" s="1390"/>
      <c r="D52" s="1390"/>
      <c r="E52" s="1393"/>
      <c r="F52" s="1393" t="s">
        <v>15</v>
      </c>
      <c r="G52" s="1393">
        <f>+H51</f>
        <v>60</v>
      </c>
      <c r="H52" s="1394" t="s">
        <v>61</v>
      </c>
    </row>
    <row r="53" spans="1:10" s="1387" customFormat="1" ht="58.5" customHeight="1">
      <c r="A53" s="1388">
        <f>+A46+1</f>
        <v>4</v>
      </c>
      <c r="B53" s="1462" t="s">
        <v>5666</v>
      </c>
      <c r="C53" s="1462"/>
      <c r="D53" s="1462"/>
      <c r="E53" s="1462"/>
      <c r="F53" s="1462"/>
      <c r="G53" s="1462"/>
      <c r="H53" s="1463"/>
      <c r="J53" s="1391"/>
    </row>
    <row r="54" spans="1:10" s="1387" customFormat="1">
      <c r="A54" s="1388"/>
      <c r="B54" s="1389" t="s">
        <v>5667</v>
      </c>
      <c r="C54" s="1390"/>
      <c r="D54" s="1390"/>
      <c r="E54" s="1376"/>
      <c r="F54" s="1376"/>
      <c r="G54" s="1376"/>
      <c r="H54" s="1394"/>
    </row>
    <row r="55" spans="1:10" s="1387" customFormat="1">
      <c r="A55" s="1388"/>
      <c r="B55" s="1392" t="s">
        <v>5668</v>
      </c>
      <c r="C55" s="1390"/>
      <c r="D55" s="1390"/>
      <c r="E55" s="1376"/>
      <c r="F55" s="1376"/>
      <c r="G55" s="1376"/>
      <c r="H55" s="1386"/>
    </row>
    <row r="56" spans="1:10" s="1387" customFormat="1">
      <c r="A56" s="1388"/>
      <c r="B56" s="1392" t="str">
        <f>+B48</f>
        <v>For bore well-1</v>
      </c>
      <c r="C56" s="1390">
        <v>1</v>
      </c>
      <c r="D56" s="1390">
        <v>1</v>
      </c>
      <c r="E56" s="1376">
        <v>120</v>
      </c>
      <c r="F56" s="1376"/>
      <c r="G56" s="1376"/>
      <c r="H56" s="1386">
        <f>PRODUCT(C56:G56)</f>
        <v>120</v>
      </c>
    </row>
    <row r="57" spans="1:10" s="1387" customFormat="1">
      <c r="A57" s="1388"/>
      <c r="B57" s="1392"/>
      <c r="C57" s="1390"/>
      <c r="D57" s="1390"/>
      <c r="E57" s="1393"/>
      <c r="F57" s="1393" t="s">
        <v>15</v>
      </c>
      <c r="G57" s="1393">
        <f>+H56</f>
        <v>120</v>
      </c>
      <c r="H57" s="1394" t="s">
        <v>61</v>
      </c>
    </row>
    <row r="58" spans="1:10" s="24" customFormat="1" ht="50.25" customHeight="1">
      <c r="A58" s="1388">
        <f>+A53+1</f>
        <v>5</v>
      </c>
      <c r="B58" s="1455" t="s">
        <v>5669</v>
      </c>
      <c r="C58" s="1455"/>
      <c r="D58" s="1455"/>
      <c r="E58" s="1455"/>
      <c r="F58" s="1455"/>
      <c r="G58" s="1455"/>
      <c r="H58" s="1456"/>
    </row>
    <row r="59" spans="1:10" s="24" customFormat="1">
      <c r="A59" s="1388"/>
      <c r="B59" s="1395" t="str">
        <f>+B56</f>
        <v>For bore well-1</v>
      </c>
      <c r="C59" s="4">
        <v>1</v>
      </c>
      <c r="D59" s="4">
        <v>8</v>
      </c>
      <c r="E59" s="4"/>
      <c r="F59" s="4"/>
      <c r="G59" s="4"/>
      <c r="H59" s="1396">
        <f>PRODUCT(C59:G59)</f>
        <v>8</v>
      </c>
    </row>
    <row r="60" spans="1:10" s="24" customFormat="1">
      <c r="A60" s="1388"/>
      <c r="B60" s="1395"/>
      <c r="C60" s="4"/>
      <c r="D60" s="4"/>
      <c r="E60" s="4"/>
      <c r="F60" s="15" t="s">
        <v>15</v>
      </c>
      <c r="G60" s="1397">
        <f>+H59</f>
        <v>8</v>
      </c>
      <c r="H60" s="1398" t="s">
        <v>5670</v>
      </c>
    </row>
    <row r="61" spans="1:10" s="24" customFormat="1" ht="66" customHeight="1">
      <c r="A61" s="1388">
        <f>+A58+1</f>
        <v>6</v>
      </c>
      <c r="B61" s="1455" t="s">
        <v>5671</v>
      </c>
      <c r="C61" s="1455"/>
      <c r="D61" s="1455"/>
      <c r="E61" s="1455"/>
      <c r="F61" s="1455"/>
      <c r="G61" s="1455"/>
      <c r="H61" s="1456"/>
    </row>
    <row r="62" spans="1:10" s="24" customFormat="1">
      <c r="A62" s="1388"/>
      <c r="B62" s="1395" t="str">
        <f>+B59</f>
        <v>For bore well-1</v>
      </c>
      <c r="C62" s="4">
        <f>+C59</f>
        <v>1</v>
      </c>
      <c r="D62" s="4">
        <v>1</v>
      </c>
      <c r="E62" s="4"/>
      <c r="F62" s="4"/>
      <c r="G62" s="4"/>
      <c r="H62" s="1398">
        <f>PRODUCT(C62:G62)</f>
        <v>1</v>
      </c>
    </row>
    <row r="63" spans="1:10" s="24" customFormat="1">
      <c r="A63" s="1388"/>
      <c r="B63" s="1395"/>
      <c r="C63" s="4"/>
      <c r="D63" s="4"/>
      <c r="E63" s="4"/>
      <c r="F63" s="15" t="s">
        <v>15</v>
      </c>
      <c r="G63" s="1397">
        <f>+H62</f>
        <v>1</v>
      </c>
      <c r="H63" s="1398" t="s">
        <v>54</v>
      </c>
    </row>
    <row r="64" spans="1:10" s="24" customFormat="1">
      <c r="A64" s="1388">
        <f>+A61+1</f>
        <v>7</v>
      </c>
      <c r="B64" s="1395" t="s">
        <v>5672</v>
      </c>
      <c r="C64" s="4"/>
      <c r="D64" s="4"/>
      <c r="E64" s="4"/>
      <c r="F64" s="15"/>
      <c r="G64" s="1397"/>
      <c r="H64" s="1398"/>
    </row>
    <row r="65" spans="1:8" s="24" customFormat="1">
      <c r="A65" s="1388"/>
      <c r="B65" s="1395" t="str">
        <f>+B62</f>
        <v>For bore well-1</v>
      </c>
      <c r="C65" s="4">
        <f>+C62</f>
        <v>1</v>
      </c>
      <c r="D65" s="4">
        <v>1</v>
      </c>
      <c r="E65" s="4"/>
      <c r="F65" s="4"/>
      <c r="G65" s="4"/>
      <c r="H65" s="1398">
        <f>PRODUCT(C65:G65)</f>
        <v>1</v>
      </c>
    </row>
    <row r="66" spans="1:8" ht="60.75" customHeight="1"/>
    <row r="67" spans="1:8" ht="60.75" customHeight="1"/>
    <row r="68" spans="1:8" ht="60.75" customHeight="1"/>
    <row r="69" spans="1:8" ht="60.75" customHeight="1"/>
    <row r="70" spans="1:8" ht="60.75" customHeight="1"/>
    <row r="71" spans="1:8" ht="60.75" customHeight="1"/>
    <row r="72" spans="1:8" ht="60.75" customHeight="1"/>
    <row r="73" spans="1:8" ht="60.75" customHeight="1"/>
    <row r="74" spans="1:8" ht="60.75" customHeight="1"/>
    <row r="75" spans="1:8" ht="60.75" customHeight="1"/>
    <row r="76" spans="1:8" ht="60.75" customHeight="1"/>
    <row r="77" spans="1:8" ht="60.75" customHeight="1"/>
    <row r="78" spans="1:8" ht="60.75" customHeight="1"/>
    <row r="79" spans="1:8" ht="60.75" customHeight="1"/>
    <row r="80" spans="1:8" ht="60.75" customHeight="1"/>
    <row r="81" ht="60.75" customHeight="1"/>
    <row r="82" ht="60.75" customHeight="1"/>
    <row r="83" ht="60.75" customHeight="1"/>
    <row r="84" ht="60.75" customHeight="1"/>
    <row r="85" ht="60.75" customHeight="1"/>
    <row r="86" ht="60.75" customHeight="1"/>
    <row r="87" ht="60.75" customHeight="1"/>
    <row r="88" ht="60.75" customHeight="1"/>
    <row r="89" ht="60.75" customHeight="1"/>
    <row r="90" ht="60.75" customHeight="1"/>
    <row r="91" ht="60.75" customHeight="1"/>
    <row r="92" ht="60.75" customHeight="1"/>
    <row r="93" ht="60.75" customHeight="1"/>
    <row r="94" ht="60.75" customHeight="1"/>
    <row r="95" ht="60.75" customHeight="1"/>
    <row r="96" ht="60.75" customHeight="1"/>
    <row r="97" ht="60.75" customHeight="1"/>
    <row r="98" ht="60.75" customHeight="1"/>
    <row r="99" ht="60.75" customHeight="1"/>
    <row r="100" ht="60.75" customHeight="1"/>
    <row r="101" ht="60.75" customHeight="1"/>
    <row r="102" ht="60.75" customHeight="1"/>
    <row r="103" ht="60.75" customHeight="1"/>
    <row r="104" ht="60.75" customHeight="1"/>
    <row r="105" ht="60.75" customHeight="1"/>
    <row r="106" ht="60.75" customHeight="1"/>
    <row r="107" ht="60.75" customHeight="1"/>
    <row r="108" ht="60.75" customHeight="1"/>
    <row r="109" ht="60.75" customHeight="1"/>
    <row r="110" ht="60.75" customHeight="1"/>
    <row r="111" ht="60.75" customHeight="1"/>
  </sheetData>
  <mergeCells count="12">
    <mergeCell ref="B61:H61"/>
    <mergeCell ref="A1:H1"/>
    <mergeCell ref="A2:H2"/>
    <mergeCell ref="A3:H3"/>
    <mergeCell ref="A4:H4"/>
    <mergeCell ref="C5:D5"/>
    <mergeCell ref="E5:G5"/>
    <mergeCell ref="B7:G7"/>
    <mergeCell ref="B27:H27"/>
    <mergeCell ref="B46:H46"/>
    <mergeCell ref="B53:H53"/>
    <mergeCell ref="B58:H58"/>
  </mergeCells>
  <pageMargins left="0.59055118110236204" right="0.59055118110236204" top="0.39370078740157499" bottom="0.39370078740157499" header="0.31496062992126" footer="0.31496062992126"/>
  <pageSetup paperSize="9" scale="95" orientation="portrait" r:id="rId1"/>
</worksheet>
</file>

<file path=xl/worksheets/sheet4.xml><?xml version="1.0" encoding="utf-8"?>
<worksheet xmlns="http://schemas.openxmlformats.org/spreadsheetml/2006/main" xmlns:r="http://schemas.openxmlformats.org/officeDocument/2006/relationships">
  <sheetPr>
    <tabColor rgb="FF00B050"/>
  </sheetPr>
  <dimension ref="A1:IU1726"/>
  <sheetViews>
    <sheetView view="pageBreakPreview" topLeftCell="A408" zoomScale="90" zoomScaleSheetLayoutView="90" workbookViewId="0">
      <selection activeCell="D429" sqref="D429"/>
    </sheetView>
  </sheetViews>
  <sheetFormatPr defaultRowHeight="15.75"/>
  <cols>
    <col min="1" max="1" width="5.44140625" style="979" customWidth="1"/>
    <col min="2" max="2" width="32.44140625" style="923" customWidth="1"/>
    <col min="3" max="3" width="3.21875" style="865" customWidth="1"/>
    <col min="4" max="4" width="3.5546875" style="865" customWidth="1"/>
    <col min="5" max="5" width="6.5546875" style="868" customWidth="1"/>
    <col min="6" max="6" width="6.77734375" style="868" customWidth="1"/>
    <col min="7" max="7" width="6.109375" style="865" customWidth="1"/>
    <col min="8" max="8" width="8.88671875" style="865" customWidth="1"/>
    <col min="9" max="9" width="4.88671875" style="864" customWidth="1"/>
    <col min="10" max="10" width="7.21875" style="864" customWidth="1"/>
    <col min="11" max="11" width="7.109375" style="865" customWidth="1"/>
    <col min="12" max="12" width="7" style="865" customWidth="1"/>
    <col min="13" max="13" width="9.21875" style="865" customWidth="1"/>
    <col min="14" max="14" width="5.77734375" style="865" customWidth="1"/>
    <col min="15" max="15" width="6.21875" style="865" customWidth="1"/>
    <col min="16" max="16" width="5.21875" style="865" customWidth="1"/>
    <col min="17" max="17" width="6.5546875" style="865" customWidth="1"/>
    <col min="18" max="255" width="8.88671875" style="865"/>
    <col min="256" max="256" width="8.88671875" style="866"/>
    <col min="257" max="257" width="5.44140625" style="866" customWidth="1"/>
    <col min="258" max="258" width="32.44140625" style="866" customWidth="1"/>
    <col min="259" max="259" width="3.21875" style="866" customWidth="1"/>
    <col min="260" max="260" width="3.5546875" style="866" customWidth="1"/>
    <col min="261" max="261" width="6.5546875" style="866" customWidth="1"/>
    <col min="262" max="262" width="6.77734375" style="866" customWidth="1"/>
    <col min="263" max="263" width="6.109375" style="866" customWidth="1"/>
    <col min="264" max="264" width="8.88671875" style="866" customWidth="1"/>
    <col min="265" max="265" width="4.88671875" style="866" customWidth="1"/>
    <col min="266" max="266" width="7.21875" style="866" customWidth="1"/>
    <col min="267" max="267" width="7.109375" style="866" customWidth="1"/>
    <col min="268" max="268" width="7" style="866" customWidth="1"/>
    <col min="269" max="269" width="9.21875" style="866" customWidth="1"/>
    <col min="270" max="270" width="5.77734375" style="866" customWidth="1"/>
    <col min="271" max="271" width="6.21875" style="866" customWidth="1"/>
    <col min="272" max="272" width="5.21875" style="866" customWidth="1"/>
    <col min="273" max="273" width="6.5546875" style="866" customWidth="1"/>
    <col min="274" max="512" width="8.88671875" style="866"/>
    <col min="513" max="513" width="5.44140625" style="866" customWidth="1"/>
    <col min="514" max="514" width="32.44140625" style="866" customWidth="1"/>
    <col min="515" max="515" width="3.21875" style="866" customWidth="1"/>
    <col min="516" max="516" width="3.5546875" style="866" customWidth="1"/>
    <col min="517" max="517" width="6.5546875" style="866" customWidth="1"/>
    <col min="518" max="518" width="6.77734375" style="866" customWidth="1"/>
    <col min="519" max="519" width="6.109375" style="866" customWidth="1"/>
    <col min="520" max="520" width="8.88671875" style="866" customWidth="1"/>
    <col min="521" max="521" width="4.88671875" style="866" customWidth="1"/>
    <col min="522" max="522" width="7.21875" style="866" customWidth="1"/>
    <col min="523" max="523" width="7.109375" style="866" customWidth="1"/>
    <col min="524" max="524" width="7" style="866" customWidth="1"/>
    <col min="525" max="525" width="9.21875" style="866" customWidth="1"/>
    <col min="526" max="526" width="5.77734375" style="866" customWidth="1"/>
    <col min="527" max="527" width="6.21875" style="866" customWidth="1"/>
    <col min="528" max="528" width="5.21875" style="866" customWidth="1"/>
    <col min="529" max="529" width="6.5546875" style="866" customWidth="1"/>
    <col min="530" max="768" width="8.88671875" style="866"/>
    <col min="769" max="769" width="5.44140625" style="866" customWidth="1"/>
    <col min="770" max="770" width="32.44140625" style="866" customWidth="1"/>
    <col min="771" max="771" width="3.21875" style="866" customWidth="1"/>
    <col min="772" max="772" width="3.5546875" style="866" customWidth="1"/>
    <col min="773" max="773" width="6.5546875" style="866" customWidth="1"/>
    <col min="774" max="774" width="6.77734375" style="866" customWidth="1"/>
    <col min="775" max="775" width="6.109375" style="866" customWidth="1"/>
    <col min="776" max="776" width="8.88671875" style="866" customWidth="1"/>
    <col min="777" max="777" width="4.88671875" style="866" customWidth="1"/>
    <col min="778" max="778" width="7.21875" style="866" customWidth="1"/>
    <col min="779" max="779" width="7.109375" style="866" customWidth="1"/>
    <col min="780" max="780" width="7" style="866" customWidth="1"/>
    <col min="781" max="781" width="9.21875" style="866" customWidth="1"/>
    <col min="782" max="782" width="5.77734375" style="866" customWidth="1"/>
    <col min="783" max="783" width="6.21875" style="866" customWidth="1"/>
    <col min="784" max="784" width="5.21875" style="866" customWidth="1"/>
    <col min="785" max="785" width="6.5546875" style="866" customWidth="1"/>
    <col min="786" max="1024" width="8.88671875" style="866"/>
    <col min="1025" max="1025" width="5.44140625" style="866" customWidth="1"/>
    <col min="1026" max="1026" width="32.44140625" style="866" customWidth="1"/>
    <col min="1027" max="1027" width="3.21875" style="866" customWidth="1"/>
    <col min="1028" max="1028" width="3.5546875" style="866" customWidth="1"/>
    <col min="1029" max="1029" width="6.5546875" style="866" customWidth="1"/>
    <col min="1030" max="1030" width="6.77734375" style="866" customWidth="1"/>
    <col min="1031" max="1031" width="6.109375" style="866" customWidth="1"/>
    <col min="1032" max="1032" width="8.88671875" style="866" customWidth="1"/>
    <col min="1033" max="1033" width="4.88671875" style="866" customWidth="1"/>
    <col min="1034" max="1034" width="7.21875" style="866" customWidth="1"/>
    <col min="1035" max="1035" width="7.109375" style="866" customWidth="1"/>
    <col min="1036" max="1036" width="7" style="866" customWidth="1"/>
    <col min="1037" max="1037" width="9.21875" style="866" customWidth="1"/>
    <col min="1038" max="1038" width="5.77734375" style="866" customWidth="1"/>
    <col min="1039" max="1039" width="6.21875" style="866" customWidth="1"/>
    <col min="1040" max="1040" width="5.21875" style="866" customWidth="1"/>
    <col min="1041" max="1041" width="6.5546875" style="866" customWidth="1"/>
    <col min="1042" max="1280" width="8.88671875" style="866"/>
    <col min="1281" max="1281" width="5.44140625" style="866" customWidth="1"/>
    <col min="1282" max="1282" width="32.44140625" style="866" customWidth="1"/>
    <col min="1283" max="1283" width="3.21875" style="866" customWidth="1"/>
    <col min="1284" max="1284" width="3.5546875" style="866" customWidth="1"/>
    <col min="1285" max="1285" width="6.5546875" style="866" customWidth="1"/>
    <col min="1286" max="1286" width="6.77734375" style="866" customWidth="1"/>
    <col min="1287" max="1287" width="6.109375" style="866" customWidth="1"/>
    <col min="1288" max="1288" width="8.88671875" style="866" customWidth="1"/>
    <col min="1289" max="1289" width="4.88671875" style="866" customWidth="1"/>
    <col min="1290" max="1290" width="7.21875" style="866" customWidth="1"/>
    <col min="1291" max="1291" width="7.109375" style="866" customWidth="1"/>
    <col min="1292" max="1292" width="7" style="866" customWidth="1"/>
    <col min="1293" max="1293" width="9.21875" style="866" customWidth="1"/>
    <col min="1294" max="1294" width="5.77734375" style="866" customWidth="1"/>
    <col min="1295" max="1295" width="6.21875" style="866" customWidth="1"/>
    <col min="1296" max="1296" width="5.21875" style="866" customWidth="1"/>
    <col min="1297" max="1297" width="6.5546875" style="866" customWidth="1"/>
    <col min="1298" max="1536" width="8.88671875" style="866"/>
    <col min="1537" max="1537" width="5.44140625" style="866" customWidth="1"/>
    <col min="1538" max="1538" width="32.44140625" style="866" customWidth="1"/>
    <col min="1539" max="1539" width="3.21875" style="866" customWidth="1"/>
    <col min="1540" max="1540" width="3.5546875" style="866" customWidth="1"/>
    <col min="1541" max="1541" width="6.5546875" style="866" customWidth="1"/>
    <col min="1542" max="1542" width="6.77734375" style="866" customWidth="1"/>
    <col min="1543" max="1543" width="6.109375" style="866" customWidth="1"/>
    <col min="1544" max="1544" width="8.88671875" style="866" customWidth="1"/>
    <col min="1545" max="1545" width="4.88671875" style="866" customWidth="1"/>
    <col min="1546" max="1546" width="7.21875" style="866" customWidth="1"/>
    <col min="1547" max="1547" width="7.109375" style="866" customWidth="1"/>
    <col min="1548" max="1548" width="7" style="866" customWidth="1"/>
    <col min="1549" max="1549" width="9.21875" style="866" customWidth="1"/>
    <col min="1550" max="1550" width="5.77734375" style="866" customWidth="1"/>
    <col min="1551" max="1551" width="6.21875" style="866" customWidth="1"/>
    <col min="1552" max="1552" width="5.21875" style="866" customWidth="1"/>
    <col min="1553" max="1553" width="6.5546875" style="866" customWidth="1"/>
    <col min="1554" max="1792" width="8.88671875" style="866"/>
    <col min="1793" max="1793" width="5.44140625" style="866" customWidth="1"/>
    <col min="1794" max="1794" width="32.44140625" style="866" customWidth="1"/>
    <col min="1795" max="1795" width="3.21875" style="866" customWidth="1"/>
    <col min="1796" max="1796" width="3.5546875" style="866" customWidth="1"/>
    <col min="1797" max="1797" width="6.5546875" style="866" customWidth="1"/>
    <col min="1798" max="1798" width="6.77734375" style="866" customWidth="1"/>
    <col min="1799" max="1799" width="6.109375" style="866" customWidth="1"/>
    <col min="1800" max="1800" width="8.88671875" style="866" customWidth="1"/>
    <col min="1801" max="1801" width="4.88671875" style="866" customWidth="1"/>
    <col min="1802" max="1802" width="7.21875" style="866" customWidth="1"/>
    <col min="1803" max="1803" width="7.109375" style="866" customWidth="1"/>
    <col min="1804" max="1804" width="7" style="866" customWidth="1"/>
    <col min="1805" max="1805" width="9.21875" style="866" customWidth="1"/>
    <col min="1806" max="1806" width="5.77734375" style="866" customWidth="1"/>
    <col min="1807" max="1807" width="6.21875" style="866" customWidth="1"/>
    <col min="1808" max="1808" width="5.21875" style="866" customWidth="1"/>
    <col min="1809" max="1809" width="6.5546875" style="866" customWidth="1"/>
    <col min="1810" max="2048" width="8.88671875" style="866"/>
    <col min="2049" max="2049" width="5.44140625" style="866" customWidth="1"/>
    <col min="2050" max="2050" width="32.44140625" style="866" customWidth="1"/>
    <col min="2051" max="2051" width="3.21875" style="866" customWidth="1"/>
    <col min="2052" max="2052" width="3.5546875" style="866" customWidth="1"/>
    <col min="2053" max="2053" width="6.5546875" style="866" customWidth="1"/>
    <col min="2054" max="2054" width="6.77734375" style="866" customWidth="1"/>
    <col min="2055" max="2055" width="6.109375" style="866" customWidth="1"/>
    <col min="2056" max="2056" width="8.88671875" style="866" customWidth="1"/>
    <col min="2057" max="2057" width="4.88671875" style="866" customWidth="1"/>
    <col min="2058" max="2058" width="7.21875" style="866" customWidth="1"/>
    <col min="2059" max="2059" width="7.109375" style="866" customWidth="1"/>
    <col min="2060" max="2060" width="7" style="866" customWidth="1"/>
    <col min="2061" max="2061" width="9.21875" style="866" customWidth="1"/>
    <col min="2062" max="2062" width="5.77734375" style="866" customWidth="1"/>
    <col min="2063" max="2063" width="6.21875" style="866" customWidth="1"/>
    <col min="2064" max="2064" width="5.21875" style="866" customWidth="1"/>
    <col min="2065" max="2065" width="6.5546875" style="866" customWidth="1"/>
    <col min="2066" max="2304" width="8.88671875" style="866"/>
    <col min="2305" max="2305" width="5.44140625" style="866" customWidth="1"/>
    <col min="2306" max="2306" width="32.44140625" style="866" customWidth="1"/>
    <col min="2307" max="2307" width="3.21875" style="866" customWidth="1"/>
    <col min="2308" max="2308" width="3.5546875" style="866" customWidth="1"/>
    <col min="2309" max="2309" width="6.5546875" style="866" customWidth="1"/>
    <col min="2310" max="2310" width="6.77734375" style="866" customWidth="1"/>
    <col min="2311" max="2311" width="6.109375" style="866" customWidth="1"/>
    <col min="2312" max="2312" width="8.88671875" style="866" customWidth="1"/>
    <col min="2313" max="2313" width="4.88671875" style="866" customWidth="1"/>
    <col min="2314" max="2314" width="7.21875" style="866" customWidth="1"/>
    <col min="2315" max="2315" width="7.109375" style="866" customWidth="1"/>
    <col min="2316" max="2316" width="7" style="866" customWidth="1"/>
    <col min="2317" max="2317" width="9.21875" style="866" customWidth="1"/>
    <col min="2318" max="2318" width="5.77734375" style="866" customWidth="1"/>
    <col min="2319" max="2319" width="6.21875" style="866" customWidth="1"/>
    <col min="2320" max="2320" width="5.21875" style="866" customWidth="1"/>
    <col min="2321" max="2321" width="6.5546875" style="866" customWidth="1"/>
    <col min="2322" max="2560" width="8.88671875" style="866"/>
    <col min="2561" max="2561" width="5.44140625" style="866" customWidth="1"/>
    <col min="2562" max="2562" width="32.44140625" style="866" customWidth="1"/>
    <col min="2563" max="2563" width="3.21875" style="866" customWidth="1"/>
    <col min="2564" max="2564" width="3.5546875" style="866" customWidth="1"/>
    <col min="2565" max="2565" width="6.5546875" style="866" customWidth="1"/>
    <col min="2566" max="2566" width="6.77734375" style="866" customWidth="1"/>
    <col min="2567" max="2567" width="6.109375" style="866" customWidth="1"/>
    <col min="2568" max="2568" width="8.88671875" style="866" customWidth="1"/>
    <col min="2569" max="2569" width="4.88671875" style="866" customWidth="1"/>
    <col min="2570" max="2570" width="7.21875" style="866" customWidth="1"/>
    <col min="2571" max="2571" width="7.109375" style="866" customWidth="1"/>
    <col min="2572" max="2572" width="7" style="866" customWidth="1"/>
    <col min="2573" max="2573" width="9.21875" style="866" customWidth="1"/>
    <col min="2574" max="2574" width="5.77734375" style="866" customWidth="1"/>
    <col min="2575" max="2575" width="6.21875" style="866" customWidth="1"/>
    <col min="2576" max="2576" width="5.21875" style="866" customWidth="1"/>
    <col min="2577" max="2577" width="6.5546875" style="866" customWidth="1"/>
    <col min="2578" max="2816" width="8.88671875" style="866"/>
    <col min="2817" max="2817" width="5.44140625" style="866" customWidth="1"/>
    <col min="2818" max="2818" width="32.44140625" style="866" customWidth="1"/>
    <col min="2819" max="2819" width="3.21875" style="866" customWidth="1"/>
    <col min="2820" max="2820" width="3.5546875" style="866" customWidth="1"/>
    <col min="2821" max="2821" width="6.5546875" style="866" customWidth="1"/>
    <col min="2822" max="2822" width="6.77734375" style="866" customWidth="1"/>
    <col min="2823" max="2823" width="6.109375" style="866" customWidth="1"/>
    <col min="2824" max="2824" width="8.88671875" style="866" customWidth="1"/>
    <col min="2825" max="2825" width="4.88671875" style="866" customWidth="1"/>
    <col min="2826" max="2826" width="7.21875" style="866" customWidth="1"/>
    <col min="2827" max="2827" width="7.109375" style="866" customWidth="1"/>
    <col min="2828" max="2828" width="7" style="866" customWidth="1"/>
    <col min="2829" max="2829" width="9.21875" style="866" customWidth="1"/>
    <col min="2830" max="2830" width="5.77734375" style="866" customWidth="1"/>
    <col min="2831" max="2831" width="6.21875" style="866" customWidth="1"/>
    <col min="2832" max="2832" width="5.21875" style="866" customWidth="1"/>
    <col min="2833" max="2833" width="6.5546875" style="866" customWidth="1"/>
    <col min="2834" max="3072" width="8.88671875" style="866"/>
    <col min="3073" max="3073" width="5.44140625" style="866" customWidth="1"/>
    <col min="3074" max="3074" width="32.44140625" style="866" customWidth="1"/>
    <col min="3075" max="3075" width="3.21875" style="866" customWidth="1"/>
    <col min="3076" max="3076" width="3.5546875" style="866" customWidth="1"/>
    <col min="3077" max="3077" width="6.5546875" style="866" customWidth="1"/>
    <col min="3078" max="3078" width="6.77734375" style="866" customWidth="1"/>
    <col min="3079" max="3079" width="6.109375" style="866" customWidth="1"/>
    <col min="3080" max="3080" width="8.88671875" style="866" customWidth="1"/>
    <col min="3081" max="3081" width="4.88671875" style="866" customWidth="1"/>
    <col min="3082" max="3082" width="7.21875" style="866" customWidth="1"/>
    <col min="3083" max="3083" width="7.109375" style="866" customWidth="1"/>
    <col min="3084" max="3084" width="7" style="866" customWidth="1"/>
    <col min="3085" max="3085" width="9.21875" style="866" customWidth="1"/>
    <col min="3086" max="3086" width="5.77734375" style="866" customWidth="1"/>
    <col min="3087" max="3087" width="6.21875" style="866" customWidth="1"/>
    <col min="3088" max="3088" width="5.21875" style="866" customWidth="1"/>
    <col min="3089" max="3089" width="6.5546875" style="866" customWidth="1"/>
    <col min="3090" max="3328" width="8.88671875" style="866"/>
    <col min="3329" max="3329" width="5.44140625" style="866" customWidth="1"/>
    <col min="3330" max="3330" width="32.44140625" style="866" customWidth="1"/>
    <col min="3331" max="3331" width="3.21875" style="866" customWidth="1"/>
    <col min="3332" max="3332" width="3.5546875" style="866" customWidth="1"/>
    <col min="3333" max="3333" width="6.5546875" style="866" customWidth="1"/>
    <col min="3334" max="3334" width="6.77734375" style="866" customWidth="1"/>
    <col min="3335" max="3335" width="6.109375" style="866" customWidth="1"/>
    <col min="3336" max="3336" width="8.88671875" style="866" customWidth="1"/>
    <col min="3337" max="3337" width="4.88671875" style="866" customWidth="1"/>
    <col min="3338" max="3338" width="7.21875" style="866" customWidth="1"/>
    <col min="3339" max="3339" width="7.109375" style="866" customWidth="1"/>
    <col min="3340" max="3340" width="7" style="866" customWidth="1"/>
    <col min="3341" max="3341" width="9.21875" style="866" customWidth="1"/>
    <col min="3342" max="3342" width="5.77734375" style="866" customWidth="1"/>
    <col min="3343" max="3343" width="6.21875" style="866" customWidth="1"/>
    <col min="3344" max="3344" width="5.21875" style="866" customWidth="1"/>
    <col min="3345" max="3345" width="6.5546875" style="866" customWidth="1"/>
    <col min="3346" max="3584" width="8.88671875" style="866"/>
    <col min="3585" max="3585" width="5.44140625" style="866" customWidth="1"/>
    <col min="3586" max="3586" width="32.44140625" style="866" customWidth="1"/>
    <col min="3587" max="3587" width="3.21875" style="866" customWidth="1"/>
    <col min="3588" max="3588" width="3.5546875" style="866" customWidth="1"/>
    <col min="3589" max="3589" width="6.5546875" style="866" customWidth="1"/>
    <col min="3590" max="3590" width="6.77734375" style="866" customWidth="1"/>
    <col min="3591" max="3591" width="6.109375" style="866" customWidth="1"/>
    <col min="3592" max="3592" width="8.88671875" style="866" customWidth="1"/>
    <col min="3593" max="3593" width="4.88671875" style="866" customWidth="1"/>
    <col min="3594" max="3594" width="7.21875" style="866" customWidth="1"/>
    <col min="3595" max="3595" width="7.109375" style="866" customWidth="1"/>
    <col min="3596" max="3596" width="7" style="866" customWidth="1"/>
    <col min="3597" max="3597" width="9.21875" style="866" customWidth="1"/>
    <col min="3598" max="3598" width="5.77734375" style="866" customWidth="1"/>
    <col min="3599" max="3599" width="6.21875" style="866" customWidth="1"/>
    <col min="3600" max="3600" width="5.21875" style="866" customWidth="1"/>
    <col min="3601" max="3601" width="6.5546875" style="866" customWidth="1"/>
    <col min="3602" max="3840" width="8.88671875" style="866"/>
    <col min="3841" max="3841" width="5.44140625" style="866" customWidth="1"/>
    <col min="3842" max="3842" width="32.44140625" style="866" customWidth="1"/>
    <col min="3843" max="3843" width="3.21875" style="866" customWidth="1"/>
    <col min="3844" max="3844" width="3.5546875" style="866" customWidth="1"/>
    <col min="3845" max="3845" width="6.5546875" style="866" customWidth="1"/>
    <col min="3846" max="3846" width="6.77734375" style="866" customWidth="1"/>
    <col min="3847" max="3847" width="6.109375" style="866" customWidth="1"/>
    <col min="3848" max="3848" width="8.88671875" style="866" customWidth="1"/>
    <col min="3849" max="3849" width="4.88671875" style="866" customWidth="1"/>
    <col min="3850" max="3850" width="7.21875" style="866" customWidth="1"/>
    <col min="3851" max="3851" width="7.109375" style="866" customWidth="1"/>
    <col min="3852" max="3852" width="7" style="866" customWidth="1"/>
    <col min="3853" max="3853" width="9.21875" style="866" customWidth="1"/>
    <col min="3854" max="3854" width="5.77734375" style="866" customWidth="1"/>
    <col min="3855" max="3855" width="6.21875" style="866" customWidth="1"/>
    <col min="3856" max="3856" width="5.21875" style="866" customWidth="1"/>
    <col min="3857" max="3857" width="6.5546875" style="866" customWidth="1"/>
    <col min="3858" max="4096" width="8.88671875" style="866"/>
    <col min="4097" max="4097" width="5.44140625" style="866" customWidth="1"/>
    <col min="4098" max="4098" width="32.44140625" style="866" customWidth="1"/>
    <col min="4099" max="4099" width="3.21875" style="866" customWidth="1"/>
    <col min="4100" max="4100" width="3.5546875" style="866" customWidth="1"/>
    <col min="4101" max="4101" width="6.5546875" style="866" customWidth="1"/>
    <col min="4102" max="4102" width="6.77734375" style="866" customWidth="1"/>
    <col min="4103" max="4103" width="6.109375" style="866" customWidth="1"/>
    <col min="4104" max="4104" width="8.88671875" style="866" customWidth="1"/>
    <col min="4105" max="4105" width="4.88671875" style="866" customWidth="1"/>
    <col min="4106" max="4106" width="7.21875" style="866" customWidth="1"/>
    <col min="4107" max="4107" width="7.109375" style="866" customWidth="1"/>
    <col min="4108" max="4108" width="7" style="866" customWidth="1"/>
    <col min="4109" max="4109" width="9.21875" style="866" customWidth="1"/>
    <col min="4110" max="4110" width="5.77734375" style="866" customWidth="1"/>
    <col min="4111" max="4111" width="6.21875" style="866" customWidth="1"/>
    <col min="4112" max="4112" width="5.21875" style="866" customWidth="1"/>
    <col min="4113" max="4113" width="6.5546875" style="866" customWidth="1"/>
    <col min="4114" max="4352" width="8.88671875" style="866"/>
    <col min="4353" max="4353" width="5.44140625" style="866" customWidth="1"/>
    <col min="4354" max="4354" width="32.44140625" style="866" customWidth="1"/>
    <col min="4355" max="4355" width="3.21875" style="866" customWidth="1"/>
    <col min="4356" max="4356" width="3.5546875" style="866" customWidth="1"/>
    <col min="4357" max="4357" width="6.5546875" style="866" customWidth="1"/>
    <col min="4358" max="4358" width="6.77734375" style="866" customWidth="1"/>
    <col min="4359" max="4359" width="6.109375" style="866" customWidth="1"/>
    <col min="4360" max="4360" width="8.88671875" style="866" customWidth="1"/>
    <col min="4361" max="4361" width="4.88671875" style="866" customWidth="1"/>
    <col min="4362" max="4362" width="7.21875" style="866" customWidth="1"/>
    <col min="4363" max="4363" width="7.109375" style="866" customWidth="1"/>
    <col min="4364" max="4364" width="7" style="866" customWidth="1"/>
    <col min="4365" max="4365" width="9.21875" style="866" customWidth="1"/>
    <col min="4366" max="4366" width="5.77734375" style="866" customWidth="1"/>
    <col min="4367" max="4367" width="6.21875" style="866" customWidth="1"/>
    <col min="4368" max="4368" width="5.21875" style="866" customWidth="1"/>
    <col min="4369" max="4369" width="6.5546875" style="866" customWidth="1"/>
    <col min="4370" max="4608" width="8.88671875" style="866"/>
    <col min="4609" max="4609" width="5.44140625" style="866" customWidth="1"/>
    <col min="4610" max="4610" width="32.44140625" style="866" customWidth="1"/>
    <col min="4611" max="4611" width="3.21875" style="866" customWidth="1"/>
    <col min="4612" max="4612" width="3.5546875" style="866" customWidth="1"/>
    <col min="4613" max="4613" width="6.5546875" style="866" customWidth="1"/>
    <col min="4614" max="4614" width="6.77734375" style="866" customWidth="1"/>
    <col min="4615" max="4615" width="6.109375" style="866" customWidth="1"/>
    <col min="4616" max="4616" width="8.88671875" style="866" customWidth="1"/>
    <col min="4617" max="4617" width="4.88671875" style="866" customWidth="1"/>
    <col min="4618" max="4618" width="7.21875" style="866" customWidth="1"/>
    <col min="4619" max="4619" width="7.109375" style="866" customWidth="1"/>
    <col min="4620" max="4620" width="7" style="866" customWidth="1"/>
    <col min="4621" max="4621" width="9.21875" style="866" customWidth="1"/>
    <col min="4622" max="4622" width="5.77734375" style="866" customWidth="1"/>
    <col min="4623" max="4623" width="6.21875" style="866" customWidth="1"/>
    <col min="4624" max="4624" width="5.21875" style="866" customWidth="1"/>
    <col min="4625" max="4625" width="6.5546875" style="866" customWidth="1"/>
    <col min="4626" max="4864" width="8.88671875" style="866"/>
    <col min="4865" max="4865" width="5.44140625" style="866" customWidth="1"/>
    <col min="4866" max="4866" width="32.44140625" style="866" customWidth="1"/>
    <col min="4867" max="4867" width="3.21875" style="866" customWidth="1"/>
    <col min="4868" max="4868" width="3.5546875" style="866" customWidth="1"/>
    <col min="4869" max="4869" width="6.5546875" style="866" customWidth="1"/>
    <col min="4870" max="4870" width="6.77734375" style="866" customWidth="1"/>
    <col min="4871" max="4871" width="6.109375" style="866" customWidth="1"/>
    <col min="4872" max="4872" width="8.88671875" style="866" customWidth="1"/>
    <col min="4873" max="4873" width="4.88671875" style="866" customWidth="1"/>
    <col min="4874" max="4874" width="7.21875" style="866" customWidth="1"/>
    <col min="4875" max="4875" width="7.109375" style="866" customWidth="1"/>
    <col min="4876" max="4876" width="7" style="866" customWidth="1"/>
    <col min="4877" max="4877" width="9.21875" style="866" customWidth="1"/>
    <col min="4878" max="4878" width="5.77734375" style="866" customWidth="1"/>
    <col min="4879" max="4879" width="6.21875" style="866" customWidth="1"/>
    <col min="4880" max="4880" width="5.21875" style="866" customWidth="1"/>
    <col min="4881" max="4881" width="6.5546875" style="866" customWidth="1"/>
    <col min="4882" max="5120" width="8.88671875" style="866"/>
    <col min="5121" max="5121" width="5.44140625" style="866" customWidth="1"/>
    <col min="5122" max="5122" width="32.44140625" style="866" customWidth="1"/>
    <col min="5123" max="5123" width="3.21875" style="866" customWidth="1"/>
    <col min="5124" max="5124" width="3.5546875" style="866" customWidth="1"/>
    <col min="5125" max="5125" width="6.5546875" style="866" customWidth="1"/>
    <col min="5126" max="5126" width="6.77734375" style="866" customWidth="1"/>
    <col min="5127" max="5127" width="6.109375" style="866" customWidth="1"/>
    <col min="5128" max="5128" width="8.88671875" style="866" customWidth="1"/>
    <col min="5129" max="5129" width="4.88671875" style="866" customWidth="1"/>
    <col min="5130" max="5130" width="7.21875" style="866" customWidth="1"/>
    <col min="5131" max="5131" width="7.109375" style="866" customWidth="1"/>
    <col min="5132" max="5132" width="7" style="866" customWidth="1"/>
    <col min="5133" max="5133" width="9.21875" style="866" customWidth="1"/>
    <col min="5134" max="5134" width="5.77734375" style="866" customWidth="1"/>
    <col min="5135" max="5135" width="6.21875" style="866" customWidth="1"/>
    <col min="5136" max="5136" width="5.21875" style="866" customWidth="1"/>
    <col min="5137" max="5137" width="6.5546875" style="866" customWidth="1"/>
    <col min="5138" max="5376" width="8.88671875" style="866"/>
    <col min="5377" max="5377" width="5.44140625" style="866" customWidth="1"/>
    <col min="5378" max="5378" width="32.44140625" style="866" customWidth="1"/>
    <col min="5379" max="5379" width="3.21875" style="866" customWidth="1"/>
    <col min="5380" max="5380" width="3.5546875" style="866" customWidth="1"/>
    <col min="5381" max="5381" width="6.5546875" style="866" customWidth="1"/>
    <col min="5382" max="5382" width="6.77734375" style="866" customWidth="1"/>
    <col min="5383" max="5383" width="6.109375" style="866" customWidth="1"/>
    <col min="5384" max="5384" width="8.88671875" style="866" customWidth="1"/>
    <col min="5385" max="5385" width="4.88671875" style="866" customWidth="1"/>
    <col min="5386" max="5386" width="7.21875" style="866" customWidth="1"/>
    <col min="5387" max="5387" width="7.109375" style="866" customWidth="1"/>
    <col min="5388" max="5388" width="7" style="866" customWidth="1"/>
    <col min="5389" max="5389" width="9.21875" style="866" customWidth="1"/>
    <col min="5390" max="5390" width="5.77734375" style="866" customWidth="1"/>
    <col min="5391" max="5391" width="6.21875" style="866" customWidth="1"/>
    <col min="5392" max="5392" width="5.21875" style="866" customWidth="1"/>
    <col min="5393" max="5393" width="6.5546875" style="866" customWidth="1"/>
    <col min="5394" max="5632" width="8.88671875" style="866"/>
    <col min="5633" max="5633" width="5.44140625" style="866" customWidth="1"/>
    <col min="5634" max="5634" width="32.44140625" style="866" customWidth="1"/>
    <col min="5635" max="5635" width="3.21875" style="866" customWidth="1"/>
    <col min="5636" max="5636" width="3.5546875" style="866" customWidth="1"/>
    <col min="5637" max="5637" width="6.5546875" style="866" customWidth="1"/>
    <col min="5638" max="5638" width="6.77734375" style="866" customWidth="1"/>
    <col min="5639" max="5639" width="6.109375" style="866" customWidth="1"/>
    <col min="5640" max="5640" width="8.88671875" style="866" customWidth="1"/>
    <col min="5641" max="5641" width="4.88671875" style="866" customWidth="1"/>
    <col min="5642" max="5642" width="7.21875" style="866" customWidth="1"/>
    <col min="5643" max="5643" width="7.109375" style="866" customWidth="1"/>
    <col min="5644" max="5644" width="7" style="866" customWidth="1"/>
    <col min="5645" max="5645" width="9.21875" style="866" customWidth="1"/>
    <col min="5646" max="5646" width="5.77734375" style="866" customWidth="1"/>
    <col min="5647" max="5647" width="6.21875" style="866" customWidth="1"/>
    <col min="5648" max="5648" width="5.21875" style="866" customWidth="1"/>
    <col min="5649" max="5649" width="6.5546875" style="866" customWidth="1"/>
    <col min="5650" max="5888" width="8.88671875" style="866"/>
    <col min="5889" max="5889" width="5.44140625" style="866" customWidth="1"/>
    <col min="5890" max="5890" width="32.44140625" style="866" customWidth="1"/>
    <col min="5891" max="5891" width="3.21875" style="866" customWidth="1"/>
    <col min="5892" max="5892" width="3.5546875" style="866" customWidth="1"/>
    <col min="5893" max="5893" width="6.5546875" style="866" customWidth="1"/>
    <col min="5894" max="5894" width="6.77734375" style="866" customWidth="1"/>
    <col min="5895" max="5895" width="6.109375" style="866" customWidth="1"/>
    <col min="5896" max="5896" width="8.88671875" style="866" customWidth="1"/>
    <col min="5897" max="5897" width="4.88671875" style="866" customWidth="1"/>
    <col min="5898" max="5898" width="7.21875" style="866" customWidth="1"/>
    <col min="5899" max="5899" width="7.109375" style="866" customWidth="1"/>
    <col min="5900" max="5900" width="7" style="866" customWidth="1"/>
    <col min="5901" max="5901" width="9.21875" style="866" customWidth="1"/>
    <col min="5902" max="5902" width="5.77734375" style="866" customWidth="1"/>
    <col min="5903" max="5903" width="6.21875" style="866" customWidth="1"/>
    <col min="5904" max="5904" width="5.21875" style="866" customWidth="1"/>
    <col min="5905" max="5905" width="6.5546875" style="866" customWidth="1"/>
    <col min="5906" max="6144" width="8.88671875" style="866"/>
    <col min="6145" max="6145" width="5.44140625" style="866" customWidth="1"/>
    <col min="6146" max="6146" width="32.44140625" style="866" customWidth="1"/>
    <col min="6147" max="6147" width="3.21875" style="866" customWidth="1"/>
    <col min="6148" max="6148" width="3.5546875" style="866" customWidth="1"/>
    <col min="6149" max="6149" width="6.5546875" style="866" customWidth="1"/>
    <col min="6150" max="6150" width="6.77734375" style="866" customWidth="1"/>
    <col min="6151" max="6151" width="6.109375" style="866" customWidth="1"/>
    <col min="6152" max="6152" width="8.88671875" style="866" customWidth="1"/>
    <col min="6153" max="6153" width="4.88671875" style="866" customWidth="1"/>
    <col min="6154" max="6154" width="7.21875" style="866" customWidth="1"/>
    <col min="6155" max="6155" width="7.109375" style="866" customWidth="1"/>
    <col min="6156" max="6156" width="7" style="866" customWidth="1"/>
    <col min="6157" max="6157" width="9.21875" style="866" customWidth="1"/>
    <col min="6158" max="6158" width="5.77734375" style="866" customWidth="1"/>
    <col min="6159" max="6159" width="6.21875" style="866" customWidth="1"/>
    <col min="6160" max="6160" width="5.21875" style="866" customWidth="1"/>
    <col min="6161" max="6161" width="6.5546875" style="866" customWidth="1"/>
    <col min="6162" max="6400" width="8.88671875" style="866"/>
    <col min="6401" max="6401" width="5.44140625" style="866" customWidth="1"/>
    <col min="6402" max="6402" width="32.44140625" style="866" customWidth="1"/>
    <col min="6403" max="6403" width="3.21875" style="866" customWidth="1"/>
    <col min="6404" max="6404" width="3.5546875" style="866" customWidth="1"/>
    <col min="6405" max="6405" width="6.5546875" style="866" customWidth="1"/>
    <col min="6406" max="6406" width="6.77734375" style="866" customWidth="1"/>
    <col min="6407" max="6407" width="6.109375" style="866" customWidth="1"/>
    <col min="6408" max="6408" width="8.88671875" style="866" customWidth="1"/>
    <col min="6409" max="6409" width="4.88671875" style="866" customWidth="1"/>
    <col min="6410" max="6410" width="7.21875" style="866" customWidth="1"/>
    <col min="6411" max="6411" width="7.109375" style="866" customWidth="1"/>
    <col min="6412" max="6412" width="7" style="866" customWidth="1"/>
    <col min="6413" max="6413" width="9.21875" style="866" customWidth="1"/>
    <col min="6414" max="6414" width="5.77734375" style="866" customWidth="1"/>
    <col min="6415" max="6415" width="6.21875" style="866" customWidth="1"/>
    <col min="6416" max="6416" width="5.21875" style="866" customWidth="1"/>
    <col min="6417" max="6417" width="6.5546875" style="866" customWidth="1"/>
    <col min="6418" max="6656" width="8.88671875" style="866"/>
    <col min="6657" max="6657" width="5.44140625" style="866" customWidth="1"/>
    <col min="6658" max="6658" width="32.44140625" style="866" customWidth="1"/>
    <col min="6659" max="6659" width="3.21875" style="866" customWidth="1"/>
    <col min="6660" max="6660" width="3.5546875" style="866" customWidth="1"/>
    <col min="6661" max="6661" width="6.5546875" style="866" customWidth="1"/>
    <col min="6662" max="6662" width="6.77734375" style="866" customWidth="1"/>
    <col min="6663" max="6663" width="6.109375" style="866" customWidth="1"/>
    <col min="6664" max="6664" width="8.88671875" style="866" customWidth="1"/>
    <col min="6665" max="6665" width="4.88671875" style="866" customWidth="1"/>
    <col min="6666" max="6666" width="7.21875" style="866" customWidth="1"/>
    <col min="6667" max="6667" width="7.109375" style="866" customWidth="1"/>
    <col min="6668" max="6668" width="7" style="866" customWidth="1"/>
    <col min="6669" max="6669" width="9.21875" style="866" customWidth="1"/>
    <col min="6670" max="6670" width="5.77734375" style="866" customWidth="1"/>
    <col min="6671" max="6671" width="6.21875" style="866" customWidth="1"/>
    <col min="6672" max="6672" width="5.21875" style="866" customWidth="1"/>
    <col min="6673" max="6673" width="6.5546875" style="866" customWidth="1"/>
    <col min="6674" max="6912" width="8.88671875" style="866"/>
    <col min="6913" max="6913" width="5.44140625" style="866" customWidth="1"/>
    <col min="6914" max="6914" width="32.44140625" style="866" customWidth="1"/>
    <col min="6915" max="6915" width="3.21875" style="866" customWidth="1"/>
    <col min="6916" max="6916" width="3.5546875" style="866" customWidth="1"/>
    <col min="6917" max="6917" width="6.5546875" style="866" customWidth="1"/>
    <col min="6918" max="6918" width="6.77734375" style="866" customWidth="1"/>
    <col min="6919" max="6919" width="6.109375" style="866" customWidth="1"/>
    <col min="6920" max="6920" width="8.88671875" style="866" customWidth="1"/>
    <col min="6921" max="6921" width="4.88671875" style="866" customWidth="1"/>
    <col min="6922" max="6922" width="7.21875" style="866" customWidth="1"/>
    <col min="6923" max="6923" width="7.109375" style="866" customWidth="1"/>
    <col min="6924" max="6924" width="7" style="866" customWidth="1"/>
    <col min="6925" max="6925" width="9.21875" style="866" customWidth="1"/>
    <col min="6926" max="6926" width="5.77734375" style="866" customWidth="1"/>
    <col min="6927" max="6927" width="6.21875" style="866" customWidth="1"/>
    <col min="6928" max="6928" width="5.21875" style="866" customWidth="1"/>
    <col min="6929" max="6929" width="6.5546875" style="866" customWidth="1"/>
    <col min="6930" max="7168" width="8.88671875" style="866"/>
    <col min="7169" max="7169" width="5.44140625" style="866" customWidth="1"/>
    <col min="7170" max="7170" width="32.44140625" style="866" customWidth="1"/>
    <col min="7171" max="7171" width="3.21875" style="866" customWidth="1"/>
    <col min="7172" max="7172" width="3.5546875" style="866" customWidth="1"/>
    <col min="7173" max="7173" width="6.5546875" style="866" customWidth="1"/>
    <col min="7174" max="7174" width="6.77734375" style="866" customWidth="1"/>
    <col min="7175" max="7175" width="6.109375" style="866" customWidth="1"/>
    <col min="7176" max="7176" width="8.88671875" style="866" customWidth="1"/>
    <col min="7177" max="7177" width="4.88671875" style="866" customWidth="1"/>
    <col min="7178" max="7178" width="7.21875" style="866" customWidth="1"/>
    <col min="7179" max="7179" width="7.109375" style="866" customWidth="1"/>
    <col min="7180" max="7180" width="7" style="866" customWidth="1"/>
    <col min="7181" max="7181" width="9.21875" style="866" customWidth="1"/>
    <col min="7182" max="7182" width="5.77734375" style="866" customWidth="1"/>
    <col min="7183" max="7183" width="6.21875" style="866" customWidth="1"/>
    <col min="7184" max="7184" width="5.21875" style="866" customWidth="1"/>
    <col min="7185" max="7185" width="6.5546875" style="866" customWidth="1"/>
    <col min="7186" max="7424" width="8.88671875" style="866"/>
    <col min="7425" max="7425" width="5.44140625" style="866" customWidth="1"/>
    <col min="7426" max="7426" width="32.44140625" style="866" customWidth="1"/>
    <col min="7427" max="7427" width="3.21875" style="866" customWidth="1"/>
    <col min="7428" max="7428" width="3.5546875" style="866" customWidth="1"/>
    <col min="7429" max="7429" width="6.5546875" style="866" customWidth="1"/>
    <col min="7430" max="7430" width="6.77734375" style="866" customWidth="1"/>
    <col min="7431" max="7431" width="6.109375" style="866" customWidth="1"/>
    <col min="7432" max="7432" width="8.88671875" style="866" customWidth="1"/>
    <col min="7433" max="7433" width="4.88671875" style="866" customWidth="1"/>
    <col min="7434" max="7434" width="7.21875" style="866" customWidth="1"/>
    <col min="7435" max="7435" width="7.109375" style="866" customWidth="1"/>
    <col min="7436" max="7436" width="7" style="866" customWidth="1"/>
    <col min="7437" max="7437" width="9.21875" style="866" customWidth="1"/>
    <col min="7438" max="7438" width="5.77734375" style="866" customWidth="1"/>
    <col min="7439" max="7439" width="6.21875" style="866" customWidth="1"/>
    <col min="7440" max="7440" width="5.21875" style="866" customWidth="1"/>
    <col min="7441" max="7441" width="6.5546875" style="866" customWidth="1"/>
    <col min="7442" max="7680" width="8.88671875" style="866"/>
    <col min="7681" max="7681" width="5.44140625" style="866" customWidth="1"/>
    <col min="7682" max="7682" width="32.44140625" style="866" customWidth="1"/>
    <col min="7683" max="7683" width="3.21875" style="866" customWidth="1"/>
    <col min="7684" max="7684" width="3.5546875" style="866" customWidth="1"/>
    <col min="7685" max="7685" width="6.5546875" style="866" customWidth="1"/>
    <col min="7686" max="7686" width="6.77734375" style="866" customWidth="1"/>
    <col min="7687" max="7687" width="6.109375" style="866" customWidth="1"/>
    <col min="7688" max="7688" width="8.88671875" style="866" customWidth="1"/>
    <col min="7689" max="7689" width="4.88671875" style="866" customWidth="1"/>
    <col min="7690" max="7690" width="7.21875" style="866" customWidth="1"/>
    <col min="7691" max="7691" width="7.109375" style="866" customWidth="1"/>
    <col min="7692" max="7692" width="7" style="866" customWidth="1"/>
    <col min="7693" max="7693" width="9.21875" style="866" customWidth="1"/>
    <col min="7694" max="7694" width="5.77734375" style="866" customWidth="1"/>
    <col min="7695" max="7695" width="6.21875" style="866" customWidth="1"/>
    <col min="7696" max="7696" width="5.21875" style="866" customWidth="1"/>
    <col min="7697" max="7697" width="6.5546875" style="866" customWidth="1"/>
    <col min="7698" max="7936" width="8.88671875" style="866"/>
    <col min="7937" max="7937" width="5.44140625" style="866" customWidth="1"/>
    <col min="7938" max="7938" width="32.44140625" style="866" customWidth="1"/>
    <col min="7939" max="7939" width="3.21875" style="866" customWidth="1"/>
    <col min="7940" max="7940" width="3.5546875" style="866" customWidth="1"/>
    <col min="7941" max="7941" width="6.5546875" style="866" customWidth="1"/>
    <col min="7942" max="7942" width="6.77734375" style="866" customWidth="1"/>
    <col min="7943" max="7943" width="6.109375" style="866" customWidth="1"/>
    <col min="7944" max="7944" width="8.88671875" style="866" customWidth="1"/>
    <col min="7945" max="7945" width="4.88671875" style="866" customWidth="1"/>
    <col min="7946" max="7946" width="7.21875" style="866" customWidth="1"/>
    <col min="7947" max="7947" width="7.109375" style="866" customWidth="1"/>
    <col min="7948" max="7948" width="7" style="866" customWidth="1"/>
    <col min="7949" max="7949" width="9.21875" style="866" customWidth="1"/>
    <col min="7950" max="7950" width="5.77734375" style="866" customWidth="1"/>
    <col min="7951" max="7951" width="6.21875" style="866" customWidth="1"/>
    <col min="7952" max="7952" width="5.21875" style="866" customWidth="1"/>
    <col min="7953" max="7953" width="6.5546875" style="866" customWidth="1"/>
    <col min="7954" max="8192" width="8.88671875" style="866"/>
    <col min="8193" max="8193" width="5.44140625" style="866" customWidth="1"/>
    <col min="8194" max="8194" width="32.44140625" style="866" customWidth="1"/>
    <col min="8195" max="8195" width="3.21875" style="866" customWidth="1"/>
    <col min="8196" max="8196" width="3.5546875" style="866" customWidth="1"/>
    <col min="8197" max="8197" width="6.5546875" style="866" customWidth="1"/>
    <col min="8198" max="8198" width="6.77734375" style="866" customWidth="1"/>
    <col min="8199" max="8199" width="6.109375" style="866" customWidth="1"/>
    <col min="8200" max="8200" width="8.88671875" style="866" customWidth="1"/>
    <col min="8201" max="8201" width="4.88671875" style="866" customWidth="1"/>
    <col min="8202" max="8202" width="7.21875" style="866" customWidth="1"/>
    <col min="8203" max="8203" width="7.109375" style="866" customWidth="1"/>
    <col min="8204" max="8204" width="7" style="866" customWidth="1"/>
    <col min="8205" max="8205" width="9.21875" style="866" customWidth="1"/>
    <col min="8206" max="8206" width="5.77734375" style="866" customWidth="1"/>
    <col min="8207" max="8207" width="6.21875" style="866" customWidth="1"/>
    <col min="8208" max="8208" width="5.21875" style="866" customWidth="1"/>
    <col min="8209" max="8209" width="6.5546875" style="866" customWidth="1"/>
    <col min="8210" max="8448" width="8.88671875" style="866"/>
    <col min="8449" max="8449" width="5.44140625" style="866" customWidth="1"/>
    <col min="8450" max="8450" width="32.44140625" style="866" customWidth="1"/>
    <col min="8451" max="8451" width="3.21875" style="866" customWidth="1"/>
    <col min="8452" max="8452" width="3.5546875" style="866" customWidth="1"/>
    <col min="8453" max="8453" width="6.5546875" style="866" customWidth="1"/>
    <col min="8454" max="8454" width="6.77734375" style="866" customWidth="1"/>
    <col min="8455" max="8455" width="6.109375" style="866" customWidth="1"/>
    <col min="8456" max="8456" width="8.88671875" style="866" customWidth="1"/>
    <col min="8457" max="8457" width="4.88671875" style="866" customWidth="1"/>
    <col min="8458" max="8458" width="7.21875" style="866" customWidth="1"/>
    <col min="8459" max="8459" width="7.109375" style="866" customWidth="1"/>
    <col min="8460" max="8460" width="7" style="866" customWidth="1"/>
    <col min="8461" max="8461" width="9.21875" style="866" customWidth="1"/>
    <col min="8462" max="8462" width="5.77734375" style="866" customWidth="1"/>
    <col min="8463" max="8463" width="6.21875" style="866" customWidth="1"/>
    <col min="8464" max="8464" width="5.21875" style="866" customWidth="1"/>
    <col min="8465" max="8465" width="6.5546875" style="866" customWidth="1"/>
    <col min="8466" max="8704" width="8.88671875" style="866"/>
    <col min="8705" max="8705" width="5.44140625" style="866" customWidth="1"/>
    <col min="8706" max="8706" width="32.44140625" style="866" customWidth="1"/>
    <col min="8707" max="8707" width="3.21875" style="866" customWidth="1"/>
    <col min="8708" max="8708" width="3.5546875" style="866" customWidth="1"/>
    <col min="8709" max="8709" width="6.5546875" style="866" customWidth="1"/>
    <col min="8710" max="8710" width="6.77734375" style="866" customWidth="1"/>
    <col min="8711" max="8711" width="6.109375" style="866" customWidth="1"/>
    <col min="8712" max="8712" width="8.88671875" style="866" customWidth="1"/>
    <col min="8713" max="8713" width="4.88671875" style="866" customWidth="1"/>
    <col min="8714" max="8714" width="7.21875" style="866" customWidth="1"/>
    <col min="8715" max="8715" width="7.109375" style="866" customWidth="1"/>
    <col min="8716" max="8716" width="7" style="866" customWidth="1"/>
    <col min="8717" max="8717" width="9.21875" style="866" customWidth="1"/>
    <col min="8718" max="8718" width="5.77734375" style="866" customWidth="1"/>
    <col min="8719" max="8719" width="6.21875" style="866" customWidth="1"/>
    <col min="8720" max="8720" width="5.21875" style="866" customWidth="1"/>
    <col min="8721" max="8721" width="6.5546875" style="866" customWidth="1"/>
    <col min="8722" max="8960" width="8.88671875" style="866"/>
    <col min="8961" max="8961" width="5.44140625" style="866" customWidth="1"/>
    <col min="8962" max="8962" width="32.44140625" style="866" customWidth="1"/>
    <col min="8963" max="8963" width="3.21875" style="866" customWidth="1"/>
    <col min="8964" max="8964" width="3.5546875" style="866" customWidth="1"/>
    <col min="8965" max="8965" width="6.5546875" style="866" customWidth="1"/>
    <col min="8966" max="8966" width="6.77734375" style="866" customWidth="1"/>
    <col min="8967" max="8967" width="6.109375" style="866" customWidth="1"/>
    <col min="8968" max="8968" width="8.88671875" style="866" customWidth="1"/>
    <col min="8969" max="8969" width="4.88671875" style="866" customWidth="1"/>
    <col min="8970" max="8970" width="7.21875" style="866" customWidth="1"/>
    <col min="8971" max="8971" width="7.109375" style="866" customWidth="1"/>
    <col min="8972" max="8972" width="7" style="866" customWidth="1"/>
    <col min="8973" max="8973" width="9.21875" style="866" customWidth="1"/>
    <col min="8974" max="8974" width="5.77734375" style="866" customWidth="1"/>
    <col min="8975" max="8975" width="6.21875" style="866" customWidth="1"/>
    <col min="8976" max="8976" width="5.21875" style="866" customWidth="1"/>
    <col min="8977" max="8977" width="6.5546875" style="866" customWidth="1"/>
    <col min="8978" max="9216" width="8.88671875" style="866"/>
    <col min="9217" max="9217" width="5.44140625" style="866" customWidth="1"/>
    <col min="9218" max="9218" width="32.44140625" style="866" customWidth="1"/>
    <col min="9219" max="9219" width="3.21875" style="866" customWidth="1"/>
    <col min="9220" max="9220" width="3.5546875" style="866" customWidth="1"/>
    <col min="9221" max="9221" width="6.5546875" style="866" customWidth="1"/>
    <col min="9222" max="9222" width="6.77734375" style="866" customWidth="1"/>
    <col min="9223" max="9223" width="6.109375" style="866" customWidth="1"/>
    <col min="9224" max="9224" width="8.88671875" style="866" customWidth="1"/>
    <col min="9225" max="9225" width="4.88671875" style="866" customWidth="1"/>
    <col min="9226" max="9226" width="7.21875" style="866" customWidth="1"/>
    <col min="9227" max="9227" width="7.109375" style="866" customWidth="1"/>
    <col min="9228" max="9228" width="7" style="866" customWidth="1"/>
    <col min="9229" max="9229" width="9.21875" style="866" customWidth="1"/>
    <col min="9230" max="9230" width="5.77734375" style="866" customWidth="1"/>
    <col min="9231" max="9231" width="6.21875" style="866" customWidth="1"/>
    <col min="9232" max="9232" width="5.21875" style="866" customWidth="1"/>
    <col min="9233" max="9233" width="6.5546875" style="866" customWidth="1"/>
    <col min="9234" max="9472" width="8.88671875" style="866"/>
    <col min="9473" max="9473" width="5.44140625" style="866" customWidth="1"/>
    <col min="9474" max="9474" width="32.44140625" style="866" customWidth="1"/>
    <col min="9475" max="9475" width="3.21875" style="866" customWidth="1"/>
    <col min="9476" max="9476" width="3.5546875" style="866" customWidth="1"/>
    <col min="9477" max="9477" width="6.5546875" style="866" customWidth="1"/>
    <col min="9478" max="9478" width="6.77734375" style="866" customWidth="1"/>
    <col min="9479" max="9479" width="6.109375" style="866" customWidth="1"/>
    <col min="9480" max="9480" width="8.88671875" style="866" customWidth="1"/>
    <col min="9481" max="9481" width="4.88671875" style="866" customWidth="1"/>
    <col min="9482" max="9482" width="7.21875" style="866" customWidth="1"/>
    <col min="9483" max="9483" width="7.109375" style="866" customWidth="1"/>
    <col min="9484" max="9484" width="7" style="866" customWidth="1"/>
    <col min="9485" max="9485" width="9.21875" style="866" customWidth="1"/>
    <col min="9486" max="9486" width="5.77734375" style="866" customWidth="1"/>
    <col min="9487" max="9487" width="6.21875" style="866" customWidth="1"/>
    <col min="9488" max="9488" width="5.21875" style="866" customWidth="1"/>
    <col min="9489" max="9489" width="6.5546875" style="866" customWidth="1"/>
    <col min="9490" max="9728" width="8.88671875" style="866"/>
    <col min="9729" max="9729" width="5.44140625" style="866" customWidth="1"/>
    <col min="9730" max="9730" width="32.44140625" style="866" customWidth="1"/>
    <col min="9731" max="9731" width="3.21875" style="866" customWidth="1"/>
    <col min="9732" max="9732" width="3.5546875" style="866" customWidth="1"/>
    <col min="9733" max="9733" width="6.5546875" style="866" customWidth="1"/>
    <col min="9734" max="9734" width="6.77734375" style="866" customWidth="1"/>
    <col min="9735" max="9735" width="6.109375" style="866" customWidth="1"/>
    <col min="9736" max="9736" width="8.88671875" style="866" customWidth="1"/>
    <col min="9737" max="9737" width="4.88671875" style="866" customWidth="1"/>
    <col min="9738" max="9738" width="7.21875" style="866" customWidth="1"/>
    <col min="9739" max="9739" width="7.109375" style="866" customWidth="1"/>
    <col min="9740" max="9740" width="7" style="866" customWidth="1"/>
    <col min="9741" max="9741" width="9.21875" style="866" customWidth="1"/>
    <col min="9742" max="9742" width="5.77734375" style="866" customWidth="1"/>
    <col min="9743" max="9743" width="6.21875" style="866" customWidth="1"/>
    <col min="9744" max="9744" width="5.21875" style="866" customWidth="1"/>
    <col min="9745" max="9745" width="6.5546875" style="866" customWidth="1"/>
    <col min="9746" max="9984" width="8.88671875" style="866"/>
    <col min="9985" max="9985" width="5.44140625" style="866" customWidth="1"/>
    <col min="9986" max="9986" width="32.44140625" style="866" customWidth="1"/>
    <col min="9987" max="9987" width="3.21875" style="866" customWidth="1"/>
    <col min="9988" max="9988" width="3.5546875" style="866" customWidth="1"/>
    <col min="9989" max="9989" width="6.5546875" style="866" customWidth="1"/>
    <col min="9990" max="9990" width="6.77734375" style="866" customWidth="1"/>
    <col min="9991" max="9991" width="6.109375" style="866" customWidth="1"/>
    <col min="9992" max="9992" width="8.88671875" style="866" customWidth="1"/>
    <col min="9993" max="9993" width="4.88671875" style="866" customWidth="1"/>
    <col min="9994" max="9994" width="7.21875" style="866" customWidth="1"/>
    <col min="9995" max="9995" width="7.109375" style="866" customWidth="1"/>
    <col min="9996" max="9996" width="7" style="866" customWidth="1"/>
    <col min="9997" max="9997" width="9.21875" style="866" customWidth="1"/>
    <col min="9998" max="9998" width="5.77734375" style="866" customWidth="1"/>
    <col min="9999" max="9999" width="6.21875" style="866" customWidth="1"/>
    <col min="10000" max="10000" width="5.21875" style="866" customWidth="1"/>
    <col min="10001" max="10001" width="6.5546875" style="866" customWidth="1"/>
    <col min="10002" max="10240" width="8.88671875" style="866"/>
    <col min="10241" max="10241" width="5.44140625" style="866" customWidth="1"/>
    <col min="10242" max="10242" width="32.44140625" style="866" customWidth="1"/>
    <col min="10243" max="10243" width="3.21875" style="866" customWidth="1"/>
    <col min="10244" max="10244" width="3.5546875" style="866" customWidth="1"/>
    <col min="10245" max="10245" width="6.5546875" style="866" customWidth="1"/>
    <col min="10246" max="10246" width="6.77734375" style="866" customWidth="1"/>
    <col min="10247" max="10247" width="6.109375" style="866" customWidth="1"/>
    <col min="10248" max="10248" width="8.88671875" style="866" customWidth="1"/>
    <col min="10249" max="10249" width="4.88671875" style="866" customWidth="1"/>
    <col min="10250" max="10250" width="7.21875" style="866" customWidth="1"/>
    <col min="10251" max="10251" width="7.109375" style="866" customWidth="1"/>
    <col min="10252" max="10252" width="7" style="866" customWidth="1"/>
    <col min="10253" max="10253" width="9.21875" style="866" customWidth="1"/>
    <col min="10254" max="10254" width="5.77734375" style="866" customWidth="1"/>
    <col min="10255" max="10255" width="6.21875" style="866" customWidth="1"/>
    <col min="10256" max="10256" width="5.21875" style="866" customWidth="1"/>
    <col min="10257" max="10257" width="6.5546875" style="866" customWidth="1"/>
    <col min="10258" max="10496" width="8.88671875" style="866"/>
    <col min="10497" max="10497" width="5.44140625" style="866" customWidth="1"/>
    <col min="10498" max="10498" width="32.44140625" style="866" customWidth="1"/>
    <col min="10499" max="10499" width="3.21875" style="866" customWidth="1"/>
    <col min="10500" max="10500" width="3.5546875" style="866" customWidth="1"/>
    <col min="10501" max="10501" width="6.5546875" style="866" customWidth="1"/>
    <col min="10502" max="10502" width="6.77734375" style="866" customWidth="1"/>
    <col min="10503" max="10503" width="6.109375" style="866" customWidth="1"/>
    <col min="10504" max="10504" width="8.88671875" style="866" customWidth="1"/>
    <col min="10505" max="10505" width="4.88671875" style="866" customWidth="1"/>
    <col min="10506" max="10506" width="7.21875" style="866" customWidth="1"/>
    <col min="10507" max="10507" width="7.109375" style="866" customWidth="1"/>
    <col min="10508" max="10508" width="7" style="866" customWidth="1"/>
    <col min="10509" max="10509" width="9.21875" style="866" customWidth="1"/>
    <col min="10510" max="10510" width="5.77734375" style="866" customWidth="1"/>
    <col min="10511" max="10511" width="6.21875" style="866" customWidth="1"/>
    <col min="10512" max="10512" width="5.21875" style="866" customWidth="1"/>
    <col min="10513" max="10513" width="6.5546875" style="866" customWidth="1"/>
    <col min="10514" max="10752" width="8.88671875" style="866"/>
    <col min="10753" max="10753" width="5.44140625" style="866" customWidth="1"/>
    <col min="10754" max="10754" width="32.44140625" style="866" customWidth="1"/>
    <col min="10755" max="10755" width="3.21875" style="866" customWidth="1"/>
    <col min="10756" max="10756" width="3.5546875" style="866" customWidth="1"/>
    <col min="10757" max="10757" width="6.5546875" style="866" customWidth="1"/>
    <col min="10758" max="10758" width="6.77734375" style="866" customWidth="1"/>
    <col min="10759" max="10759" width="6.109375" style="866" customWidth="1"/>
    <col min="10760" max="10760" width="8.88671875" style="866" customWidth="1"/>
    <col min="10761" max="10761" width="4.88671875" style="866" customWidth="1"/>
    <col min="10762" max="10762" width="7.21875" style="866" customWidth="1"/>
    <col min="10763" max="10763" width="7.109375" style="866" customWidth="1"/>
    <col min="10764" max="10764" width="7" style="866" customWidth="1"/>
    <col min="10765" max="10765" width="9.21875" style="866" customWidth="1"/>
    <col min="10766" max="10766" width="5.77734375" style="866" customWidth="1"/>
    <col min="10767" max="10767" width="6.21875" style="866" customWidth="1"/>
    <col min="10768" max="10768" width="5.21875" style="866" customWidth="1"/>
    <col min="10769" max="10769" width="6.5546875" style="866" customWidth="1"/>
    <col min="10770" max="11008" width="8.88671875" style="866"/>
    <col min="11009" max="11009" width="5.44140625" style="866" customWidth="1"/>
    <col min="11010" max="11010" width="32.44140625" style="866" customWidth="1"/>
    <col min="11011" max="11011" width="3.21875" style="866" customWidth="1"/>
    <col min="11012" max="11012" width="3.5546875" style="866" customWidth="1"/>
    <col min="11013" max="11013" width="6.5546875" style="866" customWidth="1"/>
    <col min="11014" max="11014" width="6.77734375" style="866" customWidth="1"/>
    <col min="11015" max="11015" width="6.109375" style="866" customWidth="1"/>
    <col min="11016" max="11016" width="8.88671875" style="866" customWidth="1"/>
    <col min="11017" max="11017" width="4.88671875" style="866" customWidth="1"/>
    <col min="11018" max="11018" width="7.21875" style="866" customWidth="1"/>
    <col min="11019" max="11019" width="7.109375" style="866" customWidth="1"/>
    <col min="11020" max="11020" width="7" style="866" customWidth="1"/>
    <col min="11021" max="11021" width="9.21875" style="866" customWidth="1"/>
    <col min="11022" max="11022" width="5.77734375" style="866" customWidth="1"/>
    <col min="11023" max="11023" width="6.21875" style="866" customWidth="1"/>
    <col min="11024" max="11024" width="5.21875" style="866" customWidth="1"/>
    <col min="11025" max="11025" width="6.5546875" style="866" customWidth="1"/>
    <col min="11026" max="11264" width="8.88671875" style="866"/>
    <col min="11265" max="11265" width="5.44140625" style="866" customWidth="1"/>
    <col min="11266" max="11266" width="32.44140625" style="866" customWidth="1"/>
    <col min="11267" max="11267" width="3.21875" style="866" customWidth="1"/>
    <col min="11268" max="11268" width="3.5546875" style="866" customWidth="1"/>
    <col min="11269" max="11269" width="6.5546875" style="866" customWidth="1"/>
    <col min="11270" max="11270" width="6.77734375" style="866" customWidth="1"/>
    <col min="11271" max="11271" width="6.109375" style="866" customWidth="1"/>
    <col min="11272" max="11272" width="8.88671875" style="866" customWidth="1"/>
    <col min="11273" max="11273" width="4.88671875" style="866" customWidth="1"/>
    <col min="11274" max="11274" width="7.21875" style="866" customWidth="1"/>
    <col min="11275" max="11275" width="7.109375" style="866" customWidth="1"/>
    <col min="11276" max="11276" width="7" style="866" customWidth="1"/>
    <col min="11277" max="11277" width="9.21875" style="866" customWidth="1"/>
    <col min="11278" max="11278" width="5.77734375" style="866" customWidth="1"/>
    <col min="11279" max="11279" width="6.21875" style="866" customWidth="1"/>
    <col min="11280" max="11280" width="5.21875" style="866" customWidth="1"/>
    <col min="11281" max="11281" width="6.5546875" style="866" customWidth="1"/>
    <col min="11282" max="11520" width="8.88671875" style="866"/>
    <col min="11521" max="11521" width="5.44140625" style="866" customWidth="1"/>
    <col min="11522" max="11522" width="32.44140625" style="866" customWidth="1"/>
    <col min="11523" max="11523" width="3.21875" style="866" customWidth="1"/>
    <col min="11524" max="11524" width="3.5546875" style="866" customWidth="1"/>
    <col min="11525" max="11525" width="6.5546875" style="866" customWidth="1"/>
    <col min="11526" max="11526" width="6.77734375" style="866" customWidth="1"/>
    <col min="11527" max="11527" width="6.109375" style="866" customWidth="1"/>
    <col min="11528" max="11528" width="8.88671875" style="866" customWidth="1"/>
    <col min="11529" max="11529" width="4.88671875" style="866" customWidth="1"/>
    <col min="11530" max="11530" width="7.21875" style="866" customWidth="1"/>
    <col min="11531" max="11531" width="7.109375" style="866" customWidth="1"/>
    <col min="11532" max="11532" width="7" style="866" customWidth="1"/>
    <col min="11533" max="11533" width="9.21875" style="866" customWidth="1"/>
    <col min="11534" max="11534" width="5.77734375" style="866" customWidth="1"/>
    <col min="11535" max="11535" width="6.21875" style="866" customWidth="1"/>
    <col min="11536" max="11536" width="5.21875" style="866" customWidth="1"/>
    <col min="11537" max="11537" width="6.5546875" style="866" customWidth="1"/>
    <col min="11538" max="11776" width="8.88671875" style="866"/>
    <col min="11777" max="11777" width="5.44140625" style="866" customWidth="1"/>
    <col min="11778" max="11778" width="32.44140625" style="866" customWidth="1"/>
    <col min="11779" max="11779" width="3.21875" style="866" customWidth="1"/>
    <col min="11780" max="11780" width="3.5546875" style="866" customWidth="1"/>
    <col min="11781" max="11781" width="6.5546875" style="866" customWidth="1"/>
    <col min="11782" max="11782" width="6.77734375" style="866" customWidth="1"/>
    <col min="11783" max="11783" width="6.109375" style="866" customWidth="1"/>
    <col min="11784" max="11784" width="8.88671875" style="866" customWidth="1"/>
    <col min="11785" max="11785" width="4.88671875" style="866" customWidth="1"/>
    <col min="11786" max="11786" width="7.21875" style="866" customWidth="1"/>
    <col min="11787" max="11787" width="7.109375" style="866" customWidth="1"/>
    <col min="11788" max="11788" width="7" style="866" customWidth="1"/>
    <col min="11789" max="11789" width="9.21875" style="866" customWidth="1"/>
    <col min="11790" max="11790" width="5.77734375" style="866" customWidth="1"/>
    <col min="11791" max="11791" width="6.21875" style="866" customWidth="1"/>
    <col min="11792" max="11792" width="5.21875" style="866" customWidth="1"/>
    <col min="11793" max="11793" width="6.5546875" style="866" customWidth="1"/>
    <col min="11794" max="12032" width="8.88671875" style="866"/>
    <col min="12033" max="12033" width="5.44140625" style="866" customWidth="1"/>
    <col min="12034" max="12034" width="32.44140625" style="866" customWidth="1"/>
    <col min="12035" max="12035" width="3.21875" style="866" customWidth="1"/>
    <col min="12036" max="12036" width="3.5546875" style="866" customWidth="1"/>
    <col min="12037" max="12037" width="6.5546875" style="866" customWidth="1"/>
    <col min="12038" max="12038" width="6.77734375" style="866" customWidth="1"/>
    <col min="12039" max="12039" width="6.109375" style="866" customWidth="1"/>
    <col min="12040" max="12040" width="8.88671875" style="866" customWidth="1"/>
    <col min="12041" max="12041" width="4.88671875" style="866" customWidth="1"/>
    <col min="12042" max="12042" width="7.21875" style="866" customWidth="1"/>
    <col min="12043" max="12043" width="7.109375" style="866" customWidth="1"/>
    <col min="12044" max="12044" width="7" style="866" customWidth="1"/>
    <col min="12045" max="12045" width="9.21875" style="866" customWidth="1"/>
    <col min="12046" max="12046" width="5.77734375" style="866" customWidth="1"/>
    <col min="12047" max="12047" width="6.21875" style="866" customWidth="1"/>
    <col min="12048" max="12048" width="5.21875" style="866" customWidth="1"/>
    <col min="12049" max="12049" width="6.5546875" style="866" customWidth="1"/>
    <col min="12050" max="12288" width="8.88671875" style="866"/>
    <col min="12289" max="12289" width="5.44140625" style="866" customWidth="1"/>
    <col min="12290" max="12290" width="32.44140625" style="866" customWidth="1"/>
    <col min="12291" max="12291" width="3.21875" style="866" customWidth="1"/>
    <col min="12292" max="12292" width="3.5546875" style="866" customWidth="1"/>
    <col min="12293" max="12293" width="6.5546875" style="866" customWidth="1"/>
    <col min="12294" max="12294" width="6.77734375" style="866" customWidth="1"/>
    <col min="12295" max="12295" width="6.109375" style="866" customWidth="1"/>
    <col min="12296" max="12296" width="8.88671875" style="866" customWidth="1"/>
    <col min="12297" max="12297" width="4.88671875" style="866" customWidth="1"/>
    <col min="12298" max="12298" width="7.21875" style="866" customWidth="1"/>
    <col min="12299" max="12299" width="7.109375" style="866" customWidth="1"/>
    <col min="12300" max="12300" width="7" style="866" customWidth="1"/>
    <col min="12301" max="12301" width="9.21875" style="866" customWidth="1"/>
    <col min="12302" max="12302" width="5.77734375" style="866" customWidth="1"/>
    <col min="12303" max="12303" width="6.21875" style="866" customWidth="1"/>
    <col min="12304" max="12304" width="5.21875" style="866" customWidth="1"/>
    <col min="12305" max="12305" width="6.5546875" style="866" customWidth="1"/>
    <col min="12306" max="12544" width="8.88671875" style="866"/>
    <col min="12545" max="12545" width="5.44140625" style="866" customWidth="1"/>
    <col min="12546" max="12546" width="32.44140625" style="866" customWidth="1"/>
    <col min="12547" max="12547" width="3.21875" style="866" customWidth="1"/>
    <col min="12548" max="12548" width="3.5546875" style="866" customWidth="1"/>
    <col min="12549" max="12549" width="6.5546875" style="866" customWidth="1"/>
    <col min="12550" max="12550" width="6.77734375" style="866" customWidth="1"/>
    <col min="12551" max="12551" width="6.109375" style="866" customWidth="1"/>
    <col min="12552" max="12552" width="8.88671875" style="866" customWidth="1"/>
    <col min="12553" max="12553" width="4.88671875" style="866" customWidth="1"/>
    <col min="12554" max="12554" width="7.21875" style="866" customWidth="1"/>
    <col min="12555" max="12555" width="7.109375" style="866" customWidth="1"/>
    <col min="12556" max="12556" width="7" style="866" customWidth="1"/>
    <col min="12557" max="12557" width="9.21875" style="866" customWidth="1"/>
    <col min="12558" max="12558" width="5.77734375" style="866" customWidth="1"/>
    <col min="12559" max="12559" width="6.21875" style="866" customWidth="1"/>
    <col min="12560" max="12560" width="5.21875" style="866" customWidth="1"/>
    <col min="12561" max="12561" width="6.5546875" style="866" customWidth="1"/>
    <col min="12562" max="12800" width="8.88671875" style="866"/>
    <col min="12801" max="12801" width="5.44140625" style="866" customWidth="1"/>
    <col min="12802" max="12802" width="32.44140625" style="866" customWidth="1"/>
    <col min="12803" max="12803" width="3.21875" style="866" customWidth="1"/>
    <col min="12804" max="12804" width="3.5546875" style="866" customWidth="1"/>
    <col min="12805" max="12805" width="6.5546875" style="866" customWidth="1"/>
    <col min="12806" max="12806" width="6.77734375" style="866" customWidth="1"/>
    <col min="12807" max="12807" width="6.109375" style="866" customWidth="1"/>
    <col min="12808" max="12808" width="8.88671875" style="866" customWidth="1"/>
    <col min="12809" max="12809" width="4.88671875" style="866" customWidth="1"/>
    <col min="12810" max="12810" width="7.21875" style="866" customWidth="1"/>
    <col min="12811" max="12811" width="7.109375" style="866" customWidth="1"/>
    <col min="12812" max="12812" width="7" style="866" customWidth="1"/>
    <col min="12813" max="12813" width="9.21875" style="866" customWidth="1"/>
    <col min="12814" max="12814" width="5.77734375" style="866" customWidth="1"/>
    <col min="12815" max="12815" width="6.21875" style="866" customWidth="1"/>
    <col min="12816" max="12816" width="5.21875" style="866" customWidth="1"/>
    <col min="12817" max="12817" width="6.5546875" style="866" customWidth="1"/>
    <col min="12818" max="13056" width="8.88671875" style="866"/>
    <col min="13057" max="13057" width="5.44140625" style="866" customWidth="1"/>
    <col min="13058" max="13058" width="32.44140625" style="866" customWidth="1"/>
    <col min="13059" max="13059" width="3.21875" style="866" customWidth="1"/>
    <col min="13060" max="13060" width="3.5546875" style="866" customWidth="1"/>
    <col min="13061" max="13061" width="6.5546875" style="866" customWidth="1"/>
    <col min="13062" max="13062" width="6.77734375" style="866" customWidth="1"/>
    <col min="13063" max="13063" width="6.109375" style="866" customWidth="1"/>
    <col min="13064" max="13064" width="8.88671875" style="866" customWidth="1"/>
    <col min="13065" max="13065" width="4.88671875" style="866" customWidth="1"/>
    <col min="13066" max="13066" width="7.21875" style="866" customWidth="1"/>
    <col min="13067" max="13067" width="7.109375" style="866" customWidth="1"/>
    <col min="13068" max="13068" width="7" style="866" customWidth="1"/>
    <col min="13069" max="13069" width="9.21875" style="866" customWidth="1"/>
    <col min="13070" max="13070" width="5.77734375" style="866" customWidth="1"/>
    <col min="13071" max="13071" width="6.21875" style="866" customWidth="1"/>
    <col min="13072" max="13072" width="5.21875" style="866" customWidth="1"/>
    <col min="13073" max="13073" width="6.5546875" style="866" customWidth="1"/>
    <col min="13074" max="13312" width="8.88671875" style="866"/>
    <col min="13313" max="13313" width="5.44140625" style="866" customWidth="1"/>
    <col min="13314" max="13314" width="32.44140625" style="866" customWidth="1"/>
    <col min="13315" max="13315" width="3.21875" style="866" customWidth="1"/>
    <col min="13316" max="13316" width="3.5546875" style="866" customWidth="1"/>
    <col min="13317" max="13317" width="6.5546875" style="866" customWidth="1"/>
    <col min="13318" max="13318" width="6.77734375" style="866" customWidth="1"/>
    <col min="13319" max="13319" width="6.109375" style="866" customWidth="1"/>
    <col min="13320" max="13320" width="8.88671875" style="866" customWidth="1"/>
    <col min="13321" max="13321" width="4.88671875" style="866" customWidth="1"/>
    <col min="13322" max="13322" width="7.21875" style="866" customWidth="1"/>
    <col min="13323" max="13323" width="7.109375" style="866" customWidth="1"/>
    <col min="13324" max="13324" width="7" style="866" customWidth="1"/>
    <col min="13325" max="13325" width="9.21875" style="866" customWidth="1"/>
    <col min="13326" max="13326" width="5.77734375" style="866" customWidth="1"/>
    <col min="13327" max="13327" width="6.21875" style="866" customWidth="1"/>
    <col min="13328" max="13328" width="5.21875" style="866" customWidth="1"/>
    <col min="13329" max="13329" width="6.5546875" style="866" customWidth="1"/>
    <col min="13330" max="13568" width="8.88671875" style="866"/>
    <col min="13569" max="13569" width="5.44140625" style="866" customWidth="1"/>
    <col min="13570" max="13570" width="32.44140625" style="866" customWidth="1"/>
    <col min="13571" max="13571" width="3.21875" style="866" customWidth="1"/>
    <col min="13572" max="13572" width="3.5546875" style="866" customWidth="1"/>
    <col min="13573" max="13573" width="6.5546875" style="866" customWidth="1"/>
    <col min="13574" max="13574" width="6.77734375" style="866" customWidth="1"/>
    <col min="13575" max="13575" width="6.109375" style="866" customWidth="1"/>
    <col min="13576" max="13576" width="8.88671875" style="866" customWidth="1"/>
    <col min="13577" max="13577" width="4.88671875" style="866" customWidth="1"/>
    <col min="13578" max="13578" width="7.21875" style="866" customWidth="1"/>
    <col min="13579" max="13579" width="7.109375" style="866" customWidth="1"/>
    <col min="13580" max="13580" width="7" style="866" customWidth="1"/>
    <col min="13581" max="13581" width="9.21875" style="866" customWidth="1"/>
    <col min="13582" max="13582" width="5.77734375" style="866" customWidth="1"/>
    <col min="13583" max="13583" width="6.21875" style="866" customWidth="1"/>
    <col min="13584" max="13584" width="5.21875" style="866" customWidth="1"/>
    <col min="13585" max="13585" width="6.5546875" style="866" customWidth="1"/>
    <col min="13586" max="13824" width="8.88671875" style="866"/>
    <col min="13825" max="13825" width="5.44140625" style="866" customWidth="1"/>
    <col min="13826" max="13826" width="32.44140625" style="866" customWidth="1"/>
    <col min="13827" max="13827" width="3.21875" style="866" customWidth="1"/>
    <col min="13828" max="13828" width="3.5546875" style="866" customWidth="1"/>
    <col min="13829" max="13829" width="6.5546875" style="866" customWidth="1"/>
    <col min="13830" max="13830" width="6.77734375" style="866" customWidth="1"/>
    <col min="13831" max="13831" width="6.109375" style="866" customWidth="1"/>
    <col min="13832" max="13832" width="8.88671875" style="866" customWidth="1"/>
    <col min="13833" max="13833" width="4.88671875" style="866" customWidth="1"/>
    <col min="13834" max="13834" width="7.21875" style="866" customWidth="1"/>
    <col min="13835" max="13835" width="7.109375" style="866" customWidth="1"/>
    <col min="13836" max="13836" width="7" style="866" customWidth="1"/>
    <col min="13837" max="13837" width="9.21875" style="866" customWidth="1"/>
    <col min="13838" max="13838" width="5.77734375" style="866" customWidth="1"/>
    <col min="13839" max="13839" width="6.21875" style="866" customWidth="1"/>
    <col min="13840" max="13840" width="5.21875" style="866" customWidth="1"/>
    <col min="13841" max="13841" width="6.5546875" style="866" customWidth="1"/>
    <col min="13842" max="14080" width="8.88671875" style="866"/>
    <col min="14081" max="14081" width="5.44140625" style="866" customWidth="1"/>
    <col min="14082" max="14082" width="32.44140625" style="866" customWidth="1"/>
    <col min="14083" max="14083" width="3.21875" style="866" customWidth="1"/>
    <col min="14084" max="14084" width="3.5546875" style="866" customWidth="1"/>
    <col min="14085" max="14085" width="6.5546875" style="866" customWidth="1"/>
    <col min="14086" max="14086" width="6.77734375" style="866" customWidth="1"/>
    <col min="14087" max="14087" width="6.109375" style="866" customWidth="1"/>
    <col min="14088" max="14088" width="8.88671875" style="866" customWidth="1"/>
    <col min="14089" max="14089" width="4.88671875" style="866" customWidth="1"/>
    <col min="14090" max="14090" width="7.21875" style="866" customWidth="1"/>
    <col min="14091" max="14091" width="7.109375" style="866" customWidth="1"/>
    <col min="14092" max="14092" width="7" style="866" customWidth="1"/>
    <col min="14093" max="14093" width="9.21875" style="866" customWidth="1"/>
    <col min="14094" max="14094" width="5.77734375" style="866" customWidth="1"/>
    <col min="14095" max="14095" width="6.21875" style="866" customWidth="1"/>
    <col min="14096" max="14096" width="5.21875" style="866" customWidth="1"/>
    <col min="14097" max="14097" width="6.5546875" style="866" customWidth="1"/>
    <col min="14098" max="14336" width="8.88671875" style="866"/>
    <col min="14337" max="14337" width="5.44140625" style="866" customWidth="1"/>
    <col min="14338" max="14338" width="32.44140625" style="866" customWidth="1"/>
    <col min="14339" max="14339" width="3.21875" style="866" customWidth="1"/>
    <col min="14340" max="14340" width="3.5546875" style="866" customWidth="1"/>
    <col min="14341" max="14341" width="6.5546875" style="866" customWidth="1"/>
    <col min="14342" max="14342" width="6.77734375" style="866" customWidth="1"/>
    <col min="14343" max="14343" width="6.109375" style="866" customWidth="1"/>
    <col min="14344" max="14344" width="8.88671875" style="866" customWidth="1"/>
    <col min="14345" max="14345" width="4.88671875" style="866" customWidth="1"/>
    <col min="14346" max="14346" width="7.21875" style="866" customWidth="1"/>
    <col min="14347" max="14347" width="7.109375" style="866" customWidth="1"/>
    <col min="14348" max="14348" width="7" style="866" customWidth="1"/>
    <col min="14349" max="14349" width="9.21875" style="866" customWidth="1"/>
    <col min="14350" max="14350" width="5.77734375" style="866" customWidth="1"/>
    <col min="14351" max="14351" width="6.21875" style="866" customWidth="1"/>
    <col min="14352" max="14352" width="5.21875" style="866" customWidth="1"/>
    <col min="14353" max="14353" width="6.5546875" style="866" customWidth="1"/>
    <col min="14354" max="14592" width="8.88671875" style="866"/>
    <col min="14593" max="14593" width="5.44140625" style="866" customWidth="1"/>
    <col min="14594" max="14594" width="32.44140625" style="866" customWidth="1"/>
    <col min="14595" max="14595" width="3.21875" style="866" customWidth="1"/>
    <col min="14596" max="14596" width="3.5546875" style="866" customWidth="1"/>
    <col min="14597" max="14597" width="6.5546875" style="866" customWidth="1"/>
    <col min="14598" max="14598" width="6.77734375" style="866" customWidth="1"/>
    <col min="14599" max="14599" width="6.109375" style="866" customWidth="1"/>
    <col min="14600" max="14600" width="8.88671875" style="866" customWidth="1"/>
    <col min="14601" max="14601" width="4.88671875" style="866" customWidth="1"/>
    <col min="14602" max="14602" width="7.21875" style="866" customWidth="1"/>
    <col min="14603" max="14603" width="7.109375" style="866" customWidth="1"/>
    <col min="14604" max="14604" width="7" style="866" customWidth="1"/>
    <col min="14605" max="14605" width="9.21875" style="866" customWidth="1"/>
    <col min="14606" max="14606" width="5.77734375" style="866" customWidth="1"/>
    <col min="14607" max="14607" width="6.21875" style="866" customWidth="1"/>
    <col min="14608" max="14608" width="5.21875" style="866" customWidth="1"/>
    <col min="14609" max="14609" width="6.5546875" style="866" customWidth="1"/>
    <col min="14610" max="14848" width="8.88671875" style="866"/>
    <col min="14849" max="14849" width="5.44140625" style="866" customWidth="1"/>
    <col min="14850" max="14850" width="32.44140625" style="866" customWidth="1"/>
    <col min="14851" max="14851" width="3.21875" style="866" customWidth="1"/>
    <col min="14852" max="14852" width="3.5546875" style="866" customWidth="1"/>
    <col min="14853" max="14853" width="6.5546875" style="866" customWidth="1"/>
    <col min="14854" max="14854" width="6.77734375" style="866" customWidth="1"/>
    <col min="14855" max="14855" width="6.109375" style="866" customWidth="1"/>
    <col min="14856" max="14856" width="8.88671875" style="866" customWidth="1"/>
    <col min="14857" max="14857" width="4.88671875" style="866" customWidth="1"/>
    <col min="14858" max="14858" width="7.21875" style="866" customWidth="1"/>
    <col min="14859" max="14859" width="7.109375" style="866" customWidth="1"/>
    <col min="14860" max="14860" width="7" style="866" customWidth="1"/>
    <col min="14861" max="14861" width="9.21875" style="866" customWidth="1"/>
    <col min="14862" max="14862" width="5.77734375" style="866" customWidth="1"/>
    <col min="14863" max="14863" width="6.21875" style="866" customWidth="1"/>
    <col min="14864" max="14864" width="5.21875" style="866" customWidth="1"/>
    <col min="14865" max="14865" width="6.5546875" style="866" customWidth="1"/>
    <col min="14866" max="15104" width="8.88671875" style="866"/>
    <col min="15105" max="15105" width="5.44140625" style="866" customWidth="1"/>
    <col min="15106" max="15106" width="32.44140625" style="866" customWidth="1"/>
    <col min="15107" max="15107" width="3.21875" style="866" customWidth="1"/>
    <col min="15108" max="15108" width="3.5546875" style="866" customWidth="1"/>
    <col min="15109" max="15109" width="6.5546875" style="866" customWidth="1"/>
    <col min="15110" max="15110" width="6.77734375" style="866" customWidth="1"/>
    <col min="15111" max="15111" width="6.109375" style="866" customWidth="1"/>
    <col min="15112" max="15112" width="8.88671875" style="866" customWidth="1"/>
    <col min="15113" max="15113" width="4.88671875" style="866" customWidth="1"/>
    <col min="15114" max="15114" width="7.21875" style="866" customWidth="1"/>
    <col min="15115" max="15115" width="7.109375" style="866" customWidth="1"/>
    <col min="15116" max="15116" width="7" style="866" customWidth="1"/>
    <col min="15117" max="15117" width="9.21875" style="866" customWidth="1"/>
    <col min="15118" max="15118" width="5.77734375" style="866" customWidth="1"/>
    <col min="15119" max="15119" width="6.21875" style="866" customWidth="1"/>
    <col min="15120" max="15120" width="5.21875" style="866" customWidth="1"/>
    <col min="15121" max="15121" width="6.5546875" style="866" customWidth="1"/>
    <col min="15122" max="15360" width="8.88671875" style="866"/>
    <col min="15361" max="15361" width="5.44140625" style="866" customWidth="1"/>
    <col min="15362" max="15362" width="32.44140625" style="866" customWidth="1"/>
    <col min="15363" max="15363" width="3.21875" style="866" customWidth="1"/>
    <col min="15364" max="15364" width="3.5546875" style="866" customWidth="1"/>
    <col min="15365" max="15365" width="6.5546875" style="866" customWidth="1"/>
    <col min="15366" max="15366" width="6.77734375" style="866" customWidth="1"/>
    <col min="15367" max="15367" width="6.109375" style="866" customWidth="1"/>
    <col min="15368" max="15368" width="8.88671875" style="866" customWidth="1"/>
    <col min="15369" max="15369" width="4.88671875" style="866" customWidth="1"/>
    <col min="15370" max="15370" width="7.21875" style="866" customWidth="1"/>
    <col min="15371" max="15371" width="7.109375" style="866" customWidth="1"/>
    <col min="15372" max="15372" width="7" style="866" customWidth="1"/>
    <col min="15373" max="15373" width="9.21875" style="866" customWidth="1"/>
    <col min="15374" max="15374" width="5.77734375" style="866" customWidth="1"/>
    <col min="15375" max="15375" width="6.21875" style="866" customWidth="1"/>
    <col min="15376" max="15376" width="5.21875" style="866" customWidth="1"/>
    <col min="15377" max="15377" width="6.5546875" style="866" customWidth="1"/>
    <col min="15378" max="15616" width="8.88671875" style="866"/>
    <col min="15617" max="15617" width="5.44140625" style="866" customWidth="1"/>
    <col min="15618" max="15618" width="32.44140625" style="866" customWidth="1"/>
    <col min="15619" max="15619" width="3.21875" style="866" customWidth="1"/>
    <col min="15620" max="15620" width="3.5546875" style="866" customWidth="1"/>
    <col min="15621" max="15621" width="6.5546875" style="866" customWidth="1"/>
    <col min="15622" max="15622" width="6.77734375" style="866" customWidth="1"/>
    <col min="15623" max="15623" width="6.109375" style="866" customWidth="1"/>
    <col min="15624" max="15624" width="8.88671875" style="866" customWidth="1"/>
    <col min="15625" max="15625" width="4.88671875" style="866" customWidth="1"/>
    <col min="15626" max="15626" width="7.21875" style="866" customWidth="1"/>
    <col min="15627" max="15627" width="7.109375" style="866" customWidth="1"/>
    <col min="15628" max="15628" width="7" style="866" customWidth="1"/>
    <col min="15629" max="15629" width="9.21875" style="866" customWidth="1"/>
    <col min="15630" max="15630" width="5.77734375" style="866" customWidth="1"/>
    <col min="15631" max="15631" width="6.21875" style="866" customWidth="1"/>
    <col min="15632" max="15632" width="5.21875" style="866" customWidth="1"/>
    <col min="15633" max="15633" width="6.5546875" style="866" customWidth="1"/>
    <col min="15634" max="15872" width="8.88671875" style="866"/>
    <col min="15873" max="15873" width="5.44140625" style="866" customWidth="1"/>
    <col min="15874" max="15874" width="32.44140625" style="866" customWidth="1"/>
    <col min="15875" max="15875" width="3.21875" style="866" customWidth="1"/>
    <col min="15876" max="15876" width="3.5546875" style="866" customWidth="1"/>
    <col min="15877" max="15877" width="6.5546875" style="866" customWidth="1"/>
    <col min="15878" max="15878" width="6.77734375" style="866" customWidth="1"/>
    <col min="15879" max="15879" width="6.109375" style="866" customWidth="1"/>
    <col min="15880" max="15880" width="8.88671875" style="866" customWidth="1"/>
    <col min="15881" max="15881" width="4.88671875" style="866" customWidth="1"/>
    <col min="15882" max="15882" width="7.21875" style="866" customWidth="1"/>
    <col min="15883" max="15883" width="7.109375" style="866" customWidth="1"/>
    <col min="15884" max="15884" width="7" style="866" customWidth="1"/>
    <col min="15885" max="15885" width="9.21875" style="866" customWidth="1"/>
    <col min="15886" max="15886" width="5.77734375" style="866" customWidth="1"/>
    <col min="15887" max="15887" width="6.21875" style="866" customWidth="1"/>
    <col min="15888" max="15888" width="5.21875" style="866" customWidth="1"/>
    <col min="15889" max="15889" width="6.5546875" style="866" customWidth="1"/>
    <col min="15890" max="16128" width="8.88671875" style="866"/>
    <col min="16129" max="16129" width="5.44140625" style="866" customWidth="1"/>
    <col min="16130" max="16130" width="32.44140625" style="866" customWidth="1"/>
    <col min="16131" max="16131" width="3.21875" style="866" customWidth="1"/>
    <col min="16132" max="16132" width="3.5546875" style="866" customWidth="1"/>
    <col min="16133" max="16133" width="6.5546875" style="866" customWidth="1"/>
    <col min="16134" max="16134" width="6.77734375" style="866" customWidth="1"/>
    <col min="16135" max="16135" width="6.109375" style="866" customWidth="1"/>
    <col min="16136" max="16136" width="8.88671875" style="866" customWidth="1"/>
    <col min="16137" max="16137" width="4.88671875" style="866" customWidth="1"/>
    <col min="16138" max="16138" width="7.21875" style="866" customWidth="1"/>
    <col min="16139" max="16139" width="7.109375" style="866" customWidth="1"/>
    <col min="16140" max="16140" width="7" style="866" customWidth="1"/>
    <col min="16141" max="16141" width="9.21875" style="866" customWidth="1"/>
    <col min="16142" max="16142" width="5.77734375" style="866" customWidth="1"/>
    <col min="16143" max="16143" width="6.21875" style="866" customWidth="1"/>
    <col min="16144" max="16144" width="5.21875" style="866" customWidth="1"/>
    <col min="16145" max="16145" width="6.5546875" style="866" customWidth="1"/>
    <col min="16146" max="16384" width="8.88671875" style="866"/>
  </cols>
  <sheetData>
    <row r="1" spans="1:255" ht="18.75">
      <c r="A1" s="1470" t="s">
        <v>2053</v>
      </c>
      <c r="B1" s="1470"/>
      <c r="C1" s="1470"/>
      <c r="D1" s="1470"/>
      <c r="E1" s="1470"/>
      <c r="F1" s="1470"/>
      <c r="G1" s="1470"/>
      <c r="H1" s="1470"/>
      <c r="I1" s="1470"/>
    </row>
    <row r="2" spans="1:255" ht="18.75">
      <c r="A2" s="1470" t="s">
        <v>1</v>
      </c>
      <c r="B2" s="1470"/>
      <c r="C2" s="1470"/>
      <c r="D2" s="1470"/>
      <c r="E2" s="1470"/>
      <c r="F2" s="1470"/>
      <c r="G2" s="1470"/>
      <c r="H2" s="1470"/>
      <c r="I2" s="1470"/>
    </row>
    <row r="3" spans="1:255" ht="21" customHeight="1">
      <c r="A3" s="1471" t="s">
        <v>2054</v>
      </c>
      <c r="B3" s="1471"/>
      <c r="C3" s="1471"/>
      <c r="D3" s="1471"/>
      <c r="E3" s="1471"/>
      <c r="F3" s="1471"/>
      <c r="G3" s="1471"/>
      <c r="H3" s="1471"/>
      <c r="I3" s="1471"/>
    </row>
    <row r="4" spans="1:255" ht="60" customHeight="1">
      <c r="A4" s="1472" t="s">
        <v>2055</v>
      </c>
      <c r="B4" s="1472"/>
      <c r="C4" s="1472"/>
      <c r="D4" s="1472"/>
      <c r="E4" s="1472"/>
      <c r="F4" s="1472"/>
      <c r="G4" s="1472"/>
      <c r="H4" s="1472"/>
      <c r="I4" s="1472"/>
      <c r="J4" s="867"/>
      <c r="K4" s="867"/>
      <c r="L4" s="867"/>
      <c r="M4" s="867"/>
      <c r="N4" s="867"/>
      <c r="O4" s="867"/>
      <c r="P4" s="867"/>
      <c r="Q4" s="867"/>
      <c r="R4" s="867"/>
      <c r="S4" s="867"/>
      <c r="T4" s="867"/>
      <c r="U4" s="867"/>
      <c r="V4" s="867"/>
      <c r="W4" s="867"/>
      <c r="X4" s="867"/>
    </row>
    <row r="5" spans="1:255" ht="30" customHeight="1">
      <c r="A5" s="1473" t="s">
        <v>72</v>
      </c>
      <c r="B5" s="1473"/>
      <c r="C5" s="1473"/>
      <c r="D5" s="1473"/>
      <c r="E5" s="1473"/>
      <c r="F5" s="1473"/>
      <c r="G5" s="1473"/>
      <c r="H5" s="1473"/>
      <c r="I5" s="1473"/>
    </row>
    <row r="6" spans="1:255" ht="23.25" customHeight="1">
      <c r="A6" s="1474" t="s">
        <v>87</v>
      </c>
      <c r="B6" s="1475" t="s">
        <v>1231</v>
      </c>
      <c r="C6" s="1475" t="s">
        <v>213</v>
      </c>
      <c r="D6" s="1475"/>
      <c r="E6" s="1476" t="s">
        <v>2056</v>
      </c>
      <c r="F6" s="1476"/>
      <c r="G6" s="1476"/>
      <c r="H6" s="1477" t="s">
        <v>77</v>
      </c>
      <c r="I6" s="1468" t="s">
        <v>215</v>
      </c>
      <c r="K6" s="868"/>
      <c r="L6" s="868"/>
      <c r="M6" s="868"/>
      <c r="N6" s="868"/>
      <c r="O6" s="868"/>
      <c r="P6" s="868"/>
      <c r="Q6" s="868"/>
      <c r="R6" s="868"/>
      <c r="S6" s="868"/>
      <c r="T6" s="868"/>
      <c r="U6" s="868"/>
      <c r="V6" s="868"/>
      <c r="W6" s="868"/>
      <c r="X6" s="868"/>
      <c r="Y6" s="868"/>
      <c r="Z6" s="868"/>
      <c r="AA6" s="868"/>
      <c r="AB6" s="868"/>
      <c r="AC6" s="868"/>
      <c r="AD6" s="868"/>
      <c r="AE6" s="868"/>
      <c r="AF6" s="868"/>
      <c r="AG6" s="868"/>
      <c r="AH6" s="868"/>
      <c r="AI6" s="868"/>
      <c r="AJ6" s="868"/>
      <c r="AK6" s="868"/>
      <c r="AL6" s="868"/>
      <c r="AM6" s="868"/>
      <c r="AN6" s="868"/>
      <c r="AO6" s="868"/>
      <c r="AP6" s="868"/>
      <c r="AQ6" s="868"/>
      <c r="AR6" s="868"/>
      <c r="AS6" s="868"/>
      <c r="AT6" s="868"/>
      <c r="AU6" s="868"/>
      <c r="AV6" s="868"/>
      <c r="AW6" s="868"/>
      <c r="AX6" s="868"/>
      <c r="AY6" s="868"/>
      <c r="AZ6" s="868"/>
      <c r="BA6" s="868"/>
      <c r="BB6" s="868"/>
      <c r="BC6" s="868"/>
      <c r="BD6" s="868"/>
      <c r="BE6" s="868"/>
      <c r="BF6" s="868"/>
      <c r="BG6" s="868"/>
      <c r="BH6" s="868"/>
      <c r="BI6" s="868"/>
      <c r="BJ6" s="868"/>
      <c r="BK6" s="868"/>
      <c r="BL6" s="868"/>
      <c r="BM6" s="868"/>
      <c r="BN6" s="868"/>
      <c r="BO6" s="868"/>
      <c r="BP6" s="868"/>
      <c r="BQ6" s="868"/>
      <c r="BR6" s="868"/>
      <c r="BS6" s="868"/>
      <c r="BT6" s="868"/>
      <c r="BU6" s="868"/>
      <c r="BV6" s="868"/>
      <c r="BW6" s="868"/>
      <c r="BX6" s="868"/>
      <c r="BY6" s="868"/>
      <c r="BZ6" s="868"/>
      <c r="CA6" s="868"/>
      <c r="CB6" s="868"/>
      <c r="CC6" s="868"/>
      <c r="CD6" s="868"/>
      <c r="CE6" s="868"/>
      <c r="CF6" s="868"/>
      <c r="CG6" s="868"/>
      <c r="CH6" s="868"/>
      <c r="CI6" s="868"/>
      <c r="CJ6" s="868"/>
      <c r="CK6" s="868"/>
      <c r="CL6" s="868"/>
      <c r="CM6" s="868"/>
      <c r="CN6" s="868"/>
      <c r="CO6" s="868"/>
      <c r="CP6" s="868"/>
      <c r="CQ6" s="868"/>
      <c r="CR6" s="868"/>
      <c r="CS6" s="868"/>
      <c r="CT6" s="868"/>
      <c r="CU6" s="868"/>
      <c r="CV6" s="868"/>
      <c r="CW6" s="868"/>
      <c r="CX6" s="868"/>
      <c r="CY6" s="868"/>
      <c r="CZ6" s="868"/>
      <c r="DA6" s="868"/>
      <c r="DB6" s="868"/>
      <c r="DC6" s="868"/>
      <c r="DD6" s="868"/>
      <c r="DE6" s="868"/>
      <c r="DF6" s="868"/>
      <c r="DG6" s="868"/>
      <c r="DH6" s="868"/>
      <c r="DI6" s="868"/>
      <c r="DJ6" s="868"/>
      <c r="DK6" s="868"/>
      <c r="DL6" s="868"/>
      <c r="DM6" s="868"/>
      <c r="DN6" s="868"/>
      <c r="DO6" s="868"/>
      <c r="DP6" s="868"/>
      <c r="DQ6" s="868"/>
      <c r="DR6" s="868"/>
      <c r="DS6" s="868"/>
      <c r="DT6" s="868"/>
      <c r="DU6" s="868"/>
      <c r="DV6" s="868"/>
      <c r="DW6" s="868"/>
      <c r="DX6" s="868"/>
      <c r="DY6" s="868"/>
      <c r="DZ6" s="868"/>
      <c r="EA6" s="868"/>
      <c r="EB6" s="868"/>
      <c r="EC6" s="868"/>
      <c r="ED6" s="868"/>
      <c r="EE6" s="868"/>
      <c r="EF6" s="868"/>
      <c r="EG6" s="868"/>
      <c r="EH6" s="868"/>
      <c r="EI6" s="868"/>
      <c r="EJ6" s="868"/>
      <c r="EK6" s="868"/>
      <c r="EL6" s="868"/>
      <c r="EM6" s="868"/>
      <c r="EN6" s="868"/>
      <c r="EO6" s="868"/>
      <c r="EP6" s="868"/>
      <c r="EQ6" s="868"/>
      <c r="ER6" s="868"/>
      <c r="ES6" s="868"/>
      <c r="ET6" s="868"/>
      <c r="EU6" s="868"/>
      <c r="EV6" s="868"/>
      <c r="EW6" s="868"/>
      <c r="EX6" s="868"/>
      <c r="EY6" s="868"/>
      <c r="EZ6" s="868"/>
      <c r="FA6" s="868"/>
      <c r="FB6" s="868"/>
      <c r="FC6" s="868"/>
      <c r="FD6" s="868"/>
      <c r="FE6" s="868"/>
      <c r="FF6" s="868"/>
      <c r="FG6" s="868"/>
      <c r="FH6" s="868"/>
      <c r="FI6" s="868"/>
      <c r="FJ6" s="868"/>
      <c r="FK6" s="868"/>
      <c r="FL6" s="868"/>
      <c r="FM6" s="868"/>
      <c r="FN6" s="868"/>
      <c r="FO6" s="868"/>
      <c r="FP6" s="868"/>
      <c r="FQ6" s="868"/>
      <c r="FR6" s="868"/>
      <c r="FS6" s="868"/>
      <c r="FT6" s="868"/>
      <c r="FU6" s="868"/>
      <c r="FV6" s="868"/>
      <c r="FW6" s="868"/>
      <c r="FX6" s="868"/>
      <c r="FY6" s="868"/>
      <c r="FZ6" s="868"/>
      <c r="GA6" s="868"/>
      <c r="GB6" s="868"/>
      <c r="GC6" s="868"/>
      <c r="GD6" s="868"/>
      <c r="GE6" s="868"/>
      <c r="GF6" s="868"/>
      <c r="GG6" s="868"/>
      <c r="GH6" s="868"/>
      <c r="GI6" s="868"/>
      <c r="GJ6" s="868"/>
      <c r="GK6" s="868"/>
      <c r="GL6" s="868"/>
      <c r="GM6" s="868"/>
      <c r="GN6" s="868"/>
      <c r="GO6" s="868"/>
      <c r="GP6" s="868"/>
      <c r="GQ6" s="868"/>
      <c r="GR6" s="868"/>
      <c r="GS6" s="868"/>
      <c r="GT6" s="868"/>
      <c r="GU6" s="868"/>
      <c r="GV6" s="868"/>
      <c r="GW6" s="868"/>
      <c r="GX6" s="868"/>
      <c r="GY6" s="868"/>
      <c r="GZ6" s="868"/>
      <c r="HA6" s="868"/>
      <c r="HB6" s="868"/>
      <c r="HC6" s="868"/>
      <c r="HD6" s="868"/>
      <c r="HE6" s="868"/>
      <c r="HF6" s="868"/>
      <c r="HG6" s="868"/>
      <c r="HH6" s="868"/>
      <c r="HI6" s="868"/>
      <c r="HJ6" s="868"/>
      <c r="HK6" s="868"/>
      <c r="HL6" s="868"/>
      <c r="HM6" s="868"/>
      <c r="HN6" s="868"/>
      <c r="HO6" s="868"/>
      <c r="HP6" s="868"/>
      <c r="HQ6" s="868"/>
      <c r="HR6" s="868"/>
      <c r="HS6" s="868"/>
      <c r="HT6" s="868"/>
      <c r="HU6" s="868"/>
      <c r="HV6" s="868"/>
      <c r="HW6" s="868"/>
      <c r="HX6" s="868"/>
      <c r="HY6" s="868"/>
      <c r="HZ6" s="868"/>
      <c r="IA6" s="868"/>
      <c r="IB6" s="868"/>
      <c r="IC6" s="868"/>
      <c r="ID6" s="868"/>
      <c r="IE6" s="868"/>
      <c r="IF6" s="868"/>
      <c r="IG6" s="868"/>
      <c r="IH6" s="868"/>
      <c r="II6" s="868"/>
      <c r="IJ6" s="868"/>
      <c r="IK6" s="868"/>
      <c r="IL6" s="868"/>
      <c r="IM6" s="868"/>
      <c r="IN6" s="868"/>
      <c r="IO6" s="868"/>
      <c r="IP6" s="868"/>
      <c r="IQ6" s="868"/>
      <c r="IR6" s="868"/>
      <c r="IS6" s="868"/>
      <c r="IT6" s="868"/>
      <c r="IU6" s="868"/>
    </row>
    <row r="7" spans="1:255" ht="23.25" customHeight="1">
      <c r="A7" s="1474"/>
      <c r="B7" s="1475"/>
      <c r="C7" s="1475"/>
      <c r="D7" s="1475"/>
      <c r="E7" s="869" t="s">
        <v>5</v>
      </c>
      <c r="F7" s="870" t="s">
        <v>205</v>
      </c>
      <c r="G7" s="869" t="s">
        <v>7</v>
      </c>
      <c r="H7" s="1477"/>
      <c r="I7" s="1468"/>
      <c r="K7" s="868"/>
      <c r="L7" s="868"/>
      <c r="M7" s="868"/>
      <c r="N7" s="868"/>
      <c r="O7" s="868"/>
      <c r="P7" s="868"/>
      <c r="Q7" s="868"/>
      <c r="R7" s="868"/>
      <c r="S7" s="868"/>
      <c r="T7" s="868"/>
      <c r="U7" s="868"/>
      <c r="V7" s="868"/>
      <c r="W7" s="868"/>
      <c r="X7" s="868"/>
      <c r="Y7" s="868"/>
      <c r="Z7" s="868"/>
      <c r="AA7" s="868"/>
      <c r="AB7" s="868"/>
      <c r="AC7" s="868"/>
      <c r="AD7" s="868"/>
      <c r="AE7" s="868"/>
      <c r="AF7" s="868"/>
      <c r="AG7" s="868"/>
      <c r="AH7" s="868"/>
      <c r="AI7" s="868"/>
      <c r="AJ7" s="868"/>
      <c r="AK7" s="868"/>
      <c r="AL7" s="868"/>
      <c r="AM7" s="868"/>
      <c r="AN7" s="868"/>
      <c r="AO7" s="868"/>
      <c r="AP7" s="868"/>
      <c r="AQ7" s="868"/>
      <c r="AR7" s="868"/>
      <c r="AS7" s="868"/>
      <c r="AT7" s="868"/>
      <c r="AU7" s="868"/>
      <c r="AV7" s="868"/>
      <c r="AW7" s="868"/>
      <c r="AX7" s="868"/>
      <c r="AY7" s="868"/>
      <c r="AZ7" s="868"/>
      <c r="BA7" s="868"/>
      <c r="BB7" s="868"/>
      <c r="BC7" s="868"/>
      <c r="BD7" s="868"/>
      <c r="BE7" s="868"/>
      <c r="BF7" s="868"/>
      <c r="BG7" s="868"/>
      <c r="BH7" s="868"/>
      <c r="BI7" s="868"/>
      <c r="BJ7" s="868"/>
      <c r="BK7" s="868"/>
      <c r="BL7" s="868"/>
      <c r="BM7" s="868"/>
      <c r="BN7" s="868"/>
      <c r="BO7" s="868"/>
      <c r="BP7" s="868"/>
      <c r="BQ7" s="868"/>
      <c r="BR7" s="868"/>
      <c r="BS7" s="868"/>
      <c r="BT7" s="868"/>
      <c r="BU7" s="868"/>
      <c r="BV7" s="868"/>
      <c r="BW7" s="868"/>
      <c r="BX7" s="868"/>
      <c r="BY7" s="868"/>
      <c r="BZ7" s="868"/>
      <c r="CA7" s="868"/>
      <c r="CB7" s="868"/>
      <c r="CC7" s="868"/>
      <c r="CD7" s="868"/>
      <c r="CE7" s="868"/>
      <c r="CF7" s="868"/>
      <c r="CG7" s="868"/>
      <c r="CH7" s="868"/>
      <c r="CI7" s="868"/>
      <c r="CJ7" s="868"/>
      <c r="CK7" s="868"/>
      <c r="CL7" s="868"/>
      <c r="CM7" s="868"/>
      <c r="CN7" s="868"/>
      <c r="CO7" s="868"/>
      <c r="CP7" s="868"/>
      <c r="CQ7" s="868"/>
      <c r="CR7" s="868"/>
      <c r="CS7" s="868"/>
      <c r="CT7" s="868"/>
      <c r="CU7" s="868"/>
      <c r="CV7" s="868"/>
      <c r="CW7" s="868"/>
      <c r="CX7" s="868"/>
      <c r="CY7" s="868"/>
      <c r="CZ7" s="868"/>
      <c r="DA7" s="868"/>
      <c r="DB7" s="868"/>
      <c r="DC7" s="868"/>
      <c r="DD7" s="868"/>
      <c r="DE7" s="868"/>
      <c r="DF7" s="868"/>
      <c r="DG7" s="868"/>
      <c r="DH7" s="868"/>
      <c r="DI7" s="868"/>
      <c r="DJ7" s="868"/>
      <c r="DK7" s="868"/>
      <c r="DL7" s="868"/>
      <c r="DM7" s="868"/>
      <c r="DN7" s="868"/>
      <c r="DO7" s="868"/>
      <c r="DP7" s="868"/>
      <c r="DQ7" s="868"/>
      <c r="DR7" s="868"/>
      <c r="DS7" s="868"/>
      <c r="DT7" s="868"/>
      <c r="DU7" s="868"/>
      <c r="DV7" s="868"/>
      <c r="DW7" s="868"/>
      <c r="DX7" s="868"/>
      <c r="DY7" s="868"/>
      <c r="DZ7" s="868"/>
      <c r="EA7" s="868"/>
      <c r="EB7" s="868"/>
      <c r="EC7" s="868"/>
      <c r="ED7" s="868"/>
      <c r="EE7" s="868"/>
      <c r="EF7" s="868"/>
      <c r="EG7" s="868"/>
      <c r="EH7" s="868"/>
      <c r="EI7" s="868"/>
      <c r="EJ7" s="868"/>
      <c r="EK7" s="868"/>
      <c r="EL7" s="868"/>
      <c r="EM7" s="868"/>
      <c r="EN7" s="868"/>
      <c r="EO7" s="868"/>
      <c r="EP7" s="868"/>
      <c r="EQ7" s="868"/>
      <c r="ER7" s="868"/>
      <c r="ES7" s="868"/>
      <c r="ET7" s="868"/>
      <c r="EU7" s="868"/>
      <c r="EV7" s="868"/>
      <c r="EW7" s="868"/>
      <c r="EX7" s="868"/>
      <c r="EY7" s="868"/>
      <c r="EZ7" s="868"/>
      <c r="FA7" s="868"/>
      <c r="FB7" s="868"/>
      <c r="FC7" s="868"/>
      <c r="FD7" s="868"/>
      <c r="FE7" s="868"/>
      <c r="FF7" s="868"/>
      <c r="FG7" s="868"/>
      <c r="FH7" s="868"/>
      <c r="FI7" s="868"/>
      <c r="FJ7" s="868"/>
      <c r="FK7" s="868"/>
      <c r="FL7" s="868"/>
      <c r="FM7" s="868"/>
      <c r="FN7" s="868"/>
      <c r="FO7" s="868"/>
      <c r="FP7" s="868"/>
      <c r="FQ7" s="868"/>
      <c r="FR7" s="868"/>
      <c r="FS7" s="868"/>
      <c r="FT7" s="868"/>
      <c r="FU7" s="868"/>
      <c r="FV7" s="868"/>
      <c r="FW7" s="868"/>
      <c r="FX7" s="868"/>
      <c r="FY7" s="868"/>
      <c r="FZ7" s="868"/>
      <c r="GA7" s="868"/>
      <c r="GB7" s="868"/>
      <c r="GC7" s="868"/>
      <c r="GD7" s="868"/>
      <c r="GE7" s="868"/>
      <c r="GF7" s="868"/>
      <c r="GG7" s="868"/>
      <c r="GH7" s="868"/>
      <c r="GI7" s="868"/>
      <c r="GJ7" s="868"/>
      <c r="GK7" s="868"/>
      <c r="GL7" s="868"/>
      <c r="GM7" s="868"/>
      <c r="GN7" s="868"/>
      <c r="GO7" s="868"/>
      <c r="GP7" s="868"/>
      <c r="GQ7" s="868"/>
      <c r="GR7" s="868"/>
      <c r="GS7" s="868"/>
      <c r="GT7" s="868"/>
      <c r="GU7" s="868"/>
      <c r="GV7" s="868"/>
      <c r="GW7" s="868"/>
      <c r="GX7" s="868"/>
      <c r="GY7" s="868"/>
      <c r="GZ7" s="868"/>
      <c r="HA7" s="868"/>
      <c r="HB7" s="868"/>
      <c r="HC7" s="868"/>
      <c r="HD7" s="868"/>
      <c r="HE7" s="868"/>
      <c r="HF7" s="868"/>
      <c r="HG7" s="868"/>
      <c r="HH7" s="868"/>
      <c r="HI7" s="868"/>
      <c r="HJ7" s="868"/>
      <c r="HK7" s="868"/>
      <c r="HL7" s="868"/>
      <c r="HM7" s="868"/>
      <c r="HN7" s="868"/>
      <c r="HO7" s="868"/>
      <c r="HP7" s="868"/>
      <c r="HQ7" s="868"/>
      <c r="HR7" s="868"/>
      <c r="HS7" s="868"/>
      <c r="HT7" s="868"/>
      <c r="HU7" s="868"/>
      <c r="HV7" s="868"/>
      <c r="HW7" s="868"/>
      <c r="HX7" s="868"/>
      <c r="HY7" s="868"/>
      <c r="HZ7" s="868"/>
      <c r="IA7" s="868"/>
      <c r="IB7" s="868"/>
      <c r="IC7" s="868"/>
      <c r="ID7" s="868"/>
      <c r="IE7" s="868"/>
      <c r="IF7" s="868"/>
      <c r="IG7" s="868"/>
      <c r="IH7" s="868"/>
      <c r="II7" s="868"/>
      <c r="IJ7" s="868"/>
      <c r="IK7" s="868"/>
      <c r="IL7" s="868"/>
      <c r="IM7" s="868"/>
      <c r="IN7" s="868"/>
      <c r="IO7" s="868"/>
      <c r="IP7" s="868"/>
      <c r="IQ7" s="868"/>
      <c r="IR7" s="868"/>
      <c r="IS7" s="868"/>
      <c r="IT7" s="868"/>
      <c r="IU7" s="868"/>
    </row>
    <row r="8" spans="1:255" ht="54" customHeight="1">
      <c r="A8" s="871">
        <v>1.1000000000000001</v>
      </c>
      <c r="B8" s="872" t="s">
        <v>2057</v>
      </c>
      <c r="C8" s="873"/>
      <c r="D8" s="873"/>
      <c r="E8" s="874"/>
      <c r="F8" s="873"/>
      <c r="G8" s="875"/>
      <c r="H8" s="876"/>
      <c r="I8" s="877"/>
    </row>
    <row r="9" spans="1:255">
      <c r="A9" s="871" t="s">
        <v>2058</v>
      </c>
      <c r="B9" s="878" t="s">
        <v>2059</v>
      </c>
      <c r="C9" s="873"/>
      <c r="D9" s="873"/>
      <c r="E9" s="874"/>
      <c r="F9" s="873"/>
      <c r="G9" s="875"/>
      <c r="H9" s="876"/>
      <c r="I9" s="877"/>
    </row>
    <row r="10" spans="1:255" s="882" customFormat="1" ht="17.25">
      <c r="A10" s="879"/>
      <c r="B10" s="880" t="s">
        <v>635</v>
      </c>
      <c r="C10" s="879"/>
      <c r="D10" s="879"/>
      <c r="E10" s="879"/>
      <c r="F10" s="879"/>
      <c r="G10" s="881"/>
      <c r="H10" s="876"/>
      <c r="I10" s="879"/>
    </row>
    <row r="11" spans="1:255" s="882" customFormat="1" ht="17.25">
      <c r="A11" s="879"/>
      <c r="B11" s="883" t="s">
        <v>2060</v>
      </c>
      <c r="C11" s="879">
        <f>'[12]det -detail'!E38</f>
        <v>1</v>
      </c>
      <c r="D11" s="879">
        <v>6</v>
      </c>
      <c r="E11" s="881">
        <v>1.8</v>
      </c>
      <c r="F11" s="881">
        <f>E11</f>
        <v>1.8</v>
      </c>
      <c r="G11" s="881">
        <v>2</v>
      </c>
      <c r="H11" s="876">
        <f>PRODUCT(C11:G11)</f>
        <v>38.880000000000003</v>
      </c>
      <c r="I11" s="884"/>
      <c r="J11" s="885">
        <f>I11+0.15</f>
        <v>0.15</v>
      </c>
      <c r="K11" s="885">
        <f>I11*4</f>
        <v>0</v>
      </c>
    </row>
    <row r="12" spans="1:255" s="882" customFormat="1" ht="17.25">
      <c r="A12" s="879"/>
      <c r="B12" s="883" t="s">
        <v>2061</v>
      </c>
      <c r="C12" s="879">
        <v>1</v>
      </c>
      <c r="D12" s="879">
        <v>9</v>
      </c>
      <c r="E12" s="881">
        <v>1.5</v>
      </c>
      <c r="F12" s="881">
        <f>E12</f>
        <v>1.5</v>
      </c>
      <c r="G12" s="881">
        <v>2</v>
      </c>
      <c r="H12" s="876">
        <f>PRODUCT(C12:G12)</f>
        <v>40.5</v>
      </c>
      <c r="I12" s="884"/>
      <c r="J12" s="885">
        <f>I12+0.15</f>
        <v>0.15</v>
      </c>
      <c r="K12" s="885">
        <f>I12*4</f>
        <v>0</v>
      </c>
    </row>
    <row r="13" spans="1:255" s="882" customFormat="1" ht="17.25">
      <c r="A13" s="879"/>
      <c r="B13" s="883" t="s">
        <v>2062</v>
      </c>
      <c r="C13" s="879">
        <v>1</v>
      </c>
      <c r="D13" s="879">
        <v>2</v>
      </c>
      <c r="E13" s="881">
        <v>1.1499999999999999</v>
      </c>
      <c r="F13" s="881">
        <v>1.1499999999999999</v>
      </c>
      <c r="G13" s="881">
        <v>2</v>
      </c>
      <c r="H13" s="876">
        <f>PRODUCT(C13:G13)</f>
        <v>5.2899999999999991</v>
      </c>
      <c r="I13" s="884"/>
      <c r="J13" s="885">
        <f>I13+0.15</f>
        <v>0.15</v>
      </c>
      <c r="K13" s="885">
        <f>I13*4</f>
        <v>0</v>
      </c>
    </row>
    <row r="14" spans="1:255">
      <c r="A14" s="871"/>
      <c r="B14" s="886" t="s">
        <v>2063</v>
      </c>
      <c r="C14" s="887">
        <v>1</v>
      </c>
      <c r="D14" s="887">
        <v>1</v>
      </c>
      <c r="E14" s="888">
        <v>40.72</v>
      </c>
      <c r="F14" s="889">
        <v>0.38</v>
      </c>
      <c r="G14" s="876">
        <v>0.6</v>
      </c>
      <c r="H14" s="876">
        <f t="shared" ref="H14:H21" si="0">PRODUCT(C14:G14)</f>
        <v>9.28416</v>
      </c>
      <c r="I14" s="877"/>
      <c r="J14" s="890">
        <v>40.72</v>
      </c>
      <c r="K14" s="865">
        <f>11.82+9+9+2.33+2.33+11.8</f>
        <v>46.28</v>
      </c>
      <c r="M14" s="865">
        <f>11.82+8.54+8.54+11.82</f>
        <v>40.72</v>
      </c>
      <c r="O14" s="865">
        <f>9-0.46</f>
        <v>8.5399999999999991</v>
      </c>
    </row>
    <row r="15" spans="1:255">
      <c r="A15" s="871"/>
      <c r="B15" s="891" t="s">
        <v>2064</v>
      </c>
      <c r="C15" s="873">
        <v>1</v>
      </c>
      <c r="D15" s="873">
        <v>1</v>
      </c>
      <c r="E15" s="888">
        <f>(0.97+0.23+4.32+0.23)*2+4.04</f>
        <v>15.540000000000003</v>
      </c>
      <c r="F15" s="889">
        <f t="shared" ref="F15:F24" si="1">0.23+0.15</f>
        <v>0.38</v>
      </c>
      <c r="G15" s="876">
        <v>0.6</v>
      </c>
      <c r="H15" s="876">
        <f t="shared" si="0"/>
        <v>3.5431200000000005</v>
      </c>
      <c r="I15" s="877"/>
      <c r="J15" s="890">
        <v>15.39</v>
      </c>
    </row>
    <row r="16" spans="1:255" ht="31.5">
      <c r="A16" s="871"/>
      <c r="B16" s="891" t="s">
        <v>2065</v>
      </c>
      <c r="C16" s="873">
        <v>1</v>
      </c>
      <c r="D16" s="873">
        <v>1</v>
      </c>
      <c r="E16" s="888">
        <v>3.93</v>
      </c>
      <c r="F16" s="889">
        <f t="shared" si="1"/>
        <v>0.38</v>
      </c>
      <c r="G16" s="876">
        <v>0.6</v>
      </c>
      <c r="H16" s="876">
        <f t="shared" si="0"/>
        <v>0.89604000000000006</v>
      </c>
      <c r="I16" s="877"/>
      <c r="J16" s="890"/>
    </row>
    <row r="17" spans="1:11" ht="31.5">
      <c r="A17" s="871"/>
      <c r="B17" s="891" t="s">
        <v>2066</v>
      </c>
      <c r="C17" s="873">
        <v>1</v>
      </c>
      <c r="D17" s="873">
        <v>1</v>
      </c>
      <c r="E17" s="888">
        <v>3.93</v>
      </c>
      <c r="F17" s="888">
        <f t="shared" si="1"/>
        <v>0.38</v>
      </c>
      <c r="G17" s="876">
        <v>0.6</v>
      </c>
      <c r="H17" s="876">
        <f t="shared" si="0"/>
        <v>0.89604000000000006</v>
      </c>
      <c r="I17" s="877"/>
      <c r="J17" s="890"/>
    </row>
    <row r="18" spans="1:11" ht="31.5">
      <c r="A18" s="871"/>
      <c r="B18" s="891" t="s">
        <v>2067</v>
      </c>
      <c r="C18" s="873">
        <v>1</v>
      </c>
      <c r="D18" s="873">
        <v>3</v>
      </c>
      <c r="E18" s="888">
        <v>4.3899999999999997</v>
      </c>
      <c r="F18" s="888">
        <f t="shared" si="1"/>
        <v>0.38</v>
      </c>
      <c r="G18" s="876">
        <v>0.6</v>
      </c>
      <c r="H18" s="876">
        <f t="shared" si="0"/>
        <v>3.0027599999999994</v>
      </c>
      <c r="I18" s="877"/>
      <c r="J18" s="890"/>
    </row>
    <row r="19" spans="1:11">
      <c r="A19" s="871"/>
      <c r="B19" s="891" t="s">
        <v>2068</v>
      </c>
      <c r="C19" s="873">
        <v>1</v>
      </c>
      <c r="D19" s="873">
        <v>1</v>
      </c>
      <c r="E19" s="888">
        <v>8.73</v>
      </c>
      <c r="F19" s="888">
        <f t="shared" si="1"/>
        <v>0.38</v>
      </c>
      <c r="G19" s="876">
        <v>0.6</v>
      </c>
      <c r="H19" s="876">
        <f t="shared" si="0"/>
        <v>1.99044</v>
      </c>
      <c r="I19" s="877"/>
      <c r="J19" s="890">
        <v>11.21</v>
      </c>
    </row>
    <row r="20" spans="1:11">
      <c r="A20" s="871"/>
      <c r="B20" s="891" t="s">
        <v>2069</v>
      </c>
      <c r="C20" s="873">
        <v>1</v>
      </c>
      <c r="D20" s="873">
        <v>1</v>
      </c>
      <c r="E20" s="888">
        <v>10.9</v>
      </c>
      <c r="F20" s="888">
        <f t="shared" si="1"/>
        <v>0.38</v>
      </c>
      <c r="G20" s="876">
        <v>0.6</v>
      </c>
      <c r="H20" s="876">
        <f t="shared" si="0"/>
        <v>2.4852000000000003</v>
      </c>
      <c r="I20" s="877"/>
      <c r="J20" s="890"/>
    </row>
    <row r="21" spans="1:11">
      <c r="A21" s="871"/>
      <c r="B21" s="891" t="s">
        <v>2070</v>
      </c>
      <c r="C21" s="873">
        <v>1</v>
      </c>
      <c r="D21" s="873">
        <v>1</v>
      </c>
      <c r="E21" s="888">
        <v>4.63</v>
      </c>
      <c r="F21" s="888">
        <f t="shared" si="1"/>
        <v>0.38</v>
      </c>
      <c r="G21" s="876">
        <v>0.6</v>
      </c>
      <c r="H21" s="876">
        <f t="shared" si="0"/>
        <v>1.0556399999999999</v>
      </c>
      <c r="I21" s="877"/>
      <c r="J21" s="890"/>
    </row>
    <row r="22" spans="1:11">
      <c r="A22" s="871"/>
      <c r="B22" s="891" t="s">
        <v>2071</v>
      </c>
      <c r="C22" s="873">
        <v>1</v>
      </c>
      <c r="D22" s="873">
        <v>1</v>
      </c>
      <c r="E22" s="888">
        <v>7.06</v>
      </c>
      <c r="F22" s="888">
        <f t="shared" si="1"/>
        <v>0.38</v>
      </c>
      <c r="G22" s="876">
        <v>0.6</v>
      </c>
      <c r="H22" s="876">
        <f>PRODUCT(C22:G22)</f>
        <v>1.6096799999999998</v>
      </c>
      <c r="I22" s="877"/>
      <c r="J22" s="890"/>
    </row>
    <row r="23" spans="1:11" ht="31.5">
      <c r="A23" s="871"/>
      <c r="B23" s="891" t="s">
        <v>2072</v>
      </c>
      <c r="C23" s="873">
        <v>1</v>
      </c>
      <c r="D23" s="873">
        <v>3</v>
      </c>
      <c r="E23" s="888">
        <v>2.4</v>
      </c>
      <c r="F23" s="888">
        <f t="shared" si="1"/>
        <v>0.38</v>
      </c>
      <c r="G23" s="876">
        <v>0.48</v>
      </c>
      <c r="H23" s="876">
        <f>PRODUCT(C23:G23)</f>
        <v>1.3132799999999998</v>
      </c>
      <c r="I23" s="877"/>
      <c r="J23" s="890"/>
      <c r="K23" s="865">
        <f>0.5</f>
        <v>0.5</v>
      </c>
    </row>
    <row r="24" spans="1:11" ht="31.5">
      <c r="A24" s="871"/>
      <c r="B24" s="891" t="s">
        <v>2073</v>
      </c>
      <c r="C24" s="873">
        <v>1</v>
      </c>
      <c r="D24" s="873">
        <v>2</v>
      </c>
      <c r="E24" s="888">
        <v>0.9</v>
      </c>
      <c r="F24" s="888">
        <f t="shared" si="1"/>
        <v>0.38</v>
      </c>
      <c r="G24" s="876">
        <v>0.48</v>
      </c>
      <c r="H24" s="876">
        <f>PRODUCT(C24:G24)</f>
        <v>0.32832</v>
      </c>
      <c r="I24" s="877"/>
      <c r="J24" s="890"/>
      <c r="K24" s="865">
        <f>0.5</f>
        <v>0.5</v>
      </c>
    </row>
    <row r="25" spans="1:11">
      <c r="A25" s="871"/>
      <c r="B25" s="891" t="s">
        <v>2074</v>
      </c>
      <c r="C25" s="873">
        <v>1</v>
      </c>
      <c r="D25" s="873">
        <v>10</v>
      </c>
      <c r="E25" s="888">
        <f>0.6+0.46+0.3</f>
        <v>1.36</v>
      </c>
      <c r="F25" s="888">
        <v>1.36</v>
      </c>
      <c r="G25" s="876">
        <v>0.3</v>
      </c>
      <c r="H25" s="876">
        <f>PRODUCT(C25:G25)</f>
        <v>5.5488000000000008</v>
      </c>
      <c r="I25" s="877"/>
      <c r="J25" s="890"/>
    </row>
    <row r="26" spans="1:11">
      <c r="A26" s="871"/>
      <c r="B26" s="891"/>
      <c r="C26" s="887"/>
      <c r="D26" s="887"/>
      <c r="E26" s="888"/>
      <c r="F26" s="888"/>
      <c r="G26" s="875" t="s">
        <v>57</v>
      </c>
      <c r="H26" s="876">
        <f>SUM(H10:H25)</f>
        <v>116.62348</v>
      </c>
      <c r="I26" s="877"/>
      <c r="J26" s="890"/>
    </row>
    <row r="27" spans="1:11" ht="18">
      <c r="A27" s="871"/>
      <c r="B27" s="891"/>
      <c r="C27" s="887"/>
      <c r="D27" s="887"/>
      <c r="E27" s="888"/>
      <c r="F27" s="888"/>
      <c r="G27" s="892" t="s">
        <v>206</v>
      </c>
      <c r="H27" s="893">
        <f>ROUNDUP(H26,1)</f>
        <v>116.69999999999999</v>
      </c>
      <c r="I27" s="894" t="s">
        <v>2075</v>
      </c>
      <c r="J27" s="890"/>
    </row>
    <row r="28" spans="1:11" ht="54" customHeight="1">
      <c r="A28" s="871">
        <v>2.1</v>
      </c>
      <c r="B28" s="886" t="s">
        <v>2076</v>
      </c>
      <c r="C28" s="873"/>
      <c r="D28" s="873"/>
      <c r="E28" s="874"/>
      <c r="F28" s="873"/>
      <c r="G28" s="875"/>
      <c r="H28" s="876"/>
      <c r="I28" s="877"/>
    </row>
    <row r="29" spans="1:11" s="882" customFormat="1" ht="17.25">
      <c r="A29" s="879"/>
      <c r="B29" s="880" t="s">
        <v>635</v>
      </c>
      <c r="C29" s="879"/>
      <c r="D29" s="879"/>
      <c r="E29" s="879"/>
      <c r="F29" s="879"/>
      <c r="G29" s="881"/>
      <c r="H29" s="876"/>
    </row>
    <row r="30" spans="1:11" s="882" customFormat="1" ht="17.25">
      <c r="A30" s="879"/>
      <c r="B30" s="883" t="s">
        <v>2060</v>
      </c>
      <c r="C30" s="879">
        <v>1</v>
      </c>
      <c r="D30" s="879">
        <v>6</v>
      </c>
      <c r="E30" s="881">
        <f>E11</f>
        <v>1.8</v>
      </c>
      <c r="F30" s="881">
        <f>E30</f>
        <v>1.8</v>
      </c>
      <c r="G30" s="881">
        <v>0.05</v>
      </c>
      <c r="H30" s="876">
        <f>PRODUCT(C30:G30)</f>
        <v>0.97200000000000009</v>
      </c>
      <c r="I30" s="885"/>
      <c r="J30" s="885">
        <f>I30+0.15</f>
        <v>0.15</v>
      </c>
      <c r="K30" s="885">
        <f>I30*4</f>
        <v>0</v>
      </c>
    </row>
    <row r="31" spans="1:11" s="882" customFormat="1" ht="17.25">
      <c r="A31" s="879"/>
      <c r="B31" s="883" t="s">
        <v>2061</v>
      </c>
      <c r="C31" s="879">
        <v>1</v>
      </c>
      <c r="D31" s="879">
        <v>9</v>
      </c>
      <c r="E31" s="881">
        <f>E12</f>
        <v>1.5</v>
      </c>
      <c r="F31" s="881">
        <f>E31</f>
        <v>1.5</v>
      </c>
      <c r="G31" s="881">
        <v>0.05</v>
      </c>
      <c r="H31" s="876">
        <f>PRODUCT(C31:G31)</f>
        <v>1.0125</v>
      </c>
      <c r="I31" s="885"/>
      <c r="J31" s="885">
        <f>I31+0.15</f>
        <v>0.15</v>
      </c>
      <c r="K31" s="885">
        <f>I31*4</f>
        <v>0</v>
      </c>
    </row>
    <row r="32" spans="1:11" s="882" customFormat="1" ht="17.25">
      <c r="A32" s="879"/>
      <c r="B32" s="883" t="s">
        <v>2062</v>
      </c>
      <c r="C32" s="879">
        <v>1</v>
      </c>
      <c r="D32" s="879">
        <v>2</v>
      </c>
      <c r="E32" s="881">
        <f>E13</f>
        <v>1.1499999999999999</v>
      </c>
      <c r="F32" s="881">
        <f>E32</f>
        <v>1.1499999999999999</v>
      </c>
      <c r="G32" s="881">
        <v>0.05</v>
      </c>
      <c r="H32" s="876">
        <f>PRODUCT(C32:G32)</f>
        <v>0.13224999999999998</v>
      </c>
      <c r="I32" s="885"/>
      <c r="J32" s="885">
        <f>I32+0.15</f>
        <v>0.15</v>
      </c>
      <c r="K32" s="885">
        <f>I32*4</f>
        <v>0</v>
      </c>
    </row>
    <row r="33" spans="1:11" s="882" customFormat="1" ht="17.25">
      <c r="A33" s="879"/>
      <c r="B33" s="883"/>
      <c r="C33" s="879"/>
      <c r="D33" s="879"/>
      <c r="E33" s="881"/>
      <c r="F33" s="881"/>
      <c r="G33" s="881"/>
      <c r="H33" s="876">
        <f>SUM(H30:H32)</f>
        <v>2.1167500000000001</v>
      </c>
      <c r="I33" s="885"/>
      <c r="J33" s="885"/>
      <c r="K33" s="885"/>
    </row>
    <row r="34" spans="1:11" s="882" customFormat="1" ht="18">
      <c r="A34" s="879"/>
      <c r="B34" s="883"/>
      <c r="C34" s="879"/>
      <c r="D34" s="879"/>
      <c r="E34" s="881"/>
      <c r="F34" s="881"/>
      <c r="G34" s="892" t="s">
        <v>206</v>
      </c>
      <c r="H34" s="893">
        <f>ROUNDUP(H33,1)</f>
        <v>2.2000000000000002</v>
      </c>
      <c r="I34" s="894" t="s">
        <v>2075</v>
      </c>
      <c r="J34" s="885"/>
      <c r="K34" s="885"/>
    </row>
    <row r="35" spans="1:11" ht="31.5">
      <c r="A35" s="871">
        <v>2.1</v>
      </c>
      <c r="B35" s="886" t="s">
        <v>2077</v>
      </c>
      <c r="C35" s="873"/>
      <c r="D35" s="873"/>
      <c r="E35" s="874"/>
      <c r="F35" s="873"/>
      <c r="G35" s="875"/>
      <c r="H35" s="876" t="s">
        <v>220</v>
      </c>
      <c r="I35" s="877"/>
    </row>
    <row r="36" spans="1:11">
      <c r="A36" s="871"/>
      <c r="B36" s="891" t="s">
        <v>2078</v>
      </c>
      <c r="C36" s="873">
        <v>1</v>
      </c>
      <c r="D36" s="873">
        <v>1</v>
      </c>
      <c r="E36" s="888">
        <v>2.52</v>
      </c>
      <c r="F36" s="874">
        <v>3.9249999999999998</v>
      </c>
      <c r="G36" s="876">
        <v>0.15</v>
      </c>
      <c r="H36" s="876">
        <f t="shared" ref="H36:H53" si="2">PRODUCT(C36:G36)</f>
        <v>1.4836499999999999</v>
      </c>
      <c r="I36" s="877"/>
    </row>
    <row r="37" spans="1:11">
      <c r="A37" s="871"/>
      <c r="B37" s="891" t="s">
        <v>2079</v>
      </c>
      <c r="C37" s="873">
        <v>1</v>
      </c>
      <c r="D37" s="873">
        <v>1</v>
      </c>
      <c r="E37" s="888">
        <v>4.7</v>
      </c>
      <c r="F37" s="874">
        <v>5.1550000000000002</v>
      </c>
      <c r="G37" s="876">
        <v>0.15</v>
      </c>
      <c r="H37" s="876">
        <f t="shared" si="2"/>
        <v>3.6342749999999997</v>
      </c>
      <c r="I37" s="877"/>
    </row>
    <row r="38" spans="1:11">
      <c r="A38" s="871"/>
      <c r="B38" s="891" t="s">
        <v>2080</v>
      </c>
      <c r="C38" s="873">
        <v>1</v>
      </c>
      <c r="D38" s="873">
        <v>1</v>
      </c>
      <c r="E38" s="888">
        <v>3.8</v>
      </c>
      <c r="F38" s="874">
        <v>3.9249999999999998</v>
      </c>
      <c r="G38" s="876">
        <v>0.15</v>
      </c>
      <c r="H38" s="876">
        <f t="shared" si="2"/>
        <v>2.23725</v>
      </c>
      <c r="I38" s="877"/>
    </row>
    <row r="39" spans="1:11">
      <c r="A39" s="871"/>
      <c r="B39" s="891" t="s">
        <v>2081</v>
      </c>
      <c r="C39" s="873">
        <v>1</v>
      </c>
      <c r="D39" s="873">
        <v>2</v>
      </c>
      <c r="E39" s="888">
        <f>2.77+0.23+1.4</f>
        <v>4.4000000000000004</v>
      </c>
      <c r="F39" s="874">
        <v>2.4</v>
      </c>
      <c r="G39" s="876">
        <v>0.15</v>
      </c>
      <c r="H39" s="876">
        <f t="shared" si="2"/>
        <v>3.1680000000000001</v>
      </c>
      <c r="I39" s="877"/>
    </row>
    <row r="40" spans="1:11">
      <c r="A40" s="871"/>
      <c r="B40" s="891" t="s">
        <v>2082</v>
      </c>
      <c r="C40" s="873">
        <v>1</v>
      </c>
      <c r="D40" s="873">
        <v>1</v>
      </c>
      <c r="E40" s="888">
        <f>4.385+0.23+2.1</f>
        <v>6.7149999999999999</v>
      </c>
      <c r="F40" s="874">
        <v>2.4</v>
      </c>
      <c r="G40" s="876">
        <v>0.15</v>
      </c>
      <c r="H40" s="876">
        <f t="shared" si="2"/>
        <v>2.4173999999999998</v>
      </c>
      <c r="I40" s="877"/>
    </row>
    <row r="41" spans="1:11">
      <c r="A41" s="871"/>
      <c r="B41" s="891" t="s">
        <v>2083</v>
      </c>
      <c r="C41" s="873">
        <v>1</v>
      </c>
      <c r="D41" s="873">
        <v>1</v>
      </c>
      <c r="E41" s="888">
        <v>3.47</v>
      </c>
      <c r="F41" s="874">
        <v>4.3849999999999998</v>
      </c>
      <c r="G41" s="876">
        <v>0.15</v>
      </c>
      <c r="H41" s="876">
        <f t="shared" si="2"/>
        <v>2.2823924999999998</v>
      </c>
      <c r="I41" s="877"/>
    </row>
    <row r="42" spans="1:11">
      <c r="A42" s="871"/>
      <c r="B42" s="891" t="s">
        <v>2084</v>
      </c>
      <c r="C42" s="873">
        <v>1</v>
      </c>
      <c r="D42" s="873">
        <v>1</v>
      </c>
      <c r="E42" s="888">
        <v>4.25</v>
      </c>
      <c r="F42" s="874">
        <v>4.5</v>
      </c>
      <c r="G42" s="876">
        <v>0.15</v>
      </c>
      <c r="H42" s="876">
        <f t="shared" si="2"/>
        <v>2.8687499999999999</v>
      </c>
      <c r="I42" s="877"/>
    </row>
    <row r="43" spans="1:11">
      <c r="A43" s="871"/>
      <c r="B43" s="891" t="s">
        <v>829</v>
      </c>
      <c r="C43" s="873">
        <v>1</v>
      </c>
      <c r="D43" s="873">
        <v>1</v>
      </c>
      <c r="E43" s="888">
        <f>3.66+1.5+1.74</f>
        <v>6.9</v>
      </c>
      <c r="F43" s="874">
        <v>1.5</v>
      </c>
      <c r="G43" s="876">
        <v>0.15</v>
      </c>
      <c r="H43" s="876">
        <f t="shared" si="2"/>
        <v>1.5525000000000002</v>
      </c>
      <c r="I43" s="877"/>
    </row>
    <row r="44" spans="1:11">
      <c r="A44" s="871"/>
      <c r="B44" s="886" t="s">
        <v>2063</v>
      </c>
      <c r="C44" s="887">
        <v>1</v>
      </c>
      <c r="D44" s="887">
        <v>1</v>
      </c>
      <c r="E44" s="888">
        <f t="shared" ref="E44:E53" si="3">E14</f>
        <v>40.72</v>
      </c>
      <c r="F44" s="888">
        <v>0.38</v>
      </c>
      <c r="G44" s="876">
        <v>0.1</v>
      </c>
      <c r="H44" s="876">
        <f t="shared" si="2"/>
        <v>1.5473600000000001</v>
      </c>
      <c r="I44" s="877"/>
      <c r="J44" s="890"/>
    </row>
    <row r="45" spans="1:11">
      <c r="A45" s="871"/>
      <c r="B45" s="891" t="s">
        <v>2064</v>
      </c>
      <c r="C45" s="873">
        <v>1</v>
      </c>
      <c r="D45" s="873">
        <v>1</v>
      </c>
      <c r="E45" s="888">
        <f t="shared" si="3"/>
        <v>15.540000000000003</v>
      </c>
      <c r="F45" s="888">
        <f t="shared" ref="F45:F54" si="4">0.23+0.15</f>
        <v>0.38</v>
      </c>
      <c r="G45" s="876">
        <v>0.1</v>
      </c>
      <c r="H45" s="876">
        <f t="shared" si="2"/>
        <v>0.59052000000000004</v>
      </c>
      <c r="I45" s="877"/>
      <c r="J45" s="890"/>
    </row>
    <row r="46" spans="1:11" ht="31.5">
      <c r="A46" s="871"/>
      <c r="B46" s="891" t="s">
        <v>2065</v>
      </c>
      <c r="C46" s="873">
        <v>1</v>
      </c>
      <c r="D46" s="873">
        <v>1</v>
      </c>
      <c r="E46" s="888">
        <f t="shared" si="3"/>
        <v>3.93</v>
      </c>
      <c r="F46" s="888">
        <f t="shared" si="4"/>
        <v>0.38</v>
      </c>
      <c r="G46" s="876">
        <v>0.1</v>
      </c>
      <c r="H46" s="876">
        <f t="shared" si="2"/>
        <v>0.14934</v>
      </c>
      <c r="I46" s="877"/>
      <c r="J46" s="890"/>
    </row>
    <row r="47" spans="1:11" ht="31.5">
      <c r="A47" s="871"/>
      <c r="B47" s="891" t="s">
        <v>2066</v>
      </c>
      <c r="C47" s="873">
        <v>1</v>
      </c>
      <c r="D47" s="873">
        <v>1</v>
      </c>
      <c r="E47" s="888">
        <f t="shared" si="3"/>
        <v>3.93</v>
      </c>
      <c r="F47" s="888">
        <f t="shared" si="4"/>
        <v>0.38</v>
      </c>
      <c r="G47" s="876">
        <v>0.1</v>
      </c>
      <c r="H47" s="876">
        <f t="shared" si="2"/>
        <v>0.14934</v>
      </c>
      <c r="I47" s="877"/>
      <c r="J47" s="890"/>
    </row>
    <row r="48" spans="1:11" ht="31.5">
      <c r="A48" s="871"/>
      <c r="B48" s="891" t="s">
        <v>2067</v>
      </c>
      <c r="C48" s="873">
        <v>1</v>
      </c>
      <c r="D48" s="873">
        <v>3</v>
      </c>
      <c r="E48" s="888">
        <f t="shared" si="3"/>
        <v>4.3899999999999997</v>
      </c>
      <c r="F48" s="888">
        <f t="shared" si="4"/>
        <v>0.38</v>
      </c>
      <c r="G48" s="876">
        <v>0.1</v>
      </c>
      <c r="H48" s="876">
        <f t="shared" si="2"/>
        <v>0.5004599999999999</v>
      </c>
      <c r="I48" s="877"/>
      <c r="J48" s="890"/>
    </row>
    <row r="49" spans="1:13">
      <c r="A49" s="871"/>
      <c r="B49" s="891" t="s">
        <v>2085</v>
      </c>
      <c r="C49" s="873">
        <v>1</v>
      </c>
      <c r="D49" s="873">
        <v>1</v>
      </c>
      <c r="E49" s="888">
        <f t="shared" si="3"/>
        <v>8.73</v>
      </c>
      <c r="F49" s="888">
        <f t="shared" si="4"/>
        <v>0.38</v>
      </c>
      <c r="G49" s="876">
        <v>0.1</v>
      </c>
      <c r="H49" s="876">
        <f t="shared" si="2"/>
        <v>0.33174000000000003</v>
      </c>
      <c r="I49" s="877"/>
      <c r="J49" s="890"/>
    </row>
    <row r="50" spans="1:13">
      <c r="A50" s="871"/>
      <c r="B50" s="891" t="s">
        <v>2069</v>
      </c>
      <c r="C50" s="873">
        <v>1</v>
      </c>
      <c r="D50" s="873">
        <v>1</v>
      </c>
      <c r="E50" s="888">
        <f t="shared" si="3"/>
        <v>10.9</v>
      </c>
      <c r="F50" s="888">
        <f t="shared" si="4"/>
        <v>0.38</v>
      </c>
      <c r="G50" s="876">
        <v>0.1</v>
      </c>
      <c r="H50" s="876">
        <f t="shared" si="2"/>
        <v>0.41420000000000007</v>
      </c>
      <c r="I50" s="877"/>
      <c r="J50" s="890"/>
    </row>
    <row r="51" spans="1:13">
      <c r="A51" s="871"/>
      <c r="B51" s="891" t="s">
        <v>2070</v>
      </c>
      <c r="C51" s="873">
        <v>1</v>
      </c>
      <c r="D51" s="873">
        <v>1</v>
      </c>
      <c r="E51" s="888">
        <f t="shared" si="3"/>
        <v>4.63</v>
      </c>
      <c r="F51" s="888">
        <f t="shared" si="4"/>
        <v>0.38</v>
      </c>
      <c r="G51" s="876">
        <v>0.1</v>
      </c>
      <c r="H51" s="876">
        <f t="shared" si="2"/>
        <v>0.17594000000000001</v>
      </c>
      <c r="I51" s="877"/>
      <c r="J51" s="890"/>
    </row>
    <row r="52" spans="1:13">
      <c r="A52" s="871"/>
      <c r="B52" s="891" t="s">
        <v>2071</v>
      </c>
      <c r="C52" s="873">
        <v>1</v>
      </c>
      <c r="D52" s="873">
        <v>1</v>
      </c>
      <c r="E52" s="888">
        <f t="shared" si="3"/>
        <v>7.06</v>
      </c>
      <c r="F52" s="888">
        <f t="shared" si="4"/>
        <v>0.38</v>
      </c>
      <c r="G52" s="876">
        <v>0.1</v>
      </c>
      <c r="H52" s="876">
        <f t="shared" si="2"/>
        <v>0.26828000000000002</v>
      </c>
      <c r="I52" s="877"/>
      <c r="J52" s="890"/>
    </row>
    <row r="53" spans="1:13">
      <c r="A53" s="871"/>
      <c r="B53" s="891" t="s">
        <v>2086</v>
      </c>
      <c r="C53" s="873">
        <v>1</v>
      </c>
      <c r="D53" s="873">
        <v>3</v>
      </c>
      <c r="E53" s="888">
        <f t="shared" si="3"/>
        <v>2.4</v>
      </c>
      <c r="F53" s="888">
        <f t="shared" si="4"/>
        <v>0.38</v>
      </c>
      <c r="G53" s="876">
        <v>0.1</v>
      </c>
      <c r="H53" s="876">
        <f t="shared" si="2"/>
        <v>0.27360000000000001</v>
      </c>
      <c r="I53" s="877"/>
      <c r="J53" s="890"/>
    </row>
    <row r="54" spans="1:13" ht="31.5">
      <c r="A54" s="871"/>
      <c r="B54" s="891" t="s">
        <v>2073</v>
      </c>
      <c r="C54" s="873">
        <v>1</v>
      </c>
      <c r="D54" s="873">
        <v>2</v>
      </c>
      <c r="E54" s="888">
        <v>0.9</v>
      </c>
      <c r="F54" s="888">
        <f t="shared" si="4"/>
        <v>0.38</v>
      </c>
      <c r="G54" s="876">
        <v>0.1</v>
      </c>
      <c r="H54" s="876">
        <f>PRODUCT(C54:G54)</f>
        <v>6.8400000000000002E-2</v>
      </c>
      <c r="I54" s="877"/>
      <c r="J54" s="890"/>
      <c r="K54" s="865">
        <f>0.5</f>
        <v>0.5</v>
      </c>
    </row>
    <row r="55" spans="1:13">
      <c r="A55" s="871"/>
      <c r="B55" s="891"/>
      <c r="C55" s="873"/>
      <c r="D55" s="873"/>
      <c r="E55" s="888"/>
      <c r="F55" s="888"/>
      <c r="G55" s="875" t="s">
        <v>57</v>
      </c>
      <c r="H55" s="876">
        <f>SUM(H36:H54)</f>
        <v>24.113397499999998</v>
      </c>
      <c r="I55" s="877"/>
    </row>
    <row r="56" spans="1:13" ht="18">
      <c r="A56" s="871"/>
      <c r="B56" s="891"/>
      <c r="C56" s="873"/>
      <c r="D56" s="873"/>
      <c r="E56" s="873"/>
      <c r="F56" s="873"/>
      <c r="G56" s="895" t="s">
        <v>206</v>
      </c>
      <c r="H56" s="896">
        <f>ROUNDUP(H55,1)</f>
        <v>24.200000000000003</v>
      </c>
      <c r="I56" s="897" t="s">
        <v>2075</v>
      </c>
    </row>
    <row r="57" spans="1:13">
      <c r="A57" s="871"/>
      <c r="B57" s="891"/>
      <c r="C57" s="873"/>
      <c r="D57" s="873"/>
      <c r="E57" s="873"/>
      <c r="F57" s="873"/>
      <c r="G57" s="895"/>
      <c r="H57" s="896"/>
      <c r="I57" s="897"/>
    </row>
    <row r="58" spans="1:13" ht="42.75" customHeight="1">
      <c r="A58" s="871">
        <v>3.1</v>
      </c>
      <c r="B58" s="886" t="s">
        <v>2087</v>
      </c>
      <c r="C58" s="873"/>
      <c r="D58" s="873"/>
      <c r="E58" s="874"/>
      <c r="F58" s="873"/>
      <c r="G58" s="875"/>
      <c r="H58" s="876" t="s">
        <v>220</v>
      </c>
      <c r="I58" s="877"/>
    </row>
    <row r="59" spans="1:13" s="882" customFormat="1" ht="17.25">
      <c r="A59" s="879"/>
      <c r="B59" s="880" t="s">
        <v>635</v>
      </c>
      <c r="C59" s="879"/>
      <c r="D59" s="879"/>
      <c r="E59" s="879"/>
      <c r="F59" s="879"/>
      <c r="G59" s="881"/>
      <c r="H59" s="876">
        <f t="shared" ref="H59:H72" si="5">PRODUCT(C59:G59)</f>
        <v>0</v>
      </c>
    </row>
    <row r="60" spans="1:13" s="882" customFormat="1" ht="17.25">
      <c r="A60" s="879"/>
      <c r="B60" s="883" t="s">
        <v>2060</v>
      </c>
      <c r="C60" s="879">
        <v>1</v>
      </c>
      <c r="D60" s="879">
        <v>6</v>
      </c>
      <c r="E60" s="881">
        <f>E30</f>
        <v>1.8</v>
      </c>
      <c r="F60" s="881">
        <f>E60</f>
        <v>1.8</v>
      </c>
      <c r="G60" s="881">
        <v>0.1</v>
      </c>
      <c r="H60" s="876">
        <f t="shared" si="5"/>
        <v>1.9440000000000002</v>
      </c>
      <c r="I60" s="885"/>
      <c r="J60" s="885">
        <f>I60+0.15</f>
        <v>0.15</v>
      </c>
      <c r="K60" s="885">
        <f>I60*4</f>
        <v>0</v>
      </c>
      <c r="M60" s="882">
        <f>0.15-0.5+2</f>
        <v>1.65</v>
      </c>
    </row>
    <row r="61" spans="1:13" s="882" customFormat="1" ht="17.25">
      <c r="A61" s="879"/>
      <c r="B61" s="883" t="s">
        <v>2061</v>
      </c>
      <c r="C61" s="879">
        <v>1</v>
      </c>
      <c r="D61" s="879">
        <v>9</v>
      </c>
      <c r="E61" s="881">
        <f>E31</f>
        <v>1.5</v>
      </c>
      <c r="F61" s="881">
        <f>E61</f>
        <v>1.5</v>
      </c>
      <c r="G61" s="881">
        <v>0.1</v>
      </c>
      <c r="H61" s="876">
        <f t="shared" si="5"/>
        <v>2.0249999999999999</v>
      </c>
      <c r="I61" s="885"/>
      <c r="J61" s="885">
        <f>I61+0.15</f>
        <v>0.15</v>
      </c>
      <c r="K61" s="885">
        <f>I61*4</f>
        <v>0</v>
      </c>
    </row>
    <row r="62" spans="1:13" s="882" customFormat="1" ht="17.25">
      <c r="A62" s="879"/>
      <c r="B62" s="883" t="s">
        <v>2062</v>
      </c>
      <c r="C62" s="879">
        <v>1</v>
      </c>
      <c r="D62" s="879">
        <v>2</v>
      </c>
      <c r="E62" s="881">
        <f>E32</f>
        <v>1.1499999999999999</v>
      </c>
      <c r="F62" s="881">
        <f>E62</f>
        <v>1.1499999999999999</v>
      </c>
      <c r="G62" s="881">
        <v>0.1</v>
      </c>
      <c r="H62" s="876">
        <f t="shared" si="5"/>
        <v>0.26449999999999996</v>
      </c>
      <c r="I62" s="885"/>
      <c r="J62" s="885">
        <f>I62+0.15</f>
        <v>0.15</v>
      </c>
      <c r="K62" s="885">
        <f>I62*4</f>
        <v>0</v>
      </c>
    </row>
    <row r="63" spans="1:13" ht="17.25">
      <c r="A63" s="871"/>
      <c r="B63" s="886" t="s">
        <v>2063</v>
      </c>
      <c r="C63" s="887">
        <v>1</v>
      </c>
      <c r="D63" s="887">
        <v>1</v>
      </c>
      <c r="E63" s="888">
        <v>41.64</v>
      </c>
      <c r="F63" s="888">
        <v>0.38</v>
      </c>
      <c r="G63" s="881">
        <v>0.1</v>
      </c>
      <c r="H63" s="876">
        <f t="shared" si="5"/>
        <v>1.5823200000000002</v>
      </c>
      <c r="I63" s="877"/>
      <c r="J63" s="890"/>
    </row>
    <row r="64" spans="1:13" ht="17.25">
      <c r="A64" s="871"/>
      <c r="B64" s="891" t="s">
        <v>2064</v>
      </c>
      <c r="C64" s="873">
        <v>1</v>
      </c>
      <c r="D64" s="873">
        <v>1</v>
      </c>
      <c r="E64" s="888">
        <v>15.54</v>
      </c>
      <c r="F64" s="888">
        <f t="shared" ref="F64:F73" si="6">0.23+0.15</f>
        <v>0.38</v>
      </c>
      <c r="G64" s="881">
        <v>0.1</v>
      </c>
      <c r="H64" s="876">
        <f t="shared" si="5"/>
        <v>0.59052000000000004</v>
      </c>
      <c r="I64" s="877"/>
      <c r="J64" s="890"/>
    </row>
    <row r="65" spans="1:15" ht="31.5">
      <c r="A65" s="871"/>
      <c r="B65" s="891" t="s">
        <v>2065</v>
      </c>
      <c r="C65" s="873">
        <v>1</v>
      </c>
      <c r="D65" s="873">
        <v>1</v>
      </c>
      <c r="E65" s="888">
        <v>3.93</v>
      </c>
      <c r="F65" s="888">
        <f t="shared" si="6"/>
        <v>0.38</v>
      </c>
      <c r="G65" s="881">
        <v>0.1</v>
      </c>
      <c r="H65" s="876">
        <f t="shared" si="5"/>
        <v>0.14934</v>
      </c>
      <c r="I65" s="877"/>
      <c r="J65" s="890"/>
    </row>
    <row r="66" spans="1:15" ht="24.75" customHeight="1">
      <c r="A66" s="871"/>
      <c r="B66" s="891" t="s">
        <v>2066</v>
      </c>
      <c r="C66" s="873">
        <v>1</v>
      </c>
      <c r="D66" s="873">
        <v>1</v>
      </c>
      <c r="E66" s="888">
        <v>3.93</v>
      </c>
      <c r="F66" s="888">
        <f t="shared" si="6"/>
        <v>0.38</v>
      </c>
      <c r="G66" s="881">
        <v>0.1</v>
      </c>
      <c r="H66" s="876">
        <f t="shared" si="5"/>
        <v>0.14934</v>
      </c>
      <c r="I66" s="877"/>
      <c r="J66" s="890"/>
    </row>
    <row r="67" spans="1:15" ht="24.75" customHeight="1">
      <c r="A67" s="871"/>
      <c r="B67" s="891" t="s">
        <v>2067</v>
      </c>
      <c r="C67" s="873">
        <v>1</v>
      </c>
      <c r="D67" s="873">
        <v>3</v>
      </c>
      <c r="E67" s="888">
        <v>4.3899999999999997</v>
      </c>
      <c r="F67" s="888">
        <f t="shared" si="6"/>
        <v>0.38</v>
      </c>
      <c r="G67" s="881">
        <v>0.1</v>
      </c>
      <c r="H67" s="876">
        <f t="shared" si="5"/>
        <v>0.5004599999999999</v>
      </c>
      <c r="I67" s="877"/>
      <c r="J67" s="890"/>
    </row>
    <row r="68" spans="1:15" ht="24.75" customHeight="1">
      <c r="A68" s="871"/>
      <c r="B68" s="891" t="s">
        <v>2085</v>
      </c>
      <c r="C68" s="873">
        <v>1</v>
      </c>
      <c r="D68" s="873">
        <v>1</v>
      </c>
      <c r="E68" s="888">
        <v>10.67</v>
      </c>
      <c r="F68" s="888">
        <f t="shared" si="6"/>
        <v>0.38</v>
      </c>
      <c r="G68" s="881">
        <v>0.1</v>
      </c>
      <c r="H68" s="876">
        <f t="shared" si="5"/>
        <v>0.40545999999999999</v>
      </c>
      <c r="I68" s="877"/>
      <c r="J68" s="890"/>
    </row>
    <row r="69" spans="1:15" ht="24.75" customHeight="1">
      <c r="A69" s="871"/>
      <c r="B69" s="891" t="s">
        <v>2069</v>
      </c>
      <c r="C69" s="873">
        <v>1</v>
      </c>
      <c r="D69" s="873">
        <v>1</v>
      </c>
      <c r="E69" s="888">
        <v>10.9</v>
      </c>
      <c r="F69" s="888">
        <f t="shared" si="6"/>
        <v>0.38</v>
      </c>
      <c r="G69" s="881">
        <v>0.1</v>
      </c>
      <c r="H69" s="876">
        <f t="shared" si="5"/>
        <v>0.41420000000000007</v>
      </c>
      <c r="I69" s="877"/>
      <c r="J69" s="890"/>
    </row>
    <row r="70" spans="1:15" ht="24.75" customHeight="1">
      <c r="A70" s="871"/>
      <c r="B70" s="891" t="s">
        <v>2070</v>
      </c>
      <c r="C70" s="873">
        <v>1</v>
      </c>
      <c r="D70" s="873">
        <v>1</v>
      </c>
      <c r="E70" s="888">
        <v>4.63</v>
      </c>
      <c r="F70" s="888">
        <f t="shared" si="6"/>
        <v>0.38</v>
      </c>
      <c r="G70" s="881">
        <v>0.1</v>
      </c>
      <c r="H70" s="876">
        <f t="shared" si="5"/>
        <v>0.17594000000000001</v>
      </c>
      <c r="I70" s="877"/>
      <c r="J70" s="890"/>
    </row>
    <row r="71" spans="1:15" ht="24.75" customHeight="1">
      <c r="A71" s="871"/>
      <c r="B71" s="891" t="s">
        <v>2071</v>
      </c>
      <c r="C71" s="873">
        <v>1</v>
      </c>
      <c r="D71" s="873">
        <v>1</v>
      </c>
      <c r="E71" s="888">
        <v>7.06</v>
      </c>
      <c r="F71" s="888">
        <f t="shared" si="6"/>
        <v>0.38</v>
      </c>
      <c r="G71" s="881">
        <v>0.1</v>
      </c>
      <c r="H71" s="876">
        <f t="shared" si="5"/>
        <v>0.26828000000000002</v>
      </c>
      <c r="I71" s="877"/>
      <c r="J71" s="890"/>
    </row>
    <row r="72" spans="1:15" ht="24.75" customHeight="1">
      <c r="A72" s="871"/>
      <c r="B72" s="891" t="s">
        <v>2086</v>
      </c>
      <c r="C72" s="873">
        <v>1</v>
      </c>
      <c r="D72" s="873">
        <v>3</v>
      </c>
      <c r="E72" s="888">
        <v>2.4</v>
      </c>
      <c r="F72" s="888">
        <f t="shared" si="6"/>
        <v>0.38</v>
      </c>
      <c r="G72" s="881">
        <v>0.1</v>
      </c>
      <c r="H72" s="876">
        <f t="shared" si="5"/>
        <v>0.27360000000000001</v>
      </c>
      <c r="I72" s="877"/>
      <c r="J72" s="890"/>
    </row>
    <row r="73" spans="1:15" ht="31.5">
      <c r="A73" s="871"/>
      <c r="B73" s="891" t="s">
        <v>2073</v>
      </c>
      <c r="C73" s="873">
        <v>1</v>
      </c>
      <c r="D73" s="873">
        <v>2</v>
      </c>
      <c r="E73" s="888">
        <v>0.9</v>
      </c>
      <c r="F73" s="888">
        <f t="shared" si="6"/>
        <v>0.38</v>
      </c>
      <c r="G73" s="881">
        <v>0.1</v>
      </c>
      <c r="H73" s="876">
        <f>PRODUCT(C73:G73)</f>
        <v>6.8400000000000002E-2</v>
      </c>
      <c r="I73" s="877"/>
      <c r="J73" s="890"/>
      <c r="K73" s="865">
        <f>0.5</f>
        <v>0.5</v>
      </c>
    </row>
    <row r="74" spans="1:15" ht="24.75" customHeight="1">
      <c r="A74" s="871"/>
      <c r="B74" s="891"/>
      <c r="C74" s="887"/>
      <c r="D74" s="887"/>
      <c r="E74" s="888"/>
      <c r="F74" s="888"/>
      <c r="G74" s="875" t="s">
        <v>57</v>
      </c>
      <c r="H74" s="876">
        <f>SUM(H59:H73)</f>
        <v>8.8113600000000005</v>
      </c>
      <c r="I74" s="877"/>
    </row>
    <row r="75" spans="1:15" ht="24.75" customHeight="1">
      <c r="A75" s="871"/>
      <c r="B75" s="891"/>
      <c r="C75" s="887"/>
      <c r="D75" s="887"/>
      <c r="E75" s="888"/>
      <c r="F75" s="888"/>
      <c r="G75" s="892" t="s">
        <v>206</v>
      </c>
      <c r="H75" s="893">
        <f>ROUNDUP(H74,1)</f>
        <v>8.9</v>
      </c>
      <c r="I75" s="894" t="s">
        <v>2075</v>
      </c>
    </row>
    <row r="76" spans="1:15" ht="45.6" customHeight="1">
      <c r="A76" s="871">
        <v>4.0999999999999996</v>
      </c>
      <c r="B76" s="886" t="s">
        <v>2088</v>
      </c>
      <c r="C76" s="873"/>
      <c r="D76" s="873"/>
      <c r="E76" s="874"/>
      <c r="F76" s="873"/>
      <c r="G76" s="875"/>
      <c r="H76" s="876"/>
      <c r="I76" s="877"/>
    </row>
    <row r="77" spans="1:15" s="882" customFormat="1" ht="17.25">
      <c r="A77" s="879"/>
      <c r="B77" s="880" t="s">
        <v>635</v>
      </c>
      <c r="C77" s="879"/>
      <c r="D77" s="879"/>
      <c r="E77" s="879"/>
      <c r="F77" s="879"/>
      <c r="G77" s="881"/>
      <c r="H77" s="876">
        <f t="shared" ref="H77:H98" si="7">PRODUCT(C77:G77)</f>
        <v>0</v>
      </c>
    </row>
    <row r="78" spans="1:15" s="882" customFormat="1" ht="17.25">
      <c r="A78" s="879"/>
      <c r="B78" s="883" t="s">
        <v>2060</v>
      </c>
      <c r="C78" s="879">
        <v>1</v>
      </c>
      <c r="D78" s="879">
        <v>6</v>
      </c>
      <c r="E78" s="881">
        <v>1.65</v>
      </c>
      <c r="F78" s="881">
        <f>E78</f>
        <v>1.65</v>
      </c>
      <c r="G78" s="881">
        <v>0.4</v>
      </c>
      <c r="H78" s="876">
        <f t="shared" si="7"/>
        <v>6.5339999999999989</v>
      </c>
      <c r="I78" s="885"/>
      <c r="J78" s="898">
        <v>9.19</v>
      </c>
      <c r="K78" s="885">
        <f>I78*4</f>
        <v>0</v>
      </c>
    </row>
    <row r="79" spans="1:15" s="882" customFormat="1" ht="17.25">
      <c r="A79" s="879"/>
      <c r="B79" s="883" t="s">
        <v>2061</v>
      </c>
      <c r="C79" s="879">
        <v>1</v>
      </c>
      <c r="D79" s="879">
        <v>9</v>
      </c>
      <c r="E79" s="881">
        <v>1.35</v>
      </c>
      <c r="F79" s="881">
        <f>E79</f>
        <v>1.35</v>
      </c>
      <c r="G79" s="881">
        <v>0.35</v>
      </c>
      <c r="H79" s="876">
        <f t="shared" si="7"/>
        <v>5.740875</v>
      </c>
      <c r="I79" s="885"/>
      <c r="J79" s="898">
        <v>10.130000000000001</v>
      </c>
      <c r="K79" s="885">
        <f>I79*4</f>
        <v>0</v>
      </c>
      <c r="O79" s="882">
        <f>2-0.35-0.5-0.05-0.1</f>
        <v>0.99999999999999989</v>
      </c>
    </row>
    <row r="80" spans="1:15" s="882" customFormat="1" ht="17.25">
      <c r="A80" s="879"/>
      <c r="B80" s="883" t="s">
        <v>2062</v>
      </c>
      <c r="C80" s="879">
        <v>1</v>
      </c>
      <c r="D80" s="879">
        <v>2</v>
      </c>
      <c r="E80" s="881">
        <v>1</v>
      </c>
      <c r="F80" s="881">
        <v>1</v>
      </c>
      <c r="G80" s="881">
        <v>0.3</v>
      </c>
      <c r="H80" s="876">
        <f t="shared" si="7"/>
        <v>0.6</v>
      </c>
      <c r="I80" s="885"/>
      <c r="J80" s="898">
        <v>1.3</v>
      </c>
      <c r="K80" s="885">
        <f>I80*4</f>
        <v>0</v>
      </c>
    </row>
    <row r="81" spans="1:11">
      <c r="A81" s="871"/>
      <c r="B81" s="899" t="s">
        <v>2089</v>
      </c>
      <c r="C81" s="887"/>
      <c r="D81" s="887"/>
      <c r="E81" s="888"/>
      <c r="F81" s="888"/>
      <c r="G81" s="900"/>
      <c r="H81" s="876"/>
      <c r="I81" s="877"/>
      <c r="J81" s="890"/>
    </row>
    <row r="82" spans="1:11">
      <c r="A82" s="871"/>
      <c r="B82" s="891" t="s">
        <v>692</v>
      </c>
      <c r="C82" s="887">
        <v>1</v>
      </c>
      <c r="D82" s="887">
        <v>2</v>
      </c>
      <c r="E82" s="888">
        <v>0.3</v>
      </c>
      <c r="F82" s="888">
        <v>0.23</v>
      </c>
      <c r="G82" s="900">
        <v>1</v>
      </c>
      <c r="H82" s="876">
        <f t="shared" ref="H82:H88" si="8">PRODUCT(C82:G82)</f>
        <v>0.13800000000000001</v>
      </c>
      <c r="I82" s="877"/>
      <c r="J82" s="890">
        <v>0.14000000000000001</v>
      </c>
    </row>
    <row r="83" spans="1:11">
      <c r="A83" s="871"/>
      <c r="B83" s="891" t="s">
        <v>2090</v>
      </c>
      <c r="C83" s="887">
        <v>1</v>
      </c>
      <c r="D83" s="887">
        <v>4</v>
      </c>
      <c r="E83" s="888">
        <v>0.3</v>
      </c>
      <c r="F83" s="888">
        <v>0.23</v>
      </c>
      <c r="G83" s="900">
        <v>1</v>
      </c>
      <c r="H83" s="876">
        <f t="shared" si="8"/>
        <v>0.27600000000000002</v>
      </c>
      <c r="I83" s="877"/>
      <c r="J83" s="890">
        <v>0.28000000000000003</v>
      </c>
    </row>
    <row r="84" spans="1:11">
      <c r="A84" s="871"/>
      <c r="B84" s="891" t="s">
        <v>675</v>
      </c>
      <c r="C84" s="887">
        <v>1</v>
      </c>
      <c r="D84" s="887">
        <v>5</v>
      </c>
      <c r="E84" s="888">
        <v>0.3</v>
      </c>
      <c r="F84" s="888">
        <v>0.23</v>
      </c>
      <c r="G84" s="900">
        <v>1</v>
      </c>
      <c r="H84" s="876">
        <f t="shared" si="8"/>
        <v>0.34500000000000003</v>
      </c>
      <c r="I84" s="877"/>
      <c r="J84" s="890">
        <v>0.35</v>
      </c>
    </row>
    <row r="85" spans="1:11">
      <c r="A85" s="871"/>
      <c r="B85" s="891" t="s">
        <v>693</v>
      </c>
      <c r="C85" s="887">
        <v>1</v>
      </c>
      <c r="D85" s="887">
        <v>2</v>
      </c>
      <c r="E85" s="888">
        <v>0.45</v>
      </c>
      <c r="F85" s="888">
        <v>0.23</v>
      </c>
      <c r="G85" s="900">
        <v>1</v>
      </c>
      <c r="H85" s="876">
        <f t="shared" si="8"/>
        <v>0.20700000000000002</v>
      </c>
      <c r="I85" s="877"/>
      <c r="J85" s="890">
        <v>0.21</v>
      </c>
    </row>
    <row r="86" spans="1:11">
      <c r="A86" s="871"/>
      <c r="B86" s="891" t="s">
        <v>677</v>
      </c>
      <c r="C86" s="887">
        <v>1</v>
      </c>
      <c r="D86" s="887">
        <v>1</v>
      </c>
      <c r="E86" s="888">
        <v>0.45</v>
      </c>
      <c r="F86" s="888">
        <v>0.23</v>
      </c>
      <c r="G86" s="900">
        <v>1</v>
      </c>
      <c r="H86" s="876">
        <f t="shared" si="8"/>
        <v>0.10350000000000001</v>
      </c>
      <c r="I86" s="877"/>
      <c r="J86" s="890">
        <v>0.1</v>
      </c>
    </row>
    <row r="87" spans="1:11">
      <c r="A87" s="871"/>
      <c r="B87" s="891" t="s">
        <v>2091</v>
      </c>
      <c r="C87" s="887">
        <v>1</v>
      </c>
      <c r="D87" s="887">
        <v>1</v>
      </c>
      <c r="E87" s="888">
        <v>0.45</v>
      </c>
      <c r="F87" s="888">
        <v>0.23</v>
      </c>
      <c r="G87" s="900">
        <v>1</v>
      </c>
      <c r="H87" s="876">
        <f t="shared" si="8"/>
        <v>0.10350000000000001</v>
      </c>
      <c r="I87" s="877"/>
      <c r="J87" s="890">
        <v>0.1</v>
      </c>
    </row>
    <row r="88" spans="1:11">
      <c r="A88" s="871"/>
      <c r="B88" s="891" t="s">
        <v>678</v>
      </c>
      <c r="C88" s="887">
        <v>1</v>
      </c>
      <c r="D88" s="887">
        <v>2</v>
      </c>
      <c r="E88" s="1466">
        <f>3.14*0.144/4</f>
        <v>0.11304</v>
      </c>
      <c r="F88" s="1467"/>
      <c r="G88" s="900">
        <v>1</v>
      </c>
      <c r="H88" s="876">
        <f t="shared" si="8"/>
        <v>0.22608</v>
      </c>
      <c r="I88" s="877"/>
      <c r="J88" s="890">
        <v>0.23</v>
      </c>
    </row>
    <row r="89" spans="1:11">
      <c r="A89" s="871"/>
      <c r="B89" s="886" t="s">
        <v>2063</v>
      </c>
      <c r="C89" s="887">
        <v>1</v>
      </c>
      <c r="D89" s="887">
        <v>1</v>
      </c>
      <c r="E89" s="888">
        <v>40.72</v>
      </c>
      <c r="F89" s="888">
        <v>0.23</v>
      </c>
      <c r="G89" s="900">
        <v>0.35</v>
      </c>
      <c r="H89" s="876">
        <f t="shared" si="7"/>
        <v>3.2779600000000002</v>
      </c>
      <c r="I89" s="877"/>
      <c r="J89" s="890">
        <v>3.28</v>
      </c>
      <c r="K89" s="901" t="e">
        <f>#REF!-0.05</f>
        <v>#REF!</v>
      </c>
    </row>
    <row r="90" spans="1:11">
      <c r="A90" s="871"/>
      <c r="B90" s="891" t="s">
        <v>2064</v>
      </c>
      <c r="C90" s="873">
        <v>1</v>
      </c>
      <c r="D90" s="873">
        <v>1</v>
      </c>
      <c r="E90" s="888">
        <v>15.54</v>
      </c>
      <c r="F90" s="888">
        <v>0.23</v>
      </c>
      <c r="G90" s="900">
        <v>0.35</v>
      </c>
      <c r="H90" s="876">
        <f t="shared" si="7"/>
        <v>1.2509699999999999</v>
      </c>
      <c r="I90" s="877"/>
      <c r="J90" s="890">
        <v>1.25</v>
      </c>
    </row>
    <row r="91" spans="1:11" ht="31.5">
      <c r="A91" s="871"/>
      <c r="B91" s="891" t="s">
        <v>2065</v>
      </c>
      <c r="C91" s="873">
        <v>1</v>
      </c>
      <c r="D91" s="873">
        <v>1</v>
      </c>
      <c r="E91" s="888">
        <v>3.93</v>
      </c>
      <c r="F91" s="888">
        <v>0.23</v>
      </c>
      <c r="G91" s="900">
        <v>0.35</v>
      </c>
      <c r="H91" s="876">
        <f t="shared" si="7"/>
        <v>0.31636500000000001</v>
      </c>
      <c r="I91" s="877"/>
      <c r="J91" s="890">
        <v>0.32</v>
      </c>
    </row>
    <row r="92" spans="1:11" ht="31.5">
      <c r="A92" s="871"/>
      <c r="B92" s="891" t="s">
        <v>2066</v>
      </c>
      <c r="C92" s="873">
        <v>1</v>
      </c>
      <c r="D92" s="873">
        <v>1</v>
      </c>
      <c r="E92" s="888">
        <v>3.93</v>
      </c>
      <c r="F92" s="888">
        <v>0.23</v>
      </c>
      <c r="G92" s="900">
        <v>0.35</v>
      </c>
      <c r="H92" s="876">
        <f t="shared" si="7"/>
        <v>0.31636500000000001</v>
      </c>
      <c r="I92" s="877"/>
      <c r="J92" s="890">
        <v>0.32</v>
      </c>
    </row>
    <row r="93" spans="1:11" ht="31.5">
      <c r="A93" s="871"/>
      <c r="B93" s="891" t="s">
        <v>2067</v>
      </c>
      <c r="C93" s="873">
        <v>1</v>
      </c>
      <c r="D93" s="873">
        <v>3</v>
      </c>
      <c r="E93" s="888">
        <v>4.3899999999999997</v>
      </c>
      <c r="F93" s="888">
        <v>0.23</v>
      </c>
      <c r="G93" s="900">
        <v>0.35</v>
      </c>
      <c r="H93" s="876">
        <f t="shared" si="7"/>
        <v>1.0601849999999997</v>
      </c>
      <c r="I93" s="877"/>
      <c r="J93" s="890">
        <v>1.06</v>
      </c>
    </row>
    <row r="94" spans="1:11">
      <c r="A94" s="871"/>
      <c r="B94" s="891" t="s">
        <v>2085</v>
      </c>
      <c r="C94" s="873">
        <v>1</v>
      </c>
      <c r="D94" s="873">
        <v>1</v>
      </c>
      <c r="E94" s="888">
        <v>11.36</v>
      </c>
      <c r="F94" s="888">
        <v>0.23</v>
      </c>
      <c r="G94" s="900">
        <v>0.35</v>
      </c>
      <c r="H94" s="876">
        <f t="shared" si="7"/>
        <v>0.91447999999999996</v>
      </c>
      <c r="I94" s="877"/>
      <c r="J94" s="890">
        <v>0.92</v>
      </c>
    </row>
    <row r="95" spans="1:11">
      <c r="A95" s="871"/>
      <c r="B95" s="891" t="s">
        <v>2069</v>
      </c>
      <c r="C95" s="873">
        <v>1</v>
      </c>
      <c r="D95" s="873">
        <v>1</v>
      </c>
      <c r="E95" s="888">
        <v>10.9</v>
      </c>
      <c r="F95" s="888">
        <v>0.23</v>
      </c>
      <c r="G95" s="900">
        <v>0.35</v>
      </c>
      <c r="H95" s="876">
        <f t="shared" si="7"/>
        <v>0.87744999999999995</v>
      </c>
      <c r="I95" s="877"/>
      <c r="J95" s="890">
        <v>0.88</v>
      </c>
    </row>
    <row r="96" spans="1:11">
      <c r="A96" s="871"/>
      <c r="B96" s="891" t="s">
        <v>2070</v>
      </c>
      <c r="C96" s="873">
        <v>1</v>
      </c>
      <c r="D96" s="873">
        <v>1</v>
      </c>
      <c r="E96" s="888">
        <v>4.63</v>
      </c>
      <c r="F96" s="888">
        <v>0.23</v>
      </c>
      <c r="G96" s="900">
        <v>0.35</v>
      </c>
      <c r="H96" s="876">
        <f t="shared" si="7"/>
        <v>0.37271499999999996</v>
      </c>
      <c r="I96" s="877"/>
      <c r="J96" s="890">
        <v>0.37</v>
      </c>
    </row>
    <row r="97" spans="1:11">
      <c r="A97" s="871"/>
      <c r="B97" s="891" t="s">
        <v>2071</v>
      </c>
      <c r="C97" s="873">
        <v>1</v>
      </c>
      <c r="D97" s="873">
        <v>1</v>
      </c>
      <c r="E97" s="888">
        <v>7.06</v>
      </c>
      <c r="F97" s="888">
        <v>0.23</v>
      </c>
      <c r="G97" s="900">
        <v>0.35</v>
      </c>
      <c r="H97" s="876">
        <f t="shared" si="7"/>
        <v>0.56832999999999989</v>
      </c>
      <c r="I97" s="877"/>
      <c r="J97" s="890">
        <v>0.56999999999999995</v>
      </c>
    </row>
    <row r="98" spans="1:11">
      <c r="A98" s="871"/>
      <c r="B98" s="891" t="s">
        <v>2086</v>
      </c>
      <c r="C98" s="873">
        <v>1</v>
      </c>
      <c r="D98" s="873">
        <v>3</v>
      </c>
      <c r="E98" s="888">
        <v>2.1</v>
      </c>
      <c r="F98" s="888">
        <v>0.23</v>
      </c>
      <c r="G98" s="900">
        <v>0.23</v>
      </c>
      <c r="H98" s="876">
        <f t="shared" si="7"/>
        <v>0.33327000000000007</v>
      </c>
      <c r="I98" s="877"/>
      <c r="J98" s="890">
        <v>0.33</v>
      </c>
    </row>
    <row r="99" spans="1:11" ht="31.5">
      <c r="A99" s="871"/>
      <c r="B99" s="891" t="s">
        <v>2073</v>
      </c>
      <c r="C99" s="873">
        <v>1</v>
      </c>
      <c r="D99" s="873">
        <v>2</v>
      </c>
      <c r="E99" s="888">
        <v>0.9</v>
      </c>
      <c r="F99" s="888">
        <v>0.23</v>
      </c>
      <c r="G99" s="881">
        <v>0.23</v>
      </c>
      <c r="H99" s="876">
        <f>PRODUCT(C99:G99)</f>
        <v>9.5220000000000013E-2</v>
      </c>
      <c r="I99" s="877"/>
      <c r="J99" s="890">
        <v>0.1</v>
      </c>
      <c r="K99" s="865">
        <f>0.5</f>
        <v>0.5</v>
      </c>
    </row>
    <row r="100" spans="1:11">
      <c r="A100" s="871"/>
      <c r="B100" s="899" t="s">
        <v>2092</v>
      </c>
      <c r="C100" s="887"/>
      <c r="D100" s="887"/>
      <c r="E100" s="888"/>
      <c r="F100" s="888"/>
      <c r="G100" s="900"/>
      <c r="H100" s="876"/>
      <c r="I100" s="877"/>
      <c r="J100" s="890"/>
    </row>
    <row r="101" spans="1:11">
      <c r="A101" s="871"/>
      <c r="B101" s="891" t="s">
        <v>692</v>
      </c>
      <c r="C101" s="887">
        <v>1</v>
      </c>
      <c r="D101" s="887">
        <v>2</v>
      </c>
      <c r="E101" s="888">
        <v>0.3</v>
      </c>
      <c r="F101" s="888">
        <v>0.23</v>
      </c>
      <c r="G101" s="900">
        <v>0.9</v>
      </c>
      <c r="H101" s="876">
        <f t="shared" ref="H101:H117" si="9">PRODUCT(C101:G101)</f>
        <v>0.12420000000000002</v>
      </c>
      <c r="I101" s="877"/>
      <c r="J101" s="890">
        <v>0.12</v>
      </c>
      <c r="K101" s="865">
        <f>J101-0.15</f>
        <v>-0.03</v>
      </c>
    </row>
    <row r="102" spans="1:11">
      <c r="A102" s="871"/>
      <c r="B102" s="891" t="s">
        <v>2090</v>
      </c>
      <c r="C102" s="887">
        <v>1</v>
      </c>
      <c r="D102" s="887">
        <v>4</v>
      </c>
      <c r="E102" s="888">
        <v>0.3</v>
      </c>
      <c r="F102" s="888">
        <v>0.23</v>
      </c>
      <c r="G102" s="900">
        <v>0.9</v>
      </c>
      <c r="H102" s="876">
        <f t="shared" si="9"/>
        <v>0.24840000000000004</v>
      </c>
      <c r="I102" s="877"/>
      <c r="J102" s="890">
        <v>0.25</v>
      </c>
    </row>
    <row r="103" spans="1:11">
      <c r="A103" s="871"/>
      <c r="B103" s="891" t="s">
        <v>675</v>
      </c>
      <c r="C103" s="887">
        <v>1</v>
      </c>
      <c r="D103" s="887">
        <v>5</v>
      </c>
      <c r="E103" s="888">
        <v>0.3</v>
      </c>
      <c r="F103" s="888">
        <v>0.23</v>
      </c>
      <c r="G103" s="900">
        <v>0.9</v>
      </c>
      <c r="H103" s="876">
        <f t="shared" si="9"/>
        <v>0.31050000000000005</v>
      </c>
      <c r="I103" s="877"/>
      <c r="J103" s="890">
        <v>0.31</v>
      </c>
    </row>
    <row r="104" spans="1:11">
      <c r="A104" s="871"/>
      <c r="B104" s="891" t="s">
        <v>693</v>
      </c>
      <c r="C104" s="887">
        <v>1</v>
      </c>
      <c r="D104" s="887">
        <v>2</v>
      </c>
      <c r="E104" s="888">
        <v>0.45</v>
      </c>
      <c r="F104" s="888">
        <v>0.23</v>
      </c>
      <c r="G104" s="900">
        <v>0.9</v>
      </c>
      <c r="H104" s="876">
        <f t="shared" si="9"/>
        <v>0.18630000000000002</v>
      </c>
      <c r="I104" s="877"/>
      <c r="J104" s="890">
        <v>0.19</v>
      </c>
    </row>
    <row r="105" spans="1:11">
      <c r="A105" s="871"/>
      <c r="B105" s="891" t="s">
        <v>677</v>
      </c>
      <c r="C105" s="887">
        <v>1</v>
      </c>
      <c r="D105" s="887">
        <v>1</v>
      </c>
      <c r="E105" s="888">
        <v>0.45</v>
      </c>
      <c r="F105" s="888">
        <v>0.23</v>
      </c>
      <c r="G105" s="900">
        <v>0.9</v>
      </c>
      <c r="H105" s="876">
        <f t="shared" si="9"/>
        <v>9.3150000000000011E-2</v>
      </c>
      <c r="I105" s="877"/>
      <c r="J105" s="890">
        <v>0.09</v>
      </c>
    </row>
    <row r="106" spans="1:11">
      <c r="A106" s="871"/>
      <c r="B106" s="891" t="s">
        <v>2091</v>
      </c>
      <c r="C106" s="887">
        <v>1</v>
      </c>
      <c r="D106" s="887">
        <v>1</v>
      </c>
      <c r="E106" s="888">
        <v>0.45</v>
      </c>
      <c r="F106" s="888">
        <v>0.23</v>
      </c>
      <c r="G106" s="900">
        <v>0.9</v>
      </c>
      <c r="H106" s="876">
        <f t="shared" si="9"/>
        <v>9.3150000000000011E-2</v>
      </c>
      <c r="I106" s="877"/>
      <c r="J106" s="890">
        <v>0.09</v>
      </c>
    </row>
    <row r="107" spans="1:11">
      <c r="A107" s="871"/>
      <c r="B107" s="891" t="s">
        <v>678</v>
      </c>
      <c r="C107" s="887">
        <v>1</v>
      </c>
      <c r="D107" s="887">
        <v>2</v>
      </c>
      <c r="E107" s="1466">
        <f>3.14*0.144/4</f>
        <v>0.11304</v>
      </c>
      <c r="F107" s="1467"/>
      <c r="G107" s="900">
        <v>0.9</v>
      </c>
      <c r="H107" s="876">
        <f t="shared" si="9"/>
        <v>0.20347200000000001</v>
      </c>
      <c r="I107" s="877"/>
      <c r="J107" s="890">
        <v>0.2</v>
      </c>
    </row>
    <row r="108" spans="1:11">
      <c r="A108" s="871"/>
      <c r="B108" s="886" t="s">
        <v>2093</v>
      </c>
      <c r="C108" s="887">
        <f t="shared" ref="C108:F109" si="10">C89</f>
        <v>1</v>
      </c>
      <c r="D108" s="887">
        <f t="shared" si="10"/>
        <v>1</v>
      </c>
      <c r="E108" s="887">
        <f t="shared" si="10"/>
        <v>40.72</v>
      </c>
      <c r="F108" s="887">
        <f t="shared" si="10"/>
        <v>0.23</v>
      </c>
      <c r="G108" s="876">
        <v>0.15</v>
      </c>
      <c r="H108" s="876">
        <f t="shared" si="9"/>
        <v>1.4048400000000001</v>
      </c>
      <c r="I108" s="877"/>
      <c r="J108" s="890">
        <v>1.41</v>
      </c>
    </row>
    <row r="109" spans="1:11">
      <c r="A109" s="871"/>
      <c r="B109" s="891" t="str">
        <f>B90</f>
        <v>Portico 3 sides B</v>
      </c>
      <c r="C109" s="887">
        <f t="shared" si="10"/>
        <v>1</v>
      </c>
      <c r="D109" s="887">
        <f t="shared" si="10"/>
        <v>1</v>
      </c>
      <c r="E109" s="887">
        <f t="shared" si="10"/>
        <v>15.54</v>
      </c>
      <c r="F109" s="887">
        <f t="shared" si="10"/>
        <v>0.23</v>
      </c>
      <c r="G109" s="876">
        <v>0.15</v>
      </c>
      <c r="H109" s="876">
        <f t="shared" si="9"/>
        <v>0.53613</v>
      </c>
      <c r="I109" s="877"/>
      <c r="J109" s="890">
        <v>0.54</v>
      </c>
    </row>
    <row r="110" spans="1:11" ht="31.5">
      <c r="A110" s="871"/>
      <c r="B110" s="891" t="str">
        <f t="shared" ref="B110:F117" si="11">B91</f>
        <v>C/W between CCTNS and Entrance lobby/Reception</v>
      </c>
      <c r="C110" s="887">
        <f t="shared" si="11"/>
        <v>1</v>
      </c>
      <c r="D110" s="887">
        <f t="shared" si="11"/>
        <v>1</v>
      </c>
      <c r="E110" s="887">
        <f t="shared" si="11"/>
        <v>3.93</v>
      </c>
      <c r="F110" s="887">
        <f t="shared" si="11"/>
        <v>0.23</v>
      </c>
      <c r="G110" s="876">
        <v>0.15</v>
      </c>
      <c r="H110" s="876">
        <f t="shared" si="9"/>
        <v>0.13558500000000001</v>
      </c>
      <c r="I110" s="877"/>
      <c r="J110" s="890">
        <v>0.14000000000000001</v>
      </c>
    </row>
    <row r="111" spans="1:11" ht="31.5">
      <c r="A111" s="871"/>
      <c r="B111" s="891" t="str">
        <f t="shared" si="11"/>
        <v>C/W between INS and Entrance lobby/Reception</v>
      </c>
      <c r="C111" s="887">
        <f t="shared" si="11"/>
        <v>1</v>
      </c>
      <c r="D111" s="887">
        <f t="shared" si="11"/>
        <v>1</v>
      </c>
      <c r="E111" s="887">
        <f t="shared" si="11"/>
        <v>3.93</v>
      </c>
      <c r="F111" s="887">
        <f t="shared" si="11"/>
        <v>0.23</v>
      </c>
      <c r="G111" s="876">
        <v>0.15</v>
      </c>
      <c r="H111" s="876">
        <f t="shared" si="9"/>
        <v>0.13558500000000001</v>
      </c>
      <c r="I111" s="877"/>
      <c r="J111" s="890">
        <v>0.14000000000000001</v>
      </c>
    </row>
    <row r="112" spans="1:11" ht="31.5">
      <c r="A112" s="871"/>
      <c r="B112" s="891" t="str">
        <f t="shared" si="11"/>
        <v>In front of Lock - up (Women) &amp; Arms &amp; Ammunition and Station Writer</v>
      </c>
      <c r="C112" s="887">
        <f t="shared" si="11"/>
        <v>1</v>
      </c>
      <c r="D112" s="887">
        <f t="shared" si="11"/>
        <v>3</v>
      </c>
      <c r="E112" s="887">
        <f t="shared" si="11"/>
        <v>4.3899999999999997</v>
      </c>
      <c r="F112" s="887">
        <f t="shared" si="11"/>
        <v>0.23</v>
      </c>
      <c r="G112" s="876">
        <v>0.15</v>
      </c>
      <c r="H112" s="876">
        <f t="shared" si="9"/>
        <v>0.45436499999999991</v>
      </c>
      <c r="I112" s="877"/>
      <c r="J112" s="890">
        <v>0.45</v>
      </c>
    </row>
    <row r="113" spans="1:11">
      <c r="A113" s="871"/>
      <c r="B113" s="891" t="str">
        <f t="shared" si="11"/>
        <v>C/W between C1D1 to C9D9</v>
      </c>
      <c r="C113" s="887">
        <f t="shared" si="11"/>
        <v>1</v>
      </c>
      <c r="D113" s="887">
        <f t="shared" si="11"/>
        <v>1</v>
      </c>
      <c r="E113" s="887">
        <f t="shared" si="11"/>
        <v>11.36</v>
      </c>
      <c r="F113" s="887">
        <f t="shared" si="11"/>
        <v>0.23</v>
      </c>
      <c r="G113" s="876">
        <v>0.15</v>
      </c>
      <c r="H113" s="876">
        <f t="shared" si="9"/>
        <v>0.39191999999999999</v>
      </c>
      <c r="I113" s="877"/>
      <c r="J113" s="890">
        <v>0.39</v>
      </c>
    </row>
    <row r="114" spans="1:11">
      <c r="A114" s="871"/>
      <c r="B114" s="891" t="str">
        <f t="shared" si="11"/>
        <v>C/W between C1 to C9</v>
      </c>
      <c r="C114" s="887">
        <f t="shared" si="11"/>
        <v>1</v>
      </c>
      <c r="D114" s="887">
        <f t="shared" si="11"/>
        <v>1</v>
      </c>
      <c r="E114" s="887">
        <f t="shared" si="11"/>
        <v>10.9</v>
      </c>
      <c r="F114" s="887">
        <f t="shared" si="11"/>
        <v>0.23</v>
      </c>
      <c r="G114" s="876">
        <v>0.15</v>
      </c>
      <c r="H114" s="876">
        <f t="shared" si="9"/>
        <v>0.37605</v>
      </c>
      <c r="I114" s="877"/>
      <c r="J114" s="890">
        <v>0.38</v>
      </c>
    </row>
    <row r="115" spans="1:11">
      <c r="A115" s="871"/>
      <c r="B115" s="891" t="str">
        <f t="shared" si="11"/>
        <v>Ramp Two Sides</v>
      </c>
      <c r="C115" s="887">
        <f t="shared" si="11"/>
        <v>1</v>
      </c>
      <c r="D115" s="887">
        <f t="shared" si="11"/>
        <v>1</v>
      </c>
      <c r="E115" s="887">
        <f t="shared" si="11"/>
        <v>4.63</v>
      </c>
      <c r="F115" s="887">
        <f t="shared" si="11"/>
        <v>0.23</v>
      </c>
      <c r="G115" s="876">
        <v>0.15</v>
      </c>
      <c r="H115" s="876">
        <f t="shared" si="9"/>
        <v>0.15973499999999999</v>
      </c>
      <c r="I115" s="877"/>
      <c r="J115" s="890">
        <v>0.16</v>
      </c>
    </row>
    <row r="116" spans="1:11">
      <c r="A116" s="871"/>
      <c r="B116" s="891" t="str">
        <f t="shared" si="11"/>
        <v>Three Sides of Wall at Rear sides Toilet</v>
      </c>
      <c r="C116" s="887">
        <f t="shared" si="11"/>
        <v>1</v>
      </c>
      <c r="D116" s="887">
        <f t="shared" si="11"/>
        <v>1</v>
      </c>
      <c r="E116" s="887">
        <f t="shared" si="11"/>
        <v>7.06</v>
      </c>
      <c r="F116" s="887">
        <f t="shared" si="11"/>
        <v>0.23</v>
      </c>
      <c r="G116" s="876">
        <v>0.15</v>
      </c>
      <c r="H116" s="876">
        <f t="shared" si="9"/>
        <v>0.24356999999999998</v>
      </c>
      <c r="I116" s="877"/>
      <c r="J116" s="890">
        <v>0.24</v>
      </c>
    </row>
    <row r="117" spans="1:11">
      <c r="A117" s="871"/>
      <c r="B117" s="891" t="str">
        <f t="shared" si="11"/>
        <v>C/W Between Rear Side Toilet</v>
      </c>
      <c r="C117" s="887">
        <f t="shared" si="11"/>
        <v>1</v>
      </c>
      <c r="D117" s="887">
        <f t="shared" si="11"/>
        <v>3</v>
      </c>
      <c r="E117" s="887">
        <f t="shared" si="11"/>
        <v>2.1</v>
      </c>
      <c r="F117" s="887">
        <f t="shared" si="11"/>
        <v>0.23</v>
      </c>
      <c r="G117" s="876">
        <v>0.15</v>
      </c>
      <c r="H117" s="876">
        <f t="shared" si="9"/>
        <v>0.21735000000000004</v>
      </c>
      <c r="I117" s="877"/>
      <c r="J117" s="890">
        <v>0.22</v>
      </c>
    </row>
    <row r="118" spans="1:11">
      <c r="A118" s="871"/>
      <c r="B118" s="891" t="s">
        <v>2074</v>
      </c>
      <c r="C118" s="887">
        <v>1</v>
      </c>
      <c r="D118" s="887">
        <v>10</v>
      </c>
      <c r="E118" s="887">
        <v>1.25</v>
      </c>
      <c r="F118" s="887">
        <v>1.25</v>
      </c>
      <c r="G118" s="876">
        <v>0.1</v>
      </c>
      <c r="H118" s="876">
        <f>PRODUCT(C118:G118)</f>
        <v>1.5625</v>
      </c>
      <c r="I118" s="877"/>
      <c r="J118" s="890"/>
    </row>
    <row r="119" spans="1:11" ht="39" customHeight="1">
      <c r="A119" s="871"/>
      <c r="B119" s="891" t="str">
        <f>B99</f>
        <v>C/W Between vertical in Toilet @ women and men lock up</v>
      </c>
      <c r="C119" s="887">
        <f>C99</f>
        <v>1</v>
      </c>
      <c r="D119" s="887">
        <f>D99</f>
        <v>2</v>
      </c>
      <c r="E119" s="887">
        <f>E99</f>
        <v>0.9</v>
      </c>
      <c r="F119" s="887">
        <f>F99</f>
        <v>0.23</v>
      </c>
      <c r="G119" s="876">
        <v>0.15</v>
      </c>
      <c r="H119" s="876">
        <f>PRODUCT(C119:G119)</f>
        <v>6.2100000000000002E-2</v>
      </c>
      <c r="I119" s="877"/>
      <c r="J119" s="890">
        <v>1.56</v>
      </c>
    </row>
    <row r="120" spans="1:11">
      <c r="A120" s="871"/>
      <c r="B120" s="891"/>
      <c r="C120" s="873"/>
      <c r="D120" s="873"/>
      <c r="E120" s="888"/>
      <c r="F120" s="888"/>
      <c r="G120" s="876" t="s">
        <v>57</v>
      </c>
      <c r="H120" s="876">
        <f>SUM(H77:H119)</f>
        <v>30.596167000000001</v>
      </c>
      <c r="I120" s="877"/>
      <c r="J120" s="890">
        <v>0.06</v>
      </c>
    </row>
    <row r="121" spans="1:11" ht="18">
      <c r="A121" s="871"/>
      <c r="B121" s="891"/>
      <c r="C121" s="873"/>
      <c r="D121" s="873"/>
      <c r="E121" s="874"/>
      <c r="F121" s="888"/>
      <c r="G121" s="892" t="s">
        <v>206</v>
      </c>
      <c r="H121" s="893">
        <f>ROUNDUP(H120,1)</f>
        <v>30.6</v>
      </c>
      <c r="I121" s="894" t="s">
        <v>2075</v>
      </c>
    </row>
    <row r="122" spans="1:11">
      <c r="A122" s="871"/>
      <c r="B122" s="891"/>
      <c r="C122" s="873"/>
      <c r="D122" s="873"/>
      <c r="E122" s="874"/>
      <c r="F122" s="888"/>
      <c r="G122" s="892"/>
      <c r="H122" s="893"/>
      <c r="I122" s="894"/>
    </row>
    <row r="123" spans="1:11" ht="33" customHeight="1">
      <c r="A123" s="871">
        <v>6.5</v>
      </c>
      <c r="B123" s="886" t="s">
        <v>2094</v>
      </c>
      <c r="C123" s="886"/>
      <c r="D123" s="873"/>
      <c r="E123" s="874"/>
      <c r="F123" s="888"/>
      <c r="G123" s="876"/>
      <c r="H123" s="876"/>
      <c r="I123" s="877"/>
    </row>
    <row r="124" spans="1:11">
      <c r="A124" s="871"/>
      <c r="B124" s="886" t="s">
        <v>2095</v>
      </c>
      <c r="C124" s="887">
        <v>1</v>
      </c>
      <c r="D124" s="887">
        <v>1</v>
      </c>
      <c r="E124" s="888">
        <f>2*(9+11.82-0.46+2.33)</f>
        <v>45.379999999999995</v>
      </c>
      <c r="F124" s="888">
        <v>0.23</v>
      </c>
      <c r="G124" s="876">
        <v>0.78</v>
      </c>
      <c r="H124" s="876">
        <f t="shared" ref="H124:H137" si="12">PRODUCT(C124:G124)</f>
        <v>8.141172000000001</v>
      </c>
      <c r="I124" s="877"/>
      <c r="J124" s="864">
        <f>1.05-0.12-0.15</f>
        <v>0.78</v>
      </c>
      <c r="K124" s="901">
        <f>G124-0.45</f>
        <v>0.33</v>
      </c>
    </row>
    <row r="125" spans="1:11">
      <c r="A125" s="871"/>
      <c r="B125" s="891" t="s">
        <v>2064</v>
      </c>
      <c r="C125" s="873">
        <v>1</v>
      </c>
      <c r="D125" s="873">
        <v>1</v>
      </c>
      <c r="E125" s="888">
        <f>5.75+4.5+5.75</f>
        <v>16</v>
      </c>
      <c r="F125" s="888">
        <v>0.23</v>
      </c>
      <c r="G125" s="876">
        <f>G124-0.45</f>
        <v>0.33</v>
      </c>
      <c r="H125" s="876">
        <f t="shared" si="12"/>
        <v>1.2144000000000001</v>
      </c>
      <c r="I125" s="877"/>
      <c r="J125" s="890"/>
    </row>
    <row r="126" spans="1:11" ht="30.75" customHeight="1">
      <c r="A126" s="871"/>
      <c r="B126" s="891" t="s">
        <v>2065</v>
      </c>
      <c r="C126" s="873">
        <v>1</v>
      </c>
      <c r="D126" s="873">
        <v>1</v>
      </c>
      <c r="E126" s="888">
        <v>3.93</v>
      </c>
      <c r="F126" s="888">
        <v>0.23</v>
      </c>
      <c r="G126" s="876">
        <v>0.78</v>
      </c>
      <c r="H126" s="876">
        <f t="shared" si="12"/>
        <v>0.70504200000000006</v>
      </c>
      <c r="I126" s="877"/>
      <c r="J126" s="890"/>
      <c r="K126" s="901">
        <f>G126+0.15</f>
        <v>0.93</v>
      </c>
    </row>
    <row r="127" spans="1:11" ht="31.5">
      <c r="A127" s="871"/>
      <c r="B127" s="891" t="s">
        <v>2066</v>
      </c>
      <c r="C127" s="873">
        <v>1</v>
      </c>
      <c r="D127" s="873">
        <v>1</v>
      </c>
      <c r="E127" s="888">
        <v>3.93</v>
      </c>
      <c r="F127" s="888">
        <v>0.23</v>
      </c>
      <c r="G127" s="876">
        <v>0.78</v>
      </c>
      <c r="H127" s="876">
        <f>PRODUCT(C127:G127)</f>
        <v>0.70504200000000006</v>
      </c>
      <c r="I127" s="877"/>
      <c r="J127" s="890"/>
    </row>
    <row r="128" spans="1:11" ht="31.5">
      <c r="A128" s="871"/>
      <c r="B128" s="891" t="s">
        <v>2096</v>
      </c>
      <c r="C128" s="873">
        <v>1</v>
      </c>
      <c r="D128" s="873">
        <v>1</v>
      </c>
      <c r="E128" s="888">
        <f>2.77+0.23+1.5</f>
        <v>4.5</v>
      </c>
      <c r="F128" s="888">
        <v>0.23</v>
      </c>
      <c r="G128" s="876">
        <v>0.78</v>
      </c>
      <c r="H128" s="876">
        <f t="shared" si="12"/>
        <v>0.80730000000000013</v>
      </c>
      <c r="I128" s="877"/>
      <c r="J128" s="890"/>
    </row>
    <row r="129" spans="1:10">
      <c r="A129" s="871"/>
      <c r="B129" s="891" t="s">
        <v>2097</v>
      </c>
      <c r="C129" s="873">
        <v>1</v>
      </c>
      <c r="D129" s="873">
        <v>1</v>
      </c>
      <c r="E129" s="888">
        <v>4.5</v>
      </c>
      <c r="F129" s="888">
        <v>0.23</v>
      </c>
      <c r="G129" s="876">
        <v>0.78</v>
      </c>
      <c r="H129" s="876">
        <f t="shared" si="12"/>
        <v>0.80730000000000013</v>
      </c>
      <c r="I129" s="877"/>
      <c r="J129" s="890"/>
    </row>
    <row r="130" spans="1:10">
      <c r="A130" s="871"/>
      <c r="B130" s="891" t="s">
        <v>2098</v>
      </c>
      <c r="C130" s="873">
        <v>1</v>
      </c>
      <c r="D130" s="873">
        <v>1</v>
      </c>
      <c r="E130" s="888">
        <f>2.77+0.23+1.5</f>
        <v>4.5</v>
      </c>
      <c r="F130" s="888">
        <v>0.23</v>
      </c>
      <c r="G130" s="876">
        <v>0.78</v>
      </c>
      <c r="H130" s="876">
        <f>PRODUCT(C130:G130)</f>
        <v>0.80730000000000013</v>
      </c>
      <c r="I130" s="877"/>
      <c r="J130" s="890"/>
    </row>
    <row r="131" spans="1:10">
      <c r="A131" s="871"/>
      <c r="B131" s="891" t="s">
        <v>2099</v>
      </c>
      <c r="C131" s="873">
        <v>1</v>
      </c>
      <c r="D131" s="873">
        <v>1</v>
      </c>
      <c r="E131" s="888">
        <f>11.82-0.46</f>
        <v>11.36</v>
      </c>
      <c r="F131" s="888">
        <v>0.23</v>
      </c>
      <c r="G131" s="876">
        <v>0.78</v>
      </c>
      <c r="H131" s="876">
        <f t="shared" si="12"/>
        <v>2.0379840000000002</v>
      </c>
      <c r="I131" s="877"/>
      <c r="J131" s="890"/>
    </row>
    <row r="132" spans="1:10">
      <c r="A132" s="871"/>
      <c r="B132" s="891" t="s">
        <v>2100</v>
      </c>
      <c r="C132" s="873">
        <v>1</v>
      </c>
      <c r="D132" s="873">
        <v>1</v>
      </c>
      <c r="E132" s="888">
        <f>4.7-0.46</f>
        <v>4.24</v>
      </c>
      <c r="F132" s="888">
        <v>0.23</v>
      </c>
      <c r="G132" s="876">
        <v>0.6</v>
      </c>
      <c r="H132" s="876">
        <f t="shared" si="12"/>
        <v>0.58511999999999997</v>
      </c>
      <c r="I132" s="877"/>
      <c r="J132" s="890"/>
    </row>
    <row r="133" spans="1:10">
      <c r="A133" s="871"/>
      <c r="B133" s="891" t="s">
        <v>2101</v>
      </c>
      <c r="C133" s="873">
        <v>1</v>
      </c>
      <c r="D133" s="873">
        <v>1</v>
      </c>
      <c r="E133" s="888">
        <f>2.33-0.23</f>
        <v>2.1</v>
      </c>
      <c r="F133" s="888">
        <v>0.23</v>
      </c>
      <c r="G133" s="876">
        <v>0.98</v>
      </c>
      <c r="H133" s="876">
        <f t="shared" si="12"/>
        <v>0.47334000000000004</v>
      </c>
      <c r="I133" s="877"/>
      <c r="J133" s="890"/>
    </row>
    <row r="134" spans="1:10">
      <c r="A134" s="871"/>
      <c r="B134" s="891" t="s">
        <v>2102</v>
      </c>
      <c r="C134" s="873">
        <v>1</v>
      </c>
      <c r="D134" s="873">
        <v>1</v>
      </c>
      <c r="E134" s="888">
        <f>3.66+1.5+1.5+1.75</f>
        <v>8.41</v>
      </c>
      <c r="F134" s="888">
        <v>0.23</v>
      </c>
      <c r="G134" s="876">
        <v>0.7</v>
      </c>
      <c r="H134" s="876">
        <f t="shared" si="12"/>
        <v>1.3540099999999999</v>
      </c>
      <c r="I134" s="877"/>
      <c r="J134" s="890"/>
    </row>
    <row r="135" spans="1:10">
      <c r="A135" s="871"/>
      <c r="B135" s="891" t="s">
        <v>2103</v>
      </c>
      <c r="C135" s="873">
        <v>1</v>
      </c>
      <c r="D135" s="873">
        <v>1</v>
      </c>
      <c r="E135" s="888">
        <v>1.5</v>
      </c>
      <c r="F135" s="888">
        <v>0.9</v>
      </c>
      <c r="G135" s="876">
        <v>0.75</v>
      </c>
      <c r="H135" s="876">
        <f t="shared" si="12"/>
        <v>1.0125000000000002</v>
      </c>
      <c r="I135" s="877"/>
      <c r="J135" s="890"/>
    </row>
    <row r="136" spans="1:10">
      <c r="A136" s="871"/>
      <c r="B136" s="891" t="s">
        <v>2104</v>
      </c>
      <c r="C136" s="873">
        <v>1</v>
      </c>
      <c r="D136" s="873">
        <v>1</v>
      </c>
      <c r="E136" s="888">
        <v>1.5</v>
      </c>
      <c r="F136" s="888">
        <v>0.6</v>
      </c>
      <c r="G136" s="876">
        <v>0.15</v>
      </c>
      <c r="H136" s="876">
        <f t="shared" si="12"/>
        <v>0.13499999999999998</v>
      </c>
      <c r="I136" s="877"/>
      <c r="J136" s="890"/>
    </row>
    <row r="137" spans="1:10">
      <c r="A137" s="871"/>
      <c r="B137" s="891" t="s">
        <v>2105</v>
      </c>
      <c r="C137" s="873">
        <v>1</v>
      </c>
      <c r="D137" s="873">
        <v>1</v>
      </c>
      <c r="E137" s="888">
        <v>1.5</v>
      </c>
      <c r="F137" s="888">
        <v>0.3</v>
      </c>
      <c r="G137" s="876">
        <v>0.15</v>
      </c>
      <c r="H137" s="876">
        <f t="shared" si="12"/>
        <v>6.7499999999999991E-2</v>
      </c>
      <c r="I137" s="877"/>
      <c r="J137" s="890"/>
    </row>
    <row r="138" spans="1:10">
      <c r="A138" s="871"/>
      <c r="B138" s="891" t="s">
        <v>2074</v>
      </c>
      <c r="C138" s="873">
        <v>1</v>
      </c>
      <c r="D138" s="873">
        <v>10</v>
      </c>
      <c r="E138" s="888">
        <v>3.32</v>
      </c>
      <c r="F138" s="888">
        <v>0.23</v>
      </c>
      <c r="G138" s="876">
        <v>0.8</v>
      </c>
      <c r="H138" s="876">
        <f>PRODUCT(C138:G138)</f>
        <v>6.1087999999999996</v>
      </c>
      <c r="I138" s="877"/>
    </row>
    <row r="139" spans="1:10">
      <c r="A139" s="871"/>
      <c r="B139" s="886" t="s">
        <v>2106</v>
      </c>
      <c r="C139" s="873">
        <v>1</v>
      </c>
      <c r="D139" s="873">
        <v>2</v>
      </c>
      <c r="E139" s="888">
        <v>2.4</v>
      </c>
      <c r="F139" s="888">
        <v>0.23</v>
      </c>
      <c r="G139" s="876">
        <v>1.08</v>
      </c>
      <c r="H139" s="876">
        <f>PRODUCT(C139:G139)</f>
        <v>1.1923200000000003</v>
      </c>
      <c r="I139" s="877"/>
    </row>
    <row r="140" spans="1:10">
      <c r="A140" s="871"/>
      <c r="B140" s="886" t="s">
        <v>2107</v>
      </c>
      <c r="C140" s="873">
        <v>1</v>
      </c>
      <c r="D140" s="873">
        <v>1</v>
      </c>
      <c r="E140" s="888">
        <v>2.4</v>
      </c>
      <c r="F140" s="888">
        <v>0.23</v>
      </c>
      <c r="G140" s="876">
        <v>1.08</v>
      </c>
      <c r="H140" s="876">
        <f>PRODUCT(C140:G140)</f>
        <v>0.59616000000000013</v>
      </c>
      <c r="I140" s="877"/>
    </row>
    <row r="141" spans="1:10">
      <c r="A141" s="871"/>
      <c r="B141" s="886" t="s">
        <v>2108</v>
      </c>
      <c r="C141" s="873">
        <v>1</v>
      </c>
      <c r="D141" s="873">
        <v>1</v>
      </c>
      <c r="E141" s="888">
        <v>2.1</v>
      </c>
      <c r="F141" s="888">
        <v>0.23</v>
      </c>
      <c r="G141" s="876">
        <v>1.08</v>
      </c>
      <c r="H141" s="876">
        <f>PRODUCT(C141:G141)</f>
        <v>0.5216400000000001</v>
      </c>
      <c r="I141" s="877"/>
    </row>
    <row r="142" spans="1:10">
      <c r="A142" s="871"/>
      <c r="B142" s="891"/>
      <c r="C142" s="873"/>
      <c r="D142" s="873"/>
      <c r="E142" s="874"/>
      <c r="F142" s="888"/>
      <c r="G142" s="876" t="s">
        <v>57</v>
      </c>
      <c r="H142" s="876">
        <f>SUM(H124:H141)</f>
        <v>27.271929999999998</v>
      </c>
      <c r="I142" s="897"/>
    </row>
    <row r="143" spans="1:10" ht="18">
      <c r="A143" s="871"/>
      <c r="B143" s="891"/>
      <c r="C143" s="873"/>
      <c r="D143" s="873"/>
      <c r="E143" s="874"/>
      <c r="F143" s="888"/>
      <c r="G143" s="896" t="s">
        <v>206</v>
      </c>
      <c r="H143" s="896">
        <f>ROUNDUP(H142,1)</f>
        <v>27.3</v>
      </c>
      <c r="I143" s="897" t="s">
        <v>2075</v>
      </c>
    </row>
    <row r="144" spans="1:10">
      <c r="A144" s="871"/>
      <c r="B144" s="891"/>
      <c r="C144" s="873"/>
      <c r="D144" s="873"/>
      <c r="E144" s="874"/>
      <c r="F144" s="888"/>
      <c r="G144" s="896"/>
      <c r="H144" s="896"/>
      <c r="I144" s="897"/>
    </row>
    <row r="145" spans="1:11" ht="33" customHeight="1">
      <c r="A145" s="871">
        <v>8.1</v>
      </c>
      <c r="B145" s="886" t="s">
        <v>547</v>
      </c>
      <c r="C145" s="873"/>
      <c r="D145" s="873"/>
      <c r="E145" s="874"/>
      <c r="F145" s="873"/>
      <c r="G145" s="875"/>
      <c r="H145" s="876"/>
      <c r="I145" s="877"/>
    </row>
    <row r="146" spans="1:11" ht="24.75" customHeight="1">
      <c r="A146" s="871" t="s">
        <v>2058</v>
      </c>
      <c r="B146" s="878" t="s">
        <v>978</v>
      </c>
      <c r="C146" s="873"/>
      <c r="D146" s="873"/>
      <c r="E146" s="874"/>
      <c r="F146" s="873"/>
      <c r="G146" s="875"/>
      <c r="H146" s="876"/>
      <c r="I146" s="877"/>
    </row>
    <row r="147" spans="1:11">
      <c r="A147" s="871"/>
      <c r="B147" s="891" t="s">
        <v>692</v>
      </c>
      <c r="C147" s="887">
        <v>1</v>
      </c>
      <c r="D147" s="887">
        <v>2</v>
      </c>
      <c r="E147" s="888">
        <v>0.3</v>
      </c>
      <c r="F147" s="888">
        <v>0.23</v>
      </c>
      <c r="G147" s="876">
        <v>2.9</v>
      </c>
      <c r="H147" s="876">
        <f t="shared" ref="H147:H196" si="13">PRODUCT(C147:G147)</f>
        <v>0.4002</v>
      </c>
      <c r="I147" s="877"/>
      <c r="J147" s="890">
        <f>F147-3.3</f>
        <v>-3.07</v>
      </c>
    </row>
    <row r="148" spans="1:11">
      <c r="A148" s="871"/>
      <c r="B148" s="891" t="s">
        <v>2090</v>
      </c>
      <c r="C148" s="887">
        <v>1</v>
      </c>
      <c r="D148" s="887">
        <v>4</v>
      </c>
      <c r="E148" s="888">
        <v>0.3</v>
      </c>
      <c r="F148" s="888">
        <v>0.23</v>
      </c>
      <c r="G148" s="876">
        <f t="shared" ref="G148:G153" si="14">G147</f>
        <v>2.9</v>
      </c>
      <c r="H148" s="876">
        <f t="shared" si="13"/>
        <v>0.8004</v>
      </c>
      <c r="I148" s="877"/>
      <c r="J148" s="890">
        <f>F148-3.3</f>
        <v>-3.07</v>
      </c>
    </row>
    <row r="149" spans="1:11">
      <c r="A149" s="871"/>
      <c r="B149" s="891" t="s">
        <v>675</v>
      </c>
      <c r="C149" s="887">
        <v>1</v>
      </c>
      <c r="D149" s="887">
        <v>5</v>
      </c>
      <c r="E149" s="888">
        <v>0.3</v>
      </c>
      <c r="F149" s="888">
        <v>0.23</v>
      </c>
      <c r="G149" s="876">
        <f t="shared" si="14"/>
        <v>2.9</v>
      </c>
      <c r="H149" s="876">
        <f t="shared" si="13"/>
        <v>1.0004999999999999</v>
      </c>
      <c r="I149" s="877"/>
    </row>
    <row r="150" spans="1:11">
      <c r="A150" s="871"/>
      <c r="B150" s="891" t="s">
        <v>693</v>
      </c>
      <c r="C150" s="887">
        <v>1</v>
      </c>
      <c r="D150" s="887">
        <v>2</v>
      </c>
      <c r="E150" s="888">
        <v>0.45</v>
      </c>
      <c r="F150" s="888">
        <v>0.23</v>
      </c>
      <c r="G150" s="876">
        <f t="shared" si="14"/>
        <v>2.9</v>
      </c>
      <c r="H150" s="876">
        <f t="shared" si="13"/>
        <v>0.60030000000000006</v>
      </c>
      <c r="I150" s="877"/>
    </row>
    <row r="151" spans="1:11">
      <c r="A151" s="871"/>
      <c r="B151" s="891" t="s">
        <v>677</v>
      </c>
      <c r="C151" s="887">
        <v>1</v>
      </c>
      <c r="D151" s="887">
        <v>1</v>
      </c>
      <c r="E151" s="888">
        <v>0.45</v>
      </c>
      <c r="F151" s="888">
        <v>0.23</v>
      </c>
      <c r="G151" s="876">
        <f t="shared" si="14"/>
        <v>2.9</v>
      </c>
      <c r="H151" s="876">
        <f t="shared" si="13"/>
        <v>0.30015000000000003</v>
      </c>
      <c r="I151" s="877"/>
    </row>
    <row r="152" spans="1:11">
      <c r="A152" s="871"/>
      <c r="B152" s="891" t="s">
        <v>2091</v>
      </c>
      <c r="C152" s="887">
        <v>1</v>
      </c>
      <c r="D152" s="887">
        <v>1</v>
      </c>
      <c r="E152" s="888">
        <v>0.45</v>
      </c>
      <c r="F152" s="888">
        <v>0.23</v>
      </c>
      <c r="G152" s="876">
        <f t="shared" si="14"/>
        <v>2.9</v>
      </c>
      <c r="H152" s="876">
        <f t="shared" si="13"/>
        <v>0.30015000000000003</v>
      </c>
      <c r="I152" s="877"/>
      <c r="K152" s="865">
        <f>0.11*D153*G153</f>
        <v>0.63800000000000001</v>
      </c>
    </row>
    <row r="153" spans="1:11">
      <c r="A153" s="871"/>
      <c r="B153" s="891" t="s">
        <v>678</v>
      </c>
      <c r="C153" s="887">
        <v>1</v>
      </c>
      <c r="D153" s="887">
        <v>2</v>
      </c>
      <c r="E153" s="1466">
        <f>3.14*0.144/4</f>
        <v>0.11304</v>
      </c>
      <c r="F153" s="1467"/>
      <c r="G153" s="876">
        <f t="shared" si="14"/>
        <v>2.9</v>
      </c>
      <c r="H153" s="876">
        <f t="shared" si="13"/>
        <v>0.65563199999999999</v>
      </c>
      <c r="I153" s="877"/>
      <c r="J153" s="864">
        <f>0.38/2</f>
        <v>0.19</v>
      </c>
    </row>
    <row r="154" spans="1:11">
      <c r="A154" s="871"/>
      <c r="B154" s="891" t="s">
        <v>2109</v>
      </c>
      <c r="C154" s="873">
        <v>1</v>
      </c>
      <c r="D154" s="887">
        <v>3</v>
      </c>
      <c r="E154" s="888">
        <f>1.5+0.46</f>
        <v>1.96</v>
      </c>
      <c r="F154" s="888">
        <v>0.23</v>
      </c>
      <c r="G154" s="876">
        <v>0.05</v>
      </c>
      <c r="H154" s="876">
        <f t="shared" si="13"/>
        <v>6.762E-2</v>
      </c>
      <c r="I154" s="877"/>
    </row>
    <row r="155" spans="1:11">
      <c r="A155" s="871"/>
      <c r="B155" s="891" t="s">
        <v>2110</v>
      </c>
      <c r="C155" s="873">
        <v>1</v>
      </c>
      <c r="D155" s="887">
        <v>2</v>
      </c>
      <c r="E155" s="888">
        <f>1.5+0.46</f>
        <v>1.96</v>
      </c>
      <c r="F155" s="888">
        <v>0.23</v>
      </c>
      <c r="G155" s="876">
        <v>0.05</v>
      </c>
      <c r="H155" s="876">
        <f t="shared" si="13"/>
        <v>4.5080000000000009E-2</v>
      </c>
      <c r="I155" s="877"/>
    </row>
    <row r="156" spans="1:11">
      <c r="A156" s="871"/>
      <c r="B156" s="891" t="s">
        <v>2111</v>
      </c>
      <c r="C156" s="873">
        <v>1</v>
      </c>
      <c r="D156" s="873">
        <v>1</v>
      </c>
      <c r="E156" s="888">
        <v>40.72</v>
      </c>
      <c r="F156" s="888">
        <v>0.23</v>
      </c>
      <c r="G156" s="875">
        <v>0.125</v>
      </c>
      <c r="H156" s="876">
        <f t="shared" si="13"/>
        <v>1.1707000000000001</v>
      </c>
      <c r="I156" s="902"/>
    </row>
    <row r="157" spans="1:11">
      <c r="A157" s="871"/>
      <c r="B157" s="886" t="s">
        <v>2112</v>
      </c>
      <c r="C157" s="873">
        <v>1</v>
      </c>
      <c r="D157" s="873">
        <v>-1</v>
      </c>
      <c r="E157" s="888">
        <v>2.4</v>
      </c>
      <c r="F157" s="888">
        <v>0.23</v>
      </c>
      <c r="G157" s="875">
        <v>0.125</v>
      </c>
      <c r="H157" s="876">
        <f t="shared" si="13"/>
        <v>-6.9000000000000006E-2</v>
      </c>
      <c r="I157" s="902"/>
    </row>
    <row r="158" spans="1:11">
      <c r="A158" s="871"/>
      <c r="B158" s="886" t="s">
        <v>2113</v>
      </c>
      <c r="C158" s="873">
        <v>1</v>
      </c>
      <c r="D158" s="873">
        <v>1</v>
      </c>
      <c r="E158" s="888">
        <f>2.4+0.115+1.525+0.115</f>
        <v>4.1550000000000002</v>
      </c>
      <c r="F158" s="888">
        <v>0.23</v>
      </c>
      <c r="G158" s="875">
        <v>0.125</v>
      </c>
      <c r="H158" s="876">
        <f t="shared" si="13"/>
        <v>0.11945625000000001</v>
      </c>
      <c r="I158" s="902"/>
    </row>
    <row r="159" spans="1:11">
      <c r="A159" s="871"/>
      <c r="B159" s="886" t="s">
        <v>2114</v>
      </c>
      <c r="C159" s="873">
        <v>1</v>
      </c>
      <c r="D159" s="873">
        <v>1</v>
      </c>
      <c r="E159" s="888">
        <v>3.8</v>
      </c>
      <c r="F159" s="888">
        <v>0.23</v>
      </c>
      <c r="G159" s="875">
        <v>0.125</v>
      </c>
      <c r="H159" s="876">
        <f t="shared" si="13"/>
        <v>0.10925</v>
      </c>
      <c r="I159" s="902"/>
    </row>
    <row r="160" spans="1:11">
      <c r="A160" s="871"/>
      <c r="B160" s="886" t="s">
        <v>2115</v>
      </c>
      <c r="C160" s="873">
        <v>1</v>
      </c>
      <c r="D160" s="873">
        <v>1</v>
      </c>
      <c r="E160" s="888">
        <v>4.49</v>
      </c>
      <c r="F160" s="888">
        <v>0.23</v>
      </c>
      <c r="G160" s="875">
        <v>0.125</v>
      </c>
      <c r="H160" s="876">
        <f t="shared" si="13"/>
        <v>0.12908750000000002</v>
      </c>
      <c r="I160" s="902"/>
    </row>
    <row r="161" spans="1:14">
      <c r="A161" s="871"/>
      <c r="B161" s="886" t="s">
        <v>2116</v>
      </c>
      <c r="C161" s="873">
        <v>1</v>
      </c>
      <c r="D161" s="873">
        <v>1</v>
      </c>
      <c r="E161" s="888">
        <v>4.3899999999999997</v>
      </c>
      <c r="F161" s="888">
        <v>0.23</v>
      </c>
      <c r="G161" s="875">
        <v>0.125</v>
      </c>
      <c r="H161" s="876">
        <f t="shared" si="13"/>
        <v>0.12621250000000001</v>
      </c>
      <c r="I161" s="902"/>
    </row>
    <row r="162" spans="1:14">
      <c r="A162" s="871"/>
      <c r="B162" s="903" t="s">
        <v>2117</v>
      </c>
      <c r="C162" s="904">
        <v>1</v>
      </c>
      <c r="D162" s="904">
        <v>1</v>
      </c>
      <c r="E162" s="905">
        <v>3.93</v>
      </c>
      <c r="F162" s="905">
        <v>0.6</v>
      </c>
      <c r="G162" s="906">
        <v>7.4999999999999997E-2</v>
      </c>
      <c r="H162" s="903">
        <f t="shared" si="13"/>
        <v>0.17685000000000001</v>
      </c>
      <c r="I162" s="877"/>
    </row>
    <row r="163" spans="1:14">
      <c r="A163" s="871"/>
      <c r="B163" s="903" t="s">
        <v>2118</v>
      </c>
      <c r="C163" s="904">
        <v>1</v>
      </c>
      <c r="D163" s="904">
        <v>1</v>
      </c>
      <c r="E163" s="905">
        <v>4.3899999999999997</v>
      </c>
      <c r="F163" s="905">
        <v>0.23</v>
      </c>
      <c r="G163" s="907">
        <v>0.15</v>
      </c>
      <c r="H163" s="903">
        <f t="shared" si="13"/>
        <v>0.15145500000000001</v>
      </c>
      <c r="I163" s="877"/>
    </row>
    <row r="164" spans="1:14">
      <c r="A164" s="871"/>
      <c r="B164" s="903" t="s">
        <v>2119</v>
      </c>
      <c r="C164" s="904">
        <v>1</v>
      </c>
      <c r="D164" s="904">
        <v>5</v>
      </c>
      <c r="E164" s="905">
        <v>1.96</v>
      </c>
      <c r="F164" s="905">
        <v>0.23</v>
      </c>
      <c r="G164" s="907">
        <v>0.15</v>
      </c>
      <c r="H164" s="903">
        <f t="shared" si="13"/>
        <v>0.33810000000000007</v>
      </c>
      <c r="I164" s="877"/>
    </row>
    <row r="165" spans="1:14">
      <c r="A165" s="871"/>
      <c r="B165" s="903" t="s">
        <v>2120</v>
      </c>
      <c r="C165" s="904">
        <v>1</v>
      </c>
      <c r="D165" s="904">
        <v>5</v>
      </c>
      <c r="E165" s="905">
        <v>1.96</v>
      </c>
      <c r="F165" s="905">
        <v>0.6</v>
      </c>
      <c r="G165" s="906">
        <v>7.4999999999999997E-2</v>
      </c>
      <c r="H165" s="903">
        <f t="shared" si="13"/>
        <v>0.441</v>
      </c>
      <c r="I165" s="877"/>
    </row>
    <row r="166" spans="1:14">
      <c r="A166" s="871"/>
      <c r="B166" s="903" t="s">
        <v>2121</v>
      </c>
      <c r="C166" s="904">
        <v>1</v>
      </c>
      <c r="D166" s="904">
        <v>2</v>
      </c>
      <c r="E166" s="905">
        <v>1.81</v>
      </c>
      <c r="F166" s="905">
        <v>0.6</v>
      </c>
      <c r="G166" s="906">
        <v>7.4999999999999997E-2</v>
      </c>
      <c r="H166" s="903">
        <f t="shared" si="13"/>
        <v>0.16290000000000002</v>
      </c>
      <c r="I166" s="877"/>
    </row>
    <row r="167" spans="1:14">
      <c r="A167" s="871"/>
      <c r="B167" s="903" t="s">
        <v>2122</v>
      </c>
      <c r="C167" s="904">
        <v>1</v>
      </c>
      <c r="D167" s="904">
        <v>2</v>
      </c>
      <c r="E167" s="905">
        <v>1.81</v>
      </c>
      <c r="F167" s="905">
        <v>0.23</v>
      </c>
      <c r="G167" s="907">
        <v>0.15</v>
      </c>
      <c r="H167" s="903">
        <f t="shared" si="13"/>
        <v>0.12489</v>
      </c>
      <c r="I167" s="877"/>
    </row>
    <row r="168" spans="1:14">
      <c r="A168" s="871"/>
      <c r="B168" s="903" t="s">
        <v>2123</v>
      </c>
      <c r="C168" s="904">
        <v>1</v>
      </c>
      <c r="D168" s="904">
        <v>3</v>
      </c>
      <c r="E168" s="905">
        <v>1.21</v>
      </c>
      <c r="F168" s="905">
        <v>0.23</v>
      </c>
      <c r="G168" s="907">
        <v>0.15</v>
      </c>
      <c r="H168" s="903">
        <f t="shared" si="13"/>
        <v>0.12523499999999999</v>
      </c>
      <c r="I168" s="877"/>
    </row>
    <row r="169" spans="1:14">
      <c r="A169" s="871"/>
      <c r="B169" s="891" t="s">
        <v>2124</v>
      </c>
      <c r="C169" s="873">
        <v>1</v>
      </c>
      <c r="D169" s="873">
        <v>1</v>
      </c>
      <c r="E169" s="888">
        <v>2.4</v>
      </c>
      <c r="F169" s="888">
        <v>1.2</v>
      </c>
      <c r="G169" s="876">
        <v>0.15</v>
      </c>
      <c r="H169" s="876">
        <f t="shared" si="13"/>
        <v>0.432</v>
      </c>
      <c r="I169" s="877"/>
    </row>
    <row r="170" spans="1:14">
      <c r="A170" s="871"/>
      <c r="B170" s="891" t="s">
        <v>2125</v>
      </c>
      <c r="C170" s="873">
        <v>1</v>
      </c>
      <c r="D170" s="873">
        <v>1</v>
      </c>
      <c r="E170" s="888">
        <v>4.2</v>
      </c>
      <c r="F170" s="888">
        <v>1.2</v>
      </c>
      <c r="G170" s="875">
        <v>0.15</v>
      </c>
      <c r="H170" s="876">
        <f t="shared" si="13"/>
        <v>0.75600000000000001</v>
      </c>
      <c r="I170" s="877"/>
    </row>
    <row r="171" spans="1:14">
      <c r="A171" s="871"/>
      <c r="B171" s="891" t="s">
        <v>2126</v>
      </c>
      <c r="C171" s="873">
        <v>0.5</v>
      </c>
      <c r="D171" s="873">
        <v>21</v>
      </c>
      <c r="E171" s="888">
        <v>1.2</v>
      </c>
      <c r="F171" s="888">
        <v>0.3</v>
      </c>
      <c r="G171" s="876">
        <v>0.15</v>
      </c>
      <c r="H171" s="876">
        <f t="shared" si="13"/>
        <v>0.56699999999999995</v>
      </c>
      <c r="I171" s="877"/>
    </row>
    <row r="172" spans="1:14">
      <c r="A172" s="871"/>
      <c r="B172" s="891" t="s">
        <v>2127</v>
      </c>
      <c r="C172" s="873">
        <v>1</v>
      </c>
      <c r="D172" s="873">
        <v>2</v>
      </c>
      <c r="E172" s="888">
        <v>2.56</v>
      </c>
      <c r="F172" s="888">
        <v>0.23</v>
      </c>
      <c r="G172" s="876">
        <v>0.35</v>
      </c>
      <c r="H172" s="876">
        <f t="shared" si="13"/>
        <v>0.41215999999999997</v>
      </c>
      <c r="I172" s="877"/>
    </row>
    <row r="173" spans="1:14">
      <c r="A173" s="871"/>
      <c r="B173" s="891" t="s">
        <v>2128</v>
      </c>
      <c r="C173" s="873">
        <v>1</v>
      </c>
      <c r="D173" s="873">
        <v>1</v>
      </c>
      <c r="E173" s="888">
        <v>2.4</v>
      </c>
      <c r="F173" s="888">
        <v>0.23</v>
      </c>
      <c r="G173" s="876">
        <v>0.35</v>
      </c>
      <c r="H173" s="876">
        <f t="shared" si="13"/>
        <v>0.19320000000000001</v>
      </c>
      <c r="I173" s="877"/>
    </row>
    <row r="174" spans="1:14">
      <c r="A174" s="871"/>
      <c r="B174" s="891" t="s">
        <v>2129</v>
      </c>
      <c r="C174" s="873">
        <v>1</v>
      </c>
      <c r="D174" s="873">
        <v>1</v>
      </c>
      <c r="E174" s="888">
        <v>3.8</v>
      </c>
      <c r="F174" s="888">
        <v>0.6</v>
      </c>
      <c r="G174" s="876">
        <v>0.05</v>
      </c>
      <c r="H174" s="876">
        <f t="shared" si="13"/>
        <v>0.11399999999999999</v>
      </c>
      <c r="I174" s="877"/>
    </row>
    <row r="175" spans="1:14">
      <c r="A175" s="871"/>
      <c r="B175" s="908" t="s">
        <v>2130</v>
      </c>
      <c r="C175" s="873">
        <v>1</v>
      </c>
      <c r="D175" s="873">
        <v>1</v>
      </c>
      <c r="E175" s="888">
        <f>11.59+4.16+4.62</f>
        <v>20.37</v>
      </c>
      <c r="F175" s="888">
        <v>0.23</v>
      </c>
      <c r="G175" s="876">
        <v>0.45</v>
      </c>
      <c r="H175" s="876">
        <f t="shared" si="13"/>
        <v>2.108295</v>
      </c>
      <c r="I175" s="877"/>
      <c r="J175" s="864">
        <f>40.72</f>
        <v>40.72</v>
      </c>
    </row>
    <row r="176" spans="1:14">
      <c r="A176" s="871"/>
      <c r="B176" s="891" t="s">
        <v>2131</v>
      </c>
      <c r="C176" s="873">
        <v>1</v>
      </c>
      <c r="D176" s="873">
        <v>1</v>
      </c>
      <c r="E176" s="888">
        <f>4.16+4.62+2.34+0.33+1.032+2.63</f>
        <v>15.112000000000002</v>
      </c>
      <c r="F176" s="888">
        <v>0.23</v>
      </c>
      <c r="G176" s="876">
        <v>0.4</v>
      </c>
      <c r="H176" s="876">
        <f t="shared" si="13"/>
        <v>1.3903040000000004</v>
      </c>
      <c r="I176" s="877"/>
      <c r="L176" s="901">
        <f>E175+E176</f>
        <v>35.481999999999999</v>
      </c>
      <c r="M176" s="865">
        <f>2.63+1.03+0.37+1.23</f>
        <v>5.26</v>
      </c>
      <c r="N176" s="901">
        <f>L176+M176</f>
        <v>40.741999999999997</v>
      </c>
    </row>
    <row r="177" spans="1:10">
      <c r="A177" s="871"/>
      <c r="B177" s="891" t="s">
        <v>2132</v>
      </c>
      <c r="C177" s="873">
        <v>1</v>
      </c>
      <c r="D177" s="873">
        <v>1</v>
      </c>
      <c r="E177" s="888">
        <f>4.7+0.46</f>
        <v>5.16</v>
      </c>
      <c r="F177" s="888">
        <v>0.23</v>
      </c>
      <c r="G177" s="876">
        <v>0.3</v>
      </c>
      <c r="H177" s="876">
        <f t="shared" si="13"/>
        <v>0.35604000000000002</v>
      </c>
      <c r="I177" s="877"/>
    </row>
    <row r="178" spans="1:10" ht="31.5">
      <c r="A178" s="871"/>
      <c r="B178" s="891" t="s">
        <v>2065</v>
      </c>
      <c r="C178" s="873">
        <v>1</v>
      </c>
      <c r="D178" s="873">
        <v>2</v>
      </c>
      <c r="E178" s="888">
        <v>3.93</v>
      </c>
      <c r="F178" s="888">
        <v>0.23</v>
      </c>
      <c r="G178" s="876">
        <v>0.4</v>
      </c>
      <c r="H178" s="876">
        <f t="shared" si="13"/>
        <v>0.7231200000000001</v>
      </c>
      <c r="I178" s="877"/>
      <c r="J178" s="864">
        <f>4.155-0.23</f>
        <v>3.9250000000000003</v>
      </c>
    </row>
    <row r="179" spans="1:10" ht="31.5">
      <c r="A179" s="871"/>
      <c r="B179" s="891" t="s">
        <v>2066</v>
      </c>
      <c r="C179" s="873">
        <v>1</v>
      </c>
      <c r="D179" s="873">
        <v>1</v>
      </c>
      <c r="E179" s="888">
        <v>3.93</v>
      </c>
      <c r="F179" s="888">
        <v>0.23</v>
      </c>
      <c r="G179" s="876">
        <v>0.45</v>
      </c>
      <c r="H179" s="876">
        <f t="shared" si="13"/>
        <v>0.40675500000000003</v>
      </c>
      <c r="I179" s="877"/>
    </row>
    <row r="180" spans="1:10" ht="31.5">
      <c r="A180" s="871"/>
      <c r="B180" s="891" t="s">
        <v>2096</v>
      </c>
      <c r="C180" s="873">
        <v>1</v>
      </c>
      <c r="D180" s="873">
        <v>1</v>
      </c>
      <c r="E180" s="888">
        <f>2.77+0.23+1.5</f>
        <v>4.5</v>
      </c>
      <c r="F180" s="888">
        <v>0.23</v>
      </c>
      <c r="G180" s="876">
        <v>0.4</v>
      </c>
      <c r="H180" s="876">
        <f t="shared" si="13"/>
        <v>0.41400000000000009</v>
      </c>
      <c r="I180" s="877"/>
      <c r="J180" s="864">
        <f>4.62-0.115</f>
        <v>4.5049999999999999</v>
      </c>
    </row>
    <row r="181" spans="1:10">
      <c r="A181" s="871"/>
      <c r="B181" s="891" t="s">
        <v>2097</v>
      </c>
      <c r="C181" s="873">
        <v>1</v>
      </c>
      <c r="D181" s="873">
        <v>1</v>
      </c>
      <c r="E181" s="888">
        <v>4.5</v>
      </c>
      <c r="F181" s="888">
        <v>0.23</v>
      </c>
      <c r="G181" s="876">
        <v>0.4</v>
      </c>
      <c r="H181" s="876">
        <f t="shared" si="13"/>
        <v>0.41400000000000009</v>
      </c>
      <c r="I181" s="877"/>
    </row>
    <row r="182" spans="1:10">
      <c r="A182" s="871"/>
      <c r="B182" s="891" t="s">
        <v>2098</v>
      </c>
      <c r="C182" s="873">
        <v>1</v>
      </c>
      <c r="D182" s="873">
        <v>1</v>
      </c>
      <c r="E182" s="888">
        <f>2.77+0.23+1.5</f>
        <v>4.5</v>
      </c>
      <c r="F182" s="888">
        <v>0.23</v>
      </c>
      <c r="G182" s="876">
        <v>0.4</v>
      </c>
      <c r="H182" s="876">
        <f t="shared" si="13"/>
        <v>0.41400000000000009</v>
      </c>
      <c r="I182" s="877"/>
    </row>
    <row r="183" spans="1:10">
      <c r="A183" s="871"/>
      <c r="B183" s="891" t="s">
        <v>2133</v>
      </c>
      <c r="C183" s="873">
        <v>1</v>
      </c>
      <c r="D183" s="873">
        <v>1</v>
      </c>
      <c r="E183" s="888">
        <f>11.82-0.46-2.4</f>
        <v>8.9599999999999991</v>
      </c>
      <c r="F183" s="888">
        <v>0.23</v>
      </c>
      <c r="G183" s="876">
        <v>0.6</v>
      </c>
      <c r="H183" s="876">
        <f t="shared" si="13"/>
        <v>1.23648</v>
      </c>
      <c r="I183" s="877"/>
    </row>
    <row r="184" spans="1:10">
      <c r="A184" s="871"/>
      <c r="B184" s="891" t="s">
        <v>2134</v>
      </c>
      <c r="C184" s="873">
        <v>1</v>
      </c>
      <c r="D184" s="873">
        <v>1</v>
      </c>
      <c r="E184" s="888">
        <v>2.4</v>
      </c>
      <c r="F184" s="888">
        <v>0.23</v>
      </c>
      <c r="G184" s="876">
        <v>0.3</v>
      </c>
      <c r="H184" s="876">
        <f>PRODUCT(C184:G184)</f>
        <v>0.1656</v>
      </c>
      <c r="I184" s="877"/>
    </row>
    <row r="185" spans="1:10">
      <c r="A185" s="871"/>
      <c r="B185" s="891" t="s">
        <v>2100</v>
      </c>
      <c r="C185" s="873">
        <v>1</v>
      </c>
      <c r="D185" s="873">
        <v>1</v>
      </c>
      <c r="E185" s="888">
        <f>4.7-0.46</f>
        <v>4.24</v>
      </c>
      <c r="F185" s="888">
        <v>0.23</v>
      </c>
      <c r="G185" s="876">
        <v>0.45</v>
      </c>
      <c r="H185" s="876">
        <f t="shared" si="13"/>
        <v>0.43884000000000006</v>
      </c>
      <c r="I185" s="877"/>
      <c r="J185" s="864">
        <f>4.7-0.46</f>
        <v>4.24</v>
      </c>
    </row>
    <row r="186" spans="1:10">
      <c r="A186" s="871"/>
      <c r="B186" s="891" t="s">
        <v>2135</v>
      </c>
      <c r="C186" s="873">
        <v>1</v>
      </c>
      <c r="D186" s="873">
        <v>1</v>
      </c>
      <c r="E186" s="888">
        <f>2.63+2.33+1.3+0.37+1.23+2.33</f>
        <v>10.19</v>
      </c>
      <c r="F186" s="888">
        <v>0.23</v>
      </c>
      <c r="G186" s="876">
        <v>0.3</v>
      </c>
      <c r="H186" s="876">
        <f t="shared" si="13"/>
        <v>0.70311000000000001</v>
      </c>
      <c r="I186" s="877"/>
    </row>
    <row r="187" spans="1:10">
      <c r="A187" s="871"/>
      <c r="B187" s="891" t="s">
        <v>2136</v>
      </c>
      <c r="C187" s="873">
        <v>1</v>
      </c>
      <c r="D187" s="873">
        <v>1</v>
      </c>
      <c r="E187" s="888">
        <f>5.75+4.5+5.75</f>
        <v>16</v>
      </c>
      <c r="F187" s="888">
        <v>0.23</v>
      </c>
      <c r="G187" s="876">
        <v>0.45</v>
      </c>
      <c r="H187" s="876">
        <f t="shared" si="13"/>
        <v>1.6560000000000001</v>
      </c>
      <c r="I187" s="877"/>
    </row>
    <row r="188" spans="1:10">
      <c r="A188" s="871"/>
      <c r="B188" s="891" t="s">
        <v>2137</v>
      </c>
      <c r="C188" s="873">
        <v>1</v>
      </c>
      <c r="D188" s="873">
        <v>1</v>
      </c>
      <c r="E188" s="888">
        <v>2.52</v>
      </c>
      <c r="F188" s="874">
        <v>3.9249999999999998</v>
      </c>
      <c r="G188" s="875">
        <v>0.125</v>
      </c>
      <c r="H188" s="876">
        <f t="shared" si="13"/>
        <v>1.236375</v>
      </c>
      <c r="I188" s="877"/>
    </row>
    <row r="189" spans="1:10">
      <c r="A189" s="871"/>
      <c r="B189" s="891" t="s">
        <v>2079</v>
      </c>
      <c r="C189" s="873">
        <v>1</v>
      </c>
      <c r="D189" s="873">
        <v>1</v>
      </c>
      <c r="E189" s="888">
        <v>4.7</v>
      </c>
      <c r="F189" s="874">
        <v>3.9249999999999998</v>
      </c>
      <c r="G189" s="875">
        <v>0.125</v>
      </c>
      <c r="H189" s="876">
        <f t="shared" si="13"/>
        <v>2.3059375000000002</v>
      </c>
      <c r="I189" s="877"/>
    </row>
    <row r="190" spans="1:10">
      <c r="A190" s="871"/>
      <c r="B190" s="891" t="s">
        <v>2113</v>
      </c>
      <c r="C190" s="873">
        <v>1</v>
      </c>
      <c r="D190" s="873">
        <v>1</v>
      </c>
      <c r="E190" s="888">
        <v>3.8</v>
      </c>
      <c r="F190" s="874">
        <v>3.9249999999999998</v>
      </c>
      <c r="G190" s="875">
        <v>0.15</v>
      </c>
      <c r="H190" s="876">
        <f t="shared" si="13"/>
        <v>2.23725</v>
      </c>
      <c r="I190" s="877"/>
    </row>
    <row r="191" spans="1:10" ht="31.5">
      <c r="A191" s="871"/>
      <c r="B191" s="891" t="s">
        <v>2138</v>
      </c>
      <c r="C191" s="873">
        <v>1</v>
      </c>
      <c r="D191" s="873">
        <v>2</v>
      </c>
      <c r="E191" s="888">
        <f>2.77+0.23+1.5</f>
        <v>4.5</v>
      </c>
      <c r="F191" s="874">
        <v>2.4</v>
      </c>
      <c r="G191" s="875">
        <v>0.125</v>
      </c>
      <c r="H191" s="876">
        <f t="shared" si="13"/>
        <v>2.6999999999999997</v>
      </c>
      <c r="I191" s="877"/>
    </row>
    <row r="192" spans="1:10">
      <c r="A192" s="871"/>
      <c r="B192" s="891" t="s">
        <v>2083</v>
      </c>
      <c r="C192" s="873">
        <v>1</v>
      </c>
      <c r="D192" s="873">
        <v>1</v>
      </c>
      <c r="E192" s="888">
        <v>3.47</v>
      </c>
      <c r="F192" s="874">
        <v>4.3849999999999998</v>
      </c>
      <c r="G192" s="875">
        <v>0.125</v>
      </c>
      <c r="H192" s="876">
        <f t="shared" si="13"/>
        <v>1.9019937499999999</v>
      </c>
      <c r="I192" s="877"/>
    </row>
    <row r="193" spans="1:10">
      <c r="A193" s="871"/>
      <c r="B193" s="891" t="s">
        <v>2139</v>
      </c>
      <c r="C193" s="873">
        <v>1</v>
      </c>
      <c r="D193" s="873">
        <v>1</v>
      </c>
      <c r="E193" s="888">
        <v>2.4</v>
      </c>
      <c r="F193" s="874">
        <v>1.62</v>
      </c>
      <c r="G193" s="875">
        <v>0.125</v>
      </c>
      <c r="H193" s="876">
        <f t="shared" si="13"/>
        <v>0.48599999999999999</v>
      </c>
      <c r="I193" s="877"/>
    </row>
    <row r="194" spans="1:10">
      <c r="A194" s="871"/>
      <c r="B194" s="891" t="s">
        <v>2140</v>
      </c>
      <c r="C194" s="873">
        <v>1</v>
      </c>
      <c r="D194" s="873">
        <v>1</v>
      </c>
      <c r="E194" s="888">
        <v>2.8</v>
      </c>
      <c r="F194" s="888">
        <v>1.2</v>
      </c>
      <c r="G194" s="875">
        <v>0.15</v>
      </c>
      <c r="H194" s="876">
        <f t="shared" si="13"/>
        <v>0.504</v>
      </c>
      <c r="I194" s="877"/>
    </row>
    <row r="195" spans="1:10">
      <c r="A195" s="871"/>
      <c r="B195" s="891" t="s">
        <v>1081</v>
      </c>
      <c r="C195" s="873">
        <v>1</v>
      </c>
      <c r="D195" s="873">
        <v>1</v>
      </c>
      <c r="E195" s="888">
        <v>1.36</v>
      </c>
      <c r="F195" s="888">
        <v>0.6</v>
      </c>
      <c r="G195" s="875">
        <v>6.5000000000000002E-2</v>
      </c>
      <c r="H195" s="876">
        <f t="shared" si="13"/>
        <v>5.3040000000000004E-2</v>
      </c>
      <c r="I195" s="877"/>
    </row>
    <row r="196" spans="1:10">
      <c r="A196" s="871"/>
      <c r="B196" s="891" t="s">
        <v>2141</v>
      </c>
      <c r="C196" s="873">
        <v>1</v>
      </c>
      <c r="D196" s="873">
        <v>1</v>
      </c>
      <c r="E196" s="888">
        <f>5.75-0.23</f>
        <v>5.52</v>
      </c>
      <c r="F196" s="888">
        <f>4.25-0.46</f>
        <v>3.79</v>
      </c>
      <c r="G196" s="875">
        <v>0.15</v>
      </c>
      <c r="H196" s="876">
        <f t="shared" si="13"/>
        <v>3.1381199999999998</v>
      </c>
      <c r="I196" s="877"/>
      <c r="J196" s="890">
        <f>SUM(H175:H196)</f>
        <v>24.989260250000005</v>
      </c>
    </row>
    <row r="197" spans="1:10">
      <c r="A197" s="871"/>
      <c r="B197" s="891"/>
      <c r="C197" s="873"/>
      <c r="D197" s="873"/>
      <c r="E197" s="888"/>
      <c r="F197" s="888"/>
      <c r="G197" s="876" t="s">
        <v>57</v>
      </c>
      <c r="H197" s="876">
        <f>SUM(H147:H196)</f>
        <v>34.739788499999989</v>
      </c>
      <c r="I197" s="877"/>
    </row>
    <row r="198" spans="1:10" ht="18">
      <c r="A198" s="871"/>
      <c r="B198" s="891"/>
      <c r="C198" s="873"/>
      <c r="D198" s="873"/>
      <c r="E198" s="888"/>
      <c r="F198" s="888"/>
      <c r="G198" s="896" t="s">
        <v>206</v>
      </c>
      <c r="H198" s="896">
        <f>ROUNDUP(H197,1)</f>
        <v>34.800000000000004</v>
      </c>
      <c r="I198" s="897" t="s">
        <v>2075</v>
      </c>
    </row>
    <row r="199" spans="1:10">
      <c r="A199" s="871"/>
      <c r="B199" s="891"/>
      <c r="C199" s="873"/>
      <c r="D199" s="873"/>
      <c r="E199" s="888"/>
      <c r="F199" s="888"/>
      <c r="G199" s="876"/>
      <c r="H199" s="876"/>
      <c r="I199" s="902"/>
    </row>
    <row r="200" spans="1:10">
      <c r="A200" s="871" t="s">
        <v>2142</v>
      </c>
      <c r="B200" s="878" t="s">
        <v>1105</v>
      </c>
      <c r="C200" s="909"/>
      <c r="D200" s="909"/>
      <c r="E200" s="873"/>
      <c r="F200" s="873"/>
      <c r="G200" s="909"/>
      <c r="H200" s="910" t="s">
        <v>220</v>
      </c>
      <c r="I200" s="902"/>
      <c r="J200" s="911"/>
    </row>
    <row r="201" spans="1:10">
      <c r="A201" s="871"/>
      <c r="B201" s="891" t="s">
        <v>692</v>
      </c>
      <c r="C201" s="887">
        <v>1</v>
      </c>
      <c r="D201" s="887">
        <v>2</v>
      </c>
      <c r="E201" s="888">
        <v>0.3</v>
      </c>
      <c r="F201" s="888">
        <v>0.23</v>
      </c>
      <c r="G201" s="876">
        <v>2.9</v>
      </c>
      <c r="H201" s="876">
        <f t="shared" ref="H201:H239" si="15">PRODUCT(C201:G201)</f>
        <v>0.4002</v>
      </c>
      <c r="I201" s="877"/>
    </row>
    <row r="202" spans="1:10">
      <c r="A202" s="871"/>
      <c r="B202" s="891" t="s">
        <v>2090</v>
      </c>
      <c r="C202" s="887">
        <v>1</v>
      </c>
      <c r="D202" s="887">
        <v>4</v>
      </c>
      <c r="E202" s="888">
        <v>0.3</v>
      </c>
      <c r="F202" s="888">
        <v>0.23</v>
      </c>
      <c r="G202" s="876">
        <f>G201</f>
        <v>2.9</v>
      </c>
      <c r="H202" s="876">
        <f t="shared" si="15"/>
        <v>0.8004</v>
      </c>
      <c r="I202" s="877"/>
    </row>
    <row r="203" spans="1:10">
      <c r="A203" s="871"/>
      <c r="B203" s="891" t="s">
        <v>675</v>
      </c>
      <c r="C203" s="887">
        <v>1</v>
      </c>
      <c r="D203" s="887">
        <v>5</v>
      </c>
      <c r="E203" s="888">
        <v>0.3</v>
      </c>
      <c r="F203" s="888">
        <v>0.23</v>
      </c>
      <c r="G203" s="876">
        <f>G202</f>
        <v>2.9</v>
      </c>
      <c r="H203" s="876">
        <f t="shared" si="15"/>
        <v>1.0004999999999999</v>
      </c>
      <c r="I203" s="877"/>
    </row>
    <row r="204" spans="1:10">
      <c r="A204" s="871"/>
      <c r="B204" s="891" t="s">
        <v>693</v>
      </c>
      <c r="C204" s="887">
        <v>1</v>
      </c>
      <c r="D204" s="887">
        <v>2</v>
      </c>
      <c r="E204" s="888">
        <v>0.45</v>
      </c>
      <c r="F204" s="888">
        <v>0.23</v>
      </c>
      <c r="G204" s="876">
        <f>G203</f>
        <v>2.9</v>
      </c>
      <c r="H204" s="876">
        <f t="shared" si="15"/>
        <v>0.60030000000000006</v>
      </c>
      <c r="I204" s="877"/>
    </row>
    <row r="205" spans="1:10">
      <c r="A205" s="871"/>
      <c r="B205" s="891" t="s">
        <v>677</v>
      </c>
      <c r="C205" s="887">
        <v>1</v>
      </c>
      <c r="D205" s="887">
        <v>1</v>
      </c>
      <c r="E205" s="888">
        <v>0.45</v>
      </c>
      <c r="F205" s="888">
        <v>0.23</v>
      </c>
      <c r="G205" s="876">
        <f>G204</f>
        <v>2.9</v>
      </c>
      <c r="H205" s="876">
        <f t="shared" si="15"/>
        <v>0.30015000000000003</v>
      </c>
      <c r="I205" s="877"/>
    </row>
    <row r="206" spans="1:10">
      <c r="A206" s="871"/>
      <c r="B206" s="891" t="s">
        <v>2091</v>
      </c>
      <c r="C206" s="887">
        <v>1</v>
      </c>
      <c r="D206" s="887">
        <v>1</v>
      </c>
      <c r="E206" s="888">
        <v>0.45</v>
      </c>
      <c r="F206" s="888">
        <v>0.23</v>
      </c>
      <c r="G206" s="876">
        <f>G205</f>
        <v>2.9</v>
      </c>
      <c r="H206" s="876">
        <f t="shared" si="15"/>
        <v>0.30015000000000003</v>
      </c>
      <c r="I206" s="877"/>
    </row>
    <row r="207" spans="1:10">
      <c r="A207" s="871"/>
      <c r="B207" s="891" t="s">
        <v>2143</v>
      </c>
      <c r="C207" s="873">
        <v>1</v>
      </c>
      <c r="D207" s="873">
        <v>7</v>
      </c>
      <c r="E207" s="888">
        <v>1.96</v>
      </c>
      <c r="F207" s="888">
        <v>0.23</v>
      </c>
      <c r="G207" s="876">
        <v>0.05</v>
      </c>
      <c r="H207" s="876">
        <f t="shared" si="15"/>
        <v>0.15778</v>
      </c>
      <c r="I207" s="902"/>
    </row>
    <row r="208" spans="1:10">
      <c r="A208" s="871"/>
      <c r="B208" s="909" t="s">
        <v>2144</v>
      </c>
      <c r="C208" s="873">
        <v>1</v>
      </c>
      <c r="D208" s="873">
        <v>1</v>
      </c>
      <c r="E208" s="888">
        <v>1.81</v>
      </c>
      <c r="F208" s="888">
        <v>0.23</v>
      </c>
      <c r="G208" s="876">
        <v>0.05</v>
      </c>
      <c r="H208" s="876">
        <f t="shared" si="15"/>
        <v>2.0815E-2</v>
      </c>
      <c r="I208" s="902"/>
    </row>
    <row r="209" spans="1:9">
      <c r="A209" s="871"/>
      <c r="B209" s="891" t="s">
        <v>2111</v>
      </c>
      <c r="C209" s="873">
        <v>1</v>
      </c>
      <c r="D209" s="873">
        <v>1</v>
      </c>
      <c r="E209" s="888">
        <v>40.72</v>
      </c>
      <c r="F209" s="888">
        <v>0.23</v>
      </c>
      <c r="G209" s="875">
        <v>0.125</v>
      </c>
      <c r="H209" s="876">
        <f t="shared" si="15"/>
        <v>1.1707000000000001</v>
      </c>
      <c r="I209" s="902"/>
    </row>
    <row r="210" spans="1:9">
      <c r="A210" s="871"/>
      <c r="B210" s="886" t="s">
        <v>2112</v>
      </c>
      <c r="C210" s="873">
        <v>1</v>
      </c>
      <c r="D210" s="873">
        <v>-1</v>
      </c>
      <c r="E210" s="888">
        <v>2.4</v>
      </c>
      <c r="F210" s="888">
        <v>0.23</v>
      </c>
      <c r="G210" s="875">
        <v>0.125</v>
      </c>
      <c r="H210" s="876">
        <f t="shared" si="15"/>
        <v>-6.9000000000000006E-2</v>
      </c>
      <c r="I210" s="902"/>
    </row>
    <row r="211" spans="1:9">
      <c r="A211" s="871"/>
      <c r="B211" s="886" t="s">
        <v>2145</v>
      </c>
      <c r="C211" s="873">
        <v>1</v>
      </c>
      <c r="D211" s="873">
        <v>7</v>
      </c>
      <c r="E211" s="888">
        <f>1.5+0.46</f>
        <v>1.96</v>
      </c>
      <c r="F211" s="888">
        <f>0.23+0.6</f>
        <v>0.83</v>
      </c>
      <c r="G211" s="875">
        <v>0.05</v>
      </c>
      <c r="H211" s="876">
        <f t="shared" si="15"/>
        <v>0.56938</v>
      </c>
      <c r="I211" s="902"/>
    </row>
    <row r="212" spans="1:9">
      <c r="A212" s="871"/>
      <c r="B212" s="891" t="s">
        <v>2146</v>
      </c>
      <c r="C212" s="873">
        <v>1</v>
      </c>
      <c r="D212" s="873">
        <v>1</v>
      </c>
      <c r="E212" s="888">
        <f>3.9+0.6</f>
        <v>4.5</v>
      </c>
      <c r="F212" s="888">
        <f>0.23+0.6</f>
        <v>0.83</v>
      </c>
      <c r="G212" s="875">
        <v>6.5000000000000002E-2</v>
      </c>
      <c r="H212" s="876">
        <f>PRODUCT(C212:G212)</f>
        <v>0.24277499999999999</v>
      </c>
      <c r="I212" s="902"/>
    </row>
    <row r="213" spans="1:9">
      <c r="A213" s="871"/>
      <c r="B213" s="886" t="s">
        <v>2147</v>
      </c>
      <c r="C213" s="873">
        <v>1</v>
      </c>
      <c r="D213" s="873">
        <v>2</v>
      </c>
      <c r="E213" s="888">
        <v>2.4</v>
      </c>
      <c r="F213" s="888">
        <v>0.23</v>
      </c>
      <c r="G213" s="875">
        <v>0.125</v>
      </c>
      <c r="H213" s="876">
        <f t="shared" si="15"/>
        <v>0.13800000000000001</v>
      </c>
      <c r="I213" s="902"/>
    </row>
    <row r="214" spans="1:9">
      <c r="A214" s="871"/>
      <c r="B214" s="886" t="s">
        <v>2148</v>
      </c>
      <c r="C214" s="873">
        <v>1</v>
      </c>
      <c r="D214" s="873">
        <v>1</v>
      </c>
      <c r="E214" s="888">
        <f>4.7+0.46</f>
        <v>5.16</v>
      </c>
      <c r="F214" s="888">
        <v>0.23</v>
      </c>
      <c r="G214" s="875">
        <v>0.125</v>
      </c>
      <c r="H214" s="876">
        <f t="shared" si="15"/>
        <v>0.14835000000000001</v>
      </c>
      <c r="I214" s="902"/>
    </row>
    <row r="215" spans="1:9">
      <c r="A215" s="871"/>
      <c r="B215" s="886" t="s">
        <v>2149</v>
      </c>
      <c r="C215" s="873">
        <v>1</v>
      </c>
      <c r="D215" s="873">
        <v>1</v>
      </c>
      <c r="E215" s="888">
        <f>2.4+0.115+1.525+0.115</f>
        <v>4.1550000000000002</v>
      </c>
      <c r="F215" s="888">
        <v>0.23</v>
      </c>
      <c r="G215" s="875">
        <v>0.125</v>
      </c>
      <c r="H215" s="876">
        <f t="shared" si="15"/>
        <v>0.11945625000000001</v>
      </c>
      <c r="I215" s="902"/>
    </row>
    <row r="216" spans="1:9">
      <c r="A216" s="871"/>
      <c r="B216" s="886" t="s">
        <v>2150</v>
      </c>
      <c r="C216" s="873">
        <v>1</v>
      </c>
      <c r="D216" s="873">
        <v>1</v>
      </c>
      <c r="E216" s="888">
        <v>3.8</v>
      </c>
      <c r="F216" s="888">
        <v>0.23</v>
      </c>
      <c r="G216" s="875">
        <v>0.125</v>
      </c>
      <c r="H216" s="876">
        <f t="shared" si="15"/>
        <v>0.10925</v>
      </c>
      <c r="I216" s="902"/>
    </row>
    <row r="217" spans="1:9">
      <c r="A217" s="871"/>
      <c r="B217" s="886" t="s">
        <v>2151</v>
      </c>
      <c r="C217" s="873">
        <v>1</v>
      </c>
      <c r="D217" s="873">
        <v>1</v>
      </c>
      <c r="E217" s="888">
        <v>4.49</v>
      </c>
      <c r="F217" s="888">
        <v>0.23</v>
      </c>
      <c r="G217" s="875">
        <v>0.125</v>
      </c>
      <c r="H217" s="876">
        <f t="shared" si="15"/>
        <v>0.12908750000000002</v>
      </c>
      <c r="I217" s="902"/>
    </row>
    <row r="218" spans="1:9">
      <c r="A218" s="871"/>
      <c r="B218" s="886" t="s">
        <v>2152</v>
      </c>
      <c r="C218" s="873">
        <v>1</v>
      </c>
      <c r="D218" s="873">
        <v>1</v>
      </c>
      <c r="E218" s="888">
        <v>4.3899999999999997</v>
      </c>
      <c r="F218" s="888">
        <v>0.23</v>
      </c>
      <c r="G218" s="875">
        <v>0.125</v>
      </c>
      <c r="H218" s="876">
        <f t="shared" si="15"/>
        <v>0.12621250000000001</v>
      </c>
      <c r="I218" s="902"/>
    </row>
    <row r="219" spans="1:9">
      <c r="A219" s="871"/>
      <c r="B219" s="891" t="s">
        <v>2153</v>
      </c>
      <c r="C219" s="873">
        <v>1</v>
      </c>
      <c r="D219" s="873">
        <v>1</v>
      </c>
      <c r="E219" s="888">
        <v>3.8</v>
      </c>
      <c r="F219" s="888">
        <v>1.2</v>
      </c>
      <c r="G219" s="875">
        <v>0.13500000000000001</v>
      </c>
      <c r="H219" s="876">
        <f t="shared" si="15"/>
        <v>0.61560000000000004</v>
      </c>
      <c r="I219" s="902"/>
    </row>
    <row r="220" spans="1:9">
      <c r="A220" s="871"/>
      <c r="B220" s="891" t="s">
        <v>2124</v>
      </c>
      <c r="C220" s="873">
        <v>1</v>
      </c>
      <c r="D220" s="873">
        <v>1</v>
      </c>
      <c r="E220" s="888">
        <v>2.4</v>
      </c>
      <c r="F220" s="888">
        <v>1.2</v>
      </c>
      <c r="G220" s="876">
        <v>0.15</v>
      </c>
      <c r="H220" s="876">
        <f t="shared" si="15"/>
        <v>0.432</v>
      </c>
      <c r="I220" s="902"/>
    </row>
    <row r="221" spans="1:9">
      <c r="A221" s="871"/>
      <c r="B221" s="891" t="s">
        <v>2154</v>
      </c>
      <c r="C221" s="873">
        <v>1</v>
      </c>
      <c r="D221" s="873">
        <v>1</v>
      </c>
      <c r="E221" s="888">
        <v>2.4</v>
      </c>
      <c r="F221" s="888">
        <v>0.23</v>
      </c>
      <c r="G221" s="876">
        <v>0.35</v>
      </c>
      <c r="H221" s="876">
        <f t="shared" si="15"/>
        <v>0.19320000000000001</v>
      </c>
      <c r="I221" s="902"/>
    </row>
    <row r="222" spans="1:9">
      <c r="A222" s="871"/>
      <c r="B222" s="891" t="s">
        <v>2127</v>
      </c>
      <c r="C222" s="873">
        <v>1</v>
      </c>
      <c r="D222" s="873">
        <v>2</v>
      </c>
      <c r="E222" s="888">
        <v>2.56</v>
      </c>
      <c r="F222" s="888">
        <v>0.23</v>
      </c>
      <c r="G222" s="876">
        <v>0.35</v>
      </c>
      <c r="H222" s="876">
        <f t="shared" si="15"/>
        <v>0.41215999999999997</v>
      </c>
      <c r="I222" s="877"/>
    </row>
    <row r="223" spans="1:9">
      <c r="A223" s="871"/>
      <c r="B223" s="891" t="s">
        <v>2155</v>
      </c>
      <c r="C223" s="873">
        <v>1</v>
      </c>
      <c r="D223" s="873">
        <v>1</v>
      </c>
      <c r="E223" s="888">
        <v>2.77</v>
      </c>
      <c r="F223" s="888">
        <v>0.6</v>
      </c>
      <c r="G223" s="876">
        <v>0.05</v>
      </c>
      <c r="H223" s="876">
        <f t="shared" si="15"/>
        <v>8.3100000000000007E-2</v>
      </c>
      <c r="I223" s="877"/>
    </row>
    <row r="224" spans="1:9">
      <c r="A224" s="871"/>
      <c r="B224" s="891" t="s">
        <v>2156</v>
      </c>
      <c r="C224" s="873">
        <v>1</v>
      </c>
      <c r="D224" s="873">
        <v>1</v>
      </c>
      <c r="E224" s="888">
        <v>40.72</v>
      </c>
      <c r="F224" s="888">
        <v>0.23</v>
      </c>
      <c r="G224" s="876">
        <v>0.4</v>
      </c>
      <c r="H224" s="876">
        <f t="shared" si="15"/>
        <v>3.7462400000000002</v>
      </c>
      <c r="I224" s="877"/>
    </row>
    <row r="225" spans="1:9">
      <c r="A225" s="871"/>
      <c r="B225" s="891" t="s">
        <v>2157</v>
      </c>
      <c r="C225" s="873">
        <v>1</v>
      </c>
      <c r="D225" s="873">
        <v>-1</v>
      </c>
      <c r="E225" s="888">
        <v>2.4</v>
      </c>
      <c r="F225" s="888">
        <v>0.23</v>
      </c>
      <c r="G225" s="876">
        <v>0.4</v>
      </c>
      <c r="H225" s="876">
        <f t="shared" si="15"/>
        <v>-0.22080000000000002</v>
      </c>
      <c r="I225" s="877"/>
    </row>
    <row r="226" spans="1:9">
      <c r="A226" s="871"/>
      <c r="B226" s="891" t="s">
        <v>2148</v>
      </c>
      <c r="C226" s="873">
        <v>1</v>
      </c>
      <c r="D226" s="873">
        <v>1</v>
      </c>
      <c r="E226" s="888">
        <f>E183</f>
        <v>8.9599999999999991</v>
      </c>
      <c r="F226" s="888">
        <v>0.23</v>
      </c>
      <c r="G226" s="876">
        <v>0.6</v>
      </c>
      <c r="H226" s="876">
        <f t="shared" si="15"/>
        <v>1.23648</v>
      </c>
      <c r="I226" s="877"/>
    </row>
    <row r="227" spans="1:9">
      <c r="A227" s="871"/>
      <c r="B227" s="891" t="s">
        <v>2134</v>
      </c>
      <c r="C227" s="873">
        <v>1</v>
      </c>
      <c r="D227" s="873">
        <v>1</v>
      </c>
      <c r="E227" s="888">
        <v>2.4</v>
      </c>
      <c r="F227" s="888">
        <v>0.23</v>
      </c>
      <c r="G227" s="876">
        <v>0.3</v>
      </c>
      <c r="H227" s="876">
        <f t="shared" si="15"/>
        <v>0.1656</v>
      </c>
      <c r="I227" s="877"/>
    </row>
    <row r="228" spans="1:9" ht="31.5">
      <c r="A228" s="871"/>
      <c r="B228" s="891" t="s">
        <v>2158</v>
      </c>
      <c r="C228" s="873">
        <v>1</v>
      </c>
      <c r="D228" s="873">
        <v>1</v>
      </c>
      <c r="E228" s="888">
        <v>4.3899999999999997</v>
      </c>
      <c r="F228" s="888">
        <v>0.23</v>
      </c>
      <c r="G228" s="876">
        <v>0.4</v>
      </c>
      <c r="H228" s="876">
        <f t="shared" si="15"/>
        <v>0.40388000000000002</v>
      </c>
      <c r="I228" s="877"/>
    </row>
    <row r="229" spans="1:9" ht="28.9" customHeight="1">
      <c r="A229" s="871"/>
      <c r="B229" s="891" t="s">
        <v>2159</v>
      </c>
      <c r="C229" s="873">
        <v>1</v>
      </c>
      <c r="D229" s="873">
        <v>1</v>
      </c>
      <c r="E229" s="888">
        <v>3.89</v>
      </c>
      <c r="F229" s="888">
        <v>0.23</v>
      </c>
      <c r="G229" s="876">
        <v>0.4</v>
      </c>
      <c r="H229" s="876">
        <f t="shared" si="15"/>
        <v>0.35788000000000003</v>
      </c>
      <c r="I229" s="877"/>
    </row>
    <row r="230" spans="1:9">
      <c r="A230" s="871"/>
      <c r="B230" s="891" t="s">
        <v>2160</v>
      </c>
      <c r="C230" s="873">
        <v>1</v>
      </c>
      <c r="D230" s="873">
        <v>1</v>
      </c>
      <c r="E230" s="888">
        <v>3.89</v>
      </c>
      <c r="F230" s="888">
        <v>0.23</v>
      </c>
      <c r="G230" s="876">
        <v>0.4</v>
      </c>
      <c r="H230" s="876">
        <f t="shared" si="15"/>
        <v>0.35788000000000003</v>
      </c>
      <c r="I230" s="877"/>
    </row>
    <row r="231" spans="1:9" ht="31.5">
      <c r="A231" s="871"/>
      <c r="B231" s="891" t="s">
        <v>2161</v>
      </c>
      <c r="C231" s="873">
        <v>1</v>
      </c>
      <c r="D231" s="873">
        <v>2</v>
      </c>
      <c r="E231" s="888">
        <v>4.3899999999999997</v>
      </c>
      <c r="F231" s="888">
        <v>0.23</v>
      </c>
      <c r="G231" s="876">
        <v>0.4</v>
      </c>
      <c r="H231" s="876">
        <f t="shared" si="15"/>
        <v>0.80776000000000003</v>
      </c>
      <c r="I231" s="877"/>
    </row>
    <row r="232" spans="1:9">
      <c r="A232" s="871"/>
      <c r="B232" s="891" t="s">
        <v>2135</v>
      </c>
      <c r="C232" s="873">
        <v>1</v>
      </c>
      <c r="D232" s="873">
        <v>1</v>
      </c>
      <c r="E232" s="888">
        <f>2.63+2.33+1.3+0.37+1.23+2.33</f>
        <v>10.19</v>
      </c>
      <c r="F232" s="888">
        <v>0.23</v>
      </c>
      <c r="G232" s="876">
        <v>0.3</v>
      </c>
      <c r="H232" s="876">
        <f t="shared" si="15"/>
        <v>0.70311000000000001</v>
      </c>
      <c r="I232" s="877"/>
    </row>
    <row r="233" spans="1:9">
      <c r="A233" s="871"/>
      <c r="B233" s="891" t="s">
        <v>2162</v>
      </c>
      <c r="C233" s="873">
        <v>1</v>
      </c>
      <c r="D233" s="873">
        <v>1</v>
      </c>
      <c r="E233" s="888">
        <f>1.35-0.115+0.23+1.35+0.115+0.995</f>
        <v>3.9250000000000007</v>
      </c>
      <c r="F233" s="874">
        <v>2.4</v>
      </c>
      <c r="G233" s="875">
        <v>0.125</v>
      </c>
      <c r="H233" s="876">
        <f t="shared" si="15"/>
        <v>1.1775000000000002</v>
      </c>
      <c r="I233" s="877"/>
    </row>
    <row r="234" spans="1:9">
      <c r="A234" s="871"/>
      <c r="B234" s="891" t="s">
        <v>2163</v>
      </c>
      <c r="C234" s="873">
        <v>1</v>
      </c>
      <c r="D234" s="873">
        <v>1</v>
      </c>
      <c r="E234" s="888">
        <v>4.7</v>
      </c>
      <c r="F234" s="874">
        <v>3.9249999999999998</v>
      </c>
      <c r="G234" s="875">
        <v>0.125</v>
      </c>
      <c r="H234" s="876">
        <f t="shared" si="15"/>
        <v>2.3059375000000002</v>
      </c>
      <c r="I234" s="877"/>
    </row>
    <row r="235" spans="1:9">
      <c r="A235" s="871"/>
      <c r="B235" s="891" t="s">
        <v>2164</v>
      </c>
      <c r="C235" s="873">
        <v>1</v>
      </c>
      <c r="D235" s="873">
        <v>1</v>
      </c>
      <c r="E235" s="888">
        <v>3.8</v>
      </c>
      <c r="F235" s="874">
        <v>3.9249999999999998</v>
      </c>
      <c r="G235" s="875">
        <v>0.125</v>
      </c>
      <c r="H235" s="876">
        <f t="shared" si="15"/>
        <v>1.8643749999999999</v>
      </c>
      <c r="I235" s="877"/>
    </row>
    <row r="236" spans="1:9">
      <c r="A236" s="871"/>
      <c r="B236" s="891" t="s">
        <v>2165</v>
      </c>
      <c r="C236" s="873">
        <v>1</v>
      </c>
      <c r="D236" s="873">
        <v>1</v>
      </c>
      <c r="E236" s="888">
        <f>4.485+0.115+1.5</f>
        <v>6.1000000000000005</v>
      </c>
      <c r="F236" s="874">
        <f>2.77+0.115+1.5</f>
        <v>4.3849999999999998</v>
      </c>
      <c r="G236" s="875">
        <v>0.125</v>
      </c>
      <c r="H236" s="876">
        <f t="shared" si="15"/>
        <v>3.3435625</v>
      </c>
      <c r="I236" s="877"/>
    </row>
    <row r="237" spans="1:9">
      <c r="A237" s="871"/>
      <c r="B237" s="891" t="s">
        <v>2166</v>
      </c>
      <c r="C237" s="873">
        <v>1</v>
      </c>
      <c r="D237" s="873">
        <v>1</v>
      </c>
      <c r="E237" s="888">
        <v>4.3899999999999997</v>
      </c>
      <c r="F237" s="874">
        <v>2.4</v>
      </c>
      <c r="G237" s="875">
        <v>0.125</v>
      </c>
      <c r="H237" s="876">
        <f t="shared" si="15"/>
        <v>1.3169999999999999</v>
      </c>
      <c r="I237" s="877"/>
    </row>
    <row r="238" spans="1:9">
      <c r="A238" s="871"/>
      <c r="B238" s="891" t="s">
        <v>2167</v>
      </c>
      <c r="C238" s="873">
        <v>1</v>
      </c>
      <c r="D238" s="873">
        <v>1</v>
      </c>
      <c r="E238" s="888">
        <v>2.4</v>
      </c>
      <c r="F238" s="874">
        <v>3.1150000000000002</v>
      </c>
      <c r="G238" s="875">
        <v>0.125</v>
      </c>
      <c r="H238" s="876">
        <f t="shared" si="15"/>
        <v>0.9345</v>
      </c>
      <c r="I238" s="877"/>
    </row>
    <row r="239" spans="1:9">
      <c r="A239" s="871"/>
      <c r="B239" s="891" t="s">
        <v>2168</v>
      </c>
      <c r="C239" s="873">
        <v>1</v>
      </c>
      <c r="D239" s="873">
        <v>1</v>
      </c>
      <c r="E239" s="888">
        <v>2.8</v>
      </c>
      <c r="F239" s="888">
        <v>1.2</v>
      </c>
      <c r="G239" s="876">
        <v>0.15</v>
      </c>
      <c r="H239" s="876">
        <f t="shared" si="15"/>
        <v>0.504</v>
      </c>
      <c r="I239" s="902"/>
    </row>
    <row r="240" spans="1:9">
      <c r="A240" s="871"/>
      <c r="B240" s="891"/>
      <c r="C240" s="909"/>
      <c r="D240" s="909"/>
      <c r="E240" s="873"/>
      <c r="F240" s="873"/>
      <c r="G240" s="871" t="s">
        <v>57</v>
      </c>
      <c r="H240" s="910">
        <f>SUM(H201:H239)</f>
        <v>27.005471250000003</v>
      </c>
      <c r="I240" s="902"/>
    </row>
    <row r="241" spans="1:13" ht="18">
      <c r="A241" s="871"/>
      <c r="B241" s="891"/>
      <c r="C241" s="909"/>
      <c r="D241" s="909"/>
      <c r="E241" s="873"/>
      <c r="F241" s="873"/>
      <c r="G241" s="892" t="s">
        <v>206</v>
      </c>
      <c r="H241" s="893">
        <f>ROUNDUP(H240,1)</f>
        <v>27.1</v>
      </c>
      <c r="I241" s="912" t="s">
        <v>2075</v>
      </c>
    </row>
    <row r="242" spans="1:13">
      <c r="A242" s="871"/>
      <c r="B242" s="891"/>
      <c r="C242" s="909"/>
      <c r="D242" s="909"/>
      <c r="E242" s="873"/>
      <c r="F242" s="873"/>
      <c r="G242" s="892"/>
      <c r="H242" s="893"/>
      <c r="I242" s="912"/>
    </row>
    <row r="243" spans="1:13">
      <c r="A243" s="871" t="s">
        <v>2169</v>
      </c>
      <c r="B243" s="878" t="s">
        <v>2170</v>
      </c>
      <c r="C243" s="909"/>
      <c r="D243" s="909"/>
      <c r="E243" s="873"/>
      <c r="F243" s="873"/>
      <c r="G243" s="875"/>
      <c r="H243" s="913"/>
      <c r="I243" s="914"/>
    </row>
    <row r="244" spans="1:13">
      <c r="A244" s="871"/>
      <c r="B244" s="891" t="s">
        <v>2171</v>
      </c>
      <c r="C244" s="873">
        <v>1</v>
      </c>
      <c r="D244" s="873">
        <v>1</v>
      </c>
      <c r="E244" s="888">
        <v>6.72</v>
      </c>
      <c r="F244" s="888">
        <v>2.4</v>
      </c>
      <c r="G244" s="875">
        <v>0.125</v>
      </c>
      <c r="H244" s="876">
        <f t="shared" ref="H244:H249" si="16">PRODUCT(C244:G244)</f>
        <v>2.016</v>
      </c>
      <c r="I244" s="914"/>
    </row>
    <row r="245" spans="1:13">
      <c r="A245" s="871"/>
      <c r="B245" s="891" t="s">
        <v>2172</v>
      </c>
      <c r="C245" s="873">
        <v>1</v>
      </c>
      <c r="D245" s="873">
        <v>1</v>
      </c>
      <c r="E245" s="888">
        <v>19.16</v>
      </c>
      <c r="F245" s="888">
        <v>0.23</v>
      </c>
      <c r="G245" s="876">
        <v>0.4</v>
      </c>
      <c r="H245" s="876">
        <f t="shared" si="16"/>
        <v>1.7627200000000003</v>
      </c>
      <c r="I245" s="914"/>
      <c r="M245" s="865">
        <f>2*(E244+F244+0.46)</f>
        <v>19.16</v>
      </c>
    </row>
    <row r="246" spans="1:13">
      <c r="A246" s="871"/>
      <c r="B246" s="891" t="s">
        <v>2173</v>
      </c>
      <c r="C246" s="873">
        <v>1</v>
      </c>
      <c r="D246" s="873">
        <v>1</v>
      </c>
      <c r="E246" s="888">
        <v>1.46</v>
      </c>
      <c r="F246" s="888">
        <v>0.6</v>
      </c>
      <c r="G246" s="875">
        <v>6.5000000000000002E-2</v>
      </c>
      <c r="H246" s="876">
        <f t="shared" si="16"/>
        <v>5.6940000000000004E-2</v>
      </c>
      <c r="I246" s="914"/>
    </row>
    <row r="247" spans="1:13">
      <c r="A247" s="871"/>
      <c r="B247" s="891" t="s">
        <v>2174</v>
      </c>
      <c r="C247" s="873">
        <v>1</v>
      </c>
      <c r="D247" s="873">
        <v>1</v>
      </c>
      <c r="E247" s="888">
        <v>19.149999999999999</v>
      </c>
      <c r="F247" s="888">
        <v>0.23</v>
      </c>
      <c r="G247" s="875">
        <v>0.125</v>
      </c>
      <c r="H247" s="876">
        <f t="shared" si="16"/>
        <v>0.55056249999999995</v>
      </c>
      <c r="I247" s="914"/>
    </row>
    <row r="248" spans="1:13">
      <c r="A248" s="871"/>
      <c r="B248" s="891" t="s">
        <v>2175</v>
      </c>
      <c r="C248" s="873">
        <v>1</v>
      </c>
      <c r="D248" s="873">
        <v>2</v>
      </c>
      <c r="E248" s="888">
        <v>0.23</v>
      </c>
      <c r="F248" s="888">
        <v>0.3</v>
      </c>
      <c r="G248" s="876">
        <v>2.5499999999999998</v>
      </c>
      <c r="H248" s="876">
        <f t="shared" si="16"/>
        <v>0.35189999999999999</v>
      </c>
      <c r="I248" s="914"/>
    </row>
    <row r="249" spans="1:13">
      <c r="A249" s="871"/>
      <c r="B249" s="891" t="s">
        <v>2176</v>
      </c>
      <c r="C249" s="873">
        <v>1</v>
      </c>
      <c r="D249" s="873">
        <v>3</v>
      </c>
      <c r="E249" s="888">
        <v>0.23</v>
      </c>
      <c r="F249" s="888">
        <v>0.45</v>
      </c>
      <c r="G249" s="876">
        <v>2.5499999999999998</v>
      </c>
      <c r="H249" s="876">
        <f t="shared" si="16"/>
        <v>0.79177500000000012</v>
      </c>
      <c r="I249" s="914"/>
    </row>
    <row r="250" spans="1:13">
      <c r="A250" s="871"/>
      <c r="B250" s="891"/>
      <c r="C250" s="873"/>
      <c r="D250" s="873"/>
      <c r="E250" s="888"/>
      <c r="F250" s="874"/>
      <c r="G250" s="871" t="s">
        <v>57</v>
      </c>
      <c r="H250" s="876">
        <f>SUM(H244:H249)</f>
        <v>5.5298975000000006</v>
      </c>
      <c r="I250" s="914"/>
    </row>
    <row r="251" spans="1:13" ht="18">
      <c r="A251" s="871"/>
      <c r="B251" s="891"/>
      <c r="C251" s="873"/>
      <c r="D251" s="873"/>
      <c r="E251" s="888"/>
      <c r="F251" s="874"/>
      <c r="G251" s="892" t="s">
        <v>206</v>
      </c>
      <c r="H251" s="893">
        <f>ROUNDUP(H250,1)</f>
        <v>5.6</v>
      </c>
      <c r="I251" s="912" t="s">
        <v>2075</v>
      </c>
    </row>
    <row r="252" spans="1:13">
      <c r="A252" s="871"/>
      <c r="B252" s="891"/>
      <c r="C252" s="873"/>
      <c r="D252" s="873"/>
      <c r="E252" s="888"/>
      <c r="F252" s="874"/>
      <c r="G252" s="871"/>
      <c r="H252" s="876"/>
      <c r="I252" s="914"/>
    </row>
    <row r="253" spans="1:13" ht="55.5" customHeight="1">
      <c r="A253" s="871">
        <v>9.5</v>
      </c>
      <c r="B253" s="886" t="s">
        <v>2177</v>
      </c>
      <c r="C253" s="873"/>
      <c r="D253" s="873"/>
      <c r="E253" s="874"/>
      <c r="F253" s="873"/>
      <c r="G253" s="875"/>
      <c r="H253" s="876"/>
      <c r="I253" s="877"/>
    </row>
    <row r="254" spans="1:13" ht="18.75" customHeight="1">
      <c r="A254" s="871" t="s">
        <v>2058</v>
      </c>
      <c r="B254" s="915" t="s">
        <v>978</v>
      </c>
      <c r="C254" s="873"/>
      <c r="D254" s="873"/>
      <c r="E254" s="874"/>
      <c r="F254" s="873"/>
      <c r="G254" s="875"/>
      <c r="H254" s="913"/>
      <c r="I254" s="914"/>
    </row>
    <row r="255" spans="1:13" ht="18.75" customHeight="1">
      <c r="A255" s="871"/>
      <c r="B255" s="891" t="s">
        <v>2178</v>
      </c>
      <c r="C255" s="873">
        <v>1</v>
      </c>
      <c r="D255" s="873">
        <v>1</v>
      </c>
      <c r="E255" s="888">
        <f>2*(11.82-0.46+9)</f>
        <v>40.72</v>
      </c>
      <c r="F255" s="888">
        <v>0.23</v>
      </c>
      <c r="G255" s="876">
        <f>3.3-0.4</f>
        <v>2.9</v>
      </c>
      <c r="H255" s="876">
        <f t="shared" ref="H255:H284" si="17">PRODUCT(C255:G255)</f>
        <v>27.160240000000002</v>
      </c>
      <c r="I255" s="914"/>
    </row>
    <row r="256" spans="1:13" ht="18.75" customHeight="1">
      <c r="A256" s="871"/>
      <c r="B256" s="891" t="s">
        <v>2179</v>
      </c>
      <c r="C256" s="873">
        <v>-1</v>
      </c>
      <c r="D256" s="873">
        <v>1</v>
      </c>
      <c r="E256" s="888">
        <v>1.8</v>
      </c>
      <c r="F256" s="888">
        <v>0.23</v>
      </c>
      <c r="G256" s="876">
        <v>2.1</v>
      </c>
      <c r="H256" s="876">
        <f t="shared" si="17"/>
        <v>-0.86940000000000006</v>
      </c>
      <c r="I256" s="914"/>
    </row>
    <row r="257" spans="1:10" ht="18.75" customHeight="1">
      <c r="A257" s="871"/>
      <c r="B257" s="891" t="s">
        <v>2180</v>
      </c>
      <c r="C257" s="873">
        <v>-1</v>
      </c>
      <c r="D257" s="873">
        <v>2</v>
      </c>
      <c r="E257" s="888">
        <v>1</v>
      </c>
      <c r="F257" s="888">
        <v>0.23</v>
      </c>
      <c r="G257" s="876">
        <v>2</v>
      </c>
      <c r="H257" s="876">
        <f t="shared" si="17"/>
        <v>-0.92</v>
      </c>
      <c r="I257" s="914"/>
    </row>
    <row r="258" spans="1:10" ht="18.75" customHeight="1">
      <c r="A258" s="871"/>
      <c r="B258" s="891" t="s">
        <v>2181</v>
      </c>
      <c r="C258" s="873">
        <v>-1</v>
      </c>
      <c r="D258" s="873">
        <v>3</v>
      </c>
      <c r="E258" s="888">
        <v>1.5</v>
      </c>
      <c r="F258" s="888">
        <v>0.23</v>
      </c>
      <c r="G258" s="876">
        <v>1.35</v>
      </c>
      <c r="H258" s="876">
        <f t="shared" si="17"/>
        <v>-1.3972500000000003</v>
      </c>
      <c r="I258" s="914"/>
    </row>
    <row r="259" spans="1:10" ht="18.75" customHeight="1">
      <c r="A259" s="871"/>
      <c r="B259" s="891" t="s">
        <v>2182</v>
      </c>
      <c r="C259" s="873">
        <v>-1</v>
      </c>
      <c r="D259" s="873">
        <v>2</v>
      </c>
      <c r="E259" s="888">
        <v>1.2</v>
      </c>
      <c r="F259" s="888">
        <v>0.23</v>
      </c>
      <c r="G259" s="876">
        <v>1.35</v>
      </c>
      <c r="H259" s="876">
        <f t="shared" si="17"/>
        <v>-0.74520000000000008</v>
      </c>
      <c r="I259" s="914"/>
    </row>
    <row r="260" spans="1:10" ht="18.75" customHeight="1">
      <c r="A260" s="871"/>
      <c r="B260" s="891" t="s">
        <v>2183</v>
      </c>
      <c r="C260" s="873">
        <v>-1</v>
      </c>
      <c r="D260" s="873">
        <v>2</v>
      </c>
      <c r="E260" s="888">
        <v>1.5</v>
      </c>
      <c r="F260" s="888">
        <v>0.23</v>
      </c>
      <c r="G260" s="876">
        <v>1.35</v>
      </c>
      <c r="H260" s="876">
        <f t="shared" si="17"/>
        <v>-0.93150000000000011</v>
      </c>
      <c r="I260" s="914"/>
    </row>
    <row r="261" spans="1:10" ht="18.75" customHeight="1">
      <c r="A261" s="871"/>
      <c r="B261" s="891" t="s">
        <v>2184</v>
      </c>
      <c r="C261" s="873">
        <v>-1</v>
      </c>
      <c r="D261" s="873">
        <v>2</v>
      </c>
      <c r="E261" s="888">
        <v>1.35</v>
      </c>
      <c r="F261" s="888">
        <v>0.23</v>
      </c>
      <c r="G261" s="876">
        <v>0.6</v>
      </c>
      <c r="H261" s="876">
        <f t="shared" si="17"/>
        <v>-0.37260000000000004</v>
      </c>
      <c r="I261" s="914"/>
    </row>
    <row r="262" spans="1:10" ht="18.75" customHeight="1">
      <c r="A262" s="871"/>
      <c r="B262" s="891" t="s">
        <v>2185</v>
      </c>
      <c r="C262" s="873">
        <v>-1</v>
      </c>
      <c r="D262" s="873">
        <v>1</v>
      </c>
      <c r="E262" s="888">
        <v>0.75</v>
      </c>
      <c r="F262" s="888">
        <v>0.23</v>
      </c>
      <c r="G262" s="876">
        <v>0.6</v>
      </c>
      <c r="H262" s="876">
        <f>PRODUCT(C262:G262)</f>
        <v>-0.10350000000000001</v>
      </c>
      <c r="I262" s="914"/>
    </row>
    <row r="263" spans="1:10" ht="18.75" customHeight="1">
      <c r="A263" s="871"/>
      <c r="B263" s="886" t="s">
        <v>2186</v>
      </c>
      <c r="C263" s="887">
        <v>1</v>
      </c>
      <c r="D263" s="887">
        <v>1</v>
      </c>
      <c r="E263" s="874">
        <v>7.06</v>
      </c>
      <c r="F263" s="888">
        <v>0.23</v>
      </c>
      <c r="G263" s="876">
        <v>2.9</v>
      </c>
      <c r="H263" s="876">
        <f t="shared" si="17"/>
        <v>4.7090199999999998</v>
      </c>
      <c r="I263" s="914"/>
    </row>
    <row r="264" spans="1:10" ht="18.75" customHeight="1">
      <c r="A264" s="871"/>
      <c r="B264" s="886" t="s">
        <v>2187</v>
      </c>
      <c r="C264" s="887">
        <v>-1</v>
      </c>
      <c r="D264" s="887">
        <v>1</v>
      </c>
      <c r="E264" s="874">
        <v>0.75</v>
      </c>
      <c r="F264" s="888">
        <v>0.23</v>
      </c>
      <c r="G264" s="876">
        <v>2.1</v>
      </c>
      <c r="H264" s="876">
        <f t="shared" si="17"/>
        <v>-0.36225000000000007</v>
      </c>
      <c r="I264" s="914"/>
    </row>
    <row r="265" spans="1:10" ht="18.75" customHeight="1">
      <c r="A265" s="871"/>
      <c r="B265" s="891" t="s">
        <v>2185</v>
      </c>
      <c r="C265" s="873">
        <v>-1</v>
      </c>
      <c r="D265" s="873">
        <v>2</v>
      </c>
      <c r="E265" s="888">
        <v>0.75</v>
      </c>
      <c r="F265" s="888">
        <v>0.23</v>
      </c>
      <c r="G265" s="876">
        <v>0.6</v>
      </c>
      <c r="H265" s="876">
        <f t="shared" si="17"/>
        <v>-0.20700000000000002</v>
      </c>
      <c r="I265" s="914"/>
    </row>
    <row r="266" spans="1:10" ht="18.75" customHeight="1">
      <c r="A266" s="871"/>
      <c r="B266" s="891" t="s">
        <v>2188</v>
      </c>
      <c r="C266" s="873">
        <v>1</v>
      </c>
      <c r="D266" s="873">
        <v>1</v>
      </c>
      <c r="E266" s="874">
        <v>3.9249999999999998</v>
      </c>
      <c r="F266" s="888">
        <v>0.23</v>
      </c>
      <c r="G266" s="876">
        <v>2.9</v>
      </c>
      <c r="H266" s="876">
        <f t="shared" si="17"/>
        <v>2.6179749999999999</v>
      </c>
      <c r="I266" s="914"/>
      <c r="J266" s="864">
        <f>3.3-0.4</f>
        <v>2.9</v>
      </c>
    </row>
    <row r="267" spans="1:10" ht="18.75" customHeight="1">
      <c r="A267" s="871"/>
      <c r="B267" s="891" t="s">
        <v>2189</v>
      </c>
      <c r="C267" s="873">
        <v>-1</v>
      </c>
      <c r="D267" s="873">
        <v>1</v>
      </c>
      <c r="E267" s="874">
        <v>1</v>
      </c>
      <c r="F267" s="888">
        <v>0.23</v>
      </c>
      <c r="G267" s="876">
        <v>2.1</v>
      </c>
      <c r="H267" s="876">
        <f t="shared" si="17"/>
        <v>-0.48300000000000004</v>
      </c>
      <c r="I267" s="914"/>
    </row>
    <row r="268" spans="1:10" ht="18.75" customHeight="1">
      <c r="A268" s="871"/>
      <c r="B268" s="891" t="s">
        <v>2190</v>
      </c>
      <c r="C268" s="873">
        <v>1</v>
      </c>
      <c r="D268" s="873">
        <v>1</v>
      </c>
      <c r="E268" s="874">
        <f>0.9+0.23+1.27+0.23+3.47+0.23</f>
        <v>6.330000000000001</v>
      </c>
      <c r="F268" s="888">
        <v>0.23</v>
      </c>
      <c r="G268" s="876">
        <v>2.9</v>
      </c>
      <c r="H268" s="876">
        <f t="shared" si="17"/>
        <v>4.2221100000000007</v>
      </c>
      <c r="I268" s="914"/>
    </row>
    <row r="269" spans="1:10" ht="18.75" customHeight="1">
      <c r="A269" s="871"/>
      <c r="B269" s="891" t="s">
        <v>2191</v>
      </c>
      <c r="C269" s="873">
        <v>-1</v>
      </c>
      <c r="D269" s="873">
        <v>1</v>
      </c>
      <c r="E269" s="874">
        <v>3.5</v>
      </c>
      <c r="F269" s="888">
        <v>0.23</v>
      </c>
      <c r="G269" s="876">
        <v>2.1</v>
      </c>
      <c r="H269" s="876">
        <f t="shared" si="17"/>
        <v>-1.6905000000000001</v>
      </c>
      <c r="I269" s="914"/>
    </row>
    <row r="270" spans="1:10" ht="18.75" customHeight="1">
      <c r="A270" s="871"/>
      <c r="B270" s="886" t="s">
        <v>2192</v>
      </c>
      <c r="C270" s="873">
        <v>1</v>
      </c>
      <c r="D270" s="873">
        <v>1</v>
      </c>
      <c r="E270" s="888">
        <f>3.8-2.4</f>
        <v>1.4</v>
      </c>
      <c r="F270" s="888">
        <v>0.23</v>
      </c>
      <c r="G270" s="876">
        <f>3.3-0.6</f>
        <v>2.6999999999999997</v>
      </c>
      <c r="H270" s="876">
        <f>PRODUCT(C270:G270)</f>
        <v>0.86939999999999995</v>
      </c>
      <c r="I270" s="914"/>
    </row>
    <row r="271" spans="1:10" ht="18.75" customHeight="1">
      <c r="A271" s="871"/>
      <c r="B271" s="886" t="s">
        <v>2193</v>
      </c>
      <c r="C271" s="873">
        <v>1</v>
      </c>
      <c r="D271" s="873">
        <v>2</v>
      </c>
      <c r="E271" s="888">
        <f>2.77+0.23+1.5</f>
        <v>4.5</v>
      </c>
      <c r="F271" s="888">
        <v>0.23</v>
      </c>
      <c r="G271" s="876">
        <v>2.9</v>
      </c>
      <c r="H271" s="876">
        <f t="shared" si="17"/>
        <v>6.003000000000001</v>
      </c>
      <c r="I271" s="914"/>
    </row>
    <row r="272" spans="1:10" ht="18.75" customHeight="1">
      <c r="A272" s="871"/>
      <c r="B272" s="886" t="s">
        <v>2194</v>
      </c>
      <c r="C272" s="873">
        <v>-1</v>
      </c>
      <c r="D272" s="873">
        <v>2</v>
      </c>
      <c r="E272" s="888">
        <v>1</v>
      </c>
      <c r="F272" s="888">
        <v>0.23</v>
      </c>
      <c r="G272" s="876">
        <v>2.1</v>
      </c>
      <c r="H272" s="876">
        <f t="shared" si="17"/>
        <v>-0.96600000000000008</v>
      </c>
      <c r="I272" s="914"/>
    </row>
    <row r="273" spans="1:10" ht="18.75" customHeight="1">
      <c r="A273" s="871"/>
      <c r="B273" s="886" t="s">
        <v>2189</v>
      </c>
      <c r="C273" s="873">
        <v>-1</v>
      </c>
      <c r="D273" s="873">
        <v>1</v>
      </c>
      <c r="E273" s="888">
        <v>1</v>
      </c>
      <c r="F273" s="888">
        <v>0.23</v>
      </c>
      <c r="G273" s="876">
        <v>2.1</v>
      </c>
      <c r="H273" s="876">
        <f t="shared" si="17"/>
        <v>-0.48300000000000004</v>
      </c>
      <c r="I273" s="914"/>
    </row>
    <row r="274" spans="1:10" ht="18.75" customHeight="1">
      <c r="A274" s="871"/>
      <c r="B274" s="886" t="s">
        <v>2195</v>
      </c>
      <c r="C274" s="873">
        <v>-1</v>
      </c>
      <c r="D274" s="873">
        <v>1</v>
      </c>
      <c r="E274" s="888">
        <v>0.9</v>
      </c>
      <c r="F274" s="888">
        <v>0.23</v>
      </c>
      <c r="G274" s="876">
        <v>2.1</v>
      </c>
      <c r="H274" s="876">
        <f t="shared" si="17"/>
        <v>-0.43470000000000003</v>
      </c>
      <c r="I274" s="914"/>
    </row>
    <row r="275" spans="1:10" ht="36" customHeight="1">
      <c r="A275" s="871"/>
      <c r="B275" s="891" t="s">
        <v>2196</v>
      </c>
      <c r="C275" s="873">
        <v>1</v>
      </c>
      <c r="D275" s="873">
        <v>3</v>
      </c>
      <c r="E275" s="888">
        <v>2.4</v>
      </c>
      <c r="F275" s="888">
        <v>0.23</v>
      </c>
      <c r="G275" s="876">
        <v>2.9</v>
      </c>
      <c r="H275" s="876">
        <f t="shared" si="17"/>
        <v>4.8023999999999996</v>
      </c>
      <c r="I275" s="914"/>
    </row>
    <row r="276" spans="1:10" ht="18.75" customHeight="1">
      <c r="A276" s="871"/>
      <c r="B276" s="886" t="s">
        <v>2197</v>
      </c>
      <c r="C276" s="873">
        <v>1</v>
      </c>
      <c r="D276" s="873">
        <v>1</v>
      </c>
      <c r="E276" s="888">
        <f>2.77+0.23+1.5+0.115-1.5</f>
        <v>3.1150000000000002</v>
      </c>
      <c r="F276" s="888">
        <v>0.23</v>
      </c>
      <c r="G276" s="876">
        <v>3.18</v>
      </c>
      <c r="H276" s="876">
        <f t="shared" si="17"/>
        <v>2.2783110000000004</v>
      </c>
      <c r="I276" s="914"/>
    </row>
    <row r="277" spans="1:10" ht="18.75" customHeight="1">
      <c r="A277" s="871"/>
      <c r="B277" s="891" t="s">
        <v>692</v>
      </c>
      <c r="C277" s="887">
        <v>-1</v>
      </c>
      <c r="D277" s="887">
        <v>2</v>
      </c>
      <c r="E277" s="888">
        <v>0.3</v>
      </c>
      <c r="F277" s="888">
        <v>0.23</v>
      </c>
      <c r="G277" s="876">
        <v>2.9</v>
      </c>
      <c r="H277" s="876">
        <f t="shared" si="17"/>
        <v>-0.4002</v>
      </c>
      <c r="I277" s="914"/>
    </row>
    <row r="278" spans="1:10" ht="18.75" customHeight="1">
      <c r="A278" s="871"/>
      <c r="B278" s="891" t="s">
        <v>2090</v>
      </c>
      <c r="C278" s="887">
        <v>-1</v>
      </c>
      <c r="D278" s="887">
        <v>4</v>
      </c>
      <c r="E278" s="888">
        <v>0.3</v>
      </c>
      <c r="F278" s="888">
        <v>0.23</v>
      </c>
      <c r="G278" s="876">
        <f>G277</f>
        <v>2.9</v>
      </c>
      <c r="H278" s="876">
        <f t="shared" si="17"/>
        <v>-0.8004</v>
      </c>
      <c r="I278" s="914"/>
    </row>
    <row r="279" spans="1:10" ht="18.75" customHeight="1">
      <c r="A279" s="871"/>
      <c r="B279" s="891" t="s">
        <v>675</v>
      </c>
      <c r="C279" s="887">
        <v>-1</v>
      </c>
      <c r="D279" s="887">
        <v>5</v>
      </c>
      <c r="E279" s="888">
        <v>0.3</v>
      </c>
      <c r="F279" s="888">
        <v>0.23</v>
      </c>
      <c r="G279" s="876">
        <f>G278</f>
        <v>2.9</v>
      </c>
      <c r="H279" s="876">
        <f t="shared" si="17"/>
        <v>-1.0004999999999999</v>
      </c>
      <c r="I279" s="914"/>
    </row>
    <row r="280" spans="1:10" ht="18.75" customHeight="1">
      <c r="A280" s="871"/>
      <c r="B280" s="891" t="s">
        <v>693</v>
      </c>
      <c r="C280" s="887">
        <v>-1</v>
      </c>
      <c r="D280" s="887">
        <v>2</v>
      </c>
      <c r="E280" s="888">
        <v>0.45</v>
      </c>
      <c r="F280" s="888">
        <v>0.23</v>
      </c>
      <c r="G280" s="876">
        <f>G279</f>
        <v>2.9</v>
      </c>
      <c r="H280" s="876">
        <f t="shared" si="17"/>
        <v>-0.60030000000000006</v>
      </c>
      <c r="I280" s="914"/>
    </row>
    <row r="281" spans="1:10" ht="18.75" customHeight="1">
      <c r="A281" s="871"/>
      <c r="B281" s="891" t="s">
        <v>677</v>
      </c>
      <c r="C281" s="887">
        <v>-1</v>
      </c>
      <c r="D281" s="887">
        <v>1</v>
      </c>
      <c r="E281" s="888">
        <v>0.45</v>
      </c>
      <c r="F281" s="888">
        <v>0.23</v>
      </c>
      <c r="G281" s="876">
        <f>G280</f>
        <v>2.9</v>
      </c>
      <c r="H281" s="876">
        <f t="shared" si="17"/>
        <v>-0.30015000000000003</v>
      </c>
      <c r="I281" s="914"/>
    </row>
    <row r="282" spans="1:10" ht="18.75" customHeight="1">
      <c r="A282" s="871"/>
      <c r="B282" s="891" t="s">
        <v>2091</v>
      </c>
      <c r="C282" s="887">
        <v>-1</v>
      </c>
      <c r="D282" s="887">
        <v>1</v>
      </c>
      <c r="E282" s="888">
        <v>0.45</v>
      </c>
      <c r="F282" s="888">
        <v>0.23</v>
      </c>
      <c r="G282" s="876">
        <f>G281</f>
        <v>2.9</v>
      </c>
      <c r="H282" s="876">
        <f t="shared" si="17"/>
        <v>-0.30015000000000003</v>
      </c>
      <c r="I282" s="914"/>
    </row>
    <row r="283" spans="1:10" ht="18.75" customHeight="1">
      <c r="A283" s="871"/>
      <c r="B283" s="891" t="s">
        <v>2198</v>
      </c>
      <c r="C283" s="873">
        <v>1</v>
      </c>
      <c r="D283" s="873">
        <v>2</v>
      </c>
      <c r="E283" s="888">
        <v>2.4</v>
      </c>
      <c r="F283" s="873">
        <v>0.23</v>
      </c>
      <c r="G283" s="876">
        <f>3.3-2.1-0.4-0.125</f>
        <v>0.67499999999999971</v>
      </c>
      <c r="H283" s="876">
        <f t="shared" si="17"/>
        <v>0.74519999999999975</v>
      </c>
      <c r="I283" s="914"/>
    </row>
    <row r="284" spans="1:10" ht="18.75" customHeight="1">
      <c r="A284" s="871"/>
      <c r="B284" s="891" t="s">
        <v>2199</v>
      </c>
      <c r="C284" s="873">
        <v>1</v>
      </c>
      <c r="D284" s="873">
        <v>1</v>
      </c>
      <c r="E284" s="888">
        <v>3.93</v>
      </c>
      <c r="F284" s="873">
        <v>0.23</v>
      </c>
      <c r="G284" s="876">
        <f>3.3-2.1-0.4-0.125</f>
        <v>0.67499999999999971</v>
      </c>
      <c r="H284" s="876">
        <f t="shared" si="17"/>
        <v>0.61013249999999974</v>
      </c>
      <c r="I284" s="914"/>
    </row>
    <row r="285" spans="1:10" ht="18.75" customHeight="1">
      <c r="A285" s="871"/>
      <c r="B285" s="891"/>
      <c r="C285" s="873"/>
      <c r="D285" s="873"/>
      <c r="E285" s="874"/>
      <c r="F285" s="888"/>
      <c r="G285" s="876" t="s">
        <v>57</v>
      </c>
      <c r="H285" s="876">
        <f>SUM(H255:H284)</f>
        <v>40.650188499999992</v>
      </c>
      <c r="I285" s="877"/>
      <c r="J285" s="890"/>
    </row>
    <row r="286" spans="1:10" ht="18.75" customHeight="1">
      <c r="A286" s="871"/>
      <c r="B286" s="891"/>
      <c r="C286" s="873"/>
      <c r="D286" s="873"/>
      <c r="E286" s="874"/>
      <c r="F286" s="888"/>
      <c r="G286" s="892" t="s">
        <v>206</v>
      </c>
      <c r="H286" s="893">
        <f>ROUNDUP(H285,1)</f>
        <v>40.700000000000003</v>
      </c>
      <c r="I286" s="912" t="s">
        <v>2075</v>
      </c>
      <c r="J286" s="890"/>
    </row>
    <row r="287" spans="1:10">
      <c r="A287" s="871"/>
      <c r="B287" s="891"/>
      <c r="C287" s="873"/>
      <c r="D287" s="873"/>
      <c r="E287" s="874"/>
      <c r="F287" s="888"/>
      <c r="G287" s="875"/>
      <c r="H287" s="913"/>
      <c r="I287" s="914"/>
      <c r="J287" s="890"/>
    </row>
    <row r="288" spans="1:10" ht="22.5" customHeight="1">
      <c r="A288" s="871" t="s">
        <v>2142</v>
      </c>
      <c r="B288" s="878" t="s">
        <v>1105</v>
      </c>
      <c r="C288" s="873"/>
      <c r="D288" s="873"/>
      <c r="E288" s="874"/>
      <c r="F288" s="888"/>
      <c r="G288" s="876"/>
      <c r="H288" s="876"/>
      <c r="I288" s="877"/>
      <c r="J288" s="890"/>
    </row>
    <row r="289" spans="1:10">
      <c r="A289" s="871"/>
      <c r="B289" s="891" t="s">
        <v>2200</v>
      </c>
      <c r="C289" s="873">
        <v>1</v>
      </c>
      <c r="D289" s="873">
        <v>1</v>
      </c>
      <c r="E289" s="888">
        <f>2*(11.82+9+2.33-0.46)</f>
        <v>45.379999999999995</v>
      </c>
      <c r="F289" s="888">
        <v>0.23</v>
      </c>
      <c r="G289" s="876">
        <v>2.9</v>
      </c>
      <c r="H289" s="876">
        <f t="shared" ref="H289:H322" si="18">PRODUCT(C289:G289)</f>
        <v>30.268460000000001</v>
      </c>
      <c r="I289" s="877"/>
      <c r="J289" s="890"/>
    </row>
    <row r="290" spans="1:10">
      <c r="A290" s="871"/>
      <c r="B290" s="891" t="s">
        <v>2201</v>
      </c>
      <c r="C290" s="873">
        <v>-1</v>
      </c>
      <c r="D290" s="873">
        <v>1</v>
      </c>
      <c r="E290" s="888">
        <v>0.9</v>
      </c>
      <c r="F290" s="888">
        <v>0.23</v>
      </c>
      <c r="G290" s="876">
        <v>2.1</v>
      </c>
      <c r="H290" s="876">
        <f t="shared" si="18"/>
        <v>-0.43470000000000003</v>
      </c>
      <c r="I290" s="877"/>
      <c r="J290" s="890"/>
    </row>
    <row r="291" spans="1:10">
      <c r="A291" s="871"/>
      <c r="B291" s="891" t="s">
        <v>2181</v>
      </c>
      <c r="C291" s="873">
        <v>-1</v>
      </c>
      <c r="D291" s="873">
        <v>1</v>
      </c>
      <c r="E291" s="888">
        <v>1.65</v>
      </c>
      <c r="F291" s="888">
        <v>0.23</v>
      </c>
      <c r="G291" s="876">
        <v>1.35</v>
      </c>
      <c r="H291" s="876">
        <f t="shared" si="18"/>
        <v>-0.51232500000000003</v>
      </c>
      <c r="I291" s="877"/>
      <c r="J291" s="890"/>
    </row>
    <row r="292" spans="1:10">
      <c r="A292" s="871"/>
      <c r="B292" s="891" t="s">
        <v>2202</v>
      </c>
      <c r="C292" s="873">
        <v>-1</v>
      </c>
      <c r="D292" s="873">
        <v>3</v>
      </c>
      <c r="E292" s="888">
        <v>1.5</v>
      </c>
      <c r="F292" s="888">
        <v>0.23</v>
      </c>
      <c r="G292" s="876">
        <v>1.35</v>
      </c>
      <c r="H292" s="876">
        <f t="shared" si="18"/>
        <v>-1.3972500000000003</v>
      </c>
      <c r="I292" s="877"/>
      <c r="J292" s="890"/>
    </row>
    <row r="293" spans="1:10">
      <c r="A293" s="871"/>
      <c r="B293" s="891" t="s">
        <v>2182</v>
      </c>
      <c r="C293" s="873">
        <v>-1</v>
      </c>
      <c r="D293" s="873">
        <v>4</v>
      </c>
      <c r="E293" s="888">
        <v>1.2</v>
      </c>
      <c r="F293" s="888">
        <v>0.23</v>
      </c>
      <c r="G293" s="876">
        <v>1.35</v>
      </c>
      <c r="H293" s="876">
        <f t="shared" si="18"/>
        <v>-1.4904000000000002</v>
      </c>
      <c r="I293" s="877"/>
      <c r="J293" s="890"/>
    </row>
    <row r="294" spans="1:10">
      <c r="A294" s="871"/>
      <c r="B294" s="891" t="s">
        <v>2203</v>
      </c>
      <c r="C294" s="873">
        <v>-1</v>
      </c>
      <c r="D294" s="873">
        <v>1</v>
      </c>
      <c r="E294" s="888">
        <v>0.85</v>
      </c>
      <c r="F294" s="888">
        <v>0.23</v>
      </c>
      <c r="G294" s="876">
        <v>1.35</v>
      </c>
      <c r="H294" s="876">
        <f t="shared" si="18"/>
        <v>-0.26392500000000002</v>
      </c>
      <c r="I294" s="877"/>
      <c r="J294" s="890"/>
    </row>
    <row r="295" spans="1:10">
      <c r="A295" s="871"/>
      <c r="B295" s="891" t="s">
        <v>2204</v>
      </c>
      <c r="C295" s="873">
        <v>-1</v>
      </c>
      <c r="D295" s="873">
        <v>3</v>
      </c>
      <c r="E295" s="888">
        <v>0.75</v>
      </c>
      <c r="F295" s="888">
        <v>0.23</v>
      </c>
      <c r="G295" s="876">
        <v>1.35</v>
      </c>
      <c r="H295" s="876">
        <f t="shared" si="18"/>
        <v>-0.69862500000000016</v>
      </c>
      <c r="I295" s="877"/>
      <c r="J295" s="890"/>
    </row>
    <row r="296" spans="1:10">
      <c r="A296" s="871"/>
      <c r="B296" s="891" t="s">
        <v>2183</v>
      </c>
      <c r="C296" s="873">
        <v>-1</v>
      </c>
      <c r="D296" s="873">
        <v>1</v>
      </c>
      <c r="E296" s="888">
        <v>0.9</v>
      </c>
      <c r="F296" s="888">
        <v>0.23</v>
      </c>
      <c r="G296" s="876">
        <v>1.35</v>
      </c>
      <c r="H296" s="876">
        <f t="shared" si="18"/>
        <v>-0.27945000000000003</v>
      </c>
      <c r="I296" s="877"/>
      <c r="J296" s="890"/>
    </row>
    <row r="297" spans="1:10">
      <c r="A297" s="871"/>
      <c r="B297" s="891" t="s">
        <v>2205</v>
      </c>
      <c r="C297" s="873">
        <v>-1</v>
      </c>
      <c r="D297" s="873">
        <v>1</v>
      </c>
      <c r="E297" s="888">
        <v>1.8</v>
      </c>
      <c r="F297" s="888">
        <v>0.23</v>
      </c>
      <c r="G297" s="876">
        <v>1.35</v>
      </c>
      <c r="H297" s="876">
        <f>PRODUCT(C297:G297)</f>
        <v>-0.55890000000000006</v>
      </c>
      <c r="I297" s="877"/>
      <c r="J297" s="890"/>
    </row>
    <row r="298" spans="1:10">
      <c r="A298" s="871"/>
      <c r="B298" s="891" t="s">
        <v>2206</v>
      </c>
      <c r="C298" s="873">
        <v>-1</v>
      </c>
      <c r="D298" s="873">
        <v>1</v>
      </c>
      <c r="E298" s="888">
        <v>0.9</v>
      </c>
      <c r="F298" s="888">
        <v>0.23</v>
      </c>
      <c r="G298" s="876">
        <v>0.6</v>
      </c>
      <c r="H298" s="876">
        <f t="shared" si="18"/>
        <v>-0.1242</v>
      </c>
      <c r="I298" s="877"/>
      <c r="J298" s="890"/>
    </row>
    <row r="299" spans="1:10">
      <c r="A299" s="871"/>
      <c r="B299" s="891" t="s">
        <v>2185</v>
      </c>
      <c r="C299" s="873">
        <v>-1</v>
      </c>
      <c r="D299" s="873">
        <v>3</v>
      </c>
      <c r="E299" s="888">
        <v>0.75</v>
      </c>
      <c r="F299" s="888">
        <v>0.23</v>
      </c>
      <c r="G299" s="876">
        <v>0.6</v>
      </c>
      <c r="H299" s="876">
        <f t="shared" si="18"/>
        <v>-0.31050000000000005</v>
      </c>
      <c r="I299" s="877"/>
      <c r="J299" s="890"/>
    </row>
    <row r="300" spans="1:10">
      <c r="A300" s="871"/>
      <c r="B300" s="891" t="s">
        <v>2207</v>
      </c>
      <c r="C300" s="873">
        <v>-1</v>
      </c>
      <c r="D300" s="873">
        <v>1</v>
      </c>
      <c r="E300" s="888">
        <v>1</v>
      </c>
      <c r="F300" s="888">
        <v>0.23</v>
      </c>
      <c r="G300" s="876">
        <v>0.6</v>
      </c>
      <c r="H300" s="876">
        <f t="shared" si="18"/>
        <v>-0.13800000000000001</v>
      </c>
      <c r="I300" s="877"/>
      <c r="J300" s="890"/>
    </row>
    <row r="301" spans="1:10">
      <c r="A301" s="871"/>
      <c r="B301" s="891" t="s">
        <v>2208</v>
      </c>
      <c r="C301" s="873">
        <v>1</v>
      </c>
      <c r="D301" s="873">
        <v>1</v>
      </c>
      <c r="E301" s="888">
        <f>1.35+0.23+1.35</f>
        <v>2.93</v>
      </c>
      <c r="F301" s="888">
        <v>0.23</v>
      </c>
      <c r="G301" s="876">
        <v>2.9</v>
      </c>
      <c r="H301" s="876">
        <f t="shared" si="18"/>
        <v>1.95431</v>
      </c>
      <c r="I301" s="877"/>
      <c r="J301" s="890"/>
    </row>
    <row r="302" spans="1:10" ht="31.5">
      <c r="A302" s="871"/>
      <c r="B302" s="891" t="s">
        <v>2209</v>
      </c>
      <c r="C302" s="873">
        <v>1</v>
      </c>
      <c r="D302" s="873">
        <v>1</v>
      </c>
      <c r="E302" s="888">
        <v>3.93</v>
      </c>
      <c r="F302" s="888">
        <v>0.23</v>
      </c>
      <c r="G302" s="876">
        <v>2.9</v>
      </c>
      <c r="H302" s="876">
        <f t="shared" si="18"/>
        <v>2.6213099999999998</v>
      </c>
      <c r="I302" s="877"/>
      <c r="J302" s="890"/>
    </row>
    <row r="303" spans="1:10">
      <c r="A303" s="871"/>
      <c r="B303" s="891" t="s">
        <v>2210</v>
      </c>
      <c r="C303" s="873">
        <v>1</v>
      </c>
      <c r="D303" s="873">
        <v>1</v>
      </c>
      <c r="E303" s="888">
        <v>4.7</v>
      </c>
      <c r="F303" s="888">
        <v>0.23</v>
      </c>
      <c r="G303" s="876">
        <v>2.9</v>
      </c>
      <c r="H303" s="876">
        <f t="shared" si="18"/>
        <v>3.1349000000000005</v>
      </c>
      <c r="I303" s="877"/>
      <c r="J303" s="890"/>
    </row>
    <row r="304" spans="1:10">
      <c r="A304" s="871"/>
      <c r="B304" s="891" t="s">
        <v>2189</v>
      </c>
      <c r="C304" s="873">
        <v>-1</v>
      </c>
      <c r="D304" s="873">
        <v>1</v>
      </c>
      <c r="E304" s="888">
        <v>1</v>
      </c>
      <c r="F304" s="888">
        <v>0.23</v>
      </c>
      <c r="G304" s="876">
        <v>2.1</v>
      </c>
      <c r="H304" s="876">
        <f t="shared" si="18"/>
        <v>-0.48300000000000004</v>
      </c>
      <c r="I304" s="877"/>
      <c r="J304" s="890"/>
    </row>
    <row r="305" spans="1:10">
      <c r="A305" s="871"/>
      <c r="B305" s="891" t="s">
        <v>2211</v>
      </c>
      <c r="C305" s="873">
        <v>1</v>
      </c>
      <c r="D305" s="873">
        <v>2</v>
      </c>
      <c r="E305" s="888">
        <v>4.3899999999999997</v>
      </c>
      <c r="F305" s="888">
        <v>0.23</v>
      </c>
      <c r="G305" s="876">
        <v>2.9</v>
      </c>
      <c r="H305" s="876">
        <f t="shared" si="18"/>
        <v>5.8562599999999998</v>
      </c>
      <c r="I305" s="877"/>
      <c r="J305" s="890"/>
    </row>
    <row r="306" spans="1:10">
      <c r="A306" s="871"/>
      <c r="B306" s="891" t="s">
        <v>2189</v>
      </c>
      <c r="C306" s="873">
        <v>-1</v>
      </c>
      <c r="D306" s="873">
        <v>1</v>
      </c>
      <c r="E306" s="888">
        <v>1</v>
      </c>
      <c r="F306" s="888">
        <v>0.23</v>
      </c>
      <c r="G306" s="876">
        <v>2.1</v>
      </c>
      <c r="H306" s="876">
        <f t="shared" si="18"/>
        <v>-0.48300000000000004</v>
      </c>
      <c r="I306" s="877"/>
      <c r="J306" s="890"/>
    </row>
    <row r="307" spans="1:10">
      <c r="A307" s="871"/>
      <c r="B307" s="891" t="s">
        <v>2212</v>
      </c>
      <c r="C307" s="873">
        <v>-1</v>
      </c>
      <c r="D307" s="873">
        <v>1</v>
      </c>
      <c r="E307" s="888">
        <v>1.5</v>
      </c>
      <c r="F307" s="888">
        <v>0.23</v>
      </c>
      <c r="G307" s="876">
        <v>2.1</v>
      </c>
      <c r="H307" s="876">
        <f t="shared" si="18"/>
        <v>-0.72450000000000014</v>
      </c>
      <c r="I307" s="877"/>
      <c r="J307" s="890"/>
    </row>
    <row r="308" spans="1:10">
      <c r="A308" s="871"/>
      <c r="B308" s="891" t="s">
        <v>2213</v>
      </c>
      <c r="C308" s="873">
        <v>1</v>
      </c>
      <c r="D308" s="873">
        <v>1</v>
      </c>
      <c r="E308" s="888">
        <v>2.4</v>
      </c>
      <c r="F308" s="888">
        <v>0.23</v>
      </c>
      <c r="G308" s="876">
        <v>3.18</v>
      </c>
      <c r="H308" s="876">
        <f t="shared" si="18"/>
        <v>1.7553600000000003</v>
      </c>
      <c r="I308" s="877"/>
      <c r="J308" s="890"/>
    </row>
    <row r="309" spans="1:10">
      <c r="A309" s="871"/>
      <c r="B309" s="891" t="s">
        <v>692</v>
      </c>
      <c r="C309" s="887">
        <v>-1</v>
      </c>
      <c r="D309" s="887">
        <v>2</v>
      </c>
      <c r="E309" s="888">
        <v>0.3</v>
      </c>
      <c r="F309" s="888">
        <v>0.23</v>
      </c>
      <c r="G309" s="876">
        <v>2.9</v>
      </c>
      <c r="H309" s="876">
        <f t="shared" si="18"/>
        <v>-0.4002</v>
      </c>
      <c r="I309" s="877"/>
      <c r="J309" s="890"/>
    </row>
    <row r="310" spans="1:10">
      <c r="A310" s="871"/>
      <c r="B310" s="891" t="s">
        <v>2090</v>
      </c>
      <c r="C310" s="887">
        <v>-1</v>
      </c>
      <c r="D310" s="887">
        <v>4</v>
      </c>
      <c r="E310" s="888">
        <v>0.3</v>
      </c>
      <c r="F310" s="888">
        <v>0.23</v>
      </c>
      <c r="G310" s="876">
        <f>G309</f>
        <v>2.9</v>
      </c>
      <c r="H310" s="876">
        <f t="shared" si="18"/>
        <v>-0.8004</v>
      </c>
      <c r="I310" s="877"/>
      <c r="J310" s="890"/>
    </row>
    <row r="311" spans="1:10">
      <c r="A311" s="871"/>
      <c r="B311" s="891" t="s">
        <v>675</v>
      </c>
      <c r="C311" s="887">
        <v>-1</v>
      </c>
      <c r="D311" s="887">
        <v>5</v>
      </c>
      <c r="E311" s="888">
        <v>0.3</v>
      </c>
      <c r="F311" s="888">
        <v>0.23</v>
      </c>
      <c r="G311" s="876">
        <f>G310</f>
        <v>2.9</v>
      </c>
      <c r="H311" s="876">
        <f t="shared" si="18"/>
        <v>-1.0004999999999999</v>
      </c>
      <c r="I311" s="877"/>
      <c r="J311" s="890"/>
    </row>
    <row r="312" spans="1:10">
      <c r="A312" s="871"/>
      <c r="B312" s="891" t="s">
        <v>693</v>
      </c>
      <c r="C312" s="887">
        <v>-1</v>
      </c>
      <c r="D312" s="887">
        <v>2</v>
      </c>
      <c r="E312" s="888">
        <v>0.45</v>
      </c>
      <c r="F312" s="888">
        <v>0.23</v>
      </c>
      <c r="G312" s="876">
        <f>G311</f>
        <v>2.9</v>
      </c>
      <c r="H312" s="876">
        <f t="shared" si="18"/>
        <v>-0.60030000000000006</v>
      </c>
      <c r="I312" s="877"/>
      <c r="J312" s="890"/>
    </row>
    <row r="313" spans="1:10">
      <c r="A313" s="871"/>
      <c r="B313" s="891" t="s">
        <v>677</v>
      </c>
      <c r="C313" s="887">
        <v>-1</v>
      </c>
      <c r="D313" s="887">
        <v>1</v>
      </c>
      <c r="E313" s="888">
        <v>0.45</v>
      </c>
      <c r="F313" s="888">
        <v>0.23</v>
      </c>
      <c r="G313" s="876">
        <f>G312</f>
        <v>2.9</v>
      </c>
      <c r="H313" s="876">
        <f t="shared" si="18"/>
        <v>-0.30015000000000003</v>
      </c>
      <c r="I313" s="877"/>
      <c r="J313" s="890"/>
    </row>
    <row r="314" spans="1:10">
      <c r="A314" s="871"/>
      <c r="B314" s="891" t="s">
        <v>2091</v>
      </c>
      <c r="C314" s="887">
        <v>-1</v>
      </c>
      <c r="D314" s="887">
        <v>1</v>
      </c>
      <c r="E314" s="888">
        <v>0.45</v>
      </c>
      <c r="F314" s="888">
        <v>0.23</v>
      </c>
      <c r="G314" s="876">
        <f>G313</f>
        <v>2.9</v>
      </c>
      <c r="H314" s="876">
        <f t="shared" si="18"/>
        <v>-0.30015000000000003</v>
      </c>
      <c r="I314" s="877"/>
      <c r="J314" s="890"/>
    </row>
    <row r="315" spans="1:10">
      <c r="A315" s="871"/>
      <c r="B315" s="891" t="s">
        <v>2214</v>
      </c>
      <c r="C315" s="873">
        <v>1</v>
      </c>
      <c r="D315" s="873">
        <v>1</v>
      </c>
      <c r="E315" s="888">
        <v>6.8</v>
      </c>
      <c r="F315" s="888">
        <v>0.23</v>
      </c>
      <c r="G315" s="876">
        <v>1</v>
      </c>
      <c r="H315" s="876">
        <f t="shared" si="18"/>
        <v>1.5640000000000001</v>
      </c>
      <c r="I315" s="902"/>
    </row>
    <row r="316" spans="1:10">
      <c r="A316" s="871"/>
      <c r="B316" s="891" t="s">
        <v>2215</v>
      </c>
      <c r="C316" s="873">
        <v>1</v>
      </c>
      <c r="D316" s="873">
        <v>6</v>
      </c>
      <c r="E316" s="888">
        <v>0.23</v>
      </c>
      <c r="F316" s="888">
        <v>0.23</v>
      </c>
      <c r="G316" s="876">
        <v>1.2</v>
      </c>
      <c r="H316" s="876">
        <f t="shared" si="18"/>
        <v>0.38088</v>
      </c>
      <c r="I316" s="902"/>
    </row>
    <row r="317" spans="1:10">
      <c r="A317" s="871"/>
      <c r="B317" s="891" t="s">
        <v>2216</v>
      </c>
      <c r="C317" s="873">
        <v>1</v>
      </c>
      <c r="D317" s="873">
        <v>2</v>
      </c>
      <c r="E317" s="888">
        <v>2.4</v>
      </c>
      <c r="F317" s="888">
        <v>0.23</v>
      </c>
      <c r="G317" s="876">
        <v>0.7</v>
      </c>
      <c r="H317" s="876">
        <f t="shared" si="18"/>
        <v>0.77280000000000004</v>
      </c>
      <c r="I317" s="902"/>
    </row>
    <row r="318" spans="1:10">
      <c r="A318" s="871"/>
      <c r="B318" s="891" t="s">
        <v>2217</v>
      </c>
      <c r="C318" s="873">
        <v>1</v>
      </c>
      <c r="D318" s="873">
        <v>1</v>
      </c>
      <c r="E318" s="888">
        <v>3.8</v>
      </c>
      <c r="F318" s="888">
        <v>0.23</v>
      </c>
      <c r="G318" s="876">
        <v>0.7</v>
      </c>
      <c r="H318" s="876">
        <f t="shared" si="18"/>
        <v>0.61180000000000001</v>
      </c>
      <c r="I318" s="902"/>
    </row>
    <row r="319" spans="1:10">
      <c r="A319" s="871"/>
      <c r="B319" s="891" t="s">
        <v>2218</v>
      </c>
      <c r="C319" s="873">
        <v>1</v>
      </c>
      <c r="D319" s="873">
        <v>1</v>
      </c>
      <c r="E319" s="888">
        <v>2.4</v>
      </c>
      <c r="F319" s="888">
        <v>0.23</v>
      </c>
      <c r="G319" s="876">
        <v>0.7</v>
      </c>
      <c r="H319" s="876">
        <f t="shared" si="18"/>
        <v>0.38640000000000002</v>
      </c>
      <c r="I319" s="902"/>
    </row>
    <row r="320" spans="1:10">
      <c r="A320" s="871"/>
      <c r="B320" s="891" t="s">
        <v>2219</v>
      </c>
      <c r="C320" s="873">
        <v>1</v>
      </c>
      <c r="D320" s="873">
        <v>1</v>
      </c>
      <c r="E320" s="888">
        <f>2.4+0.115+1.525</f>
        <v>4.04</v>
      </c>
      <c r="F320" s="888">
        <v>0.23</v>
      </c>
      <c r="G320" s="876">
        <v>0.7</v>
      </c>
      <c r="H320" s="876">
        <f t="shared" si="18"/>
        <v>0.65044000000000002</v>
      </c>
      <c r="I320" s="902"/>
    </row>
    <row r="321" spans="1:15">
      <c r="A321" s="871"/>
      <c r="B321" s="891" t="s">
        <v>2220</v>
      </c>
      <c r="C321" s="873">
        <v>1</v>
      </c>
      <c r="D321" s="873">
        <v>1</v>
      </c>
      <c r="E321" s="888">
        <f>4.485+0.115+1.5</f>
        <v>6.1000000000000005</v>
      </c>
      <c r="F321" s="888">
        <v>0.23</v>
      </c>
      <c r="G321" s="876">
        <v>0.7</v>
      </c>
      <c r="H321" s="876">
        <f t="shared" si="18"/>
        <v>0.98210000000000008</v>
      </c>
      <c r="I321" s="902"/>
      <c r="O321" s="865">
        <f>3.3-0.4-0.125-2.1</f>
        <v>0.67499999999999982</v>
      </c>
    </row>
    <row r="322" spans="1:15">
      <c r="A322" s="871"/>
      <c r="B322" s="891" t="s">
        <v>2221</v>
      </c>
      <c r="C322" s="873">
        <v>1</v>
      </c>
      <c r="D322" s="873">
        <v>1</v>
      </c>
      <c r="E322" s="888">
        <f>1.5+1.8+0.115</f>
        <v>3.415</v>
      </c>
      <c r="F322" s="888">
        <v>0.23</v>
      </c>
      <c r="G322" s="876">
        <v>0.7</v>
      </c>
      <c r="H322" s="876">
        <f t="shared" si="18"/>
        <v>0.54981500000000005</v>
      </c>
      <c r="I322" s="902"/>
    </row>
    <row r="323" spans="1:15">
      <c r="A323" s="871"/>
      <c r="B323" s="891"/>
      <c r="C323" s="873"/>
      <c r="D323" s="873"/>
      <c r="E323" s="874"/>
      <c r="F323" s="888"/>
      <c r="G323" s="871" t="s">
        <v>57</v>
      </c>
      <c r="H323" s="876">
        <f>SUM(H289:H322)</f>
        <v>40.18836000000001</v>
      </c>
      <c r="I323" s="877"/>
      <c r="J323" s="890"/>
    </row>
    <row r="324" spans="1:15" ht="18">
      <c r="A324" s="871"/>
      <c r="B324" s="891"/>
      <c r="C324" s="873"/>
      <c r="D324" s="873"/>
      <c r="E324" s="874"/>
      <c r="F324" s="888"/>
      <c r="G324" s="892" t="s">
        <v>206</v>
      </c>
      <c r="H324" s="893">
        <f>ROUNDUP(H323,1)</f>
        <v>40.200000000000003</v>
      </c>
      <c r="I324" s="912" t="s">
        <v>2075</v>
      </c>
      <c r="J324" s="890"/>
    </row>
    <row r="325" spans="1:15">
      <c r="A325" s="871"/>
      <c r="B325" s="891"/>
      <c r="C325" s="873"/>
      <c r="D325" s="873"/>
      <c r="E325" s="874"/>
      <c r="F325" s="888"/>
      <c r="G325" s="892"/>
      <c r="H325" s="893"/>
      <c r="I325" s="912"/>
      <c r="J325" s="890"/>
    </row>
    <row r="326" spans="1:15">
      <c r="A326" s="871" t="s">
        <v>2222</v>
      </c>
      <c r="B326" s="878" t="s">
        <v>2170</v>
      </c>
      <c r="C326" s="873"/>
      <c r="D326" s="873"/>
      <c r="E326" s="874"/>
      <c r="F326" s="888"/>
      <c r="G326" s="875"/>
      <c r="H326" s="913"/>
      <c r="I326" s="914"/>
      <c r="J326" s="890"/>
    </row>
    <row r="327" spans="1:15">
      <c r="A327" s="871"/>
      <c r="B327" s="891" t="s">
        <v>2223</v>
      </c>
      <c r="C327" s="873">
        <v>1</v>
      </c>
      <c r="D327" s="873">
        <v>1</v>
      </c>
      <c r="E327" s="888">
        <v>19.149999999999999</v>
      </c>
      <c r="F327" s="888">
        <v>0.23</v>
      </c>
      <c r="G327" s="876">
        <v>2.15</v>
      </c>
      <c r="H327" s="876">
        <f t="shared" ref="H327:H335" si="19">PRODUCT(C327:G327)</f>
        <v>9.4696749999999987</v>
      </c>
      <c r="I327" s="914"/>
      <c r="J327" s="890"/>
    </row>
    <row r="328" spans="1:15">
      <c r="A328" s="871"/>
      <c r="B328" s="891" t="s">
        <v>2224</v>
      </c>
      <c r="C328" s="873">
        <v>1</v>
      </c>
      <c r="D328" s="873">
        <v>6</v>
      </c>
      <c r="E328" s="888">
        <v>0.23</v>
      </c>
      <c r="F328" s="888">
        <v>0.23</v>
      </c>
      <c r="G328" s="876">
        <v>0.6</v>
      </c>
      <c r="H328" s="876">
        <f t="shared" si="19"/>
        <v>0.19044</v>
      </c>
      <c r="I328" s="914"/>
      <c r="J328" s="890"/>
    </row>
    <row r="329" spans="1:15">
      <c r="A329" s="871"/>
      <c r="B329" s="891" t="s">
        <v>2183</v>
      </c>
      <c r="C329" s="873">
        <v>-1</v>
      </c>
      <c r="D329" s="873">
        <v>1</v>
      </c>
      <c r="E329" s="888">
        <v>0.9</v>
      </c>
      <c r="F329" s="888">
        <v>0.23</v>
      </c>
      <c r="G329" s="876">
        <v>1.35</v>
      </c>
      <c r="H329" s="876">
        <f t="shared" si="19"/>
        <v>-0.27945000000000003</v>
      </c>
      <c r="I329" s="914"/>
      <c r="J329" s="890"/>
    </row>
    <row r="330" spans="1:15">
      <c r="A330" s="871"/>
      <c r="B330" s="891" t="s">
        <v>2205</v>
      </c>
      <c r="C330" s="873">
        <v>-1</v>
      </c>
      <c r="D330" s="873">
        <v>1</v>
      </c>
      <c r="E330" s="888">
        <v>1.8</v>
      </c>
      <c r="F330" s="888">
        <v>0.23</v>
      </c>
      <c r="G330" s="876">
        <v>1.35</v>
      </c>
      <c r="H330" s="876">
        <f t="shared" si="19"/>
        <v>-0.55890000000000006</v>
      </c>
      <c r="I330" s="914"/>
      <c r="J330" s="890"/>
    </row>
    <row r="331" spans="1:15">
      <c r="A331" s="871"/>
      <c r="B331" s="891" t="s">
        <v>2182</v>
      </c>
      <c r="C331" s="873">
        <v>-1</v>
      </c>
      <c r="D331" s="873">
        <v>1</v>
      </c>
      <c r="E331" s="888">
        <v>1.2</v>
      </c>
      <c r="F331" s="888">
        <v>0.23</v>
      </c>
      <c r="G331" s="876">
        <v>1.35</v>
      </c>
      <c r="H331" s="876">
        <f t="shared" si="19"/>
        <v>-0.37260000000000004</v>
      </c>
      <c r="I331" s="914"/>
      <c r="J331" s="890"/>
    </row>
    <row r="332" spans="1:15">
      <c r="A332" s="871"/>
      <c r="B332" s="891" t="s">
        <v>2225</v>
      </c>
      <c r="C332" s="873">
        <v>-1</v>
      </c>
      <c r="D332" s="873">
        <v>1</v>
      </c>
      <c r="E332" s="888">
        <v>1</v>
      </c>
      <c r="F332" s="888">
        <v>0.23</v>
      </c>
      <c r="G332" s="876">
        <v>2.1</v>
      </c>
      <c r="H332" s="876">
        <f t="shared" si="19"/>
        <v>-0.48300000000000004</v>
      </c>
      <c r="I332" s="914"/>
      <c r="J332" s="890"/>
    </row>
    <row r="333" spans="1:15">
      <c r="A333" s="871"/>
      <c r="B333" s="891" t="s">
        <v>2175</v>
      </c>
      <c r="C333" s="873">
        <v>-1</v>
      </c>
      <c r="D333" s="873">
        <v>2</v>
      </c>
      <c r="E333" s="888">
        <v>0.23</v>
      </c>
      <c r="F333" s="888">
        <v>0.3</v>
      </c>
      <c r="G333" s="876">
        <v>2.5499999999999998</v>
      </c>
      <c r="H333" s="876">
        <f t="shared" si="19"/>
        <v>-0.35189999999999999</v>
      </c>
      <c r="I333" s="914"/>
    </row>
    <row r="334" spans="1:15">
      <c r="A334" s="871"/>
      <c r="B334" s="891" t="s">
        <v>2226</v>
      </c>
      <c r="C334" s="873">
        <v>-1</v>
      </c>
      <c r="D334" s="873">
        <v>2</v>
      </c>
      <c r="E334" s="888">
        <v>0.23</v>
      </c>
      <c r="F334" s="888">
        <v>0.45</v>
      </c>
      <c r="G334" s="876">
        <v>2.5499999999999998</v>
      </c>
      <c r="H334" s="876">
        <f t="shared" si="19"/>
        <v>-0.52785000000000004</v>
      </c>
      <c r="I334" s="914"/>
    </row>
    <row r="335" spans="1:15">
      <c r="A335" s="871"/>
      <c r="B335" s="891" t="s">
        <v>2227</v>
      </c>
      <c r="C335" s="873">
        <v>1</v>
      </c>
      <c r="D335" s="873">
        <v>15</v>
      </c>
      <c r="E335" s="888">
        <v>0.23</v>
      </c>
      <c r="F335" s="888">
        <v>0.23</v>
      </c>
      <c r="G335" s="876">
        <v>1.2</v>
      </c>
      <c r="H335" s="876">
        <f t="shared" si="19"/>
        <v>0.95220000000000005</v>
      </c>
      <c r="I335" s="914"/>
      <c r="J335" s="890"/>
    </row>
    <row r="336" spans="1:15">
      <c r="A336" s="871"/>
      <c r="B336" s="891"/>
      <c r="C336" s="873"/>
      <c r="D336" s="873"/>
      <c r="E336" s="874"/>
      <c r="F336" s="888"/>
      <c r="G336" s="871" t="s">
        <v>57</v>
      </c>
      <c r="H336" s="876">
        <f>SUM(H327:H335)</f>
        <v>8.0386150000000001</v>
      </c>
      <c r="I336" s="877"/>
      <c r="J336" s="890"/>
    </row>
    <row r="337" spans="1:10" ht="18">
      <c r="A337" s="871"/>
      <c r="B337" s="891"/>
      <c r="C337" s="873"/>
      <c r="D337" s="873"/>
      <c r="E337" s="874"/>
      <c r="F337" s="888"/>
      <c r="G337" s="892" t="s">
        <v>206</v>
      </c>
      <c r="H337" s="893">
        <f>ROUNDUP(H336,1)</f>
        <v>8.1</v>
      </c>
      <c r="I337" s="912" t="s">
        <v>2075</v>
      </c>
      <c r="J337" s="890"/>
    </row>
    <row r="338" spans="1:10">
      <c r="A338" s="871"/>
      <c r="B338" s="891"/>
      <c r="C338" s="873"/>
      <c r="D338" s="873"/>
      <c r="E338" s="874"/>
      <c r="F338" s="888"/>
      <c r="G338" s="875"/>
      <c r="H338" s="913"/>
      <c r="I338" s="914"/>
      <c r="J338" s="890"/>
    </row>
    <row r="339" spans="1:10" ht="63.75" customHeight="1">
      <c r="A339" s="871">
        <v>10.5</v>
      </c>
      <c r="B339" s="886" t="s">
        <v>2228</v>
      </c>
      <c r="C339" s="873"/>
      <c r="D339" s="873"/>
      <c r="E339" s="888"/>
      <c r="F339" s="888"/>
      <c r="G339" s="876"/>
      <c r="H339" s="876"/>
      <c r="I339" s="877"/>
    </row>
    <row r="340" spans="1:10">
      <c r="A340" s="871" t="s">
        <v>2142</v>
      </c>
      <c r="B340" s="915" t="s">
        <v>978</v>
      </c>
      <c r="C340" s="873"/>
      <c r="D340" s="873"/>
      <c r="E340" s="873"/>
      <c r="F340" s="873"/>
      <c r="G340" s="871"/>
      <c r="H340" s="876"/>
      <c r="I340" s="877"/>
    </row>
    <row r="341" spans="1:10">
      <c r="A341" s="871"/>
      <c r="B341" s="886" t="s">
        <v>2229</v>
      </c>
      <c r="C341" s="873">
        <v>1</v>
      </c>
      <c r="D341" s="873">
        <v>1</v>
      </c>
      <c r="E341" s="888">
        <v>3.93</v>
      </c>
      <c r="F341" s="888" t="s">
        <v>220</v>
      </c>
      <c r="G341" s="876">
        <v>2.1</v>
      </c>
      <c r="H341" s="876">
        <f t="shared" ref="H341:H347" si="20">PRODUCT(C341:G341)</f>
        <v>8.2530000000000001</v>
      </c>
      <c r="I341" s="877"/>
    </row>
    <row r="342" spans="1:10">
      <c r="A342" s="871"/>
      <c r="B342" s="886" t="s">
        <v>2189</v>
      </c>
      <c r="C342" s="873">
        <v>-1</v>
      </c>
      <c r="D342" s="873">
        <v>1</v>
      </c>
      <c r="E342" s="888">
        <v>1</v>
      </c>
      <c r="F342" s="888"/>
      <c r="G342" s="876">
        <v>2.1</v>
      </c>
      <c r="H342" s="876">
        <f t="shared" si="20"/>
        <v>-2.1</v>
      </c>
      <c r="I342" s="877"/>
    </row>
    <row r="343" spans="1:10">
      <c r="A343" s="871"/>
      <c r="B343" s="886" t="s">
        <v>2216</v>
      </c>
      <c r="C343" s="873">
        <v>1</v>
      </c>
      <c r="D343" s="873">
        <v>2</v>
      </c>
      <c r="E343" s="888">
        <v>2.4</v>
      </c>
      <c r="F343" s="888"/>
      <c r="G343" s="876">
        <v>2.1</v>
      </c>
      <c r="H343" s="876">
        <f t="shared" si="20"/>
        <v>10.08</v>
      </c>
      <c r="I343" s="877"/>
    </row>
    <row r="344" spans="1:10">
      <c r="A344" s="871"/>
      <c r="B344" s="886" t="s">
        <v>2230</v>
      </c>
      <c r="C344" s="873">
        <v>1</v>
      </c>
      <c r="D344" s="873">
        <v>1</v>
      </c>
      <c r="E344" s="888">
        <v>1.2</v>
      </c>
      <c r="F344" s="888"/>
      <c r="G344" s="876">
        <v>2.1</v>
      </c>
      <c r="H344" s="876">
        <f t="shared" si="20"/>
        <v>2.52</v>
      </c>
      <c r="I344" s="877"/>
    </row>
    <row r="345" spans="1:10">
      <c r="A345" s="871"/>
      <c r="B345" s="886" t="s">
        <v>2231</v>
      </c>
      <c r="C345" s="873">
        <v>1</v>
      </c>
      <c r="D345" s="873">
        <v>2</v>
      </c>
      <c r="E345" s="874">
        <v>2.2149999999999999</v>
      </c>
      <c r="F345" s="888" t="s">
        <v>220</v>
      </c>
      <c r="G345" s="876">
        <v>1.35</v>
      </c>
      <c r="H345" s="876">
        <f t="shared" si="20"/>
        <v>5.9805000000000001</v>
      </c>
      <c r="I345" s="877"/>
    </row>
    <row r="346" spans="1:10">
      <c r="A346" s="871"/>
      <c r="B346" s="886" t="s">
        <v>2232</v>
      </c>
      <c r="C346" s="873">
        <v>-1</v>
      </c>
      <c r="D346" s="873">
        <v>2</v>
      </c>
      <c r="E346" s="888">
        <v>0.75</v>
      </c>
      <c r="F346" s="888" t="s">
        <v>220</v>
      </c>
      <c r="G346" s="876">
        <v>2.1</v>
      </c>
      <c r="H346" s="876">
        <f t="shared" si="20"/>
        <v>-3.1500000000000004</v>
      </c>
      <c r="I346" s="877"/>
    </row>
    <row r="347" spans="1:10">
      <c r="A347" s="871"/>
      <c r="B347" s="886" t="s">
        <v>2233</v>
      </c>
      <c r="C347" s="873">
        <v>1</v>
      </c>
      <c r="D347" s="873">
        <v>-2</v>
      </c>
      <c r="E347" s="888">
        <v>0.75</v>
      </c>
      <c r="F347" s="888" t="s">
        <v>220</v>
      </c>
      <c r="G347" s="876">
        <v>1.35</v>
      </c>
      <c r="H347" s="876">
        <f t="shared" si="20"/>
        <v>-2.0250000000000004</v>
      </c>
      <c r="I347" s="877"/>
    </row>
    <row r="348" spans="1:10">
      <c r="A348" s="871"/>
      <c r="B348" s="886"/>
      <c r="C348" s="873"/>
      <c r="D348" s="873"/>
      <c r="E348" s="888"/>
      <c r="F348" s="888"/>
      <c r="G348" s="895" t="s">
        <v>57</v>
      </c>
      <c r="H348" s="896">
        <f>SUM(H341:H347)</f>
        <v>19.558500000000002</v>
      </c>
      <c r="I348" s="916"/>
    </row>
    <row r="349" spans="1:10" ht="18">
      <c r="A349" s="871"/>
      <c r="B349" s="886"/>
      <c r="C349" s="873"/>
      <c r="D349" s="873"/>
      <c r="E349" s="888"/>
      <c r="F349" s="888"/>
      <c r="G349" s="895" t="s">
        <v>206</v>
      </c>
      <c r="H349" s="896">
        <f>ROUNDUP(H348,1)</f>
        <v>19.600000000000001</v>
      </c>
      <c r="I349" s="894" t="s">
        <v>2234</v>
      </c>
    </row>
    <row r="350" spans="1:10">
      <c r="A350" s="871"/>
      <c r="B350" s="886"/>
      <c r="C350" s="873"/>
      <c r="D350" s="873"/>
      <c r="E350" s="888"/>
      <c r="F350" s="888"/>
      <c r="G350" s="895"/>
      <c r="H350" s="896"/>
      <c r="I350" s="894"/>
    </row>
    <row r="351" spans="1:10">
      <c r="A351" s="871" t="s">
        <v>2235</v>
      </c>
      <c r="B351" s="878" t="s">
        <v>1105</v>
      </c>
      <c r="C351" s="873"/>
      <c r="D351" s="873"/>
      <c r="E351" s="873"/>
      <c r="F351" s="873"/>
      <c r="G351" s="876"/>
      <c r="H351" s="876"/>
      <c r="I351" s="877"/>
    </row>
    <row r="352" spans="1:10">
      <c r="A352" s="871"/>
      <c r="B352" s="917" t="s">
        <v>2236</v>
      </c>
      <c r="C352" s="904"/>
      <c r="D352" s="918"/>
      <c r="E352" s="919"/>
      <c r="F352" s="919"/>
      <c r="G352" s="920"/>
      <c r="H352" s="921"/>
      <c r="I352" s="877"/>
    </row>
    <row r="353" spans="1:9">
      <c r="A353" s="871"/>
      <c r="B353" s="903" t="s">
        <v>2237</v>
      </c>
      <c r="C353" s="904">
        <v>1</v>
      </c>
      <c r="D353" s="918">
        <v>3</v>
      </c>
      <c r="E353" s="919">
        <v>2.4</v>
      </c>
      <c r="F353" s="919"/>
      <c r="G353" s="920">
        <v>2.1</v>
      </c>
      <c r="H353" s="921">
        <f t="shared" ref="H353:H369" si="21">PRODUCT(C353:G353)</f>
        <v>15.12</v>
      </c>
      <c r="I353" s="877"/>
    </row>
    <row r="354" spans="1:9">
      <c r="A354" s="871"/>
      <c r="B354" s="903" t="s">
        <v>2238</v>
      </c>
      <c r="C354" s="904">
        <v>1</v>
      </c>
      <c r="D354" s="918">
        <v>1</v>
      </c>
      <c r="E354" s="919">
        <v>2.63</v>
      </c>
      <c r="F354" s="919"/>
      <c r="G354" s="920">
        <v>2.1</v>
      </c>
      <c r="H354" s="921">
        <f t="shared" si="21"/>
        <v>5.5229999999999997</v>
      </c>
      <c r="I354" s="877"/>
    </row>
    <row r="355" spans="1:9">
      <c r="A355" s="871"/>
      <c r="B355" s="903" t="s">
        <v>2239</v>
      </c>
      <c r="C355" s="904">
        <v>1</v>
      </c>
      <c r="D355" s="918">
        <v>1</v>
      </c>
      <c r="E355" s="919">
        <v>2.63</v>
      </c>
      <c r="F355" s="919"/>
      <c r="G355" s="920">
        <v>2.1</v>
      </c>
      <c r="H355" s="921">
        <f t="shared" si="21"/>
        <v>5.5229999999999997</v>
      </c>
      <c r="I355" s="877"/>
    </row>
    <row r="356" spans="1:9">
      <c r="A356" s="871"/>
      <c r="B356" s="903" t="s">
        <v>2240</v>
      </c>
      <c r="C356" s="904">
        <v>1</v>
      </c>
      <c r="D356" s="918">
        <v>1</v>
      </c>
      <c r="E356" s="919">
        <v>4.49</v>
      </c>
      <c r="F356" s="919"/>
      <c r="G356" s="920">
        <v>2.1</v>
      </c>
      <c r="H356" s="921">
        <f t="shared" si="21"/>
        <v>9.4290000000000003</v>
      </c>
      <c r="I356" s="877"/>
    </row>
    <row r="357" spans="1:9">
      <c r="A357" s="871"/>
      <c r="B357" s="903" t="s">
        <v>2241</v>
      </c>
      <c r="C357" s="904">
        <v>1</v>
      </c>
      <c r="D357" s="918">
        <v>1</v>
      </c>
      <c r="E357" s="919">
        <v>1.92</v>
      </c>
      <c r="F357" s="919"/>
      <c r="G357" s="920">
        <v>2.1</v>
      </c>
      <c r="H357" s="921">
        <f t="shared" si="21"/>
        <v>4.032</v>
      </c>
      <c r="I357" s="877"/>
    </row>
    <row r="358" spans="1:9">
      <c r="A358" s="871"/>
      <c r="B358" s="917" t="s">
        <v>2242</v>
      </c>
      <c r="C358" s="904"/>
      <c r="D358" s="918"/>
      <c r="E358" s="919"/>
      <c r="F358" s="919"/>
      <c r="G358" s="920"/>
      <c r="H358" s="921"/>
      <c r="I358" s="877"/>
    </row>
    <row r="359" spans="1:9">
      <c r="A359" s="871"/>
      <c r="B359" s="903" t="s">
        <v>2243</v>
      </c>
      <c r="C359" s="904">
        <v>1</v>
      </c>
      <c r="D359" s="918">
        <v>1</v>
      </c>
      <c r="E359" s="919">
        <v>4.04</v>
      </c>
      <c r="F359" s="919"/>
      <c r="G359" s="920">
        <v>2.1</v>
      </c>
      <c r="H359" s="921">
        <f t="shared" si="21"/>
        <v>8.484</v>
      </c>
      <c r="I359" s="877"/>
    </row>
    <row r="360" spans="1:9">
      <c r="A360" s="871"/>
      <c r="B360" s="903" t="s">
        <v>2241</v>
      </c>
      <c r="C360" s="904">
        <v>1</v>
      </c>
      <c r="D360" s="918">
        <v>1</v>
      </c>
      <c r="E360" s="919">
        <v>1.47</v>
      </c>
      <c r="F360" s="919"/>
      <c r="G360" s="920">
        <v>2.1</v>
      </c>
      <c r="H360" s="921">
        <f t="shared" si="21"/>
        <v>3.0870000000000002</v>
      </c>
      <c r="I360" s="877"/>
    </row>
    <row r="361" spans="1:9">
      <c r="A361" s="871"/>
      <c r="B361" s="903" t="s">
        <v>2244</v>
      </c>
      <c r="C361" s="904">
        <v>-1</v>
      </c>
      <c r="D361" s="918">
        <v>3</v>
      </c>
      <c r="E361" s="919">
        <v>1</v>
      </c>
      <c r="F361" s="919"/>
      <c r="G361" s="920">
        <v>2.1</v>
      </c>
      <c r="H361" s="921">
        <f t="shared" si="21"/>
        <v>-6.3000000000000007</v>
      </c>
      <c r="I361" s="877"/>
    </row>
    <row r="362" spans="1:9">
      <c r="A362" s="871"/>
      <c r="B362" s="903" t="s">
        <v>2245</v>
      </c>
      <c r="C362" s="904">
        <v>-1</v>
      </c>
      <c r="D362" s="918">
        <v>1</v>
      </c>
      <c r="E362" s="919">
        <v>0.75</v>
      </c>
      <c r="F362" s="919"/>
      <c r="G362" s="920">
        <v>2.1</v>
      </c>
      <c r="H362" s="921">
        <f t="shared" si="21"/>
        <v>-1.5750000000000002</v>
      </c>
      <c r="I362" s="877"/>
    </row>
    <row r="363" spans="1:9">
      <c r="A363" s="871"/>
      <c r="B363" s="903" t="s">
        <v>2246</v>
      </c>
      <c r="C363" s="904">
        <v>-1</v>
      </c>
      <c r="D363" s="918">
        <v>3</v>
      </c>
      <c r="E363" s="919">
        <v>0.75</v>
      </c>
      <c r="F363" s="919"/>
      <c r="G363" s="920">
        <v>2.1</v>
      </c>
      <c r="H363" s="921">
        <f t="shared" si="21"/>
        <v>-4.7250000000000005</v>
      </c>
      <c r="I363" s="877"/>
    </row>
    <row r="364" spans="1:9">
      <c r="A364" s="871"/>
      <c r="B364" s="903" t="s">
        <v>2247</v>
      </c>
      <c r="C364" s="904">
        <v>-1</v>
      </c>
      <c r="D364" s="918">
        <v>1</v>
      </c>
      <c r="E364" s="919">
        <v>0.9</v>
      </c>
      <c r="F364" s="919"/>
      <c r="G364" s="920">
        <v>2.1</v>
      </c>
      <c r="H364" s="921">
        <f t="shared" si="21"/>
        <v>-1.8900000000000001</v>
      </c>
      <c r="I364" s="877"/>
    </row>
    <row r="365" spans="1:9">
      <c r="A365" s="871"/>
      <c r="B365" s="903" t="s">
        <v>2248</v>
      </c>
      <c r="C365" s="904">
        <v>-1</v>
      </c>
      <c r="D365" s="918">
        <v>1</v>
      </c>
      <c r="E365" s="919">
        <v>0.9</v>
      </c>
      <c r="F365" s="919"/>
      <c r="G365" s="920">
        <v>2.1</v>
      </c>
      <c r="H365" s="921">
        <f t="shared" si="21"/>
        <v>-1.8900000000000001</v>
      </c>
      <c r="I365" s="877"/>
    </row>
    <row r="366" spans="1:9">
      <c r="A366" s="871"/>
      <c r="B366" s="903" t="s">
        <v>2249</v>
      </c>
      <c r="C366" s="904">
        <v>-1</v>
      </c>
      <c r="D366" s="918">
        <v>6</v>
      </c>
      <c r="E366" s="919">
        <v>0.23</v>
      </c>
      <c r="F366" s="919"/>
      <c r="G366" s="920">
        <v>1</v>
      </c>
      <c r="H366" s="921">
        <f t="shared" si="21"/>
        <v>-1.3800000000000001</v>
      </c>
      <c r="I366" s="877"/>
    </row>
    <row r="367" spans="1:9">
      <c r="A367" s="871"/>
      <c r="B367" s="891" t="s">
        <v>2250</v>
      </c>
      <c r="C367" s="873">
        <v>1</v>
      </c>
      <c r="D367" s="873">
        <v>1</v>
      </c>
      <c r="E367" s="888">
        <f>5.25+4.5+5.25</f>
        <v>15</v>
      </c>
      <c r="F367" s="888"/>
      <c r="G367" s="876">
        <v>1.2</v>
      </c>
      <c r="H367" s="876">
        <f t="shared" si="21"/>
        <v>18</v>
      </c>
      <c r="I367" s="877"/>
    </row>
    <row r="368" spans="1:9">
      <c r="A368" s="871"/>
      <c r="B368" s="891" t="s">
        <v>2251</v>
      </c>
      <c r="C368" s="873">
        <v>1</v>
      </c>
      <c r="D368" s="873">
        <v>-6</v>
      </c>
      <c r="E368" s="888">
        <v>0.23</v>
      </c>
      <c r="F368" s="888"/>
      <c r="G368" s="876">
        <v>1.2</v>
      </c>
      <c r="H368" s="876">
        <f t="shared" si="21"/>
        <v>-1.6560000000000001</v>
      </c>
      <c r="I368" s="877"/>
    </row>
    <row r="369" spans="1:9">
      <c r="A369" s="871"/>
      <c r="B369" s="891" t="s">
        <v>2252</v>
      </c>
      <c r="C369" s="873">
        <v>1</v>
      </c>
      <c r="D369" s="873">
        <v>-1</v>
      </c>
      <c r="E369" s="888">
        <v>2.86</v>
      </c>
      <c r="F369" s="888"/>
      <c r="G369" s="876">
        <v>1.2</v>
      </c>
      <c r="H369" s="876">
        <f t="shared" si="21"/>
        <v>-3.4319999999999999</v>
      </c>
      <c r="I369" s="877"/>
    </row>
    <row r="370" spans="1:9">
      <c r="A370" s="871"/>
      <c r="B370" s="891"/>
      <c r="C370" s="873"/>
      <c r="D370" s="873"/>
      <c r="E370" s="888"/>
      <c r="F370" s="888"/>
      <c r="G370" s="876" t="s">
        <v>57</v>
      </c>
      <c r="H370" s="876">
        <f>SUM(H352:H369)</f>
        <v>46.349999999999987</v>
      </c>
      <c r="I370" s="877"/>
    </row>
    <row r="371" spans="1:9" ht="18">
      <c r="A371" s="871"/>
      <c r="B371" s="891"/>
      <c r="C371" s="873"/>
      <c r="D371" s="873"/>
      <c r="E371" s="888"/>
      <c r="F371" s="873"/>
      <c r="G371" s="892" t="s">
        <v>206</v>
      </c>
      <c r="H371" s="893">
        <f>ROUNDUP(H370,1)</f>
        <v>46.4</v>
      </c>
      <c r="I371" s="894" t="s">
        <v>2234</v>
      </c>
    </row>
    <row r="372" spans="1:9">
      <c r="A372" s="871"/>
      <c r="B372" s="891"/>
      <c r="C372" s="873"/>
      <c r="D372" s="873"/>
      <c r="E372" s="888"/>
      <c r="F372" s="873"/>
      <c r="G372" s="892"/>
      <c r="H372" s="893"/>
      <c r="I372" s="894"/>
    </row>
    <row r="373" spans="1:9">
      <c r="A373" s="871" t="s">
        <v>758</v>
      </c>
      <c r="B373" s="878" t="s">
        <v>2170</v>
      </c>
      <c r="C373" s="873"/>
      <c r="D373" s="873"/>
      <c r="E373" s="888"/>
      <c r="F373" s="873"/>
      <c r="G373" s="875"/>
      <c r="H373" s="913"/>
      <c r="I373" s="902"/>
    </row>
    <row r="374" spans="1:9">
      <c r="A374" s="871"/>
      <c r="B374" s="891" t="s">
        <v>2253</v>
      </c>
      <c r="C374" s="873">
        <v>1</v>
      </c>
      <c r="D374" s="873">
        <v>1</v>
      </c>
      <c r="E374" s="888">
        <f>2*(6.715+0.46+2.4)</f>
        <v>19.149999999999999</v>
      </c>
      <c r="F374" s="888"/>
      <c r="G374" s="876">
        <v>0.6</v>
      </c>
      <c r="H374" s="876">
        <f>PRODUCT(C374:G374)</f>
        <v>11.489999999999998</v>
      </c>
      <c r="I374" s="902"/>
    </row>
    <row r="375" spans="1:9">
      <c r="A375" s="871"/>
      <c r="B375" s="891" t="s">
        <v>2254</v>
      </c>
      <c r="C375" s="873">
        <v>1</v>
      </c>
      <c r="D375" s="873">
        <v>-6</v>
      </c>
      <c r="E375" s="888">
        <v>0.23</v>
      </c>
      <c r="F375" s="888"/>
      <c r="G375" s="876">
        <v>0.6</v>
      </c>
      <c r="H375" s="876">
        <f>PRODUCT(C375:G375)</f>
        <v>-0.82800000000000007</v>
      </c>
      <c r="I375" s="902"/>
    </row>
    <row r="376" spans="1:9">
      <c r="A376" s="871"/>
      <c r="B376" s="891" t="s">
        <v>2255</v>
      </c>
      <c r="C376" s="873">
        <v>1</v>
      </c>
      <c r="D376" s="873">
        <v>1</v>
      </c>
      <c r="E376" s="888">
        <v>41.18</v>
      </c>
      <c r="F376" s="888"/>
      <c r="G376" s="876">
        <v>1.2</v>
      </c>
      <c r="H376" s="876">
        <f>PRODUCT(C376:G376)</f>
        <v>49.415999999999997</v>
      </c>
      <c r="I376" s="902"/>
    </row>
    <row r="377" spans="1:9">
      <c r="A377" s="871"/>
      <c r="B377" s="891" t="s">
        <v>2254</v>
      </c>
      <c r="C377" s="873">
        <v>1</v>
      </c>
      <c r="D377" s="873">
        <v>-15</v>
      </c>
      <c r="E377" s="888">
        <v>0.23</v>
      </c>
      <c r="F377" s="888"/>
      <c r="G377" s="876">
        <v>0.45</v>
      </c>
      <c r="H377" s="876">
        <f>PRODUCT(C377:G377)</f>
        <v>-1.5525000000000002</v>
      </c>
      <c r="I377" s="902"/>
    </row>
    <row r="378" spans="1:9">
      <c r="A378" s="871"/>
      <c r="B378" s="891" t="s">
        <v>2256</v>
      </c>
      <c r="C378" s="873">
        <v>1</v>
      </c>
      <c r="D378" s="873">
        <v>-1</v>
      </c>
      <c r="E378" s="888">
        <v>4.26</v>
      </c>
      <c r="F378" s="888"/>
      <c r="G378" s="876">
        <v>1.2</v>
      </c>
      <c r="H378" s="876">
        <f>PRODUCT(C378:G378)</f>
        <v>-5.1119999999999992</v>
      </c>
      <c r="I378" s="902"/>
    </row>
    <row r="379" spans="1:9">
      <c r="A379" s="871"/>
      <c r="B379" s="891"/>
      <c r="C379" s="873"/>
      <c r="D379" s="873"/>
      <c r="E379" s="888"/>
      <c r="F379" s="873"/>
      <c r="G379" s="876" t="s">
        <v>57</v>
      </c>
      <c r="H379" s="913">
        <f>SUM(H374:H378)</f>
        <v>53.413499999999992</v>
      </c>
      <c r="I379" s="902"/>
    </row>
    <row r="380" spans="1:9" ht="18">
      <c r="A380" s="871"/>
      <c r="B380" s="891"/>
      <c r="C380" s="873"/>
      <c r="D380" s="873"/>
      <c r="E380" s="888"/>
      <c r="F380" s="873"/>
      <c r="G380" s="892" t="s">
        <v>206</v>
      </c>
      <c r="H380" s="893">
        <f>ROUNDUP(H379,1)</f>
        <v>53.5</v>
      </c>
      <c r="I380" s="894" t="s">
        <v>2234</v>
      </c>
    </row>
    <row r="381" spans="1:9">
      <c r="A381" s="871"/>
      <c r="B381" s="891"/>
      <c r="C381" s="873"/>
      <c r="D381" s="873"/>
      <c r="E381" s="888"/>
      <c r="F381" s="873"/>
      <c r="G381" s="892"/>
      <c r="H381" s="893"/>
      <c r="I381" s="894"/>
    </row>
    <row r="382" spans="1:9" ht="63">
      <c r="A382" s="871">
        <v>11.5</v>
      </c>
      <c r="B382" s="886" t="s">
        <v>2257</v>
      </c>
      <c r="C382" s="873"/>
      <c r="D382" s="873"/>
      <c r="E382" s="873"/>
      <c r="F382" s="873"/>
      <c r="G382" s="871"/>
      <c r="H382" s="876"/>
      <c r="I382" s="877"/>
    </row>
    <row r="383" spans="1:9">
      <c r="A383" s="871" t="s">
        <v>2058</v>
      </c>
      <c r="B383" s="878" t="s">
        <v>978</v>
      </c>
      <c r="C383" s="873"/>
      <c r="D383" s="873"/>
      <c r="E383" s="873"/>
      <c r="F383" s="873"/>
      <c r="G383" s="876"/>
      <c r="H383" s="876"/>
      <c r="I383" s="877"/>
    </row>
    <row r="384" spans="1:9">
      <c r="A384" s="871"/>
      <c r="B384" s="886" t="s">
        <v>2258</v>
      </c>
      <c r="C384" s="873">
        <v>1</v>
      </c>
      <c r="D384" s="873">
        <v>2</v>
      </c>
      <c r="E384" s="888">
        <v>0.45</v>
      </c>
      <c r="F384" s="888"/>
      <c r="G384" s="876">
        <v>2.1</v>
      </c>
      <c r="H384" s="876">
        <f>PRODUCT(C384:G384)</f>
        <v>1.8900000000000001</v>
      </c>
      <c r="I384" s="877"/>
    </row>
    <row r="385" spans="1:10">
      <c r="A385" s="871"/>
      <c r="B385" s="886" t="s">
        <v>2078</v>
      </c>
      <c r="C385" s="873">
        <v>1</v>
      </c>
      <c r="D385" s="873">
        <v>3</v>
      </c>
      <c r="E385" s="888">
        <v>0.45</v>
      </c>
      <c r="F385" s="888"/>
      <c r="G385" s="876">
        <v>2.1</v>
      </c>
      <c r="H385" s="876">
        <f>PRODUCT(C385:G385)</f>
        <v>2.8350000000000004</v>
      </c>
      <c r="I385" s="877"/>
    </row>
    <row r="386" spans="1:10">
      <c r="A386" s="871"/>
      <c r="B386" s="886" t="s">
        <v>2259</v>
      </c>
      <c r="C386" s="873">
        <v>1</v>
      </c>
      <c r="D386" s="873">
        <v>2</v>
      </c>
      <c r="E386" s="888">
        <v>0.45</v>
      </c>
      <c r="F386" s="888"/>
      <c r="G386" s="876">
        <v>2.1</v>
      </c>
      <c r="H386" s="876">
        <f>PRODUCT(C386:G386)</f>
        <v>1.8900000000000001</v>
      </c>
      <c r="I386" s="877"/>
    </row>
    <row r="387" spans="1:10">
      <c r="A387" s="871"/>
      <c r="B387" s="886" t="s">
        <v>2260</v>
      </c>
      <c r="C387" s="873">
        <v>1</v>
      </c>
      <c r="D387" s="873">
        <v>2</v>
      </c>
      <c r="E387" s="888">
        <v>0.45</v>
      </c>
      <c r="F387" s="888"/>
      <c r="G387" s="876">
        <v>2.1</v>
      </c>
      <c r="H387" s="876">
        <f>PRODUCT(C387:G387)</f>
        <v>1.8900000000000001</v>
      </c>
      <c r="I387" s="877"/>
    </row>
    <row r="388" spans="1:10">
      <c r="A388" s="871"/>
      <c r="B388" s="886"/>
      <c r="C388" s="873"/>
      <c r="D388" s="873"/>
      <c r="E388" s="888"/>
      <c r="F388" s="888"/>
      <c r="G388" s="876" t="s">
        <v>57</v>
      </c>
      <c r="H388" s="876">
        <f>SUM(H384:H387)</f>
        <v>8.5050000000000008</v>
      </c>
      <c r="I388" s="877"/>
    </row>
    <row r="389" spans="1:10" ht="18">
      <c r="A389" s="871"/>
      <c r="B389" s="891"/>
      <c r="C389" s="873"/>
      <c r="D389" s="873"/>
      <c r="E389" s="873"/>
      <c r="F389" s="873"/>
      <c r="G389" s="892" t="s">
        <v>206</v>
      </c>
      <c r="H389" s="893">
        <f>ROUNDUP(H388,1)</f>
        <v>8.6</v>
      </c>
      <c r="I389" s="894" t="s">
        <v>2234</v>
      </c>
      <c r="J389" s="865"/>
    </row>
    <row r="390" spans="1:10">
      <c r="A390" s="871"/>
      <c r="B390" s="891"/>
      <c r="C390" s="873"/>
      <c r="D390" s="873"/>
      <c r="E390" s="873"/>
      <c r="F390" s="873"/>
      <c r="G390" s="892"/>
      <c r="H390" s="893"/>
      <c r="I390" s="894"/>
      <c r="J390" s="865"/>
    </row>
    <row r="391" spans="1:10">
      <c r="A391" s="871" t="s">
        <v>2142</v>
      </c>
      <c r="B391" s="878" t="s">
        <v>1105</v>
      </c>
      <c r="C391" s="873"/>
      <c r="D391" s="873"/>
      <c r="E391" s="873"/>
      <c r="F391" s="873"/>
      <c r="G391" s="871"/>
      <c r="H391" s="913"/>
      <c r="I391" s="902"/>
      <c r="J391" s="865"/>
    </row>
    <row r="392" spans="1:10">
      <c r="A392" s="871"/>
      <c r="B392" s="891" t="s">
        <v>2261</v>
      </c>
      <c r="C392" s="873">
        <v>1</v>
      </c>
      <c r="D392" s="873">
        <v>3</v>
      </c>
      <c r="E392" s="888">
        <v>0.45</v>
      </c>
      <c r="F392" s="888"/>
      <c r="G392" s="876">
        <v>2.1</v>
      </c>
      <c r="H392" s="876">
        <f>PRODUCT(C392:G392)</f>
        <v>2.8350000000000004</v>
      </c>
      <c r="I392" s="902"/>
      <c r="J392" s="865"/>
    </row>
    <row r="393" spans="1:10">
      <c r="A393" s="871"/>
      <c r="B393" s="891" t="s">
        <v>2262</v>
      </c>
      <c r="C393" s="873">
        <v>3</v>
      </c>
      <c r="D393" s="873">
        <v>2</v>
      </c>
      <c r="E393" s="888">
        <v>0.45</v>
      </c>
      <c r="F393" s="888"/>
      <c r="G393" s="876">
        <v>2.1</v>
      </c>
      <c r="H393" s="876">
        <f>PRODUCT(C393:G393)</f>
        <v>5.6700000000000008</v>
      </c>
      <c r="I393" s="902"/>
      <c r="J393" s="865"/>
    </row>
    <row r="394" spans="1:10">
      <c r="A394" s="871"/>
      <c r="B394" s="891" t="s">
        <v>2263</v>
      </c>
      <c r="C394" s="873">
        <v>1</v>
      </c>
      <c r="D394" s="873">
        <v>4</v>
      </c>
      <c r="E394" s="888">
        <v>0.45</v>
      </c>
      <c r="F394" s="888"/>
      <c r="G394" s="876">
        <v>2.1</v>
      </c>
      <c r="H394" s="876">
        <f>PRODUCT(C394:G394)</f>
        <v>3.7800000000000002</v>
      </c>
      <c r="I394" s="902"/>
      <c r="J394" s="865"/>
    </row>
    <row r="395" spans="1:10">
      <c r="A395" s="871"/>
      <c r="B395" s="891" t="s">
        <v>2264</v>
      </c>
      <c r="C395" s="873">
        <v>1</v>
      </c>
      <c r="D395" s="873">
        <v>4</v>
      </c>
      <c r="E395" s="888">
        <v>0.45</v>
      </c>
      <c r="F395" s="888"/>
      <c r="G395" s="876">
        <v>2.1</v>
      </c>
      <c r="H395" s="876">
        <f>PRODUCT(C395:G395)</f>
        <v>3.7800000000000002</v>
      </c>
      <c r="I395" s="902"/>
      <c r="J395" s="865"/>
    </row>
    <row r="396" spans="1:10">
      <c r="A396" s="871"/>
      <c r="B396" s="891" t="s">
        <v>2265</v>
      </c>
      <c r="C396" s="873">
        <v>2</v>
      </c>
      <c r="D396" s="873">
        <v>3</v>
      </c>
      <c r="E396" s="888">
        <v>0.45</v>
      </c>
      <c r="F396" s="888"/>
      <c r="G396" s="876">
        <v>2.1</v>
      </c>
      <c r="H396" s="876">
        <f>PRODUCT(C396:G396)</f>
        <v>5.6700000000000008</v>
      </c>
      <c r="I396" s="902"/>
      <c r="J396" s="865"/>
    </row>
    <row r="397" spans="1:10">
      <c r="A397" s="871"/>
      <c r="B397" s="891"/>
      <c r="C397" s="873"/>
      <c r="D397" s="873"/>
      <c r="E397" s="873"/>
      <c r="F397" s="873"/>
      <c r="G397" s="876" t="s">
        <v>57</v>
      </c>
      <c r="H397" s="913">
        <f>SUM(H392:H396)</f>
        <v>21.735000000000003</v>
      </c>
      <c r="I397" s="902"/>
      <c r="J397" s="865"/>
    </row>
    <row r="398" spans="1:10" ht="18">
      <c r="A398" s="871"/>
      <c r="B398" s="891"/>
      <c r="C398" s="873"/>
      <c r="D398" s="873"/>
      <c r="E398" s="873"/>
      <c r="F398" s="873"/>
      <c r="G398" s="892" t="s">
        <v>206</v>
      </c>
      <c r="H398" s="893">
        <f>ROUNDUP(H397,1)</f>
        <v>21.8</v>
      </c>
      <c r="I398" s="894" t="s">
        <v>2234</v>
      </c>
      <c r="J398" s="865"/>
    </row>
    <row r="399" spans="1:10">
      <c r="A399" s="871"/>
      <c r="B399" s="891"/>
      <c r="C399" s="873"/>
      <c r="D399" s="873"/>
      <c r="E399" s="873"/>
      <c r="F399" s="873"/>
      <c r="G399" s="875"/>
      <c r="H399" s="913"/>
      <c r="I399" s="902"/>
      <c r="J399" s="865"/>
    </row>
    <row r="400" spans="1:10" ht="49.9" customHeight="1">
      <c r="A400" s="871">
        <v>12.1</v>
      </c>
      <c r="B400" s="886" t="s">
        <v>2266</v>
      </c>
      <c r="C400" s="873"/>
      <c r="D400" s="873"/>
      <c r="E400" s="873"/>
      <c r="F400" s="873"/>
      <c r="G400" s="871"/>
      <c r="H400" s="876"/>
      <c r="I400" s="877"/>
    </row>
    <row r="401" spans="1:10">
      <c r="A401" s="871" t="s">
        <v>2058</v>
      </c>
      <c r="B401" s="878" t="s">
        <v>2267</v>
      </c>
      <c r="C401" s="873"/>
      <c r="D401" s="873"/>
      <c r="E401" s="873"/>
      <c r="F401" s="873"/>
      <c r="G401" s="871"/>
      <c r="H401" s="913"/>
      <c r="I401" s="902"/>
      <c r="J401" s="865"/>
    </row>
    <row r="402" spans="1:10">
      <c r="A402" s="871"/>
      <c r="B402" s="886" t="s">
        <v>2268</v>
      </c>
      <c r="C402" s="873">
        <v>1</v>
      </c>
      <c r="D402" s="873">
        <v>2</v>
      </c>
      <c r="E402" s="888">
        <v>3.7</v>
      </c>
      <c r="F402" s="888"/>
      <c r="G402" s="876">
        <v>1</v>
      </c>
      <c r="H402" s="876">
        <f>PRODUCT(C402:G402)</f>
        <v>7.4</v>
      </c>
      <c r="I402" s="877"/>
    </row>
    <row r="403" spans="1:10" ht="18">
      <c r="A403" s="871"/>
      <c r="B403" s="891"/>
      <c r="C403" s="873"/>
      <c r="D403" s="873"/>
      <c r="E403" s="873"/>
      <c r="F403" s="873"/>
      <c r="G403" s="892" t="s">
        <v>206</v>
      </c>
      <c r="H403" s="893">
        <f>ROUNDUP(H402,1)</f>
        <v>7.4</v>
      </c>
      <c r="I403" s="894" t="s">
        <v>2234</v>
      </c>
    </row>
    <row r="404" spans="1:10">
      <c r="A404" s="871"/>
      <c r="B404" s="891"/>
      <c r="C404" s="873"/>
      <c r="D404" s="873"/>
      <c r="E404" s="873"/>
      <c r="F404" s="873"/>
      <c r="G404" s="875"/>
      <c r="H404" s="893"/>
      <c r="I404" s="902"/>
    </row>
    <row r="405" spans="1:10">
      <c r="A405" s="871" t="s">
        <v>2142</v>
      </c>
      <c r="B405" s="878" t="s">
        <v>1105</v>
      </c>
      <c r="C405" s="873"/>
      <c r="D405" s="873"/>
      <c r="E405" s="873"/>
      <c r="F405" s="873"/>
      <c r="G405" s="871"/>
      <c r="H405" s="913"/>
      <c r="I405" s="902"/>
    </row>
    <row r="406" spans="1:10">
      <c r="A406" s="871"/>
      <c r="B406" s="886" t="s">
        <v>2268</v>
      </c>
      <c r="C406" s="873">
        <v>1</v>
      </c>
      <c r="D406" s="873">
        <v>2</v>
      </c>
      <c r="E406" s="888">
        <v>3.9</v>
      </c>
      <c r="F406" s="888"/>
      <c r="G406" s="876">
        <v>1</v>
      </c>
      <c r="H406" s="876">
        <f>PRODUCT(C406:G406)</f>
        <v>7.8</v>
      </c>
      <c r="I406" s="877"/>
    </row>
    <row r="407" spans="1:10">
      <c r="A407" s="871"/>
      <c r="B407" s="886" t="s">
        <v>2269</v>
      </c>
      <c r="C407" s="873">
        <v>1</v>
      </c>
      <c r="D407" s="873">
        <v>1</v>
      </c>
      <c r="E407" s="888">
        <v>1.2</v>
      </c>
      <c r="F407" s="888"/>
      <c r="G407" s="876">
        <v>1</v>
      </c>
      <c r="H407" s="876">
        <f>PRODUCT(C407:G407)</f>
        <v>1.2</v>
      </c>
      <c r="I407" s="877"/>
    </row>
    <row r="408" spans="1:10">
      <c r="A408" s="871"/>
      <c r="B408" s="886"/>
      <c r="C408" s="873"/>
      <c r="D408" s="873"/>
      <c r="E408" s="888"/>
      <c r="F408" s="888"/>
      <c r="G408" s="876" t="s">
        <v>57</v>
      </c>
      <c r="H408" s="913">
        <f>SUM(H406:H407)</f>
        <v>9</v>
      </c>
      <c r="I408" s="877"/>
    </row>
    <row r="409" spans="1:10" ht="18">
      <c r="A409" s="871"/>
      <c r="B409" s="891"/>
      <c r="C409" s="873"/>
      <c r="D409" s="873"/>
      <c r="E409" s="873"/>
      <c r="F409" s="873"/>
      <c r="G409" s="892" t="s">
        <v>206</v>
      </c>
      <c r="H409" s="893">
        <f>ROUNDUP(H408,1)</f>
        <v>9</v>
      </c>
      <c r="I409" s="894" t="s">
        <v>2234</v>
      </c>
    </row>
    <row r="410" spans="1:10">
      <c r="A410" s="871"/>
      <c r="B410" s="891"/>
      <c r="C410" s="873"/>
      <c r="D410" s="873"/>
      <c r="E410" s="873"/>
      <c r="F410" s="873"/>
      <c r="G410" s="875"/>
      <c r="H410" s="893"/>
      <c r="I410" s="902"/>
    </row>
    <row r="411" spans="1:10" ht="24.95" customHeight="1">
      <c r="A411" s="871">
        <v>13.1</v>
      </c>
      <c r="B411" s="886" t="s">
        <v>2270</v>
      </c>
      <c r="C411" s="873"/>
      <c r="D411" s="873"/>
      <c r="E411" s="873"/>
      <c r="F411" s="873"/>
      <c r="G411" s="871"/>
      <c r="H411" s="876"/>
      <c r="I411" s="877"/>
    </row>
    <row r="412" spans="1:10">
      <c r="A412" s="871"/>
      <c r="B412" s="891" t="s">
        <v>2271</v>
      </c>
      <c r="C412" s="873"/>
      <c r="D412" s="873"/>
      <c r="E412" s="888"/>
      <c r="F412" s="874"/>
      <c r="G412" s="876"/>
      <c r="H412" s="876">
        <f>H75</f>
        <v>8.9</v>
      </c>
      <c r="I412" s="877"/>
    </row>
    <row r="413" spans="1:10">
      <c r="A413" s="871"/>
      <c r="B413" s="891" t="s">
        <v>2272</v>
      </c>
      <c r="C413" s="873"/>
      <c r="D413" s="873"/>
      <c r="E413" s="888"/>
      <c r="F413" s="874"/>
      <c r="G413" s="876"/>
      <c r="H413" s="876">
        <f>H121</f>
        <v>30.6</v>
      </c>
      <c r="I413" s="877"/>
    </row>
    <row r="414" spans="1:10">
      <c r="A414" s="871"/>
      <c r="B414" s="891"/>
      <c r="C414" s="873"/>
      <c r="D414" s="873"/>
      <c r="E414" s="873"/>
      <c r="F414" s="888"/>
      <c r="G414" s="876" t="s">
        <v>57</v>
      </c>
      <c r="H414" s="876">
        <f>SUM(H412:H413)</f>
        <v>39.5</v>
      </c>
      <c r="I414" s="877"/>
    </row>
    <row r="415" spans="1:10" ht="18">
      <c r="A415" s="871"/>
      <c r="B415" s="891"/>
      <c r="C415" s="873"/>
      <c r="D415" s="873"/>
      <c r="E415" s="873"/>
      <c r="F415" s="873"/>
      <c r="G415" s="892" t="s">
        <v>206</v>
      </c>
      <c r="H415" s="896">
        <f>ROUNDUP(H414,1)</f>
        <v>39.5</v>
      </c>
      <c r="I415" s="897" t="s">
        <v>2075</v>
      </c>
    </row>
    <row r="416" spans="1:10">
      <c r="A416" s="871"/>
      <c r="B416" s="891"/>
      <c r="C416" s="873"/>
      <c r="D416" s="873"/>
      <c r="E416" s="873"/>
      <c r="F416" s="873"/>
      <c r="G416" s="875"/>
      <c r="H416" s="876"/>
      <c r="I416" s="877"/>
    </row>
    <row r="417" spans="1:10" ht="36" customHeight="1">
      <c r="A417" s="876" t="s">
        <v>1454</v>
      </c>
      <c r="B417" s="891" t="s">
        <v>2273</v>
      </c>
      <c r="C417" s="873"/>
      <c r="D417" s="873"/>
      <c r="E417" s="873"/>
      <c r="F417" s="873"/>
      <c r="G417" s="871"/>
      <c r="H417" s="876"/>
      <c r="I417" s="877"/>
    </row>
    <row r="418" spans="1:10">
      <c r="A418" s="871" t="s">
        <v>2058</v>
      </c>
      <c r="B418" s="878" t="s">
        <v>978</v>
      </c>
      <c r="C418" s="873"/>
      <c r="D418" s="873"/>
      <c r="E418" s="873"/>
      <c r="F418" s="873"/>
      <c r="G418" s="871"/>
      <c r="H418" s="913"/>
      <c r="I418" s="902"/>
      <c r="J418" s="865"/>
    </row>
    <row r="419" spans="1:10">
      <c r="A419" s="871"/>
      <c r="B419" s="886" t="s">
        <v>2258</v>
      </c>
      <c r="C419" s="873">
        <v>1</v>
      </c>
      <c r="D419" s="873">
        <v>4</v>
      </c>
      <c r="E419" s="888">
        <v>1.2</v>
      </c>
      <c r="F419" s="888">
        <v>0.45</v>
      </c>
      <c r="G419" s="871"/>
      <c r="H419" s="876">
        <f>PRODUCT(C419:G419)</f>
        <v>2.16</v>
      </c>
      <c r="I419" s="877"/>
      <c r="J419" s="865"/>
    </row>
    <row r="420" spans="1:10">
      <c r="A420" s="871"/>
      <c r="B420" s="886" t="s">
        <v>2274</v>
      </c>
      <c r="C420" s="873">
        <v>2</v>
      </c>
      <c r="D420" s="873">
        <v>4</v>
      </c>
      <c r="E420" s="888">
        <v>1</v>
      </c>
      <c r="F420" s="888">
        <v>0.45</v>
      </c>
      <c r="G420" s="871"/>
      <c r="H420" s="876">
        <f>PRODUCT(C420:G420)</f>
        <v>3.6</v>
      </c>
      <c r="I420" s="877"/>
      <c r="J420" s="865"/>
    </row>
    <row r="421" spans="1:10">
      <c r="A421" s="871"/>
      <c r="B421" s="886" t="s">
        <v>2259</v>
      </c>
      <c r="C421" s="873">
        <v>2</v>
      </c>
      <c r="D421" s="873">
        <v>4</v>
      </c>
      <c r="E421" s="888">
        <v>1</v>
      </c>
      <c r="F421" s="888">
        <v>0.45</v>
      </c>
      <c r="G421" s="871"/>
      <c r="H421" s="876">
        <f>PRODUCT(C421:G421)</f>
        <v>3.6</v>
      </c>
      <c r="I421" s="877"/>
      <c r="J421" s="865"/>
    </row>
    <row r="422" spans="1:10">
      <c r="A422" s="871"/>
      <c r="B422" s="886"/>
      <c r="C422" s="873"/>
      <c r="D422" s="873"/>
      <c r="E422" s="873"/>
      <c r="F422" s="888"/>
      <c r="G422" s="871" t="s">
        <v>57</v>
      </c>
      <c r="H422" s="876">
        <f>SUM(H419:H421)</f>
        <v>9.36</v>
      </c>
      <c r="I422" s="877"/>
      <c r="J422" s="865"/>
    </row>
    <row r="423" spans="1:10" ht="18">
      <c r="A423" s="871"/>
      <c r="B423" s="891"/>
      <c r="C423" s="873"/>
      <c r="D423" s="873"/>
      <c r="E423" s="873"/>
      <c r="F423" s="873"/>
      <c r="G423" s="892" t="s">
        <v>206</v>
      </c>
      <c r="H423" s="893">
        <f>ROUNDUP(H422,1)</f>
        <v>9.4</v>
      </c>
      <c r="I423" s="894" t="s">
        <v>2234</v>
      </c>
      <c r="J423" s="865"/>
    </row>
    <row r="424" spans="1:10">
      <c r="A424" s="871"/>
      <c r="B424" s="891"/>
      <c r="C424" s="873"/>
      <c r="D424" s="873"/>
      <c r="E424" s="873"/>
      <c r="F424" s="873"/>
      <c r="G424" s="875"/>
      <c r="H424" s="913"/>
      <c r="I424" s="902"/>
      <c r="J424" s="865"/>
    </row>
    <row r="425" spans="1:10">
      <c r="A425" s="871" t="s">
        <v>2142</v>
      </c>
      <c r="B425" s="878" t="s">
        <v>1105</v>
      </c>
      <c r="C425" s="873"/>
      <c r="D425" s="873"/>
      <c r="E425" s="873"/>
      <c r="F425" s="873"/>
      <c r="G425" s="871"/>
      <c r="H425" s="913"/>
      <c r="I425" s="902"/>
      <c r="J425" s="865"/>
    </row>
    <row r="426" spans="1:10">
      <c r="A426" s="871"/>
      <c r="B426" s="891" t="s">
        <v>2261</v>
      </c>
      <c r="C426" s="873">
        <v>2</v>
      </c>
      <c r="D426" s="873">
        <v>4</v>
      </c>
      <c r="E426" s="888">
        <v>1.2</v>
      </c>
      <c r="F426" s="888">
        <v>0.45</v>
      </c>
      <c r="G426" s="871"/>
      <c r="H426" s="876">
        <f>PRODUCT(C426:G426)</f>
        <v>4.32</v>
      </c>
      <c r="I426" s="902"/>
      <c r="J426" s="865"/>
    </row>
    <row r="427" spans="1:10">
      <c r="A427" s="871"/>
      <c r="B427" s="891" t="s">
        <v>2262</v>
      </c>
      <c r="C427" s="873">
        <v>3</v>
      </c>
      <c r="D427" s="873">
        <v>4</v>
      </c>
      <c r="E427" s="888">
        <v>1</v>
      </c>
      <c r="F427" s="888">
        <v>0.45</v>
      </c>
      <c r="G427" s="871"/>
      <c r="H427" s="876">
        <f>PRODUCT(C427:G427)</f>
        <v>5.4</v>
      </c>
      <c r="I427" s="902"/>
      <c r="J427" s="865"/>
    </row>
    <row r="428" spans="1:10">
      <c r="A428" s="871"/>
      <c r="B428" s="891" t="s">
        <v>2263</v>
      </c>
      <c r="C428" s="873">
        <v>3</v>
      </c>
      <c r="D428" s="873">
        <v>4</v>
      </c>
      <c r="E428" s="888">
        <v>0.9</v>
      </c>
      <c r="F428" s="888">
        <v>0.45</v>
      </c>
      <c r="G428" s="871"/>
      <c r="H428" s="876">
        <f>PRODUCT(C428:G428)</f>
        <v>4.8600000000000003</v>
      </c>
      <c r="I428" s="902"/>
      <c r="J428" s="865"/>
    </row>
    <row r="429" spans="1:10">
      <c r="A429" s="871"/>
      <c r="B429" s="891" t="s">
        <v>2264</v>
      </c>
      <c r="C429" s="873">
        <v>3</v>
      </c>
      <c r="D429" s="873">
        <v>4</v>
      </c>
      <c r="E429" s="888">
        <v>0.9</v>
      </c>
      <c r="F429" s="888">
        <v>0.45</v>
      </c>
      <c r="G429" s="871"/>
      <c r="H429" s="876">
        <f>PRODUCT(C429:G429)</f>
        <v>4.8600000000000003</v>
      </c>
      <c r="I429" s="902"/>
      <c r="J429" s="865"/>
    </row>
    <row r="430" spans="1:10">
      <c r="A430" s="871"/>
      <c r="B430" s="891" t="s">
        <v>2265</v>
      </c>
      <c r="C430" s="873">
        <v>3</v>
      </c>
      <c r="D430" s="873">
        <v>4</v>
      </c>
      <c r="E430" s="888">
        <v>1.1000000000000001</v>
      </c>
      <c r="F430" s="888">
        <v>0.45</v>
      </c>
      <c r="G430" s="871"/>
      <c r="H430" s="876">
        <f>PRODUCT(C430:G430)</f>
        <v>5.94</v>
      </c>
      <c r="I430" s="902" t="s">
        <v>220</v>
      </c>
      <c r="J430" s="865"/>
    </row>
    <row r="431" spans="1:10">
      <c r="A431" s="871"/>
      <c r="B431" s="891"/>
      <c r="C431" s="873"/>
      <c r="D431" s="873"/>
      <c r="E431" s="873"/>
      <c r="F431" s="873"/>
      <c r="G431" s="871" t="s">
        <v>57</v>
      </c>
      <c r="H431" s="913">
        <f>SUM(H426:H430)</f>
        <v>25.380000000000003</v>
      </c>
      <c r="I431" s="902"/>
      <c r="J431" s="865"/>
    </row>
    <row r="432" spans="1:10" ht="18">
      <c r="A432" s="871"/>
      <c r="B432" s="891"/>
      <c r="C432" s="873"/>
      <c r="D432" s="873"/>
      <c r="E432" s="873"/>
      <c r="F432" s="873"/>
      <c r="G432" s="892" t="s">
        <v>206</v>
      </c>
      <c r="H432" s="893">
        <f>ROUNDUP(H431,1)</f>
        <v>25.400000000000002</v>
      </c>
      <c r="I432" s="894" t="s">
        <v>2234</v>
      </c>
      <c r="J432" s="865"/>
    </row>
    <row r="433" spans="1:10">
      <c r="A433" s="871"/>
      <c r="B433" s="891"/>
      <c r="C433" s="873"/>
      <c r="D433" s="873"/>
      <c r="E433" s="873"/>
      <c r="F433" s="873"/>
      <c r="G433" s="875"/>
      <c r="H433" s="913"/>
      <c r="I433" s="902"/>
      <c r="J433" s="865"/>
    </row>
    <row r="434" spans="1:10" ht="31.5">
      <c r="A434" s="876" t="s">
        <v>39</v>
      </c>
      <c r="B434" s="891" t="s">
        <v>2275</v>
      </c>
      <c r="C434" s="873"/>
      <c r="D434" s="873"/>
      <c r="E434" s="873"/>
      <c r="F434" s="873"/>
      <c r="G434" s="871"/>
      <c r="H434" s="876"/>
      <c r="I434" s="877"/>
    </row>
    <row r="435" spans="1:10">
      <c r="A435" s="871" t="s">
        <v>2058</v>
      </c>
      <c r="B435" s="915" t="s">
        <v>2276</v>
      </c>
      <c r="C435" s="873"/>
      <c r="D435" s="873"/>
      <c r="E435" s="873"/>
      <c r="F435" s="873"/>
      <c r="G435" s="871"/>
      <c r="H435" s="876"/>
      <c r="I435" s="877"/>
    </row>
    <row r="436" spans="1:10">
      <c r="A436" s="871"/>
      <c r="B436" s="891" t="s">
        <v>2277</v>
      </c>
      <c r="C436" s="873">
        <v>1</v>
      </c>
      <c r="D436" s="873">
        <v>10</v>
      </c>
      <c r="E436" s="888">
        <v>0.75</v>
      </c>
      <c r="F436" s="888">
        <v>0.75</v>
      </c>
      <c r="G436" s="871"/>
      <c r="H436" s="876">
        <f>PRODUCT(C436:G436)</f>
        <v>5.625</v>
      </c>
      <c r="I436" s="877"/>
    </row>
    <row r="437" spans="1:10" ht="18">
      <c r="A437" s="871"/>
      <c r="B437" s="891"/>
      <c r="C437" s="873"/>
      <c r="D437" s="873"/>
      <c r="E437" s="873" t="s">
        <v>220</v>
      </c>
      <c r="F437" s="873"/>
      <c r="G437" s="892" t="s">
        <v>206</v>
      </c>
      <c r="H437" s="893">
        <v>4.5</v>
      </c>
      <c r="I437" s="894" t="s">
        <v>2234</v>
      </c>
      <c r="J437" s="865"/>
    </row>
    <row r="438" spans="1:10">
      <c r="A438" s="871"/>
      <c r="B438" s="891"/>
      <c r="C438" s="873"/>
      <c r="D438" s="873"/>
      <c r="E438" s="873"/>
      <c r="F438" s="873"/>
      <c r="G438" s="875"/>
      <c r="H438" s="913"/>
      <c r="I438" s="902"/>
      <c r="J438" s="865"/>
    </row>
    <row r="439" spans="1:10">
      <c r="A439" s="871" t="s">
        <v>2142</v>
      </c>
      <c r="B439" s="878" t="s">
        <v>2278</v>
      </c>
      <c r="C439" s="873"/>
      <c r="D439" s="873"/>
      <c r="E439" s="873"/>
      <c r="F439" s="873"/>
      <c r="G439" s="871"/>
      <c r="H439" s="871"/>
      <c r="I439" s="914"/>
    </row>
    <row r="440" spans="1:10">
      <c r="A440" s="871"/>
      <c r="B440" s="886" t="s">
        <v>2258</v>
      </c>
      <c r="C440" s="873">
        <v>1</v>
      </c>
      <c r="D440" s="873">
        <v>1</v>
      </c>
      <c r="E440" s="873">
        <v>1.05</v>
      </c>
      <c r="F440" s="888">
        <v>0.45</v>
      </c>
      <c r="G440" s="871"/>
      <c r="H440" s="876">
        <f>PRODUCT(C440:G440)</f>
        <v>0.47250000000000003</v>
      </c>
      <c r="I440" s="877"/>
    </row>
    <row r="441" spans="1:10">
      <c r="A441" s="871"/>
      <c r="B441" s="886" t="s">
        <v>2078</v>
      </c>
      <c r="C441" s="873">
        <v>1</v>
      </c>
      <c r="D441" s="873">
        <v>1</v>
      </c>
      <c r="E441" s="873">
        <v>1.05</v>
      </c>
      <c r="F441" s="888">
        <v>0.45</v>
      </c>
      <c r="G441" s="871"/>
      <c r="H441" s="876">
        <f>PRODUCT(C441:G441)</f>
        <v>0.47250000000000003</v>
      </c>
      <c r="I441" s="877"/>
    </row>
    <row r="442" spans="1:10">
      <c r="A442" s="871"/>
      <c r="B442" s="886"/>
      <c r="C442" s="873"/>
      <c r="D442" s="873"/>
      <c r="E442" s="873"/>
      <c r="F442" s="888"/>
      <c r="G442" s="871" t="s">
        <v>57</v>
      </c>
      <c r="H442" s="876">
        <f>SUM(H440:H441)</f>
        <v>0.94500000000000006</v>
      </c>
      <c r="I442" s="877"/>
    </row>
    <row r="443" spans="1:10" ht="18">
      <c r="A443" s="871"/>
      <c r="B443" s="891"/>
      <c r="C443" s="873"/>
      <c r="D443" s="873"/>
      <c r="E443" s="873"/>
      <c r="F443" s="873"/>
      <c r="G443" s="892" t="s">
        <v>206</v>
      </c>
      <c r="H443" s="893">
        <f>ROUNDUP(H442,0)</f>
        <v>1</v>
      </c>
      <c r="I443" s="894" t="s">
        <v>2234</v>
      </c>
      <c r="J443" s="922"/>
    </row>
    <row r="444" spans="1:10">
      <c r="A444" s="871"/>
      <c r="B444" s="891"/>
      <c r="C444" s="873"/>
      <c r="D444" s="873"/>
      <c r="E444" s="873"/>
      <c r="F444" s="873"/>
      <c r="G444" s="875"/>
      <c r="H444" s="913"/>
      <c r="I444" s="902"/>
      <c r="J444" s="865"/>
    </row>
    <row r="445" spans="1:10">
      <c r="A445" s="871" t="s">
        <v>2169</v>
      </c>
      <c r="B445" s="878" t="s">
        <v>1105</v>
      </c>
      <c r="C445" s="873"/>
      <c r="D445" s="873"/>
      <c r="E445" s="873"/>
      <c r="F445" s="873"/>
      <c r="G445" s="871"/>
      <c r="H445" s="913"/>
      <c r="I445" s="902"/>
      <c r="J445" s="865"/>
    </row>
    <row r="446" spans="1:10">
      <c r="A446" s="871"/>
      <c r="B446" s="891" t="s">
        <v>2279</v>
      </c>
      <c r="C446" s="873">
        <v>1</v>
      </c>
      <c r="D446" s="873">
        <v>3</v>
      </c>
      <c r="E446" s="873">
        <v>1.05</v>
      </c>
      <c r="F446" s="888">
        <v>0.45</v>
      </c>
      <c r="G446" s="871"/>
      <c r="H446" s="876">
        <f>PRODUCT(C446:G446)</f>
        <v>1.4175000000000002</v>
      </c>
      <c r="I446" s="902"/>
      <c r="J446" s="865"/>
    </row>
    <row r="447" spans="1:10">
      <c r="A447" s="871"/>
      <c r="B447" s="891" t="s">
        <v>2280</v>
      </c>
      <c r="C447" s="873">
        <v>1</v>
      </c>
      <c r="D447" s="873">
        <v>2</v>
      </c>
      <c r="E447" s="888">
        <v>2.4</v>
      </c>
      <c r="F447" s="888">
        <v>0.6</v>
      </c>
      <c r="G447" s="871"/>
      <c r="H447" s="876">
        <f>PRODUCT(C447:G447)</f>
        <v>2.88</v>
      </c>
      <c r="I447" s="902"/>
      <c r="J447" s="865"/>
    </row>
    <row r="448" spans="1:10">
      <c r="A448" s="871"/>
      <c r="B448" s="891" t="s">
        <v>2261</v>
      </c>
      <c r="C448" s="873">
        <v>1</v>
      </c>
      <c r="D448" s="873">
        <v>5</v>
      </c>
      <c r="E448" s="888">
        <v>1.2</v>
      </c>
      <c r="F448" s="888">
        <v>0.6</v>
      </c>
      <c r="G448" s="871"/>
      <c r="H448" s="876">
        <f>PRODUCT(C448:G448)</f>
        <v>3.5999999999999996</v>
      </c>
      <c r="I448" s="902"/>
      <c r="J448" s="865"/>
    </row>
    <row r="449" spans="1:19">
      <c r="A449" s="871"/>
      <c r="B449" s="891" t="s">
        <v>485</v>
      </c>
      <c r="C449" s="873">
        <v>1</v>
      </c>
      <c r="D449" s="873">
        <v>5</v>
      </c>
      <c r="E449" s="873">
        <v>1.5</v>
      </c>
      <c r="F449" s="888">
        <v>0.6</v>
      </c>
      <c r="G449" s="871"/>
      <c r="H449" s="876">
        <f>PRODUCT(C449:G449)</f>
        <v>4.5</v>
      </c>
      <c r="I449" s="902"/>
      <c r="J449" s="865"/>
    </row>
    <row r="450" spans="1:19">
      <c r="A450" s="871"/>
      <c r="B450" s="891"/>
      <c r="C450" s="873"/>
      <c r="D450" s="873"/>
      <c r="E450" s="873"/>
      <c r="F450" s="888"/>
      <c r="G450" s="871" t="s">
        <v>57</v>
      </c>
      <c r="H450" s="876">
        <f>SUM(H446:H449)</f>
        <v>12.397500000000001</v>
      </c>
      <c r="I450" s="902"/>
      <c r="J450" s="865"/>
    </row>
    <row r="451" spans="1:19" ht="18">
      <c r="A451" s="871"/>
      <c r="B451" s="891"/>
      <c r="C451" s="873"/>
      <c r="D451" s="873"/>
      <c r="E451" s="873"/>
      <c r="F451" s="873"/>
      <c r="G451" s="892" t="s">
        <v>206</v>
      </c>
      <c r="H451" s="893">
        <f>ROUNDUP(H450,1)</f>
        <v>12.4</v>
      </c>
      <c r="I451" s="894" t="s">
        <v>2234</v>
      </c>
      <c r="J451" s="865"/>
    </row>
    <row r="452" spans="1:19">
      <c r="A452" s="871"/>
      <c r="B452" s="891"/>
      <c r="C452" s="873"/>
      <c r="D452" s="873"/>
      <c r="E452" s="873"/>
      <c r="F452" s="873"/>
      <c r="G452" s="875"/>
      <c r="H452" s="913"/>
      <c r="I452" s="902"/>
      <c r="J452" s="865"/>
    </row>
    <row r="453" spans="1:19" ht="31.5">
      <c r="A453" s="871">
        <v>21.2</v>
      </c>
      <c r="B453" s="886" t="s">
        <v>2281</v>
      </c>
      <c r="C453" s="909"/>
      <c r="D453" s="909"/>
      <c r="E453" s="873"/>
      <c r="F453" s="873"/>
      <c r="G453" s="909"/>
      <c r="H453" s="909"/>
      <c r="I453" s="902"/>
      <c r="K453" s="923"/>
      <c r="L453" s="868"/>
      <c r="M453" s="868"/>
      <c r="N453" s="868"/>
      <c r="O453" s="924"/>
      <c r="P453" s="924"/>
      <c r="Q453" s="924"/>
      <c r="R453" s="924"/>
      <c r="S453" s="925"/>
    </row>
    <row r="454" spans="1:19">
      <c r="A454" s="871" t="s">
        <v>2058</v>
      </c>
      <c r="B454" s="891" t="s">
        <v>2282</v>
      </c>
      <c r="C454" s="909"/>
      <c r="D454" s="909"/>
      <c r="E454" s="873"/>
      <c r="F454" s="873"/>
      <c r="G454" s="909"/>
      <c r="H454" s="909"/>
      <c r="I454" s="902"/>
      <c r="K454" s="923"/>
      <c r="L454" s="868"/>
      <c r="M454" s="868"/>
      <c r="N454" s="868"/>
      <c r="O454" s="924"/>
      <c r="P454" s="924"/>
      <c r="Q454" s="924"/>
      <c r="R454" s="924"/>
      <c r="S454" s="925"/>
    </row>
    <row r="455" spans="1:19">
      <c r="A455" s="871"/>
      <c r="B455" s="891" t="s">
        <v>2283</v>
      </c>
      <c r="C455" s="873">
        <v>1</v>
      </c>
      <c r="D455" s="873">
        <v>4</v>
      </c>
      <c r="E455" s="888">
        <v>2.1</v>
      </c>
      <c r="F455" s="873">
        <v>0.15</v>
      </c>
      <c r="G455" s="876">
        <v>0.1</v>
      </c>
      <c r="H455" s="875">
        <f>PRODUCT(C455:G455)</f>
        <v>0.126</v>
      </c>
      <c r="I455" s="902"/>
      <c r="K455" s="923"/>
      <c r="L455" s="868"/>
      <c r="M455" s="868"/>
      <c r="N455" s="868"/>
      <c r="O455" s="926"/>
      <c r="P455" s="924"/>
      <c r="Q455" s="924"/>
      <c r="R455" s="924"/>
      <c r="S455" s="925"/>
    </row>
    <row r="456" spans="1:19" ht="18">
      <c r="A456" s="871"/>
      <c r="B456" s="891"/>
      <c r="C456" s="909"/>
      <c r="D456" s="909"/>
      <c r="E456" s="873"/>
      <c r="F456" s="873"/>
      <c r="G456" s="895" t="s">
        <v>57</v>
      </c>
      <c r="H456" s="927">
        <f>SUM(H455)</f>
        <v>0.126</v>
      </c>
      <c r="I456" s="912" t="s">
        <v>2075</v>
      </c>
      <c r="K456" s="923"/>
      <c r="L456" s="868"/>
      <c r="M456" s="868"/>
      <c r="N456" s="868"/>
      <c r="O456" s="926"/>
      <c r="P456" s="924"/>
      <c r="Q456" s="924"/>
      <c r="R456" s="924"/>
      <c r="S456" s="925"/>
    </row>
    <row r="457" spans="1:19">
      <c r="A457" s="871"/>
      <c r="B457" s="891"/>
      <c r="C457" s="909"/>
      <c r="D457" s="909"/>
      <c r="E457" s="873"/>
      <c r="F457" s="873"/>
      <c r="G457" s="895"/>
      <c r="H457" s="927"/>
      <c r="I457" s="912"/>
      <c r="K457" s="923"/>
      <c r="L457" s="868"/>
      <c r="M457" s="868"/>
      <c r="N457" s="868"/>
      <c r="O457" s="926"/>
      <c r="P457" s="924"/>
      <c r="Q457" s="924"/>
      <c r="R457" s="924"/>
      <c r="S457" s="925"/>
    </row>
    <row r="458" spans="1:19">
      <c r="A458" s="871" t="s">
        <v>2142</v>
      </c>
      <c r="B458" s="891" t="s">
        <v>2284</v>
      </c>
      <c r="C458" s="909"/>
      <c r="D458" s="909"/>
      <c r="E458" s="873"/>
      <c r="F458" s="873"/>
      <c r="G458" s="909"/>
      <c r="H458" s="909"/>
      <c r="I458" s="902"/>
      <c r="K458" s="923"/>
      <c r="L458" s="868"/>
      <c r="M458" s="868"/>
      <c r="N458" s="868"/>
      <c r="O458" s="924"/>
      <c r="P458" s="924"/>
      <c r="Q458" s="926"/>
      <c r="R458" s="924"/>
      <c r="S458" s="925"/>
    </row>
    <row r="459" spans="1:19">
      <c r="A459" s="871"/>
      <c r="B459" s="891" t="s">
        <v>2285</v>
      </c>
      <c r="C459" s="873">
        <v>1</v>
      </c>
      <c r="D459" s="873">
        <v>1</v>
      </c>
      <c r="E459" s="888">
        <v>1.8</v>
      </c>
      <c r="F459" s="873">
        <v>0.15</v>
      </c>
      <c r="G459" s="876">
        <v>0.1</v>
      </c>
      <c r="H459" s="875">
        <f>PRODUCT(C459:G459)</f>
        <v>2.7000000000000003E-2</v>
      </c>
      <c r="I459" s="902"/>
      <c r="J459" s="865"/>
      <c r="K459" s="923"/>
      <c r="L459" s="868"/>
      <c r="M459" s="868"/>
      <c r="N459" s="868"/>
      <c r="O459" s="926"/>
      <c r="P459" s="924"/>
      <c r="Q459" s="924"/>
      <c r="R459" s="924"/>
      <c r="S459" s="925"/>
    </row>
    <row r="460" spans="1:19">
      <c r="A460" s="871"/>
      <c r="B460" s="891" t="s">
        <v>2286</v>
      </c>
      <c r="C460" s="873">
        <v>1</v>
      </c>
      <c r="D460" s="873">
        <v>1</v>
      </c>
      <c r="E460" s="888">
        <v>1.8</v>
      </c>
      <c r="F460" s="873">
        <v>0.15</v>
      </c>
      <c r="G460" s="876">
        <v>0.05</v>
      </c>
      <c r="H460" s="875">
        <f>PRODUCT(C460:G460)</f>
        <v>1.3500000000000002E-2</v>
      </c>
      <c r="I460" s="902"/>
      <c r="J460" s="865"/>
      <c r="K460" s="923"/>
      <c r="L460" s="868"/>
      <c r="M460" s="868"/>
      <c r="N460" s="868"/>
      <c r="O460" s="926"/>
      <c r="P460" s="924"/>
      <c r="Q460" s="924"/>
      <c r="R460" s="924"/>
      <c r="S460" s="925"/>
    </row>
    <row r="461" spans="1:19">
      <c r="A461" s="871"/>
      <c r="B461" s="891" t="s">
        <v>2287</v>
      </c>
      <c r="C461" s="873">
        <v>1</v>
      </c>
      <c r="D461" s="873">
        <v>1</v>
      </c>
      <c r="E461" s="888">
        <v>0.9</v>
      </c>
      <c r="F461" s="873">
        <v>0.15</v>
      </c>
      <c r="G461" s="876">
        <v>0.1</v>
      </c>
      <c r="H461" s="875">
        <f>PRODUCT(C461:G461)</f>
        <v>1.3500000000000002E-2</v>
      </c>
      <c r="I461" s="902"/>
      <c r="J461" s="865"/>
      <c r="K461" s="923"/>
      <c r="L461" s="868"/>
      <c r="M461" s="868"/>
      <c r="N461" s="868"/>
      <c r="O461" s="926"/>
      <c r="P461" s="924"/>
      <c r="Q461" s="924"/>
      <c r="R461" s="924"/>
      <c r="S461" s="925"/>
    </row>
    <row r="462" spans="1:19">
      <c r="A462" s="871"/>
      <c r="B462" s="891" t="s">
        <v>2288</v>
      </c>
      <c r="C462" s="873">
        <v>1</v>
      </c>
      <c r="D462" s="873">
        <v>1</v>
      </c>
      <c r="E462" s="888">
        <v>0.9</v>
      </c>
      <c r="F462" s="873">
        <v>0.15</v>
      </c>
      <c r="G462" s="876">
        <v>0.05</v>
      </c>
      <c r="H462" s="875">
        <f>PRODUCT(C462:G462)</f>
        <v>6.7500000000000008E-3</v>
      </c>
      <c r="I462" s="902"/>
      <c r="J462" s="865"/>
      <c r="K462" s="923"/>
      <c r="L462" s="868"/>
      <c r="M462" s="868"/>
      <c r="N462" s="868"/>
      <c r="O462" s="926"/>
      <c r="P462" s="924"/>
      <c r="Q462" s="924"/>
      <c r="R462" s="924"/>
      <c r="S462" s="925"/>
    </row>
    <row r="463" spans="1:19" ht="18">
      <c r="A463" s="871"/>
      <c r="B463" s="891"/>
      <c r="C463" s="909"/>
      <c r="D463" s="909"/>
      <c r="E463" s="873"/>
      <c r="F463" s="873"/>
      <c r="G463" s="895" t="s">
        <v>206</v>
      </c>
      <c r="H463" s="927">
        <f>SUM(H459:H462)</f>
        <v>6.0750000000000005E-2</v>
      </c>
      <c r="I463" s="912" t="s">
        <v>2075</v>
      </c>
      <c r="J463" s="865"/>
      <c r="K463" s="923"/>
      <c r="L463" s="868"/>
      <c r="M463" s="868"/>
      <c r="N463" s="868"/>
      <c r="O463" s="924"/>
      <c r="P463" s="924"/>
      <c r="Q463" s="926"/>
      <c r="R463" s="924"/>
      <c r="S463" s="925"/>
    </row>
    <row r="464" spans="1:19">
      <c r="A464" s="871"/>
      <c r="B464" s="891"/>
      <c r="C464" s="909"/>
      <c r="D464" s="909"/>
      <c r="E464" s="873"/>
      <c r="F464" s="873"/>
      <c r="G464" s="909"/>
      <c r="H464" s="909"/>
      <c r="I464" s="902"/>
      <c r="J464" s="865"/>
      <c r="K464" s="923"/>
      <c r="L464" s="868"/>
      <c r="M464" s="868"/>
      <c r="N464" s="868"/>
      <c r="O464" s="924"/>
      <c r="P464" s="924"/>
      <c r="Q464" s="926"/>
      <c r="R464" s="924"/>
      <c r="S464" s="925"/>
    </row>
    <row r="465" spans="1:11">
      <c r="A465" s="871">
        <v>23.3</v>
      </c>
      <c r="B465" s="886" t="s">
        <v>2289</v>
      </c>
      <c r="C465" s="873"/>
      <c r="D465" s="873"/>
      <c r="E465" s="874"/>
      <c r="F465" s="873"/>
      <c r="G465" s="875"/>
      <c r="H465" s="876"/>
      <c r="I465" s="877"/>
      <c r="J465" s="865"/>
    </row>
    <row r="466" spans="1:11">
      <c r="A466" s="871"/>
      <c r="B466" s="891" t="s">
        <v>978</v>
      </c>
      <c r="C466" s="873"/>
      <c r="D466" s="873"/>
      <c r="E466" s="874"/>
      <c r="F466" s="873"/>
      <c r="G466" s="875"/>
      <c r="H466" s="876"/>
      <c r="I466" s="877"/>
    </row>
    <row r="467" spans="1:11">
      <c r="A467" s="871"/>
      <c r="B467" s="891" t="s">
        <v>2290</v>
      </c>
      <c r="C467" s="873">
        <v>1</v>
      </c>
      <c r="D467" s="873">
        <v>2</v>
      </c>
      <c r="E467" s="873"/>
      <c r="F467" s="873"/>
      <c r="G467" s="909"/>
      <c r="H467" s="876">
        <f>PRODUCT(C467:G467)</f>
        <v>2</v>
      </c>
      <c r="I467" s="877"/>
    </row>
    <row r="468" spans="1:11">
      <c r="A468" s="871"/>
      <c r="B468" s="886" t="s">
        <v>2291</v>
      </c>
      <c r="C468" s="873">
        <v>1</v>
      </c>
      <c r="D468" s="873">
        <v>3</v>
      </c>
      <c r="E468" s="874"/>
      <c r="F468" s="873"/>
      <c r="G468" s="875"/>
      <c r="H468" s="876">
        <f>PRODUCT(C468:G468)</f>
        <v>3</v>
      </c>
      <c r="I468" s="877"/>
    </row>
    <row r="469" spans="1:11">
      <c r="A469" s="871"/>
      <c r="B469" s="891" t="s">
        <v>1105</v>
      </c>
      <c r="C469" s="909"/>
      <c r="D469" s="909"/>
      <c r="E469" s="873"/>
      <c r="F469" s="873"/>
      <c r="G469" s="909"/>
      <c r="H469" s="876"/>
      <c r="I469" s="877"/>
    </row>
    <row r="470" spans="1:11" ht="31.5">
      <c r="A470" s="871"/>
      <c r="B470" s="928" t="s">
        <v>2292</v>
      </c>
      <c r="C470" s="873">
        <v>1</v>
      </c>
      <c r="D470" s="873">
        <v>7</v>
      </c>
      <c r="E470" s="874"/>
      <c r="F470" s="873"/>
      <c r="G470" s="875"/>
      <c r="H470" s="876">
        <f>PRODUCT(C470:G470)</f>
        <v>7</v>
      </c>
      <c r="I470" s="877"/>
    </row>
    <row r="471" spans="1:11">
      <c r="A471" s="871"/>
      <c r="B471" s="886"/>
      <c r="C471" s="873"/>
      <c r="D471" s="873"/>
      <c r="E471" s="874"/>
      <c r="F471" s="873"/>
      <c r="G471" s="892" t="s">
        <v>57</v>
      </c>
      <c r="H471" s="896">
        <f>SUM(H467:H470)</f>
        <v>12</v>
      </c>
      <c r="I471" s="897" t="s">
        <v>4</v>
      </c>
    </row>
    <row r="472" spans="1:11">
      <c r="A472" s="871"/>
      <c r="B472" s="886"/>
      <c r="C472" s="873"/>
      <c r="D472" s="873"/>
      <c r="E472" s="874"/>
      <c r="F472" s="873"/>
      <c r="G472" s="892"/>
      <c r="H472" s="896"/>
      <c r="I472" s="897"/>
    </row>
    <row r="473" spans="1:11" ht="31.5">
      <c r="A473" s="871">
        <v>24</v>
      </c>
      <c r="B473" s="886" t="s">
        <v>2293</v>
      </c>
      <c r="C473" s="909"/>
      <c r="D473" s="909"/>
      <c r="E473" s="873"/>
      <c r="F473" s="873"/>
      <c r="G473" s="909"/>
      <c r="H473" s="909"/>
      <c r="I473" s="902"/>
      <c r="J473" s="865"/>
    </row>
    <row r="474" spans="1:11">
      <c r="A474" s="871"/>
      <c r="B474" s="891" t="s">
        <v>2294</v>
      </c>
      <c r="C474" s="873">
        <v>1</v>
      </c>
      <c r="D474" s="873">
        <v>6</v>
      </c>
      <c r="E474" s="888">
        <v>1.5</v>
      </c>
      <c r="F474" s="873"/>
      <c r="G474" s="909">
        <v>1.35</v>
      </c>
      <c r="H474" s="876">
        <f t="shared" ref="H474:H482" si="22">PRODUCT(C474:G474)</f>
        <v>12.15</v>
      </c>
      <c r="I474" s="902"/>
      <c r="J474" s="864">
        <f>1.2*2</f>
        <v>2.4</v>
      </c>
      <c r="K474" s="865">
        <f>J474*29</f>
        <v>69.599999999999994</v>
      </c>
    </row>
    <row r="475" spans="1:11">
      <c r="A475" s="871"/>
      <c r="B475" s="891" t="s">
        <v>2295</v>
      </c>
      <c r="C475" s="873">
        <v>1</v>
      </c>
      <c r="D475" s="873">
        <v>1</v>
      </c>
      <c r="E475" s="888">
        <v>1.65</v>
      </c>
      <c r="F475" s="873"/>
      <c r="G475" s="909">
        <v>1.35</v>
      </c>
      <c r="H475" s="876">
        <f t="shared" si="22"/>
        <v>2.2275</v>
      </c>
      <c r="I475" s="902"/>
    </row>
    <row r="476" spans="1:11">
      <c r="A476" s="871"/>
      <c r="B476" s="891" t="s">
        <v>2296</v>
      </c>
      <c r="C476" s="873">
        <v>1</v>
      </c>
      <c r="D476" s="873">
        <v>7</v>
      </c>
      <c r="E476" s="888">
        <v>1.2</v>
      </c>
      <c r="F476" s="873"/>
      <c r="G476" s="909">
        <v>1.35</v>
      </c>
      <c r="H476" s="876">
        <f>PRODUCT(C476:G476)</f>
        <v>11.340000000000002</v>
      </c>
      <c r="I476" s="902"/>
    </row>
    <row r="477" spans="1:11">
      <c r="A477" s="871"/>
      <c r="B477" s="891" t="s">
        <v>2297</v>
      </c>
      <c r="C477" s="873">
        <v>1</v>
      </c>
      <c r="D477" s="873">
        <v>1</v>
      </c>
      <c r="E477" s="888">
        <v>0.85</v>
      </c>
      <c r="F477" s="873"/>
      <c r="G477" s="909">
        <v>1.35</v>
      </c>
      <c r="H477" s="876">
        <f>PRODUCT(C477:G477)</f>
        <v>1.1475</v>
      </c>
      <c r="I477" s="902"/>
    </row>
    <row r="478" spans="1:11">
      <c r="A478" s="871"/>
      <c r="B478" s="891" t="s">
        <v>2298</v>
      </c>
      <c r="C478" s="873">
        <v>1</v>
      </c>
      <c r="D478" s="873">
        <v>3</v>
      </c>
      <c r="E478" s="888">
        <v>0.75</v>
      </c>
      <c r="F478" s="873"/>
      <c r="G478" s="909">
        <v>1.35</v>
      </c>
      <c r="H478" s="876">
        <f>PRODUCT(C478:G478)</f>
        <v>3.0375000000000001</v>
      </c>
      <c r="I478" s="902"/>
    </row>
    <row r="479" spans="1:11">
      <c r="A479" s="871"/>
      <c r="B479" s="891" t="s">
        <v>2299</v>
      </c>
      <c r="C479" s="873">
        <v>1</v>
      </c>
      <c r="D479" s="873">
        <v>2</v>
      </c>
      <c r="E479" s="888">
        <v>1.8</v>
      </c>
      <c r="F479" s="873"/>
      <c r="G479" s="909">
        <v>1.35</v>
      </c>
      <c r="H479" s="876">
        <f>PRODUCT(C479:G479)</f>
        <v>4.8600000000000003</v>
      </c>
      <c r="I479" s="902"/>
    </row>
    <row r="480" spans="1:11">
      <c r="A480" s="871"/>
      <c r="B480" s="891" t="s">
        <v>2300</v>
      </c>
      <c r="C480" s="873">
        <v>1</v>
      </c>
      <c r="D480" s="873">
        <v>4</v>
      </c>
      <c r="E480" s="888">
        <v>0.9</v>
      </c>
      <c r="F480" s="873"/>
      <c r="G480" s="909">
        <v>1.35</v>
      </c>
      <c r="H480" s="876">
        <f>PRODUCT(C480:G480)</f>
        <v>4.8600000000000003</v>
      </c>
      <c r="I480" s="902"/>
    </row>
    <row r="481" spans="1:9">
      <c r="A481" s="871"/>
      <c r="B481" s="891" t="s">
        <v>2301</v>
      </c>
      <c r="C481" s="873">
        <v>1</v>
      </c>
      <c r="D481" s="873">
        <v>2</v>
      </c>
      <c r="E481" s="888">
        <v>1</v>
      </c>
      <c r="F481" s="873"/>
      <c r="G481" s="910">
        <v>2</v>
      </c>
      <c r="H481" s="876">
        <f t="shared" si="22"/>
        <v>4</v>
      </c>
      <c r="I481" s="902"/>
    </row>
    <row r="482" spans="1:9">
      <c r="A482" s="871"/>
      <c r="B482" s="891" t="s">
        <v>2302</v>
      </c>
      <c r="C482" s="873">
        <v>1</v>
      </c>
      <c r="D482" s="873">
        <v>6</v>
      </c>
      <c r="E482" s="888">
        <v>0.95</v>
      </c>
      <c r="F482" s="873"/>
      <c r="G482" s="909">
        <v>0.75</v>
      </c>
      <c r="H482" s="876">
        <f t="shared" si="22"/>
        <v>4.2749999999999995</v>
      </c>
      <c r="I482" s="902"/>
    </row>
    <row r="483" spans="1:9">
      <c r="A483" s="871"/>
      <c r="B483" s="891"/>
      <c r="C483" s="873"/>
      <c r="D483" s="873"/>
      <c r="E483" s="888"/>
      <c r="F483" s="873"/>
      <c r="G483" s="871" t="s">
        <v>57</v>
      </c>
      <c r="H483" s="910">
        <f>SUM(H474:H482)</f>
        <v>47.897500000000001</v>
      </c>
      <c r="I483" s="902"/>
    </row>
    <row r="484" spans="1:9">
      <c r="A484" s="871"/>
      <c r="B484" s="891"/>
      <c r="C484" s="873"/>
      <c r="D484" s="873"/>
      <c r="E484" s="888">
        <f>H483</f>
        <v>47.897500000000001</v>
      </c>
      <c r="F484" s="888">
        <v>30</v>
      </c>
      <c r="G484" s="871"/>
      <c r="H484" s="910">
        <f>E484*F484</f>
        <v>1436.925</v>
      </c>
      <c r="I484" s="902"/>
    </row>
    <row r="485" spans="1:9">
      <c r="A485" s="871"/>
      <c r="B485" s="891"/>
      <c r="C485" s="909"/>
      <c r="D485" s="909"/>
      <c r="E485" s="873"/>
      <c r="F485" s="873"/>
      <c r="G485" s="892" t="s">
        <v>206</v>
      </c>
      <c r="H485" s="896">
        <f>H484</f>
        <v>1436.925</v>
      </c>
      <c r="I485" s="894" t="s">
        <v>165</v>
      </c>
    </row>
    <row r="486" spans="1:9">
      <c r="A486" s="871"/>
      <c r="B486" s="891"/>
      <c r="C486" s="909"/>
      <c r="D486" s="909"/>
      <c r="E486" s="873"/>
      <c r="F486" s="873"/>
      <c r="G486" s="892"/>
      <c r="H486" s="896"/>
      <c r="I486" s="894"/>
    </row>
    <row r="487" spans="1:9" ht="31.5">
      <c r="A487" s="871">
        <v>25</v>
      </c>
      <c r="B487" s="886" t="s">
        <v>2303</v>
      </c>
      <c r="C487" s="909"/>
      <c r="D487" s="909"/>
      <c r="E487" s="873"/>
      <c r="F487" s="873"/>
      <c r="G487" s="909"/>
      <c r="H487" s="909"/>
      <c r="I487" s="902"/>
    </row>
    <row r="488" spans="1:9">
      <c r="A488" s="871"/>
      <c r="B488" s="891" t="s">
        <v>978</v>
      </c>
      <c r="C488" s="909"/>
      <c r="D488" s="909"/>
      <c r="E488" s="873"/>
      <c r="F488" s="873"/>
      <c r="G488" s="909"/>
      <c r="H488" s="909"/>
      <c r="I488" s="902"/>
    </row>
    <row r="489" spans="1:9">
      <c r="A489" s="871" t="s">
        <v>220</v>
      </c>
      <c r="B489" s="891" t="s">
        <v>2290</v>
      </c>
      <c r="C489" s="873">
        <v>1</v>
      </c>
      <c r="D489" s="873">
        <v>6</v>
      </c>
      <c r="E489" s="873"/>
      <c r="F489" s="873"/>
      <c r="G489" s="909"/>
      <c r="H489" s="876">
        <f>PRODUCT(C489:G489)</f>
        <v>6</v>
      </c>
      <c r="I489" s="902"/>
    </row>
    <row r="490" spans="1:9">
      <c r="A490" s="871"/>
      <c r="B490" s="886" t="s">
        <v>2304</v>
      </c>
      <c r="C490" s="873">
        <v>3</v>
      </c>
      <c r="D490" s="873">
        <v>6</v>
      </c>
      <c r="E490" s="874"/>
      <c r="F490" s="873"/>
      <c r="G490" s="875"/>
      <c r="H490" s="876">
        <f>PRODUCT(C490:G490)</f>
        <v>18</v>
      </c>
      <c r="I490" s="877"/>
    </row>
    <row r="491" spans="1:9">
      <c r="A491" s="871"/>
      <c r="B491" s="891" t="s">
        <v>1105</v>
      </c>
      <c r="C491" s="909"/>
      <c r="D491" s="909"/>
      <c r="E491" s="873"/>
      <c r="F491" s="873"/>
      <c r="G491" s="909"/>
      <c r="H491" s="876"/>
      <c r="I491" s="877"/>
    </row>
    <row r="492" spans="1:9" ht="31.5">
      <c r="A492" s="871"/>
      <c r="B492" s="928" t="s">
        <v>2305</v>
      </c>
      <c r="C492" s="873">
        <v>7</v>
      </c>
      <c r="D492" s="873">
        <v>6</v>
      </c>
      <c r="E492" s="874"/>
      <c r="F492" s="873"/>
      <c r="G492" s="875"/>
      <c r="H492" s="876">
        <f>PRODUCT(C492:G492)</f>
        <v>42</v>
      </c>
      <c r="I492" s="877"/>
    </row>
    <row r="493" spans="1:9">
      <c r="A493" s="871"/>
      <c r="B493" s="891"/>
      <c r="C493" s="873"/>
      <c r="D493" s="873"/>
      <c r="E493" s="873"/>
      <c r="F493" s="873"/>
      <c r="G493" s="895" t="s">
        <v>57</v>
      </c>
      <c r="H493" s="896">
        <f>SUM(H489:H492)</f>
        <v>66</v>
      </c>
      <c r="I493" s="897" t="s">
        <v>4</v>
      </c>
    </row>
    <row r="494" spans="1:9">
      <c r="A494" s="871"/>
      <c r="B494" s="891"/>
      <c r="C494" s="873"/>
      <c r="D494" s="873"/>
      <c r="E494" s="873"/>
      <c r="F494" s="873"/>
      <c r="G494" s="895"/>
      <c r="H494" s="896"/>
      <c r="I494" s="897"/>
    </row>
    <row r="495" spans="1:9" ht="31.5">
      <c r="A495" s="871">
        <v>26</v>
      </c>
      <c r="B495" s="886" t="s">
        <v>2306</v>
      </c>
      <c r="C495" s="909"/>
      <c r="D495" s="909"/>
      <c r="E495" s="873"/>
      <c r="F495" s="873"/>
      <c r="G495" s="909"/>
      <c r="H495" s="909"/>
      <c r="I495" s="902"/>
    </row>
    <row r="496" spans="1:9">
      <c r="A496" s="871"/>
      <c r="B496" s="891" t="s">
        <v>2078</v>
      </c>
      <c r="C496" s="873">
        <v>1</v>
      </c>
      <c r="D496" s="873">
        <v>1</v>
      </c>
      <c r="E496" s="888">
        <v>2.52</v>
      </c>
      <c r="F496" s="874">
        <v>3.9249999999999998</v>
      </c>
      <c r="G496" s="876">
        <v>0.08</v>
      </c>
      <c r="H496" s="876">
        <f t="shared" ref="H496:H503" si="23">PRODUCT(C496:G496)</f>
        <v>0.79127999999999998</v>
      </c>
      <c r="I496" s="902"/>
    </row>
    <row r="497" spans="1:9">
      <c r="A497" s="871"/>
      <c r="B497" s="891" t="s">
        <v>2079</v>
      </c>
      <c r="C497" s="873">
        <v>1</v>
      </c>
      <c r="D497" s="873">
        <v>1</v>
      </c>
      <c r="E497" s="888">
        <v>4.7</v>
      </c>
      <c r="F497" s="874">
        <v>3.9249999999999998</v>
      </c>
      <c r="G497" s="876">
        <v>0.08</v>
      </c>
      <c r="H497" s="876">
        <f t="shared" si="23"/>
        <v>1.4758000000000002</v>
      </c>
      <c r="I497" s="902"/>
    </row>
    <row r="498" spans="1:9">
      <c r="A498" s="871"/>
      <c r="B498" s="891" t="s">
        <v>2080</v>
      </c>
      <c r="C498" s="873">
        <v>1</v>
      </c>
      <c r="D498" s="873">
        <v>1</v>
      </c>
      <c r="E498" s="888">
        <v>3.8</v>
      </c>
      <c r="F498" s="874">
        <v>3.9249999999999998</v>
      </c>
      <c r="G498" s="876">
        <v>0.08</v>
      </c>
      <c r="H498" s="876">
        <f t="shared" si="23"/>
        <v>1.1932</v>
      </c>
      <c r="I498" s="902"/>
    </row>
    <row r="499" spans="1:9">
      <c r="A499" s="871"/>
      <c r="B499" s="891" t="s">
        <v>2081</v>
      </c>
      <c r="C499" s="873">
        <v>1</v>
      </c>
      <c r="D499" s="873">
        <v>2</v>
      </c>
      <c r="E499" s="888">
        <f>2.77+0.23+1.4</f>
        <v>4.4000000000000004</v>
      </c>
      <c r="F499" s="874">
        <v>2.4</v>
      </c>
      <c r="G499" s="876">
        <v>0.08</v>
      </c>
      <c r="H499" s="876">
        <f t="shared" si="23"/>
        <v>1.6896000000000002</v>
      </c>
      <c r="I499" s="902"/>
    </row>
    <row r="500" spans="1:9">
      <c r="A500" s="871"/>
      <c r="B500" s="891" t="s">
        <v>2082</v>
      </c>
      <c r="C500" s="873">
        <v>1</v>
      </c>
      <c r="D500" s="873">
        <v>1</v>
      </c>
      <c r="E500" s="888">
        <f>4.385+0.23+2.1</f>
        <v>6.7149999999999999</v>
      </c>
      <c r="F500" s="874">
        <v>2.4</v>
      </c>
      <c r="G500" s="876">
        <v>0.08</v>
      </c>
      <c r="H500" s="876">
        <f t="shared" si="23"/>
        <v>1.28928</v>
      </c>
      <c r="I500" s="902"/>
    </row>
    <row r="501" spans="1:9">
      <c r="A501" s="871"/>
      <c r="B501" s="891" t="s">
        <v>2083</v>
      </c>
      <c r="C501" s="873">
        <v>1</v>
      </c>
      <c r="D501" s="873">
        <v>1</v>
      </c>
      <c r="E501" s="888">
        <v>3.47</v>
      </c>
      <c r="F501" s="874">
        <v>4.3849999999999998</v>
      </c>
      <c r="G501" s="876">
        <v>0.08</v>
      </c>
      <c r="H501" s="876">
        <f t="shared" si="23"/>
        <v>1.217276</v>
      </c>
      <c r="I501" s="902"/>
    </row>
    <row r="502" spans="1:9">
      <c r="A502" s="871"/>
      <c r="B502" s="891" t="s">
        <v>2084</v>
      </c>
      <c r="C502" s="873">
        <v>1</v>
      </c>
      <c r="D502" s="873">
        <v>1</v>
      </c>
      <c r="E502" s="888">
        <v>5.75</v>
      </c>
      <c r="F502" s="888">
        <v>4.5</v>
      </c>
      <c r="G502" s="876">
        <v>0.1</v>
      </c>
      <c r="H502" s="876">
        <f t="shared" si="23"/>
        <v>2.5875000000000004</v>
      </c>
      <c r="I502" s="902"/>
    </row>
    <row r="503" spans="1:9">
      <c r="A503" s="871"/>
      <c r="B503" s="891" t="s">
        <v>829</v>
      </c>
      <c r="C503" s="873">
        <v>1</v>
      </c>
      <c r="D503" s="873">
        <v>1</v>
      </c>
      <c r="E503" s="888">
        <f>3.66+1.5+1.74</f>
        <v>6.9</v>
      </c>
      <c r="F503" s="874">
        <v>1.5</v>
      </c>
      <c r="G503" s="876">
        <v>0.08</v>
      </c>
      <c r="H503" s="876">
        <f t="shared" si="23"/>
        <v>0.82800000000000018</v>
      </c>
      <c r="I503" s="902"/>
    </row>
    <row r="504" spans="1:9">
      <c r="A504" s="871"/>
      <c r="B504" s="891"/>
      <c r="C504" s="909"/>
      <c r="D504" s="909"/>
      <c r="E504" s="873"/>
      <c r="F504" s="873"/>
      <c r="G504" s="871" t="s">
        <v>57</v>
      </c>
      <c r="H504" s="910">
        <f>SUM(H496:H503)</f>
        <v>11.071936000000001</v>
      </c>
      <c r="I504" s="902"/>
    </row>
    <row r="505" spans="1:9" ht="18">
      <c r="A505" s="871"/>
      <c r="B505" s="891"/>
      <c r="C505" s="909"/>
      <c r="D505" s="909"/>
      <c r="E505" s="873"/>
      <c r="F505" s="873"/>
      <c r="G505" s="895" t="s">
        <v>206</v>
      </c>
      <c r="H505" s="929">
        <f>ROUNDUP(H504,1)</f>
        <v>11.1</v>
      </c>
      <c r="I505" s="912" t="s">
        <v>2075</v>
      </c>
    </row>
    <row r="506" spans="1:9">
      <c r="A506" s="871"/>
      <c r="B506" s="891"/>
      <c r="C506" s="909"/>
      <c r="D506" s="909"/>
      <c r="E506" s="873"/>
      <c r="F506" s="873"/>
      <c r="G506" s="895"/>
      <c r="H506" s="929"/>
      <c r="I506" s="912"/>
    </row>
    <row r="507" spans="1:9" ht="40.5" customHeight="1">
      <c r="A507" s="871">
        <v>28</v>
      </c>
      <c r="B507" s="886" t="s">
        <v>2307</v>
      </c>
      <c r="C507" s="873"/>
      <c r="D507" s="873"/>
      <c r="E507" s="874"/>
      <c r="F507" s="874"/>
      <c r="G507" s="875"/>
      <c r="H507" s="876"/>
      <c r="I507" s="902"/>
    </row>
    <row r="508" spans="1:9" ht="22.5" customHeight="1">
      <c r="A508" s="871"/>
      <c r="B508" s="903" t="s">
        <v>2308</v>
      </c>
      <c r="C508" s="904">
        <v>1</v>
      </c>
      <c r="D508" s="918">
        <v>2</v>
      </c>
      <c r="E508" s="905">
        <v>2.4</v>
      </c>
      <c r="F508" s="905">
        <v>1.35</v>
      </c>
      <c r="G508" s="907"/>
      <c r="H508" s="903">
        <f>PRODUCT(C508:G508)</f>
        <v>6.48</v>
      </c>
      <c r="I508" s="902"/>
    </row>
    <row r="509" spans="1:9" ht="22.5" customHeight="1">
      <c r="A509" s="871"/>
      <c r="B509" s="903" t="s">
        <v>2309</v>
      </c>
      <c r="C509" s="904">
        <v>1</v>
      </c>
      <c r="D509" s="918">
        <v>1</v>
      </c>
      <c r="E509" s="905">
        <v>1.5</v>
      </c>
      <c r="F509" s="905">
        <v>1.8</v>
      </c>
      <c r="G509" s="907"/>
      <c r="H509" s="903">
        <f>PRODUCT(C509:G509)</f>
        <v>2.7</v>
      </c>
      <c r="I509" s="902"/>
    </row>
    <row r="510" spans="1:9">
      <c r="A510" s="871"/>
      <c r="B510" s="917" t="s">
        <v>1458</v>
      </c>
      <c r="C510" s="904"/>
      <c r="D510" s="918"/>
      <c r="E510" s="905"/>
      <c r="F510" s="905"/>
      <c r="G510" s="907"/>
      <c r="H510" s="903"/>
      <c r="I510" s="902"/>
    </row>
    <row r="511" spans="1:9">
      <c r="A511" s="871"/>
      <c r="B511" s="903" t="s">
        <v>2310</v>
      </c>
      <c r="C511" s="904">
        <v>1</v>
      </c>
      <c r="D511" s="918">
        <v>1</v>
      </c>
      <c r="E511" s="919">
        <v>1.2</v>
      </c>
      <c r="F511" s="919">
        <v>0.45</v>
      </c>
      <c r="G511" s="920"/>
      <c r="H511" s="921">
        <f>PRODUCT(C511:G511)</f>
        <v>0.54</v>
      </c>
      <c r="I511" s="902"/>
    </row>
    <row r="512" spans="1:9">
      <c r="A512" s="871"/>
      <c r="B512" s="903" t="s">
        <v>2311</v>
      </c>
      <c r="C512" s="904">
        <v>1</v>
      </c>
      <c r="D512" s="918">
        <v>1</v>
      </c>
      <c r="E512" s="919">
        <v>1.2</v>
      </c>
      <c r="F512" s="919">
        <v>0.45</v>
      </c>
      <c r="G512" s="920"/>
      <c r="H512" s="921">
        <f>PRODUCT(C512:G512)</f>
        <v>0.54</v>
      </c>
      <c r="I512" s="902"/>
    </row>
    <row r="513" spans="1:9">
      <c r="A513" s="871"/>
      <c r="B513" s="903" t="s">
        <v>2312</v>
      </c>
      <c r="C513" s="904">
        <v>1</v>
      </c>
      <c r="D513" s="918">
        <v>1</v>
      </c>
      <c r="E513" s="919">
        <v>1.4</v>
      </c>
      <c r="F513" s="919">
        <v>0.6</v>
      </c>
      <c r="G513" s="920"/>
      <c r="H513" s="921">
        <f>PRODUCT(C513:G513)</f>
        <v>0.84</v>
      </c>
      <c r="I513" s="902"/>
    </row>
    <row r="514" spans="1:9">
      <c r="A514" s="871"/>
      <c r="B514" s="903" t="s">
        <v>2313</v>
      </c>
      <c r="C514" s="904">
        <v>1</v>
      </c>
      <c r="D514" s="918">
        <v>1</v>
      </c>
      <c r="E514" s="919">
        <v>1.77</v>
      </c>
      <c r="F514" s="919">
        <v>0.6</v>
      </c>
      <c r="G514" s="920"/>
      <c r="H514" s="921">
        <f>PRODUCT(C514:G514)</f>
        <v>1.0620000000000001</v>
      </c>
      <c r="I514" s="902"/>
    </row>
    <row r="515" spans="1:9">
      <c r="A515" s="871"/>
      <c r="B515" s="917" t="s">
        <v>1459</v>
      </c>
      <c r="C515" s="904"/>
      <c r="D515" s="918"/>
      <c r="E515" s="905"/>
      <c r="F515" s="905"/>
      <c r="G515" s="907"/>
      <c r="H515" s="930"/>
      <c r="I515" s="902"/>
    </row>
    <row r="516" spans="1:9">
      <c r="A516" s="871"/>
      <c r="B516" s="634" t="s">
        <v>2314</v>
      </c>
      <c r="C516" s="904">
        <v>1</v>
      </c>
      <c r="D516" s="918">
        <v>3</v>
      </c>
      <c r="E516" s="919">
        <v>1.2</v>
      </c>
      <c r="F516" s="919">
        <v>0.45</v>
      </c>
      <c r="G516" s="920"/>
      <c r="H516" s="921">
        <f>PRODUCT(C516:G516)</f>
        <v>1.6199999999999999</v>
      </c>
      <c r="I516" s="902"/>
    </row>
    <row r="517" spans="1:9">
      <c r="A517" s="871"/>
      <c r="B517" s="634" t="s">
        <v>2315</v>
      </c>
      <c r="C517" s="904">
        <v>1</v>
      </c>
      <c r="D517" s="918">
        <v>1</v>
      </c>
      <c r="E517" s="919">
        <v>2.4</v>
      </c>
      <c r="F517" s="919">
        <v>0.6</v>
      </c>
      <c r="G517" s="920"/>
      <c r="H517" s="921">
        <f>PRODUCT(C517:G517)</f>
        <v>1.44</v>
      </c>
      <c r="I517" s="902"/>
    </row>
    <row r="518" spans="1:9">
      <c r="A518" s="871"/>
      <c r="B518" s="903" t="s">
        <v>2316</v>
      </c>
      <c r="C518" s="904">
        <v>1</v>
      </c>
      <c r="D518" s="918">
        <v>1</v>
      </c>
      <c r="E518" s="919">
        <v>2.4</v>
      </c>
      <c r="F518" s="919">
        <v>0.6</v>
      </c>
      <c r="G518" s="920"/>
      <c r="H518" s="921">
        <f>PRODUCT(C518:G518)</f>
        <v>1.44</v>
      </c>
      <c r="I518" s="902"/>
    </row>
    <row r="519" spans="1:9">
      <c r="A519" s="871"/>
      <c r="B519" s="903" t="s">
        <v>2317</v>
      </c>
      <c r="C519" s="904">
        <v>1</v>
      </c>
      <c r="D519" s="918">
        <v>1</v>
      </c>
      <c r="E519" s="919">
        <v>2.4</v>
      </c>
      <c r="F519" s="919">
        <v>0.6</v>
      </c>
      <c r="G519" s="920"/>
      <c r="H519" s="921">
        <f>PRODUCT(C519:G519)</f>
        <v>1.44</v>
      </c>
      <c r="I519" s="902"/>
    </row>
    <row r="520" spans="1:9">
      <c r="A520" s="871"/>
      <c r="B520" s="891" t="s">
        <v>2318</v>
      </c>
      <c r="C520" s="873">
        <v>1</v>
      </c>
      <c r="D520" s="873">
        <v>8</v>
      </c>
      <c r="E520" s="888">
        <v>0.8</v>
      </c>
      <c r="F520" s="888">
        <v>0.8</v>
      </c>
      <c r="G520" s="876"/>
      <c r="H520" s="876">
        <f>PRODUCT(C520:G520)</f>
        <v>5.120000000000001</v>
      </c>
      <c r="I520" s="877"/>
    </row>
    <row r="521" spans="1:9">
      <c r="A521" s="871"/>
      <c r="B521" s="891"/>
      <c r="C521" s="873"/>
      <c r="D521" s="873"/>
      <c r="E521" s="888"/>
      <c r="F521" s="873"/>
      <c r="G521" s="875" t="s">
        <v>57</v>
      </c>
      <c r="H521" s="876">
        <f>SUM(H508:H520)</f>
        <v>23.221999999999998</v>
      </c>
      <c r="I521" s="902"/>
    </row>
    <row r="522" spans="1:9" ht="18">
      <c r="A522" s="871"/>
      <c r="B522" s="891"/>
      <c r="C522" s="873"/>
      <c r="D522" s="873"/>
      <c r="E522" s="888"/>
      <c r="F522" s="873"/>
      <c r="G522" s="895" t="s">
        <v>206</v>
      </c>
      <c r="H522" s="893">
        <f>ROUNDUP(H521,1)</f>
        <v>23.3</v>
      </c>
      <c r="I522" s="912" t="s">
        <v>2234</v>
      </c>
    </row>
    <row r="523" spans="1:9">
      <c r="A523" s="871"/>
      <c r="B523" s="891"/>
      <c r="C523" s="873"/>
      <c r="D523" s="873"/>
      <c r="E523" s="888"/>
      <c r="F523" s="873"/>
      <c r="G523" s="895"/>
      <c r="H523" s="893"/>
      <c r="I523" s="912"/>
    </row>
    <row r="524" spans="1:9" ht="31.5">
      <c r="A524" s="871">
        <v>30</v>
      </c>
      <c r="B524" s="886" t="s">
        <v>2319</v>
      </c>
      <c r="C524" s="909"/>
      <c r="D524" s="909"/>
      <c r="E524" s="873"/>
      <c r="F524" s="873"/>
      <c r="G524" s="909"/>
      <c r="H524" s="909"/>
      <c r="I524" s="902"/>
    </row>
    <row r="525" spans="1:9">
      <c r="A525" s="871"/>
      <c r="B525" s="634" t="s">
        <v>2320</v>
      </c>
      <c r="C525" s="904">
        <v>1</v>
      </c>
      <c r="D525" s="918">
        <v>1</v>
      </c>
      <c r="E525" s="905">
        <v>2.4</v>
      </c>
      <c r="F525" s="905">
        <v>2.77</v>
      </c>
      <c r="G525" s="907"/>
      <c r="H525" s="903">
        <f t="shared" ref="H525:H530" si="24">PRODUCT(C525:G525)</f>
        <v>6.6479999999999997</v>
      </c>
      <c r="I525" s="902"/>
    </row>
    <row r="526" spans="1:9">
      <c r="A526" s="871"/>
      <c r="B526" s="634" t="s">
        <v>2321</v>
      </c>
      <c r="C526" s="904">
        <v>1</v>
      </c>
      <c r="D526" s="918">
        <v>1</v>
      </c>
      <c r="E526" s="905">
        <v>1</v>
      </c>
      <c r="F526" s="905">
        <v>0.23</v>
      </c>
      <c r="G526" s="907"/>
      <c r="H526" s="903">
        <f t="shared" si="24"/>
        <v>0.23</v>
      </c>
      <c r="I526" s="902"/>
    </row>
    <row r="527" spans="1:9">
      <c r="A527" s="871"/>
      <c r="B527" s="634" t="s">
        <v>2322</v>
      </c>
      <c r="C527" s="904">
        <v>1</v>
      </c>
      <c r="D527" s="918">
        <v>1</v>
      </c>
      <c r="E527" s="905">
        <v>2.4</v>
      </c>
      <c r="F527" s="905">
        <v>2.77</v>
      </c>
      <c r="G527" s="907"/>
      <c r="H527" s="903">
        <f t="shared" si="24"/>
        <v>6.6479999999999997</v>
      </c>
      <c r="I527" s="902"/>
    </row>
    <row r="528" spans="1:9">
      <c r="A528" s="871"/>
      <c r="B528" s="634" t="s">
        <v>2321</v>
      </c>
      <c r="C528" s="904">
        <v>1</v>
      </c>
      <c r="D528" s="918">
        <v>1</v>
      </c>
      <c r="E528" s="905">
        <v>1</v>
      </c>
      <c r="F528" s="905">
        <v>0.23</v>
      </c>
      <c r="G528" s="907"/>
      <c r="H528" s="903">
        <f t="shared" si="24"/>
        <v>0.23</v>
      </c>
      <c r="I528" s="902"/>
    </row>
    <row r="529" spans="1:10">
      <c r="A529" s="871"/>
      <c r="B529" s="634" t="s">
        <v>2323</v>
      </c>
      <c r="C529" s="904">
        <v>1</v>
      </c>
      <c r="D529" s="918">
        <v>1</v>
      </c>
      <c r="E529" s="905">
        <v>2.4</v>
      </c>
      <c r="F529" s="905">
        <v>1.5</v>
      </c>
      <c r="G529" s="907"/>
      <c r="H529" s="903">
        <f t="shared" si="24"/>
        <v>3.5999999999999996</v>
      </c>
      <c r="I529" s="902"/>
    </row>
    <row r="530" spans="1:10">
      <c r="A530" s="871"/>
      <c r="B530" s="634" t="s">
        <v>2321</v>
      </c>
      <c r="C530" s="904">
        <v>1</v>
      </c>
      <c r="D530" s="918">
        <v>1</v>
      </c>
      <c r="E530" s="905">
        <v>1</v>
      </c>
      <c r="F530" s="905">
        <v>0.23</v>
      </c>
      <c r="G530" s="907"/>
      <c r="H530" s="903">
        <f t="shared" si="24"/>
        <v>0.23</v>
      </c>
      <c r="I530" s="902"/>
    </row>
    <row r="531" spans="1:10">
      <c r="A531" s="871"/>
      <c r="B531" s="891"/>
      <c r="C531" s="909"/>
      <c r="D531" s="909"/>
      <c r="E531" s="873"/>
      <c r="F531" s="873"/>
      <c r="G531" s="871" t="s">
        <v>57</v>
      </c>
      <c r="H531" s="910">
        <f>SUM(H525:H530)</f>
        <v>17.586000000000002</v>
      </c>
      <c r="I531" s="902"/>
    </row>
    <row r="532" spans="1:10" ht="18">
      <c r="A532" s="871"/>
      <c r="B532" s="891"/>
      <c r="C532" s="909"/>
      <c r="D532" s="909"/>
      <c r="E532" s="873"/>
      <c r="F532" s="873"/>
      <c r="G532" s="895" t="s">
        <v>206</v>
      </c>
      <c r="H532" s="893">
        <f>ROUNDUP(H531,1)</f>
        <v>17.600000000000001</v>
      </c>
      <c r="I532" s="894" t="s">
        <v>2234</v>
      </c>
    </row>
    <row r="533" spans="1:10">
      <c r="A533" s="871"/>
      <c r="B533" s="891"/>
      <c r="C533" s="909"/>
      <c r="D533" s="909"/>
      <c r="E533" s="873"/>
      <c r="F533" s="873"/>
      <c r="G533" s="895"/>
      <c r="H533" s="893"/>
      <c r="I533" s="894"/>
    </row>
    <row r="534" spans="1:10" ht="45" customHeight="1">
      <c r="A534" s="871">
        <v>31</v>
      </c>
      <c r="B534" s="886" t="s">
        <v>2324</v>
      </c>
      <c r="C534" s="909"/>
      <c r="D534" s="909"/>
      <c r="E534" s="873"/>
      <c r="F534" s="873"/>
      <c r="G534" s="909"/>
      <c r="H534" s="909"/>
      <c r="I534" s="902"/>
    </row>
    <row r="535" spans="1:10" ht="30" customHeight="1">
      <c r="A535" s="871"/>
      <c r="B535" s="891" t="s">
        <v>2325</v>
      </c>
      <c r="C535" s="873">
        <v>1</v>
      </c>
      <c r="D535" s="873">
        <v>2</v>
      </c>
      <c r="E535" s="888">
        <v>2.4</v>
      </c>
      <c r="F535" s="888">
        <v>1.25</v>
      </c>
      <c r="G535" s="876">
        <v>0.28000000000000003</v>
      </c>
      <c r="H535" s="876">
        <f t="shared" ref="H535:H540" si="25">PRODUCT(C535:G535)</f>
        <v>1.6800000000000002</v>
      </c>
      <c r="I535" s="902"/>
    </row>
    <row r="536" spans="1:10">
      <c r="A536" s="871"/>
      <c r="B536" s="891" t="s">
        <v>2151</v>
      </c>
      <c r="C536" s="873">
        <v>1</v>
      </c>
      <c r="D536" s="873">
        <v>1</v>
      </c>
      <c r="E536" s="888">
        <v>1.5</v>
      </c>
      <c r="F536" s="888">
        <v>1.8</v>
      </c>
      <c r="G536" s="876">
        <v>0.28000000000000003</v>
      </c>
      <c r="H536" s="876">
        <f t="shared" si="25"/>
        <v>0.75600000000000012</v>
      </c>
      <c r="I536" s="902"/>
    </row>
    <row r="537" spans="1:10">
      <c r="A537" s="871"/>
      <c r="B537" s="634" t="s">
        <v>2326</v>
      </c>
      <c r="C537" s="904">
        <v>1</v>
      </c>
      <c r="D537" s="918">
        <v>1</v>
      </c>
      <c r="E537" s="905">
        <v>11.59</v>
      </c>
      <c r="F537" s="905">
        <v>8.77</v>
      </c>
      <c r="G537" s="907">
        <v>0.1</v>
      </c>
      <c r="H537" s="903">
        <f t="shared" si="25"/>
        <v>10.164429999999999</v>
      </c>
      <c r="I537" s="902"/>
      <c r="J537" s="865"/>
    </row>
    <row r="538" spans="1:10">
      <c r="A538" s="871"/>
      <c r="B538" s="903" t="s">
        <v>2327</v>
      </c>
      <c r="C538" s="904">
        <v>1</v>
      </c>
      <c r="D538" s="918">
        <v>-1</v>
      </c>
      <c r="E538" s="905">
        <v>4.62</v>
      </c>
      <c r="F538" s="905">
        <v>2.86</v>
      </c>
      <c r="G538" s="907">
        <v>0.1</v>
      </c>
      <c r="H538" s="903">
        <f t="shared" si="25"/>
        <v>-1.3213200000000001</v>
      </c>
      <c r="I538" s="902"/>
      <c r="J538" s="865"/>
    </row>
    <row r="539" spans="1:10">
      <c r="A539" s="871"/>
      <c r="B539" s="634" t="s">
        <v>2328</v>
      </c>
      <c r="C539" s="904">
        <v>1</v>
      </c>
      <c r="D539" s="918">
        <v>1</v>
      </c>
      <c r="E539" s="905">
        <v>6.72</v>
      </c>
      <c r="F539" s="905">
        <v>2.4</v>
      </c>
      <c r="G539" s="907">
        <v>0.1</v>
      </c>
      <c r="H539" s="903">
        <f t="shared" si="25"/>
        <v>1.6128</v>
      </c>
      <c r="I539" s="902"/>
    </row>
    <row r="540" spans="1:10">
      <c r="A540" s="871"/>
      <c r="B540" s="634" t="s">
        <v>2329</v>
      </c>
      <c r="C540" s="904">
        <v>1</v>
      </c>
      <c r="D540" s="918">
        <v>1</v>
      </c>
      <c r="E540" s="905">
        <v>5.52</v>
      </c>
      <c r="F540" s="905">
        <v>4.04</v>
      </c>
      <c r="G540" s="907">
        <v>0.1</v>
      </c>
      <c r="H540" s="903">
        <f t="shared" si="25"/>
        <v>2.2300800000000001</v>
      </c>
      <c r="I540" s="902"/>
    </row>
    <row r="541" spans="1:10">
      <c r="A541" s="871"/>
      <c r="B541" s="891"/>
      <c r="C541" s="873"/>
      <c r="D541" s="873"/>
      <c r="E541" s="888"/>
      <c r="F541" s="888"/>
      <c r="G541" s="876"/>
      <c r="H541" s="876"/>
      <c r="I541" s="902"/>
    </row>
    <row r="542" spans="1:10">
      <c r="A542" s="871"/>
      <c r="B542" s="891"/>
      <c r="C542" s="873"/>
      <c r="D542" s="873"/>
      <c r="E542" s="874"/>
      <c r="F542" s="873"/>
      <c r="G542" s="871" t="s">
        <v>57</v>
      </c>
      <c r="H542" s="876">
        <f>SUM(H535:H540)</f>
        <v>15.12199</v>
      </c>
      <c r="I542" s="877"/>
    </row>
    <row r="543" spans="1:10" ht="18">
      <c r="A543" s="871"/>
      <c r="B543" s="891"/>
      <c r="C543" s="873"/>
      <c r="D543" s="873"/>
      <c r="E543" s="874"/>
      <c r="F543" s="873"/>
      <c r="G543" s="895" t="s">
        <v>206</v>
      </c>
      <c r="H543" s="893">
        <f>ROUNDUP(H542,1)</f>
        <v>15.2</v>
      </c>
      <c r="I543" s="894" t="s">
        <v>2075</v>
      </c>
      <c r="J543" s="865"/>
    </row>
    <row r="544" spans="1:10">
      <c r="A544" s="871"/>
      <c r="B544" s="891"/>
      <c r="C544" s="873"/>
      <c r="D544" s="873"/>
      <c r="E544" s="874"/>
      <c r="F544" s="873"/>
      <c r="G544" s="895"/>
      <c r="H544" s="893"/>
      <c r="I544" s="894"/>
      <c r="J544" s="865"/>
    </row>
    <row r="545" spans="1:10" ht="40.9" customHeight="1">
      <c r="A545" s="871">
        <v>31.2</v>
      </c>
      <c r="B545" s="931" t="str">
        <f>'[8]Building (2)'!B339</f>
        <v>Pressed tiles (23cmx23cmx20mm) mixed with Water proofing compound</v>
      </c>
      <c r="C545" s="873"/>
      <c r="D545" s="873"/>
      <c r="E545" s="874"/>
      <c r="F545" s="873"/>
      <c r="G545" s="875"/>
      <c r="H545" s="913"/>
      <c r="I545" s="914"/>
      <c r="J545" s="865"/>
    </row>
    <row r="546" spans="1:10">
      <c r="A546" s="871"/>
      <c r="B546" s="634" t="s">
        <v>2326</v>
      </c>
      <c r="C546" s="904">
        <v>1</v>
      </c>
      <c r="D546" s="918">
        <v>1</v>
      </c>
      <c r="E546" s="905">
        <v>11.59</v>
      </c>
      <c r="F546" s="905">
        <v>8.77</v>
      </c>
      <c r="G546" s="907"/>
      <c r="H546" s="903">
        <f t="shared" ref="H546:H552" si="26">PRODUCT(C546:G546)</f>
        <v>101.64429999999999</v>
      </c>
      <c r="I546" s="902"/>
      <c r="J546" s="865"/>
    </row>
    <row r="547" spans="1:10">
      <c r="A547" s="871"/>
      <c r="B547" s="903" t="s">
        <v>2327</v>
      </c>
      <c r="C547" s="904">
        <v>1</v>
      </c>
      <c r="D547" s="918">
        <v>-1</v>
      </c>
      <c r="E547" s="905">
        <v>4.62</v>
      </c>
      <c r="F547" s="905">
        <v>2.86</v>
      </c>
      <c r="G547" s="907"/>
      <c r="H547" s="903">
        <f t="shared" si="26"/>
        <v>-13.213200000000001</v>
      </c>
      <c r="I547" s="902"/>
      <c r="J547" s="865"/>
    </row>
    <row r="548" spans="1:10">
      <c r="A548" s="871"/>
      <c r="B548" s="634" t="s">
        <v>2330</v>
      </c>
      <c r="C548" s="904">
        <v>1</v>
      </c>
      <c r="D548" s="918">
        <v>1</v>
      </c>
      <c r="E548" s="905">
        <v>49.96</v>
      </c>
      <c r="F548" s="905"/>
      <c r="G548" s="907">
        <v>0.15</v>
      </c>
      <c r="H548" s="903">
        <f t="shared" si="26"/>
        <v>7.4939999999999998</v>
      </c>
      <c r="I548" s="902"/>
    </row>
    <row r="549" spans="1:10">
      <c r="A549" s="871"/>
      <c r="B549" s="634" t="s">
        <v>2328</v>
      </c>
      <c r="C549" s="904">
        <v>1</v>
      </c>
      <c r="D549" s="918">
        <v>1</v>
      </c>
      <c r="E549" s="905">
        <v>6.72</v>
      </c>
      <c r="F549" s="905">
        <v>2.4</v>
      </c>
      <c r="G549" s="907"/>
      <c r="H549" s="903">
        <f t="shared" si="26"/>
        <v>16.128</v>
      </c>
      <c r="I549" s="902"/>
    </row>
    <row r="550" spans="1:10">
      <c r="A550" s="871"/>
      <c r="B550" s="634" t="s">
        <v>2330</v>
      </c>
      <c r="C550" s="904">
        <v>1</v>
      </c>
      <c r="D550" s="918">
        <v>1</v>
      </c>
      <c r="E550" s="905">
        <v>18.239999999999998</v>
      </c>
      <c r="F550" s="905"/>
      <c r="G550" s="907">
        <v>0.15</v>
      </c>
      <c r="H550" s="903">
        <f t="shared" si="26"/>
        <v>2.7359999999999998</v>
      </c>
      <c r="I550" s="902"/>
    </row>
    <row r="551" spans="1:10">
      <c r="A551" s="871"/>
      <c r="B551" s="634" t="s">
        <v>2329</v>
      </c>
      <c r="C551" s="904">
        <v>1</v>
      </c>
      <c r="D551" s="918">
        <v>1</v>
      </c>
      <c r="E551" s="905">
        <v>5.52</v>
      </c>
      <c r="F551" s="905">
        <v>4.04</v>
      </c>
      <c r="G551" s="907"/>
      <c r="H551" s="903">
        <f t="shared" si="26"/>
        <v>22.300799999999999</v>
      </c>
      <c r="I551" s="902"/>
    </row>
    <row r="552" spans="1:10">
      <c r="A552" s="871"/>
      <c r="B552" s="634" t="s">
        <v>2331</v>
      </c>
      <c r="C552" s="904">
        <v>1</v>
      </c>
      <c r="D552" s="918">
        <v>1</v>
      </c>
      <c r="E552" s="905">
        <v>19.12</v>
      </c>
      <c r="F552" s="905"/>
      <c r="G552" s="907">
        <v>0.15</v>
      </c>
      <c r="H552" s="903">
        <f t="shared" si="26"/>
        <v>2.8679999999999999</v>
      </c>
      <c r="I552" s="902"/>
    </row>
    <row r="553" spans="1:10">
      <c r="A553" s="871"/>
      <c r="B553" s="891"/>
      <c r="C553" s="873"/>
      <c r="D553" s="873"/>
      <c r="E553" s="874"/>
      <c r="F553" s="873"/>
      <c r="G553" s="871" t="s">
        <v>57</v>
      </c>
      <c r="H553" s="876">
        <f>SUM(H546:H552)</f>
        <v>139.9579</v>
      </c>
      <c r="I553" s="877"/>
    </row>
    <row r="554" spans="1:10" ht="18">
      <c r="A554" s="871"/>
      <c r="B554" s="891"/>
      <c r="C554" s="873"/>
      <c r="D554" s="873"/>
      <c r="E554" s="874"/>
      <c r="F554" s="873"/>
      <c r="G554" s="895" t="s">
        <v>206</v>
      </c>
      <c r="H554" s="893">
        <f>ROUNDUP(H553,1)</f>
        <v>140</v>
      </c>
      <c r="I554" s="894" t="s">
        <v>2234</v>
      </c>
    </row>
    <row r="555" spans="1:10">
      <c r="A555" s="871"/>
      <c r="B555" s="891"/>
      <c r="C555" s="873"/>
      <c r="D555" s="873"/>
      <c r="E555" s="874"/>
      <c r="F555" s="873"/>
      <c r="G555" s="871"/>
      <c r="H555" s="876"/>
      <c r="I555" s="902"/>
    </row>
    <row r="556" spans="1:10" ht="36" customHeight="1">
      <c r="A556" s="871">
        <v>33</v>
      </c>
      <c r="B556" s="886" t="s">
        <v>2332</v>
      </c>
      <c r="C556" s="873"/>
      <c r="D556" s="873"/>
      <c r="E556" s="873"/>
      <c r="F556" s="873"/>
      <c r="G556" s="871"/>
      <c r="H556" s="876"/>
      <c r="I556" s="902"/>
    </row>
    <row r="557" spans="1:10">
      <c r="A557" s="871"/>
      <c r="B557" s="878" t="s">
        <v>2333</v>
      </c>
      <c r="C557" s="873"/>
      <c r="D557" s="873"/>
      <c r="E557" s="888"/>
      <c r="F557" s="873"/>
      <c r="G557" s="876"/>
      <c r="H557" s="876"/>
      <c r="I557" s="902"/>
    </row>
    <row r="558" spans="1:10">
      <c r="A558" s="871"/>
      <c r="B558" s="891" t="s">
        <v>2334</v>
      </c>
      <c r="C558" s="873">
        <v>1</v>
      </c>
      <c r="D558" s="873">
        <v>1</v>
      </c>
      <c r="E558" s="888">
        <f>2*(2.515+3.925)</f>
        <v>12.879999999999999</v>
      </c>
      <c r="F558" s="873"/>
      <c r="G558" s="876">
        <f>3.3-0.125</f>
        <v>3.1749999999999998</v>
      </c>
      <c r="H558" s="876">
        <f>PRODUCT(C558:G558)</f>
        <v>40.893999999999991</v>
      </c>
      <c r="I558" s="902"/>
    </row>
    <row r="559" spans="1:10">
      <c r="A559" s="871"/>
      <c r="B559" s="891" t="s">
        <v>2189</v>
      </c>
      <c r="C559" s="873">
        <v>-1</v>
      </c>
      <c r="D559" s="873">
        <v>1</v>
      </c>
      <c r="E559" s="888">
        <v>1</v>
      </c>
      <c r="F559" s="873"/>
      <c r="G559" s="876">
        <v>2.1</v>
      </c>
      <c r="H559" s="876">
        <f t="shared" ref="H559:H620" si="27">PRODUCT(C559:G559)</f>
        <v>-2.1</v>
      </c>
      <c r="I559" s="902"/>
    </row>
    <row r="560" spans="1:10">
      <c r="A560" s="871"/>
      <c r="B560" s="891" t="s">
        <v>2181</v>
      </c>
      <c r="C560" s="873">
        <v>-1</v>
      </c>
      <c r="D560" s="873">
        <v>2</v>
      </c>
      <c r="E560" s="888">
        <v>1.5</v>
      </c>
      <c r="F560" s="873"/>
      <c r="G560" s="876">
        <v>1.35</v>
      </c>
      <c r="H560" s="876">
        <f t="shared" si="27"/>
        <v>-4.0500000000000007</v>
      </c>
      <c r="I560" s="902"/>
    </row>
    <row r="561" spans="1:9">
      <c r="A561" s="871"/>
      <c r="B561" s="891" t="s">
        <v>2335</v>
      </c>
      <c r="C561" s="873">
        <v>1</v>
      </c>
      <c r="D561" s="873">
        <v>2</v>
      </c>
      <c r="E561" s="888">
        <f>2*(E560+G560)</f>
        <v>5.7</v>
      </c>
      <c r="F561" s="873">
        <v>0.15</v>
      </c>
      <c r="G561" s="876"/>
      <c r="H561" s="876">
        <f t="shared" si="27"/>
        <v>1.71</v>
      </c>
      <c r="I561" s="902"/>
    </row>
    <row r="562" spans="1:9">
      <c r="A562" s="871"/>
      <c r="B562" s="891" t="s">
        <v>2336</v>
      </c>
      <c r="C562" s="873">
        <v>3</v>
      </c>
      <c r="D562" s="873">
        <v>2</v>
      </c>
      <c r="E562" s="888">
        <v>0.45</v>
      </c>
      <c r="F562" s="873"/>
      <c r="G562" s="876">
        <v>2.1</v>
      </c>
      <c r="H562" s="876">
        <f>PRODUCT(C562:G562)</f>
        <v>5.6700000000000008</v>
      </c>
      <c r="I562" s="902"/>
    </row>
    <row r="563" spans="1:9">
      <c r="A563" s="871"/>
      <c r="B563" s="891" t="s">
        <v>2337</v>
      </c>
      <c r="C563" s="873">
        <v>1</v>
      </c>
      <c r="D563" s="873">
        <v>1</v>
      </c>
      <c r="E563" s="888">
        <f>2*(4.7+3.925)</f>
        <v>17.25</v>
      </c>
      <c r="F563" s="873"/>
      <c r="G563" s="876">
        <v>3.18</v>
      </c>
      <c r="H563" s="876">
        <f t="shared" si="27"/>
        <v>54.855000000000004</v>
      </c>
      <c r="I563" s="902"/>
    </row>
    <row r="564" spans="1:9">
      <c r="A564" s="871"/>
      <c r="B564" s="891" t="s">
        <v>2338</v>
      </c>
      <c r="C564" s="873">
        <v>-1</v>
      </c>
      <c r="D564" s="873">
        <v>1</v>
      </c>
      <c r="E564" s="888">
        <v>1.8</v>
      </c>
      <c r="F564" s="873"/>
      <c r="G564" s="876">
        <v>2.1</v>
      </c>
      <c r="H564" s="876">
        <f t="shared" si="27"/>
        <v>-3.7800000000000002</v>
      </c>
      <c r="I564" s="902"/>
    </row>
    <row r="565" spans="1:9">
      <c r="A565" s="871"/>
      <c r="B565" s="891" t="s">
        <v>2335</v>
      </c>
      <c r="C565" s="873">
        <v>1</v>
      </c>
      <c r="D565" s="873">
        <v>1</v>
      </c>
      <c r="E565" s="888">
        <f>1.8+2.1+2.1</f>
        <v>6</v>
      </c>
      <c r="F565" s="873">
        <v>0.15</v>
      </c>
      <c r="G565" s="876"/>
      <c r="H565" s="876">
        <f t="shared" si="27"/>
        <v>0.89999999999999991</v>
      </c>
      <c r="I565" s="902"/>
    </row>
    <row r="566" spans="1:9">
      <c r="A566" s="871"/>
      <c r="B566" s="891" t="s">
        <v>2339</v>
      </c>
      <c r="C566" s="873">
        <v>-1</v>
      </c>
      <c r="D566" s="873">
        <v>1</v>
      </c>
      <c r="E566" s="888">
        <v>1.2</v>
      </c>
      <c r="F566" s="873"/>
      <c r="G566" s="876">
        <v>2</v>
      </c>
      <c r="H566" s="876">
        <f t="shared" si="27"/>
        <v>-2.4</v>
      </c>
      <c r="I566" s="902"/>
    </row>
    <row r="567" spans="1:9">
      <c r="A567" s="871"/>
      <c r="B567" s="891" t="s">
        <v>2335</v>
      </c>
      <c r="C567" s="873">
        <v>1</v>
      </c>
      <c r="D567" s="873">
        <v>1</v>
      </c>
      <c r="E567" s="888">
        <f>1.2+1.2+2+2</f>
        <v>6.4</v>
      </c>
      <c r="F567" s="873">
        <v>0.15</v>
      </c>
      <c r="G567" s="876"/>
      <c r="H567" s="876">
        <f t="shared" si="27"/>
        <v>0.96</v>
      </c>
      <c r="I567" s="902"/>
    </row>
    <row r="568" spans="1:9">
      <c r="A568" s="871"/>
      <c r="B568" s="891" t="s">
        <v>2189</v>
      </c>
      <c r="C568" s="873">
        <v>-1</v>
      </c>
      <c r="D568" s="873">
        <v>2</v>
      </c>
      <c r="E568" s="888">
        <v>1</v>
      </c>
      <c r="F568" s="873"/>
      <c r="G568" s="876">
        <v>2.1</v>
      </c>
      <c r="H568" s="876">
        <f t="shared" si="27"/>
        <v>-4.2</v>
      </c>
      <c r="I568" s="902"/>
    </row>
    <row r="569" spans="1:9">
      <c r="A569" s="871"/>
      <c r="B569" s="891" t="s">
        <v>2191</v>
      </c>
      <c r="C569" s="873">
        <v>-1</v>
      </c>
      <c r="D569" s="873">
        <v>1</v>
      </c>
      <c r="E569" s="888">
        <v>3.5</v>
      </c>
      <c r="F569" s="873"/>
      <c r="G569" s="876">
        <v>2.1</v>
      </c>
      <c r="H569" s="876">
        <f t="shared" si="27"/>
        <v>-7.3500000000000005</v>
      </c>
      <c r="I569" s="902"/>
    </row>
    <row r="570" spans="1:9">
      <c r="A570" s="871"/>
      <c r="B570" s="891" t="s">
        <v>2335</v>
      </c>
      <c r="C570" s="873">
        <v>1</v>
      </c>
      <c r="D570" s="873">
        <v>1</v>
      </c>
      <c r="E570" s="888">
        <f>3.5+2.1+2.1</f>
        <v>7.6999999999999993</v>
      </c>
      <c r="F570" s="873">
        <v>0.25</v>
      </c>
      <c r="G570" s="876"/>
      <c r="H570" s="876">
        <f t="shared" si="27"/>
        <v>1.9249999999999998</v>
      </c>
      <c r="I570" s="902"/>
    </row>
    <row r="571" spans="1:9">
      <c r="A571" s="871"/>
      <c r="B571" s="891" t="s">
        <v>2340</v>
      </c>
      <c r="C571" s="873">
        <v>1</v>
      </c>
      <c r="D571" s="873">
        <v>1</v>
      </c>
      <c r="E571" s="888">
        <f>2*(3.8+3.925)</f>
        <v>15.45</v>
      </c>
      <c r="F571" s="873"/>
      <c r="G571" s="876">
        <v>3.18</v>
      </c>
      <c r="H571" s="876">
        <f t="shared" si="27"/>
        <v>49.131</v>
      </c>
      <c r="I571" s="902"/>
    </row>
    <row r="572" spans="1:9">
      <c r="A572" s="871"/>
      <c r="B572" s="891" t="s">
        <v>2189</v>
      </c>
      <c r="C572" s="873">
        <v>-1</v>
      </c>
      <c r="D572" s="873">
        <v>1</v>
      </c>
      <c r="E572" s="888">
        <v>1</v>
      </c>
      <c r="F572" s="873"/>
      <c r="G572" s="876">
        <v>2.1</v>
      </c>
      <c r="H572" s="876">
        <f t="shared" si="27"/>
        <v>-2.1</v>
      </c>
      <c r="I572" s="902"/>
    </row>
    <row r="573" spans="1:9">
      <c r="A573" s="871"/>
      <c r="B573" s="891" t="s">
        <v>2335</v>
      </c>
      <c r="C573" s="873">
        <v>1</v>
      </c>
      <c r="D573" s="873">
        <v>1</v>
      </c>
      <c r="E573" s="888">
        <f>1+2.1+2.1</f>
        <v>5.2</v>
      </c>
      <c r="F573" s="873">
        <v>0.15</v>
      </c>
      <c r="G573" s="876"/>
      <c r="H573" s="876">
        <f t="shared" si="27"/>
        <v>0.78</v>
      </c>
      <c r="I573" s="902"/>
    </row>
    <row r="574" spans="1:9">
      <c r="A574" s="871"/>
      <c r="B574" s="891" t="s">
        <v>2183</v>
      </c>
      <c r="C574" s="873">
        <v>-1</v>
      </c>
      <c r="D574" s="873">
        <v>2</v>
      </c>
      <c r="E574" s="888">
        <v>1.5</v>
      </c>
      <c r="F574" s="873"/>
      <c r="G574" s="876">
        <v>1.35</v>
      </c>
      <c r="H574" s="876">
        <f t="shared" si="27"/>
        <v>-4.0500000000000007</v>
      </c>
      <c r="I574" s="902"/>
    </row>
    <row r="575" spans="1:9">
      <c r="A575" s="871"/>
      <c r="B575" s="891" t="s">
        <v>2335</v>
      </c>
      <c r="C575" s="873">
        <v>1</v>
      </c>
      <c r="D575" s="873">
        <v>2</v>
      </c>
      <c r="E575" s="888">
        <f>1.5+1.5+1.35+1.35</f>
        <v>5.6999999999999993</v>
      </c>
      <c r="F575" s="873">
        <v>0.15</v>
      </c>
      <c r="G575" s="876"/>
      <c r="H575" s="876">
        <f t="shared" si="27"/>
        <v>1.7099999999999997</v>
      </c>
      <c r="I575" s="902"/>
    </row>
    <row r="576" spans="1:9">
      <c r="A576" s="871"/>
      <c r="B576" s="891" t="s">
        <v>2341</v>
      </c>
      <c r="C576" s="873">
        <v>-1</v>
      </c>
      <c r="D576" s="873">
        <v>1</v>
      </c>
      <c r="E576" s="888">
        <v>0.75</v>
      </c>
      <c r="F576" s="873"/>
      <c r="G576" s="876">
        <v>2.1</v>
      </c>
      <c r="H576" s="876">
        <f t="shared" si="27"/>
        <v>-1.5750000000000002</v>
      </c>
      <c r="I576" s="902"/>
    </row>
    <row r="577" spans="1:9">
      <c r="A577" s="871"/>
      <c r="B577" s="891" t="s">
        <v>2335</v>
      </c>
      <c r="C577" s="873">
        <v>1</v>
      </c>
      <c r="D577" s="873">
        <v>1</v>
      </c>
      <c r="E577" s="888">
        <f>2.1+2.1+0.75</f>
        <v>4.95</v>
      </c>
      <c r="F577" s="873">
        <v>0.115</v>
      </c>
      <c r="G577" s="876"/>
      <c r="H577" s="876">
        <f t="shared" si="27"/>
        <v>0.56925000000000003</v>
      </c>
      <c r="I577" s="902"/>
    </row>
    <row r="578" spans="1:9">
      <c r="A578" s="871"/>
      <c r="B578" s="891" t="s">
        <v>2336</v>
      </c>
      <c r="C578" s="873">
        <v>3</v>
      </c>
      <c r="D578" s="873">
        <v>2</v>
      </c>
      <c r="E578" s="888">
        <v>0.45</v>
      </c>
      <c r="F578" s="873"/>
      <c r="G578" s="876">
        <v>2.1</v>
      </c>
      <c r="H578" s="876">
        <f t="shared" si="27"/>
        <v>5.6700000000000008</v>
      </c>
      <c r="I578" s="902"/>
    </row>
    <row r="579" spans="1:9">
      <c r="A579" s="871"/>
      <c r="B579" s="891" t="s">
        <v>2342</v>
      </c>
      <c r="C579" s="873">
        <v>1</v>
      </c>
      <c r="D579" s="873">
        <v>2</v>
      </c>
      <c r="E579" s="888">
        <f>2*(2.4+1.5)</f>
        <v>7.8</v>
      </c>
      <c r="F579" s="873"/>
      <c r="G579" s="876">
        <v>3.18</v>
      </c>
      <c r="H579" s="876">
        <f t="shared" si="27"/>
        <v>49.608000000000004</v>
      </c>
      <c r="I579" s="902"/>
    </row>
    <row r="580" spans="1:9">
      <c r="A580" s="871"/>
      <c r="B580" s="891" t="s">
        <v>2189</v>
      </c>
      <c r="C580" s="873">
        <v>-1</v>
      </c>
      <c r="D580" s="873">
        <v>1</v>
      </c>
      <c r="E580" s="888">
        <v>1</v>
      </c>
      <c r="F580" s="873"/>
      <c r="G580" s="876">
        <v>2.1</v>
      </c>
      <c r="H580" s="876">
        <f>PRODUCT(C580:G580)</f>
        <v>-2.1</v>
      </c>
      <c r="I580" s="902"/>
    </row>
    <row r="581" spans="1:9">
      <c r="A581" s="871"/>
      <c r="B581" s="891" t="s">
        <v>2335</v>
      </c>
      <c r="C581" s="873">
        <v>1</v>
      </c>
      <c r="D581" s="873">
        <v>1</v>
      </c>
      <c r="E581" s="888">
        <f>1+2.1+2.1</f>
        <v>5.2</v>
      </c>
      <c r="F581" s="873">
        <v>0.15</v>
      </c>
      <c r="G581" s="876"/>
      <c r="H581" s="876">
        <f>PRODUCT(C581:G581)</f>
        <v>0.78</v>
      </c>
      <c r="I581" s="902"/>
    </row>
    <row r="582" spans="1:9">
      <c r="A582" s="871"/>
      <c r="B582" s="891" t="s">
        <v>2341</v>
      </c>
      <c r="C582" s="873">
        <v>-1</v>
      </c>
      <c r="D582" s="873">
        <v>1</v>
      </c>
      <c r="E582" s="888">
        <v>0.75</v>
      </c>
      <c r="F582" s="873"/>
      <c r="G582" s="876">
        <v>2.1</v>
      </c>
      <c r="H582" s="876">
        <f>PRODUCT(C582:G582)</f>
        <v>-1.5750000000000002</v>
      </c>
      <c r="I582" s="902"/>
    </row>
    <row r="583" spans="1:9">
      <c r="A583" s="871"/>
      <c r="B583" s="891" t="s">
        <v>2185</v>
      </c>
      <c r="C583" s="873">
        <v>-1</v>
      </c>
      <c r="D583" s="873">
        <v>1</v>
      </c>
      <c r="E583" s="888">
        <v>0.75</v>
      </c>
      <c r="F583" s="873"/>
      <c r="G583" s="876">
        <v>0.6</v>
      </c>
      <c r="H583" s="876">
        <f>PRODUCT(C583:G583)</f>
        <v>-0.44999999999999996</v>
      </c>
      <c r="I583" s="902"/>
    </row>
    <row r="584" spans="1:9">
      <c r="A584" s="871"/>
      <c r="B584" s="891" t="s">
        <v>2335</v>
      </c>
      <c r="C584" s="873">
        <v>1</v>
      </c>
      <c r="D584" s="873">
        <v>1</v>
      </c>
      <c r="E584" s="888">
        <f>2*(0.75+0.6)</f>
        <v>2.7</v>
      </c>
      <c r="F584" s="873">
        <v>0.15</v>
      </c>
      <c r="G584" s="876"/>
      <c r="H584" s="876">
        <f t="shared" si="27"/>
        <v>0.40500000000000003</v>
      </c>
      <c r="I584" s="902"/>
    </row>
    <row r="585" spans="1:9">
      <c r="A585" s="871"/>
      <c r="B585" s="891" t="s">
        <v>2343</v>
      </c>
      <c r="C585" s="873">
        <v>1</v>
      </c>
      <c r="D585" s="873">
        <v>2</v>
      </c>
      <c r="E585" s="888">
        <f>2*(2.4+2.77)</f>
        <v>10.34</v>
      </c>
      <c r="F585" s="873"/>
      <c r="G585" s="876">
        <v>3.18</v>
      </c>
      <c r="H585" s="876">
        <f t="shared" si="27"/>
        <v>65.7624</v>
      </c>
      <c r="I585" s="902"/>
    </row>
    <row r="586" spans="1:9">
      <c r="A586" s="871"/>
      <c r="B586" s="891" t="s">
        <v>2194</v>
      </c>
      <c r="C586" s="873">
        <v>-1</v>
      </c>
      <c r="D586" s="873">
        <v>2</v>
      </c>
      <c r="E586" s="888">
        <v>1</v>
      </c>
      <c r="F586" s="873"/>
      <c r="G586" s="876">
        <v>2.1</v>
      </c>
      <c r="H586" s="876">
        <f t="shared" si="27"/>
        <v>-4.2</v>
      </c>
      <c r="I586" s="902"/>
    </row>
    <row r="587" spans="1:9">
      <c r="A587" s="871"/>
      <c r="B587" s="891" t="s">
        <v>2335</v>
      </c>
      <c r="C587" s="873">
        <v>1</v>
      </c>
      <c r="D587" s="873">
        <v>2</v>
      </c>
      <c r="E587" s="888">
        <f>1+2.1+2.1</f>
        <v>5.2</v>
      </c>
      <c r="F587" s="873">
        <v>0.23</v>
      </c>
      <c r="G587" s="876"/>
      <c r="H587" s="876">
        <f t="shared" si="27"/>
        <v>2.3920000000000003</v>
      </c>
      <c r="I587" s="902"/>
    </row>
    <row r="588" spans="1:9">
      <c r="A588" s="871"/>
      <c r="B588" s="891" t="s">
        <v>2184</v>
      </c>
      <c r="C588" s="873">
        <v>-1</v>
      </c>
      <c r="D588" s="873">
        <v>2</v>
      </c>
      <c r="E588" s="888">
        <v>1.35</v>
      </c>
      <c r="F588" s="873"/>
      <c r="G588" s="876">
        <v>0.6</v>
      </c>
      <c r="H588" s="876">
        <f t="shared" si="27"/>
        <v>-1.62</v>
      </c>
      <c r="I588" s="902"/>
    </row>
    <row r="589" spans="1:9">
      <c r="A589" s="871"/>
      <c r="B589" s="891" t="s">
        <v>2335</v>
      </c>
      <c r="C589" s="873">
        <v>1</v>
      </c>
      <c r="D589" s="873">
        <v>2</v>
      </c>
      <c r="E589" s="888">
        <f>1.35+1.35+0.6+0.6</f>
        <v>3.9000000000000004</v>
      </c>
      <c r="F589" s="873">
        <v>0.23</v>
      </c>
      <c r="G589" s="876"/>
      <c r="H589" s="876">
        <f t="shared" si="27"/>
        <v>1.7940000000000003</v>
      </c>
      <c r="I589" s="902"/>
    </row>
    <row r="590" spans="1:9">
      <c r="A590" s="871"/>
      <c r="B590" s="891" t="s">
        <v>2344</v>
      </c>
      <c r="C590" s="873">
        <v>2</v>
      </c>
      <c r="D590" s="873">
        <v>2</v>
      </c>
      <c r="E590" s="888">
        <f>1.2+0.9+0.23</f>
        <v>2.33</v>
      </c>
      <c r="F590" s="873"/>
      <c r="G590" s="876">
        <v>1.35</v>
      </c>
      <c r="H590" s="876">
        <f t="shared" si="27"/>
        <v>12.582000000000001</v>
      </c>
      <c r="I590" s="902"/>
    </row>
    <row r="591" spans="1:9">
      <c r="A591" s="871"/>
      <c r="B591" s="891" t="s">
        <v>2187</v>
      </c>
      <c r="C591" s="873">
        <v>-1</v>
      </c>
      <c r="D591" s="873">
        <v>2</v>
      </c>
      <c r="E591" s="888">
        <v>0.75</v>
      </c>
      <c r="F591" s="873"/>
      <c r="G591" s="876">
        <v>1.35</v>
      </c>
      <c r="H591" s="876">
        <f t="shared" si="27"/>
        <v>-2.0250000000000004</v>
      </c>
      <c r="I591" s="902"/>
    </row>
    <row r="592" spans="1:9">
      <c r="A592" s="871"/>
      <c r="B592" s="891" t="s">
        <v>2335</v>
      </c>
      <c r="C592" s="873">
        <v>2</v>
      </c>
      <c r="D592" s="873">
        <v>2</v>
      </c>
      <c r="E592" s="888">
        <v>0.75</v>
      </c>
      <c r="F592" s="873">
        <v>0.115</v>
      </c>
      <c r="G592" s="876"/>
      <c r="H592" s="876">
        <f t="shared" si="27"/>
        <v>0.34500000000000003</v>
      </c>
      <c r="I592" s="902"/>
    </row>
    <row r="593" spans="1:9">
      <c r="A593" s="871"/>
      <c r="B593" s="891" t="s">
        <v>2345</v>
      </c>
      <c r="C593" s="873">
        <v>1</v>
      </c>
      <c r="D593" s="873">
        <v>1</v>
      </c>
      <c r="E593" s="888">
        <f>2*(4.385+3.47+0.23+2.4+4.385-1.5)</f>
        <v>26.740000000000002</v>
      </c>
      <c r="F593" s="873"/>
      <c r="G593" s="876">
        <v>3.18</v>
      </c>
      <c r="H593" s="876">
        <f t="shared" si="27"/>
        <v>85.033200000000008</v>
      </c>
      <c r="I593" s="902"/>
    </row>
    <row r="594" spans="1:9">
      <c r="A594" s="871"/>
      <c r="B594" s="891" t="s">
        <v>2191</v>
      </c>
      <c r="C594" s="873">
        <v>-1</v>
      </c>
      <c r="D594" s="873">
        <v>1</v>
      </c>
      <c r="E594" s="888">
        <v>3.5</v>
      </c>
      <c r="F594" s="873"/>
      <c r="G594" s="876">
        <v>2.1</v>
      </c>
      <c r="H594" s="876">
        <f t="shared" si="27"/>
        <v>-7.3500000000000005</v>
      </c>
      <c r="I594" s="902"/>
    </row>
    <row r="595" spans="1:9">
      <c r="A595" s="871"/>
      <c r="B595" s="891" t="s">
        <v>2189</v>
      </c>
      <c r="C595" s="873">
        <v>-1</v>
      </c>
      <c r="D595" s="873">
        <v>1</v>
      </c>
      <c r="E595" s="888">
        <v>1</v>
      </c>
      <c r="F595" s="873"/>
      <c r="G595" s="876">
        <v>2.1</v>
      </c>
      <c r="H595" s="876">
        <f t="shared" si="27"/>
        <v>-2.1</v>
      </c>
      <c r="I595" s="902"/>
    </row>
    <row r="596" spans="1:9">
      <c r="A596" s="871"/>
      <c r="B596" s="891" t="s">
        <v>2194</v>
      </c>
      <c r="C596" s="873">
        <v>-1</v>
      </c>
      <c r="D596" s="873">
        <v>2</v>
      </c>
      <c r="E596" s="888">
        <v>1</v>
      </c>
      <c r="F596" s="873"/>
      <c r="G596" s="876">
        <v>2.1</v>
      </c>
      <c r="H596" s="876">
        <f t="shared" si="27"/>
        <v>-4.2</v>
      </c>
      <c r="I596" s="902"/>
    </row>
    <row r="597" spans="1:9">
      <c r="A597" s="871"/>
      <c r="B597" s="891" t="s">
        <v>2341</v>
      </c>
      <c r="C597" s="873">
        <v>-1</v>
      </c>
      <c r="D597" s="873">
        <v>1</v>
      </c>
      <c r="E597" s="888">
        <v>0.75</v>
      </c>
      <c r="F597" s="873"/>
      <c r="G597" s="876">
        <v>2.1</v>
      </c>
      <c r="H597" s="876">
        <f t="shared" si="27"/>
        <v>-1.5750000000000002</v>
      </c>
      <c r="I597" s="902"/>
    </row>
    <row r="598" spans="1:9">
      <c r="A598" s="871"/>
      <c r="B598" s="891" t="s">
        <v>2181</v>
      </c>
      <c r="C598" s="873">
        <v>-1</v>
      </c>
      <c r="D598" s="873">
        <v>1</v>
      </c>
      <c r="E598" s="888">
        <v>1.5</v>
      </c>
      <c r="F598" s="873"/>
      <c r="G598" s="876">
        <v>1.35</v>
      </c>
      <c r="H598" s="876">
        <f t="shared" si="27"/>
        <v>-2.0250000000000004</v>
      </c>
      <c r="I598" s="902"/>
    </row>
    <row r="599" spans="1:9">
      <c r="A599" s="871"/>
      <c r="B599" s="891" t="s">
        <v>2335</v>
      </c>
      <c r="C599" s="873">
        <v>1</v>
      </c>
      <c r="D599" s="873">
        <v>1</v>
      </c>
      <c r="E599" s="888">
        <f>1.5+1.5+1.35+1.35</f>
        <v>5.6999999999999993</v>
      </c>
      <c r="F599" s="873">
        <v>0.15</v>
      </c>
      <c r="G599" s="876"/>
      <c r="H599" s="876">
        <f t="shared" si="27"/>
        <v>0.85499999999999987</v>
      </c>
      <c r="I599" s="902"/>
    </row>
    <row r="600" spans="1:9">
      <c r="A600" s="871"/>
      <c r="B600" s="891" t="s">
        <v>2346</v>
      </c>
      <c r="C600" s="873">
        <v>2</v>
      </c>
      <c r="D600" s="873">
        <v>2</v>
      </c>
      <c r="E600" s="888">
        <v>0.45</v>
      </c>
      <c r="F600" s="873"/>
      <c r="G600" s="876">
        <v>2.1</v>
      </c>
      <c r="H600" s="876">
        <f t="shared" si="27"/>
        <v>3.7800000000000002</v>
      </c>
      <c r="I600" s="902"/>
    </row>
    <row r="601" spans="1:9">
      <c r="A601" s="871"/>
      <c r="B601" s="891" t="s">
        <v>2347</v>
      </c>
      <c r="C601" s="873">
        <v>1</v>
      </c>
      <c r="D601" s="873">
        <v>1</v>
      </c>
      <c r="E601" s="888">
        <f>2*(2.4+1.5)</f>
        <v>7.8</v>
      </c>
      <c r="F601" s="873"/>
      <c r="G601" s="876">
        <v>2.1</v>
      </c>
      <c r="H601" s="876">
        <f t="shared" si="27"/>
        <v>16.38</v>
      </c>
      <c r="I601" s="902"/>
    </row>
    <row r="602" spans="1:9">
      <c r="A602" s="871"/>
      <c r="B602" s="891" t="s">
        <v>2341</v>
      </c>
      <c r="C602" s="873">
        <v>1</v>
      </c>
      <c r="D602" s="873">
        <v>-1</v>
      </c>
      <c r="E602" s="888">
        <v>0.75</v>
      </c>
      <c r="F602" s="873"/>
      <c r="G602" s="876">
        <v>2.1</v>
      </c>
      <c r="H602" s="876">
        <f t="shared" si="27"/>
        <v>-1.5750000000000002</v>
      </c>
      <c r="I602" s="902"/>
    </row>
    <row r="603" spans="1:9">
      <c r="A603" s="871"/>
      <c r="B603" s="891" t="s">
        <v>2335</v>
      </c>
      <c r="C603" s="873">
        <v>1</v>
      </c>
      <c r="D603" s="873">
        <v>1</v>
      </c>
      <c r="E603" s="888">
        <f>2.1+2.1+0.75</f>
        <v>4.95</v>
      </c>
      <c r="F603" s="873">
        <v>0.115</v>
      </c>
      <c r="G603" s="876"/>
      <c r="H603" s="876">
        <f t="shared" si="27"/>
        <v>0.56925000000000003</v>
      </c>
      <c r="I603" s="902"/>
    </row>
    <row r="604" spans="1:9">
      <c r="A604" s="871"/>
      <c r="B604" s="891" t="s">
        <v>2185</v>
      </c>
      <c r="C604" s="873">
        <v>-1</v>
      </c>
      <c r="D604" s="873">
        <v>1</v>
      </c>
      <c r="E604" s="888">
        <v>0.75</v>
      </c>
      <c r="F604" s="873"/>
      <c r="G604" s="876">
        <v>0.6</v>
      </c>
      <c r="H604" s="876">
        <f t="shared" si="27"/>
        <v>-0.44999999999999996</v>
      </c>
      <c r="I604" s="902"/>
    </row>
    <row r="605" spans="1:9">
      <c r="A605" s="871"/>
      <c r="B605" s="891" t="s">
        <v>2335</v>
      </c>
      <c r="C605" s="873">
        <v>1</v>
      </c>
      <c r="D605" s="873">
        <v>1</v>
      </c>
      <c r="E605" s="888">
        <f>2*(0.75+0.6)</f>
        <v>2.7</v>
      </c>
      <c r="F605" s="873">
        <v>0.15</v>
      </c>
      <c r="G605" s="876"/>
      <c r="H605" s="876">
        <f>PRODUCT(C605:G605)</f>
        <v>0.40500000000000003</v>
      </c>
      <c r="I605" s="902"/>
    </row>
    <row r="606" spans="1:9">
      <c r="A606" s="871"/>
      <c r="B606" s="891" t="s">
        <v>2348</v>
      </c>
      <c r="C606" s="873">
        <v>1</v>
      </c>
      <c r="D606" s="873">
        <v>1</v>
      </c>
      <c r="E606" s="888">
        <f>2*(1.275+2.1)</f>
        <v>6.75</v>
      </c>
      <c r="F606" s="873"/>
      <c r="G606" s="876">
        <v>2.1</v>
      </c>
      <c r="H606" s="876">
        <f t="shared" si="27"/>
        <v>14.175000000000001</v>
      </c>
      <c r="I606" s="902"/>
    </row>
    <row r="607" spans="1:9">
      <c r="A607" s="871"/>
      <c r="B607" s="891" t="s">
        <v>2341</v>
      </c>
      <c r="C607" s="873">
        <v>1</v>
      </c>
      <c r="D607" s="873">
        <v>-1</v>
      </c>
      <c r="E607" s="888">
        <v>0.75</v>
      </c>
      <c r="F607" s="873"/>
      <c r="G607" s="876">
        <v>2.1</v>
      </c>
      <c r="H607" s="876">
        <f t="shared" si="27"/>
        <v>-1.5750000000000002</v>
      </c>
      <c r="I607" s="902"/>
    </row>
    <row r="608" spans="1:9">
      <c r="A608" s="871"/>
      <c r="B608" s="891" t="s">
        <v>2335</v>
      </c>
      <c r="C608" s="873">
        <v>1</v>
      </c>
      <c r="D608" s="873">
        <v>1</v>
      </c>
      <c r="E608" s="888">
        <f>2.1+2.1+0.75</f>
        <v>4.95</v>
      </c>
      <c r="F608" s="873">
        <v>0.115</v>
      </c>
      <c r="G608" s="876"/>
      <c r="H608" s="876">
        <f t="shared" si="27"/>
        <v>0.56925000000000003</v>
      </c>
      <c r="I608" s="902"/>
    </row>
    <row r="609" spans="1:9">
      <c r="A609" s="871"/>
      <c r="B609" s="891" t="s">
        <v>2185</v>
      </c>
      <c r="C609" s="873">
        <v>-1</v>
      </c>
      <c r="D609" s="873">
        <v>1</v>
      </c>
      <c r="E609" s="888">
        <v>0.75</v>
      </c>
      <c r="F609" s="873"/>
      <c r="G609" s="876">
        <v>0.6</v>
      </c>
      <c r="H609" s="876">
        <f t="shared" si="27"/>
        <v>-0.44999999999999996</v>
      </c>
      <c r="I609" s="902"/>
    </row>
    <row r="610" spans="1:9">
      <c r="A610" s="871"/>
      <c r="B610" s="891" t="s">
        <v>2335</v>
      </c>
      <c r="C610" s="873">
        <v>1</v>
      </c>
      <c r="D610" s="873">
        <v>1</v>
      </c>
      <c r="E610" s="888">
        <f>2*(0.75+0.6)</f>
        <v>2.7</v>
      </c>
      <c r="F610" s="873">
        <v>0.15</v>
      </c>
      <c r="G610" s="876"/>
      <c r="H610" s="876">
        <f t="shared" si="27"/>
        <v>0.40500000000000003</v>
      </c>
      <c r="I610" s="902"/>
    </row>
    <row r="611" spans="1:9">
      <c r="A611" s="871"/>
      <c r="B611" s="891" t="s">
        <v>2349</v>
      </c>
      <c r="C611" s="873">
        <v>1</v>
      </c>
      <c r="D611" s="873">
        <v>1</v>
      </c>
      <c r="E611" s="888">
        <f>2*(4.7+3.925+2.4+0.23)</f>
        <v>22.51</v>
      </c>
      <c r="F611" s="873"/>
      <c r="G611" s="876">
        <v>3.18</v>
      </c>
      <c r="H611" s="876">
        <f t="shared" si="27"/>
        <v>71.581800000000015</v>
      </c>
      <c r="I611" s="902"/>
    </row>
    <row r="612" spans="1:9">
      <c r="A612" s="871"/>
      <c r="B612" s="891" t="s">
        <v>2189</v>
      </c>
      <c r="C612" s="873">
        <v>-1</v>
      </c>
      <c r="D612" s="873">
        <v>2</v>
      </c>
      <c r="E612" s="888">
        <v>1</v>
      </c>
      <c r="F612" s="873"/>
      <c r="G612" s="876">
        <v>2.1</v>
      </c>
      <c r="H612" s="876">
        <f t="shared" si="27"/>
        <v>-4.2</v>
      </c>
      <c r="I612" s="902"/>
    </row>
    <row r="613" spans="1:9">
      <c r="A613" s="871"/>
      <c r="B613" s="891" t="s">
        <v>2335</v>
      </c>
      <c r="C613" s="873">
        <v>1</v>
      </c>
      <c r="D613" s="873">
        <v>2</v>
      </c>
      <c r="E613" s="888">
        <f>2.1+2.1+1</f>
        <v>5.2</v>
      </c>
      <c r="F613" s="873">
        <v>0.15</v>
      </c>
      <c r="G613" s="876"/>
      <c r="H613" s="876">
        <f t="shared" si="27"/>
        <v>1.56</v>
      </c>
      <c r="I613" s="902"/>
    </row>
    <row r="614" spans="1:9">
      <c r="A614" s="871"/>
      <c r="B614" s="891" t="s">
        <v>2181</v>
      </c>
      <c r="C614" s="873">
        <v>-1</v>
      </c>
      <c r="D614" s="873">
        <v>2</v>
      </c>
      <c r="E614" s="888">
        <v>1.5</v>
      </c>
      <c r="F614" s="873"/>
      <c r="G614" s="876">
        <v>1.35</v>
      </c>
      <c r="H614" s="876">
        <f t="shared" si="27"/>
        <v>-4.0500000000000007</v>
      </c>
      <c r="I614" s="902"/>
    </row>
    <row r="615" spans="1:9">
      <c r="A615" s="871"/>
      <c r="B615" s="891" t="s">
        <v>2335</v>
      </c>
      <c r="C615" s="873">
        <v>1</v>
      </c>
      <c r="D615" s="873">
        <v>2</v>
      </c>
      <c r="E615" s="888">
        <f>1.5+1.5+1.35+1.35</f>
        <v>5.6999999999999993</v>
      </c>
      <c r="F615" s="873">
        <v>0.15</v>
      </c>
      <c r="G615" s="876"/>
      <c r="H615" s="876">
        <f t="shared" si="27"/>
        <v>1.7099999999999997</v>
      </c>
      <c r="I615" s="902"/>
    </row>
    <row r="616" spans="1:9">
      <c r="A616" s="871"/>
      <c r="B616" s="891" t="s">
        <v>2341</v>
      </c>
      <c r="C616" s="873">
        <v>-1</v>
      </c>
      <c r="D616" s="873">
        <v>1</v>
      </c>
      <c r="E616" s="888">
        <v>0.75</v>
      </c>
      <c r="F616" s="873"/>
      <c r="G616" s="876">
        <v>2.1</v>
      </c>
      <c r="H616" s="876">
        <f t="shared" si="27"/>
        <v>-1.5750000000000002</v>
      </c>
      <c r="I616" s="902"/>
    </row>
    <row r="617" spans="1:9">
      <c r="A617" s="871"/>
      <c r="B617" s="891" t="s">
        <v>2350</v>
      </c>
      <c r="C617" s="873">
        <v>3</v>
      </c>
      <c r="D617" s="873">
        <v>4</v>
      </c>
      <c r="E617" s="888">
        <v>0.45</v>
      </c>
      <c r="F617" s="873"/>
      <c r="G617" s="876">
        <v>2.1</v>
      </c>
      <c r="H617" s="876">
        <f t="shared" si="27"/>
        <v>11.340000000000002</v>
      </c>
      <c r="I617" s="902"/>
    </row>
    <row r="618" spans="1:9">
      <c r="A618" s="871"/>
      <c r="B618" s="891" t="s">
        <v>2351</v>
      </c>
      <c r="C618" s="873">
        <v>1</v>
      </c>
      <c r="D618" s="873">
        <v>2</v>
      </c>
      <c r="E618" s="888">
        <f>2*(2.4+1.35)</f>
        <v>7.5</v>
      </c>
      <c r="F618" s="873"/>
      <c r="G618" s="876">
        <v>3.18</v>
      </c>
      <c r="H618" s="876">
        <f t="shared" si="27"/>
        <v>47.7</v>
      </c>
      <c r="I618" s="902"/>
    </row>
    <row r="619" spans="1:9">
      <c r="A619" s="871"/>
      <c r="B619" s="891" t="s">
        <v>2189</v>
      </c>
      <c r="C619" s="873">
        <v>-1</v>
      </c>
      <c r="D619" s="873">
        <v>2</v>
      </c>
      <c r="E619" s="888">
        <v>0.75</v>
      </c>
      <c r="F619" s="873"/>
      <c r="G619" s="876">
        <v>2.1</v>
      </c>
      <c r="H619" s="876">
        <f t="shared" si="27"/>
        <v>-3.1500000000000004</v>
      </c>
      <c r="I619" s="902"/>
    </row>
    <row r="620" spans="1:9">
      <c r="A620" s="871"/>
      <c r="B620" s="891" t="s">
        <v>2335</v>
      </c>
      <c r="C620" s="873">
        <v>1</v>
      </c>
      <c r="D620" s="873">
        <v>2</v>
      </c>
      <c r="E620" s="888">
        <f>2.1+2.1+0.75</f>
        <v>4.95</v>
      </c>
      <c r="F620" s="873">
        <v>0.115</v>
      </c>
      <c r="G620" s="876"/>
      <c r="H620" s="876">
        <f t="shared" si="27"/>
        <v>1.1385000000000001</v>
      </c>
      <c r="I620" s="902"/>
    </row>
    <row r="621" spans="1:9">
      <c r="A621" s="871"/>
      <c r="B621" s="891" t="s">
        <v>2185</v>
      </c>
      <c r="C621" s="873">
        <v>-1</v>
      </c>
      <c r="D621" s="873">
        <v>2</v>
      </c>
      <c r="E621" s="888">
        <v>0.75</v>
      </c>
      <c r="F621" s="873"/>
      <c r="G621" s="876">
        <v>0.6</v>
      </c>
      <c r="H621" s="876">
        <f>PRODUCT(C621:G621)</f>
        <v>-0.89999999999999991</v>
      </c>
      <c r="I621" s="902"/>
    </row>
    <row r="622" spans="1:9">
      <c r="A622" s="871"/>
      <c r="B622" s="891" t="s">
        <v>2335</v>
      </c>
      <c r="C622" s="873">
        <v>1</v>
      </c>
      <c r="D622" s="873">
        <v>2</v>
      </c>
      <c r="E622" s="888">
        <f>2*(0.75+0.6)</f>
        <v>2.7</v>
      </c>
      <c r="F622" s="873">
        <v>0.15</v>
      </c>
      <c r="G622" s="876"/>
      <c r="H622" s="876">
        <f>PRODUCT(C622:G622)</f>
        <v>0.81</v>
      </c>
      <c r="I622" s="902"/>
    </row>
    <row r="623" spans="1:9">
      <c r="A623" s="871"/>
      <c r="B623" s="891" t="s">
        <v>2352</v>
      </c>
      <c r="C623" s="873">
        <v>1</v>
      </c>
      <c r="D623" s="873">
        <v>1</v>
      </c>
      <c r="E623" s="888">
        <f>2*(2.4+4.385)</f>
        <v>13.57</v>
      </c>
      <c r="F623" s="873"/>
      <c r="G623" s="876">
        <v>3.18</v>
      </c>
      <c r="H623" s="876">
        <f t="shared" ref="H623:H684" si="28">PRODUCT(C623:G623)</f>
        <v>43.1526</v>
      </c>
      <c r="I623" s="902"/>
    </row>
    <row r="624" spans="1:9">
      <c r="A624" s="871"/>
      <c r="B624" s="891" t="s">
        <v>2189</v>
      </c>
      <c r="C624" s="873">
        <v>-1</v>
      </c>
      <c r="D624" s="873">
        <v>1</v>
      </c>
      <c r="E624" s="888">
        <v>1</v>
      </c>
      <c r="F624" s="873"/>
      <c r="G624" s="876">
        <v>2.1</v>
      </c>
      <c r="H624" s="876">
        <f t="shared" si="28"/>
        <v>-2.1</v>
      </c>
      <c r="I624" s="902"/>
    </row>
    <row r="625" spans="1:9">
      <c r="A625" s="871"/>
      <c r="B625" s="891" t="s">
        <v>2335</v>
      </c>
      <c r="C625" s="873">
        <v>1</v>
      </c>
      <c r="D625" s="873">
        <v>1</v>
      </c>
      <c r="E625" s="888">
        <f>2.1+2.1+1</f>
        <v>5.2</v>
      </c>
      <c r="F625" s="873">
        <v>0.15</v>
      </c>
      <c r="G625" s="876"/>
      <c r="H625" s="876">
        <f t="shared" si="28"/>
        <v>0.78</v>
      </c>
      <c r="I625" s="902"/>
    </row>
    <row r="626" spans="1:9">
      <c r="A626" s="871"/>
      <c r="B626" s="891" t="s">
        <v>2181</v>
      </c>
      <c r="C626" s="873">
        <v>-1</v>
      </c>
      <c r="D626" s="873">
        <v>1</v>
      </c>
      <c r="E626" s="888">
        <v>1.5</v>
      </c>
      <c r="F626" s="873"/>
      <c r="G626" s="876">
        <v>1.35</v>
      </c>
      <c r="H626" s="876">
        <f t="shared" si="28"/>
        <v>-2.0250000000000004</v>
      </c>
      <c r="I626" s="902"/>
    </row>
    <row r="627" spans="1:9">
      <c r="A627" s="871"/>
      <c r="B627" s="891" t="s">
        <v>2335</v>
      </c>
      <c r="C627" s="873">
        <v>1</v>
      </c>
      <c r="D627" s="873">
        <v>1</v>
      </c>
      <c r="E627" s="888">
        <f>1.58+1.5+1.35+1.35</f>
        <v>5.7799999999999994</v>
      </c>
      <c r="F627" s="873">
        <v>0.15</v>
      </c>
      <c r="G627" s="876"/>
      <c r="H627" s="876">
        <f t="shared" si="28"/>
        <v>0.86699999999999988</v>
      </c>
      <c r="I627" s="902"/>
    </row>
    <row r="628" spans="1:9">
      <c r="A628" s="871"/>
      <c r="B628" s="891" t="s">
        <v>2350</v>
      </c>
      <c r="C628" s="873">
        <v>3</v>
      </c>
      <c r="D628" s="873">
        <v>4</v>
      </c>
      <c r="E628" s="888">
        <v>0.45</v>
      </c>
      <c r="F628" s="873"/>
      <c r="G628" s="876">
        <v>2.1</v>
      </c>
      <c r="H628" s="876">
        <f t="shared" si="28"/>
        <v>11.340000000000002</v>
      </c>
      <c r="I628" s="902"/>
    </row>
    <row r="629" spans="1:9">
      <c r="A629" s="871"/>
      <c r="B629" s="891" t="s">
        <v>2341</v>
      </c>
      <c r="C629" s="873">
        <v>-1</v>
      </c>
      <c r="D629" s="873">
        <v>1</v>
      </c>
      <c r="E629" s="888">
        <v>0.75</v>
      </c>
      <c r="F629" s="873"/>
      <c r="G629" s="876">
        <v>2.1</v>
      </c>
      <c r="H629" s="876">
        <f t="shared" si="28"/>
        <v>-1.5750000000000002</v>
      </c>
      <c r="I629" s="902"/>
    </row>
    <row r="630" spans="1:9">
      <c r="A630" s="871"/>
      <c r="B630" s="891" t="s">
        <v>2353</v>
      </c>
      <c r="C630" s="873">
        <v>1</v>
      </c>
      <c r="D630" s="873">
        <v>1</v>
      </c>
      <c r="E630" s="888">
        <f>2*(4.485+2.77)</f>
        <v>14.510000000000002</v>
      </c>
      <c r="F630" s="873"/>
      <c r="G630" s="876">
        <v>3.18</v>
      </c>
      <c r="H630" s="876">
        <f t="shared" si="28"/>
        <v>46.141800000000011</v>
      </c>
      <c r="I630" s="902"/>
    </row>
    <row r="631" spans="1:9">
      <c r="A631" s="871"/>
      <c r="B631" s="891" t="s">
        <v>2189</v>
      </c>
      <c r="C631" s="873">
        <v>-1</v>
      </c>
      <c r="D631" s="873">
        <v>1</v>
      </c>
      <c r="E631" s="888">
        <v>1</v>
      </c>
      <c r="F631" s="873"/>
      <c r="G631" s="876">
        <v>2.1</v>
      </c>
      <c r="H631" s="876">
        <f t="shared" si="28"/>
        <v>-2.1</v>
      </c>
      <c r="I631" s="902"/>
    </row>
    <row r="632" spans="1:9">
      <c r="A632" s="871"/>
      <c r="B632" s="891" t="s">
        <v>2335</v>
      </c>
      <c r="C632" s="873">
        <v>1</v>
      </c>
      <c r="D632" s="873">
        <v>1</v>
      </c>
      <c r="E632" s="888">
        <f>2.1+2.1+1</f>
        <v>5.2</v>
      </c>
      <c r="F632" s="873">
        <v>0.15</v>
      </c>
      <c r="G632" s="876"/>
      <c r="H632" s="876">
        <f t="shared" si="28"/>
        <v>0.78</v>
      </c>
      <c r="I632" s="902"/>
    </row>
    <row r="633" spans="1:9">
      <c r="A633" s="871"/>
      <c r="B633" s="891" t="s">
        <v>2181</v>
      </c>
      <c r="C633" s="873">
        <v>-1</v>
      </c>
      <c r="D633" s="873">
        <v>2</v>
      </c>
      <c r="E633" s="888">
        <v>1.5</v>
      </c>
      <c r="F633" s="873"/>
      <c r="G633" s="876">
        <v>1.35</v>
      </c>
      <c r="H633" s="876">
        <f t="shared" si="28"/>
        <v>-4.0500000000000007</v>
      </c>
      <c r="I633" s="902"/>
    </row>
    <row r="634" spans="1:9">
      <c r="A634" s="871"/>
      <c r="B634" s="891" t="s">
        <v>2335</v>
      </c>
      <c r="C634" s="873">
        <v>1</v>
      </c>
      <c r="D634" s="873">
        <v>2</v>
      </c>
      <c r="E634" s="888">
        <f>1.58+1.5+1.35+1.35</f>
        <v>5.7799999999999994</v>
      </c>
      <c r="F634" s="873">
        <v>0.15</v>
      </c>
      <c r="G634" s="876"/>
      <c r="H634" s="876">
        <f t="shared" si="28"/>
        <v>1.7339999999999998</v>
      </c>
      <c r="I634" s="902"/>
    </row>
    <row r="635" spans="1:9">
      <c r="A635" s="871"/>
      <c r="B635" s="891" t="s">
        <v>2350</v>
      </c>
      <c r="C635" s="873">
        <v>3</v>
      </c>
      <c r="D635" s="873">
        <v>4</v>
      </c>
      <c r="E635" s="888">
        <v>0.45</v>
      </c>
      <c r="F635" s="873"/>
      <c r="G635" s="876">
        <v>2.1</v>
      </c>
      <c r="H635" s="876">
        <f t="shared" si="28"/>
        <v>11.340000000000002</v>
      </c>
      <c r="I635" s="902"/>
    </row>
    <row r="636" spans="1:9">
      <c r="A636" s="871"/>
      <c r="B636" s="891" t="s">
        <v>2341</v>
      </c>
      <c r="C636" s="873">
        <v>-1</v>
      </c>
      <c r="D636" s="873">
        <v>1</v>
      </c>
      <c r="E636" s="888">
        <v>0.75</v>
      </c>
      <c r="F636" s="873"/>
      <c r="G636" s="876">
        <v>2.1</v>
      </c>
      <c r="H636" s="876">
        <f t="shared" si="28"/>
        <v>-1.5750000000000002</v>
      </c>
      <c r="I636" s="902"/>
    </row>
    <row r="637" spans="1:9">
      <c r="A637" s="871"/>
      <c r="B637" s="891" t="s">
        <v>2351</v>
      </c>
      <c r="C637" s="873">
        <v>1</v>
      </c>
      <c r="D637" s="873">
        <v>1</v>
      </c>
      <c r="E637" s="888">
        <f>2*(1.5+1.8)</f>
        <v>6.6</v>
      </c>
      <c r="F637" s="873"/>
      <c r="G637" s="876">
        <v>3.18</v>
      </c>
      <c r="H637" s="876">
        <f t="shared" si="28"/>
        <v>20.988</v>
      </c>
      <c r="I637" s="902"/>
    </row>
    <row r="638" spans="1:9">
      <c r="A638" s="871"/>
      <c r="B638" s="891" t="s">
        <v>2341</v>
      </c>
      <c r="C638" s="873">
        <v>-1</v>
      </c>
      <c r="D638" s="873">
        <v>1</v>
      </c>
      <c r="E638" s="888">
        <v>0.75</v>
      </c>
      <c r="F638" s="873"/>
      <c r="G638" s="876">
        <v>2.1</v>
      </c>
      <c r="H638" s="876">
        <f t="shared" si="28"/>
        <v>-1.5750000000000002</v>
      </c>
      <c r="I638" s="902"/>
    </row>
    <row r="639" spans="1:9">
      <c r="A639" s="871"/>
      <c r="B639" s="891" t="s">
        <v>2335</v>
      </c>
      <c r="C639" s="873">
        <v>1</v>
      </c>
      <c r="D639" s="873">
        <v>1</v>
      </c>
      <c r="E639" s="888">
        <f>0.75+2.1+2.1</f>
        <v>4.95</v>
      </c>
      <c r="F639" s="873">
        <v>0.115</v>
      </c>
      <c r="G639" s="876"/>
      <c r="H639" s="876">
        <f t="shared" si="28"/>
        <v>0.56925000000000003</v>
      </c>
      <c r="I639" s="902"/>
    </row>
    <row r="640" spans="1:9">
      <c r="A640" s="871"/>
      <c r="B640" s="891" t="s">
        <v>2185</v>
      </c>
      <c r="C640" s="873">
        <v>-1</v>
      </c>
      <c r="D640" s="873">
        <v>1</v>
      </c>
      <c r="E640" s="888">
        <v>0.75</v>
      </c>
      <c r="F640" s="873"/>
      <c r="G640" s="876">
        <v>0.6</v>
      </c>
      <c r="H640" s="876">
        <f t="shared" si="28"/>
        <v>-0.44999999999999996</v>
      </c>
      <c r="I640" s="902"/>
    </row>
    <row r="641" spans="1:10">
      <c r="A641" s="871"/>
      <c r="B641" s="891" t="s">
        <v>2335</v>
      </c>
      <c r="C641" s="873">
        <v>1</v>
      </c>
      <c r="D641" s="873">
        <v>1</v>
      </c>
      <c r="E641" s="888">
        <f>2*(0.75+0.6)</f>
        <v>2.7</v>
      </c>
      <c r="F641" s="873">
        <v>0.15</v>
      </c>
      <c r="G641" s="876"/>
      <c r="H641" s="876">
        <f t="shared" si="28"/>
        <v>0.40500000000000003</v>
      </c>
      <c r="I641" s="902"/>
    </row>
    <row r="642" spans="1:10">
      <c r="A642" s="871"/>
      <c r="B642" s="891" t="s">
        <v>2354</v>
      </c>
      <c r="C642" s="873">
        <v>1</v>
      </c>
      <c r="D642" s="873">
        <v>1</v>
      </c>
      <c r="E642" s="888">
        <f>2*(2.4+2.4)</f>
        <v>9.6</v>
      </c>
      <c r="F642" s="873"/>
      <c r="G642" s="876">
        <v>3.18</v>
      </c>
      <c r="H642" s="876">
        <f t="shared" si="28"/>
        <v>30.527999999999999</v>
      </c>
      <c r="I642" s="902"/>
    </row>
    <row r="643" spans="1:10">
      <c r="A643" s="871"/>
      <c r="B643" s="891" t="s">
        <v>2189</v>
      </c>
      <c r="C643" s="873">
        <v>-1</v>
      </c>
      <c r="D643" s="873">
        <v>1</v>
      </c>
      <c r="E643" s="888">
        <v>1</v>
      </c>
      <c r="F643" s="873"/>
      <c r="G643" s="876">
        <v>2.1</v>
      </c>
      <c r="H643" s="876">
        <f t="shared" si="28"/>
        <v>-2.1</v>
      </c>
      <c r="I643" s="902"/>
    </row>
    <row r="644" spans="1:10">
      <c r="A644" s="871"/>
      <c r="B644" s="891" t="s">
        <v>2181</v>
      </c>
      <c r="C644" s="873">
        <v>-1</v>
      </c>
      <c r="D644" s="873">
        <v>1</v>
      </c>
      <c r="E644" s="888">
        <v>1.5</v>
      </c>
      <c r="F644" s="873"/>
      <c r="G644" s="876">
        <v>1.35</v>
      </c>
      <c r="H644" s="876">
        <f t="shared" si="28"/>
        <v>-2.0250000000000004</v>
      </c>
      <c r="I644" s="902"/>
    </row>
    <row r="645" spans="1:10">
      <c r="A645" s="871"/>
      <c r="B645" s="891" t="s">
        <v>2335</v>
      </c>
      <c r="C645" s="873">
        <v>1</v>
      </c>
      <c r="D645" s="873">
        <v>1</v>
      </c>
      <c r="E645" s="888">
        <f>1.5+1.5+1.35+1.35</f>
        <v>5.6999999999999993</v>
      </c>
      <c r="F645" s="873">
        <v>0.15</v>
      </c>
      <c r="G645" s="876"/>
      <c r="H645" s="876">
        <f t="shared" si="28"/>
        <v>0.85499999999999987</v>
      </c>
      <c r="I645" s="902"/>
    </row>
    <row r="646" spans="1:10">
      <c r="A646" s="871"/>
      <c r="B646" s="891" t="s">
        <v>2355</v>
      </c>
      <c r="C646" s="873">
        <v>1</v>
      </c>
      <c r="D646" s="873">
        <v>1</v>
      </c>
      <c r="E646" s="888">
        <f>2*(2.4+1.525)</f>
        <v>7.85</v>
      </c>
      <c r="F646" s="873"/>
      <c r="G646" s="876">
        <v>3.18</v>
      </c>
      <c r="H646" s="876">
        <f t="shared" si="28"/>
        <v>24.963000000000001</v>
      </c>
      <c r="I646" s="902"/>
    </row>
    <row r="647" spans="1:10">
      <c r="A647" s="871"/>
      <c r="B647" s="891" t="s">
        <v>2189</v>
      </c>
      <c r="C647" s="873">
        <v>-1</v>
      </c>
      <c r="D647" s="873">
        <v>1</v>
      </c>
      <c r="E647" s="888">
        <v>1</v>
      </c>
      <c r="F647" s="873"/>
      <c r="G647" s="876">
        <v>2.1</v>
      </c>
      <c r="H647" s="876">
        <f t="shared" si="28"/>
        <v>-2.1</v>
      </c>
      <c r="I647" s="902"/>
    </row>
    <row r="648" spans="1:10">
      <c r="A648" s="871"/>
      <c r="B648" s="891" t="s">
        <v>2206</v>
      </c>
      <c r="C648" s="873">
        <v>-1</v>
      </c>
      <c r="D648" s="873">
        <v>1</v>
      </c>
      <c r="E648" s="888">
        <v>0.9</v>
      </c>
      <c r="F648" s="873"/>
      <c r="G648" s="876">
        <v>0.6</v>
      </c>
      <c r="H648" s="876">
        <f t="shared" si="28"/>
        <v>-0.54</v>
      </c>
      <c r="I648" s="902"/>
    </row>
    <row r="649" spans="1:10">
      <c r="A649" s="871"/>
      <c r="B649" s="891" t="s">
        <v>2335</v>
      </c>
      <c r="C649" s="873">
        <v>1</v>
      </c>
      <c r="D649" s="873">
        <v>1</v>
      </c>
      <c r="E649" s="888">
        <f>0.9+0.6+0.9+0.6</f>
        <v>3</v>
      </c>
      <c r="F649" s="873">
        <v>0.15</v>
      </c>
      <c r="G649" s="876"/>
      <c r="H649" s="876">
        <f t="shared" si="28"/>
        <v>0.44999999999999996</v>
      </c>
      <c r="I649" s="902"/>
    </row>
    <row r="650" spans="1:10">
      <c r="A650" s="871"/>
      <c r="B650" s="891" t="s">
        <v>2356</v>
      </c>
      <c r="C650" s="873">
        <v>1</v>
      </c>
      <c r="D650" s="873">
        <v>1</v>
      </c>
      <c r="E650" s="888">
        <f>2*(3.8+1.5)</f>
        <v>10.6</v>
      </c>
      <c r="F650" s="873"/>
      <c r="G650" s="876">
        <v>3.18</v>
      </c>
      <c r="H650" s="876">
        <f t="shared" si="28"/>
        <v>33.707999999999998</v>
      </c>
      <c r="I650" s="902"/>
    </row>
    <row r="651" spans="1:10">
      <c r="A651" s="871"/>
      <c r="B651" s="891" t="s">
        <v>2189</v>
      </c>
      <c r="C651" s="873">
        <v>-1</v>
      </c>
      <c r="D651" s="873">
        <v>1</v>
      </c>
      <c r="E651" s="888">
        <v>1</v>
      </c>
      <c r="F651" s="873"/>
      <c r="G651" s="876">
        <v>2.1</v>
      </c>
      <c r="H651" s="876">
        <f t="shared" si="28"/>
        <v>-2.1</v>
      </c>
      <c r="I651" s="902"/>
    </row>
    <row r="652" spans="1:10">
      <c r="A652" s="871"/>
      <c r="B652" s="891" t="s">
        <v>2181</v>
      </c>
      <c r="C652" s="873">
        <v>-1</v>
      </c>
      <c r="D652" s="873">
        <v>1</v>
      </c>
      <c r="E652" s="888">
        <v>1.5</v>
      </c>
      <c r="F652" s="873"/>
      <c r="G652" s="876">
        <v>1.35</v>
      </c>
      <c r="H652" s="876">
        <f t="shared" si="28"/>
        <v>-2.0250000000000004</v>
      </c>
      <c r="I652" s="902"/>
    </row>
    <row r="653" spans="1:10">
      <c r="A653" s="871"/>
      <c r="B653" s="891" t="s">
        <v>2335</v>
      </c>
      <c r="C653" s="873">
        <v>1</v>
      </c>
      <c r="D653" s="873">
        <v>1</v>
      </c>
      <c r="E653" s="888">
        <f>1.5+1.5+1.35+1.35</f>
        <v>5.6999999999999993</v>
      </c>
      <c r="F653" s="873">
        <v>0.15</v>
      </c>
      <c r="G653" s="876"/>
      <c r="H653" s="876">
        <f t="shared" si="28"/>
        <v>0.85499999999999987</v>
      </c>
      <c r="I653" s="902"/>
    </row>
    <row r="654" spans="1:10">
      <c r="A654" s="871"/>
      <c r="B654" s="891" t="s">
        <v>2357</v>
      </c>
      <c r="C654" s="873">
        <v>1</v>
      </c>
      <c r="D654" s="873">
        <v>1</v>
      </c>
      <c r="E654" s="888">
        <f>2*(2.515+3+1.2+2.4+4.7-2.4+0.23+1.2+2.4+0.115+1.525)</f>
        <v>33.770000000000003</v>
      </c>
      <c r="F654" s="873"/>
      <c r="G654" s="876">
        <v>3.18</v>
      </c>
      <c r="H654" s="876">
        <f t="shared" si="28"/>
        <v>107.38860000000001</v>
      </c>
      <c r="I654" s="902"/>
      <c r="J654" s="890">
        <f>588.78+H642+H643+H644+H645+H646+H647+H648+H649+H650+H651+H652+H653+H654</f>
        <v>776.63760000000002</v>
      </c>
    </row>
    <row r="655" spans="1:10">
      <c r="A655" s="871"/>
      <c r="B655" s="891" t="s">
        <v>2189</v>
      </c>
      <c r="C655" s="873">
        <v>-1</v>
      </c>
      <c r="D655" s="873">
        <v>6</v>
      </c>
      <c r="E655" s="888">
        <v>1</v>
      </c>
      <c r="F655" s="873"/>
      <c r="G655" s="876">
        <v>2.1</v>
      </c>
      <c r="H655" s="876">
        <f t="shared" si="28"/>
        <v>-12.600000000000001</v>
      </c>
      <c r="I655" s="902"/>
    </row>
    <row r="656" spans="1:10">
      <c r="A656" s="871"/>
      <c r="B656" s="891" t="s">
        <v>2358</v>
      </c>
      <c r="C656" s="873">
        <v>-1</v>
      </c>
      <c r="D656" s="873">
        <v>1</v>
      </c>
      <c r="E656" s="888">
        <v>1.8</v>
      </c>
      <c r="F656" s="873"/>
      <c r="G656" s="876">
        <v>2.2000000000000002</v>
      </c>
      <c r="H656" s="876">
        <f t="shared" si="28"/>
        <v>-3.9600000000000004</v>
      </c>
      <c r="I656" s="902"/>
    </row>
    <row r="657" spans="1:11">
      <c r="A657" s="871"/>
      <c r="B657" s="891" t="s">
        <v>2335</v>
      </c>
      <c r="C657" s="873">
        <v>1</v>
      </c>
      <c r="D657" s="873">
        <v>1</v>
      </c>
      <c r="E657" s="888">
        <f>2*(E656+G656)</f>
        <v>8</v>
      </c>
      <c r="F657" s="873">
        <v>0.15</v>
      </c>
      <c r="G657" s="876"/>
      <c r="H657" s="876">
        <f t="shared" si="28"/>
        <v>1.2</v>
      </c>
      <c r="I657" s="902"/>
    </row>
    <row r="658" spans="1:11">
      <c r="A658" s="871"/>
      <c r="B658" s="891" t="s">
        <v>2223</v>
      </c>
      <c r="C658" s="873">
        <v>1</v>
      </c>
      <c r="D658" s="873">
        <v>1</v>
      </c>
      <c r="E658" s="888">
        <f>2*(2.4+1.2+3+2.515)</f>
        <v>18.23</v>
      </c>
      <c r="F658" s="873"/>
      <c r="G658" s="876">
        <v>3.18</v>
      </c>
      <c r="H658" s="876">
        <f t="shared" si="28"/>
        <v>57.971400000000003</v>
      </c>
      <c r="I658" s="902"/>
    </row>
    <row r="659" spans="1:11">
      <c r="A659" s="871"/>
      <c r="B659" s="891" t="s">
        <v>2189</v>
      </c>
      <c r="C659" s="873">
        <v>-1</v>
      </c>
      <c r="D659" s="873">
        <v>1</v>
      </c>
      <c r="E659" s="888">
        <v>1</v>
      </c>
      <c r="F659" s="873"/>
      <c r="G659" s="876">
        <v>2.1</v>
      </c>
      <c r="H659" s="876">
        <f t="shared" si="28"/>
        <v>-2.1</v>
      </c>
      <c r="I659" s="902"/>
    </row>
    <row r="660" spans="1:11">
      <c r="A660" s="871"/>
      <c r="B660" s="891" t="s">
        <v>2335</v>
      </c>
      <c r="C660" s="873">
        <v>1</v>
      </c>
      <c r="D660" s="873">
        <v>1</v>
      </c>
      <c r="E660" s="888">
        <f>1+2.1+2.1</f>
        <v>5.2</v>
      </c>
      <c r="F660" s="873">
        <v>0.23</v>
      </c>
      <c r="G660" s="876"/>
      <c r="H660" s="876">
        <f t="shared" si="28"/>
        <v>1.1960000000000002</v>
      </c>
      <c r="I660" s="902"/>
    </row>
    <row r="661" spans="1:11">
      <c r="A661" s="871"/>
      <c r="B661" s="891" t="s">
        <v>2358</v>
      </c>
      <c r="C661" s="873">
        <v>-1</v>
      </c>
      <c r="D661" s="873">
        <v>1</v>
      </c>
      <c r="E661" s="888">
        <v>1.8</v>
      </c>
      <c r="F661" s="873"/>
      <c r="G661" s="876">
        <v>2.2000000000000002</v>
      </c>
      <c r="H661" s="876">
        <f>PRODUCT(C661:G661)</f>
        <v>-3.9600000000000004</v>
      </c>
      <c r="I661" s="902"/>
    </row>
    <row r="662" spans="1:11">
      <c r="A662" s="871"/>
      <c r="B662" s="891" t="s">
        <v>2335</v>
      </c>
      <c r="C662" s="873">
        <v>1</v>
      </c>
      <c r="D662" s="873">
        <v>1</v>
      </c>
      <c r="E662" s="888">
        <f>2*(E661+G661)</f>
        <v>8</v>
      </c>
      <c r="F662" s="873">
        <v>0.15</v>
      </c>
      <c r="G662" s="876"/>
      <c r="H662" s="876">
        <f>PRODUCT(C662:G662)</f>
        <v>1.2</v>
      </c>
      <c r="I662" s="902"/>
    </row>
    <row r="663" spans="1:11">
      <c r="A663" s="871"/>
      <c r="B663" s="932" t="s">
        <v>2359</v>
      </c>
      <c r="C663" s="873">
        <v>1</v>
      </c>
      <c r="D663" s="873">
        <v>1</v>
      </c>
      <c r="E663" s="888">
        <f>2*(9+11.82+2.33)</f>
        <v>46.3</v>
      </c>
      <c r="F663" s="873"/>
      <c r="G663" s="876">
        <f>1.2+3.3+3.3+1.2+0.23+1.2</f>
        <v>10.43</v>
      </c>
      <c r="H663" s="876">
        <f t="shared" si="28"/>
        <v>482.90899999999993</v>
      </c>
      <c r="I663" s="902"/>
      <c r="K663" s="901">
        <f>SUM(H558:H662)</f>
        <v>827.15730000000008</v>
      </c>
    </row>
    <row r="664" spans="1:11">
      <c r="A664" s="871"/>
      <c r="B664" s="891" t="s">
        <v>2338</v>
      </c>
      <c r="C664" s="873">
        <v>-1</v>
      </c>
      <c r="D664" s="873">
        <v>1</v>
      </c>
      <c r="E664" s="888">
        <v>1.8</v>
      </c>
      <c r="F664" s="873"/>
      <c r="G664" s="876">
        <v>2.1</v>
      </c>
      <c r="H664" s="876">
        <f t="shared" si="28"/>
        <v>-3.7800000000000002</v>
      </c>
      <c r="I664" s="902"/>
    </row>
    <row r="665" spans="1:11">
      <c r="A665" s="871"/>
      <c r="B665" s="891" t="s">
        <v>2339</v>
      </c>
      <c r="C665" s="873">
        <v>-1</v>
      </c>
      <c r="D665" s="873">
        <v>1</v>
      </c>
      <c r="E665" s="888">
        <v>1.2</v>
      </c>
      <c r="F665" s="873"/>
      <c r="G665" s="876">
        <v>2</v>
      </c>
      <c r="H665" s="876">
        <f t="shared" si="28"/>
        <v>-2.4</v>
      </c>
      <c r="I665" s="902"/>
    </row>
    <row r="666" spans="1:11">
      <c r="A666" s="871"/>
      <c r="B666" s="891" t="s">
        <v>2181</v>
      </c>
      <c r="C666" s="873">
        <v>-1</v>
      </c>
      <c r="D666" s="873">
        <v>10</v>
      </c>
      <c r="E666" s="888">
        <v>1.5</v>
      </c>
      <c r="F666" s="873"/>
      <c r="G666" s="876">
        <v>1.35</v>
      </c>
      <c r="H666" s="876">
        <f t="shared" si="28"/>
        <v>-20.25</v>
      </c>
      <c r="I666" s="902"/>
    </row>
    <row r="667" spans="1:11">
      <c r="A667" s="871"/>
      <c r="B667" s="891" t="s">
        <v>2183</v>
      </c>
      <c r="C667" s="873">
        <v>-1</v>
      </c>
      <c r="D667" s="873">
        <v>2</v>
      </c>
      <c r="E667" s="888">
        <v>1.5</v>
      </c>
      <c r="F667" s="873"/>
      <c r="G667" s="876">
        <v>1.35</v>
      </c>
      <c r="H667" s="876">
        <f t="shared" si="28"/>
        <v>-4.0500000000000007</v>
      </c>
      <c r="I667" s="902"/>
    </row>
    <row r="668" spans="1:11">
      <c r="A668" s="871"/>
      <c r="B668" s="891" t="s">
        <v>2184</v>
      </c>
      <c r="C668" s="873">
        <v>-1</v>
      </c>
      <c r="D668" s="873">
        <v>2</v>
      </c>
      <c r="E668" s="888">
        <v>1.35</v>
      </c>
      <c r="F668" s="873"/>
      <c r="G668" s="876">
        <v>0.6</v>
      </c>
      <c r="H668" s="876">
        <f t="shared" si="28"/>
        <v>-1.62</v>
      </c>
      <c r="I668" s="902"/>
    </row>
    <row r="669" spans="1:11">
      <c r="A669" s="871"/>
      <c r="B669" s="891" t="s">
        <v>2206</v>
      </c>
      <c r="C669" s="873">
        <v>-1</v>
      </c>
      <c r="D669" s="873">
        <v>1</v>
      </c>
      <c r="E669" s="888">
        <v>0.9</v>
      </c>
      <c r="F669" s="873"/>
      <c r="G669" s="876">
        <v>0.6</v>
      </c>
      <c r="H669" s="876">
        <f t="shared" si="28"/>
        <v>-0.54</v>
      </c>
      <c r="I669" s="902"/>
    </row>
    <row r="670" spans="1:11">
      <c r="A670" s="871"/>
      <c r="B670" s="891" t="s">
        <v>2185</v>
      </c>
      <c r="C670" s="873">
        <v>-1</v>
      </c>
      <c r="D670" s="873">
        <v>6</v>
      </c>
      <c r="E670" s="888">
        <v>0.75</v>
      </c>
      <c r="F670" s="873"/>
      <c r="G670" s="876">
        <v>0.6</v>
      </c>
      <c r="H670" s="876">
        <f t="shared" si="28"/>
        <v>-2.6999999999999997</v>
      </c>
      <c r="I670" s="902"/>
    </row>
    <row r="671" spans="1:11">
      <c r="A671" s="871"/>
      <c r="B671" s="891" t="s">
        <v>2189</v>
      </c>
      <c r="C671" s="873">
        <v>-1</v>
      </c>
      <c r="D671" s="873">
        <v>1</v>
      </c>
      <c r="E671" s="888">
        <v>1</v>
      </c>
      <c r="F671" s="873"/>
      <c r="G671" s="876">
        <v>2.1</v>
      </c>
      <c r="H671" s="876">
        <f t="shared" si="28"/>
        <v>-2.1</v>
      </c>
      <c r="I671" s="902"/>
    </row>
    <row r="672" spans="1:11">
      <c r="A672" s="871"/>
      <c r="B672" s="891" t="s">
        <v>2341</v>
      </c>
      <c r="C672" s="873">
        <v>-1</v>
      </c>
      <c r="D672" s="873">
        <v>1</v>
      </c>
      <c r="E672" s="888">
        <v>0.75</v>
      </c>
      <c r="F672" s="873"/>
      <c r="G672" s="876">
        <v>2.1</v>
      </c>
      <c r="H672" s="876">
        <f t="shared" si="28"/>
        <v>-1.5750000000000002</v>
      </c>
      <c r="I672" s="902"/>
    </row>
    <row r="673" spans="1:10">
      <c r="A673" s="871"/>
      <c r="B673" s="891" t="s">
        <v>2358</v>
      </c>
      <c r="C673" s="873">
        <v>-1</v>
      </c>
      <c r="D673" s="873">
        <v>1</v>
      </c>
      <c r="E673" s="888">
        <v>1.8</v>
      </c>
      <c r="F673" s="873"/>
      <c r="G673" s="876">
        <v>2.2000000000000002</v>
      </c>
      <c r="H673" s="876">
        <f t="shared" si="28"/>
        <v>-3.9600000000000004</v>
      </c>
      <c r="I673" s="902"/>
    </row>
    <row r="674" spans="1:10">
      <c r="A674" s="871"/>
      <c r="B674" s="891" t="s">
        <v>2360</v>
      </c>
      <c r="C674" s="873">
        <v>1</v>
      </c>
      <c r="D674" s="873">
        <v>1</v>
      </c>
      <c r="E674" s="888">
        <f>5.75+5.75+4.5</f>
        <v>16</v>
      </c>
      <c r="F674" s="873"/>
      <c r="G674" s="876">
        <f>0.4+1.2</f>
        <v>1.6</v>
      </c>
      <c r="H674" s="876">
        <f t="shared" si="28"/>
        <v>25.6</v>
      </c>
      <c r="I674" s="902"/>
    </row>
    <row r="675" spans="1:10">
      <c r="A675" s="871"/>
      <c r="B675" s="891" t="s">
        <v>2361</v>
      </c>
      <c r="C675" s="873">
        <v>1</v>
      </c>
      <c r="D675" s="873">
        <v>1</v>
      </c>
      <c r="E675" s="888">
        <f>E674-0.23-0.23</f>
        <v>15.54</v>
      </c>
      <c r="F675" s="873"/>
      <c r="G675" s="876">
        <v>1.2</v>
      </c>
      <c r="H675" s="876">
        <f t="shared" si="28"/>
        <v>18.648</v>
      </c>
      <c r="I675" s="902"/>
    </row>
    <row r="676" spans="1:10">
      <c r="A676" s="871"/>
      <c r="B676" s="891" t="s">
        <v>2362</v>
      </c>
      <c r="C676" s="873">
        <v>4</v>
      </c>
      <c r="D676" s="873">
        <v>2</v>
      </c>
      <c r="E676" s="888">
        <v>0.12</v>
      </c>
      <c r="F676" s="873"/>
      <c r="G676" s="876">
        <v>1.2</v>
      </c>
      <c r="H676" s="876">
        <f t="shared" si="28"/>
        <v>1.1519999999999999</v>
      </c>
      <c r="I676" s="902"/>
    </row>
    <row r="677" spans="1:10">
      <c r="A677" s="871"/>
      <c r="B677" s="891" t="s">
        <v>2363</v>
      </c>
      <c r="C677" s="873">
        <v>1</v>
      </c>
      <c r="D677" s="873">
        <v>1</v>
      </c>
      <c r="E677" s="888">
        <f>2*(2.4+1.2+3+2.515+0.46+0.46+0.46+0.46)</f>
        <v>21.910000000000007</v>
      </c>
      <c r="F677" s="873"/>
      <c r="G677" s="876">
        <f>3.3+0.6+0.23+0.6</f>
        <v>4.7299999999999995</v>
      </c>
      <c r="H677" s="876">
        <f t="shared" si="28"/>
        <v>103.63430000000002</v>
      </c>
      <c r="I677" s="902"/>
    </row>
    <row r="678" spans="1:10">
      <c r="A678" s="871"/>
      <c r="B678" s="891" t="s">
        <v>2189</v>
      </c>
      <c r="C678" s="873">
        <v>-1</v>
      </c>
      <c r="D678" s="873">
        <v>1</v>
      </c>
      <c r="E678" s="888">
        <v>1</v>
      </c>
      <c r="F678" s="873"/>
      <c r="G678" s="876">
        <v>2.1</v>
      </c>
      <c r="H678" s="876">
        <f t="shared" si="28"/>
        <v>-2.1</v>
      </c>
      <c r="I678" s="902"/>
    </row>
    <row r="679" spans="1:10">
      <c r="A679" s="871"/>
      <c r="B679" s="891" t="s">
        <v>2358</v>
      </c>
      <c r="C679" s="873">
        <v>-1</v>
      </c>
      <c r="D679" s="873">
        <v>1</v>
      </c>
      <c r="E679" s="888">
        <v>1.8</v>
      </c>
      <c r="F679" s="873"/>
      <c r="G679" s="876">
        <v>2.2000000000000002</v>
      </c>
      <c r="H679" s="876">
        <f t="shared" si="28"/>
        <v>-3.9600000000000004</v>
      </c>
      <c r="I679" s="902"/>
    </row>
    <row r="680" spans="1:10">
      <c r="A680" s="871"/>
      <c r="B680" s="891" t="s">
        <v>2364</v>
      </c>
      <c r="C680" s="873">
        <v>10</v>
      </c>
      <c r="D680" s="873">
        <v>1</v>
      </c>
      <c r="E680" s="888">
        <f>1.5+0.46</f>
        <v>1.96</v>
      </c>
      <c r="F680" s="888">
        <v>0.6</v>
      </c>
      <c r="G680" s="876"/>
      <c r="H680" s="876">
        <f t="shared" si="28"/>
        <v>11.76</v>
      </c>
      <c r="I680" s="902"/>
    </row>
    <row r="681" spans="1:10">
      <c r="A681" s="871"/>
      <c r="B681" s="891" t="s">
        <v>2365</v>
      </c>
      <c r="C681" s="873">
        <v>2</v>
      </c>
      <c r="D681" s="873">
        <v>1</v>
      </c>
      <c r="E681" s="888">
        <v>1.96</v>
      </c>
      <c r="F681" s="888">
        <v>0.6</v>
      </c>
      <c r="G681" s="876"/>
      <c r="H681" s="876">
        <f t="shared" si="28"/>
        <v>2.3519999999999999</v>
      </c>
      <c r="I681" s="902"/>
    </row>
    <row r="682" spans="1:10">
      <c r="A682" s="871"/>
      <c r="B682" s="891" t="s">
        <v>2366</v>
      </c>
      <c r="C682" s="873">
        <v>2</v>
      </c>
      <c r="D682" s="873">
        <v>1</v>
      </c>
      <c r="E682" s="888">
        <f>1.35+0.46</f>
        <v>1.81</v>
      </c>
      <c r="F682" s="888">
        <v>0.6</v>
      </c>
      <c r="G682" s="876"/>
      <c r="H682" s="876">
        <f t="shared" si="28"/>
        <v>2.1720000000000002</v>
      </c>
      <c r="I682" s="902"/>
    </row>
    <row r="683" spans="1:10">
      <c r="A683" s="871"/>
      <c r="B683" s="891" t="s">
        <v>2367</v>
      </c>
      <c r="C683" s="873">
        <v>2</v>
      </c>
      <c r="D683" s="873">
        <v>1</v>
      </c>
      <c r="E683" s="888">
        <v>1.5</v>
      </c>
      <c r="F683" s="888">
        <v>0.6</v>
      </c>
      <c r="G683" s="876"/>
      <c r="H683" s="876">
        <f t="shared" si="28"/>
        <v>1.7999999999999998</v>
      </c>
      <c r="I683" s="902"/>
    </row>
    <row r="684" spans="1:10">
      <c r="A684" s="871"/>
      <c r="B684" s="891" t="s">
        <v>2368</v>
      </c>
      <c r="C684" s="873">
        <v>2</v>
      </c>
      <c r="D684" s="873">
        <v>1</v>
      </c>
      <c r="E684" s="888">
        <v>2.4</v>
      </c>
      <c r="F684" s="888">
        <v>0.6</v>
      </c>
      <c r="G684" s="876"/>
      <c r="H684" s="876">
        <f t="shared" si="28"/>
        <v>2.88</v>
      </c>
      <c r="I684" s="902"/>
      <c r="J684" s="864">
        <f>923.88+603.86</f>
        <v>1527.74</v>
      </c>
    </row>
    <row r="685" spans="1:10">
      <c r="A685" s="871"/>
      <c r="B685" s="891"/>
      <c r="C685" s="873"/>
      <c r="D685" s="873"/>
      <c r="E685" s="888"/>
      <c r="F685" s="873"/>
      <c r="G685" s="876" t="s">
        <v>57</v>
      </c>
      <c r="H685" s="876">
        <f>SUM(H558:H684)</f>
        <v>1431.0296000000001</v>
      </c>
      <c r="I685" s="877"/>
    </row>
    <row r="686" spans="1:10" ht="18">
      <c r="A686" s="871"/>
      <c r="B686" s="891"/>
      <c r="C686" s="873" t="s">
        <v>2369</v>
      </c>
      <c r="D686" s="873"/>
      <c r="E686" s="888"/>
      <c r="F686" s="873"/>
      <c r="G686" s="892" t="s">
        <v>206</v>
      </c>
      <c r="H686" s="896">
        <f>ROUNDUP(H685,0)</f>
        <v>1432</v>
      </c>
      <c r="I686" s="894" t="s">
        <v>2234</v>
      </c>
    </row>
    <row r="687" spans="1:10">
      <c r="A687" s="871"/>
      <c r="B687" s="891"/>
      <c r="C687" s="873"/>
      <c r="D687" s="873"/>
      <c r="E687" s="888"/>
      <c r="F687" s="873"/>
      <c r="G687" s="875"/>
      <c r="H687" s="913"/>
      <c r="I687" s="902"/>
    </row>
    <row r="688" spans="1:10" ht="26.25" customHeight="1">
      <c r="A688" s="871">
        <v>34</v>
      </c>
      <c r="B688" s="886" t="s">
        <v>2370</v>
      </c>
      <c r="C688" s="873"/>
      <c r="D688" s="873"/>
      <c r="E688" s="888"/>
      <c r="F688" s="873"/>
      <c r="G688" s="876"/>
      <c r="H688" s="876"/>
      <c r="I688" s="877"/>
    </row>
    <row r="689" spans="1:13">
      <c r="A689" s="871"/>
      <c r="B689" s="891" t="s">
        <v>2371</v>
      </c>
      <c r="C689" s="873">
        <v>2</v>
      </c>
      <c r="D689" s="873">
        <v>2</v>
      </c>
      <c r="E689" s="888">
        <v>3.7</v>
      </c>
      <c r="F689" s="873"/>
      <c r="G689" s="876">
        <v>1</v>
      </c>
      <c r="H689" s="876">
        <f>PRODUCT(C689:G689)</f>
        <v>14.8</v>
      </c>
      <c r="I689" s="877"/>
    </row>
    <row r="690" spans="1:13">
      <c r="A690" s="871"/>
      <c r="B690" s="891" t="s">
        <v>2372</v>
      </c>
      <c r="C690" s="873">
        <v>2</v>
      </c>
      <c r="D690" s="873">
        <v>2</v>
      </c>
      <c r="E690" s="888">
        <v>3.9</v>
      </c>
      <c r="F690" s="873"/>
      <c r="G690" s="876">
        <v>1.3</v>
      </c>
      <c r="H690" s="876">
        <f>PRODUCT(C690:G690)</f>
        <v>20.28</v>
      </c>
      <c r="I690" s="877"/>
      <c r="M690" s="865">
        <f>2*(3.7+3.9)</f>
        <v>15.2</v>
      </c>
    </row>
    <row r="691" spans="1:13">
      <c r="A691" s="871"/>
      <c r="B691" s="891" t="s">
        <v>691</v>
      </c>
      <c r="C691" s="873">
        <v>1</v>
      </c>
      <c r="D691" s="873">
        <v>10</v>
      </c>
      <c r="E691" s="888">
        <v>2.4</v>
      </c>
      <c r="F691" s="873"/>
      <c r="G691" s="876">
        <v>0.8</v>
      </c>
      <c r="H691" s="876">
        <f>PRODUCT(C691:G691)</f>
        <v>19.200000000000003</v>
      </c>
      <c r="I691" s="877"/>
    </row>
    <row r="692" spans="1:13">
      <c r="A692" s="871"/>
      <c r="B692" s="891"/>
      <c r="C692" s="873"/>
      <c r="D692" s="873"/>
      <c r="E692" s="874"/>
      <c r="F692" s="873"/>
      <c r="G692" s="876" t="s">
        <v>57</v>
      </c>
      <c r="H692" s="876">
        <f>SUM(H689:H691)</f>
        <v>54.28</v>
      </c>
      <c r="I692" s="877"/>
      <c r="J692" s="865"/>
    </row>
    <row r="693" spans="1:13" ht="18">
      <c r="A693" s="871"/>
      <c r="B693" s="891"/>
      <c r="C693" s="873"/>
      <c r="D693" s="873"/>
      <c r="E693" s="888"/>
      <c r="F693" s="873"/>
      <c r="G693" s="892" t="s">
        <v>206</v>
      </c>
      <c r="H693" s="896">
        <f>ROUNDUP(H692,0)</f>
        <v>55</v>
      </c>
      <c r="I693" s="894" t="s">
        <v>2234</v>
      </c>
      <c r="J693" s="865"/>
    </row>
    <row r="694" spans="1:13">
      <c r="A694" s="871"/>
      <c r="B694" s="891"/>
      <c r="C694" s="873"/>
      <c r="D694" s="873"/>
      <c r="E694" s="888"/>
      <c r="F694" s="873"/>
      <c r="G694" s="875"/>
      <c r="H694" s="876"/>
      <c r="I694" s="877"/>
      <c r="J694" s="865"/>
    </row>
    <row r="695" spans="1:13" ht="46.5" customHeight="1">
      <c r="A695" s="871">
        <v>35</v>
      </c>
      <c r="B695" s="886" t="s">
        <v>2373</v>
      </c>
      <c r="C695" s="873"/>
      <c r="D695" s="873"/>
      <c r="E695" s="888"/>
      <c r="F695" s="873"/>
      <c r="G695" s="875"/>
      <c r="H695" s="876"/>
      <c r="I695" s="877"/>
    </row>
    <row r="696" spans="1:13">
      <c r="A696" s="871"/>
      <c r="B696" s="933" t="s">
        <v>2374</v>
      </c>
      <c r="C696" s="873"/>
      <c r="D696" s="873"/>
      <c r="E696" s="888"/>
      <c r="F696" s="873"/>
      <c r="G696" s="875"/>
      <c r="H696" s="876"/>
      <c r="I696" s="877"/>
    </row>
    <row r="697" spans="1:13">
      <c r="A697" s="871"/>
      <c r="B697" s="886" t="s">
        <v>2084</v>
      </c>
      <c r="C697" s="873">
        <v>1</v>
      </c>
      <c r="D697" s="873">
        <v>1</v>
      </c>
      <c r="E697" s="888">
        <v>5.75</v>
      </c>
      <c r="F697" s="888">
        <v>4.5</v>
      </c>
      <c r="G697" s="875"/>
      <c r="H697" s="876">
        <f t="shared" ref="H697:H734" si="29">PRODUCT(C697:G697)</f>
        <v>25.875</v>
      </c>
      <c r="I697" s="877"/>
    </row>
    <row r="698" spans="1:13">
      <c r="A698" s="871"/>
      <c r="B698" s="886" t="s">
        <v>2375</v>
      </c>
      <c r="C698" s="873">
        <v>1</v>
      </c>
      <c r="D698" s="873">
        <v>1</v>
      </c>
      <c r="E698" s="888">
        <f>2*(E697+F697)</f>
        <v>20.5</v>
      </c>
      <c r="F698" s="888"/>
      <c r="G698" s="875">
        <f>0.4-0.125</f>
        <v>0.27500000000000002</v>
      </c>
      <c r="H698" s="876">
        <f t="shared" si="29"/>
        <v>5.6375000000000002</v>
      </c>
      <c r="I698" s="877"/>
    </row>
    <row r="699" spans="1:13">
      <c r="A699" s="871"/>
      <c r="B699" s="886" t="s">
        <v>2078</v>
      </c>
      <c r="C699" s="873">
        <v>1</v>
      </c>
      <c r="D699" s="873">
        <v>1</v>
      </c>
      <c r="E699" s="888">
        <v>2.52</v>
      </c>
      <c r="F699" s="888">
        <v>3.93</v>
      </c>
      <c r="G699" s="875"/>
      <c r="H699" s="876">
        <f t="shared" si="29"/>
        <v>9.9036000000000008</v>
      </c>
      <c r="I699" s="877"/>
    </row>
    <row r="700" spans="1:13">
      <c r="A700" s="871"/>
      <c r="B700" s="886" t="s">
        <v>2079</v>
      </c>
      <c r="C700" s="873">
        <v>1</v>
      </c>
      <c r="D700" s="873">
        <v>1</v>
      </c>
      <c r="E700" s="888">
        <v>4.7</v>
      </c>
      <c r="F700" s="888">
        <v>3.93</v>
      </c>
      <c r="G700" s="875"/>
      <c r="H700" s="876">
        <f t="shared" si="29"/>
        <v>18.471</v>
      </c>
      <c r="I700" s="877"/>
    </row>
    <row r="701" spans="1:13">
      <c r="A701" s="871"/>
      <c r="B701" s="886" t="s">
        <v>2080</v>
      </c>
      <c r="C701" s="873">
        <v>1</v>
      </c>
      <c r="D701" s="873">
        <v>1</v>
      </c>
      <c r="E701" s="888">
        <v>3.8</v>
      </c>
      <c r="F701" s="888">
        <v>3.93</v>
      </c>
      <c r="G701" s="875"/>
      <c r="H701" s="876">
        <f t="shared" si="29"/>
        <v>14.933999999999999</v>
      </c>
      <c r="I701" s="877"/>
    </row>
    <row r="702" spans="1:13">
      <c r="A702" s="871"/>
      <c r="B702" s="886" t="s">
        <v>491</v>
      </c>
      <c r="C702" s="873">
        <v>1</v>
      </c>
      <c r="D702" s="873">
        <v>1</v>
      </c>
      <c r="E702" s="888">
        <v>2.4</v>
      </c>
      <c r="F702" s="888">
        <v>1.5</v>
      </c>
      <c r="G702" s="875"/>
      <c r="H702" s="876">
        <f t="shared" si="29"/>
        <v>3.5999999999999996</v>
      </c>
      <c r="I702" s="877"/>
    </row>
    <row r="703" spans="1:13">
      <c r="A703" s="871"/>
      <c r="B703" s="886" t="s">
        <v>2376</v>
      </c>
      <c r="C703" s="873">
        <v>1</v>
      </c>
      <c r="D703" s="873">
        <v>1</v>
      </c>
      <c r="E703" s="888">
        <v>2.4</v>
      </c>
      <c r="F703" s="888">
        <v>1.5</v>
      </c>
      <c r="G703" s="875"/>
      <c r="H703" s="876">
        <f t="shared" si="29"/>
        <v>3.5999999999999996</v>
      </c>
      <c r="I703" s="877"/>
    </row>
    <row r="704" spans="1:13">
      <c r="A704" s="871"/>
      <c r="B704" s="886" t="s">
        <v>2377</v>
      </c>
      <c r="C704" s="873">
        <v>1</v>
      </c>
      <c r="D704" s="873">
        <v>2</v>
      </c>
      <c r="E704" s="888">
        <v>2.4</v>
      </c>
      <c r="F704" s="888">
        <v>2.77</v>
      </c>
      <c r="G704" s="875"/>
      <c r="H704" s="876">
        <f t="shared" si="29"/>
        <v>13.295999999999999</v>
      </c>
      <c r="I704" s="877"/>
    </row>
    <row r="705" spans="1:9">
      <c r="A705" s="871"/>
      <c r="B705" s="886" t="s">
        <v>2083</v>
      </c>
      <c r="C705" s="873">
        <v>1</v>
      </c>
      <c r="D705" s="873">
        <v>1</v>
      </c>
      <c r="E705" s="888">
        <v>3.47</v>
      </c>
      <c r="F705" s="888">
        <v>4.3899999999999997</v>
      </c>
      <c r="G705" s="875"/>
      <c r="H705" s="876">
        <f t="shared" si="29"/>
        <v>15.2333</v>
      </c>
      <c r="I705" s="877"/>
    </row>
    <row r="706" spans="1:9">
      <c r="A706" s="871"/>
      <c r="B706" s="886" t="s">
        <v>2378</v>
      </c>
      <c r="C706" s="873">
        <v>1</v>
      </c>
      <c r="D706" s="873">
        <v>1</v>
      </c>
      <c r="E706" s="888">
        <v>1.92</v>
      </c>
      <c r="F706" s="888">
        <v>2.4</v>
      </c>
      <c r="G706" s="875"/>
      <c r="H706" s="876">
        <f t="shared" si="29"/>
        <v>4.6079999999999997</v>
      </c>
      <c r="I706" s="877"/>
    </row>
    <row r="707" spans="1:9">
      <c r="A707" s="871"/>
      <c r="B707" s="886" t="s">
        <v>2379</v>
      </c>
      <c r="C707" s="873">
        <v>1</v>
      </c>
      <c r="D707" s="873">
        <v>2</v>
      </c>
      <c r="E707" s="888">
        <v>3.8</v>
      </c>
      <c r="F707" s="888">
        <v>1.2</v>
      </c>
      <c r="G707" s="875"/>
      <c r="H707" s="876">
        <f t="shared" si="29"/>
        <v>9.1199999999999992</v>
      </c>
      <c r="I707" s="877"/>
    </row>
    <row r="708" spans="1:9">
      <c r="A708" s="871"/>
      <c r="B708" s="886" t="s">
        <v>2348</v>
      </c>
      <c r="C708" s="873">
        <v>1</v>
      </c>
      <c r="D708" s="873">
        <v>1</v>
      </c>
      <c r="E708" s="888">
        <v>1.27</v>
      </c>
      <c r="F708" s="888">
        <v>2.1</v>
      </c>
      <c r="G708" s="875"/>
      <c r="H708" s="876">
        <f t="shared" si="29"/>
        <v>2.6670000000000003</v>
      </c>
      <c r="I708" s="877"/>
    </row>
    <row r="709" spans="1:9">
      <c r="A709" s="871"/>
      <c r="B709" s="886" t="s">
        <v>2147</v>
      </c>
      <c r="C709" s="873">
        <v>1</v>
      </c>
      <c r="D709" s="873">
        <v>1</v>
      </c>
      <c r="E709" s="888">
        <v>0.9</v>
      </c>
      <c r="F709" s="888">
        <v>2.33</v>
      </c>
      <c r="G709" s="875"/>
      <c r="H709" s="876">
        <f t="shared" si="29"/>
        <v>2.097</v>
      </c>
      <c r="I709" s="877"/>
    </row>
    <row r="710" spans="1:9">
      <c r="A710" s="871"/>
      <c r="B710" s="932" t="s">
        <v>1105</v>
      </c>
      <c r="C710" s="873"/>
      <c r="D710" s="873"/>
      <c r="E710" s="888"/>
      <c r="F710" s="888"/>
      <c r="G710" s="876"/>
      <c r="H710" s="876"/>
      <c r="I710" s="877"/>
    </row>
    <row r="711" spans="1:9">
      <c r="A711" s="871"/>
      <c r="B711" s="891" t="s">
        <v>2163</v>
      </c>
      <c r="C711" s="873">
        <v>1</v>
      </c>
      <c r="D711" s="873">
        <v>1</v>
      </c>
      <c r="E711" s="888">
        <v>4.7</v>
      </c>
      <c r="F711" s="888">
        <v>3.93</v>
      </c>
      <c r="G711" s="876"/>
      <c r="H711" s="876">
        <f t="shared" si="29"/>
        <v>18.471</v>
      </c>
      <c r="I711" s="877"/>
    </row>
    <row r="712" spans="1:9">
      <c r="A712" s="871"/>
      <c r="B712" s="891" t="s">
        <v>2380</v>
      </c>
      <c r="C712" s="873">
        <v>1</v>
      </c>
      <c r="D712" s="873">
        <v>1</v>
      </c>
      <c r="E712" s="888">
        <f>2.4+0.23</f>
        <v>2.63</v>
      </c>
      <c r="F712" s="888">
        <v>1</v>
      </c>
      <c r="G712" s="876"/>
      <c r="H712" s="876">
        <f t="shared" si="29"/>
        <v>2.63</v>
      </c>
      <c r="I712" s="877"/>
    </row>
    <row r="713" spans="1:9">
      <c r="A713" s="871"/>
      <c r="B713" s="891" t="s">
        <v>491</v>
      </c>
      <c r="C713" s="873">
        <v>1</v>
      </c>
      <c r="D713" s="873">
        <v>2</v>
      </c>
      <c r="E713" s="888">
        <v>2.4</v>
      </c>
      <c r="F713" s="888">
        <v>1.35</v>
      </c>
      <c r="G713" s="876"/>
      <c r="H713" s="876">
        <f t="shared" si="29"/>
        <v>6.48</v>
      </c>
      <c r="I713" s="877"/>
    </row>
    <row r="714" spans="1:9">
      <c r="A714" s="871"/>
      <c r="B714" s="891" t="s">
        <v>485</v>
      </c>
      <c r="C714" s="873">
        <v>1</v>
      </c>
      <c r="D714" s="873">
        <v>1</v>
      </c>
      <c r="E714" s="888">
        <v>3.8</v>
      </c>
      <c r="F714" s="888">
        <v>1.5</v>
      </c>
      <c r="G714" s="876"/>
      <c r="H714" s="876">
        <f t="shared" si="29"/>
        <v>5.6999999999999993</v>
      </c>
      <c r="I714" s="877"/>
    </row>
    <row r="715" spans="1:9">
      <c r="A715" s="871"/>
      <c r="B715" s="891" t="s">
        <v>2261</v>
      </c>
      <c r="C715" s="873">
        <v>1</v>
      </c>
      <c r="D715" s="873">
        <v>1</v>
      </c>
      <c r="E715" s="888">
        <v>2.4</v>
      </c>
      <c r="F715" s="888">
        <v>1.53</v>
      </c>
      <c r="G715" s="876"/>
      <c r="H715" s="876">
        <f t="shared" si="29"/>
        <v>3.6719999999999997</v>
      </c>
      <c r="I715" s="877"/>
    </row>
    <row r="716" spans="1:9">
      <c r="A716" s="871"/>
      <c r="B716" s="891" t="s">
        <v>2381</v>
      </c>
      <c r="C716" s="873">
        <v>1</v>
      </c>
      <c r="D716" s="873">
        <v>1</v>
      </c>
      <c r="E716" s="888">
        <v>2.4</v>
      </c>
      <c r="F716" s="888">
        <v>2.4</v>
      </c>
      <c r="G716" s="876"/>
      <c r="H716" s="876">
        <f t="shared" si="29"/>
        <v>5.76</v>
      </c>
      <c r="I716" s="877"/>
    </row>
    <row r="717" spans="1:9">
      <c r="A717" s="871"/>
      <c r="B717" s="891" t="s">
        <v>2380</v>
      </c>
      <c r="C717" s="873">
        <v>1</v>
      </c>
      <c r="D717" s="873">
        <v>1</v>
      </c>
      <c r="E717" s="888">
        <f>1.525+0.115+2.4</f>
        <v>4.04</v>
      </c>
      <c r="F717" s="888">
        <v>1.2</v>
      </c>
      <c r="G717" s="876"/>
      <c r="H717" s="876">
        <f t="shared" si="29"/>
        <v>4.8479999999999999</v>
      </c>
      <c r="I717" s="877"/>
    </row>
    <row r="718" spans="1:9">
      <c r="A718" s="871"/>
      <c r="B718" s="891" t="s">
        <v>2382</v>
      </c>
      <c r="C718" s="873">
        <v>1</v>
      </c>
      <c r="D718" s="873">
        <v>1</v>
      </c>
      <c r="E718" s="888">
        <f>4.7+0.23</f>
        <v>4.9300000000000006</v>
      </c>
      <c r="F718" s="888">
        <v>1.5</v>
      </c>
      <c r="G718" s="876"/>
      <c r="H718" s="876">
        <f t="shared" si="29"/>
        <v>7.3950000000000014</v>
      </c>
      <c r="I718" s="877"/>
    </row>
    <row r="719" spans="1:9">
      <c r="A719" s="871"/>
      <c r="B719" s="891" t="s">
        <v>2352</v>
      </c>
      <c r="C719" s="873">
        <v>1</v>
      </c>
      <c r="D719" s="873">
        <v>1</v>
      </c>
      <c r="E719" s="888">
        <v>2.4</v>
      </c>
      <c r="F719" s="888">
        <v>4.3899999999999997</v>
      </c>
      <c r="G719" s="876"/>
      <c r="H719" s="876">
        <f t="shared" si="29"/>
        <v>10.536</v>
      </c>
      <c r="I719" s="877"/>
    </row>
    <row r="720" spans="1:9">
      <c r="A720" s="871"/>
      <c r="B720" s="891" t="s">
        <v>2353</v>
      </c>
      <c r="C720" s="873">
        <v>1</v>
      </c>
      <c r="D720" s="873">
        <v>1</v>
      </c>
      <c r="E720" s="888">
        <f>4.485+0.115+1.5</f>
        <v>6.1000000000000005</v>
      </c>
      <c r="F720" s="888">
        <v>2.77</v>
      </c>
      <c r="G720" s="876"/>
      <c r="H720" s="876">
        <f t="shared" si="29"/>
        <v>16.897000000000002</v>
      </c>
      <c r="I720" s="877"/>
    </row>
    <row r="721" spans="1:9">
      <c r="A721" s="871"/>
      <c r="B721" s="891" t="s">
        <v>2378</v>
      </c>
      <c r="C721" s="873">
        <v>1</v>
      </c>
      <c r="D721" s="873">
        <v>3</v>
      </c>
      <c r="E721" s="888">
        <v>2.4</v>
      </c>
      <c r="F721" s="888">
        <v>1.2</v>
      </c>
      <c r="G721" s="876"/>
      <c r="H721" s="876">
        <f t="shared" si="29"/>
        <v>8.6399999999999988</v>
      </c>
      <c r="I721" s="877"/>
    </row>
    <row r="722" spans="1:9">
      <c r="A722" s="871"/>
      <c r="B722" s="891" t="s">
        <v>2383</v>
      </c>
      <c r="C722" s="873">
        <v>1</v>
      </c>
      <c r="D722" s="873">
        <v>2</v>
      </c>
      <c r="E722" s="888">
        <v>3.8</v>
      </c>
      <c r="F722" s="888">
        <v>1.2</v>
      </c>
      <c r="G722" s="876"/>
      <c r="H722" s="876">
        <f t="shared" si="29"/>
        <v>9.1199999999999992</v>
      </c>
      <c r="I722" s="877"/>
    </row>
    <row r="723" spans="1:9">
      <c r="A723" s="871"/>
      <c r="B723" s="891" t="s">
        <v>2384</v>
      </c>
      <c r="C723" s="873">
        <v>1</v>
      </c>
      <c r="D723" s="873">
        <v>1</v>
      </c>
      <c r="E723" s="888">
        <f>2.515+3+1.2</f>
        <v>6.7150000000000007</v>
      </c>
      <c r="F723" s="888">
        <v>2.4</v>
      </c>
      <c r="G723" s="876"/>
      <c r="H723" s="876">
        <f t="shared" si="29"/>
        <v>16.116</v>
      </c>
      <c r="I723" s="877"/>
    </row>
    <row r="724" spans="1:9">
      <c r="A724" s="871"/>
      <c r="B724" s="891" t="s">
        <v>2385</v>
      </c>
      <c r="C724" s="873">
        <v>1</v>
      </c>
      <c r="D724" s="873">
        <v>6</v>
      </c>
      <c r="E724" s="888">
        <f>1.5+0.46</f>
        <v>1.96</v>
      </c>
      <c r="F724" s="888">
        <v>0.6</v>
      </c>
      <c r="G724" s="876"/>
      <c r="H724" s="876">
        <f t="shared" si="29"/>
        <v>7.056</v>
      </c>
      <c r="I724" s="877"/>
    </row>
    <row r="725" spans="1:9">
      <c r="A725" s="871"/>
      <c r="B725" s="891" t="s">
        <v>2386</v>
      </c>
      <c r="C725" s="873">
        <v>1</v>
      </c>
      <c r="D725" s="873">
        <v>1</v>
      </c>
      <c r="E725" s="888">
        <v>1.96</v>
      </c>
      <c r="F725" s="888">
        <v>0.6</v>
      </c>
      <c r="G725" s="876"/>
      <c r="H725" s="876">
        <f t="shared" si="29"/>
        <v>1.1759999999999999</v>
      </c>
      <c r="I725" s="877"/>
    </row>
    <row r="726" spans="1:9">
      <c r="A726" s="871"/>
      <c r="B726" s="891" t="s">
        <v>2387</v>
      </c>
      <c r="C726" s="873">
        <v>1</v>
      </c>
      <c r="D726" s="873">
        <v>7</v>
      </c>
      <c r="E726" s="888">
        <v>1.66</v>
      </c>
      <c r="F726" s="888">
        <v>0.6</v>
      </c>
      <c r="G726" s="876"/>
      <c r="H726" s="876">
        <f>PRODUCT(C726:G726)</f>
        <v>6.9719999999999995</v>
      </c>
      <c r="I726" s="877"/>
    </row>
    <row r="727" spans="1:9">
      <c r="A727" s="871"/>
      <c r="B727" s="891" t="s">
        <v>2388</v>
      </c>
      <c r="C727" s="873">
        <v>1</v>
      </c>
      <c r="D727" s="873">
        <v>1</v>
      </c>
      <c r="E727" s="888">
        <v>2.11</v>
      </c>
      <c r="F727" s="888">
        <v>0.6</v>
      </c>
      <c r="G727" s="876"/>
      <c r="H727" s="876">
        <f>PRODUCT(C727:G727)</f>
        <v>1.2659999999999998</v>
      </c>
      <c r="I727" s="877"/>
    </row>
    <row r="728" spans="1:9">
      <c r="A728" s="871"/>
      <c r="B728" s="891" t="s">
        <v>2389</v>
      </c>
      <c r="C728" s="873">
        <v>1</v>
      </c>
      <c r="D728" s="873">
        <v>1</v>
      </c>
      <c r="E728" s="888">
        <v>1.31</v>
      </c>
      <c r="F728" s="888">
        <v>0.6</v>
      </c>
      <c r="G728" s="876"/>
      <c r="H728" s="876">
        <f>PRODUCT(C728:G728)</f>
        <v>0.78600000000000003</v>
      </c>
      <c r="I728" s="877"/>
    </row>
    <row r="729" spans="1:9">
      <c r="A729" s="871"/>
      <c r="B729" s="891" t="s">
        <v>2390</v>
      </c>
      <c r="C729" s="873">
        <v>1</v>
      </c>
      <c r="D729" s="873">
        <v>3</v>
      </c>
      <c r="E729" s="888">
        <v>1.21</v>
      </c>
      <c r="F729" s="888">
        <v>0.6</v>
      </c>
      <c r="G729" s="876"/>
      <c r="H729" s="876">
        <f>PRODUCT(C729:G729)</f>
        <v>2.1779999999999999</v>
      </c>
      <c r="I729" s="877"/>
    </row>
    <row r="730" spans="1:9">
      <c r="A730" s="871"/>
      <c r="B730" s="891" t="s">
        <v>2391</v>
      </c>
      <c r="C730" s="873">
        <v>2</v>
      </c>
      <c r="D730" s="873">
        <v>1</v>
      </c>
      <c r="E730" s="888">
        <v>1.66</v>
      </c>
      <c r="F730" s="888">
        <v>0.6</v>
      </c>
      <c r="G730" s="876"/>
      <c r="H730" s="876">
        <f t="shared" si="29"/>
        <v>1.9919999999999998</v>
      </c>
      <c r="I730" s="877"/>
    </row>
    <row r="731" spans="1:9">
      <c r="A731" s="871"/>
      <c r="B731" s="891" t="s">
        <v>2392</v>
      </c>
      <c r="C731" s="873">
        <v>1</v>
      </c>
      <c r="D731" s="873">
        <v>2</v>
      </c>
      <c r="E731" s="888">
        <v>2.2599999999999998</v>
      </c>
      <c r="F731" s="888">
        <v>0.6</v>
      </c>
      <c r="G731" s="876"/>
      <c r="H731" s="876">
        <f>PRODUCT(C731:G731)</f>
        <v>2.7119999999999997</v>
      </c>
      <c r="I731" s="877"/>
    </row>
    <row r="732" spans="1:9">
      <c r="A732" s="871"/>
      <c r="B732" s="891" t="s">
        <v>2393</v>
      </c>
      <c r="C732" s="873">
        <v>1</v>
      </c>
      <c r="D732" s="873">
        <v>4</v>
      </c>
      <c r="E732" s="888">
        <v>1.36</v>
      </c>
      <c r="F732" s="888">
        <v>0.6</v>
      </c>
      <c r="G732" s="876"/>
      <c r="H732" s="876">
        <f>PRODUCT(C732:G732)</f>
        <v>3.2640000000000002</v>
      </c>
      <c r="I732" s="877"/>
    </row>
    <row r="733" spans="1:9">
      <c r="A733" s="871"/>
      <c r="B733" s="891" t="s">
        <v>2394</v>
      </c>
      <c r="C733" s="873">
        <v>2</v>
      </c>
      <c r="D733" s="873">
        <v>1</v>
      </c>
      <c r="E733" s="888">
        <v>1.36</v>
      </c>
      <c r="F733" s="888">
        <v>0.6</v>
      </c>
      <c r="G733" s="876"/>
      <c r="H733" s="876">
        <f t="shared" si="29"/>
        <v>1.6320000000000001</v>
      </c>
      <c r="I733" s="877"/>
    </row>
    <row r="734" spans="1:9">
      <c r="A734" s="871"/>
      <c r="B734" s="891" t="s">
        <v>2395</v>
      </c>
      <c r="C734" s="873">
        <v>1</v>
      </c>
      <c r="D734" s="873">
        <v>1</v>
      </c>
      <c r="E734" s="888">
        <v>1.46</v>
      </c>
      <c r="F734" s="888">
        <v>0.6</v>
      </c>
      <c r="G734" s="876"/>
      <c r="H734" s="876">
        <f t="shared" si="29"/>
        <v>0.876</v>
      </c>
      <c r="I734" s="877"/>
    </row>
    <row r="735" spans="1:9">
      <c r="A735" s="871"/>
      <c r="B735" s="891"/>
      <c r="C735" s="873"/>
      <c r="D735" s="873"/>
      <c r="E735" s="888"/>
      <c r="F735" s="888"/>
      <c r="G735" s="876" t="s">
        <v>57</v>
      </c>
      <c r="H735" s="876">
        <f>SUM(H697:H734)</f>
        <v>275.2174</v>
      </c>
      <c r="I735" s="877"/>
    </row>
    <row r="736" spans="1:9" ht="18">
      <c r="A736" s="871"/>
      <c r="B736" s="891"/>
      <c r="C736" s="873"/>
      <c r="D736" s="873"/>
      <c r="E736" s="888"/>
      <c r="F736" s="888"/>
      <c r="G736" s="892" t="s">
        <v>206</v>
      </c>
      <c r="H736" s="896">
        <f>ROUNDUP(H735,0)</f>
        <v>276</v>
      </c>
      <c r="I736" s="894" t="s">
        <v>2234</v>
      </c>
    </row>
    <row r="737" spans="1:9">
      <c r="A737" s="871"/>
      <c r="B737" s="891"/>
      <c r="C737" s="873"/>
      <c r="D737" s="873"/>
      <c r="E737" s="888"/>
      <c r="F737" s="888"/>
      <c r="G737" s="892"/>
      <c r="H737" s="896"/>
      <c r="I737" s="894"/>
    </row>
    <row r="738" spans="1:9">
      <c r="A738" s="871">
        <v>36</v>
      </c>
      <c r="B738" s="886" t="s">
        <v>934</v>
      </c>
      <c r="C738" s="873"/>
      <c r="D738" s="873"/>
      <c r="E738" s="888"/>
      <c r="F738" s="873"/>
      <c r="G738" s="875"/>
      <c r="H738" s="876"/>
      <c r="I738" s="877"/>
    </row>
    <row r="739" spans="1:9">
      <c r="A739" s="871" t="s">
        <v>2058</v>
      </c>
      <c r="B739" s="878" t="s">
        <v>2396</v>
      </c>
      <c r="C739" s="873"/>
      <c r="D739" s="873"/>
      <c r="E739" s="888"/>
      <c r="F739" s="888"/>
      <c r="G739" s="875"/>
      <c r="H739" s="876"/>
      <c r="I739" s="877"/>
    </row>
    <row r="740" spans="1:9" ht="20.25" customHeight="1">
      <c r="A740" s="871"/>
      <c r="B740" s="891" t="s">
        <v>2397</v>
      </c>
      <c r="C740" s="873">
        <v>1</v>
      </c>
      <c r="D740" s="873">
        <v>1</v>
      </c>
      <c r="E740" s="888">
        <v>46.3</v>
      </c>
      <c r="F740" s="873"/>
      <c r="G740" s="875"/>
      <c r="H740" s="876">
        <f>PRODUCT(C740:G740)</f>
        <v>46.3</v>
      </c>
      <c r="I740" s="877"/>
    </row>
    <row r="741" spans="1:9" ht="20.25" customHeight="1">
      <c r="A741" s="871"/>
      <c r="B741" s="891" t="s">
        <v>2398</v>
      </c>
      <c r="C741" s="873">
        <v>1</v>
      </c>
      <c r="D741" s="873">
        <v>1</v>
      </c>
      <c r="E741" s="888">
        <v>17.739999999999998</v>
      </c>
      <c r="F741" s="873"/>
      <c r="G741" s="875"/>
      <c r="H741" s="876">
        <f>PRODUCT(C741:G741)</f>
        <v>17.739999999999998</v>
      </c>
      <c r="I741" s="877"/>
    </row>
    <row r="742" spans="1:9" ht="20.25" customHeight="1">
      <c r="A742" s="871"/>
      <c r="B742" s="891" t="s">
        <v>2399</v>
      </c>
      <c r="C742" s="873">
        <v>1</v>
      </c>
      <c r="D742" s="873">
        <v>1</v>
      </c>
      <c r="E742" s="888">
        <v>16</v>
      </c>
      <c r="F742" s="873"/>
      <c r="G742" s="875"/>
      <c r="H742" s="876">
        <f>PRODUCT(C742:G742)</f>
        <v>16</v>
      </c>
      <c r="I742" s="877"/>
    </row>
    <row r="743" spans="1:9">
      <c r="A743" s="871"/>
      <c r="B743" s="891"/>
      <c r="C743" s="873"/>
      <c r="D743" s="873"/>
      <c r="E743" s="888"/>
      <c r="F743" s="873"/>
      <c r="G743" s="876" t="s">
        <v>57</v>
      </c>
      <c r="H743" s="876">
        <f>SUM(H740:H742)</f>
        <v>80.039999999999992</v>
      </c>
      <c r="I743" s="877"/>
    </row>
    <row r="744" spans="1:9">
      <c r="A744" s="871"/>
      <c r="B744" s="891"/>
      <c r="C744" s="873"/>
      <c r="D744" s="873"/>
      <c r="E744" s="888"/>
      <c r="F744" s="873"/>
      <c r="G744" s="892" t="s">
        <v>206</v>
      </c>
      <c r="H744" s="896">
        <f>ROUNDUP(H743,0)</f>
        <v>81</v>
      </c>
      <c r="I744" s="894" t="s">
        <v>2400</v>
      </c>
    </row>
    <row r="745" spans="1:9">
      <c r="A745" s="871"/>
      <c r="B745" s="891"/>
      <c r="C745" s="873"/>
      <c r="D745" s="873"/>
      <c r="E745" s="888"/>
      <c r="F745" s="873"/>
      <c r="G745" s="892"/>
      <c r="H745" s="876"/>
      <c r="I745" s="894"/>
    </row>
    <row r="746" spans="1:9" ht="22.5" customHeight="1">
      <c r="A746" s="871" t="s">
        <v>2142</v>
      </c>
      <c r="B746" s="878" t="s">
        <v>2401</v>
      </c>
      <c r="C746" s="873"/>
      <c r="D746" s="873"/>
      <c r="E746" s="888"/>
      <c r="F746" s="873"/>
      <c r="G746" s="909"/>
      <c r="H746" s="876"/>
      <c r="I746" s="877"/>
    </row>
    <row r="747" spans="1:9">
      <c r="A747" s="871"/>
      <c r="B747" s="634" t="s">
        <v>2402</v>
      </c>
      <c r="C747" s="904">
        <v>1</v>
      </c>
      <c r="D747" s="918">
        <v>2</v>
      </c>
      <c r="E747" s="905">
        <v>49.8</v>
      </c>
      <c r="F747" s="905"/>
      <c r="G747" s="907"/>
      <c r="H747" s="903">
        <f>PRODUCT(C747:G747)</f>
        <v>99.6</v>
      </c>
      <c r="I747" s="877"/>
    </row>
    <row r="748" spans="1:9">
      <c r="A748" s="871"/>
      <c r="B748" s="634" t="s">
        <v>2223</v>
      </c>
      <c r="C748" s="904">
        <v>1</v>
      </c>
      <c r="D748" s="918">
        <v>2</v>
      </c>
      <c r="E748" s="905">
        <v>22.5</v>
      </c>
      <c r="F748" s="905"/>
      <c r="G748" s="907"/>
      <c r="H748" s="903">
        <f>PRODUCT(C748:G748)</f>
        <v>45</v>
      </c>
      <c r="I748" s="877"/>
    </row>
    <row r="749" spans="1:9">
      <c r="A749" s="871"/>
      <c r="B749" s="634" t="s">
        <v>2403</v>
      </c>
      <c r="C749" s="904">
        <v>1</v>
      </c>
      <c r="D749" s="918">
        <v>2</v>
      </c>
      <c r="E749" s="905">
        <v>49.8</v>
      </c>
      <c r="F749" s="905"/>
      <c r="G749" s="907"/>
      <c r="H749" s="903">
        <f>PRODUCT(C749:G749)</f>
        <v>99.6</v>
      </c>
      <c r="I749" s="877"/>
    </row>
    <row r="750" spans="1:9">
      <c r="A750" s="871"/>
      <c r="B750" s="634"/>
      <c r="C750" s="904">
        <v>1</v>
      </c>
      <c r="D750" s="918">
        <v>9</v>
      </c>
      <c r="E750" s="905">
        <v>1.5</v>
      </c>
      <c r="F750" s="905"/>
      <c r="G750" s="907"/>
      <c r="H750" s="903">
        <f>PRODUCT(C750:G750)</f>
        <v>13.5</v>
      </c>
      <c r="I750" s="877"/>
    </row>
    <row r="751" spans="1:9">
      <c r="A751" s="871"/>
      <c r="B751" s="891"/>
      <c r="C751" s="873"/>
      <c r="D751" s="873"/>
      <c r="E751" s="874"/>
      <c r="F751" s="873"/>
      <c r="G751" s="876" t="s">
        <v>57</v>
      </c>
      <c r="H751" s="876">
        <f>SUM(H747:H750)</f>
        <v>257.7</v>
      </c>
      <c r="I751" s="877"/>
    </row>
    <row r="752" spans="1:9">
      <c r="A752" s="871"/>
      <c r="B752" s="891"/>
      <c r="C752" s="873"/>
      <c r="D752" s="873"/>
      <c r="E752" s="874"/>
      <c r="F752" s="873"/>
      <c r="G752" s="892" t="s">
        <v>206</v>
      </c>
      <c r="H752" s="896">
        <f>ROUNDUP(H751,0)</f>
        <v>258</v>
      </c>
      <c r="I752" s="894" t="s">
        <v>2400</v>
      </c>
    </row>
    <row r="753" spans="1:10">
      <c r="A753" s="871"/>
      <c r="B753" s="891"/>
      <c r="C753" s="873"/>
      <c r="D753" s="873"/>
      <c r="E753" s="874"/>
      <c r="F753" s="873"/>
      <c r="G753" s="892"/>
      <c r="H753" s="876"/>
      <c r="I753" s="894"/>
    </row>
    <row r="754" spans="1:10">
      <c r="A754" s="871" t="s">
        <v>2169</v>
      </c>
      <c r="B754" s="878" t="s">
        <v>2404</v>
      </c>
      <c r="C754" s="873"/>
      <c r="D754" s="873"/>
      <c r="E754" s="874"/>
      <c r="F754" s="873"/>
      <c r="G754" s="875"/>
      <c r="H754" s="913"/>
      <c r="I754" s="902"/>
    </row>
    <row r="755" spans="1:10">
      <c r="A755" s="871"/>
      <c r="B755" s="634" t="s">
        <v>2405</v>
      </c>
      <c r="C755" s="904">
        <v>1</v>
      </c>
      <c r="D755" s="918">
        <v>1</v>
      </c>
      <c r="E755" s="905">
        <v>49.8</v>
      </c>
      <c r="F755" s="905"/>
      <c r="G755" s="907"/>
      <c r="H755" s="903">
        <f>PRODUCT(C755:G755)</f>
        <v>49.8</v>
      </c>
      <c r="I755" s="877"/>
      <c r="J755" s="865"/>
    </row>
    <row r="756" spans="1:10">
      <c r="A756" s="871"/>
      <c r="B756" s="634" t="s">
        <v>2223</v>
      </c>
      <c r="C756" s="904">
        <v>1</v>
      </c>
      <c r="D756" s="918">
        <v>1</v>
      </c>
      <c r="E756" s="905">
        <v>22.5</v>
      </c>
      <c r="F756" s="905"/>
      <c r="G756" s="907"/>
      <c r="H756" s="903">
        <f>PRODUCT(C756:G756)</f>
        <v>22.5</v>
      </c>
      <c r="I756" s="877"/>
    </row>
    <row r="757" spans="1:10">
      <c r="A757" s="871"/>
      <c r="B757" s="634" t="s">
        <v>2399</v>
      </c>
      <c r="C757" s="904">
        <v>1</v>
      </c>
      <c r="D757" s="918">
        <v>1</v>
      </c>
      <c r="E757" s="905">
        <v>17.5</v>
      </c>
      <c r="F757" s="905"/>
      <c r="G757" s="907"/>
      <c r="H757" s="903">
        <f>PRODUCT(C757:G757)</f>
        <v>17.5</v>
      </c>
      <c r="I757" s="877"/>
    </row>
    <row r="758" spans="1:10">
      <c r="A758" s="871"/>
      <c r="B758" s="634"/>
      <c r="C758" s="904">
        <v>1</v>
      </c>
      <c r="D758" s="918">
        <v>9</v>
      </c>
      <c r="E758" s="905">
        <v>1.5</v>
      </c>
      <c r="F758" s="905"/>
      <c r="G758" s="907"/>
      <c r="H758" s="903">
        <f>PRODUCT(C758:G758)</f>
        <v>13.5</v>
      </c>
      <c r="I758" s="877"/>
      <c r="J758" s="865"/>
    </row>
    <row r="759" spans="1:10">
      <c r="A759" s="871"/>
      <c r="B759" s="891"/>
      <c r="C759" s="873"/>
      <c r="D759" s="873"/>
      <c r="E759" s="874"/>
      <c r="F759" s="873"/>
      <c r="G759" s="876" t="s">
        <v>57</v>
      </c>
      <c r="H759" s="876">
        <f>SUM(H755:H758)</f>
        <v>103.3</v>
      </c>
      <c r="I759" s="877"/>
    </row>
    <row r="760" spans="1:10">
      <c r="A760" s="871"/>
      <c r="B760" s="891"/>
      <c r="C760" s="873"/>
      <c r="D760" s="873"/>
      <c r="E760" s="874"/>
      <c r="F760" s="873"/>
      <c r="G760" s="892" t="s">
        <v>206</v>
      </c>
      <c r="H760" s="896">
        <f>ROUNDUP(H759,0)</f>
        <v>104</v>
      </c>
      <c r="I760" s="894" t="s">
        <v>2400</v>
      </c>
    </row>
    <row r="761" spans="1:10">
      <c r="A761" s="871"/>
      <c r="B761" s="891"/>
      <c r="C761" s="873"/>
      <c r="D761" s="873"/>
      <c r="E761" s="874"/>
      <c r="F761" s="873"/>
      <c r="G761" s="892"/>
      <c r="H761" s="876"/>
      <c r="I761" s="894"/>
    </row>
    <row r="762" spans="1:10">
      <c r="A762" s="871">
        <v>37.1</v>
      </c>
      <c r="B762" s="891" t="s">
        <v>942</v>
      </c>
      <c r="C762" s="873"/>
      <c r="D762" s="873"/>
      <c r="E762" s="888"/>
      <c r="F762" s="873"/>
      <c r="G762" s="875"/>
      <c r="H762" s="876"/>
      <c r="I762" s="877"/>
    </row>
    <row r="763" spans="1:10" ht="18">
      <c r="A763" s="871"/>
      <c r="B763" s="891" t="s">
        <v>2406</v>
      </c>
      <c r="C763" s="873"/>
      <c r="D763" s="873"/>
      <c r="E763" s="888"/>
      <c r="F763" s="873"/>
      <c r="G763" s="875"/>
      <c r="H763" s="893">
        <f>H736</f>
        <v>276</v>
      </c>
      <c r="I763" s="894" t="s">
        <v>2234</v>
      </c>
    </row>
    <row r="764" spans="1:10">
      <c r="A764" s="871"/>
      <c r="B764" s="891"/>
      <c r="C764" s="873"/>
      <c r="D764" s="873"/>
      <c r="E764" s="888"/>
      <c r="F764" s="873"/>
      <c r="G764" s="875"/>
      <c r="H764" s="913"/>
      <c r="I764" s="902"/>
    </row>
    <row r="765" spans="1:10" ht="31.5">
      <c r="A765" s="934">
        <v>39</v>
      </c>
      <c r="B765" s="886" t="s">
        <v>2407</v>
      </c>
      <c r="C765" s="873"/>
      <c r="D765" s="873"/>
      <c r="E765" s="888"/>
      <c r="F765" s="873"/>
      <c r="G765" s="875"/>
      <c r="H765" s="876"/>
      <c r="I765" s="877"/>
    </row>
    <row r="766" spans="1:10">
      <c r="A766" s="871"/>
      <c r="B766" s="886" t="s">
        <v>2408</v>
      </c>
      <c r="C766" s="873">
        <v>1</v>
      </c>
      <c r="D766" s="873">
        <v>1</v>
      </c>
      <c r="E766" s="888">
        <f>1.74+1.5+1.5+3.66+3.9+0.6</f>
        <v>12.9</v>
      </c>
      <c r="F766" s="873"/>
      <c r="G766" s="876">
        <v>1</v>
      </c>
      <c r="H766" s="876">
        <f>PRODUCT(C766:G766)</f>
        <v>12.9</v>
      </c>
      <c r="I766" s="877"/>
    </row>
    <row r="767" spans="1:10">
      <c r="A767" s="871"/>
      <c r="B767" s="886" t="s">
        <v>2409</v>
      </c>
      <c r="C767" s="873">
        <v>1</v>
      </c>
      <c r="D767" s="873">
        <v>2</v>
      </c>
      <c r="E767" s="888">
        <v>1</v>
      </c>
      <c r="F767" s="873"/>
      <c r="G767" s="876">
        <v>2.1</v>
      </c>
      <c r="H767" s="876">
        <f>PRODUCT(C767:G767)</f>
        <v>4.2</v>
      </c>
      <c r="I767" s="877"/>
    </row>
    <row r="768" spans="1:10">
      <c r="A768" s="871"/>
      <c r="B768" s="886" t="s">
        <v>2410</v>
      </c>
      <c r="C768" s="873">
        <v>1</v>
      </c>
      <c r="D768" s="873">
        <v>1</v>
      </c>
      <c r="E768" s="888">
        <v>2.59</v>
      </c>
      <c r="F768" s="873"/>
      <c r="G768" s="876">
        <v>1.2</v>
      </c>
      <c r="H768" s="876">
        <f>PRODUCT(C768:G768)</f>
        <v>3.1079999999999997</v>
      </c>
      <c r="I768" s="877"/>
    </row>
    <row r="769" spans="1:255">
      <c r="A769" s="871"/>
      <c r="B769" s="886" t="s">
        <v>2411</v>
      </c>
      <c r="C769" s="873">
        <v>1</v>
      </c>
      <c r="D769" s="873">
        <v>1</v>
      </c>
      <c r="E769" s="888">
        <v>1.5</v>
      </c>
      <c r="F769" s="873"/>
      <c r="G769" s="876">
        <v>1.35</v>
      </c>
      <c r="H769" s="876">
        <f>PRODUCT(C769:G769)</f>
        <v>2.0250000000000004</v>
      </c>
      <c r="I769" s="877"/>
    </row>
    <row r="770" spans="1:255">
      <c r="A770" s="871"/>
      <c r="B770" s="886"/>
      <c r="C770" s="873"/>
      <c r="D770" s="873"/>
      <c r="E770" s="888"/>
      <c r="F770" s="873"/>
      <c r="G770" s="875"/>
      <c r="H770" s="876">
        <f>SUM(H766:H769)</f>
        <v>22.233000000000004</v>
      </c>
      <c r="I770" s="877"/>
      <c r="J770" s="865"/>
    </row>
    <row r="771" spans="1:255">
      <c r="A771" s="871"/>
      <c r="B771" s="886"/>
      <c r="C771" s="873"/>
      <c r="D771" s="873"/>
      <c r="E771" s="888">
        <f>+H770</f>
        <v>22.233000000000004</v>
      </c>
      <c r="F771" s="1469" t="s">
        <v>2412</v>
      </c>
      <c r="G771" s="1469"/>
      <c r="H771" s="876">
        <f>E771*30</f>
        <v>666.99000000000012</v>
      </c>
      <c r="I771" s="877"/>
      <c r="J771" s="865"/>
    </row>
    <row r="772" spans="1:255">
      <c r="A772" s="871"/>
      <c r="B772" s="886"/>
      <c r="C772" s="873"/>
      <c r="D772" s="873"/>
      <c r="E772" s="888"/>
      <c r="F772" s="873"/>
      <c r="G772" s="892" t="s">
        <v>206</v>
      </c>
      <c r="H772" s="896">
        <f>ROUNDUP(H771,0)</f>
        <v>667</v>
      </c>
      <c r="I772" s="894" t="s">
        <v>165</v>
      </c>
    </row>
    <row r="773" spans="1:255">
      <c r="A773" s="871"/>
      <c r="B773" s="886"/>
      <c r="C773" s="873"/>
      <c r="D773" s="873"/>
      <c r="E773" s="888"/>
      <c r="F773" s="873"/>
      <c r="G773" s="875"/>
      <c r="H773" s="876"/>
      <c r="I773" s="902"/>
    </row>
    <row r="774" spans="1:255">
      <c r="A774" s="871">
        <v>40</v>
      </c>
      <c r="B774" s="932" t="s">
        <v>954</v>
      </c>
      <c r="C774" s="873"/>
      <c r="D774" s="873"/>
      <c r="E774" s="888"/>
      <c r="F774" s="873"/>
      <c r="G774" s="875"/>
      <c r="H774" s="876"/>
      <c r="I774" s="877"/>
    </row>
    <row r="775" spans="1:255">
      <c r="A775" s="871"/>
      <c r="B775" s="891" t="s">
        <v>978</v>
      </c>
      <c r="C775" s="909"/>
      <c r="D775" s="909"/>
      <c r="E775" s="888"/>
      <c r="F775" s="873"/>
      <c r="G775" s="875"/>
      <c r="H775" s="876"/>
      <c r="I775" s="877"/>
      <c r="J775" s="865"/>
    </row>
    <row r="776" spans="1:255">
      <c r="A776" s="871"/>
      <c r="B776" s="886" t="s">
        <v>2304</v>
      </c>
      <c r="C776" s="873">
        <v>1</v>
      </c>
      <c r="D776" s="873">
        <v>2</v>
      </c>
      <c r="E776" s="888">
        <v>1</v>
      </c>
      <c r="F776" s="888">
        <v>2.6</v>
      </c>
      <c r="G776" s="876">
        <v>2.1</v>
      </c>
      <c r="H776" s="876">
        <f>PRODUCT(C776:G776)</f>
        <v>10.920000000000002</v>
      </c>
      <c r="I776" s="877"/>
    </row>
    <row r="777" spans="1:255">
      <c r="A777" s="871"/>
      <c r="B777" s="891" t="s">
        <v>2413</v>
      </c>
      <c r="C777" s="909">
        <v>1</v>
      </c>
      <c r="D777" s="909">
        <v>1</v>
      </c>
      <c r="E777" s="888">
        <v>0.9</v>
      </c>
      <c r="F777" s="888">
        <v>2.6</v>
      </c>
      <c r="G777" s="876">
        <v>2.1</v>
      </c>
      <c r="H777" s="876">
        <f>PRODUCT(C777:G777)</f>
        <v>4.9140000000000006</v>
      </c>
      <c r="I777" s="877"/>
    </row>
    <row r="778" spans="1:255" ht="31.5">
      <c r="A778" s="871"/>
      <c r="B778" s="928" t="s">
        <v>2292</v>
      </c>
      <c r="C778" s="873">
        <v>1</v>
      </c>
      <c r="D778" s="873">
        <v>4</v>
      </c>
      <c r="E778" s="888">
        <v>1</v>
      </c>
      <c r="F778" s="888">
        <v>2.6</v>
      </c>
      <c r="G778" s="876">
        <v>2.1</v>
      </c>
      <c r="H778" s="876">
        <f>PRODUCT(C778:G778)</f>
        <v>21.840000000000003</v>
      </c>
      <c r="I778" s="877"/>
    </row>
    <row r="779" spans="1:255">
      <c r="A779" s="871"/>
      <c r="B779" s="928" t="s">
        <v>2414</v>
      </c>
      <c r="C779" s="873">
        <v>1</v>
      </c>
      <c r="D779" s="873">
        <v>3</v>
      </c>
      <c r="E779" s="888">
        <v>0.9</v>
      </c>
      <c r="F779" s="888">
        <v>2.6</v>
      </c>
      <c r="G779" s="876">
        <v>2.1</v>
      </c>
      <c r="H779" s="876">
        <f>PRODUCT(C779:G779)</f>
        <v>14.742000000000001</v>
      </c>
      <c r="I779" s="877"/>
    </row>
    <row r="780" spans="1:255">
      <c r="A780" s="871"/>
      <c r="B780" s="886"/>
      <c r="C780" s="909"/>
      <c r="D780" s="909"/>
      <c r="E780" s="888"/>
      <c r="F780" s="873"/>
      <c r="G780" s="875" t="s">
        <v>57</v>
      </c>
      <c r="H780" s="876">
        <f>SUM(H776:H779)</f>
        <v>52.416000000000011</v>
      </c>
      <c r="I780" s="877"/>
    </row>
    <row r="781" spans="1:255" ht="18">
      <c r="A781" s="871"/>
      <c r="B781" s="891"/>
      <c r="C781" s="909"/>
      <c r="D781" s="909"/>
      <c r="E781" s="874"/>
      <c r="F781" s="873"/>
      <c r="G781" s="892" t="s">
        <v>206</v>
      </c>
      <c r="H781" s="896">
        <f>ROUNDUP(H780,1)</f>
        <v>52.5</v>
      </c>
      <c r="I781" s="894" t="s">
        <v>2234</v>
      </c>
      <c r="J781" s="865"/>
    </row>
    <row r="782" spans="1:255">
      <c r="A782" s="871"/>
      <c r="B782" s="891"/>
      <c r="C782" s="909"/>
      <c r="D782" s="909"/>
      <c r="E782" s="874"/>
      <c r="F782" s="873"/>
      <c r="G782" s="875"/>
      <c r="H782" s="913"/>
      <c r="I782" s="902"/>
    </row>
    <row r="783" spans="1:255" ht="31.5">
      <c r="A783" s="871">
        <v>367</v>
      </c>
      <c r="B783" s="932" t="s">
        <v>2415</v>
      </c>
      <c r="C783" s="935"/>
      <c r="D783" s="935"/>
      <c r="E783" s="936"/>
      <c r="F783" s="937"/>
      <c r="G783" s="892"/>
      <c r="H783" s="896"/>
      <c r="I783" s="894"/>
      <c r="K783" s="922"/>
      <c r="L783" s="922"/>
      <c r="M783" s="922"/>
      <c r="N783" s="922"/>
      <c r="O783" s="922"/>
      <c r="P783" s="922"/>
      <c r="Q783" s="922"/>
      <c r="R783" s="922"/>
      <c r="S783" s="922"/>
      <c r="T783" s="922"/>
      <c r="U783" s="922"/>
      <c r="V783" s="922"/>
      <c r="W783" s="922"/>
      <c r="X783" s="922"/>
      <c r="Y783" s="922"/>
      <c r="Z783" s="922"/>
      <c r="AA783" s="922"/>
      <c r="AB783" s="922"/>
      <c r="AC783" s="922"/>
      <c r="AD783" s="922"/>
      <c r="AE783" s="922"/>
      <c r="AF783" s="922"/>
      <c r="AG783" s="922"/>
      <c r="AH783" s="922"/>
      <c r="AI783" s="922"/>
      <c r="AJ783" s="922"/>
      <c r="AK783" s="922"/>
      <c r="AL783" s="922"/>
      <c r="AM783" s="922"/>
      <c r="AN783" s="922"/>
      <c r="AO783" s="922"/>
      <c r="AP783" s="922"/>
      <c r="AQ783" s="922"/>
      <c r="AR783" s="922"/>
      <c r="AS783" s="922"/>
      <c r="AT783" s="922"/>
      <c r="AU783" s="922"/>
      <c r="AV783" s="922"/>
      <c r="AW783" s="922"/>
      <c r="AX783" s="922"/>
      <c r="AY783" s="922"/>
      <c r="AZ783" s="922"/>
      <c r="BA783" s="922"/>
      <c r="BB783" s="922"/>
      <c r="BC783" s="922"/>
      <c r="BD783" s="922"/>
      <c r="BE783" s="922"/>
      <c r="BF783" s="922"/>
      <c r="BG783" s="922"/>
      <c r="BH783" s="922"/>
      <c r="BI783" s="922"/>
      <c r="BJ783" s="922"/>
      <c r="BK783" s="922"/>
      <c r="BL783" s="922"/>
      <c r="BM783" s="922"/>
      <c r="BN783" s="922"/>
      <c r="BO783" s="922"/>
      <c r="BP783" s="922"/>
      <c r="BQ783" s="922"/>
      <c r="BR783" s="922"/>
      <c r="BS783" s="922"/>
      <c r="BT783" s="922"/>
      <c r="BU783" s="922"/>
      <c r="BV783" s="922"/>
      <c r="BW783" s="922"/>
      <c r="BX783" s="922"/>
      <c r="BY783" s="922"/>
      <c r="BZ783" s="922"/>
      <c r="CA783" s="922"/>
      <c r="CB783" s="922"/>
      <c r="CC783" s="922"/>
      <c r="CD783" s="922"/>
      <c r="CE783" s="922"/>
      <c r="CF783" s="922"/>
      <c r="CG783" s="922"/>
      <c r="CH783" s="922"/>
      <c r="CI783" s="922"/>
      <c r="CJ783" s="922"/>
      <c r="CK783" s="922"/>
      <c r="CL783" s="922"/>
      <c r="CM783" s="922"/>
      <c r="CN783" s="922"/>
      <c r="CO783" s="922"/>
      <c r="CP783" s="922"/>
      <c r="CQ783" s="922"/>
      <c r="CR783" s="922"/>
      <c r="CS783" s="922"/>
      <c r="CT783" s="922"/>
      <c r="CU783" s="922"/>
      <c r="CV783" s="922"/>
      <c r="CW783" s="922"/>
      <c r="CX783" s="922"/>
      <c r="CY783" s="922"/>
      <c r="CZ783" s="922"/>
      <c r="DA783" s="922"/>
      <c r="DB783" s="922"/>
      <c r="DC783" s="922"/>
      <c r="DD783" s="922"/>
      <c r="DE783" s="922"/>
      <c r="DF783" s="922"/>
      <c r="DG783" s="922"/>
      <c r="DH783" s="922"/>
      <c r="DI783" s="922"/>
      <c r="DJ783" s="922"/>
      <c r="DK783" s="922"/>
      <c r="DL783" s="922"/>
      <c r="DM783" s="922"/>
      <c r="DN783" s="922"/>
      <c r="DO783" s="922"/>
      <c r="DP783" s="922"/>
      <c r="DQ783" s="922"/>
      <c r="DR783" s="922"/>
      <c r="DS783" s="922"/>
      <c r="DT783" s="922"/>
      <c r="DU783" s="922"/>
      <c r="DV783" s="922"/>
      <c r="DW783" s="922"/>
      <c r="DX783" s="922"/>
      <c r="DY783" s="922"/>
      <c r="DZ783" s="922"/>
      <c r="EA783" s="922"/>
      <c r="EB783" s="922"/>
      <c r="EC783" s="922"/>
      <c r="ED783" s="922"/>
      <c r="EE783" s="922"/>
      <c r="EF783" s="922"/>
      <c r="EG783" s="922"/>
      <c r="EH783" s="922"/>
      <c r="EI783" s="922"/>
      <c r="EJ783" s="922"/>
      <c r="EK783" s="922"/>
      <c r="EL783" s="922"/>
      <c r="EM783" s="922"/>
      <c r="EN783" s="922"/>
      <c r="EO783" s="922"/>
      <c r="EP783" s="922"/>
      <c r="EQ783" s="922"/>
      <c r="ER783" s="922"/>
      <c r="ES783" s="922"/>
      <c r="ET783" s="922"/>
      <c r="EU783" s="922"/>
      <c r="EV783" s="922"/>
      <c r="EW783" s="922"/>
      <c r="EX783" s="922"/>
      <c r="EY783" s="922"/>
      <c r="EZ783" s="922"/>
      <c r="FA783" s="922"/>
      <c r="FB783" s="922"/>
      <c r="FC783" s="922"/>
      <c r="FD783" s="922"/>
      <c r="FE783" s="922"/>
      <c r="FF783" s="922"/>
      <c r="FG783" s="922"/>
      <c r="FH783" s="922"/>
      <c r="FI783" s="922"/>
      <c r="FJ783" s="922"/>
      <c r="FK783" s="922"/>
      <c r="FL783" s="922"/>
      <c r="FM783" s="922"/>
      <c r="FN783" s="922"/>
      <c r="FO783" s="922"/>
      <c r="FP783" s="922"/>
      <c r="FQ783" s="922"/>
      <c r="FR783" s="922"/>
      <c r="FS783" s="922"/>
      <c r="FT783" s="922"/>
      <c r="FU783" s="922"/>
      <c r="FV783" s="922"/>
      <c r="FW783" s="922"/>
      <c r="FX783" s="922"/>
      <c r="FY783" s="922"/>
      <c r="FZ783" s="922"/>
      <c r="GA783" s="922"/>
      <c r="GB783" s="922"/>
      <c r="GC783" s="922"/>
      <c r="GD783" s="922"/>
      <c r="GE783" s="922"/>
      <c r="GF783" s="922"/>
      <c r="GG783" s="922"/>
      <c r="GH783" s="922"/>
      <c r="GI783" s="922"/>
      <c r="GJ783" s="922"/>
      <c r="GK783" s="922"/>
      <c r="GL783" s="922"/>
      <c r="GM783" s="922"/>
      <c r="GN783" s="922"/>
      <c r="GO783" s="922"/>
      <c r="GP783" s="922"/>
      <c r="GQ783" s="922"/>
      <c r="GR783" s="922"/>
      <c r="GS783" s="922"/>
      <c r="GT783" s="922"/>
      <c r="GU783" s="922"/>
      <c r="GV783" s="922"/>
      <c r="GW783" s="922"/>
      <c r="GX783" s="922"/>
      <c r="GY783" s="922"/>
      <c r="GZ783" s="922"/>
      <c r="HA783" s="922"/>
      <c r="HB783" s="922"/>
      <c r="HC783" s="922"/>
      <c r="HD783" s="922"/>
      <c r="HE783" s="922"/>
      <c r="HF783" s="922"/>
      <c r="HG783" s="922"/>
      <c r="HH783" s="922"/>
      <c r="HI783" s="922"/>
      <c r="HJ783" s="922"/>
      <c r="HK783" s="922"/>
      <c r="HL783" s="922"/>
      <c r="HM783" s="922"/>
      <c r="HN783" s="922"/>
      <c r="HO783" s="922"/>
      <c r="HP783" s="922"/>
      <c r="HQ783" s="922"/>
      <c r="HR783" s="922"/>
      <c r="HS783" s="922"/>
      <c r="HT783" s="922"/>
      <c r="HU783" s="922"/>
      <c r="HV783" s="922"/>
      <c r="HW783" s="922"/>
      <c r="HX783" s="922"/>
      <c r="HY783" s="922"/>
      <c r="HZ783" s="922"/>
      <c r="IA783" s="922"/>
      <c r="IB783" s="922"/>
      <c r="IC783" s="922"/>
      <c r="ID783" s="922"/>
      <c r="IE783" s="922"/>
      <c r="IF783" s="922"/>
      <c r="IG783" s="922"/>
      <c r="IH783" s="922"/>
      <c r="II783" s="922"/>
      <c r="IJ783" s="922"/>
      <c r="IK783" s="922"/>
      <c r="IL783" s="922"/>
      <c r="IM783" s="922"/>
      <c r="IN783" s="922"/>
      <c r="IO783" s="922"/>
      <c r="IP783" s="922"/>
      <c r="IQ783" s="922"/>
      <c r="IR783" s="922"/>
      <c r="IS783" s="922"/>
      <c r="IT783" s="922"/>
      <c r="IU783" s="922"/>
    </row>
    <row r="784" spans="1:255">
      <c r="A784" s="871"/>
      <c r="B784" s="891" t="s">
        <v>2416</v>
      </c>
      <c r="C784" s="873">
        <v>1</v>
      </c>
      <c r="D784" s="873">
        <v>1</v>
      </c>
      <c r="E784" s="888">
        <v>1.8</v>
      </c>
      <c r="F784" s="888">
        <v>2.25</v>
      </c>
      <c r="G784" s="876">
        <v>2.1</v>
      </c>
      <c r="H784" s="876">
        <f>PRODUCT(C784:G784)</f>
        <v>8.5050000000000008</v>
      </c>
      <c r="I784" s="902"/>
    </row>
    <row r="785" spans="1:9" ht="18">
      <c r="A785" s="871"/>
      <c r="B785" s="891"/>
      <c r="C785" s="873"/>
      <c r="D785" s="873"/>
      <c r="E785" s="888"/>
      <c r="F785" s="874"/>
      <c r="G785" s="892" t="s">
        <v>206</v>
      </c>
      <c r="H785" s="896">
        <f>ROUNDUP(H784,1)</f>
        <v>8.6</v>
      </c>
      <c r="I785" s="894" t="s">
        <v>2234</v>
      </c>
    </row>
    <row r="786" spans="1:9">
      <c r="A786" s="871"/>
      <c r="B786" s="891"/>
      <c r="C786" s="873"/>
      <c r="D786" s="873"/>
      <c r="E786" s="888"/>
      <c r="F786" s="874"/>
      <c r="G786" s="875"/>
      <c r="H786" s="876"/>
      <c r="I786" s="902"/>
    </row>
    <row r="787" spans="1:9">
      <c r="A787" s="871">
        <v>41</v>
      </c>
      <c r="B787" s="932" t="s">
        <v>2417</v>
      </c>
      <c r="C787" s="873"/>
      <c r="D787" s="873"/>
      <c r="E787" s="888"/>
      <c r="F787" s="873"/>
      <c r="G787" s="876"/>
      <c r="H787" s="876"/>
      <c r="I787" s="877"/>
    </row>
    <row r="788" spans="1:9">
      <c r="A788" s="871"/>
      <c r="B788" s="891" t="s">
        <v>2294</v>
      </c>
      <c r="C788" s="873">
        <v>1</v>
      </c>
      <c r="D788" s="873">
        <v>6</v>
      </c>
      <c r="E788" s="888">
        <v>1.5</v>
      </c>
      <c r="F788" s="873"/>
      <c r="G788" s="876">
        <v>1.35</v>
      </c>
      <c r="H788" s="876">
        <f t="shared" ref="H788:H800" si="30">PRODUCT(C788:G788)</f>
        <v>12.15</v>
      </c>
      <c r="I788" s="877"/>
    </row>
    <row r="789" spans="1:9">
      <c r="A789" s="871"/>
      <c r="B789" s="891" t="s">
        <v>2295</v>
      </c>
      <c r="C789" s="873">
        <v>1</v>
      </c>
      <c r="D789" s="873">
        <v>1</v>
      </c>
      <c r="E789" s="888">
        <v>1.65</v>
      </c>
      <c r="F789" s="873"/>
      <c r="G789" s="876">
        <v>1.35</v>
      </c>
      <c r="H789" s="876">
        <f t="shared" si="30"/>
        <v>2.2275</v>
      </c>
      <c r="I789" s="877"/>
    </row>
    <row r="790" spans="1:9">
      <c r="A790" s="871"/>
      <c r="B790" s="891" t="s">
        <v>2296</v>
      </c>
      <c r="C790" s="873">
        <v>1</v>
      </c>
      <c r="D790" s="873">
        <v>7</v>
      </c>
      <c r="E790" s="888">
        <v>1.2</v>
      </c>
      <c r="F790" s="873"/>
      <c r="G790" s="876">
        <v>1.35</v>
      </c>
      <c r="H790" s="876">
        <f t="shared" si="30"/>
        <v>11.340000000000002</v>
      </c>
      <c r="I790" s="877"/>
    </row>
    <row r="791" spans="1:9">
      <c r="A791" s="871"/>
      <c r="B791" s="891" t="s">
        <v>2297</v>
      </c>
      <c r="C791" s="873">
        <v>1</v>
      </c>
      <c r="D791" s="873">
        <v>1</v>
      </c>
      <c r="E791" s="888">
        <v>0.85</v>
      </c>
      <c r="F791" s="873"/>
      <c r="G791" s="876">
        <v>1.35</v>
      </c>
      <c r="H791" s="876">
        <f t="shared" si="30"/>
        <v>1.1475</v>
      </c>
      <c r="I791" s="877"/>
    </row>
    <row r="792" spans="1:9">
      <c r="A792" s="871"/>
      <c r="B792" s="891" t="s">
        <v>2298</v>
      </c>
      <c r="C792" s="873">
        <v>1</v>
      </c>
      <c r="D792" s="873">
        <v>3</v>
      </c>
      <c r="E792" s="888">
        <v>0.75</v>
      </c>
      <c r="F792" s="873"/>
      <c r="G792" s="876">
        <v>1.35</v>
      </c>
      <c r="H792" s="876">
        <f t="shared" si="30"/>
        <v>3.0375000000000001</v>
      </c>
      <c r="I792" s="877"/>
    </row>
    <row r="793" spans="1:9">
      <c r="A793" s="871"/>
      <c r="B793" s="891" t="s">
        <v>2299</v>
      </c>
      <c r="C793" s="873">
        <v>1</v>
      </c>
      <c r="D793" s="873">
        <v>2</v>
      </c>
      <c r="E793" s="888">
        <v>1.8</v>
      </c>
      <c r="F793" s="873"/>
      <c r="G793" s="876">
        <v>1.35</v>
      </c>
      <c r="H793" s="876">
        <f t="shared" si="30"/>
        <v>4.8600000000000003</v>
      </c>
      <c r="I793" s="877"/>
    </row>
    <row r="794" spans="1:9">
      <c r="A794" s="871"/>
      <c r="B794" s="891" t="s">
        <v>2300</v>
      </c>
      <c r="C794" s="873">
        <v>1</v>
      </c>
      <c r="D794" s="873">
        <v>4</v>
      </c>
      <c r="E794" s="888">
        <v>0.9</v>
      </c>
      <c r="F794" s="873"/>
      <c r="G794" s="876">
        <v>1.35</v>
      </c>
      <c r="H794" s="876">
        <f t="shared" si="30"/>
        <v>4.8600000000000003</v>
      </c>
      <c r="I794" s="877"/>
    </row>
    <row r="795" spans="1:9">
      <c r="A795" s="871"/>
      <c r="B795" s="891" t="s">
        <v>2301</v>
      </c>
      <c r="C795" s="873">
        <v>1</v>
      </c>
      <c r="D795" s="873">
        <v>2</v>
      </c>
      <c r="E795" s="888">
        <v>1</v>
      </c>
      <c r="F795" s="873"/>
      <c r="G795" s="876">
        <v>2</v>
      </c>
      <c r="H795" s="876">
        <f t="shared" si="30"/>
        <v>4</v>
      </c>
      <c r="I795" s="877"/>
    </row>
    <row r="796" spans="1:9">
      <c r="A796" s="871"/>
      <c r="B796" s="891" t="s">
        <v>2418</v>
      </c>
      <c r="C796" s="873">
        <v>1</v>
      </c>
      <c r="D796" s="873">
        <v>6</v>
      </c>
      <c r="E796" s="888">
        <v>0.9</v>
      </c>
      <c r="F796" s="873"/>
      <c r="G796" s="876">
        <v>0.75</v>
      </c>
      <c r="H796" s="876">
        <f t="shared" si="30"/>
        <v>4.0500000000000007</v>
      </c>
      <c r="I796" s="877"/>
    </row>
    <row r="797" spans="1:9">
      <c r="A797" s="871"/>
      <c r="B797" s="891" t="s">
        <v>2419</v>
      </c>
      <c r="C797" s="873">
        <v>1</v>
      </c>
      <c r="D797" s="873">
        <v>1</v>
      </c>
      <c r="E797" s="888">
        <v>1</v>
      </c>
      <c r="F797" s="873"/>
      <c r="G797" s="876">
        <v>0.6</v>
      </c>
      <c r="H797" s="876">
        <f t="shared" si="30"/>
        <v>0.6</v>
      </c>
      <c r="I797" s="877"/>
    </row>
    <row r="798" spans="1:9">
      <c r="A798" s="871"/>
      <c r="B798" s="886" t="s">
        <v>2408</v>
      </c>
      <c r="C798" s="873">
        <v>1</v>
      </c>
      <c r="D798" s="873">
        <v>1</v>
      </c>
      <c r="E798" s="888">
        <f>1.74+1.5+1.5+3.66+3.9+0.6</f>
        <v>12.9</v>
      </c>
      <c r="F798" s="873"/>
      <c r="G798" s="876">
        <v>1</v>
      </c>
      <c r="H798" s="876">
        <f t="shared" si="30"/>
        <v>12.9</v>
      </c>
      <c r="I798" s="877"/>
    </row>
    <row r="799" spans="1:9">
      <c r="A799" s="871"/>
      <c r="B799" s="886" t="s">
        <v>2409</v>
      </c>
      <c r="C799" s="873">
        <v>1</v>
      </c>
      <c r="D799" s="873">
        <v>2</v>
      </c>
      <c r="E799" s="888">
        <v>1</v>
      </c>
      <c r="F799" s="873"/>
      <c r="G799" s="876">
        <v>2.1</v>
      </c>
      <c r="H799" s="876">
        <f t="shared" si="30"/>
        <v>4.2</v>
      </c>
      <c r="I799" s="877"/>
    </row>
    <row r="800" spans="1:9">
      <c r="A800" s="871"/>
      <c r="B800" s="886" t="s">
        <v>2410</v>
      </c>
      <c r="C800" s="873">
        <v>1</v>
      </c>
      <c r="D800" s="873">
        <v>1</v>
      </c>
      <c r="E800" s="888">
        <v>2.59</v>
      </c>
      <c r="F800" s="873"/>
      <c r="G800" s="876">
        <v>1.2</v>
      </c>
      <c r="H800" s="876">
        <f t="shared" si="30"/>
        <v>3.1079999999999997</v>
      </c>
      <c r="I800" s="877"/>
    </row>
    <row r="801" spans="1:9">
      <c r="A801" s="871"/>
      <c r="B801" s="891" t="s">
        <v>2420</v>
      </c>
      <c r="C801" s="873">
        <v>1</v>
      </c>
      <c r="D801" s="873">
        <v>1</v>
      </c>
      <c r="E801" s="888">
        <v>57</v>
      </c>
      <c r="F801" s="888">
        <v>3.14</v>
      </c>
      <c r="G801" s="876">
        <v>0.11</v>
      </c>
      <c r="H801" s="876">
        <f>PRODUCT(C801:G801)</f>
        <v>19.687800000000003</v>
      </c>
      <c r="I801" s="877"/>
    </row>
    <row r="802" spans="1:9">
      <c r="A802" s="871"/>
      <c r="B802" s="891" t="s">
        <v>2421</v>
      </c>
      <c r="C802" s="873">
        <v>1</v>
      </c>
      <c r="D802" s="873">
        <v>1</v>
      </c>
      <c r="E802" s="888">
        <v>75</v>
      </c>
      <c r="F802" s="888">
        <v>3.14</v>
      </c>
      <c r="G802" s="876">
        <v>0.11</v>
      </c>
      <c r="H802" s="876">
        <f>PRODUCT(C802:G802)</f>
        <v>25.905000000000001</v>
      </c>
      <c r="I802" s="877"/>
    </row>
    <row r="803" spans="1:9">
      <c r="A803" s="871"/>
      <c r="B803" s="891" t="s">
        <v>2422</v>
      </c>
      <c r="C803" s="873">
        <v>1</v>
      </c>
      <c r="D803" s="873">
        <v>1</v>
      </c>
      <c r="E803" s="888">
        <v>66</v>
      </c>
      <c r="F803" s="888">
        <v>3.14</v>
      </c>
      <c r="G803" s="875">
        <v>7.4999999999999997E-2</v>
      </c>
      <c r="H803" s="876">
        <f>PRODUCT(C803:G803)</f>
        <v>15.542999999999999</v>
      </c>
      <c r="I803" s="877"/>
    </row>
    <row r="804" spans="1:9">
      <c r="A804" s="871"/>
      <c r="B804" s="891" t="s">
        <v>2423</v>
      </c>
      <c r="C804" s="873">
        <v>1</v>
      </c>
      <c r="D804" s="873">
        <v>1</v>
      </c>
      <c r="E804" s="888">
        <v>45</v>
      </c>
      <c r="F804" s="888">
        <v>3.14</v>
      </c>
      <c r="G804" s="875">
        <v>3.2000000000000001E-2</v>
      </c>
      <c r="H804" s="876">
        <f>PRODUCT(C804:G804)</f>
        <v>4.5216000000000003</v>
      </c>
      <c r="I804" s="877"/>
    </row>
    <row r="805" spans="1:9">
      <c r="A805" s="871"/>
      <c r="B805" s="891" t="s">
        <v>2424</v>
      </c>
      <c r="C805" s="873">
        <v>1</v>
      </c>
      <c r="D805" s="873">
        <v>1</v>
      </c>
      <c r="E805" s="888">
        <v>149</v>
      </c>
      <c r="F805" s="888">
        <v>3.14</v>
      </c>
      <c r="G805" s="875">
        <v>2.5000000000000001E-2</v>
      </c>
      <c r="H805" s="876">
        <f>PRODUCT(C805:G805)</f>
        <v>11.6965</v>
      </c>
      <c r="I805" s="877"/>
    </row>
    <row r="806" spans="1:9">
      <c r="A806" s="871"/>
      <c r="B806" s="891"/>
      <c r="C806" s="873"/>
      <c r="D806" s="873"/>
      <c r="E806" s="888"/>
      <c r="F806" s="874"/>
      <c r="G806" s="875" t="s">
        <v>57</v>
      </c>
      <c r="H806" s="876">
        <f>SUM(H788:H805)</f>
        <v>145.83440000000002</v>
      </c>
      <c r="I806" s="877"/>
    </row>
    <row r="807" spans="1:9" ht="18">
      <c r="A807" s="871"/>
      <c r="B807" s="891"/>
      <c r="C807" s="873"/>
      <c r="D807" s="873"/>
      <c r="E807" s="888"/>
      <c r="F807" s="874"/>
      <c r="G807" s="892" t="s">
        <v>206</v>
      </c>
      <c r="H807" s="896">
        <f>ROUNDUP(H806,0)</f>
        <v>146</v>
      </c>
      <c r="I807" s="894" t="s">
        <v>2234</v>
      </c>
    </row>
    <row r="808" spans="1:9">
      <c r="A808" s="871"/>
      <c r="B808" s="891"/>
      <c r="C808" s="873"/>
      <c r="D808" s="873"/>
      <c r="E808" s="888"/>
      <c r="F808" s="874"/>
      <c r="G808" s="875"/>
      <c r="H808" s="876"/>
      <c r="I808" s="902"/>
    </row>
    <row r="809" spans="1:9">
      <c r="A809" s="871">
        <v>46</v>
      </c>
      <c r="B809" s="886" t="s">
        <v>960</v>
      </c>
      <c r="C809" s="873"/>
      <c r="D809" s="873"/>
      <c r="E809" s="888"/>
      <c r="F809" s="873"/>
      <c r="G809" s="876"/>
      <c r="H809" s="876"/>
      <c r="I809" s="877"/>
    </row>
    <row r="810" spans="1:9">
      <c r="A810" s="871"/>
      <c r="B810" s="891" t="s">
        <v>2425</v>
      </c>
      <c r="C810" s="873">
        <v>1</v>
      </c>
      <c r="D810" s="873">
        <v>2</v>
      </c>
      <c r="E810" s="888">
        <v>2</v>
      </c>
      <c r="F810" s="873"/>
      <c r="G810" s="875"/>
      <c r="H810" s="876">
        <f>PRODUCT(C810:G810)</f>
        <v>4</v>
      </c>
      <c r="I810" s="877"/>
    </row>
    <row r="811" spans="1:9">
      <c r="A811" s="871"/>
      <c r="B811" s="891" t="s">
        <v>2426</v>
      </c>
      <c r="C811" s="873">
        <v>1</v>
      </c>
      <c r="D811" s="873">
        <v>2</v>
      </c>
      <c r="E811" s="888">
        <v>1.2</v>
      </c>
      <c r="F811" s="873"/>
      <c r="G811" s="875"/>
      <c r="H811" s="876">
        <f>PRODUCT(C811:G811)</f>
        <v>2.4</v>
      </c>
      <c r="I811" s="902" t="s">
        <v>220</v>
      </c>
    </row>
    <row r="812" spans="1:9">
      <c r="A812" s="871"/>
      <c r="B812" s="891"/>
      <c r="C812" s="873"/>
      <c r="D812" s="873"/>
      <c r="E812" s="888"/>
      <c r="F812" s="873"/>
      <c r="G812" s="892" t="s">
        <v>57</v>
      </c>
      <c r="H812" s="896">
        <f>SUM(H810:H811)</f>
        <v>6.4</v>
      </c>
      <c r="I812" s="894" t="s">
        <v>4</v>
      </c>
    </row>
    <row r="813" spans="1:9">
      <c r="A813" s="871"/>
      <c r="B813" s="891"/>
      <c r="C813" s="873"/>
      <c r="D813" s="873"/>
      <c r="E813" s="888"/>
      <c r="F813" s="873"/>
      <c r="G813" s="875"/>
      <c r="H813" s="876"/>
      <c r="I813" s="902"/>
    </row>
    <row r="814" spans="1:9">
      <c r="A814" s="871">
        <v>47</v>
      </c>
      <c r="B814" s="891" t="s">
        <v>2427</v>
      </c>
      <c r="C814" s="873"/>
      <c r="D814" s="873"/>
      <c r="E814" s="938"/>
      <c r="F814" s="873"/>
      <c r="G814" s="909"/>
      <c r="H814" s="875"/>
      <c r="I814" s="939"/>
    </row>
    <row r="815" spans="1:9">
      <c r="A815" s="871"/>
      <c r="B815" s="891" t="s">
        <v>2428</v>
      </c>
      <c r="C815" s="873">
        <v>1</v>
      </c>
      <c r="D815" s="873">
        <v>1</v>
      </c>
      <c r="E815" s="888"/>
      <c r="F815" s="873"/>
      <c r="G815" s="909"/>
      <c r="H815" s="876">
        <f>PRODUCT(C815:G815)</f>
        <v>1</v>
      </c>
      <c r="I815" s="939"/>
    </row>
    <row r="816" spans="1:9">
      <c r="A816" s="871"/>
      <c r="B816" s="891" t="s">
        <v>2426</v>
      </c>
      <c r="C816" s="873">
        <v>1</v>
      </c>
      <c r="D816" s="873">
        <v>1</v>
      </c>
      <c r="E816" s="888"/>
      <c r="F816" s="873"/>
      <c r="G816" s="909"/>
      <c r="H816" s="876">
        <f>PRODUCT(C816:G816)</f>
        <v>1</v>
      </c>
      <c r="I816" s="939"/>
    </row>
    <row r="817" spans="1:9">
      <c r="A817" s="871"/>
      <c r="B817" s="891" t="s">
        <v>2429</v>
      </c>
      <c r="C817" s="873">
        <v>1</v>
      </c>
      <c r="D817" s="873">
        <v>2</v>
      </c>
      <c r="E817" s="888"/>
      <c r="F817" s="873"/>
      <c r="G817" s="909"/>
      <c r="H817" s="876">
        <f>PRODUCT(C817:G817)</f>
        <v>2</v>
      </c>
      <c r="I817" s="939"/>
    </row>
    <row r="818" spans="1:9">
      <c r="A818" s="871"/>
      <c r="B818" s="891"/>
      <c r="C818" s="873"/>
      <c r="D818" s="873"/>
      <c r="E818" s="874"/>
      <c r="F818" s="873"/>
      <c r="G818" s="892" t="s">
        <v>57</v>
      </c>
      <c r="H818" s="896">
        <f>SUM(H815:H817)</f>
        <v>4</v>
      </c>
      <c r="I818" s="897" t="s">
        <v>4</v>
      </c>
    </row>
    <row r="819" spans="1:9">
      <c r="A819" s="871"/>
      <c r="B819" s="891"/>
      <c r="C819" s="873"/>
      <c r="D819" s="873"/>
      <c r="E819" s="874"/>
      <c r="F819" s="873"/>
      <c r="G819" s="892"/>
      <c r="H819" s="896"/>
      <c r="I819" s="897"/>
    </row>
    <row r="820" spans="1:9">
      <c r="A820" s="871">
        <v>48</v>
      </c>
      <c r="B820" s="891" t="s">
        <v>2430</v>
      </c>
      <c r="C820" s="873"/>
      <c r="D820" s="873"/>
      <c r="E820" s="888"/>
      <c r="F820" s="873"/>
      <c r="G820" s="875"/>
      <c r="H820" s="876"/>
      <c r="I820" s="902"/>
    </row>
    <row r="821" spans="1:9">
      <c r="A821" s="871"/>
      <c r="B821" s="891" t="s">
        <v>2428</v>
      </c>
      <c r="C821" s="873">
        <v>1</v>
      </c>
      <c r="D821" s="873">
        <v>1</v>
      </c>
      <c r="E821" s="888"/>
      <c r="F821" s="873"/>
      <c r="G821" s="909"/>
      <c r="H821" s="876">
        <f>PRODUCT(C821:G821)</f>
        <v>1</v>
      </c>
      <c r="I821" s="902"/>
    </row>
    <row r="822" spans="1:9">
      <c r="A822" s="871"/>
      <c r="B822" s="891" t="s">
        <v>2431</v>
      </c>
      <c r="C822" s="873">
        <v>1</v>
      </c>
      <c r="D822" s="873">
        <v>1</v>
      </c>
      <c r="E822" s="888"/>
      <c r="F822" s="873"/>
      <c r="G822" s="909"/>
      <c r="H822" s="876">
        <f>PRODUCT(C822:G822)</f>
        <v>1</v>
      </c>
      <c r="I822" s="902"/>
    </row>
    <row r="823" spans="1:9">
      <c r="A823" s="871"/>
      <c r="B823" s="891" t="s">
        <v>2426</v>
      </c>
      <c r="C823" s="873">
        <v>1</v>
      </c>
      <c r="D823" s="873">
        <v>2</v>
      </c>
      <c r="E823" s="888"/>
      <c r="F823" s="873"/>
      <c r="G823" s="909"/>
      <c r="H823" s="876">
        <f>PRODUCT(C823:G823)</f>
        <v>2</v>
      </c>
      <c r="I823" s="902"/>
    </row>
    <row r="824" spans="1:9">
      <c r="A824" s="871"/>
      <c r="B824" s="891" t="s">
        <v>2429</v>
      </c>
      <c r="C824" s="873">
        <v>1</v>
      </c>
      <c r="D824" s="873">
        <v>2</v>
      </c>
      <c r="E824" s="888"/>
      <c r="F824" s="873"/>
      <c r="G824" s="909"/>
      <c r="H824" s="876">
        <f>PRODUCT(C824:G824)</f>
        <v>2</v>
      </c>
      <c r="I824" s="902"/>
    </row>
    <row r="825" spans="1:9">
      <c r="A825" s="871"/>
      <c r="B825" s="891" t="s">
        <v>2432</v>
      </c>
      <c r="C825" s="873">
        <v>1</v>
      </c>
      <c r="D825" s="873">
        <v>2</v>
      </c>
      <c r="E825" s="888"/>
      <c r="F825" s="873"/>
      <c r="G825" s="909"/>
      <c r="H825" s="876">
        <f>PRODUCT(C825:G825)</f>
        <v>2</v>
      </c>
      <c r="I825" s="902"/>
    </row>
    <row r="826" spans="1:9">
      <c r="A826" s="871"/>
      <c r="B826" s="891"/>
      <c r="C826" s="873"/>
      <c r="D826" s="873"/>
      <c r="E826" s="888"/>
      <c r="F826" s="873"/>
      <c r="G826" s="892" t="s">
        <v>57</v>
      </c>
      <c r="H826" s="896">
        <f>SUM(H821:H825)</f>
        <v>8</v>
      </c>
      <c r="I826" s="894" t="s">
        <v>4</v>
      </c>
    </row>
    <row r="827" spans="1:9">
      <c r="A827" s="871"/>
      <c r="B827" s="891"/>
      <c r="C827" s="873"/>
      <c r="D827" s="873"/>
      <c r="E827" s="888"/>
      <c r="F827" s="873"/>
      <c r="G827" s="892"/>
      <c r="H827" s="896"/>
      <c r="I827" s="894"/>
    </row>
    <row r="828" spans="1:9" ht="31.5">
      <c r="A828" s="934">
        <v>49</v>
      </c>
      <c r="B828" s="940" t="s">
        <v>1550</v>
      </c>
      <c r="C828" s="873">
        <v>1</v>
      </c>
      <c r="D828" s="873">
        <v>44</v>
      </c>
      <c r="E828" s="888"/>
      <c r="F828" s="873"/>
      <c r="G828" s="875"/>
      <c r="H828" s="896">
        <f>PRODUCT(C828:G828)</f>
        <v>44</v>
      </c>
      <c r="I828" s="897" t="s">
        <v>4</v>
      </c>
    </row>
    <row r="829" spans="1:9">
      <c r="A829" s="871"/>
      <c r="B829" s="891"/>
      <c r="C829" s="873"/>
      <c r="D829" s="873"/>
      <c r="E829" s="888"/>
      <c r="F829" s="873"/>
      <c r="G829" s="892"/>
      <c r="H829" s="896"/>
      <c r="I829" s="894"/>
    </row>
    <row r="830" spans="1:9">
      <c r="A830" s="871">
        <v>50.3</v>
      </c>
      <c r="B830" s="891" t="s">
        <v>2433</v>
      </c>
      <c r="C830" s="873">
        <v>1</v>
      </c>
      <c r="D830" s="873">
        <v>5</v>
      </c>
      <c r="E830" s="874"/>
      <c r="F830" s="873"/>
      <c r="G830" s="875"/>
      <c r="H830" s="896">
        <f>PRODUCT(C830:G830)</f>
        <v>5</v>
      </c>
      <c r="I830" s="897" t="s">
        <v>4</v>
      </c>
    </row>
    <row r="831" spans="1:9">
      <c r="A831" s="871"/>
      <c r="B831" s="891"/>
      <c r="C831" s="873"/>
      <c r="D831" s="873"/>
      <c r="E831" s="874"/>
      <c r="F831" s="873"/>
      <c r="G831" s="892"/>
      <c r="H831" s="896"/>
      <c r="I831" s="897"/>
    </row>
    <row r="832" spans="1:9">
      <c r="A832" s="871">
        <v>50.4</v>
      </c>
      <c r="B832" s="891" t="s">
        <v>2434</v>
      </c>
      <c r="C832" s="873">
        <v>1</v>
      </c>
      <c r="D832" s="873">
        <v>5</v>
      </c>
      <c r="E832" s="874"/>
      <c r="F832" s="873"/>
      <c r="G832" s="875"/>
      <c r="H832" s="896">
        <f>PRODUCT(C832:G832)</f>
        <v>5</v>
      </c>
      <c r="I832" s="897" t="s">
        <v>4</v>
      </c>
    </row>
    <row r="833" spans="1:9">
      <c r="A833" s="871"/>
      <c r="B833" s="891"/>
      <c r="C833" s="873"/>
      <c r="D833" s="873"/>
      <c r="E833" s="874"/>
      <c r="F833" s="873"/>
      <c r="G833" s="875"/>
      <c r="H833" s="876"/>
      <c r="I833" s="877"/>
    </row>
    <row r="834" spans="1:9" ht="31.5">
      <c r="A834" s="871">
        <v>50.5</v>
      </c>
      <c r="B834" s="886" t="s">
        <v>2435</v>
      </c>
      <c r="C834" s="873">
        <v>1</v>
      </c>
      <c r="D834" s="873">
        <v>1</v>
      </c>
      <c r="E834" s="888">
        <v>1</v>
      </c>
      <c r="F834" s="873"/>
      <c r="G834" s="875"/>
      <c r="H834" s="876">
        <f>PRODUCT(C834:G834)</f>
        <v>1</v>
      </c>
      <c r="I834" s="877"/>
    </row>
    <row r="835" spans="1:9">
      <c r="A835" s="871"/>
      <c r="B835" s="891"/>
      <c r="C835" s="873"/>
      <c r="D835" s="873"/>
      <c r="E835" s="874"/>
      <c r="F835" s="873"/>
      <c r="G835" s="892" t="s">
        <v>57</v>
      </c>
      <c r="H835" s="896">
        <f>SUM(H834)</f>
        <v>1</v>
      </c>
      <c r="I835" s="897" t="s">
        <v>54</v>
      </c>
    </row>
    <row r="836" spans="1:9">
      <c r="A836" s="871" t="s">
        <v>220</v>
      </c>
      <c r="B836" s="891"/>
      <c r="C836" s="909"/>
      <c r="D836" s="909"/>
      <c r="E836" s="873"/>
      <c r="F836" s="873"/>
      <c r="G836" s="909"/>
      <c r="H836" s="909"/>
      <c r="I836" s="902"/>
    </row>
    <row r="837" spans="1:9" ht="44.25" customHeight="1">
      <c r="A837" s="871">
        <v>52</v>
      </c>
      <c r="B837" s="886" t="s">
        <v>2436</v>
      </c>
      <c r="C837" s="873"/>
      <c r="D837" s="873"/>
      <c r="E837" s="874"/>
      <c r="F837" s="873"/>
      <c r="G837" s="875"/>
      <c r="H837" s="876"/>
      <c r="I837" s="877"/>
    </row>
    <row r="838" spans="1:9">
      <c r="A838" s="871" t="s">
        <v>2058</v>
      </c>
      <c r="B838" s="891" t="s">
        <v>2437</v>
      </c>
      <c r="C838" s="909"/>
      <c r="D838" s="909"/>
      <c r="E838" s="873"/>
      <c r="F838" s="873"/>
      <c r="G838" s="909"/>
      <c r="H838" s="909"/>
      <c r="I838" s="902"/>
    </row>
    <row r="839" spans="1:9">
      <c r="A839" s="871"/>
      <c r="B839" s="891" t="s">
        <v>2438</v>
      </c>
      <c r="C839" s="873">
        <v>1</v>
      </c>
      <c r="D839" s="873">
        <v>1</v>
      </c>
      <c r="E839" s="888">
        <v>45</v>
      </c>
      <c r="F839" s="873"/>
      <c r="G839" s="875"/>
      <c r="H839" s="876">
        <f>PRODUCT(C839:G839)</f>
        <v>45</v>
      </c>
      <c r="I839" s="877"/>
    </row>
    <row r="840" spans="1:9">
      <c r="A840" s="871"/>
      <c r="B840" s="891"/>
      <c r="C840" s="873"/>
      <c r="D840" s="873"/>
      <c r="E840" s="888"/>
      <c r="F840" s="873"/>
      <c r="G840" s="892" t="s">
        <v>57</v>
      </c>
      <c r="H840" s="896">
        <f>SUM(H839)</f>
        <v>45</v>
      </c>
      <c r="I840" s="897" t="s">
        <v>61</v>
      </c>
    </row>
    <row r="841" spans="1:9">
      <c r="A841" s="871"/>
      <c r="B841" s="891"/>
      <c r="C841" s="873"/>
      <c r="D841" s="873"/>
      <c r="E841" s="888"/>
      <c r="F841" s="873"/>
      <c r="G841" s="892"/>
      <c r="H841" s="896"/>
      <c r="I841" s="897"/>
    </row>
    <row r="842" spans="1:9">
      <c r="A842" s="871" t="s">
        <v>2142</v>
      </c>
      <c r="B842" s="891" t="s">
        <v>2439</v>
      </c>
      <c r="C842" s="873"/>
      <c r="D842" s="873"/>
      <c r="E842" s="874"/>
      <c r="F842" s="873"/>
      <c r="G842" s="875"/>
      <c r="H842" s="876"/>
      <c r="I842" s="877"/>
    </row>
    <row r="843" spans="1:9">
      <c r="A843" s="871"/>
      <c r="B843" s="891" t="s">
        <v>2440</v>
      </c>
      <c r="C843" s="873">
        <v>1</v>
      </c>
      <c r="D843" s="873">
        <v>4</v>
      </c>
      <c r="E843" s="888">
        <v>21</v>
      </c>
      <c r="F843" s="873"/>
      <c r="G843" s="875"/>
      <c r="H843" s="876">
        <f>PRODUCT(C843:G843)</f>
        <v>84</v>
      </c>
      <c r="I843" s="877"/>
    </row>
    <row r="844" spans="1:9">
      <c r="A844" s="871"/>
      <c r="B844" s="891" t="s">
        <v>2441</v>
      </c>
      <c r="C844" s="873">
        <v>1</v>
      </c>
      <c r="D844" s="873">
        <v>3</v>
      </c>
      <c r="E844" s="888">
        <v>18</v>
      </c>
      <c r="F844" s="873"/>
      <c r="G844" s="875"/>
      <c r="H844" s="876">
        <f>PRODUCT(C844:G844)</f>
        <v>54</v>
      </c>
      <c r="I844" s="877"/>
    </row>
    <row r="845" spans="1:9">
      <c r="A845" s="871"/>
      <c r="B845" s="891" t="s">
        <v>2442</v>
      </c>
      <c r="C845" s="873">
        <v>1</v>
      </c>
      <c r="D845" s="873">
        <v>2</v>
      </c>
      <c r="E845" s="888">
        <v>1.5</v>
      </c>
      <c r="F845" s="873"/>
      <c r="G845" s="875"/>
      <c r="H845" s="876">
        <f>PRODUCT(C845:G845)</f>
        <v>3</v>
      </c>
      <c r="I845" s="877"/>
    </row>
    <row r="846" spans="1:9">
      <c r="A846" s="871"/>
      <c r="B846" s="891" t="s">
        <v>2443</v>
      </c>
      <c r="C846" s="873">
        <v>1</v>
      </c>
      <c r="D846" s="873">
        <v>1</v>
      </c>
      <c r="E846" s="888">
        <v>8</v>
      </c>
      <c r="F846" s="873"/>
      <c r="G846" s="875"/>
      <c r="H846" s="876">
        <f>PRODUCT(C846:G846)</f>
        <v>8</v>
      </c>
      <c r="I846" s="877"/>
    </row>
    <row r="847" spans="1:9">
      <c r="A847" s="871"/>
      <c r="B847" s="891" t="s">
        <v>220</v>
      </c>
      <c r="C847" s="909"/>
      <c r="D847" s="909"/>
      <c r="E847" s="873"/>
      <c r="F847" s="873"/>
      <c r="G847" s="892" t="s">
        <v>57</v>
      </c>
      <c r="H847" s="929">
        <f>SUM(H843:H846)</f>
        <v>149</v>
      </c>
      <c r="I847" s="897" t="s">
        <v>61</v>
      </c>
    </row>
    <row r="848" spans="1:9">
      <c r="A848" s="871"/>
      <c r="B848" s="891"/>
      <c r="C848" s="873"/>
      <c r="D848" s="873"/>
      <c r="E848" s="874"/>
      <c r="F848" s="873"/>
      <c r="G848" s="875"/>
      <c r="H848" s="876"/>
      <c r="I848" s="902"/>
    </row>
    <row r="849" spans="1:9" ht="47.25">
      <c r="A849" s="871">
        <v>54.1</v>
      </c>
      <c r="B849" s="891" t="s">
        <v>2444</v>
      </c>
      <c r="C849" s="873"/>
      <c r="D849" s="873"/>
      <c r="E849" s="888"/>
      <c r="F849" s="873"/>
      <c r="G849" s="875"/>
      <c r="H849" s="876"/>
      <c r="I849" s="877"/>
    </row>
    <row r="850" spans="1:9">
      <c r="A850" s="871"/>
      <c r="B850" s="891" t="s">
        <v>2445</v>
      </c>
      <c r="C850" s="873">
        <v>1</v>
      </c>
      <c r="D850" s="873">
        <v>3</v>
      </c>
      <c r="E850" s="888"/>
      <c r="F850" s="873"/>
      <c r="G850" s="875"/>
      <c r="H850" s="876">
        <f>PRODUCT(C850:G850)</f>
        <v>3</v>
      </c>
      <c r="I850" s="902"/>
    </row>
    <row r="851" spans="1:9">
      <c r="A851" s="871"/>
      <c r="B851" s="891" t="s">
        <v>2446</v>
      </c>
      <c r="C851" s="873">
        <v>1</v>
      </c>
      <c r="D851" s="873">
        <v>3</v>
      </c>
      <c r="E851" s="874"/>
      <c r="F851" s="873"/>
      <c r="G851" s="875"/>
      <c r="H851" s="876">
        <f>PRODUCT(C851:G851)</f>
        <v>3</v>
      </c>
      <c r="I851" s="877"/>
    </row>
    <row r="852" spans="1:9">
      <c r="A852" s="871"/>
      <c r="B852" s="891"/>
      <c r="C852" s="873"/>
      <c r="D852" s="873"/>
      <c r="E852" s="874"/>
      <c r="F852" s="873"/>
      <c r="G852" s="892" t="s">
        <v>57</v>
      </c>
      <c r="H852" s="896">
        <f>SUM(H850:H851)</f>
        <v>6</v>
      </c>
      <c r="I852" s="897" t="s">
        <v>4</v>
      </c>
    </row>
    <row r="853" spans="1:9">
      <c r="A853" s="871"/>
      <c r="B853" s="891"/>
      <c r="C853" s="873"/>
      <c r="D853" s="873"/>
      <c r="E853" s="874"/>
      <c r="F853" s="873"/>
      <c r="G853" s="892"/>
      <c r="H853" s="896"/>
      <c r="I853" s="897"/>
    </row>
    <row r="854" spans="1:9" ht="49.9" customHeight="1">
      <c r="A854" s="871">
        <v>54.2</v>
      </c>
      <c r="B854" s="891" t="s">
        <v>2447</v>
      </c>
      <c r="C854" s="873"/>
      <c r="D854" s="873"/>
      <c r="E854" s="888"/>
      <c r="F854" s="873"/>
      <c r="G854" s="875"/>
      <c r="H854" s="876"/>
      <c r="I854" s="877"/>
    </row>
    <row r="855" spans="1:9">
      <c r="A855" s="871"/>
      <c r="B855" s="891" t="s">
        <v>2445</v>
      </c>
      <c r="C855" s="873">
        <v>1</v>
      </c>
      <c r="D855" s="873">
        <v>3</v>
      </c>
      <c r="E855" s="888"/>
      <c r="F855" s="873"/>
      <c r="G855" s="875"/>
      <c r="H855" s="876">
        <f>PRODUCT(C855:G855)</f>
        <v>3</v>
      </c>
      <c r="I855" s="902"/>
    </row>
    <row r="856" spans="1:9">
      <c r="A856" s="871" t="s">
        <v>220</v>
      </c>
      <c r="B856" s="902" t="s">
        <v>2448</v>
      </c>
      <c r="C856" s="873">
        <v>1</v>
      </c>
      <c r="D856" s="873">
        <v>2</v>
      </c>
      <c r="E856" s="874"/>
      <c r="F856" s="873"/>
      <c r="G856" s="875"/>
      <c r="H856" s="876">
        <f>PRODUCT(C856:G856)</f>
        <v>2</v>
      </c>
      <c r="I856" s="877"/>
    </row>
    <row r="857" spans="1:9">
      <c r="A857" s="871"/>
      <c r="B857" s="891" t="s">
        <v>2446</v>
      </c>
      <c r="C857" s="873">
        <v>1</v>
      </c>
      <c r="D857" s="873">
        <v>3</v>
      </c>
      <c r="E857" s="874"/>
      <c r="F857" s="873"/>
      <c r="G857" s="875"/>
      <c r="H857" s="876">
        <f>PRODUCT(C857:G857)</f>
        <v>3</v>
      </c>
      <c r="I857" s="877"/>
    </row>
    <row r="858" spans="1:9">
      <c r="A858" s="871"/>
      <c r="B858" s="891"/>
      <c r="C858" s="873"/>
      <c r="D858" s="873"/>
      <c r="E858" s="874"/>
      <c r="F858" s="873"/>
      <c r="G858" s="892" t="s">
        <v>57</v>
      </c>
      <c r="H858" s="896">
        <f>SUM(H855:H857)</f>
        <v>8</v>
      </c>
      <c r="I858" s="897" t="s">
        <v>4</v>
      </c>
    </row>
    <row r="859" spans="1:9">
      <c r="A859" s="871"/>
      <c r="B859" s="891"/>
      <c r="C859" s="873"/>
      <c r="D859" s="873"/>
      <c r="E859" s="874"/>
      <c r="F859" s="873"/>
      <c r="G859" s="892"/>
      <c r="H859" s="896"/>
      <c r="I859" s="897"/>
    </row>
    <row r="860" spans="1:9">
      <c r="A860" s="871">
        <v>57</v>
      </c>
      <c r="B860" s="886" t="s">
        <v>2449</v>
      </c>
      <c r="C860" s="873"/>
      <c r="D860" s="873"/>
      <c r="E860" s="888"/>
      <c r="F860" s="873"/>
      <c r="G860" s="875"/>
      <c r="H860" s="876"/>
      <c r="I860" s="877"/>
    </row>
    <row r="861" spans="1:9">
      <c r="A861" s="871"/>
      <c r="B861" s="886" t="s">
        <v>2450</v>
      </c>
      <c r="C861" s="873">
        <v>1</v>
      </c>
      <c r="D861" s="873">
        <v>1</v>
      </c>
      <c r="E861" s="888"/>
      <c r="F861" s="873"/>
      <c r="G861" s="875"/>
      <c r="H861" s="876">
        <f>PRODUCT(C861:G861)</f>
        <v>1</v>
      </c>
      <c r="I861" s="877"/>
    </row>
    <row r="862" spans="1:9" ht="31.5">
      <c r="A862" s="871"/>
      <c r="B862" s="886" t="s">
        <v>2451</v>
      </c>
      <c r="C862" s="873">
        <v>1</v>
      </c>
      <c r="D862" s="873">
        <v>3</v>
      </c>
      <c r="E862" s="888"/>
      <c r="F862" s="873"/>
      <c r="G862" s="875"/>
      <c r="H862" s="876">
        <f>PRODUCT(C862:G862)</f>
        <v>3</v>
      </c>
      <c r="I862" s="877"/>
    </row>
    <row r="863" spans="1:9">
      <c r="A863" s="871"/>
      <c r="B863" s="886"/>
      <c r="C863" s="873"/>
      <c r="D863" s="873"/>
      <c r="E863" s="888"/>
      <c r="F863" s="873"/>
      <c r="G863" s="892" t="s">
        <v>57</v>
      </c>
      <c r="H863" s="896">
        <f>SUM(H861:H862)</f>
        <v>4</v>
      </c>
      <c r="I863" s="897" t="s">
        <v>213</v>
      </c>
    </row>
    <row r="864" spans="1:9">
      <c r="A864" s="871"/>
      <c r="B864" s="886"/>
      <c r="C864" s="873"/>
      <c r="D864" s="873"/>
      <c r="E864" s="888"/>
      <c r="F864" s="873"/>
      <c r="G864" s="892"/>
      <c r="H864" s="896"/>
      <c r="I864" s="897"/>
    </row>
    <row r="865" spans="1:11">
      <c r="A865" s="871">
        <v>60</v>
      </c>
      <c r="B865" s="891" t="s">
        <v>2452</v>
      </c>
      <c r="C865" s="873"/>
      <c r="D865" s="873"/>
      <c r="E865" s="874"/>
      <c r="F865" s="873"/>
      <c r="G865" s="875"/>
      <c r="H865" s="876"/>
      <c r="I865" s="877"/>
      <c r="J865" s="941"/>
      <c r="K865" s="864"/>
    </row>
    <row r="866" spans="1:11">
      <c r="A866" s="871" t="s">
        <v>220</v>
      </c>
      <c r="B866" s="891" t="s">
        <v>2453</v>
      </c>
      <c r="C866" s="873">
        <v>1</v>
      </c>
      <c r="D866" s="873">
        <v>5</v>
      </c>
      <c r="E866" s="874"/>
      <c r="F866" s="873"/>
      <c r="G866" s="875"/>
      <c r="H866" s="876">
        <f>PRODUCT(C866:G866)</f>
        <v>5</v>
      </c>
      <c r="I866" s="914"/>
      <c r="J866" s="941"/>
      <c r="K866" s="864"/>
    </row>
    <row r="867" spans="1:11">
      <c r="A867" s="871"/>
      <c r="B867" s="891" t="s">
        <v>2454</v>
      </c>
      <c r="C867" s="873">
        <v>2</v>
      </c>
      <c r="D867" s="873">
        <v>3</v>
      </c>
      <c r="E867" s="874"/>
      <c r="F867" s="873"/>
      <c r="G867" s="875"/>
      <c r="H867" s="876">
        <f>PRODUCT(C867:G867)</f>
        <v>6</v>
      </c>
      <c r="I867" s="914"/>
      <c r="J867" s="941"/>
      <c r="K867" s="864"/>
    </row>
    <row r="868" spans="1:11">
      <c r="A868" s="871"/>
      <c r="B868" s="891"/>
      <c r="C868" s="873"/>
      <c r="D868" s="873"/>
      <c r="E868" s="874"/>
      <c r="F868" s="873"/>
      <c r="G868" s="892" t="s">
        <v>57</v>
      </c>
      <c r="H868" s="896">
        <f>SUM(H866:H867)</f>
        <v>11</v>
      </c>
      <c r="I868" s="912" t="s">
        <v>4</v>
      </c>
      <c r="J868" s="941"/>
      <c r="K868" s="864"/>
    </row>
    <row r="869" spans="1:11">
      <c r="A869" s="871"/>
      <c r="B869" s="891"/>
      <c r="C869" s="873"/>
      <c r="D869" s="873"/>
      <c r="E869" s="874"/>
      <c r="F869" s="873"/>
      <c r="G869" s="875"/>
      <c r="H869" s="876"/>
      <c r="I869" s="914"/>
      <c r="J869" s="941"/>
      <c r="K869" s="864"/>
    </row>
    <row r="870" spans="1:11" ht="39" customHeight="1">
      <c r="A870" s="871">
        <v>61.1</v>
      </c>
      <c r="B870" s="891" t="s">
        <v>2455</v>
      </c>
      <c r="C870" s="873"/>
      <c r="D870" s="873"/>
      <c r="E870" s="873"/>
      <c r="F870" s="874"/>
      <c r="G870" s="871"/>
      <c r="H870" s="875"/>
      <c r="I870" s="914"/>
    </row>
    <row r="871" spans="1:11">
      <c r="A871" s="871" t="s">
        <v>2058</v>
      </c>
      <c r="B871" s="891" t="s">
        <v>2456</v>
      </c>
      <c r="C871" s="909"/>
      <c r="D871" s="909"/>
      <c r="E871" s="873"/>
      <c r="F871" s="873"/>
      <c r="G871" s="909"/>
      <c r="H871" s="909"/>
      <c r="I871" s="902"/>
    </row>
    <row r="872" spans="1:11">
      <c r="A872" s="871"/>
      <c r="B872" s="886" t="s">
        <v>2457</v>
      </c>
      <c r="C872" s="873">
        <v>1</v>
      </c>
      <c r="D872" s="873">
        <v>3</v>
      </c>
      <c r="E872" s="888">
        <v>2</v>
      </c>
      <c r="F872" s="873"/>
      <c r="G872" s="875"/>
      <c r="H872" s="876">
        <f t="shared" ref="H872:H878" si="31">PRODUCT(C872:G872)</f>
        <v>6</v>
      </c>
      <c r="I872" s="902"/>
    </row>
    <row r="873" spans="1:11">
      <c r="A873" s="871"/>
      <c r="B873" s="886" t="s">
        <v>2458</v>
      </c>
      <c r="C873" s="873">
        <v>1</v>
      </c>
      <c r="D873" s="873">
        <v>3</v>
      </c>
      <c r="E873" s="888">
        <v>2</v>
      </c>
      <c r="F873" s="873"/>
      <c r="G873" s="875"/>
      <c r="H873" s="876">
        <f t="shared" si="31"/>
        <v>6</v>
      </c>
      <c r="I873" s="902"/>
    </row>
    <row r="874" spans="1:11">
      <c r="A874" s="871"/>
      <c r="B874" s="886" t="s">
        <v>2459</v>
      </c>
      <c r="C874" s="873">
        <v>1</v>
      </c>
      <c r="D874" s="873">
        <v>1</v>
      </c>
      <c r="E874" s="888">
        <v>7</v>
      </c>
      <c r="F874" s="873"/>
      <c r="G874" s="875"/>
      <c r="H874" s="876">
        <f t="shared" si="31"/>
        <v>7</v>
      </c>
      <c r="I874" s="902"/>
    </row>
    <row r="875" spans="1:11">
      <c r="A875" s="871"/>
      <c r="B875" s="891"/>
      <c r="C875" s="873">
        <v>1</v>
      </c>
      <c r="D875" s="873">
        <v>1</v>
      </c>
      <c r="E875" s="888">
        <v>4</v>
      </c>
      <c r="F875" s="873"/>
      <c r="G875" s="875"/>
      <c r="H875" s="876">
        <f t="shared" si="31"/>
        <v>4</v>
      </c>
      <c r="I875" s="902"/>
    </row>
    <row r="876" spans="1:11">
      <c r="A876" s="871"/>
      <c r="B876" s="891"/>
      <c r="C876" s="873">
        <v>1</v>
      </c>
      <c r="D876" s="873">
        <v>1</v>
      </c>
      <c r="E876" s="888">
        <v>6</v>
      </c>
      <c r="F876" s="873"/>
      <c r="G876" s="875"/>
      <c r="H876" s="876">
        <f t="shared" si="31"/>
        <v>6</v>
      </c>
      <c r="I876" s="902"/>
    </row>
    <row r="877" spans="1:11">
      <c r="A877" s="871"/>
      <c r="B877" s="886" t="s">
        <v>2460</v>
      </c>
      <c r="C877" s="873">
        <v>1</v>
      </c>
      <c r="D877" s="873">
        <v>1</v>
      </c>
      <c r="E877" s="888">
        <v>43</v>
      </c>
      <c r="F877" s="873"/>
      <c r="G877" s="875"/>
      <c r="H877" s="876">
        <f t="shared" si="31"/>
        <v>43</v>
      </c>
      <c r="I877" s="902"/>
    </row>
    <row r="878" spans="1:11">
      <c r="A878" s="871"/>
      <c r="B878" s="886" t="s">
        <v>2461</v>
      </c>
      <c r="C878" s="873">
        <v>1</v>
      </c>
      <c r="D878" s="873">
        <v>4</v>
      </c>
      <c r="E878" s="888">
        <v>2</v>
      </c>
      <c r="F878" s="873"/>
      <c r="G878" s="875"/>
      <c r="H878" s="876">
        <f t="shared" si="31"/>
        <v>8</v>
      </c>
      <c r="I878" s="902"/>
    </row>
    <row r="879" spans="1:11">
      <c r="A879" s="871"/>
      <c r="B879" s="891"/>
      <c r="C879" s="909"/>
      <c r="D879" s="909"/>
      <c r="E879" s="873"/>
      <c r="F879" s="873"/>
      <c r="G879" s="892" t="s">
        <v>57</v>
      </c>
      <c r="H879" s="929">
        <f>SUM(H872:H878)</f>
        <v>80</v>
      </c>
      <c r="I879" s="897" t="s">
        <v>61</v>
      </c>
    </row>
    <row r="880" spans="1:11">
      <c r="A880" s="871"/>
      <c r="B880" s="891"/>
      <c r="C880" s="873"/>
      <c r="D880" s="873"/>
      <c r="E880" s="888"/>
      <c r="F880" s="873"/>
      <c r="G880" s="871"/>
      <c r="H880" s="876"/>
      <c r="I880" s="877"/>
    </row>
    <row r="881" spans="1:11" ht="45">
      <c r="A881" s="871">
        <v>62.1</v>
      </c>
      <c r="B881" s="942" t="s">
        <v>2462</v>
      </c>
      <c r="C881" s="873"/>
      <c r="D881" s="873"/>
      <c r="E881" s="874"/>
      <c r="F881" s="873"/>
      <c r="G881" s="875"/>
      <c r="H881" s="909"/>
      <c r="I881" s="902"/>
      <c r="K881" s="943"/>
    </row>
    <row r="882" spans="1:11">
      <c r="A882" s="871"/>
      <c r="B882" s="891" t="s">
        <v>2463</v>
      </c>
      <c r="C882" s="873">
        <v>1</v>
      </c>
      <c r="D882" s="873">
        <v>2</v>
      </c>
      <c r="E882" s="874"/>
      <c r="F882" s="873"/>
      <c r="G882" s="875"/>
      <c r="H882" s="876">
        <f>PRODUCT(C882:G882)</f>
        <v>2</v>
      </c>
      <c r="I882" s="877"/>
    </row>
    <row r="883" spans="1:11">
      <c r="A883" s="871"/>
      <c r="B883" s="891" t="s">
        <v>220</v>
      </c>
      <c r="C883" s="873"/>
      <c r="D883" s="873"/>
      <c r="E883" s="874"/>
      <c r="F883" s="873"/>
      <c r="G883" s="892" t="s">
        <v>57</v>
      </c>
      <c r="H883" s="896">
        <f>SUM(H882)</f>
        <v>2</v>
      </c>
      <c r="I883" s="897" t="s">
        <v>4</v>
      </c>
    </row>
    <row r="884" spans="1:11">
      <c r="A884" s="871"/>
      <c r="B884" s="891"/>
      <c r="C884" s="873"/>
      <c r="D884" s="873"/>
      <c r="E884" s="874"/>
      <c r="F884" s="873"/>
      <c r="G884" s="892"/>
      <c r="H884" s="896"/>
      <c r="I884" s="897"/>
    </row>
    <row r="885" spans="1:11">
      <c r="A885" s="871"/>
      <c r="B885" s="932" t="s">
        <v>167</v>
      </c>
      <c r="C885" s="873"/>
      <c r="D885" s="873"/>
      <c r="E885" s="874"/>
      <c r="F885" s="873"/>
      <c r="G885" s="875"/>
      <c r="H885" s="876"/>
      <c r="I885" s="877"/>
    </row>
    <row r="886" spans="1:11">
      <c r="A886" s="871">
        <v>69</v>
      </c>
      <c r="B886" s="891" t="s">
        <v>1001</v>
      </c>
      <c r="C886" s="873"/>
      <c r="D886" s="873"/>
      <c r="E886" s="874"/>
      <c r="F886" s="873"/>
      <c r="G886" s="875"/>
      <c r="H886" s="876"/>
      <c r="I886" s="877"/>
    </row>
    <row r="887" spans="1:11">
      <c r="A887" s="871"/>
      <c r="B887" s="891" t="s">
        <v>2464</v>
      </c>
      <c r="C887" s="873">
        <v>1</v>
      </c>
      <c r="D887" s="873">
        <v>1</v>
      </c>
      <c r="E887" s="888"/>
      <c r="F887" s="873"/>
      <c r="G887" s="875"/>
      <c r="H887" s="876">
        <f>PRODUCT(C887:G887)</f>
        <v>1</v>
      </c>
      <c r="I887" s="877"/>
    </row>
    <row r="888" spans="1:11">
      <c r="A888" s="871"/>
      <c r="B888" s="891" t="s">
        <v>2465</v>
      </c>
      <c r="C888" s="873">
        <v>1</v>
      </c>
      <c r="D888" s="873">
        <v>1</v>
      </c>
      <c r="E888" s="888"/>
      <c r="F888" s="873"/>
      <c r="G888" s="875"/>
      <c r="H888" s="876">
        <f>PRODUCT(C888:G888)</f>
        <v>1</v>
      </c>
      <c r="I888" s="877"/>
    </row>
    <row r="889" spans="1:11">
      <c r="A889" s="871"/>
      <c r="B889" s="891" t="s">
        <v>2464</v>
      </c>
      <c r="C889" s="873">
        <v>1</v>
      </c>
      <c r="D889" s="873">
        <v>1</v>
      </c>
      <c r="E889" s="888"/>
      <c r="F889" s="873"/>
      <c r="G889" s="875"/>
      <c r="H889" s="876">
        <f>PRODUCT(C889:G889)</f>
        <v>1</v>
      </c>
      <c r="I889" s="877"/>
    </row>
    <row r="890" spans="1:11">
      <c r="A890" s="871"/>
      <c r="B890" s="891" t="s">
        <v>2078</v>
      </c>
      <c r="C890" s="873">
        <v>1</v>
      </c>
      <c r="D890" s="873">
        <v>2</v>
      </c>
      <c r="E890" s="888"/>
      <c r="F890" s="873"/>
      <c r="G890" s="875"/>
      <c r="H890" s="876">
        <f>PRODUCT(C890:G890)</f>
        <v>2</v>
      </c>
      <c r="I890" s="877"/>
    </row>
    <row r="891" spans="1:11">
      <c r="A891" s="871"/>
      <c r="B891" s="891"/>
      <c r="C891" s="873"/>
      <c r="D891" s="873"/>
      <c r="E891" s="874"/>
      <c r="F891" s="873"/>
      <c r="G891" s="892" t="s">
        <v>57</v>
      </c>
      <c r="H891" s="896">
        <f>SUM(H887:H890)</f>
        <v>5</v>
      </c>
      <c r="I891" s="897" t="s">
        <v>4</v>
      </c>
    </row>
    <row r="892" spans="1:11">
      <c r="A892" s="871"/>
      <c r="B892" s="891"/>
      <c r="C892" s="873"/>
      <c r="D892" s="873"/>
      <c r="E892" s="874"/>
      <c r="F892" s="873"/>
      <c r="G892" s="875"/>
      <c r="H892" s="876"/>
      <c r="I892" s="877"/>
    </row>
    <row r="893" spans="1:11">
      <c r="A893" s="871">
        <v>72</v>
      </c>
      <c r="B893" s="886" t="s">
        <v>2466</v>
      </c>
      <c r="C893" s="873"/>
      <c r="D893" s="873"/>
      <c r="E893" s="874"/>
      <c r="F893" s="873"/>
      <c r="G893" s="875"/>
      <c r="H893" s="909"/>
      <c r="I893" s="902"/>
    </row>
    <row r="894" spans="1:11">
      <c r="A894" s="871"/>
      <c r="B894" s="891" t="s">
        <v>2467</v>
      </c>
      <c r="C894" s="873"/>
      <c r="D894" s="873"/>
      <c r="E894" s="874"/>
      <c r="F894" s="873"/>
      <c r="G894" s="875"/>
      <c r="H894" s="876">
        <f>H1555</f>
        <v>17</v>
      </c>
      <c r="I894" s="877"/>
    </row>
    <row r="895" spans="1:11">
      <c r="A895" s="871"/>
      <c r="B895" s="891"/>
      <c r="C895" s="873"/>
      <c r="D895" s="873"/>
      <c r="E895" s="874"/>
      <c r="F895" s="873"/>
      <c r="G895" s="892" t="s">
        <v>57</v>
      </c>
      <c r="H895" s="896">
        <f>SUM(H894)</f>
        <v>17</v>
      </c>
      <c r="I895" s="897" t="s">
        <v>4</v>
      </c>
    </row>
    <row r="896" spans="1:11">
      <c r="A896" s="871"/>
      <c r="B896" s="891"/>
      <c r="C896" s="873"/>
      <c r="D896" s="873"/>
      <c r="E896" s="874"/>
      <c r="F896" s="873"/>
      <c r="G896" s="892"/>
      <c r="H896" s="896"/>
      <c r="I896" s="897"/>
    </row>
    <row r="897" spans="1:9">
      <c r="A897" s="871">
        <v>74</v>
      </c>
      <c r="B897" s="891" t="s">
        <v>2468</v>
      </c>
      <c r="C897" s="873"/>
      <c r="D897" s="873"/>
      <c r="E897" s="874"/>
      <c r="F897" s="873"/>
      <c r="G897" s="875"/>
      <c r="H897" s="876"/>
      <c r="I897" s="877"/>
    </row>
    <row r="898" spans="1:9">
      <c r="A898" s="871"/>
      <c r="B898" s="891" t="s">
        <v>2467</v>
      </c>
      <c r="C898" s="873"/>
      <c r="D898" s="873"/>
      <c r="E898" s="874"/>
      <c r="F898" s="873"/>
      <c r="G898" s="875"/>
      <c r="H898" s="876">
        <f>H894</f>
        <v>17</v>
      </c>
      <c r="I898" s="877"/>
    </row>
    <row r="899" spans="1:9">
      <c r="A899" s="871"/>
      <c r="B899" s="891"/>
      <c r="C899" s="873"/>
      <c r="D899" s="873"/>
      <c r="E899" s="874"/>
      <c r="F899" s="873"/>
      <c r="G899" s="892" t="s">
        <v>57</v>
      </c>
      <c r="H899" s="896">
        <f>SUM(H898)</f>
        <v>17</v>
      </c>
      <c r="I899" s="897" t="s">
        <v>4</v>
      </c>
    </row>
    <row r="900" spans="1:9">
      <c r="A900" s="871"/>
      <c r="B900" s="891"/>
      <c r="C900" s="873"/>
      <c r="D900" s="873"/>
      <c r="E900" s="874"/>
      <c r="F900" s="873"/>
      <c r="G900" s="892"/>
      <c r="H900" s="896"/>
      <c r="I900" s="897"/>
    </row>
    <row r="901" spans="1:9">
      <c r="A901" s="871">
        <v>76</v>
      </c>
      <c r="B901" s="891" t="s">
        <v>1018</v>
      </c>
      <c r="C901" s="873"/>
      <c r="D901" s="873"/>
      <c r="E901" s="874"/>
      <c r="F901" s="873"/>
      <c r="G901" s="875"/>
      <c r="H901" s="876"/>
      <c r="I901" s="877"/>
    </row>
    <row r="902" spans="1:9">
      <c r="A902" s="871" t="s">
        <v>220</v>
      </c>
      <c r="B902" s="891" t="s">
        <v>2469</v>
      </c>
      <c r="C902" s="873">
        <v>1</v>
      </c>
      <c r="D902" s="873">
        <v>1</v>
      </c>
      <c r="E902" s="888">
        <v>15</v>
      </c>
      <c r="F902" s="873"/>
      <c r="G902" s="875"/>
      <c r="H902" s="876">
        <f>PRODUCT(C902:G902)</f>
        <v>15</v>
      </c>
      <c r="I902" s="877"/>
    </row>
    <row r="903" spans="1:9">
      <c r="A903" s="871"/>
      <c r="B903" s="891"/>
      <c r="C903" s="873"/>
      <c r="D903" s="873"/>
      <c r="E903" s="888"/>
      <c r="F903" s="873"/>
      <c r="G903" s="892" t="s">
        <v>57</v>
      </c>
      <c r="H903" s="896">
        <f>SUM(H902)</f>
        <v>15</v>
      </c>
      <c r="I903" s="897" t="s">
        <v>61</v>
      </c>
    </row>
    <row r="904" spans="1:9">
      <c r="A904" s="871"/>
      <c r="B904" s="891"/>
      <c r="C904" s="873"/>
      <c r="D904" s="873"/>
      <c r="E904" s="888"/>
      <c r="F904" s="873"/>
      <c r="G904" s="892"/>
      <c r="H904" s="896"/>
      <c r="I904" s="897"/>
    </row>
    <row r="905" spans="1:9" ht="31.5">
      <c r="A905" s="871">
        <v>77.3</v>
      </c>
      <c r="B905" s="886" t="s">
        <v>2470</v>
      </c>
      <c r="C905" s="873"/>
      <c r="D905" s="873"/>
      <c r="E905" s="874"/>
      <c r="F905" s="873"/>
      <c r="G905" s="875"/>
      <c r="H905" s="876"/>
      <c r="I905" s="877"/>
    </row>
    <row r="906" spans="1:9">
      <c r="A906" s="871"/>
      <c r="B906" s="886" t="s">
        <v>2471</v>
      </c>
      <c r="C906" s="873">
        <v>2</v>
      </c>
      <c r="D906" s="873">
        <v>2</v>
      </c>
      <c r="E906" s="888" t="s">
        <v>220</v>
      </c>
      <c r="F906" s="873"/>
      <c r="G906" s="875"/>
      <c r="H906" s="876">
        <f>PRODUCT(C906:G906)</f>
        <v>4</v>
      </c>
      <c r="I906" s="877"/>
    </row>
    <row r="907" spans="1:9">
      <c r="A907" s="871"/>
      <c r="B907" s="886" t="s">
        <v>2472</v>
      </c>
      <c r="C907" s="873">
        <v>1</v>
      </c>
      <c r="D907" s="873">
        <v>1</v>
      </c>
      <c r="E907" s="888"/>
      <c r="F907" s="873"/>
      <c r="G907" s="875"/>
      <c r="H907" s="876">
        <f>PRODUCT(C907:G907)</f>
        <v>1</v>
      </c>
      <c r="I907" s="877"/>
    </row>
    <row r="908" spans="1:9">
      <c r="A908" s="871"/>
      <c r="B908" s="886" t="s">
        <v>2078</v>
      </c>
      <c r="C908" s="873">
        <v>2</v>
      </c>
      <c r="D908" s="873">
        <v>2</v>
      </c>
      <c r="E908" s="874"/>
      <c r="F908" s="873"/>
      <c r="G908" s="875"/>
      <c r="H908" s="876">
        <f>PRODUCT(C908:G908)</f>
        <v>4</v>
      </c>
      <c r="I908" s="877"/>
    </row>
    <row r="909" spans="1:9">
      <c r="A909" s="871"/>
      <c r="B909" s="886"/>
      <c r="C909" s="873"/>
      <c r="D909" s="873"/>
      <c r="E909" s="874"/>
      <c r="F909" s="873"/>
      <c r="G909" s="892" t="s">
        <v>57</v>
      </c>
      <c r="H909" s="896">
        <f>SUM(H906:H908)</f>
        <v>9</v>
      </c>
      <c r="I909" s="897" t="s">
        <v>4</v>
      </c>
    </row>
    <row r="910" spans="1:9">
      <c r="A910" s="871"/>
      <c r="B910" s="886"/>
      <c r="C910" s="873"/>
      <c r="D910" s="873"/>
      <c r="E910" s="874"/>
      <c r="F910" s="873"/>
      <c r="G910" s="892"/>
      <c r="H910" s="896"/>
      <c r="I910" s="897"/>
    </row>
    <row r="911" spans="1:9" ht="31.5">
      <c r="A911" s="871">
        <v>77.400000000000006</v>
      </c>
      <c r="B911" s="886" t="s">
        <v>2473</v>
      </c>
      <c r="C911" s="873"/>
      <c r="D911" s="873"/>
      <c r="E911" s="874"/>
      <c r="F911" s="873"/>
      <c r="G911" s="875"/>
      <c r="H911" s="876"/>
      <c r="I911" s="877"/>
    </row>
    <row r="912" spans="1:9">
      <c r="A912" s="871"/>
      <c r="B912" s="886" t="s">
        <v>2474</v>
      </c>
      <c r="C912" s="873">
        <v>1</v>
      </c>
      <c r="D912" s="873">
        <v>3</v>
      </c>
      <c r="E912" s="888">
        <v>7</v>
      </c>
      <c r="F912" s="873"/>
      <c r="G912" s="875"/>
      <c r="H912" s="876">
        <f>PRODUCT(C912:G912)</f>
        <v>21</v>
      </c>
      <c r="I912" s="877"/>
    </row>
    <row r="913" spans="1:9">
      <c r="A913" s="871"/>
      <c r="B913" s="891" t="s">
        <v>2465</v>
      </c>
      <c r="C913" s="873">
        <v>1</v>
      </c>
      <c r="D913" s="873">
        <v>2</v>
      </c>
      <c r="E913" s="888">
        <v>5</v>
      </c>
      <c r="F913" s="873"/>
      <c r="G913" s="875"/>
      <c r="H913" s="876">
        <f>PRODUCT(C913:G913)</f>
        <v>10</v>
      </c>
      <c r="I913" s="877"/>
    </row>
    <row r="914" spans="1:9">
      <c r="A914" s="871"/>
      <c r="B914" s="886" t="s">
        <v>2078</v>
      </c>
      <c r="C914" s="873">
        <v>1</v>
      </c>
      <c r="D914" s="873">
        <v>3</v>
      </c>
      <c r="E914" s="888">
        <v>8</v>
      </c>
      <c r="F914" s="873"/>
      <c r="G914" s="875"/>
      <c r="H914" s="876">
        <f>PRODUCT(C914:G914)</f>
        <v>24</v>
      </c>
      <c r="I914" s="877"/>
    </row>
    <row r="915" spans="1:9">
      <c r="A915" s="871"/>
      <c r="B915" s="886"/>
      <c r="C915" s="873"/>
      <c r="D915" s="873"/>
      <c r="E915" s="888"/>
      <c r="F915" s="873"/>
      <c r="G915" s="892" t="s">
        <v>57</v>
      </c>
      <c r="H915" s="896">
        <f>SUM(H912:H914)</f>
        <v>55</v>
      </c>
      <c r="I915" s="897" t="s">
        <v>61</v>
      </c>
    </row>
    <row r="916" spans="1:9">
      <c r="A916" s="871"/>
      <c r="B916" s="891"/>
      <c r="C916" s="873"/>
      <c r="D916" s="873"/>
      <c r="E916" s="874"/>
      <c r="F916" s="873"/>
      <c r="G916" s="875"/>
      <c r="H916" s="876"/>
      <c r="I916" s="877"/>
    </row>
    <row r="917" spans="1:9">
      <c r="A917" s="871">
        <v>78</v>
      </c>
      <c r="B917" s="891" t="s">
        <v>2475</v>
      </c>
      <c r="C917" s="873">
        <v>1</v>
      </c>
      <c r="D917" s="873">
        <v>1</v>
      </c>
      <c r="E917" s="888" t="s">
        <v>220</v>
      </c>
      <c r="F917" s="873"/>
      <c r="G917" s="875"/>
      <c r="H917" s="876">
        <f>PRODUCT(C917:G917)</f>
        <v>1</v>
      </c>
      <c r="I917" s="877"/>
    </row>
    <row r="918" spans="1:9">
      <c r="A918" s="871"/>
      <c r="B918" s="891"/>
      <c r="C918" s="873"/>
      <c r="D918" s="873"/>
      <c r="E918" s="888"/>
      <c r="F918" s="873"/>
      <c r="G918" s="892" t="s">
        <v>57</v>
      </c>
      <c r="H918" s="896">
        <f>SUM(H917)</f>
        <v>1</v>
      </c>
      <c r="I918" s="897" t="s">
        <v>54</v>
      </c>
    </row>
    <row r="919" spans="1:9">
      <c r="A919" s="871"/>
      <c r="B919" s="891"/>
      <c r="C919" s="873"/>
      <c r="D919" s="873"/>
      <c r="E919" s="888"/>
      <c r="F919" s="873"/>
      <c r="G919" s="892"/>
      <c r="H919" s="896"/>
      <c r="I919" s="897"/>
    </row>
    <row r="920" spans="1:9">
      <c r="A920" s="871">
        <v>81</v>
      </c>
      <c r="B920" s="886" t="s">
        <v>2476</v>
      </c>
      <c r="C920" s="873">
        <v>1</v>
      </c>
      <c r="D920" s="873">
        <v>1</v>
      </c>
      <c r="E920" s="888">
        <v>0.75</v>
      </c>
      <c r="F920" s="873"/>
      <c r="G920" s="876">
        <v>0.9</v>
      </c>
      <c r="H920" s="876">
        <f>PRODUCT(C920:G920)</f>
        <v>0.67500000000000004</v>
      </c>
      <c r="I920" s="877"/>
    </row>
    <row r="921" spans="1:9" ht="18">
      <c r="A921" s="871"/>
      <c r="B921" s="891"/>
      <c r="C921" s="873"/>
      <c r="D921" s="873"/>
      <c r="E921" s="874"/>
      <c r="F921" s="873"/>
      <c r="G921" s="892" t="s">
        <v>57</v>
      </c>
      <c r="H921" s="896">
        <f>ROUND(H920,1)</f>
        <v>0.7</v>
      </c>
      <c r="I921" s="897" t="s">
        <v>2234</v>
      </c>
    </row>
    <row r="922" spans="1:9">
      <c r="A922" s="871"/>
      <c r="B922" s="891"/>
      <c r="C922" s="873"/>
      <c r="D922" s="873"/>
      <c r="E922" s="874"/>
      <c r="F922" s="873"/>
      <c r="G922" s="875"/>
      <c r="H922" s="876"/>
      <c r="I922" s="877"/>
    </row>
    <row r="923" spans="1:9">
      <c r="A923" s="871">
        <v>82</v>
      </c>
      <c r="B923" s="944" t="str">
        <f>[8]Development!B923</f>
        <v>Supply, fixing of 25W LED street light</v>
      </c>
      <c r="C923" s="873">
        <v>1</v>
      </c>
      <c r="D923" s="873">
        <v>4</v>
      </c>
      <c r="E923" s="888" t="s">
        <v>220</v>
      </c>
      <c r="F923" s="873"/>
      <c r="G923" s="875"/>
      <c r="H923" s="876">
        <f>PRODUCT(C923:G923)</f>
        <v>4</v>
      </c>
      <c r="I923" s="877"/>
    </row>
    <row r="924" spans="1:9">
      <c r="A924" s="871"/>
      <c r="B924" s="891"/>
      <c r="C924" s="873"/>
      <c r="D924" s="873"/>
      <c r="E924" s="874"/>
      <c r="F924" s="873"/>
      <c r="G924" s="892" t="s">
        <v>57</v>
      </c>
      <c r="H924" s="896">
        <f>SUM(H923)</f>
        <v>4</v>
      </c>
      <c r="I924" s="897" t="s">
        <v>4</v>
      </c>
    </row>
    <row r="925" spans="1:9">
      <c r="A925" s="871"/>
      <c r="B925" s="891"/>
      <c r="C925" s="873"/>
      <c r="D925" s="873"/>
      <c r="E925" s="874"/>
      <c r="F925" s="873"/>
      <c r="G925" s="892"/>
      <c r="H925" s="896"/>
      <c r="I925" s="897"/>
    </row>
    <row r="926" spans="1:9">
      <c r="A926" s="871">
        <v>83</v>
      </c>
      <c r="B926" s="886" t="s">
        <v>2477</v>
      </c>
      <c r="C926" s="909"/>
      <c r="D926" s="909"/>
      <c r="E926" s="873"/>
      <c r="F926" s="873"/>
      <c r="G926" s="909"/>
      <c r="H926" s="909"/>
      <c r="I926" s="877" t="s">
        <v>220</v>
      </c>
    </row>
    <row r="927" spans="1:9">
      <c r="A927" s="871"/>
      <c r="B927" s="886" t="s">
        <v>2478</v>
      </c>
      <c r="C927" s="873">
        <v>1</v>
      </c>
      <c r="D927" s="873">
        <v>1</v>
      </c>
      <c r="E927" s="888">
        <f>0.45+0.6+0.45+0.6</f>
        <v>2.1</v>
      </c>
      <c r="F927" s="873"/>
      <c r="G927" s="875"/>
      <c r="H927" s="876">
        <f>PRODUCT(C927:G927)</f>
        <v>2.1</v>
      </c>
      <c r="I927" s="877"/>
    </row>
    <row r="928" spans="1:9">
      <c r="A928" s="871"/>
      <c r="B928" s="886"/>
      <c r="C928" s="873"/>
      <c r="D928" s="873"/>
      <c r="E928" s="888"/>
      <c r="F928" s="873"/>
      <c r="G928" s="892" t="s">
        <v>57</v>
      </c>
      <c r="H928" s="896">
        <f>SUM(H927)</f>
        <v>2.1</v>
      </c>
      <c r="I928" s="897" t="s">
        <v>61</v>
      </c>
    </row>
    <row r="929" spans="1:10">
      <c r="A929" s="871"/>
      <c r="B929" s="886"/>
      <c r="C929" s="873"/>
      <c r="D929" s="873"/>
      <c r="E929" s="888"/>
      <c r="F929" s="873"/>
      <c r="G929" s="892"/>
      <c r="H929" s="896"/>
      <c r="I929" s="897"/>
    </row>
    <row r="930" spans="1:10">
      <c r="A930" s="871">
        <v>86</v>
      </c>
      <c r="B930" s="891" t="s">
        <v>1026</v>
      </c>
      <c r="C930" s="873"/>
      <c r="D930" s="873"/>
      <c r="E930" s="874"/>
      <c r="F930" s="873"/>
      <c r="G930" s="875"/>
      <c r="H930" s="876"/>
      <c r="I930" s="877"/>
    </row>
    <row r="931" spans="1:10">
      <c r="A931" s="871"/>
      <c r="B931" s="891" t="s">
        <v>2479</v>
      </c>
      <c r="C931" s="873">
        <v>1</v>
      </c>
      <c r="D931" s="873">
        <v>1</v>
      </c>
      <c r="E931" s="888">
        <v>11.82</v>
      </c>
      <c r="F931" s="888">
        <v>9</v>
      </c>
      <c r="G931" s="875"/>
      <c r="H931" s="876">
        <f>PRODUCT(C931:G931)</f>
        <v>106.38</v>
      </c>
      <c r="I931" s="877" t="s">
        <v>220</v>
      </c>
    </row>
    <row r="932" spans="1:10">
      <c r="A932" s="871"/>
      <c r="B932" s="891" t="s">
        <v>2480</v>
      </c>
      <c r="C932" s="873">
        <v>1</v>
      </c>
      <c r="D932" s="873">
        <v>1</v>
      </c>
      <c r="E932" s="888">
        <v>2.33</v>
      </c>
      <c r="F932" s="888">
        <f>(1.2+0.46)</f>
        <v>1.66</v>
      </c>
      <c r="G932" s="875"/>
      <c r="H932" s="876">
        <f>PRODUCT(C932:G932)</f>
        <v>3.8677999999999999</v>
      </c>
      <c r="I932" s="877"/>
    </row>
    <row r="933" spans="1:10">
      <c r="A933" s="871"/>
      <c r="B933" s="891" t="s">
        <v>2481</v>
      </c>
      <c r="C933" s="873">
        <v>1</v>
      </c>
      <c r="D933" s="873">
        <v>1</v>
      </c>
      <c r="E933" s="888">
        <v>5.75</v>
      </c>
      <c r="F933" s="888">
        <v>4.5</v>
      </c>
      <c r="G933" s="875"/>
      <c r="H933" s="876">
        <f>PRODUCT(C933:G933)</f>
        <v>25.875</v>
      </c>
      <c r="I933" s="877"/>
    </row>
    <row r="934" spans="1:10">
      <c r="A934" s="871"/>
      <c r="B934" s="891"/>
      <c r="C934" s="873"/>
      <c r="D934" s="873"/>
      <c r="E934" s="874"/>
      <c r="F934" s="888"/>
      <c r="G934" s="875" t="s">
        <v>57</v>
      </c>
      <c r="H934" s="876">
        <f>SUM(H931:H933)</f>
        <v>136.12279999999998</v>
      </c>
      <c r="I934" s="877"/>
    </row>
    <row r="935" spans="1:10" ht="18">
      <c r="A935" s="871"/>
      <c r="B935" s="891"/>
      <c r="C935" s="873"/>
      <c r="D935" s="873"/>
      <c r="E935" s="874"/>
      <c r="F935" s="888"/>
      <c r="G935" s="892" t="s">
        <v>206</v>
      </c>
      <c r="H935" s="896">
        <f>ROUNDUP(H934,0)</f>
        <v>137</v>
      </c>
      <c r="I935" s="897" t="s">
        <v>2234</v>
      </c>
    </row>
    <row r="936" spans="1:10">
      <c r="A936" s="871"/>
      <c r="B936" s="891"/>
      <c r="C936" s="873"/>
      <c r="D936" s="873"/>
      <c r="E936" s="874"/>
      <c r="F936" s="888"/>
      <c r="G936" s="892"/>
      <c r="H936" s="896"/>
      <c r="I936" s="897"/>
    </row>
    <row r="937" spans="1:10">
      <c r="A937" s="871"/>
      <c r="B937" s="932" t="s">
        <v>1622</v>
      </c>
      <c r="C937" s="873"/>
      <c r="D937" s="873"/>
      <c r="E937" s="888"/>
      <c r="F937" s="873"/>
      <c r="G937" s="892"/>
      <c r="H937" s="896"/>
      <c r="I937" s="897"/>
    </row>
    <row r="938" spans="1:10">
      <c r="A938" s="871" t="s">
        <v>666</v>
      </c>
      <c r="B938" s="891" t="s">
        <v>2482</v>
      </c>
      <c r="C938" s="873"/>
      <c r="D938" s="873"/>
      <c r="E938" s="888"/>
      <c r="F938" s="873"/>
      <c r="G938" s="875"/>
      <c r="H938" s="876"/>
      <c r="I938" s="877"/>
    </row>
    <row r="939" spans="1:10">
      <c r="A939" s="871"/>
      <c r="B939" s="891" t="s">
        <v>2078</v>
      </c>
      <c r="C939" s="873">
        <v>1</v>
      </c>
      <c r="D939" s="873">
        <v>1</v>
      </c>
      <c r="E939" s="888">
        <v>2.52</v>
      </c>
      <c r="F939" s="874">
        <v>3.9249999999999998</v>
      </c>
      <c r="G939" s="875">
        <v>0.82</v>
      </c>
      <c r="H939" s="876">
        <f t="shared" ref="H939:H947" si="32">PRODUCT(C939:G939)</f>
        <v>8.1106199999999991</v>
      </c>
      <c r="I939" s="877"/>
      <c r="J939" s="890">
        <v>8.11</v>
      </c>
    </row>
    <row r="940" spans="1:10">
      <c r="A940" s="871"/>
      <c r="B940" s="891" t="s">
        <v>2079</v>
      </c>
      <c r="C940" s="873">
        <v>1</v>
      </c>
      <c r="D940" s="873">
        <v>1</v>
      </c>
      <c r="E940" s="888">
        <v>4.7</v>
      </c>
      <c r="F940" s="874">
        <v>3.9249999999999998</v>
      </c>
      <c r="G940" s="875">
        <v>0.82</v>
      </c>
      <c r="H940" s="876">
        <f t="shared" si="32"/>
        <v>15.126950000000001</v>
      </c>
      <c r="I940" s="877"/>
      <c r="J940" s="890">
        <v>15.13</v>
      </c>
    </row>
    <row r="941" spans="1:10">
      <c r="A941" s="871"/>
      <c r="B941" s="891" t="s">
        <v>2080</v>
      </c>
      <c r="C941" s="873">
        <v>1</v>
      </c>
      <c r="D941" s="873">
        <v>1</v>
      </c>
      <c r="E941" s="888">
        <v>3.8</v>
      </c>
      <c r="F941" s="874">
        <v>3.9249999999999998</v>
      </c>
      <c r="G941" s="875">
        <v>0.82</v>
      </c>
      <c r="H941" s="876">
        <f t="shared" si="32"/>
        <v>12.230299999999998</v>
      </c>
      <c r="I941" s="877"/>
      <c r="J941" s="890">
        <v>12.23</v>
      </c>
    </row>
    <row r="942" spans="1:10">
      <c r="A942" s="871"/>
      <c r="B942" s="891" t="s">
        <v>2081</v>
      </c>
      <c r="C942" s="873">
        <v>1</v>
      </c>
      <c r="D942" s="873">
        <v>2</v>
      </c>
      <c r="E942" s="888">
        <f>2.77+0.23+1.4</f>
        <v>4.4000000000000004</v>
      </c>
      <c r="F942" s="874">
        <v>2.4</v>
      </c>
      <c r="G942" s="875">
        <v>0.82</v>
      </c>
      <c r="H942" s="876">
        <f t="shared" si="32"/>
        <v>17.3184</v>
      </c>
      <c r="I942" s="877"/>
      <c r="J942" s="890">
        <v>17.32</v>
      </c>
    </row>
    <row r="943" spans="1:10">
      <c r="A943" s="871"/>
      <c r="B943" s="891" t="s">
        <v>2082</v>
      </c>
      <c r="C943" s="873">
        <v>1</v>
      </c>
      <c r="D943" s="873">
        <v>1</v>
      </c>
      <c r="E943" s="888">
        <f>4.385+0.23+2.1</f>
        <v>6.7149999999999999</v>
      </c>
      <c r="F943" s="874">
        <v>2.4</v>
      </c>
      <c r="G943" s="875">
        <v>0.82</v>
      </c>
      <c r="H943" s="876">
        <f t="shared" si="32"/>
        <v>13.215119999999999</v>
      </c>
      <c r="I943" s="877"/>
      <c r="J943" s="890">
        <v>13.22</v>
      </c>
    </row>
    <row r="944" spans="1:10">
      <c r="A944" s="871"/>
      <c r="B944" s="891" t="s">
        <v>2083</v>
      </c>
      <c r="C944" s="873">
        <v>1</v>
      </c>
      <c r="D944" s="873">
        <v>1</v>
      </c>
      <c r="E944" s="888">
        <v>3.47</v>
      </c>
      <c r="F944" s="874">
        <v>4.3849999999999998</v>
      </c>
      <c r="G944" s="875">
        <v>0.82</v>
      </c>
      <c r="H944" s="876">
        <f t="shared" si="32"/>
        <v>12.477078999999998</v>
      </c>
      <c r="I944" s="877"/>
      <c r="J944" s="890">
        <v>12.48</v>
      </c>
    </row>
    <row r="945" spans="1:11">
      <c r="A945" s="871"/>
      <c r="B945" s="891" t="s">
        <v>2084</v>
      </c>
      <c r="C945" s="873">
        <v>1</v>
      </c>
      <c r="D945" s="873">
        <v>1</v>
      </c>
      <c r="E945" s="888">
        <v>5.75</v>
      </c>
      <c r="F945" s="888">
        <v>4.5</v>
      </c>
      <c r="G945" s="875">
        <v>0.82</v>
      </c>
      <c r="H945" s="876">
        <f t="shared" si="32"/>
        <v>21.217499999999998</v>
      </c>
      <c r="I945" s="877"/>
      <c r="J945" s="890">
        <v>21.22</v>
      </c>
    </row>
    <row r="946" spans="1:11">
      <c r="A946" s="871"/>
      <c r="B946" s="891" t="s">
        <v>2483</v>
      </c>
      <c r="C946" s="873">
        <v>1</v>
      </c>
      <c r="D946" s="873">
        <v>1</v>
      </c>
      <c r="E946" s="888">
        <f>3.5+5.75</f>
        <v>9.25</v>
      </c>
      <c r="F946" s="874">
        <v>4.5</v>
      </c>
      <c r="G946" s="875">
        <v>0.45</v>
      </c>
      <c r="H946" s="876">
        <f>PRODUCT(C946:G946)</f>
        <v>18.731249999999999</v>
      </c>
      <c r="I946" s="877"/>
      <c r="J946" s="890">
        <v>18.73</v>
      </c>
    </row>
    <row r="947" spans="1:11">
      <c r="A947" s="871"/>
      <c r="B947" s="891" t="s">
        <v>829</v>
      </c>
      <c r="C947" s="873">
        <v>1</v>
      </c>
      <c r="D947" s="873">
        <v>1</v>
      </c>
      <c r="E947" s="888">
        <f>3.66+1.5+1.74</f>
        <v>6.9</v>
      </c>
      <c r="F947" s="874">
        <v>1.5</v>
      </c>
      <c r="G947" s="875">
        <v>0.82</v>
      </c>
      <c r="H947" s="876">
        <f t="shared" si="32"/>
        <v>8.4870000000000001</v>
      </c>
      <c r="I947" s="877"/>
      <c r="J947" s="890">
        <v>8.49</v>
      </c>
    </row>
    <row r="948" spans="1:11">
      <c r="A948" s="871"/>
      <c r="B948" s="891"/>
      <c r="C948" s="873"/>
      <c r="D948" s="873"/>
      <c r="E948" s="873"/>
      <c r="F948" s="873"/>
      <c r="G948" s="875" t="s">
        <v>57</v>
      </c>
      <c r="H948" s="876">
        <f>SUM(H939:H947)</f>
        <v>126.914219</v>
      </c>
      <c r="I948" s="877"/>
    </row>
    <row r="949" spans="1:11">
      <c r="A949" s="871"/>
      <c r="B949" s="891" t="s">
        <v>2484</v>
      </c>
      <c r="C949" s="873"/>
      <c r="D949" s="873"/>
      <c r="E949" s="873"/>
      <c r="F949" s="873"/>
      <c r="G949" s="875"/>
      <c r="H949" s="876">
        <f>H415</f>
        <v>39.5</v>
      </c>
      <c r="I949" s="877"/>
    </row>
    <row r="950" spans="1:11">
      <c r="A950" s="871"/>
      <c r="B950" s="891"/>
      <c r="C950" s="873"/>
      <c r="D950" s="873"/>
      <c r="E950" s="873"/>
      <c r="F950" s="873"/>
      <c r="G950" s="875"/>
      <c r="H950" s="876">
        <f>H948-H949</f>
        <v>87.414219000000003</v>
      </c>
      <c r="I950" s="877"/>
    </row>
    <row r="951" spans="1:11" ht="18">
      <c r="A951" s="871"/>
      <c r="B951" s="891"/>
      <c r="C951" s="873"/>
      <c r="D951" s="873"/>
      <c r="E951" s="873"/>
      <c r="F951" s="873"/>
      <c r="G951" s="892" t="s">
        <v>206</v>
      </c>
      <c r="H951" s="896">
        <f>ROUNDUP(H950,0)</f>
        <v>88</v>
      </c>
      <c r="I951" s="897" t="s">
        <v>2075</v>
      </c>
    </row>
    <row r="952" spans="1:11">
      <c r="A952" s="871"/>
      <c r="B952" s="891"/>
      <c r="C952" s="873"/>
      <c r="D952" s="873"/>
      <c r="E952" s="873"/>
      <c r="F952" s="873"/>
      <c r="G952" s="875"/>
      <c r="H952" s="876"/>
      <c r="I952" s="877"/>
    </row>
    <row r="953" spans="1:11" ht="47.25">
      <c r="A953" s="871" t="s">
        <v>2485</v>
      </c>
      <c r="B953" s="886" t="s">
        <v>2486</v>
      </c>
      <c r="C953" s="873"/>
      <c r="D953" s="873"/>
      <c r="E953" s="873"/>
      <c r="F953" s="873"/>
      <c r="G953" s="871"/>
      <c r="H953" s="876" t="s">
        <v>220</v>
      </c>
      <c r="I953" s="877"/>
    </row>
    <row r="954" spans="1:11" s="882" customFormat="1" ht="17.25">
      <c r="A954" s="879"/>
      <c r="B954" s="880" t="s">
        <v>635</v>
      </c>
      <c r="C954" s="879"/>
      <c r="D954" s="879"/>
      <c r="E954" s="879"/>
      <c r="F954" s="879"/>
      <c r="G954" s="881"/>
      <c r="H954" s="876">
        <f>PRODUCT(C954:G954)</f>
        <v>0</v>
      </c>
    </row>
    <row r="955" spans="1:11" s="882" customFormat="1" ht="17.25">
      <c r="A955" s="879"/>
      <c r="B955" s="883" t="s">
        <v>2060</v>
      </c>
      <c r="C955" s="879">
        <v>1</v>
      </c>
      <c r="D955" s="879">
        <v>6</v>
      </c>
      <c r="E955" s="881">
        <f>1.65*4</f>
        <v>6.6</v>
      </c>
      <c r="F955" s="881"/>
      <c r="G955" s="881">
        <f>G78</f>
        <v>0.4</v>
      </c>
      <c r="H955" s="876">
        <f>PRODUCT(C955:G955)</f>
        <v>15.839999999999998</v>
      </c>
      <c r="I955" s="885"/>
      <c r="J955" s="885">
        <f>I955+0.15</f>
        <v>0.15</v>
      </c>
      <c r="K955" s="885">
        <f>I955*4</f>
        <v>0</v>
      </c>
    </row>
    <row r="956" spans="1:11" s="882" customFormat="1" ht="17.25">
      <c r="A956" s="879"/>
      <c r="B956" s="883" t="s">
        <v>2061</v>
      </c>
      <c r="C956" s="879">
        <v>1</v>
      </c>
      <c r="D956" s="879">
        <v>9</v>
      </c>
      <c r="E956" s="881">
        <f>1.35*4</f>
        <v>5.4</v>
      </c>
      <c r="F956" s="881"/>
      <c r="G956" s="881">
        <f>G79</f>
        <v>0.35</v>
      </c>
      <c r="H956" s="876">
        <f>PRODUCT(C956:G956)</f>
        <v>17.009999999999998</v>
      </c>
      <c r="I956" s="885"/>
      <c r="J956" s="885">
        <f>I956+0.15</f>
        <v>0.15</v>
      </c>
      <c r="K956" s="885">
        <f>I956*4</f>
        <v>0</v>
      </c>
    </row>
    <row r="957" spans="1:11" s="882" customFormat="1" ht="17.25">
      <c r="A957" s="879"/>
      <c r="B957" s="883" t="s">
        <v>2062</v>
      </c>
      <c r="C957" s="879">
        <v>1</v>
      </c>
      <c r="D957" s="879">
        <v>2</v>
      </c>
      <c r="E957" s="881">
        <f>1*4</f>
        <v>4</v>
      </c>
      <c r="F957" s="881"/>
      <c r="G957" s="881">
        <f>G80</f>
        <v>0.3</v>
      </c>
      <c r="H957" s="876">
        <f>PRODUCT(C957:G957)</f>
        <v>2.4</v>
      </c>
      <c r="I957" s="885"/>
      <c r="J957" s="885">
        <f>I957+0.15</f>
        <v>0.15</v>
      </c>
      <c r="K957" s="885">
        <f>I957*4</f>
        <v>0</v>
      </c>
    </row>
    <row r="958" spans="1:11">
      <c r="A958" s="871"/>
      <c r="B958" s="886" t="s">
        <v>2063</v>
      </c>
      <c r="C958" s="887">
        <v>1</v>
      </c>
      <c r="D958" s="887">
        <v>2</v>
      </c>
      <c r="E958" s="888">
        <f>2*(9+11.82-0.46+2.33)</f>
        <v>45.379999999999995</v>
      </c>
      <c r="F958" s="888"/>
      <c r="G958" s="900">
        <v>0.35</v>
      </c>
      <c r="H958" s="876">
        <f t="shared" ref="H958:H980" si="33">PRODUCT(C958:G958)</f>
        <v>31.765999999999995</v>
      </c>
      <c r="I958" s="877"/>
    </row>
    <row r="959" spans="1:11">
      <c r="A959" s="871"/>
      <c r="B959" s="891" t="s">
        <v>2064</v>
      </c>
      <c r="C959" s="873">
        <v>1</v>
      </c>
      <c r="D959" s="887">
        <v>2</v>
      </c>
      <c r="E959" s="888">
        <f>5.75+4.5+5.75</f>
        <v>16</v>
      </c>
      <c r="F959" s="888"/>
      <c r="G959" s="900">
        <v>0.35</v>
      </c>
      <c r="H959" s="876">
        <f t="shared" si="33"/>
        <v>11.2</v>
      </c>
      <c r="I959" s="877"/>
    </row>
    <row r="960" spans="1:11" ht="31.5">
      <c r="A960" s="871"/>
      <c r="B960" s="891" t="s">
        <v>2065</v>
      </c>
      <c r="C960" s="873">
        <v>1</v>
      </c>
      <c r="D960" s="887">
        <v>2</v>
      </c>
      <c r="E960" s="888">
        <v>3.93</v>
      </c>
      <c r="F960" s="888"/>
      <c r="G960" s="900">
        <v>0.35</v>
      </c>
      <c r="H960" s="876">
        <f t="shared" si="33"/>
        <v>2.7509999999999999</v>
      </c>
      <c r="I960" s="877"/>
    </row>
    <row r="961" spans="1:9" ht="31.5">
      <c r="A961" s="871"/>
      <c r="B961" s="891" t="s">
        <v>2066</v>
      </c>
      <c r="C961" s="873">
        <v>1</v>
      </c>
      <c r="D961" s="887">
        <v>2</v>
      </c>
      <c r="E961" s="888">
        <v>3.93</v>
      </c>
      <c r="F961" s="888"/>
      <c r="G961" s="900">
        <v>0.35</v>
      </c>
      <c r="H961" s="876">
        <f t="shared" si="33"/>
        <v>2.7509999999999999</v>
      </c>
      <c r="I961" s="877"/>
    </row>
    <row r="962" spans="1:9" ht="31.5">
      <c r="A962" s="871"/>
      <c r="B962" s="891" t="s">
        <v>2067</v>
      </c>
      <c r="C962" s="873">
        <v>1</v>
      </c>
      <c r="D962" s="887">
        <v>2</v>
      </c>
      <c r="E962" s="888">
        <v>4.3899999999999997</v>
      </c>
      <c r="F962" s="888"/>
      <c r="G962" s="900">
        <v>0.35</v>
      </c>
      <c r="H962" s="876">
        <f t="shared" si="33"/>
        <v>3.0729999999999995</v>
      </c>
      <c r="I962" s="877"/>
    </row>
    <row r="963" spans="1:9">
      <c r="A963" s="871"/>
      <c r="B963" s="891" t="s">
        <v>2085</v>
      </c>
      <c r="C963" s="873">
        <v>1</v>
      </c>
      <c r="D963" s="887">
        <v>2</v>
      </c>
      <c r="E963" s="888">
        <v>10.67</v>
      </c>
      <c r="F963" s="888"/>
      <c r="G963" s="900">
        <v>0.35</v>
      </c>
      <c r="H963" s="876">
        <f t="shared" si="33"/>
        <v>7.4689999999999994</v>
      </c>
      <c r="I963" s="877"/>
    </row>
    <row r="964" spans="1:9">
      <c r="A964" s="871"/>
      <c r="B964" s="891" t="s">
        <v>2069</v>
      </c>
      <c r="C964" s="873">
        <v>1</v>
      </c>
      <c r="D964" s="887">
        <v>2</v>
      </c>
      <c r="E964" s="888">
        <v>10.9</v>
      </c>
      <c r="F964" s="888"/>
      <c r="G964" s="900">
        <v>0.35</v>
      </c>
      <c r="H964" s="876">
        <f t="shared" si="33"/>
        <v>7.63</v>
      </c>
      <c r="I964" s="877"/>
    </row>
    <row r="965" spans="1:9">
      <c r="A965" s="871"/>
      <c r="B965" s="891" t="s">
        <v>2070</v>
      </c>
      <c r="C965" s="873">
        <v>1</v>
      </c>
      <c r="D965" s="887">
        <v>2</v>
      </c>
      <c r="E965" s="888">
        <v>4.63</v>
      </c>
      <c r="F965" s="888"/>
      <c r="G965" s="900">
        <v>0.35</v>
      </c>
      <c r="H965" s="876">
        <f t="shared" si="33"/>
        <v>3.2409999999999997</v>
      </c>
      <c r="I965" s="877"/>
    </row>
    <row r="966" spans="1:9">
      <c r="A966" s="871"/>
      <c r="B966" s="891" t="s">
        <v>2071</v>
      </c>
      <c r="C966" s="873">
        <v>1</v>
      </c>
      <c r="D966" s="887">
        <v>2</v>
      </c>
      <c r="E966" s="888">
        <v>7.06</v>
      </c>
      <c r="F966" s="888"/>
      <c r="G966" s="900">
        <v>0.35</v>
      </c>
      <c r="H966" s="876">
        <f t="shared" si="33"/>
        <v>4.9419999999999993</v>
      </c>
      <c r="I966" s="877"/>
    </row>
    <row r="967" spans="1:9">
      <c r="A967" s="871"/>
      <c r="B967" s="891" t="s">
        <v>2086</v>
      </c>
      <c r="C967" s="873">
        <v>1</v>
      </c>
      <c r="D967" s="887">
        <v>2</v>
      </c>
      <c r="E967" s="888">
        <v>2.1</v>
      </c>
      <c r="F967" s="888"/>
      <c r="G967" s="900">
        <v>0.35</v>
      </c>
      <c r="H967" s="876">
        <f t="shared" si="33"/>
        <v>1.47</v>
      </c>
      <c r="I967" s="877"/>
    </row>
    <row r="968" spans="1:9">
      <c r="A968" s="871"/>
      <c r="B968" s="886" t="s">
        <v>2093</v>
      </c>
      <c r="C968" s="887">
        <v>1</v>
      </c>
      <c r="D968" s="887">
        <v>2</v>
      </c>
      <c r="E968" s="888">
        <f>2*(9+11.82-0.46+2.33)</f>
        <v>45.379999999999995</v>
      </c>
      <c r="F968" s="888"/>
      <c r="G968" s="876">
        <v>0.15</v>
      </c>
      <c r="H968" s="876">
        <f t="shared" si="33"/>
        <v>13.613999999999999</v>
      </c>
      <c r="I968" s="877"/>
    </row>
    <row r="969" spans="1:9">
      <c r="A969" s="871"/>
      <c r="B969" s="891" t="s">
        <v>2064</v>
      </c>
      <c r="C969" s="873">
        <v>1</v>
      </c>
      <c r="D969" s="887">
        <v>2</v>
      </c>
      <c r="E969" s="888">
        <f>5.75+4.5+5.75</f>
        <v>16</v>
      </c>
      <c r="F969" s="888"/>
      <c r="G969" s="876">
        <v>0.15</v>
      </c>
      <c r="H969" s="876">
        <f t="shared" si="33"/>
        <v>4.8</v>
      </c>
      <c r="I969" s="877"/>
    </row>
    <row r="970" spans="1:9" ht="31.5">
      <c r="A970" s="871"/>
      <c r="B970" s="891" t="s">
        <v>2065</v>
      </c>
      <c r="C970" s="873">
        <v>1</v>
      </c>
      <c r="D970" s="887">
        <v>2</v>
      </c>
      <c r="E970" s="888">
        <v>3.93</v>
      </c>
      <c r="F970" s="888"/>
      <c r="G970" s="876">
        <v>0.15</v>
      </c>
      <c r="H970" s="876">
        <f t="shared" si="33"/>
        <v>1.179</v>
      </c>
      <c r="I970" s="877"/>
    </row>
    <row r="971" spans="1:9" ht="31.5">
      <c r="A971" s="871"/>
      <c r="B971" s="891" t="s">
        <v>2066</v>
      </c>
      <c r="C971" s="873">
        <v>1</v>
      </c>
      <c r="D971" s="887">
        <v>2</v>
      </c>
      <c r="E971" s="888">
        <v>3.93</v>
      </c>
      <c r="F971" s="888"/>
      <c r="G971" s="876">
        <v>0.15</v>
      </c>
      <c r="H971" s="876">
        <f t="shared" si="33"/>
        <v>1.179</v>
      </c>
      <c r="I971" s="877"/>
    </row>
    <row r="972" spans="1:9" ht="31.5">
      <c r="A972" s="871"/>
      <c r="B972" s="891" t="s">
        <v>2096</v>
      </c>
      <c r="C972" s="873">
        <v>1</v>
      </c>
      <c r="D972" s="887">
        <v>2</v>
      </c>
      <c r="E972" s="888">
        <f>2.77+0.23+1.5</f>
        <v>4.5</v>
      </c>
      <c r="F972" s="888"/>
      <c r="G972" s="876">
        <v>0.15</v>
      </c>
      <c r="H972" s="876">
        <f t="shared" si="33"/>
        <v>1.3499999999999999</v>
      </c>
      <c r="I972" s="877"/>
    </row>
    <row r="973" spans="1:9">
      <c r="A973" s="871"/>
      <c r="B973" s="891" t="s">
        <v>2097</v>
      </c>
      <c r="C973" s="873">
        <v>1</v>
      </c>
      <c r="D973" s="887">
        <v>2</v>
      </c>
      <c r="E973" s="888">
        <v>4.5</v>
      </c>
      <c r="F973" s="888"/>
      <c r="G973" s="876">
        <v>0.15</v>
      </c>
      <c r="H973" s="876">
        <f t="shared" si="33"/>
        <v>1.3499999999999999</v>
      </c>
      <c r="I973" s="877"/>
    </row>
    <row r="974" spans="1:9">
      <c r="A974" s="871"/>
      <c r="B974" s="891" t="s">
        <v>2098</v>
      </c>
      <c r="C974" s="873">
        <v>1</v>
      </c>
      <c r="D974" s="887">
        <v>2</v>
      </c>
      <c r="E974" s="888">
        <f>2.77+0.23+1.5</f>
        <v>4.5</v>
      </c>
      <c r="F974" s="888"/>
      <c r="G974" s="876">
        <v>0.15</v>
      </c>
      <c r="H974" s="876">
        <f t="shared" si="33"/>
        <v>1.3499999999999999</v>
      </c>
      <c r="I974" s="877"/>
    </row>
    <row r="975" spans="1:9">
      <c r="A975" s="871"/>
      <c r="B975" s="891" t="s">
        <v>2099</v>
      </c>
      <c r="C975" s="873">
        <v>1</v>
      </c>
      <c r="D975" s="887">
        <v>2</v>
      </c>
      <c r="E975" s="888">
        <f>11.82-0.46</f>
        <v>11.36</v>
      </c>
      <c r="F975" s="888"/>
      <c r="G975" s="876">
        <v>0.15</v>
      </c>
      <c r="H975" s="876">
        <f t="shared" si="33"/>
        <v>3.4079999999999999</v>
      </c>
      <c r="I975" s="877"/>
    </row>
    <row r="976" spans="1:9">
      <c r="A976" s="871"/>
      <c r="B976" s="891" t="s">
        <v>2100</v>
      </c>
      <c r="C976" s="873">
        <v>1</v>
      </c>
      <c r="D976" s="887">
        <v>2</v>
      </c>
      <c r="E976" s="888">
        <f>4.7-0.46</f>
        <v>4.24</v>
      </c>
      <c r="F976" s="888"/>
      <c r="G976" s="876">
        <v>0.15</v>
      </c>
      <c r="H976" s="876">
        <f t="shared" si="33"/>
        <v>1.272</v>
      </c>
      <c r="I976" s="877"/>
    </row>
    <row r="977" spans="1:10">
      <c r="A977" s="871"/>
      <c r="B977" s="891" t="s">
        <v>2101</v>
      </c>
      <c r="C977" s="873">
        <v>1</v>
      </c>
      <c r="D977" s="887">
        <v>2</v>
      </c>
      <c r="E977" s="888">
        <f>2.33-0.23</f>
        <v>2.1</v>
      </c>
      <c r="F977" s="888"/>
      <c r="G977" s="876">
        <v>0.15</v>
      </c>
      <c r="H977" s="876">
        <f t="shared" si="33"/>
        <v>0.63</v>
      </c>
      <c r="I977" s="877"/>
    </row>
    <row r="978" spans="1:10">
      <c r="A978" s="871"/>
      <c r="B978" s="891" t="s">
        <v>2487</v>
      </c>
      <c r="C978" s="873">
        <v>1</v>
      </c>
      <c r="D978" s="887">
        <v>2</v>
      </c>
      <c r="E978" s="888">
        <v>2.4</v>
      </c>
      <c r="F978" s="888"/>
      <c r="G978" s="876">
        <v>0.15</v>
      </c>
      <c r="H978" s="876">
        <f t="shared" si="33"/>
        <v>0.72</v>
      </c>
      <c r="I978" s="877"/>
    </row>
    <row r="979" spans="1:10">
      <c r="A979" s="871"/>
      <c r="B979" s="909" t="s">
        <v>2488</v>
      </c>
      <c r="C979" s="873">
        <v>1</v>
      </c>
      <c r="D979" s="887">
        <v>2</v>
      </c>
      <c r="E979" s="888">
        <v>2.0699999999999998</v>
      </c>
      <c r="F979" s="888"/>
      <c r="G979" s="876">
        <v>0.15</v>
      </c>
      <c r="H979" s="876">
        <f t="shared" si="33"/>
        <v>0.62099999999999989</v>
      </c>
      <c r="I979" s="877"/>
    </row>
    <row r="980" spans="1:10">
      <c r="A980" s="871"/>
      <c r="B980" s="909" t="s">
        <v>2489</v>
      </c>
      <c r="C980" s="873">
        <v>2</v>
      </c>
      <c r="D980" s="873">
        <v>2</v>
      </c>
      <c r="E980" s="888">
        <v>1.2</v>
      </c>
      <c r="F980" s="888"/>
      <c r="G980" s="876">
        <v>0.15</v>
      </c>
      <c r="H980" s="876">
        <f t="shared" si="33"/>
        <v>0.72</v>
      </c>
      <c r="I980" s="877"/>
    </row>
    <row r="981" spans="1:10">
      <c r="A981" s="871"/>
      <c r="B981" s="891"/>
      <c r="C981" s="873"/>
      <c r="D981" s="873"/>
      <c r="E981" s="873"/>
      <c r="F981" s="873"/>
      <c r="G981" s="871" t="s">
        <v>57</v>
      </c>
      <c r="H981" s="876">
        <f>SUM(H954:H980)</f>
        <v>143.73599999999996</v>
      </c>
      <c r="I981" s="877"/>
    </row>
    <row r="982" spans="1:10" ht="18">
      <c r="A982" s="871"/>
      <c r="B982" s="891"/>
      <c r="C982" s="873"/>
      <c r="D982" s="873"/>
      <c r="E982" s="873"/>
      <c r="F982" s="873"/>
      <c r="G982" s="871" t="s">
        <v>206</v>
      </c>
      <c r="H982" s="893">
        <f>ROUNDUP(H981,1)</f>
        <v>143.79999999999998</v>
      </c>
      <c r="I982" s="902" t="s">
        <v>2490</v>
      </c>
      <c r="J982" s="865"/>
    </row>
    <row r="983" spans="1:10">
      <c r="A983" s="871"/>
      <c r="B983" s="891"/>
      <c r="C983" s="873"/>
      <c r="D983" s="873"/>
      <c r="E983" s="873"/>
      <c r="F983" s="873"/>
      <c r="G983" s="871"/>
      <c r="H983" s="913"/>
      <c r="I983" s="902"/>
      <c r="J983" s="865"/>
    </row>
    <row r="984" spans="1:10" ht="75.75" customHeight="1">
      <c r="A984" s="871" t="s">
        <v>2491</v>
      </c>
      <c r="B984" s="886" t="s">
        <v>2492</v>
      </c>
      <c r="C984" s="873"/>
      <c r="D984" s="873"/>
      <c r="E984" s="888"/>
      <c r="F984" s="888"/>
      <c r="G984" s="876"/>
      <c r="H984" s="876"/>
      <c r="I984" s="877"/>
    </row>
    <row r="985" spans="1:10">
      <c r="A985" s="871"/>
      <c r="B985" s="917" t="s">
        <v>2493</v>
      </c>
      <c r="C985" s="904"/>
      <c r="D985" s="918"/>
      <c r="E985" s="905"/>
      <c r="F985" s="905"/>
      <c r="G985" s="907"/>
      <c r="H985" s="930"/>
      <c r="I985" s="877"/>
    </row>
    <row r="986" spans="1:10">
      <c r="A986" s="871"/>
      <c r="B986" s="891" t="s">
        <v>2294</v>
      </c>
      <c r="C986" s="873">
        <v>2</v>
      </c>
      <c r="D986" s="873">
        <v>6</v>
      </c>
      <c r="E986" s="888">
        <v>1.96</v>
      </c>
      <c r="F986" s="905"/>
      <c r="G986" s="907">
        <v>0.05</v>
      </c>
      <c r="H986" s="903">
        <f>PRODUCT(C986:G986)</f>
        <v>1.1759999999999999</v>
      </c>
      <c r="I986" s="877"/>
    </row>
    <row r="987" spans="1:10">
      <c r="A987" s="871"/>
      <c r="B987" s="891" t="s">
        <v>2295</v>
      </c>
      <c r="C987" s="873">
        <v>2</v>
      </c>
      <c r="D987" s="873">
        <v>1</v>
      </c>
      <c r="E987" s="888">
        <v>2.11</v>
      </c>
      <c r="F987" s="905"/>
      <c r="G987" s="907">
        <v>0.05</v>
      </c>
      <c r="H987" s="903">
        <f t="shared" ref="H987:H1002" si="34">PRODUCT(C987:G987)</f>
        <v>0.21099999999999999</v>
      </c>
      <c r="I987" s="877"/>
    </row>
    <row r="988" spans="1:10">
      <c r="A988" s="871"/>
      <c r="B988" s="891" t="s">
        <v>2296</v>
      </c>
      <c r="C988" s="873">
        <v>2</v>
      </c>
      <c r="D988" s="873">
        <v>7</v>
      </c>
      <c r="E988" s="888">
        <v>1.66</v>
      </c>
      <c r="F988" s="905"/>
      <c r="G988" s="907">
        <v>0.05</v>
      </c>
      <c r="H988" s="903">
        <f t="shared" si="34"/>
        <v>1.1619999999999999</v>
      </c>
      <c r="I988" s="877"/>
    </row>
    <row r="989" spans="1:10">
      <c r="A989" s="871"/>
      <c r="B989" s="891" t="s">
        <v>2297</v>
      </c>
      <c r="C989" s="873">
        <v>2</v>
      </c>
      <c r="D989" s="873">
        <v>1</v>
      </c>
      <c r="E989" s="888">
        <v>1.31</v>
      </c>
      <c r="F989" s="905"/>
      <c r="G989" s="907">
        <v>0.05</v>
      </c>
      <c r="H989" s="903">
        <f t="shared" si="34"/>
        <v>0.13100000000000001</v>
      </c>
      <c r="I989" s="877"/>
    </row>
    <row r="990" spans="1:10">
      <c r="A990" s="871"/>
      <c r="B990" s="891" t="s">
        <v>2298</v>
      </c>
      <c r="C990" s="873">
        <v>2</v>
      </c>
      <c r="D990" s="873">
        <v>3</v>
      </c>
      <c r="E990" s="888">
        <v>1.21</v>
      </c>
      <c r="F990" s="905"/>
      <c r="G990" s="907">
        <v>0.05</v>
      </c>
      <c r="H990" s="903">
        <f t="shared" si="34"/>
        <v>0.36299999999999999</v>
      </c>
      <c r="I990" s="877"/>
    </row>
    <row r="991" spans="1:10">
      <c r="A991" s="871"/>
      <c r="B991" s="891" t="s">
        <v>2299</v>
      </c>
      <c r="C991" s="873">
        <v>2</v>
      </c>
      <c r="D991" s="873">
        <v>3</v>
      </c>
      <c r="E991" s="888">
        <v>2.2599999999999998</v>
      </c>
      <c r="F991" s="905"/>
      <c r="G991" s="907">
        <v>0.05</v>
      </c>
      <c r="H991" s="903">
        <f t="shared" si="34"/>
        <v>0.67799999999999994</v>
      </c>
      <c r="I991" s="877"/>
    </row>
    <row r="992" spans="1:10">
      <c r="A992" s="871"/>
      <c r="B992" s="891" t="s">
        <v>2300</v>
      </c>
      <c r="C992" s="873">
        <v>2</v>
      </c>
      <c r="D992" s="873">
        <v>4</v>
      </c>
      <c r="E992" s="888">
        <v>1.36</v>
      </c>
      <c r="F992" s="905"/>
      <c r="G992" s="907">
        <v>0.05</v>
      </c>
      <c r="H992" s="903">
        <f t="shared" si="34"/>
        <v>0.54400000000000004</v>
      </c>
      <c r="I992" s="877"/>
    </row>
    <row r="993" spans="1:9">
      <c r="A993" s="871"/>
      <c r="B993" s="891" t="s">
        <v>2301</v>
      </c>
      <c r="C993" s="873">
        <v>2</v>
      </c>
      <c r="D993" s="873">
        <v>2</v>
      </c>
      <c r="E993" s="888">
        <v>1.46</v>
      </c>
      <c r="F993" s="905"/>
      <c r="G993" s="907">
        <v>0.05</v>
      </c>
      <c r="H993" s="903">
        <f t="shared" si="34"/>
        <v>0.29199999999999998</v>
      </c>
      <c r="I993" s="877"/>
    </row>
    <row r="994" spans="1:9">
      <c r="A994" s="871"/>
      <c r="B994" s="917" t="s">
        <v>2494</v>
      </c>
      <c r="C994" s="904"/>
      <c r="D994" s="918"/>
      <c r="E994" s="905"/>
      <c r="F994" s="905"/>
      <c r="G994" s="945"/>
      <c r="H994" s="903"/>
      <c r="I994" s="877"/>
    </row>
    <row r="995" spans="1:9">
      <c r="A995" s="871"/>
      <c r="B995" s="891" t="s">
        <v>2294</v>
      </c>
      <c r="C995" s="873">
        <v>1</v>
      </c>
      <c r="D995" s="873">
        <v>6</v>
      </c>
      <c r="E995" s="888">
        <v>1.5</v>
      </c>
      <c r="F995" s="905">
        <v>0.23</v>
      </c>
      <c r="G995" s="945"/>
      <c r="H995" s="903">
        <f t="shared" si="34"/>
        <v>2.0700000000000003</v>
      </c>
      <c r="I995" s="877"/>
    </row>
    <row r="996" spans="1:9">
      <c r="A996" s="871"/>
      <c r="B996" s="891" t="s">
        <v>2295</v>
      </c>
      <c r="C996" s="873">
        <v>1</v>
      </c>
      <c r="D996" s="873">
        <v>1</v>
      </c>
      <c r="E996" s="888">
        <v>1.65</v>
      </c>
      <c r="F996" s="905">
        <v>0.23</v>
      </c>
      <c r="G996" s="945"/>
      <c r="H996" s="903">
        <f t="shared" si="34"/>
        <v>0.3795</v>
      </c>
      <c r="I996" s="877"/>
    </row>
    <row r="997" spans="1:9">
      <c r="A997" s="871"/>
      <c r="B997" s="891" t="s">
        <v>2296</v>
      </c>
      <c r="C997" s="873">
        <v>1</v>
      </c>
      <c r="D997" s="873">
        <v>7</v>
      </c>
      <c r="E997" s="888">
        <v>1.2</v>
      </c>
      <c r="F997" s="905">
        <v>0.23</v>
      </c>
      <c r="G997" s="945"/>
      <c r="H997" s="903">
        <f t="shared" si="34"/>
        <v>1.9320000000000002</v>
      </c>
      <c r="I997" s="877"/>
    </row>
    <row r="998" spans="1:9">
      <c r="A998" s="871"/>
      <c r="B998" s="891" t="s">
        <v>2297</v>
      </c>
      <c r="C998" s="873">
        <v>1</v>
      </c>
      <c r="D998" s="873">
        <v>1</v>
      </c>
      <c r="E998" s="888">
        <v>0.85</v>
      </c>
      <c r="F998" s="905">
        <v>0.23</v>
      </c>
      <c r="G998" s="945"/>
      <c r="H998" s="903">
        <f t="shared" si="34"/>
        <v>0.19550000000000001</v>
      </c>
      <c r="I998" s="877"/>
    </row>
    <row r="999" spans="1:9">
      <c r="A999" s="871"/>
      <c r="B999" s="891" t="s">
        <v>2298</v>
      </c>
      <c r="C999" s="873">
        <v>1</v>
      </c>
      <c r="D999" s="873">
        <v>3</v>
      </c>
      <c r="E999" s="888">
        <v>0.75</v>
      </c>
      <c r="F999" s="905">
        <v>0.23</v>
      </c>
      <c r="G999" s="945"/>
      <c r="H999" s="903">
        <f t="shared" si="34"/>
        <v>0.51750000000000007</v>
      </c>
      <c r="I999" s="877"/>
    </row>
    <row r="1000" spans="1:9">
      <c r="A1000" s="871"/>
      <c r="B1000" s="891" t="s">
        <v>2299</v>
      </c>
      <c r="C1000" s="873">
        <v>1</v>
      </c>
      <c r="D1000" s="873">
        <v>3</v>
      </c>
      <c r="E1000" s="888">
        <v>1.8</v>
      </c>
      <c r="F1000" s="905">
        <v>0.23</v>
      </c>
      <c r="G1000" s="945"/>
      <c r="H1000" s="903">
        <f t="shared" si="34"/>
        <v>1.2420000000000002</v>
      </c>
      <c r="I1000" s="877"/>
    </row>
    <row r="1001" spans="1:9">
      <c r="A1001" s="871"/>
      <c r="B1001" s="891" t="s">
        <v>2300</v>
      </c>
      <c r="C1001" s="873">
        <v>1</v>
      </c>
      <c r="D1001" s="873">
        <v>4</v>
      </c>
      <c r="E1001" s="888">
        <v>0.9</v>
      </c>
      <c r="F1001" s="905">
        <v>0.23</v>
      </c>
      <c r="G1001" s="945"/>
      <c r="H1001" s="903">
        <f t="shared" si="34"/>
        <v>0.82800000000000007</v>
      </c>
      <c r="I1001" s="877"/>
    </row>
    <row r="1002" spans="1:9">
      <c r="A1002" s="871"/>
      <c r="B1002" s="891" t="s">
        <v>2301</v>
      </c>
      <c r="C1002" s="873">
        <v>1</v>
      </c>
      <c r="D1002" s="873">
        <v>2</v>
      </c>
      <c r="E1002" s="888">
        <v>1</v>
      </c>
      <c r="F1002" s="905">
        <v>0.23</v>
      </c>
      <c r="G1002" s="945"/>
      <c r="H1002" s="903">
        <f t="shared" si="34"/>
        <v>0.46</v>
      </c>
      <c r="I1002" s="877"/>
    </row>
    <row r="1003" spans="1:9">
      <c r="A1003" s="871"/>
      <c r="B1003" s="891" t="s">
        <v>2495</v>
      </c>
      <c r="C1003" s="873">
        <v>2</v>
      </c>
      <c r="D1003" s="873">
        <v>6</v>
      </c>
      <c r="E1003" s="888">
        <v>1.96</v>
      </c>
      <c r="F1003" s="905"/>
      <c r="G1003" s="907">
        <v>0.12</v>
      </c>
      <c r="H1003" s="903">
        <f>PRODUCT(C1003:G1003)</f>
        <v>2.8224</v>
      </c>
      <c r="I1003" s="877"/>
    </row>
    <row r="1004" spans="1:9">
      <c r="A1004" s="871"/>
      <c r="B1004" s="891" t="s">
        <v>2496</v>
      </c>
      <c r="C1004" s="873">
        <v>2</v>
      </c>
      <c r="D1004" s="873">
        <v>1</v>
      </c>
      <c r="E1004" s="888">
        <v>2.11</v>
      </c>
      <c r="F1004" s="905"/>
      <c r="G1004" s="907">
        <v>0.12</v>
      </c>
      <c r="H1004" s="903">
        <f t="shared" ref="H1004:H1022" si="35">PRODUCT(C1004:G1004)</f>
        <v>0.50639999999999996</v>
      </c>
      <c r="I1004" s="877"/>
    </row>
    <row r="1005" spans="1:9">
      <c r="A1005" s="871"/>
      <c r="B1005" s="891" t="s">
        <v>2497</v>
      </c>
      <c r="C1005" s="873">
        <v>2</v>
      </c>
      <c r="D1005" s="873">
        <v>7</v>
      </c>
      <c r="E1005" s="888">
        <v>1.66</v>
      </c>
      <c r="F1005" s="905"/>
      <c r="G1005" s="907">
        <v>0.12</v>
      </c>
      <c r="H1005" s="903">
        <f t="shared" si="35"/>
        <v>2.7887999999999997</v>
      </c>
      <c r="I1005" s="877"/>
    </row>
    <row r="1006" spans="1:9">
      <c r="A1006" s="871"/>
      <c r="B1006" s="891" t="s">
        <v>2498</v>
      </c>
      <c r="C1006" s="873">
        <v>2</v>
      </c>
      <c r="D1006" s="873">
        <v>1</v>
      </c>
      <c r="E1006" s="888">
        <v>1.31</v>
      </c>
      <c r="F1006" s="905"/>
      <c r="G1006" s="907">
        <v>0.12</v>
      </c>
      <c r="H1006" s="903">
        <f t="shared" si="35"/>
        <v>0.31440000000000001</v>
      </c>
      <c r="I1006" s="877"/>
    </row>
    <row r="1007" spans="1:9">
      <c r="A1007" s="871"/>
      <c r="B1007" s="891" t="s">
        <v>2499</v>
      </c>
      <c r="C1007" s="873">
        <v>2</v>
      </c>
      <c r="D1007" s="873">
        <v>3</v>
      </c>
      <c r="E1007" s="888">
        <v>1.21</v>
      </c>
      <c r="F1007" s="905"/>
      <c r="G1007" s="907">
        <v>0.12</v>
      </c>
      <c r="H1007" s="903">
        <f t="shared" si="35"/>
        <v>0.87119999999999997</v>
      </c>
      <c r="I1007" s="877"/>
    </row>
    <row r="1008" spans="1:9">
      <c r="A1008" s="871"/>
      <c r="B1008" s="891" t="s">
        <v>2500</v>
      </c>
      <c r="C1008" s="873">
        <v>2</v>
      </c>
      <c r="D1008" s="873">
        <v>3</v>
      </c>
      <c r="E1008" s="888">
        <v>2.2599999999999998</v>
      </c>
      <c r="F1008" s="905"/>
      <c r="G1008" s="907">
        <v>0.12</v>
      </c>
      <c r="H1008" s="903">
        <f t="shared" si="35"/>
        <v>1.6271999999999998</v>
      </c>
      <c r="I1008" s="877"/>
    </row>
    <row r="1009" spans="1:9">
      <c r="A1009" s="871"/>
      <c r="B1009" s="891" t="s">
        <v>2501</v>
      </c>
      <c r="C1009" s="873">
        <v>2</v>
      </c>
      <c r="D1009" s="873">
        <v>4</v>
      </c>
      <c r="E1009" s="888">
        <v>1.36</v>
      </c>
      <c r="F1009" s="905"/>
      <c r="G1009" s="907">
        <v>0.12</v>
      </c>
      <c r="H1009" s="903">
        <f t="shared" si="35"/>
        <v>1.3056000000000001</v>
      </c>
      <c r="I1009" s="877"/>
    </row>
    <row r="1010" spans="1:9">
      <c r="A1010" s="871"/>
      <c r="B1010" s="891" t="s">
        <v>2502</v>
      </c>
      <c r="C1010" s="873">
        <v>2</v>
      </c>
      <c r="D1010" s="873">
        <v>2</v>
      </c>
      <c r="E1010" s="888">
        <v>1.46</v>
      </c>
      <c r="F1010" s="905"/>
      <c r="G1010" s="907">
        <v>0.12</v>
      </c>
      <c r="H1010" s="903">
        <f t="shared" si="35"/>
        <v>0.70079999999999998</v>
      </c>
      <c r="I1010" s="877"/>
    </row>
    <row r="1011" spans="1:9">
      <c r="A1011" s="871"/>
      <c r="B1011" s="634" t="s">
        <v>2503</v>
      </c>
      <c r="C1011" s="904">
        <v>2</v>
      </c>
      <c r="D1011" s="918">
        <v>1</v>
      </c>
      <c r="E1011" s="905">
        <v>4.7</v>
      </c>
      <c r="F1011" s="905"/>
      <c r="G1011" s="907">
        <v>0.3</v>
      </c>
      <c r="H1011" s="903">
        <f t="shared" si="35"/>
        <v>2.82</v>
      </c>
      <c r="I1011" s="877"/>
    </row>
    <row r="1012" spans="1:9">
      <c r="A1012" s="871"/>
      <c r="B1012" s="634" t="s">
        <v>2504</v>
      </c>
      <c r="C1012" s="904">
        <v>2</v>
      </c>
      <c r="D1012" s="918">
        <v>1</v>
      </c>
      <c r="E1012" s="905">
        <v>2.2599999999999998</v>
      </c>
      <c r="F1012" s="905"/>
      <c r="G1012" s="907">
        <v>0.15</v>
      </c>
      <c r="H1012" s="903">
        <f t="shared" si="35"/>
        <v>0.67799999999999994</v>
      </c>
      <c r="I1012" s="877"/>
    </row>
    <row r="1013" spans="1:9">
      <c r="A1013" s="871"/>
      <c r="B1013" s="634" t="s">
        <v>2505</v>
      </c>
      <c r="C1013" s="904">
        <v>2</v>
      </c>
      <c r="D1013" s="918">
        <v>6</v>
      </c>
      <c r="E1013" s="905">
        <v>1.46</v>
      </c>
      <c r="F1013" s="905"/>
      <c r="G1013" s="907">
        <v>0.15</v>
      </c>
      <c r="H1013" s="903">
        <f t="shared" si="35"/>
        <v>2.6279999999999997</v>
      </c>
      <c r="I1013" s="877"/>
    </row>
    <row r="1014" spans="1:9">
      <c r="A1014" s="871"/>
      <c r="B1014" s="634" t="s">
        <v>2506</v>
      </c>
      <c r="C1014" s="904">
        <v>2</v>
      </c>
      <c r="D1014" s="918">
        <v>2</v>
      </c>
      <c r="E1014" s="905">
        <v>1.46</v>
      </c>
      <c r="F1014" s="905"/>
      <c r="G1014" s="907">
        <v>0.15</v>
      </c>
      <c r="H1014" s="903">
        <f t="shared" si="35"/>
        <v>0.876</v>
      </c>
      <c r="I1014" s="877"/>
    </row>
    <row r="1015" spans="1:9">
      <c r="A1015" s="871"/>
      <c r="B1015" s="634" t="s">
        <v>2507</v>
      </c>
      <c r="C1015" s="904">
        <v>2</v>
      </c>
      <c r="D1015" s="918">
        <v>6</v>
      </c>
      <c r="E1015" s="905">
        <v>1.21</v>
      </c>
      <c r="F1015" s="905"/>
      <c r="G1015" s="907">
        <v>0.15</v>
      </c>
      <c r="H1015" s="903">
        <f t="shared" si="35"/>
        <v>2.1779999999999999</v>
      </c>
      <c r="I1015" s="877"/>
    </row>
    <row r="1016" spans="1:9">
      <c r="A1016" s="871"/>
      <c r="B1016" s="634" t="s">
        <v>2508</v>
      </c>
      <c r="C1016" s="904">
        <v>2</v>
      </c>
      <c r="D1016" s="918">
        <v>2</v>
      </c>
      <c r="E1016" s="905">
        <v>1.36</v>
      </c>
      <c r="F1016" s="905"/>
      <c r="G1016" s="907">
        <v>0.15</v>
      </c>
      <c r="H1016" s="903">
        <f>PRODUCT(C1016:G1016)</f>
        <v>0.81600000000000006</v>
      </c>
      <c r="I1016" s="877"/>
    </row>
    <row r="1017" spans="1:9">
      <c r="A1017" s="871"/>
      <c r="B1017" s="634" t="s">
        <v>2509</v>
      </c>
      <c r="C1017" s="904">
        <v>2</v>
      </c>
      <c r="D1017" s="918">
        <v>1</v>
      </c>
      <c r="E1017" s="905">
        <v>1.36</v>
      </c>
      <c r="F1017" s="905"/>
      <c r="G1017" s="907">
        <v>0.15</v>
      </c>
      <c r="H1017" s="903">
        <f>PRODUCT(C1017:G1017)</f>
        <v>0.40800000000000003</v>
      </c>
      <c r="I1017" s="877"/>
    </row>
    <row r="1018" spans="1:9">
      <c r="A1018" s="871"/>
      <c r="B1018" s="634" t="s">
        <v>2505</v>
      </c>
      <c r="C1018" s="904">
        <v>1</v>
      </c>
      <c r="D1018" s="918">
        <v>6</v>
      </c>
      <c r="E1018" s="905">
        <v>1</v>
      </c>
      <c r="F1018" s="905">
        <v>0.23</v>
      </c>
      <c r="G1018" s="907"/>
      <c r="H1018" s="903">
        <f>PRODUCT(C1018:G1018)</f>
        <v>1.3800000000000001</v>
      </c>
      <c r="I1018" s="877"/>
    </row>
    <row r="1019" spans="1:9">
      <c r="A1019" s="871"/>
      <c r="B1019" s="634" t="s">
        <v>2506</v>
      </c>
      <c r="C1019" s="904">
        <v>1</v>
      </c>
      <c r="D1019" s="918">
        <v>2</v>
      </c>
      <c r="E1019" s="905">
        <v>1</v>
      </c>
      <c r="F1019" s="905">
        <v>0.23</v>
      </c>
      <c r="G1019" s="907"/>
      <c r="H1019" s="903">
        <f>PRODUCT(C1019:G1019)</f>
        <v>0.46</v>
      </c>
      <c r="I1019" s="877"/>
    </row>
    <row r="1020" spans="1:9">
      <c r="A1020" s="871"/>
      <c r="B1020" s="634" t="s">
        <v>2507</v>
      </c>
      <c r="C1020" s="904">
        <v>1</v>
      </c>
      <c r="D1020" s="918">
        <v>6</v>
      </c>
      <c r="E1020" s="905">
        <v>0.75</v>
      </c>
      <c r="F1020" s="905">
        <v>0.23</v>
      </c>
      <c r="G1020" s="907"/>
      <c r="H1020" s="903">
        <f t="shared" si="35"/>
        <v>1.0350000000000001</v>
      </c>
      <c r="I1020" s="877"/>
    </row>
    <row r="1021" spans="1:9">
      <c r="A1021" s="871"/>
      <c r="B1021" s="634" t="s">
        <v>2508</v>
      </c>
      <c r="C1021" s="904">
        <v>1</v>
      </c>
      <c r="D1021" s="918">
        <v>2</v>
      </c>
      <c r="E1021" s="905">
        <v>0.9</v>
      </c>
      <c r="F1021" s="905">
        <v>0.23</v>
      </c>
      <c r="G1021" s="907"/>
      <c r="H1021" s="903">
        <f t="shared" si="35"/>
        <v>0.41400000000000003</v>
      </c>
      <c r="I1021" s="877"/>
    </row>
    <row r="1022" spans="1:9">
      <c r="A1022" s="871"/>
      <c r="B1022" s="634" t="s">
        <v>2509</v>
      </c>
      <c r="C1022" s="904">
        <v>1</v>
      </c>
      <c r="D1022" s="918">
        <v>1</v>
      </c>
      <c r="E1022" s="905">
        <v>0.9</v>
      </c>
      <c r="F1022" s="905">
        <v>0.23</v>
      </c>
      <c r="G1022" s="907"/>
      <c r="H1022" s="903">
        <f t="shared" si="35"/>
        <v>0.20700000000000002</v>
      </c>
      <c r="I1022" s="877"/>
    </row>
    <row r="1023" spans="1:9">
      <c r="A1023" s="871"/>
      <c r="B1023" s="917" t="s">
        <v>2510</v>
      </c>
      <c r="C1023" s="904"/>
      <c r="D1023" s="918"/>
      <c r="E1023" s="905"/>
      <c r="F1023" s="905"/>
      <c r="G1023" s="903"/>
      <c r="H1023" s="903"/>
      <c r="I1023" s="877"/>
    </row>
    <row r="1024" spans="1:9">
      <c r="A1024" s="871"/>
      <c r="B1024" s="634" t="s">
        <v>2511</v>
      </c>
      <c r="C1024" s="904">
        <v>1</v>
      </c>
      <c r="D1024" s="918">
        <v>1</v>
      </c>
      <c r="E1024" s="905">
        <v>40.72</v>
      </c>
      <c r="F1024" s="905">
        <v>0.23</v>
      </c>
      <c r="G1024" s="945"/>
      <c r="H1024" s="903">
        <f t="shared" ref="H1024:H1054" si="36">PRODUCT(C1024:G1024)</f>
        <v>9.3656000000000006</v>
      </c>
      <c r="I1024" s="877"/>
    </row>
    <row r="1025" spans="1:9">
      <c r="A1025" s="871"/>
      <c r="B1025" s="634" t="s">
        <v>2512</v>
      </c>
      <c r="C1025" s="904">
        <v>1</v>
      </c>
      <c r="D1025" s="918">
        <v>1</v>
      </c>
      <c r="E1025" s="905">
        <v>3.67</v>
      </c>
      <c r="F1025" s="905">
        <v>0.23</v>
      </c>
      <c r="G1025" s="945"/>
      <c r="H1025" s="903">
        <f t="shared" si="36"/>
        <v>0.84410000000000007</v>
      </c>
      <c r="I1025" s="877"/>
    </row>
    <row r="1026" spans="1:9">
      <c r="A1026" s="871"/>
      <c r="B1026" s="634" t="s">
        <v>2513</v>
      </c>
      <c r="C1026" s="904">
        <v>1</v>
      </c>
      <c r="D1026" s="918">
        <v>1</v>
      </c>
      <c r="E1026" s="905">
        <v>11.59</v>
      </c>
      <c r="F1026" s="905">
        <v>0.23</v>
      </c>
      <c r="G1026" s="945"/>
      <c r="H1026" s="903">
        <f t="shared" si="36"/>
        <v>2.6657000000000002</v>
      </c>
      <c r="I1026" s="877"/>
    </row>
    <row r="1027" spans="1:9">
      <c r="A1027" s="871"/>
      <c r="B1027" s="634" t="s">
        <v>2514</v>
      </c>
      <c r="C1027" s="904">
        <v>1</v>
      </c>
      <c r="D1027" s="918">
        <v>1</v>
      </c>
      <c r="E1027" s="905">
        <v>2.4</v>
      </c>
      <c r="F1027" s="905">
        <v>0.23</v>
      </c>
      <c r="G1027" s="945"/>
      <c r="H1027" s="903">
        <f t="shared" si="36"/>
        <v>0.55200000000000005</v>
      </c>
      <c r="I1027" s="877"/>
    </row>
    <row r="1028" spans="1:9">
      <c r="A1028" s="871"/>
      <c r="B1028" s="634" t="s">
        <v>2515</v>
      </c>
      <c r="C1028" s="904">
        <v>1</v>
      </c>
      <c r="D1028" s="918">
        <v>2</v>
      </c>
      <c r="E1028" s="905">
        <v>5.52</v>
      </c>
      <c r="F1028" s="905">
        <v>0.23</v>
      </c>
      <c r="G1028" s="945"/>
      <c r="H1028" s="903">
        <f t="shared" si="36"/>
        <v>2.5392000000000001</v>
      </c>
      <c r="I1028" s="877"/>
    </row>
    <row r="1029" spans="1:9">
      <c r="A1029" s="871"/>
      <c r="B1029" s="634" t="s">
        <v>2516</v>
      </c>
      <c r="C1029" s="904">
        <v>1</v>
      </c>
      <c r="D1029" s="918">
        <v>2</v>
      </c>
      <c r="E1029" s="905">
        <v>3.9249999999999998</v>
      </c>
      <c r="F1029" s="905">
        <v>0.23</v>
      </c>
      <c r="G1029" s="945"/>
      <c r="H1029" s="903">
        <f t="shared" si="36"/>
        <v>1.8055000000000001</v>
      </c>
      <c r="I1029" s="877"/>
    </row>
    <row r="1030" spans="1:9">
      <c r="A1030" s="871"/>
      <c r="B1030" s="634" t="s">
        <v>2517</v>
      </c>
      <c r="C1030" s="904">
        <v>1</v>
      </c>
      <c r="D1030" s="918">
        <v>2</v>
      </c>
      <c r="E1030" s="905">
        <v>6.7149999999999999</v>
      </c>
      <c r="F1030" s="905">
        <v>0.23</v>
      </c>
      <c r="G1030" s="945"/>
      <c r="H1030" s="903">
        <f t="shared" si="36"/>
        <v>3.0889000000000002</v>
      </c>
      <c r="I1030" s="877"/>
    </row>
    <row r="1031" spans="1:9">
      <c r="A1031" s="871"/>
      <c r="B1031" s="634" t="s">
        <v>2518</v>
      </c>
      <c r="C1031" s="904">
        <v>1</v>
      </c>
      <c r="D1031" s="918">
        <v>1</v>
      </c>
      <c r="E1031" s="905">
        <v>14.71</v>
      </c>
      <c r="F1031" s="905"/>
      <c r="G1031" s="946">
        <v>0.28000000000000003</v>
      </c>
      <c r="H1031" s="903">
        <f t="shared" si="36"/>
        <v>4.1188000000000002</v>
      </c>
      <c r="I1031" s="877"/>
    </row>
    <row r="1032" spans="1:9">
      <c r="A1032" s="871"/>
      <c r="B1032" s="634" t="s">
        <v>2519</v>
      </c>
      <c r="C1032" s="904">
        <v>1</v>
      </c>
      <c r="D1032" s="918">
        <v>1</v>
      </c>
      <c r="E1032" s="905">
        <v>18.38</v>
      </c>
      <c r="F1032" s="905"/>
      <c r="G1032" s="907">
        <v>0.28000000000000003</v>
      </c>
      <c r="H1032" s="903">
        <f t="shared" si="36"/>
        <v>5.1463999999999999</v>
      </c>
      <c r="I1032" s="877"/>
    </row>
    <row r="1033" spans="1:9">
      <c r="A1033" s="871"/>
      <c r="B1033" s="634" t="s">
        <v>2520</v>
      </c>
      <c r="C1033" s="904">
        <v>1</v>
      </c>
      <c r="D1033" s="918">
        <v>1</v>
      </c>
      <c r="E1033" s="905">
        <v>15.45</v>
      </c>
      <c r="F1033" s="905"/>
      <c r="G1033" s="907">
        <v>0.28000000000000003</v>
      </c>
      <c r="H1033" s="903">
        <f t="shared" si="36"/>
        <v>4.3260000000000005</v>
      </c>
      <c r="I1033" s="877"/>
    </row>
    <row r="1034" spans="1:9">
      <c r="A1034" s="871"/>
      <c r="B1034" s="634" t="s">
        <v>2521</v>
      </c>
      <c r="C1034" s="904">
        <v>1</v>
      </c>
      <c r="D1034" s="918">
        <v>1</v>
      </c>
      <c r="E1034" s="905">
        <v>9.7200000000000006</v>
      </c>
      <c r="F1034" s="905"/>
      <c r="G1034" s="907">
        <v>0.28000000000000003</v>
      </c>
      <c r="H1034" s="903">
        <f t="shared" si="36"/>
        <v>2.7216000000000005</v>
      </c>
      <c r="I1034" s="877"/>
    </row>
    <row r="1035" spans="1:9">
      <c r="A1035" s="871"/>
      <c r="B1035" s="634" t="s">
        <v>2522</v>
      </c>
      <c r="C1035" s="904">
        <v>1</v>
      </c>
      <c r="D1035" s="918">
        <v>1</v>
      </c>
      <c r="E1035" s="905">
        <v>3.6349999999999998</v>
      </c>
      <c r="F1035" s="905"/>
      <c r="G1035" s="907">
        <v>0.28000000000000003</v>
      </c>
      <c r="H1035" s="903">
        <f t="shared" si="36"/>
        <v>1.0178</v>
      </c>
      <c r="I1035" s="877"/>
    </row>
    <row r="1036" spans="1:9">
      <c r="A1036" s="871"/>
      <c r="B1036" s="634" t="s">
        <v>2523</v>
      </c>
      <c r="C1036" s="904">
        <v>1</v>
      </c>
      <c r="D1036" s="918">
        <v>1</v>
      </c>
      <c r="E1036" s="905">
        <v>20.97</v>
      </c>
      <c r="F1036" s="905"/>
      <c r="G1036" s="907">
        <v>0.48</v>
      </c>
      <c r="H1036" s="903">
        <f t="shared" si="36"/>
        <v>10.0656</v>
      </c>
      <c r="I1036" s="877"/>
    </row>
    <row r="1037" spans="1:9">
      <c r="A1037" s="871"/>
      <c r="B1037" s="634" t="s">
        <v>2376</v>
      </c>
      <c r="C1037" s="904">
        <v>1</v>
      </c>
      <c r="D1037" s="918">
        <v>1</v>
      </c>
      <c r="E1037" s="905">
        <v>13.57</v>
      </c>
      <c r="F1037" s="905"/>
      <c r="G1037" s="907">
        <f>0.6-0.125</f>
        <v>0.47499999999999998</v>
      </c>
      <c r="H1037" s="903">
        <f t="shared" si="36"/>
        <v>6.4457499999999994</v>
      </c>
      <c r="I1037" s="877"/>
    </row>
    <row r="1038" spans="1:9">
      <c r="A1038" s="871"/>
      <c r="B1038" s="634" t="s">
        <v>2524</v>
      </c>
      <c r="C1038" s="904">
        <v>1</v>
      </c>
      <c r="D1038" s="918">
        <v>1</v>
      </c>
      <c r="E1038" s="905">
        <v>17.77</v>
      </c>
      <c r="F1038" s="905"/>
      <c r="G1038" s="907">
        <v>0.28000000000000003</v>
      </c>
      <c r="H1038" s="903">
        <f t="shared" si="36"/>
        <v>4.9756</v>
      </c>
      <c r="I1038" s="877"/>
    </row>
    <row r="1039" spans="1:9">
      <c r="A1039" s="871"/>
      <c r="B1039" s="634" t="s">
        <v>2525</v>
      </c>
      <c r="C1039" s="904"/>
      <c r="D1039" s="918"/>
      <c r="E1039" s="905"/>
      <c r="F1039" s="905"/>
      <c r="G1039" s="945"/>
      <c r="H1039" s="903"/>
      <c r="I1039" s="877"/>
    </row>
    <row r="1040" spans="1:9">
      <c r="A1040" s="871"/>
      <c r="B1040" s="634" t="s">
        <v>2084</v>
      </c>
      <c r="C1040" s="904">
        <v>1</v>
      </c>
      <c r="D1040" s="918">
        <v>1</v>
      </c>
      <c r="E1040" s="905">
        <v>3.67</v>
      </c>
      <c r="F1040" s="905">
        <v>5.52</v>
      </c>
      <c r="G1040" s="945"/>
      <c r="H1040" s="903">
        <f t="shared" si="36"/>
        <v>20.258399999999998</v>
      </c>
      <c r="I1040" s="877"/>
    </row>
    <row r="1041" spans="1:9">
      <c r="A1041" s="871"/>
      <c r="B1041" s="634" t="s">
        <v>2519</v>
      </c>
      <c r="C1041" s="904">
        <v>1</v>
      </c>
      <c r="D1041" s="918">
        <v>1</v>
      </c>
      <c r="E1041" s="905">
        <v>4.7</v>
      </c>
      <c r="F1041" s="905">
        <v>3.9249999999999998</v>
      </c>
      <c r="G1041" s="945"/>
      <c r="H1041" s="903">
        <f t="shared" si="36"/>
        <v>18.447500000000002</v>
      </c>
      <c r="I1041" s="877"/>
    </row>
    <row r="1042" spans="1:9">
      <c r="A1042" s="871"/>
      <c r="B1042" s="634" t="s">
        <v>2080</v>
      </c>
      <c r="C1042" s="904">
        <v>1</v>
      </c>
      <c r="D1042" s="918">
        <v>1</v>
      </c>
      <c r="E1042" s="905">
        <v>3.8</v>
      </c>
      <c r="F1042" s="905">
        <v>3.9249999999999998</v>
      </c>
      <c r="G1042" s="945"/>
      <c r="H1042" s="903">
        <f t="shared" si="36"/>
        <v>14.914999999999999</v>
      </c>
      <c r="I1042" s="877"/>
    </row>
    <row r="1043" spans="1:9">
      <c r="A1043" s="871"/>
      <c r="B1043" s="634" t="s">
        <v>2521</v>
      </c>
      <c r="C1043" s="904">
        <v>1</v>
      </c>
      <c r="D1043" s="918">
        <v>1</v>
      </c>
      <c r="E1043" s="905">
        <v>2.46</v>
      </c>
      <c r="F1043" s="905">
        <v>2.4</v>
      </c>
      <c r="G1043" s="945"/>
      <c r="H1043" s="903">
        <f t="shared" si="36"/>
        <v>5.9039999999999999</v>
      </c>
      <c r="I1043" s="877"/>
    </row>
    <row r="1044" spans="1:9">
      <c r="A1044" s="871"/>
      <c r="B1044" s="634" t="s">
        <v>491</v>
      </c>
      <c r="C1044" s="904">
        <v>1</v>
      </c>
      <c r="D1044" s="918">
        <v>1</v>
      </c>
      <c r="E1044" s="905">
        <v>1.24</v>
      </c>
      <c r="F1044" s="905">
        <v>2.4</v>
      </c>
      <c r="G1044" s="945"/>
      <c r="H1044" s="903">
        <f t="shared" si="36"/>
        <v>2.976</v>
      </c>
      <c r="I1044" s="877"/>
    </row>
    <row r="1045" spans="1:9">
      <c r="A1045" s="871"/>
      <c r="B1045" s="634" t="s">
        <v>2523</v>
      </c>
      <c r="C1045" s="904">
        <v>1</v>
      </c>
      <c r="D1045" s="918">
        <v>1</v>
      </c>
      <c r="E1045" s="905">
        <v>6.1</v>
      </c>
      <c r="F1045" s="905">
        <v>4.3849999999999998</v>
      </c>
      <c r="G1045" s="945"/>
      <c r="H1045" s="903">
        <f t="shared" si="36"/>
        <v>26.748499999999996</v>
      </c>
      <c r="I1045" s="877"/>
    </row>
    <row r="1046" spans="1:9">
      <c r="A1046" s="871"/>
      <c r="B1046" s="634" t="s">
        <v>2376</v>
      </c>
      <c r="C1046" s="904">
        <v>1</v>
      </c>
      <c r="D1046" s="918">
        <v>1</v>
      </c>
      <c r="E1046" s="905">
        <v>2.4</v>
      </c>
      <c r="F1046" s="905">
        <v>4.3849999999999998</v>
      </c>
      <c r="G1046" s="907"/>
      <c r="H1046" s="903">
        <f t="shared" si="36"/>
        <v>10.523999999999999</v>
      </c>
      <c r="I1046" s="877"/>
    </row>
    <row r="1047" spans="1:9">
      <c r="A1047" s="871"/>
      <c r="B1047" s="634" t="s">
        <v>2526</v>
      </c>
      <c r="C1047" s="904">
        <v>1</v>
      </c>
      <c r="D1047" s="918">
        <v>1</v>
      </c>
      <c r="E1047" s="905">
        <v>2.75</v>
      </c>
      <c r="F1047" s="905">
        <v>1.2</v>
      </c>
      <c r="G1047" s="907"/>
      <c r="H1047" s="903">
        <f t="shared" si="36"/>
        <v>3.3</v>
      </c>
      <c r="I1047" s="877"/>
    </row>
    <row r="1048" spans="1:9">
      <c r="A1048" s="871"/>
      <c r="B1048" s="634" t="s">
        <v>2527</v>
      </c>
      <c r="C1048" s="904">
        <v>1</v>
      </c>
      <c r="D1048" s="918">
        <v>2</v>
      </c>
      <c r="E1048" s="905">
        <v>2.75</v>
      </c>
      <c r="F1048" s="905"/>
      <c r="G1048" s="946">
        <v>0.28000000000000003</v>
      </c>
      <c r="H1048" s="903">
        <f t="shared" si="36"/>
        <v>1.54</v>
      </c>
      <c r="I1048" s="877"/>
    </row>
    <row r="1049" spans="1:9">
      <c r="A1049" s="871"/>
      <c r="B1049" s="634" t="s">
        <v>2528</v>
      </c>
      <c r="C1049" s="904">
        <v>1</v>
      </c>
      <c r="D1049" s="918">
        <v>1</v>
      </c>
      <c r="E1049" s="905">
        <v>1.915</v>
      </c>
      <c r="F1049" s="905">
        <v>1.2</v>
      </c>
      <c r="G1049" s="907"/>
      <c r="H1049" s="903">
        <f t="shared" si="36"/>
        <v>2.298</v>
      </c>
      <c r="I1049" s="877"/>
    </row>
    <row r="1050" spans="1:9">
      <c r="A1050" s="871"/>
      <c r="B1050" s="634" t="s">
        <v>94</v>
      </c>
      <c r="C1050" s="904">
        <v>1</v>
      </c>
      <c r="D1050" s="918">
        <v>9</v>
      </c>
      <c r="E1050" s="905">
        <v>1</v>
      </c>
      <c r="F1050" s="905"/>
      <c r="G1050" s="907">
        <v>0.15</v>
      </c>
      <c r="H1050" s="903">
        <f t="shared" si="36"/>
        <v>1.3499999999999999</v>
      </c>
      <c r="I1050" s="877"/>
    </row>
    <row r="1051" spans="1:9">
      <c r="A1051" s="871"/>
      <c r="B1051" s="634" t="s">
        <v>2529</v>
      </c>
      <c r="C1051" s="904">
        <v>1</v>
      </c>
      <c r="D1051" s="918">
        <v>1</v>
      </c>
      <c r="E1051" s="905">
        <v>41.64</v>
      </c>
      <c r="F1051" s="905"/>
      <c r="G1051" s="907">
        <v>0.4</v>
      </c>
      <c r="H1051" s="903">
        <f t="shared" si="36"/>
        <v>16.656000000000002</v>
      </c>
      <c r="I1051" s="877"/>
    </row>
    <row r="1052" spans="1:9">
      <c r="A1052" s="871"/>
      <c r="B1052" s="891" t="s">
        <v>2111</v>
      </c>
      <c r="C1052" s="873">
        <v>2</v>
      </c>
      <c r="D1052" s="873">
        <v>2</v>
      </c>
      <c r="E1052" s="888">
        <v>40.72</v>
      </c>
      <c r="F1052" s="888"/>
      <c r="G1052" s="875">
        <v>0.125</v>
      </c>
      <c r="H1052" s="876">
        <f t="shared" si="36"/>
        <v>20.36</v>
      </c>
      <c r="I1052" s="902"/>
    </row>
    <row r="1053" spans="1:9">
      <c r="A1053" s="871"/>
      <c r="B1053" s="634" t="s">
        <v>2530</v>
      </c>
      <c r="C1053" s="904">
        <v>1</v>
      </c>
      <c r="D1053" s="918">
        <v>1</v>
      </c>
      <c r="E1053" s="905">
        <v>15.63</v>
      </c>
      <c r="F1053" s="905"/>
      <c r="G1053" s="907">
        <v>0.4</v>
      </c>
      <c r="H1053" s="903">
        <f t="shared" si="36"/>
        <v>6.2520000000000007</v>
      </c>
      <c r="I1053" s="877"/>
    </row>
    <row r="1054" spans="1:9">
      <c r="A1054" s="871"/>
      <c r="B1054" s="634" t="s">
        <v>2531</v>
      </c>
      <c r="C1054" s="904">
        <v>1</v>
      </c>
      <c r="D1054" s="918">
        <v>1</v>
      </c>
      <c r="E1054" s="905">
        <v>7.52</v>
      </c>
      <c r="F1054" s="905"/>
      <c r="G1054" s="907">
        <v>0.4</v>
      </c>
      <c r="H1054" s="903">
        <f t="shared" si="36"/>
        <v>3.008</v>
      </c>
      <c r="I1054" s="877"/>
    </row>
    <row r="1055" spans="1:9">
      <c r="A1055" s="871"/>
      <c r="B1055" s="917" t="s">
        <v>2532</v>
      </c>
      <c r="C1055" s="904"/>
      <c r="D1055" s="918"/>
      <c r="E1055" s="905"/>
      <c r="F1055" s="905"/>
      <c r="G1055" s="945"/>
      <c r="H1055" s="930"/>
      <c r="I1055" s="877"/>
    </row>
    <row r="1056" spans="1:9">
      <c r="A1056" s="871"/>
      <c r="B1056" s="634" t="s">
        <v>2511</v>
      </c>
      <c r="C1056" s="904">
        <v>1</v>
      </c>
      <c r="D1056" s="918">
        <v>1</v>
      </c>
      <c r="E1056" s="905">
        <v>40.72</v>
      </c>
      <c r="F1056" s="905">
        <v>0.23</v>
      </c>
      <c r="G1056" s="945"/>
      <c r="H1056" s="903">
        <f t="shared" ref="H1056:H1098" si="37">PRODUCT(C1056:G1056)</f>
        <v>9.3656000000000006</v>
      </c>
      <c r="I1056" s="877"/>
    </row>
    <row r="1057" spans="1:9">
      <c r="A1057" s="871"/>
      <c r="B1057" s="634" t="s">
        <v>2513</v>
      </c>
      <c r="C1057" s="904">
        <v>1</v>
      </c>
      <c r="D1057" s="918">
        <v>1</v>
      </c>
      <c r="E1057" s="905">
        <v>11.59</v>
      </c>
      <c r="F1057" s="905">
        <v>0.23</v>
      </c>
      <c r="G1057" s="945"/>
      <c r="H1057" s="903">
        <f t="shared" si="37"/>
        <v>2.6657000000000002</v>
      </c>
      <c r="I1057" s="877"/>
    </row>
    <row r="1058" spans="1:9">
      <c r="A1058" s="871"/>
      <c r="B1058" s="634" t="s">
        <v>2533</v>
      </c>
      <c r="C1058" s="904">
        <v>1</v>
      </c>
      <c r="D1058" s="918">
        <v>2</v>
      </c>
      <c r="E1058" s="905">
        <v>3.9249999999999998</v>
      </c>
      <c r="F1058" s="905">
        <v>0.23</v>
      </c>
      <c r="G1058" s="945"/>
      <c r="H1058" s="903">
        <f t="shared" si="37"/>
        <v>1.8055000000000001</v>
      </c>
      <c r="I1058" s="877"/>
    </row>
    <row r="1059" spans="1:9">
      <c r="A1059" s="871"/>
      <c r="B1059" s="634" t="s">
        <v>2517</v>
      </c>
      <c r="C1059" s="904">
        <v>1</v>
      </c>
      <c r="D1059" s="918">
        <v>2</v>
      </c>
      <c r="E1059" s="905">
        <v>6.7149999999999999</v>
      </c>
      <c r="F1059" s="905">
        <v>0.23</v>
      </c>
      <c r="G1059" s="945"/>
      <c r="H1059" s="903">
        <f t="shared" si="37"/>
        <v>3.0889000000000002</v>
      </c>
      <c r="I1059" s="877"/>
    </row>
    <row r="1060" spans="1:9">
      <c r="A1060" s="871"/>
      <c r="B1060" s="634" t="s">
        <v>2518</v>
      </c>
      <c r="C1060" s="904">
        <v>1</v>
      </c>
      <c r="D1060" s="918">
        <v>1</v>
      </c>
      <c r="E1060" s="905">
        <v>14.71</v>
      </c>
      <c r="F1060" s="905"/>
      <c r="G1060" s="946">
        <v>0.28000000000000003</v>
      </c>
      <c r="H1060" s="903">
        <f t="shared" si="37"/>
        <v>4.1188000000000002</v>
      </c>
      <c r="I1060" s="877"/>
    </row>
    <row r="1061" spans="1:9">
      <c r="A1061" s="871"/>
      <c r="B1061" s="634" t="s">
        <v>2519</v>
      </c>
      <c r="C1061" s="904">
        <v>1</v>
      </c>
      <c r="D1061" s="918">
        <v>1</v>
      </c>
      <c r="E1061" s="905">
        <v>18.38</v>
      </c>
      <c r="F1061" s="905"/>
      <c r="G1061" s="907">
        <v>0.28000000000000003</v>
      </c>
      <c r="H1061" s="903">
        <f t="shared" si="37"/>
        <v>5.1463999999999999</v>
      </c>
      <c r="I1061" s="877"/>
    </row>
    <row r="1062" spans="1:9">
      <c r="A1062" s="871"/>
      <c r="B1062" s="634" t="s">
        <v>2520</v>
      </c>
      <c r="C1062" s="904">
        <v>1</v>
      </c>
      <c r="D1062" s="918">
        <v>1</v>
      </c>
      <c r="E1062" s="905">
        <v>15.45</v>
      </c>
      <c r="F1062" s="905"/>
      <c r="G1062" s="907">
        <v>0.28000000000000003</v>
      </c>
      <c r="H1062" s="903">
        <f t="shared" si="37"/>
        <v>4.3260000000000005</v>
      </c>
      <c r="I1062" s="877"/>
    </row>
    <row r="1063" spans="1:9">
      <c r="A1063" s="871"/>
      <c r="B1063" s="634" t="s">
        <v>2534</v>
      </c>
      <c r="C1063" s="904">
        <v>1</v>
      </c>
      <c r="D1063" s="918">
        <v>1</v>
      </c>
      <c r="E1063" s="905">
        <v>12.65</v>
      </c>
      <c r="F1063" s="905"/>
      <c r="G1063" s="907">
        <v>0.28000000000000003</v>
      </c>
      <c r="H1063" s="903">
        <f t="shared" si="37"/>
        <v>3.5420000000000003</v>
      </c>
      <c r="I1063" s="877"/>
    </row>
    <row r="1064" spans="1:9">
      <c r="A1064" s="871"/>
      <c r="B1064" s="634" t="s">
        <v>2523</v>
      </c>
      <c r="C1064" s="904">
        <v>1</v>
      </c>
      <c r="D1064" s="918">
        <v>1</v>
      </c>
      <c r="E1064" s="905">
        <v>20.97</v>
      </c>
      <c r="F1064" s="905"/>
      <c r="G1064" s="907">
        <v>0.28000000000000003</v>
      </c>
      <c r="H1064" s="903">
        <f t="shared" si="37"/>
        <v>5.8715999999999999</v>
      </c>
      <c r="I1064" s="877"/>
    </row>
    <row r="1065" spans="1:9">
      <c r="A1065" s="871"/>
      <c r="B1065" s="634" t="s">
        <v>2376</v>
      </c>
      <c r="C1065" s="904">
        <v>1</v>
      </c>
      <c r="D1065" s="918">
        <v>1</v>
      </c>
      <c r="E1065" s="905">
        <v>13.57</v>
      </c>
      <c r="F1065" s="905"/>
      <c r="G1065" s="907">
        <v>0.28000000000000003</v>
      </c>
      <c r="H1065" s="903">
        <f t="shared" si="37"/>
        <v>3.7996000000000003</v>
      </c>
      <c r="I1065" s="877"/>
    </row>
    <row r="1066" spans="1:9">
      <c r="A1066" s="871"/>
      <c r="B1066" s="634" t="s">
        <v>2524</v>
      </c>
      <c r="C1066" s="904">
        <v>1</v>
      </c>
      <c r="D1066" s="918">
        <v>1</v>
      </c>
      <c r="E1066" s="905">
        <v>17.7</v>
      </c>
      <c r="F1066" s="905"/>
      <c r="G1066" s="907">
        <v>0.28000000000000003</v>
      </c>
      <c r="H1066" s="903">
        <f t="shared" si="37"/>
        <v>4.9560000000000004</v>
      </c>
      <c r="I1066" s="877"/>
    </row>
    <row r="1067" spans="1:9">
      <c r="A1067" s="871"/>
      <c r="B1067" s="917" t="s">
        <v>2525</v>
      </c>
      <c r="C1067" s="904"/>
      <c r="D1067" s="918"/>
      <c r="E1067" s="905"/>
      <c r="F1067" s="905"/>
      <c r="G1067" s="945"/>
      <c r="H1067" s="903"/>
      <c r="I1067" s="877"/>
    </row>
    <row r="1068" spans="1:9">
      <c r="A1068" s="871"/>
      <c r="B1068" s="634" t="s">
        <v>2084</v>
      </c>
      <c r="C1068" s="904">
        <v>1</v>
      </c>
      <c r="D1068" s="918">
        <v>1</v>
      </c>
      <c r="E1068" s="905">
        <v>3.67</v>
      </c>
      <c r="F1068" s="905">
        <v>5.52</v>
      </c>
      <c r="G1068" s="945"/>
      <c r="H1068" s="903">
        <f t="shared" si="37"/>
        <v>20.258399999999998</v>
      </c>
      <c r="I1068" s="877"/>
    </row>
    <row r="1069" spans="1:9">
      <c r="A1069" s="871"/>
      <c r="B1069" s="634" t="s">
        <v>2519</v>
      </c>
      <c r="C1069" s="904">
        <v>1</v>
      </c>
      <c r="D1069" s="918">
        <v>1</v>
      </c>
      <c r="E1069" s="905">
        <v>4.7</v>
      </c>
      <c r="F1069" s="905">
        <v>3.9249999999999998</v>
      </c>
      <c r="G1069" s="945"/>
      <c r="H1069" s="903">
        <f t="shared" si="37"/>
        <v>18.447500000000002</v>
      </c>
      <c r="I1069" s="877"/>
    </row>
    <row r="1070" spans="1:9">
      <c r="A1070" s="871"/>
      <c r="B1070" s="634" t="s">
        <v>2080</v>
      </c>
      <c r="C1070" s="904">
        <v>1</v>
      </c>
      <c r="D1070" s="918">
        <v>1</v>
      </c>
      <c r="E1070" s="905">
        <v>3.8</v>
      </c>
      <c r="F1070" s="905">
        <v>3.9249999999999998</v>
      </c>
      <c r="G1070" s="945"/>
      <c r="H1070" s="903">
        <f t="shared" si="37"/>
        <v>14.914999999999999</v>
      </c>
      <c r="I1070" s="877"/>
    </row>
    <row r="1071" spans="1:9">
      <c r="A1071" s="871"/>
      <c r="B1071" s="634" t="s">
        <v>2521</v>
      </c>
      <c r="C1071" s="904">
        <v>1</v>
      </c>
      <c r="D1071" s="918">
        <v>1</v>
      </c>
      <c r="E1071" s="905">
        <v>2.46</v>
      </c>
      <c r="F1071" s="905">
        <v>2.4</v>
      </c>
      <c r="G1071" s="945"/>
      <c r="H1071" s="903">
        <f t="shared" si="37"/>
        <v>5.9039999999999999</v>
      </c>
      <c r="I1071" s="877"/>
    </row>
    <row r="1072" spans="1:9">
      <c r="A1072" s="871"/>
      <c r="B1072" s="634" t="s">
        <v>491</v>
      </c>
      <c r="C1072" s="904">
        <v>1</v>
      </c>
      <c r="D1072" s="918">
        <v>1</v>
      </c>
      <c r="E1072" s="905">
        <v>1.24</v>
      </c>
      <c r="F1072" s="905">
        <v>2.4</v>
      </c>
      <c r="G1072" s="945"/>
      <c r="H1072" s="903">
        <f t="shared" si="37"/>
        <v>2.976</v>
      </c>
      <c r="I1072" s="877"/>
    </row>
    <row r="1073" spans="1:9">
      <c r="A1073" s="871"/>
      <c r="B1073" s="634" t="s">
        <v>2523</v>
      </c>
      <c r="C1073" s="904">
        <v>1</v>
      </c>
      <c r="D1073" s="918">
        <v>1</v>
      </c>
      <c r="E1073" s="905">
        <v>6.1</v>
      </c>
      <c r="F1073" s="905">
        <v>4.3849999999999998</v>
      </c>
      <c r="G1073" s="945"/>
      <c r="H1073" s="903">
        <f t="shared" si="37"/>
        <v>26.748499999999996</v>
      </c>
      <c r="I1073" s="877"/>
    </row>
    <row r="1074" spans="1:9">
      <c r="A1074" s="871"/>
      <c r="B1074" s="634" t="s">
        <v>2376</v>
      </c>
      <c r="C1074" s="904">
        <v>1</v>
      </c>
      <c r="D1074" s="918">
        <v>1</v>
      </c>
      <c r="E1074" s="905">
        <v>2.4</v>
      </c>
      <c r="F1074" s="905">
        <v>4.3849999999999998</v>
      </c>
      <c r="G1074" s="907"/>
      <c r="H1074" s="903">
        <f t="shared" si="37"/>
        <v>10.523999999999999</v>
      </c>
      <c r="I1074" s="877"/>
    </row>
    <row r="1075" spans="1:9">
      <c r="A1075" s="871"/>
      <c r="B1075" s="634" t="s">
        <v>2526</v>
      </c>
      <c r="C1075" s="904">
        <v>1</v>
      </c>
      <c r="D1075" s="918">
        <v>1</v>
      </c>
      <c r="E1075" s="905">
        <v>2.75</v>
      </c>
      <c r="F1075" s="905">
        <v>1.2</v>
      </c>
      <c r="G1075" s="907"/>
      <c r="H1075" s="903">
        <f t="shared" si="37"/>
        <v>3.3</v>
      </c>
      <c r="I1075" s="877"/>
    </row>
    <row r="1076" spans="1:9">
      <c r="A1076" s="871"/>
      <c r="B1076" s="634" t="s">
        <v>2527</v>
      </c>
      <c r="C1076" s="904">
        <v>1</v>
      </c>
      <c r="D1076" s="918">
        <v>2</v>
      </c>
      <c r="E1076" s="905">
        <v>2.75</v>
      </c>
      <c r="F1076" s="905"/>
      <c r="G1076" s="946">
        <v>0.28000000000000003</v>
      </c>
      <c r="H1076" s="903">
        <f t="shared" si="37"/>
        <v>1.54</v>
      </c>
      <c r="I1076" s="877"/>
    </row>
    <row r="1077" spans="1:9">
      <c r="A1077" s="871"/>
      <c r="B1077" s="634" t="s">
        <v>2528</v>
      </c>
      <c r="C1077" s="904">
        <v>1</v>
      </c>
      <c r="D1077" s="918">
        <v>1</v>
      </c>
      <c r="E1077" s="905">
        <v>1.915</v>
      </c>
      <c r="F1077" s="905">
        <v>1.2</v>
      </c>
      <c r="G1077" s="907"/>
      <c r="H1077" s="903">
        <f t="shared" si="37"/>
        <v>2.298</v>
      </c>
      <c r="I1077" s="877"/>
    </row>
    <row r="1078" spans="1:9">
      <c r="A1078" s="871"/>
      <c r="B1078" s="634" t="s">
        <v>94</v>
      </c>
      <c r="C1078" s="904">
        <v>1</v>
      </c>
      <c r="D1078" s="918">
        <v>9</v>
      </c>
      <c r="E1078" s="905">
        <v>1</v>
      </c>
      <c r="F1078" s="905"/>
      <c r="G1078" s="907">
        <v>0.15</v>
      </c>
      <c r="H1078" s="903">
        <f t="shared" si="37"/>
        <v>1.3499999999999999</v>
      </c>
      <c r="I1078" s="877"/>
    </row>
    <row r="1079" spans="1:9">
      <c r="A1079" s="871"/>
      <c r="B1079" s="634" t="s">
        <v>2535</v>
      </c>
      <c r="C1079" s="904">
        <v>1</v>
      </c>
      <c r="D1079" s="918">
        <v>2</v>
      </c>
      <c r="E1079" s="905">
        <v>3.8</v>
      </c>
      <c r="F1079" s="905">
        <v>1</v>
      </c>
      <c r="G1079" s="907"/>
      <c r="H1079" s="903">
        <f t="shared" si="37"/>
        <v>7.6</v>
      </c>
      <c r="I1079" s="877"/>
    </row>
    <row r="1080" spans="1:9">
      <c r="A1080" s="871"/>
      <c r="B1080" s="634" t="s">
        <v>2536</v>
      </c>
      <c r="C1080" s="904">
        <v>1</v>
      </c>
      <c r="D1080" s="918">
        <v>2</v>
      </c>
      <c r="E1080" s="905">
        <v>2.86</v>
      </c>
      <c r="F1080" s="905"/>
      <c r="G1080" s="907">
        <v>0.3</v>
      </c>
      <c r="H1080" s="903">
        <f t="shared" si="37"/>
        <v>1.716</v>
      </c>
      <c r="I1080" s="877"/>
    </row>
    <row r="1081" spans="1:9">
      <c r="A1081" s="871"/>
      <c r="B1081" s="634" t="s">
        <v>2537</v>
      </c>
      <c r="C1081" s="904">
        <v>1</v>
      </c>
      <c r="D1081" s="918">
        <v>2</v>
      </c>
      <c r="E1081" s="905">
        <v>2.4</v>
      </c>
      <c r="F1081" s="905">
        <v>1.2</v>
      </c>
      <c r="G1081" s="907"/>
      <c r="H1081" s="903">
        <f t="shared" si="37"/>
        <v>5.76</v>
      </c>
      <c r="I1081" s="877"/>
    </row>
    <row r="1082" spans="1:9">
      <c r="A1082" s="871"/>
      <c r="B1082" s="634" t="s">
        <v>2538</v>
      </c>
      <c r="C1082" s="904">
        <v>1</v>
      </c>
      <c r="D1082" s="918">
        <v>3</v>
      </c>
      <c r="E1082" s="905">
        <v>7.2</v>
      </c>
      <c r="F1082" s="905"/>
      <c r="G1082" s="906">
        <v>0.17499999999999999</v>
      </c>
      <c r="H1082" s="903">
        <f t="shared" si="37"/>
        <v>3.78</v>
      </c>
      <c r="I1082" s="877"/>
    </row>
    <row r="1083" spans="1:9">
      <c r="A1083" s="871"/>
      <c r="B1083" s="634" t="s">
        <v>2539</v>
      </c>
      <c r="C1083" s="904">
        <v>1</v>
      </c>
      <c r="D1083" s="918">
        <v>3</v>
      </c>
      <c r="E1083" s="905">
        <v>8.32</v>
      </c>
      <c r="F1083" s="905"/>
      <c r="G1083" s="907">
        <v>0.3</v>
      </c>
      <c r="H1083" s="903">
        <f t="shared" si="37"/>
        <v>7.4879999999999995</v>
      </c>
      <c r="I1083" s="877"/>
    </row>
    <row r="1084" spans="1:9">
      <c r="A1084" s="871"/>
      <c r="B1084" s="634" t="s">
        <v>2540</v>
      </c>
      <c r="C1084" s="904">
        <v>1</v>
      </c>
      <c r="D1084" s="918">
        <v>2</v>
      </c>
      <c r="E1084" s="905">
        <v>7.29</v>
      </c>
      <c r="F1084" s="905">
        <v>0.3</v>
      </c>
      <c r="G1084" s="907"/>
      <c r="H1084" s="903">
        <f t="shared" si="37"/>
        <v>4.3739999999999997</v>
      </c>
      <c r="I1084" s="877"/>
    </row>
    <row r="1085" spans="1:9">
      <c r="A1085" s="871"/>
      <c r="B1085" s="634" t="s">
        <v>2527</v>
      </c>
      <c r="C1085" s="904">
        <v>1</v>
      </c>
      <c r="D1085" s="918">
        <v>2</v>
      </c>
      <c r="E1085" s="905">
        <v>3.8</v>
      </c>
      <c r="F1085" s="905"/>
      <c r="G1085" s="906">
        <v>0.27500000000000002</v>
      </c>
      <c r="H1085" s="903">
        <f t="shared" si="37"/>
        <v>2.09</v>
      </c>
      <c r="I1085" s="877"/>
    </row>
    <row r="1086" spans="1:9">
      <c r="A1086" s="871"/>
      <c r="B1086" s="634" t="s">
        <v>2541</v>
      </c>
      <c r="C1086" s="904">
        <v>2</v>
      </c>
      <c r="D1086" s="918">
        <v>10</v>
      </c>
      <c r="E1086" s="905">
        <v>1</v>
      </c>
      <c r="F1086" s="905"/>
      <c r="G1086" s="907">
        <v>0.15</v>
      </c>
      <c r="H1086" s="903">
        <f t="shared" si="37"/>
        <v>3</v>
      </c>
      <c r="I1086" s="877"/>
    </row>
    <row r="1087" spans="1:9">
      <c r="A1087" s="871"/>
      <c r="B1087" s="634" t="s">
        <v>2529</v>
      </c>
      <c r="C1087" s="904">
        <v>1</v>
      </c>
      <c r="D1087" s="918">
        <v>1</v>
      </c>
      <c r="E1087" s="905">
        <v>40.72</v>
      </c>
      <c r="F1087" s="905"/>
      <c r="G1087" s="907">
        <v>0.4</v>
      </c>
      <c r="H1087" s="903">
        <f t="shared" si="37"/>
        <v>16.288</v>
      </c>
      <c r="I1087" s="877"/>
    </row>
    <row r="1088" spans="1:9">
      <c r="A1088" s="871"/>
      <c r="B1088" s="634" t="s">
        <v>2530</v>
      </c>
      <c r="C1088" s="904">
        <v>1</v>
      </c>
      <c r="D1088" s="918">
        <v>1</v>
      </c>
      <c r="E1088" s="905">
        <v>15.5</v>
      </c>
      <c r="F1088" s="905"/>
      <c r="G1088" s="907">
        <v>0.4</v>
      </c>
      <c r="H1088" s="903">
        <f t="shared" si="37"/>
        <v>6.2</v>
      </c>
      <c r="I1088" s="877"/>
    </row>
    <row r="1089" spans="1:19">
      <c r="A1089" s="871"/>
      <c r="B1089" s="634" t="s">
        <v>2531</v>
      </c>
      <c r="C1089" s="904">
        <v>1</v>
      </c>
      <c r="D1089" s="918">
        <v>1</v>
      </c>
      <c r="E1089" s="905">
        <v>7</v>
      </c>
      <c r="F1089" s="905"/>
      <c r="G1089" s="907">
        <v>0.4</v>
      </c>
      <c r="H1089" s="903">
        <f t="shared" si="37"/>
        <v>2.8000000000000003</v>
      </c>
      <c r="I1089" s="877"/>
    </row>
    <row r="1090" spans="1:19">
      <c r="A1090" s="871"/>
      <c r="B1090" s="917" t="s">
        <v>1070</v>
      </c>
      <c r="C1090" s="904"/>
      <c r="D1090" s="918"/>
      <c r="E1090" s="905"/>
      <c r="F1090" s="905"/>
      <c r="G1090" s="907"/>
      <c r="H1090" s="903"/>
      <c r="I1090" s="877"/>
    </row>
    <row r="1091" spans="1:19">
      <c r="A1091" s="871"/>
      <c r="B1091" s="634" t="s">
        <v>2511</v>
      </c>
      <c r="C1091" s="904">
        <v>1</v>
      </c>
      <c r="D1091" s="918">
        <v>1</v>
      </c>
      <c r="E1091" s="905">
        <v>19.62</v>
      </c>
      <c r="F1091" s="905">
        <v>0.23</v>
      </c>
      <c r="G1091" s="907"/>
      <c r="H1091" s="903">
        <f t="shared" si="37"/>
        <v>4.5126000000000008</v>
      </c>
      <c r="I1091" s="877"/>
    </row>
    <row r="1092" spans="1:19">
      <c r="A1092" s="871"/>
      <c r="B1092" s="634" t="s">
        <v>2542</v>
      </c>
      <c r="C1092" s="904">
        <v>1</v>
      </c>
      <c r="D1092" s="918">
        <v>1</v>
      </c>
      <c r="E1092" s="905">
        <v>1</v>
      </c>
      <c r="F1092" s="905">
        <v>0.23</v>
      </c>
      <c r="G1092" s="907"/>
      <c r="H1092" s="903">
        <f t="shared" si="37"/>
        <v>0.23</v>
      </c>
      <c r="I1092" s="877"/>
    </row>
    <row r="1093" spans="1:19">
      <c r="A1093" s="871"/>
      <c r="B1093" s="634" t="s">
        <v>2543</v>
      </c>
      <c r="C1093" s="904">
        <v>1</v>
      </c>
      <c r="D1093" s="918">
        <v>2</v>
      </c>
      <c r="E1093" s="905">
        <v>1.46</v>
      </c>
      <c r="F1093" s="905"/>
      <c r="G1093" s="907">
        <v>0.15</v>
      </c>
      <c r="H1093" s="903">
        <f t="shared" si="37"/>
        <v>0.438</v>
      </c>
      <c r="I1093" s="877"/>
    </row>
    <row r="1094" spans="1:19">
      <c r="A1094" s="871"/>
      <c r="B1094" s="634" t="s">
        <v>2544</v>
      </c>
      <c r="C1094" s="904">
        <v>1</v>
      </c>
      <c r="D1094" s="918">
        <v>1</v>
      </c>
      <c r="E1094" s="905">
        <v>19.62</v>
      </c>
      <c r="F1094" s="905"/>
      <c r="G1094" s="907">
        <v>0.28000000000000003</v>
      </c>
      <c r="H1094" s="903">
        <f t="shared" si="37"/>
        <v>5.4936000000000007</v>
      </c>
      <c r="I1094" s="877"/>
    </row>
    <row r="1095" spans="1:19">
      <c r="A1095" s="871"/>
      <c r="B1095" s="634" t="s">
        <v>2525</v>
      </c>
      <c r="C1095" s="904">
        <v>1</v>
      </c>
      <c r="D1095" s="918">
        <v>1</v>
      </c>
      <c r="E1095" s="905">
        <v>2.4</v>
      </c>
      <c r="F1095" s="905">
        <v>7.18</v>
      </c>
      <c r="G1095" s="907"/>
      <c r="H1095" s="903">
        <f t="shared" si="37"/>
        <v>17.231999999999999</v>
      </c>
      <c r="I1095" s="877"/>
    </row>
    <row r="1096" spans="1:19">
      <c r="A1096" s="871"/>
      <c r="B1096" s="634" t="s">
        <v>2529</v>
      </c>
      <c r="C1096" s="904">
        <v>1</v>
      </c>
      <c r="D1096" s="918">
        <v>1</v>
      </c>
      <c r="E1096" s="905">
        <v>21</v>
      </c>
      <c r="F1096" s="905"/>
      <c r="G1096" s="907">
        <v>0.4</v>
      </c>
      <c r="H1096" s="903">
        <f t="shared" si="37"/>
        <v>8.4</v>
      </c>
      <c r="I1096" s="877"/>
    </row>
    <row r="1097" spans="1:19">
      <c r="A1097" s="871"/>
      <c r="B1097" s="634" t="s">
        <v>2545</v>
      </c>
      <c r="C1097" s="904">
        <v>1</v>
      </c>
      <c r="D1097" s="918">
        <v>1</v>
      </c>
      <c r="E1097" s="905">
        <v>2.63</v>
      </c>
      <c r="F1097" s="905">
        <v>2.0299999999999998</v>
      </c>
      <c r="G1097" s="907"/>
      <c r="H1097" s="903">
        <f t="shared" si="37"/>
        <v>5.3388999999999989</v>
      </c>
      <c r="I1097" s="877"/>
    </row>
    <row r="1098" spans="1:19">
      <c r="A1098" s="871"/>
      <c r="B1098" s="634" t="s">
        <v>2546</v>
      </c>
      <c r="C1098" s="904">
        <v>1</v>
      </c>
      <c r="D1098" s="918">
        <v>1</v>
      </c>
      <c r="E1098" s="905">
        <v>9.32</v>
      </c>
      <c r="F1098" s="905"/>
      <c r="G1098" s="907">
        <v>0.15</v>
      </c>
      <c r="H1098" s="903">
        <f t="shared" si="37"/>
        <v>1.3979999999999999</v>
      </c>
      <c r="I1098" s="877"/>
    </row>
    <row r="1099" spans="1:19">
      <c r="A1099" s="871"/>
      <c r="B1099" s="891"/>
      <c r="C1099" s="873"/>
      <c r="D1099" s="873"/>
      <c r="E1099" s="888"/>
      <c r="F1099" s="874"/>
      <c r="G1099" s="871" t="s">
        <v>57</v>
      </c>
      <c r="H1099" s="876">
        <f>SUM(H985:H1098)</f>
        <v>512.32085000000006</v>
      </c>
      <c r="I1099" s="877"/>
    </row>
    <row r="1100" spans="1:19" ht="18">
      <c r="A1100" s="871"/>
      <c r="B1100" s="891"/>
      <c r="C1100" s="873"/>
      <c r="D1100" s="873"/>
      <c r="E1100" s="888"/>
      <c r="F1100" s="874"/>
      <c r="G1100" s="892" t="s">
        <v>206</v>
      </c>
      <c r="H1100" s="893">
        <f>ROUNDUP(H1099,1)</f>
        <v>512.4</v>
      </c>
      <c r="I1100" s="894" t="s">
        <v>2234</v>
      </c>
    </row>
    <row r="1101" spans="1:19">
      <c r="A1101" s="871"/>
      <c r="B1101" s="891"/>
      <c r="C1101" s="873"/>
      <c r="D1101" s="873"/>
      <c r="E1101" s="888"/>
      <c r="F1101" s="874"/>
      <c r="G1101" s="892"/>
      <c r="H1101" s="893"/>
      <c r="I1101" s="894"/>
    </row>
    <row r="1102" spans="1:19" ht="33" customHeight="1">
      <c r="A1102" s="871" t="s">
        <v>2169</v>
      </c>
      <c r="B1102" s="886" t="s">
        <v>2547</v>
      </c>
      <c r="C1102" s="873"/>
      <c r="D1102" s="873"/>
      <c r="E1102" s="874"/>
      <c r="F1102" s="873"/>
      <c r="G1102" s="875"/>
      <c r="H1102" s="876"/>
      <c r="I1102" s="877"/>
      <c r="K1102" s="923"/>
      <c r="L1102" s="868"/>
      <c r="M1102" s="868"/>
      <c r="N1102" s="868"/>
      <c r="O1102" s="926"/>
      <c r="P1102" s="924"/>
      <c r="Q1102" s="926"/>
      <c r="R1102" s="924"/>
      <c r="S1102" s="925"/>
    </row>
    <row r="1103" spans="1:19" ht="21" customHeight="1">
      <c r="A1103" s="871"/>
      <c r="B1103" s="899" t="s">
        <v>2089</v>
      </c>
      <c r="C1103" s="873"/>
      <c r="D1103" s="873"/>
      <c r="E1103" s="874"/>
      <c r="F1103" s="873"/>
      <c r="G1103" s="875"/>
      <c r="H1103" s="876"/>
      <c r="I1103" s="877"/>
      <c r="K1103" s="923"/>
      <c r="L1103" s="868"/>
      <c r="M1103" s="868"/>
      <c r="N1103" s="868"/>
      <c r="O1103" s="926"/>
      <c r="P1103" s="924"/>
      <c r="Q1103" s="926"/>
      <c r="R1103" s="924"/>
      <c r="S1103" s="925"/>
    </row>
    <row r="1104" spans="1:19" ht="18" customHeight="1">
      <c r="A1104" s="871"/>
      <c r="B1104" s="891" t="s">
        <v>692</v>
      </c>
      <c r="C1104" s="887">
        <v>1</v>
      </c>
      <c r="D1104" s="887">
        <v>2</v>
      </c>
      <c r="E1104" s="888">
        <v>1.06</v>
      </c>
      <c r="F1104" s="888"/>
      <c r="G1104" s="900">
        <v>1</v>
      </c>
      <c r="H1104" s="876">
        <f t="shared" ref="H1104:H1147" si="38">PRODUCT(C1104:G1104)</f>
        <v>2.12</v>
      </c>
      <c r="I1104" s="877"/>
      <c r="K1104" s="923"/>
      <c r="L1104" s="868"/>
      <c r="M1104" s="868"/>
      <c r="N1104" s="868"/>
      <c r="O1104" s="926"/>
      <c r="P1104" s="924"/>
      <c r="Q1104" s="926"/>
      <c r="R1104" s="924"/>
      <c r="S1104" s="925"/>
    </row>
    <row r="1105" spans="1:19" ht="18" customHeight="1">
      <c r="A1105" s="871"/>
      <c r="B1105" s="891" t="s">
        <v>2090</v>
      </c>
      <c r="C1105" s="887">
        <v>1</v>
      </c>
      <c r="D1105" s="887">
        <v>4</v>
      </c>
      <c r="E1105" s="888">
        <v>1.06</v>
      </c>
      <c r="F1105" s="888"/>
      <c r="G1105" s="900">
        <v>1</v>
      </c>
      <c r="H1105" s="876">
        <f t="shared" si="38"/>
        <v>4.24</v>
      </c>
      <c r="I1105" s="877"/>
      <c r="K1105" s="923"/>
      <c r="L1105" s="868"/>
      <c r="M1105" s="868"/>
      <c r="N1105" s="868"/>
      <c r="O1105" s="926"/>
      <c r="P1105" s="924"/>
      <c r="Q1105" s="926"/>
      <c r="R1105" s="924"/>
      <c r="S1105" s="925"/>
    </row>
    <row r="1106" spans="1:19" ht="18" customHeight="1">
      <c r="A1106" s="871"/>
      <c r="B1106" s="891" t="s">
        <v>675</v>
      </c>
      <c r="C1106" s="887">
        <v>1</v>
      </c>
      <c r="D1106" s="887">
        <v>5</v>
      </c>
      <c r="E1106" s="888">
        <v>1.06</v>
      </c>
      <c r="F1106" s="888"/>
      <c r="G1106" s="900">
        <v>1</v>
      </c>
      <c r="H1106" s="876">
        <f t="shared" si="38"/>
        <v>5.3000000000000007</v>
      </c>
      <c r="I1106" s="877"/>
      <c r="K1106" s="923"/>
      <c r="L1106" s="868"/>
      <c r="M1106" s="868"/>
      <c r="N1106" s="868"/>
      <c r="O1106" s="926"/>
      <c r="P1106" s="924"/>
      <c r="Q1106" s="926"/>
      <c r="R1106" s="924"/>
      <c r="S1106" s="925"/>
    </row>
    <row r="1107" spans="1:19" ht="18" customHeight="1">
      <c r="A1107" s="871"/>
      <c r="B1107" s="891" t="s">
        <v>693</v>
      </c>
      <c r="C1107" s="887">
        <v>1</v>
      </c>
      <c r="D1107" s="887">
        <v>2</v>
      </c>
      <c r="E1107" s="888">
        <v>1.36</v>
      </c>
      <c r="F1107" s="888"/>
      <c r="G1107" s="900">
        <v>1</v>
      </c>
      <c r="H1107" s="876">
        <f t="shared" si="38"/>
        <v>2.72</v>
      </c>
      <c r="I1107" s="877"/>
      <c r="K1107" s="923"/>
      <c r="L1107" s="868"/>
      <c r="M1107" s="868"/>
      <c r="N1107" s="868"/>
      <c r="O1107" s="926"/>
      <c r="P1107" s="924"/>
      <c r="Q1107" s="926"/>
      <c r="R1107" s="924"/>
      <c r="S1107" s="925"/>
    </row>
    <row r="1108" spans="1:19" ht="18" customHeight="1">
      <c r="A1108" s="871"/>
      <c r="B1108" s="891" t="s">
        <v>677</v>
      </c>
      <c r="C1108" s="887">
        <v>1</v>
      </c>
      <c r="D1108" s="887">
        <v>1</v>
      </c>
      <c r="E1108" s="888">
        <v>1.36</v>
      </c>
      <c r="F1108" s="888"/>
      <c r="G1108" s="900">
        <v>1</v>
      </c>
      <c r="H1108" s="876">
        <f t="shared" si="38"/>
        <v>1.36</v>
      </c>
      <c r="I1108" s="877"/>
      <c r="K1108" s="923"/>
      <c r="L1108" s="868"/>
      <c r="M1108" s="868"/>
      <c r="N1108" s="868"/>
      <c r="O1108" s="926"/>
      <c r="P1108" s="924"/>
      <c r="Q1108" s="926"/>
      <c r="R1108" s="924"/>
      <c r="S1108" s="925"/>
    </row>
    <row r="1109" spans="1:19">
      <c r="A1109" s="871"/>
      <c r="B1109" s="891" t="s">
        <v>2091</v>
      </c>
      <c r="C1109" s="887">
        <v>1</v>
      </c>
      <c r="D1109" s="887">
        <v>1</v>
      </c>
      <c r="E1109" s="888">
        <v>1.36</v>
      </c>
      <c r="F1109" s="888"/>
      <c r="G1109" s="900">
        <v>1</v>
      </c>
      <c r="H1109" s="876">
        <f t="shared" si="38"/>
        <v>1.36</v>
      </c>
      <c r="I1109" s="877"/>
      <c r="K1109" s="923"/>
      <c r="L1109" s="868"/>
      <c r="M1109" s="868"/>
      <c r="N1109" s="868"/>
      <c r="O1109" s="926"/>
      <c r="P1109" s="924"/>
      <c r="Q1109" s="926"/>
      <c r="R1109" s="924"/>
      <c r="S1109" s="925"/>
    </row>
    <row r="1110" spans="1:19">
      <c r="A1110" s="871"/>
      <c r="B1110" s="891" t="s">
        <v>678</v>
      </c>
      <c r="C1110" s="887">
        <v>1</v>
      </c>
      <c r="D1110" s="887">
        <v>2</v>
      </c>
      <c r="E1110" s="1466">
        <f>3.14*0.38</f>
        <v>1.1932</v>
      </c>
      <c r="F1110" s="1467"/>
      <c r="G1110" s="900">
        <v>1</v>
      </c>
      <c r="H1110" s="876">
        <f t="shared" si="38"/>
        <v>2.3864000000000001</v>
      </c>
      <c r="I1110" s="877"/>
      <c r="K1110" s="923"/>
      <c r="L1110" s="868"/>
      <c r="M1110" s="868"/>
      <c r="N1110" s="868"/>
      <c r="O1110" s="926"/>
      <c r="P1110" s="924"/>
      <c r="Q1110" s="926"/>
      <c r="R1110" s="924"/>
      <c r="S1110" s="925"/>
    </row>
    <row r="1111" spans="1:19">
      <c r="A1111" s="871"/>
      <c r="B1111" s="899" t="s">
        <v>2548</v>
      </c>
      <c r="C1111" s="887"/>
      <c r="D1111" s="887"/>
      <c r="E1111" s="888"/>
      <c r="F1111" s="888"/>
      <c r="G1111" s="900"/>
      <c r="H1111" s="876">
        <f t="shared" si="38"/>
        <v>0</v>
      </c>
      <c r="I1111" s="877"/>
      <c r="K1111" s="923"/>
      <c r="L1111" s="868"/>
      <c r="M1111" s="868"/>
      <c r="N1111" s="868"/>
      <c r="O1111" s="926"/>
      <c r="P1111" s="924"/>
      <c r="Q1111" s="926"/>
      <c r="R1111" s="924"/>
      <c r="S1111" s="925"/>
    </row>
    <row r="1112" spans="1:19">
      <c r="A1112" s="871"/>
      <c r="B1112" s="891" t="s">
        <v>692</v>
      </c>
      <c r="C1112" s="887">
        <v>1</v>
      </c>
      <c r="D1112" s="887">
        <v>2</v>
      </c>
      <c r="E1112" s="888">
        <v>1.06</v>
      </c>
      <c r="F1112" s="888"/>
      <c r="G1112" s="900">
        <v>0.9</v>
      </c>
      <c r="H1112" s="876">
        <f t="shared" si="38"/>
        <v>1.9080000000000001</v>
      </c>
      <c r="I1112" s="877"/>
      <c r="K1112" s="923"/>
      <c r="L1112" s="868"/>
      <c r="M1112" s="868"/>
      <c r="N1112" s="868"/>
      <c r="O1112" s="926"/>
      <c r="P1112" s="924"/>
      <c r="Q1112" s="926"/>
      <c r="R1112" s="924"/>
      <c r="S1112" s="925"/>
    </row>
    <row r="1113" spans="1:19">
      <c r="A1113" s="871"/>
      <c r="B1113" s="891" t="s">
        <v>2090</v>
      </c>
      <c r="C1113" s="887">
        <v>1</v>
      </c>
      <c r="D1113" s="887">
        <v>4</v>
      </c>
      <c r="E1113" s="888">
        <v>1.06</v>
      </c>
      <c r="F1113" s="888"/>
      <c r="G1113" s="900">
        <v>0.9</v>
      </c>
      <c r="H1113" s="876">
        <f t="shared" si="38"/>
        <v>3.8160000000000003</v>
      </c>
      <c r="I1113" s="877"/>
      <c r="K1113" s="923"/>
      <c r="L1113" s="868"/>
      <c r="M1113" s="868"/>
      <c r="N1113" s="868"/>
      <c r="O1113" s="926"/>
      <c r="P1113" s="924"/>
      <c r="Q1113" s="926"/>
      <c r="R1113" s="924"/>
      <c r="S1113" s="925"/>
    </row>
    <row r="1114" spans="1:19">
      <c r="A1114" s="871"/>
      <c r="B1114" s="891" t="s">
        <v>675</v>
      </c>
      <c r="C1114" s="887">
        <v>1</v>
      </c>
      <c r="D1114" s="887">
        <v>5</v>
      </c>
      <c r="E1114" s="888">
        <v>1.06</v>
      </c>
      <c r="F1114" s="888"/>
      <c r="G1114" s="900">
        <v>0.9</v>
      </c>
      <c r="H1114" s="876">
        <f t="shared" si="38"/>
        <v>4.7700000000000005</v>
      </c>
      <c r="I1114" s="877"/>
      <c r="K1114" s="923"/>
      <c r="L1114" s="868"/>
      <c r="M1114" s="868"/>
      <c r="N1114" s="868"/>
      <c r="O1114" s="926"/>
      <c r="P1114" s="924"/>
      <c r="Q1114" s="926"/>
      <c r="R1114" s="924"/>
      <c r="S1114" s="925"/>
    </row>
    <row r="1115" spans="1:19">
      <c r="A1115" s="871"/>
      <c r="B1115" s="891" t="s">
        <v>693</v>
      </c>
      <c r="C1115" s="887">
        <v>1</v>
      </c>
      <c r="D1115" s="887">
        <v>2</v>
      </c>
      <c r="E1115" s="888">
        <v>1.36</v>
      </c>
      <c r="F1115" s="888"/>
      <c r="G1115" s="900">
        <v>0.9</v>
      </c>
      <c r="H1115" s="876">
        <f t="shared" si="38"/>
        <v>2.4480000000000004</v>
      </c>
      <c r="I1115" s="877"/>
      <c r="K1115" s="923"/>
      <c r="L1115" s="868"/>
      <c r="M1115" s="868"/>
      <c r="N1115" s="868"/>
      <c r="O1115" s="926"/>
      <c r="P1115" s="924"/>
      <c r="Q1115" s="926"/>
      <c r="R1115" s="924"/>
      <c r="S1115" s="925"/>
    </row>
    <row r="1116" spans="1:19">
      <c r="A1116" s="871"/>
      <c r="B1116" s="891" t="s">
        <v>677</v>
      </c>
      <c r="C1116" s="887">
        <v>1</v>
      </c>
      <c r="D1116" s="887">
        <v>1</v>
      </c>
      <c r="E1116" s="888">
        <v>1.36</v>
      </c>
      <c r="F1116" s="888"/>
      <c r="G1116" s="900">
        <v>0.9</v>
      </c>
      <c r="H1116" s="876">
        <f t="shared" si="38"/>
        <v>1.2240000000000002</v>
      </c>
      <c r="I1116" s="877"/>
      <c r="K1116" s="923"/>
      <c r="L1116" s="868"/>
      <c r="M1116" s="868"/>
      <c r="N1116" s="868"/>
      <c r="O1116" s="926"/>
      <c r="P1116" s="924"/>
      <c r="Q1116" s="926"/>
      <c r="R1116" s="924"/>
      <c r="S1116" s="925"/>
    </row>
    <row r="1117" spans="1:19">
      <c r="A1117" s="871"/>
      <c r="B1117" s="891" t="s">
        <v>2091</v>
      </c>
      <c r="C1117" s="887">
        <v>1</v>
      </c>
      <c r="D1117" s="887">
        <v>1</v>
      </c>
      <c r="E1117" s="888">
        <v>1.36</v>
      </c>
      <c r="F1117" s="888"/>
      <c r="G1117" s="900">
        <v>0.9</v>
      </c>
      <c r="H1117" s="876">
        <f t="shared" si="38"/>
        <v>1.2240000000000002</v>
      </c>
      <c r="I1117" s="877"/>
      <c r="K1117" s="923"/>
      <c r="L1117" s="868"/>
      <c r="M1117" s="868"/>
      <c r="N1117" s="868"/>
      <c r="O1117" s="926"/>
      <c r="P1117" s="924"/>
      <c r="Q1117" s="926"/>
      <c r="R1117" s="924"/>
      <c r="S1117" s="925"/>
    </row>
    <row r="1118" spans="1:19">
      <c r="A1118" s="871"/>
      <c r="B1118" s="891" t="s">
        <v>678</v>
      </c>
      <c r="C1118" s="887">
        <v>1</v>
      </c>
      <c r="D1118" s="887">
        <v>2</v>
      </c>
      <c r="E1118" s="1466">
        <f>3.14*0.38</f>
        <v>1.1932</v>
      </c>
      <c r="F1118" s="1467"/>
      <c r="G1118" s="900">
        <v>0.9</v>
      </c>
      <c r="H1118" s="876">
        <f t="shared" si="38"/>
        <v>2.1477600000000003</v>
      </c>
      <c r="I1118" s="877"/>
      <c r="K1118" s="923"/>
      <c r="L1118" s="868"/>
      <c r="M1118" s="868"/>
      <c r="N1118" s="868"/>
      <c r="O1118" s="926"/>
      <c r="P1118" s="924"/>
      <c r="Q1118" s="926"/>
      <c r="R1118" s="924"/>
      <c r="S1118" s="925"/>
    </row>
    <row r="1119" spans="1:19">
      <c r="A1119" s="871"/>
      <c r="B1119" s="891" t="s">
        <v>2549</v>
      </c>
      <c r="C1119" s="873"/>
      <c r="D1119" s="873"/>
      <c r="E1119" s="888"/>
      <c r="F1119" s="888"/>
      <c r="G1119" s="876"/>
      <c r="H1119" s="876">
        <f t="shared" si="38"/>
        <v>0</v>
      </c>
      <c r="I1119" s="877"/>
      <c r="K1119" s="923"/>
      <c r="L1119" s="868"/>
      <c r="M1119" s="868"/>
      <c r="N1119" s="868"/>
      <c r="O1119" s="926"/>
      <c r="P1119" s="924"/>
      <c r="Q1119" s="926"/>
      <c r="R1119" s="924"/>
      <c r="S1119" s="925"/>
    </row>
    <row r="1120" spans="1:19">
      <c r="A1120" s="871"/>
      <c r="B1120" s="891" t="s">
        <v>692</v>
      </c>
      <c r="C1120" s="887">
        <v>1</v>
      </c>
      <c r="D1120" s="887">
        <v>2</v>
      </c>
      <c r="E1120" s="888">
        <v>1.06</v>
      </c>
      <c r="F1120" s="888"/>
      <c r="G1120" s="876">
        <v>2.9</v>
      </c>
      <c r="H1120" s="876">
        <f t="shared" si="38"/>
        <v>6.1479999999999997</v>
      </c>
      <c r="I1120" s="877"/>
      <c r="K1120" s="923"/>
      <c r="L1120" s="868"/>
      <c r="M1120" s="868"/>
      <c r="N1120" s="868"/>
      <c r="O1120" s="926"/>
      <c r="P1120" s="924"/>
      <c r="Q1120" s="926"/>
      <c r="R1120" s="924"/>
      <c r="S1120" s="925"/>
    </row>
    <row r="1121" spans="1:19">
      <c r="A1121" s="871"/>
      <c r="B1121" s="891" t="s">
        <v>2090</v>
      </c>
      <c r="C1121" s="887">
        <v>1</v>
      </c>
      <c r="D1121" s="887">
        <v>4</v>
      </c>
      <c r="E1121" s="888">
        <v>1.06</v>
      </c>
      <c r="F1121" s="888"/>
      <c r="G1121" s="876">
        <v>2.9</v>
      </c>
      <c r="H1121" s="876">
        <f t="shared" si="38"/>
        <v>12.295999999999999</v>
      </c>
      <c r="I1121" s="877"/>
      <c r="K1121" s="923"/>
      <c r="L1121" s="868"/>
      <c r="M1121" s="868"/>
      <c r="N1121" s="868"/>
      <c r="O1121" s="926"/>
      <c r="P1121" s="924"/>
      <c r="Q1121" s="926"/>
      <c r="R1121" s="924"/>
      <c r="S1121" s="925"/>
    </row>
    <row r="1122" spans="1:19">
      <c r="A1122" s="871"/>
      <c r="B1122" s="891" t="s">
        <v>675</v>
      </c>
      <c r="C1122" s="887">
        <v>1</v>
      </c>
      <c r="D1122" s="887">
        <v>5</v>
      </c>
      <c r="E1122" s="888">
        <v>1.06</v>
      </c>
      <c r="F1122" s="888"/>
      <c r="G1122" s="876">
        <v>2.9</v>
      </c>
      <c r="H1122" s="876">
        <f t="shared" si="38"/>
        <v>15.370000000000001</v>
      </c>
      <c r="I1122" s="877"/>
      <c r="K1122" s="923"/>
      <c r="L1122" s="868"/>
      <c r="M1122" s="868"/>
      <c r="N1122" s="868"/>
      <c r="O1122" s="926"/>
      <c r="P1122" s="924"/>
      <c r="Q1122" s="926"/>
      <c r="R1122" s="924"/>
      <c r="S1122" s="925"/>
    </row>
    <row r="1123" spans="1:19">
      <c r="A1123" s="871"/>
      <c r="B1123" s="891" t="s">
        <v>693</v>
      </c>
      <c r="C1123" s="887">
        <v>1</v>
      </c>
      <c r="D1123" s="887">
        <v>2</v>
      </c>
      <c r="E1123" s="888">
        <v>1.36</v>
      </c>
      <c r="F1123" s="888"/>
      <c r="G1123" s="876">
        <v>2.9</v>
      </c>
      <c r="H1123" s="876">
        <f t="shared" si="38"/>
        <v>7.8879999999999999</v>
      </c>
      <c r="I1123" s="877"/>
      <c r="K1123" s="923"/>
      <c r="L1123" s="868"/>
      <c r="M1123" s="868"/>
      <c r="N1123" s="868"/>
      <c r="O1123" s="926"/>
      <c r="P1123" s="924"/>
      <c r="Q1123" s="926"/>
      <c r="R1123" s="924"/>
      <c r="S1123" s="925"/>
    </row>
    <row r="1124" spans="1:19">
      <c r="A1124" s="871"/>
      <c r="B1124" s="891" t="s">
        <v>677</v>
      </c>
      <c r="C1124" s="887">
        <v>1</v>
      </c>
      <c r="D1124" s="887">
        <v>1</v>
      </c>
      <c r="E1124" s="888">
        <v>1.36</v>
      </c>
      <c r="F1124" s="888"/>
      <c r="G1124" s="876">
        <v>2.9</v>
      </c>
      <c r="H1124" s="876">
        <f t="shared" si="38"/>
        <v>3.944</v>
      </c>
      <c r="I1124" s="877"/>
      <c r="K1124" s="923"/>
      <c r="L1124" s="868"/>
      <c r="M1124" s="868"/>
      <c r="N1124" s="868"/>
      <c r="O1124" s="926"/>
      <c r="P1124" s="924"/>
      <c r="Q1124" s="926"/>
      <c r="R1124" s="924"/>
      <c r="S1124" s="925"/>
    </row>
    <row r="1125" spans="1:19">
      <c r="A1125" s="871"/>
      <c r="B1125" s="891" t="s">
        <v>2091</v>
      </c>
      <c r="C1125" s="887">
        <v>1</v>
      </c>
      <c r="D1125" s="887">
        <v>1</v>
      </c>
      <c r="E1125" s="888">
        <v>1.36</v>
      </c>
      <c r="F1125" s="888"/>
      <c r="G1125" s="876">
        <v>2.9</v>
      </c>
      <c r="H1125" s="876">
        <f t="shared" si="38"/>
        <v>3.944</v>
      </c>
      <c r="I1125" s="877"/>
      <c r="K1125" s="923"/>
      <c r="L1125" s="868"/>
      <c r="M1125" s="868"/>
      <c r="N1125" s="868"/>
      <c r="O1125" s="926"/>
      <c r="P1125" s="924"/>
      <c r="Q1125" s="926"/>
      <c r="R1125" s="924"/>
      <c r="S1125" s="925"/>
    </row>
    <row r="1126" spans="1:19">
      <c r="A1126" s="871"/>
      <c r="B1126" s="891" t="s">
        <v>678</v>
      </c>
      <c r="C1126" s="887">
        <v>1</v>
      </c>
      <c r="D1126" s="887">
        <v>2</v>
      </c>
      <c r="E1126" s="1466">
        <f>3.14*0.38</f>
        <v>1.1932</v>
      </c>
      <c r="F1126" s="1467"/>
      <c r="G1126" s="876">
        <v>2.9</v>
      </c>
      <c r="H1126" s="876">
        <f t="shared" si="38"/>
        <v>6.92056</v>
      </c>
      <c r="I1126" s="877"/>
      <c r="K1126" s="923"/>
      <c r="L1126" s="868"/>
      <c r="M1126" s="868"/>
      <c r="N1126" s="868"/>
      <c r="O1126" s="926"/>
      <c r="P1126" s="924"/>
      <c r="Q1126" s="926"/>
      <c r="R1126" s="924"/>
      <c r="S1126" s="925"/>
    </row>
    <row r="1127" spans="1:19">
      <c r="A1127" s="871"/>
      <c r="B1127" s="891" t="s">
        <v>2550</v>
      </c>
      <c r="C1127" s="873"/>
      <c r="D1127" s="873"/>
      <c r="E1127" s="888"/>
      <c r="F1127" s="888"/>
      <c r="G1127" s="876"/>
      <c r="H1127" s="876"/>
      <c r="I1127" s="877"/>
      <c r="K1127" s="923"/>
      <c r="L1127" s="868"/>
      <c r="M1127" s="868"/>
      <c r="N1127" s="868"/>
      <c r="O1127" s="926"/>
      <c r="P1127" s="924"/>
      <c r="Q1127" s="926"/>
      <c r="R1127" s="924"/>
      <c r="S1127" s="925"/>
    </row>
    <row r="1128" spans="1:19">
      <c r="A1128" s="871"/>
      <c r="B1128" s="891" t="s">
        <v>692</v>
      </c>
      <c r="C1128" s="887">
        <v>1</v>
      </c>
      <c r="D1128" s="887">
        <v>2</v>
      </c>
      <c r="E1128" s="888">
        <v>1.06</v>
      </c>
      <c r="F1128" s="888"/>
      <c r="G1128" s="876">
        <v>2.9</v>
      </c>
      <c r="H1128" s="876">
        <f t="shared" si="38"/>
        <v>6.1479999999999997</v>
      </c>
      <c r="I1128" s="877"/>
      <c r="K1128" s="923"/>
      <c r="L1128" s="868"/>
      <c r="M1128" s="868"/>
      <c r="N1128" s="868"/>
      <c r="O1128" s="926"/>
      <c r="P1128" s="924"/>
      <c r="Q1128" s="926"/>
      <c r="R1128" s="924"/>
      <c r="S1128" s="925"/>
    </row>
    <row r="1129" spans="1:19">
      <c r="A1129" s="871"/>
      <c r="B1129" s="891" t="s">
        <v>2090</v>
      </c>
      <c r="C1129" s="887">
        <v>1</v>
      </c>
      <c r="D1129" s="887">
        <v>4</v>
      </c>
      <c r="E1129" s="888">
        <v>1.06</v>
      </c>
      <c r="F1129" s="888"/>
      <c r="G1129" s="876">
        <v>2.9</v>
      </c>
      <c r="H1129" s="876">
        <f t="shared" si="38"/>
        <v>12.295999999999999</v>
      </c>
      <c r="I1129" s="877"/>
      <c r="K1129" s="923"/>
      <c r="L1129" s="868"/>
      <c r="M1129" s="868"/>
      <c r="N1129" s="868"/>
      <c r="O1129" s="926"/>
      <c r="P1129" s="924"/>
      <c r="Q1129" s="926"/>
      <c r="R1129" s="924"/>
      <c r="S1129" s="925"/>
    </row>
    <row r="1130" spans="1:19">
      <c r="A1130" s="871"/>
      <c r="B1130" s="891" t="s">
        <v>675</v>
      </c>
      <c r="C1130" s="887">
        <v>1</v>
      </c>
      <c r="D1130" s="887">
        <v>5</v>
      </c>
      <c r="E1130" s="888">
        <v>1.06</v>
      </c>
      <c r="F1130" s="888"/>
      <c r="G1130" s="876">
        <v>2.9</v>
      </c>
      <c r="H1130" s="876">
        <f t="shared" si="38"/>
        <v>15.370000000000001</v>
      </c>
      <c r="I1130" s="877"/>
      <c r="K1130" s="923"/>
      <c r="L1130" s="868"/>
      <c r="M1130" s="868"/>
      <c r="N1130" s="868"/>
      <c r="O1130" s="926"/>
      <c r="P1130" s="924"/>
      <c r="Q1130" s="926"/>
      <c r="R1130" s="924"/>
      <c r="S1130" s="925"/>
    </row>
    <row r="1131" spans="1:19">
      <c r="A1131" s="871"/>
      <c r="B1131" s="891" t="s">
        <v>693</v>
      </c>
      <c r="C1131" s="887">
        <v>1</v>
      </c>
      <c r="D1131" s="887">
        <v>2</v>
      </c>
      <c r="E1131" s="888">
        <v>1.36</v>
      </c>
      <c r="F1131" s="888"/>
      <c r="G1131" s="876">
        <v>2.9</v>
      </c>
      <c r="H1131" s="876">
        <f t="shared" si="38"/>
        <v>7.8879999999999999</v>
      </c>
      <c r="I1131" s="877"/>
      <c r="K1131" s="923"/>
      <c r="L1131" s="868"/>
      <c r="M1131" s="868"/>
      <c r="N1131" s="868"/>
      <c r="O1131" s="926"/>
      <c r="P1131" s="924"/>
      <c r="Q1131" s="926"/>
      <c r="R1131" s="924"/>
      <c r="S1131" s="925"/>
    </row>
    <row r="1132" spans="1:19">
      <c r="A1132" s="871"/>
      <c r="B1132" s="891" t="s">
        <v>677</v>
      </c>
      <c r="C1132" s="887">
        <v>1</v>
      </c>
      <c r="D1132" s="887">
        <v>1</v>
      </c>
      <c r="E1132" s="888">
        <v>1.36</v>
      </c>
      <c r="F1132" s="888"/>
      <c r="G1132" s="876">
        <v>2.9</v>
      </c>
      <c r="H1132" s="876">
        <f t="shared" si="38"/>
        <v>3.944</v>
      </c>
      <c r="I1132" s="877"/>
      <c r="K1132" s="923"/>
      <c r="L1132" s="868"/>
      <c r="M1132" s="868"/>
      <c r="N1132" s="868"/>
      <c r="O1132" s="926"/>
      <c r="P1132" s="924"/>
      <c r="Q1132" s="926"/>
      <c r="R1132" s="924"/>
      <c r="S1132" s="925"/>
    </row>
    <row r="1133" spans="1:19">
      <c r="A1133" s="871"/>
      <c r="B1133" s="891" t="s">
        <v>2091</v>
      </c>
      <c r="C1133" s="887">
        <v>1</v>
      </c>
      <c r="D1133" s="887">
        <v>1</v>
      </c>
      <c r="E1133" s="888">
        <v>1.36</v>
      </c>
      <c r="F1133" s="888"/>
      <c r="G1133" s="876">
        <v>2.9</v>
      </c>
      <c r="H1133" s="876">
        <f t="shared" si="38"/>
        <v>3.944</v>
      </c>
      <c r="I1133" s="877"/>
      <c r="K1133" s="923"/>
      <c r="L1133" s="868"/>
      <c r="M1133" s="868"/>
      <c r="N1133" s="868"/>
      <c r="O1133" s="926"/>
      <c r="P1133" s="924"/>
      <c r="Q1133" s="926"/>
      <c r="R1133" s="924"/>
      <c r="S1133" s="925"/>
    </row>
    <row r="1134" spans="1:19">
      <c r="A1134" s="871"/>
      <c r="B1134" s="891" t="s">
        <v>2175</v>
      </c>
      <c r="C1134" s="873">
        <v>1</v>
      </c>
      <c r="D1134" s="873">
        <v>2</v>
      </c>
      <c r="E1134" s="888">
        <v>1.06</v>
      </c>
      <c r="F1134" s="888"/>
      <c r="G1134" s="876">
        <v>2.5499999999999998</v>
      </c>
      <c r="H1134" s="876">
        <f t="shared" si="38"/>
        <v>5.4059999999999997</v>
      </c>
      <c r="I1134" s="877"/>
      <c r="J1134" s="864">
        <f>(E1134+F1134)*2</f>
        <v>2.12</v>
      </c>
      <c r="K1134" s="923"/>
      <c r="L1134" s="868"/>
      <c r="M1134" s="868"/>
      <c r="N1134" s="868"/>
      <c r="O1134" s="926"/>
      <c r="P1134" s="924"/>
      <c r="Q1134" s="926"/>
      <c r="R1134" s="924"/>
      <c r="S1134" s="925"/>
    </row>
    <row r="1135" spans="1:19">
      <c r="A1135" s="871"/>
      <c r="B1135" s="891" t="s">
        <v>2226</v>
      </c>
      <c r="C1135" s="873">
        <v>1</v>
      </c>
      <c r="D1135" s="873">
        <v>2</v>
      </c>
      <c r="E1135" s="888">
        <v>1.36</v>
      </c>
      <c r="F1135" s="888"/>
      <c r="G1135" s="876">
        <v>2.5499999999999998</v>
      </c>
      <c r="H1135" s="876">
        <f t="shared" si="38"/>
        <v>6.9359999999999999</v>
      </c>
      <c r="I1135" s="877"/>
      <c r="J1135" s="864">
        <f>(E1135+F1135)*2</f>
        <v>2.72</v>
      </c>
      <c r="K1135" s="923"/>
      <c r="L1135" s="868"/>
      <c r="M1135" s="868"/>
      <c r="N1135" s="868"/>
      <c r="O1135" s="926"/>
      <c r="P1135" s="924"/>
      <c r="Q1135" s="926"/>
      <c r="R1135" s="924"/>
      <c r="S1135" s="925"/>
    </row>
    <row r="1136" spans="1:19">
      <c r="A1136" s="871"/>
      <c r="B1136" s="891" t="s">
        <v>2294</v>
      </c>
      <c r="C1136" s="873">
        <v>2</v>
      </c>
      <c r="D1136" s="873">
        <v>6</v>
      </c>
      <c r="E1136" s="888">
        <v>1.96</v>
      </c>
      <c r="F1136" s="888"/>
      <c r="G1136" s="876">
        <v>0.6</v>
      </c>
      <c r="H1136" s="876">
        <f t="shared" si="38"/>
        <v>14.112</v>
      </c>
      <c r="I1136" s="877"/>
      <c r="K1136" s="923"/>
      <c r="L1136" s="868"/>
      <c r="M1136" s="868"/>
      <c r="N1136" s="868"/>
      <c r="O1136" s="926"/>
      <c r="P1136" s="924"/>
      <c r="Q1136" s="926"/>
      <c r="R1136" s="924"/>
      <c r="S1136" s="925"/>
    </row>
    <row r="1137" spans="1:19">
      <c r="A1137" s="871"/>
      <c r="B1137" s="891" t="s">
        <v>2295</v>
      </c>
      <c r="C1137" s="873">
        <v>2</v>
      </c>
      <c r="D1137" s="873">
        <v>1</v>
      </c>
      <c r="E1137" s="888">
        <v>2.11</v>
      </c>
      <c r="F1137" s="888"/>
      <c r="G1137" s="876">
        <v>0.6</v>
      </c>
      <c r="H1137" s="876">
        <f t="shared" si="38"/>
        <v>2.5319999999999996</v>
      </c>
      <c r="I1137" s="877"/>
      <c r="K1137" s="923"/>
      <c r="L1137" s="868"/>
      <c r="M1137" s="868"/>
      <c r="N1137" s="868"/>
      <c r="O1137" s="926"/>
      <c r="P1137" s="924"/>
      <c r="Q1137" s="926"/>
      <c r="R1137" s="924"/>
      <c r="S1137" s="925"/>
    </row>
    <row r="1138" spans="1:19">
      <c r="A1138" s="871"/>
      <c r="B1138" s="891" t="s">
        <v>2296</v>
      </c>
      <c r="C1138" s="873">
        <v>2</v>
      </c>
      <c r="D1138" s="873">
        <v>7</v>
      </c>
      <c r="E1138" s="888">
        <v>1.66</v>
      </c>
      <c r="F1138" s="888"/>
      <c r="G1138" s="876">
        <v>0.6</v>
      </c>
      <c r="H1138" s="876">
        <f t="shared" si="38"/>
        <v>13.943999999999999</v>
      </c>
      <c r="I1138" s="877"/>
      <c r="K1138" s="923"/>
      <c r="L1138" s="868"/>
      <c r="M1138" s="868"/>
      <c r="N1138" s="868"/>
      <c r="O1138" s="926"/>
      <c r="P1138" s="924"/>
      <c r="Q1138" s="926"/>
      <c r="R1138" s="924"/>
      <c r="S1138" s="925"/>
    </row>
    <row r="1139" spans="1:19">
      <c r="A1139" s="871"/>
      <c r="B1139" s="891" t="s">
        <v>2297</v>
      </c>
      <c r="C1139" s="873">
        <v>2</v>
      </c>
      <c r="D1139" s="873">
        <v>1</v>
      </c>
      <c r="E1139" s="888">
        <v>1.31</v>
      </c>
      <c r="F1139" s="888"/>
      <c r="G1139" s="876">
        <v>0.6</v>
      </c>
      <c r="H1139" s="876">
        <f t="shared" si="38"/>
        <v>1.5720000000000001</v>
      </c>
      <c r="I1139" s="877"/>
      <c r="K1139" s="923"/>
      <c r="L1139" s="868"/>
      <c r="M1139" s="868"/>
      <c r="N1139" s="868"/>
      <c r="O1139" s="926"/>
      <c r="P1139" s="924"/>
      <c r="Q1139" s="926"/>
      <c r="R1139" s="924"/>
      <c r="S1139" s="925"/>
    </row>
    <row r="1140" spans="1:19">
      <c r="A1140" s="871"/>
      <c r="B1140" s="891" t="s">
        <v>2298</v>
      </c>
      <c r="C1140" s="873">
        <v>2</v>
      </c>
      <c r="D1140" s="873">
        <v>3</v>
      </c>
      <c r="E1140" s="888">
        <v>1.21</v>
      </c>
      <c r="F1140" s="888"/>
      <c r="G1140" s="876">
        <v>0.6</v>
      </c>
      <c r="H1140" s="876">
        <f t="shared" si="38"/>
        <v>4.3559999999999999</v>
      </c>
      <c r="I1140" s="877"/>
      <c r="K1140" s="923"/>
      <c r="L1140" s="868"/>
      <c r="M1140" s="868"/>
      <c r="N1140" s="868"/>
      <c r="O1140" s="926"/>
      <c r="P1140" s="924"/>
      <c r="Q1140" s="926"/>
      <c r="R1140" s="924"/>
      <c r="S1140" s="925"/>
    </row>
    <row r="1141" spans="1:19">
      <c r="A1141" s="871"/>
      <c r="B1141" s="891" t="s">
        <v>2299</v>
      </c>
      <c r="C1141" s="873">
        <v>2</v>
      </c>
      <c r="D1141" s="873">
        <v>3</v>
      </c>
      <c r="E1141" s="888">
        <v>2.2599999999999998</v>
      </c>
      <c r="F1141" s="888"/>
      <c r="G1141" s="876">
        <v>0.6</v>
      </c>
      <c r="H1141" s="876">
        <f t="shared" si="38"/>
        <v>8.1359999999999992</v>
      </c>
      <c r="I1141" s="877"/>
      <c r="K1141" s="923"/>
      <c r="L1141" s="868"/>
      <c r="M1141" s="868"/>
      <c r="N1141" s="868"/>
      <c r="O1141" s="926"/>
      <c r="P1141" s="924"/>
      <c r="Q1141" s="926"/>
      <c r="R1141" s="924"/>
      <c r="S1141" s="925"/>
    </row>
    <row r="1142" spans="1:19">
      <c r="A1142" s="871"/>
      <c r="B1142" s="891" t="s">
        <v>2300</v>
      </c>
      <c r="C1142" s="873">
        <v>2</v>
      </c>
      <c r="D1142" s="873">
        <v>4</v>
      </c>
      <c r="E1142" s="888">
        <v>1.36</v>
      </c>
      <c r="F1142" s="888"/>
      <c r="G1142" s="876">
        <v>0.6</v>
      </c>
      <c r="H1142" s="876">
        <f t="shared" si="38"/>
        <v>6.5280000000000005</v>
      </c>
      <c r="I1142" s="877"/>
      <c r="K1142" s="923"/>
      <c r="L1142" s="868"/>
      <c r="M1142" s="868"/>
      <c r="N1142" s="868"/>
      <c r="O1142" s="926"/>
      <c r="P1142" s="924"/>
      <c r="Q1142" s="926"/>
      <c r="R1142" s="924"/>
      <c r="S1142" s="925"/>
    </row>
    <row r="1143" spans="1:19">
      <c r="A1143" s="871"/>
      <c r="B1143" s="891" t="s">
        <v>2301</v>
      </c>
      <c r="C1143" s="873">
        <v>2</v>
      </c>
      <c r="D1143" s="873">
        <v>2</v>
      </c>
      <c r="E1143" s="888">
        <v>1.46</v>
      </c>
      <c r="F1143" s="888"/>
      <c r="G1143" s="876">
        <v>0.6</v>
      </c>
      <c r="H1143" s="876">
        <f t="shared" si="38"/>
        <v>3.504</v>
      </c>
      <c r="I1143" s="877"/>
      <c r="K1143" s="923"/>
      <c r="L1143" s="868"/>
      <c r="M1143" s="868"/>
      <c r="N1143" s="868"/>
      <c r="O1143" s="926"/>
      <c r="P1143" s="924"/>
      <c r="Q1143" s="926"/>
      <c r="R1143" s="924"/>
      <c r="S1143" s="925"/>
    </row>
    <row r="1144" spans="1:19">
      <c r="A1144" s="871"/>
      <c r="B1144" s="886" t="s">
        <v>2551</v>
      </c>
      <c r="C1144" s="873">
        <v>1</v>
      </c>
      <c r="D1144" s="873">
        <v>2</v>
      </c>
      <c r="E1144" s="888">
        <f>1.5+0.46</f>
        <v>1.96</v>
      </c>
      <c r="F1144" s="888"/>
      <c r="G1144" s="876">
        <v>0.6</v>
      </c>
      <c r="H1144" s="876">
        <f t="shared" si="38"/>
        <v>2.3519999999999999</v>
      </c>
      <c r="I1144" s="877"/>
      <c r="K1144" s="923"/>
      <c r="L1144" s="868"/>
      <c r="M1144" s="868"/>
      <c r="N1144" s="868"/>
      <c r="O1144" s="926"/>
      <c r="P1144" s="924"/>
      <c r="Q1144" s="926"/>
      <c r="R1144" s="924"/>
      <c r="S1144" s="925"/>
    </row>
    <row r="1145" spans="1:19">
      <c r="A1145" s="871"/>
      <c r="B1145" s="886" t="s">
        <v>2552</v>
      </c>
      <c r="C1145" s="873">
        <v>1</v>
      </c>
      <c r="D1145" s="873">
        <v>2</v>
      </c>
      <c r="E1145" s="888">
        <f>1.5+0.46+1.2</f>
        <v>3.16</v>
      </c>
      <c r="F1145" s="888"/>
      <c r="G1145" s="876">
        <v>0.6</v>
      </c>
      <c r="H1145" s="876">
        <f t="shared" si="38"/>
        <v>3.7919999999999998</v>
      </c>
      <c r="I1145" s="877"/>
      <c r="K1145" s="923"/>
      <c r="L1145" s="868"/>
      <c r="M1145" s="868"/>
      <c r="N1145" s="868"/>
      <c r="O1145" s="926"/>
      <c r="P1145" s="924"/>
      <c r="Q1145" s="926"/>
      <c r="R1145" s="924"/>
      <c r="S1145" s="925"/>
    </row>
    <row r="1146" spans="1:19">
      <c r="A1146" s="871"/>
      <c r="B1146" s="886" t="s">
        <v>2553</v>
      </c>
      <c r="C1146" s="873">
        <v>1</v>
      </c>
      <c r="D1146" s="873">
        <v>2</v>
      </c>
      <c r="E1146" s="888">
        <f>1.5+0.46</f>
        <v>1.96</v>
      </c>
      <c r="F1146" s="888"/>
      <c r="G1146" s="876">
        <v>0.6</v>
      </c>
      <c r="H1146" s="876">
        <f t="shared" si="38"/>
        <v>2.3519999999999999</v>
      </c>
      <c r="I1146" s="877"/>
      <c r="K1146" s="923"/>
      <c r="L1146" s="868"/>
      <c r="M1146" s="868"/>
      <c r="N1146" s="868"/>
      <c r="O1146" s="926"/>
      <c r="P1146" s="924"/>
      <c r="Q1146" s="926"/>
      <c r="R1146" s="924"/>
      <c r="S1146" s="925"/>
    </row>
    <row r="1147" spans="1:19">
      <c r="A1147" s="871"/>
      <c r="B1147" s="886" t="s">
        <v>2554</v>
      </c>
      <c r="C1147" s="873">
        <v>1</v>
      </c>
      <c r="D1147" s="873">
        <v>2</v>
      </c>
      <c r="E1147" s="888">
        <f>1.5+0.46+1.2</f>
        <v>3.16</v>
      </c>
      <c r="F1147" s="888"/>
      <c r="G1147" s="876">
        <v>0.6</v>
      </c>
      <c r="H1147" s="876">
        <f t="shared" si="38"/>
        <v>3.7919999999999998</v>
      </c>
      <c r="I1147" s="877"/>
      <c r="K1147" s="923"/>
      <c r="L1147" s="868"/>
      <c r="M1147" s="868"/>
      <c r="N1147" s="868"/>
      <c r="O1147" s="926"/>
      <c r="P1147" s="924"/>
      <c r="Q1147" s="926"/>
      <c r="R1147" s="924"/>
      <c r="S1147" s="925"/>
    </row>
    <row r="1148" spans="1:19">
      <c r="A1148" s="871"/>
      <c r="B1148" s="891"/>
      <c r="C1148" s="873"/>
      <c r="D1148" s="873"/>
      <c r="E1148" s="888"/>
      <c r="F1148" s="888"/>
      <c r="G1148" s="876" t="s">
        <v>57</v>
      </c>
      <c r="H1148" s="876">
        <f>SUM(H1109:H1147)</f>
        <v>206.69872000000001</v>
      </c>
      <c r="I1148" s="877"/>
      <c r="K1148" s="923"/>
      <c r="L1148" s="868"/>
      <c r="M1148" s="868"/>
      <c r="N1148" s="868"/>
      <c r="O1148" s="924"/>
      <c r="P1148" s="924"/>
      <c r="Q1148" s="924"/>
      <c r="R1148" s="924"/>
      <c r="S1148" s="925"/>
    </row>
    <row r="1149" spans="1:19" ht="18">
      <c r="A1149" s="871"/>
      <c r="B1149" s="891"/>
      <c r="C1149" s="873"/>
      <c r="D1149" s="873"/>
      <c r="E1149" s="888"/>
      <c r="F1149" s="888"/>
      <c r="G1149" s="896" t="s">
        <v>206</v>
      </c>
      <c r="H1149" s="893">
        <f>ROUNDUP(H1148,1)</f>
        <v>206.7</v>
      </c>
      <c r="I1149" s="894" t="s">
        <v>2234</v>
      </c>
      <c r="K1149" s="923"/>
      <c r="L1149" s="868"/>
      <c r="M1149" s="868"/>
      <c r="N1149" s="868"/>
      <c r="O1149" s="924"/>
      <c r="P1149" s="924"/>
      <c r="Q1149" s="924"/>
      <c r="R1149" s="924"/>
      <c r="S1149" s="925"/>
    </row>
    <row r="1150" spans="1:19">
      <c r="A1150" s="871"/>
      <c r="B1150" s="891"/>
      <c r="C1150" s="873"/>
      <c r="D1150" s="873"/>
      <c r="E1150" s="888"/>
      <c r="F1150" s="888"/>
      <c r="G1150" s="896"/>
      <c r="H1150" s="893"/>
      <c r="I1150" s="894"/>
      <c r="K1150" s="923"/>
      <c r="L1150" s="868"/>
      <c r="M1150" s="868"/>
      <c r="N1150" s="868"/>
      <c r="O1150" s="924"/>
      <c r="P1150" s="924"/>
      <c r="Q1150" s="924"/>
      <c r="R1150" s="924"/>
      <c r="S1150" s="925"/>
    </row>
    <row r="1151" spans="1:19" ht="31.5">
      <c r="A1151" s="871">
        <v>21.6</v>
      </c>
      <c r="B1151" s="891" t="s">
        <v>2555</v>
      </c>
      <c r="C1151" s="873"/>
      <c r="D1151" s="873"/>
      <c r="E1151" s="888"/>
      <c r="F1151" s="873"/>
      <c r="G1151" s="875"/>
      <c r="H1151" s="876" t="s">
        <v>220</v>
      </c>
      <c r="I1151" s="877"/>
      <c r="K1151" s="923"/>
      <c r="L1151" s="868"/>
      <c r="M1151" s="868"/>
      <c r="N1151" s="868"/>
      <c r="O1151" s="926"/>
      <c r="P1151" s="924"/>
      <c r="Q1151" s="924"/>
      <c r="R1151" s="924"/>
      <c r="S1151" s="925"/>
    </row>
    <row r="1152" spans="1:19">
      <c r="A1152" s="871"/>
      <c r="B1152" s="891" t="s">
        <v>1473</v>
      </c>
      <c r="C1152" s="873"/>
      <c r="D1152" s="873"/>
      <c r="E1152" s="888"/>
      <c r="F1152" s="873"/>
      <c r="G1152" s="875"/>
      <c r="H1152" s="876"/>
      <c r="I1152" s="877"/>
      <c r="K1152" s="923"/>
      <c r="L1152" s="868"/>
      <c r="M1152" s="868"/>
      <c r="N1152" s="868"/>
      <c r="O1152" s="926"/>
      <c r="P1152" s="924"/>
      <c r="Q1152" s="924"/>
      <c r="R1152" s="924"/>
      <c r="S1152" s="925"/>
    </row>
    <row r="1153" spans="1:19">
      <c r="A1153" s="871"/>
      <c r="B1153" s="891" t="s">
        <v>2556</v>
      </c>
      <c r="C1153" s="873">
        <v>1</v>
      </c>
      <c r="D1153" s="873">
        <v>4</v>
      </c>
      <c r="E1153" s="888"/>
      <c r="F1153" s="873"/>
      <c r="G1153" s="875"/>
      <c r="H1153" s="876">
        <f>PRODUCT(C1153:G1153)</f>
        <v>4</v>
      </c>
      <c r="I1153" s="877"/>
      <c r="K1153" s="923"/>
      <c r="L1153" s="868"/>
      <c r="M1153" s="868"/>
      <c r="N1153" s="868"/>
      <c r="O1153" s="926"/>
      <c r="P1153" s="924"/>
      <c r="Q1153" s="924"/>
      <c r="R1153" s="924"/>
      <c r="S1153" s="925"/>
    </row>
    <row r="1154" spans="1:19">
      <c r="A1154" s="871"/>
      <c r="B1154" s="891"/>
      <c r="C1154" s="873"/>
      <c r="D1154" s="873"/>
      <c r="E1154" s="888"/>
      <c r="F1154" s="873"/>
      <c r="G1154" s="896" t="s">
        <v>57</v>
      </c>
      <c r="H1154" s="929">
        <f>SUM(H1152:H1153)</f>
        <v>4</v>
      </c>
      <c r="I1154" s="897" t="s">
        <v>213</v>
      </c>
      <c r="K1154" s="923"/>
      <c r="L1154" s="868"/>
      <c r="M1154" s="868"/>
      <c r="N1154" s="868"/>
      <c r="O1154" s="926"/>
      <c r="P1154" s="924"/>
      <c r="Q1154" s="924"/>
      <c r="R1154" s="924"/>
      <c r="S1154" s="925"/>
    </row>
    <row r="1155" spans="1:19">
      <c r="A1155" s="871"/>
      <c r="B1155" s="891" t="s">
        <v>2557</v>
      </c>
      <c r="C1155" s="909"/>
      <c r="D1155" s="909"/>
      <c r="E1155" s="873"/>
      <c r="F1155" s="873"/>
      <c r="G1155" s="909"/>
      <c r="H1155" s="910" t="s">
        <v>220</v>
      </c>
      <c r="I1155" s="902"/>
      <c r="K1155" s="923"/>
      <c r="L1155" s="868"/>
      <c r="M1155" s="868"/>
      <c r="N1155" s="868"/>
      <c r="O1155" s="926"/>
      <c r="P1155" s="924"/>
      <c r="Q1155" s="924"/>
      <c r="R1155" s="924"/>
      <c r="S1155" s="925"/>
    </row>
    <row r="1156" spans="1:19">
      <c r="A1156" s="871"/>
      <c r="B1156" s="891" t="s">
        <v>978</v>
      </c>
      <c r="C1156" s="909"/>
      <c r="D1156" s="909"/>
      <c r="E1156" s="873"/>
      <c r="F1156" s="873"/>
      <c r="G1156" s="909"/>
      <c r="H1156" s="910" t="s">
        <v>220</v>
      </c>
      <c r="I1156" s="902"/>
      <c r="K1156" s="923"/>
      <c r="L1156" s="868"/>
      <c r="M1156" s="868"/>
      <c r="N1156" s="868"/>
      <c r="O1156" s="924"/>
      <c r="P1156" s="924"/>
      <c r="Q1156" s="926"/>
      <c r="R1156" s="924"/>
      <c r="S1156" s="925"/>
    </row>
    <row r="1157" spans="1:19">
      <c r="A1157" s="871"/>
      <c r="B1157" s="886" t="s">
        <v>2558</v>
      </c>
      <c r="C1157" s="873">
        <v>1</v>
      </c>
      <c r="D1157" s="873">
        <v>2</v>
      </c>
      <c r="E1157" s="874"/>
      <c r="F1157" s="873"/>
      <c r="G1157" s="875"/>
      <c r="H1157" s="876">
        <f>PRODUCT(C1157:G1157)</f>
        <v>2</v>
      </c>
      <c r="I1157" s="902"/>
      <c r="K1157" s="923"/>
      <c r="L1157" s="868"/>
      <c r="M1157" s="868"/>
      <c r="N1157" s="868"/>
      <c r="O1157" s="924"/>
      <c r="P1157" s="924"/>
      <c r="Q1157" s="926"/>
      <c r="R1157" s="924"/>
      <c r="S1157" s="925"/>
    </row>
    <row r="1158" spans="1:19">
      <c r="A1158" s="871"/>
      <c r="B1158" s="891" t="s">
        <v>1105</v>
      </c>
      <c r="C1158" s="909"/>
      <c r="D1158" s="909"/>
      <c r="E1158" s="873"/>
      <c r="F1158" s="873"/>
      <c r="G1158" s="909"/>
      <c r="H1158" s="910"/>
      <c r="I1158" s="902"/>
      <c r="K1158" s="923"/>
      <c r="L1158" s="868"/>
      <c r="M1158" s="868"/>
      <c r="N1158" s="868"/>
      <c r="O1158" s="924"/>
      <c r="P1158" s="924"/>
      <c r="Q1158" s="926"/>
      <c r="R1158" s="924"/>
      <c r="S1158" s="925"/>
    </row>
    <row r="1159" spans="1:19" ht="31.5">
      <c r="A1159" s="871"/>
      <c r="B1159" s="928" t="s">
        <v>2559</v>
      </c>
      <c r="C1159" s="873">
        <v>1</v>
      </c>
      <c r="D1159" s="873">
        <v>4</v>
      </c>
      <c r="E1159" s="874"/>
      <c r="F1159" s="873"/>
      <c r="G1159" s="875"/>
      <c r="H1159" s="876">
        <f>PRODUCT(C1159:G1159)</f>
        <v>4</v>
      </c>
      <c r="I1159" s="902"/>
      <c r="K1159" s="923"/>
      <c r="L1159" s="868"/>
      <c r="M1159" s="868"/>
      <c r="N1159" s="868"/>
      <c r="O1159" s="924"/>
      <c r="P1159" s="924"/>
      <c r="Q1159" s="926"/>
      <c r="R1159" s="924"/>
      <c r="S1159" s="925"/>
    </row>
    <row r="1160" spans="1:19">
      <c r="A1160" s="871"/>
      <c r="B1160" s="891"/>
      <c r="C1160" s="909"/>
      <c r="D1160" s="909"/>
      <c r="E1160" s="873"/>
      <c r="F1160" s="873"/>
      <c r="G1160" s="896" t="s">
        <v>57</v>
      </c>
      <c r="H1160" s="929">
        <f>SUM(H1157:H1159)</f>
        <v>6</v>
      </c>
      <c r="I1160" s="897" t="s">
        <v>213</v>
      </c>
      <c r="K1160" s="923"/>
      <c r="L1160" s="868"/>
      <c r="M1160" s="868"/>
      <c r="N1160" s="868"/>
      <c r="O1160" s="924"/>
      <c r="P1160" s="924"/>
      <c r="Q1160" s="924"/>
      <c r="R1160" s="924"/>
      <c r="S1160" s="925"/>
    </row>
    <row r="1161" spans="1:19">
      <c r="A1161" s="871"/>
      <c r="B1161" s="891"/>
      <c r="C1161" s="909"/>
      <c r="D1161" s="909"/>
      <c r="E1161" s="873"/>
      <c r="F1161" s="873"/>
      <c r="G1161" s="896"/>
      <c r="H1161" s="929"/>
      <c r="I1161" s="897"/>
      <c r="K1161" s="923"/>
      <c r="L1161" s="868"/>
      <c r="M1161" s="868"/>
      <c r="N1161" s="868"/>
      <c r="O1161" s="924"/>
      <c r="P1161" s="924"/>
      <c r="Q1161" s="924"/>
      <c r="R1161" s="924"/>
      <c r="S1161" s="925"/>
    </row>
    <row r="1162" spans="1:19" ht="72" customHeight="1">
      <c r="A1162" s="947" t="s">
        <v>1682</v>
      </c>
      <c r="B1162" s="634" t="s">
        <v>2560</v>
      </c>
      <c r="C1162" s="873"/>
      <c r="D1162" s="873"/>
      <c r="E1162" s="888"/>
      <c r="F1162" s="888"/>
      <c r="G1162" s="876"/>
      <c r="H1162" s="876"/>
      <c r="I1162" s="902"/>
      <c r="K1162" s="923"/>
      <c r="L1162" s="868"/>
      <c r="M1162" s="868"/>
      <c r="N1162" s="868"/>
      <c r="O1162" s="924"/>
      <c r="P1162" s="924"/>
      <c r="Q1162" s="926"/>
      <c r="R1162" s="924"/>
      <c r="S1162" s="925"/>
    </row>
    <row r="1163" spans="1:19">
      <c r="A1163" s="871"/>
      <c r="B1163" s="886" t="s">
        <v>2561</v>
      </c>
      <c r="C1163" s="873">
        <v>1</v>
      </c>
      <c r="D1163" s="873">
        <v>2</v>
      </c>
      <c r="E1163" s="888">
        <v>1.1499999999999999</v>
      </c>
      <c r="F1163" s="888"/>
      <c r="G1163" s="876">
        <v>2.1</v>
      </c>
      <c r="H1163" s="876">
        <f>PRODUCT(C1163:G1163)</f>
        <v>4.83</v>
      </c>
      <c r="I1163" s="902"/>
      <c r="K1163" s="923"/>
      <c r="L1163" s="868"/>
      <c r="M1163" s="868"/>
      <c r="N1163" s="868"/>
      <c r="O1163" s="924"/>
      <c r="P1163" s="924"/>
      <c r="Q1163" s="926"/>
      <c r="R1163" s="924"/>
      <c r="S1163" s="925"/>
    </row>
    <row r="1164" spans="1:19">
      <c r="A1164" s="871"/>
      <c r="B1164" s="886" t="s">
        <v>2562</v>
      </c>
      <c r="C1164" s="873">
        <v>1</v>
      </c>
      <c r="D1164" s="873">
        <v>2</v>
      </c>
      <c r="E1164" s="888">
        <v>1.1499999999999999</v>
      </c>
      <c r="F1164" s="888"/>
      <c r="G1164" s="876">
        <v>2.1</v>
      </c>
      <c r="H1164" s="876">
        <f>PRODUCT(C1164:G1164)</f>
        <v>4.83</v>
      </c>
      <c r="I1164" s="902"/>
      <c r="K1164" s="923"/>
      <c r="L1164" s="868"/>
      <c r="M1164" s="868"/>
      <c r="N1164" s="868"/>
      <c r="O1164" s="926"/>
      <c r="P1164" s="924"/>
      <c r="Q1164" s="924"/>
      <c r="R1164" s="924"/>
      <c r="S1164" s="925"/>
    </row>
    <row r="1165" spans="1:19">
      <c r="A1165" s="871"/>
      <c r="B1165" s="886" t="s">
        <v>2563</v>
      </c>
      <c r="C1165" s="873">
        <v>2</v>
      </c>
      <c r="D1165" s="873">
        <v>3</v>
      </c>
      <c r="E1165" s="888">
        <v>1.1499999999999999</v>
      </c>
      <c r="F1165" s="888"/>
      <c r="G1165" s="876">
        <v>2.1</v>
      </c>
      <c r="H1165" s="876">
        <f>PRODUCT(C1165:G1165)</f>
        <v>14.49</v>
      </c>
      <c r="I1165" s="902"/>
      <c r="K1165" s="923"/>
      <c r="L1165" s="868"/>
      <c r="M1165" s="868"/>
      <c r="N1165" s="868"/>
      <c r="O1165" s="926"/>
      <c r="P1165" s="924"/>
      <c r="Q1165" s="924"/>
      <c r="R1165" s="924"/>
      <c r="S1165" s="925"/>
    </row>
    <row r="1166" spans="1:19">
      <c r="A1166" s="871"/>
      <c r="B1166" s="886"/>
      <c r="C1166" s="873"/>
      <c r="D1166" s="873"/>
      <c r="E1166" s="888"/>
      <c r="F1166" s="888"/>
      <c r="G1166" s="876" t="s">
        <v>57</v>
      </c>
      <c r="H1166" s="876">
        <f>SUM(H1163:H1165)</f>
        <v>24.15</v>
      </c>
      <c r="I1166" s="902"/>
      <c r="J1166" s="865"/>
      <c r="K1166" s="923"/>
      <c r="L1166" s="868"/>
      <c r="M1166" s="868"/>
      <c r="N1166" s="868"/>
      <c r="O1166" s="926"/>
      <c r="P1166" s="926"/>
      <c r="Q1166" s="924"/>
      <c r="R1166" s="924"/>
      <c r="S1166" s="925"/>
    </row>
    <row r="1167" spans="1:19" ht="18">
      <c r="A1167" s="871"/>
      <c r="B1167" s="891"/>
      <c r="C1167" s="909"/>
      <c r="D1167" s="909"/>
      <c r="E1167" s="873"/>
      <c r="F1167" s="873"/>
      <c r="G1167" s="895" t="s">
        <v>206</v>
      </c>
      <c r="H1167" s="929">
        <f>ROUNDUP(H1166,1)</f>
        <v>24.200000000000003</v>
      </c>
      <c r="I1167" s="894" t="s">
        <v>2234</v>
      </c>
      <c r="J1167" s="865"/>
      <c r="K1167" s="923"/>
      <c r="L1167" s="868"/>
      <c r="M1167" s="868"/>
      <c r="N1167" s="868"/>
      <c r="O1167" s="924"/>
      <c r="P1167" s="924"/>
      <c r="Q1167" s="926"/>
      <c r="R1167" s="924"/>
      <c r="S1167" s="925"/>
    </row>
    <row r="1168" spans="1:19">
      <c r="A1168" s="871"/>
      <c r="B1168" s="891"/>
      <c r="C1168" s="909"/>
      <c r="D1168" s="909"/>
      <c r="E1168" s="873"/>
      <c r="F1168" s="873"/>
      <c r="G1168" s="895"/>
      <c r="H1168" s="929"/>
      <c r="I1168" s="894"/>
      <c r="J1168" s="865"/>
      <c r="K1168" s="923"/>
      <c r="L1168" s="868"/>
      <c r="M1168" s="868"/>
      <c r="N1168" s="868"/>
      <c r="O1168" s="924"/>
      <c r="P1168" s="924"/>
      <c r="Q1168" s="926"/>
      <c r="R1168" s="924"/>
      <c r="S1168" s="925"/>
    </row>
    <row r="1169" spans="1:19" ht="31.5">
      <c r="A1169" s="871">
        <v>91.2</v>
      </c>
      <c r="B1169" s="886" t="s">
        <v>2564</v>
      </c>
      <c r="C1169" s="873"/>
      <c r="D1169" s="873"/>
      <c r="E1169" s="888"/>
      <c r="F1169" s="873"/>
      <c r="G1169" s="875"/>
      <c r="H1169" s="876"/>
      <c r="I1169" s="877"/>
    </row>
    <row r="1170" spans="1:19">
      <c r="A1170" s="871"/>
      <c r="B1170" s="886" t="s">
        <v>2565</v>
      </c>
      <c r="C1170" s="873">
        <v>1</v>
      </c>
      <c r="D1170" s="873">
        <v>1</v>
      </c>
      <c r="E1170" s="888">
        <v>1.65</v>
      </c>
      <c r="F1170" s="873"/>
      <c r="G1170" s="876">
        <v>2.0499999999999998</v>
      </c>
      <c r="H1170" s="876">
        <f>PRODUCT(C1170:G1170)</f>
        <v>3.3824999999999994</v>
      </c>
      <c r="I1170" s="877"/>
    </row>
    <row r="1171" spans="1:19" ht="18">
      <c r="A1171" s="871"/>
      <c r="B1171" s="891"/>
      <c r="C1171" s="873"/>
      <c r="D1171" s="873"/>
      <c r="E1171" s="888"/>
      <c r="F1171" s="873"/>
      <c r="G1171" s="892" t="s">
        <v>57</v>
      </c>
      <c r="H1171" s="929">
        <f>ROUNDUP(H1170,1)</f>
        <v>3.4</v>
      </c>
      <c r="I1171" s="897" t="s">
        <v>2234</v>
      </c>
    </row>
    <row r="1172" spans="1:19">
      <c r="A1172" s="871"/>
      <c r="B1172" s="891"/>
      <c r="C1172" s="873"/>
      <c r="D1172" s="873"/>
      <c r="E1172" s="888"/>
      <c r="F1172" s="873"/>
      <c r="G1172" s="875"/>
      <c r="H1172" s="876"/>
      <c r="I1172" s="877"/>
    </row>
    <row r="1173" spans="1:19" ht="54.75" customHeight="1">
      <c r="A1173" s="871" t="s">
        <v>2566</v>
      </c>
      <c r="B1173" s="931" t="str">
        <f>[8]Development!B794</f>
        <v>Supplying and fixing of solid core flush door shutter of thickness 35mm</v>
      </c>
      <c r="C1173" s="909"/>
      <c r="D1173" s="909"/>
      <c r="E1173" s="873"/>
      <c r="F1173" s="873"/>
      <c r="G1173" s="875"/>
      <c r="H1173" s="913"/>
      <c r="I1173" s="902"/>
      <c r="J1173" s="865"/>
      <c r="K1173" s="923"/>
      <c r="L1173" s="868"/>
      <c r="M1173" s="868"/>
      <c r="N1173" s="868"/>
      <c r="O1173" s="924"/>
      <c r="P1173" s="924"/>
      <c r="Q1173" s="926"/>
      <c r="R1173" s="924"/>
      <c r="S1173" s="925"/>
    </row>
    <row r="1174" spans="1:19">
      <c r="A1174" s="871"/>
      <c r="B1174" s="891" t="s">
        <v>1690</v>
      </c>
      <c r="C1174" s="873"/>
      <c r="D1174" s="873"/>
      <c r="E1174" s="888"/>
      <c r="F1174" s="873"/>
      <c r="G1174" s="876"/>
      <c r="H1174" s="876"/>
      <c r="I1174" s="877"/>
      <c r="J1174" s="865"/>
      <c r="K1174" s="923"/>
      <c r="L1174" s="868"/>
      <c r="M1174" s="868"/>
      <c r="N1174" s="868"/>
      <c r="O1174" s="924"/>
      <c r="P1174" s="924"/>
      <c r="Q1174" s="924"/>
      <c r="R1174" s="924"/>
      <c r="S1174" s="925"/>
    </row>
    <row r="1175" spans="1:19">
      <c r="A1175" s="871"/>
      <c r="B1175" s="891" t="s">
        <v>978</v>
      </c>
      <c r="C1175" s="909"/>
      <c r="D1175" s="909"/>
      <c r="E1175" s="888"/>
      <c r="F1175" s="873"/>
      <c r="G1175" s="876"/>
      <c r="H1175" s="876"/>
      <c r="I1175" s="877"/>
      <c r="J1175" s="865"/>
      <c r="K1175" s="923"/>
      <c r="L1175" s="868"/>
      <c r="M1175" s="868"/>
      <c r="N1175" s="868"/>
      <c r="O1175" s="924"/>
      <c r="P1175" s="924"/>
      <c r="Q1175" s="924"/>
      <c r="R1175" s="924"/>
      <c r="S1175" s="925"/>
    </row>
    <row r="1176" spans="1:19">
      <c r="A1176" s="871"/>
      <c r="B1176" s="886" t="s">
        <v>2567</v>
      </c>
      <c r="C1176" s="873">
        <v>1</v>
      </c>
      <c r="D1176" s="873">
        <v>2</v>
      </c>
      <c r="E1176" s="888">
        <v>0.9</v>
      </c>
      <c r="F1176" s="873"/>
      <c r="G1176" s="910">
        <v>2.0499999999999998</v>
      </c>
      <c r="H1176" s="876">
        <f>PRODUCT(C1176:G1176)</f>
        <v>3.69</v>
      </c>
      <c r="I1176" s="877"/>
      <c r="J1176" s="865"/>
      <c r="K1176" s="923"/>
      <c r="L1176" s="868"/>
      <c r="M1176" s="868"/>
      <c r="N1176" s="868"/>
      <c r="O1176" s="924"/>
      <c r="P1176" s="924"/>
      <c r="Q1176" s="924"/>
      <c r="R1176" s="924"/>
      <c r="S1176" s="925"/>
    </row>
    <row r="1177" spans="1:19">
      <c r="A1177" s="871"/>
      <c r="B1177" s="891" t="s">
        <v>1105</v>
      </c>
      <c r="C1177" s="909"/>
      <c r="D1177" s="909"/>
      <c r="E1177" s="888"/>
      <c r="F1177" s="873"/>
      <c r="G1177" s="910"/>
      <c r="H1177" s="876">
        <f>PRODUCT(C1177:G1177)</f>
        <v>0</v>
      </c>
      <c r="I1177" s="877"/>
      <c r="J1177" s="865"/>
      <c r="K1177" s="923"/>
      <c r="L1177" s="868"/>
      <c r="M1177" s="868"/>
      <c r="N1177" s="868"/>
      <c r="O1177" s="924"/>
      <c r="P1177" s="924"/>
      <c r="Q1177" s="924"/>
      <c r="R1177" s="924"/>
      <c r="S1177" s="925"/>
    </row>
    <row r="1178" spans="1:19" ht="31.5">
      <c r="A1178" s="871"/>
      <c r="B1178" s="928" t="s">
        <v>2559</v>
      </c>
      <c r="C1178" s="873">
        <v>1</v>
      </c>
      <c r="D1178" s="873">
        <v>4</v>
      </c>
      <c r="E1178" s="888">
        <v>0.9</v>
      </c>
      <c r="F1178" s="873"/>
      <c r="G1178" s="876">
        <v>2.0499999999999998</v>
      </c>
      <c r="H1178" s="876">
        <f>PRODUCT(C1178:G1178)</f>
        <v>7.38</v>
      </c>
      <c r="I1178" s="877"/>
      <c r="J1178" s="865"/>
      <c r="K1178" s="923"/>
      <c r="L1178" s="868"/>
      <c r="M1178" s="868"/>
      <c r="N1178" s="868"/>
      <c r="O1178" s="924"/>
      <c r="P1178" s="924"/>
      <c r="Q1178" s="924"/>
      <c r="R1178" s="924"/>
      <c r="S1178" s="925"/>
    </row>
    <row r="1179" spans="1:19">
      <c r="A1179" s="871"/>
      <c r="B1179" s="891"/>
      <c r="C1179" s="909"/>
      <c r="D1179" s="909"/>
      <c r="E1179" s="873"/>
      <c r="F1179" s="873"/>
      <c r="G1179" s="876" t="s">
        <v>57</v>
      </c>
      <c r="H1179" s="876">
        <f>SUM(H1175:H1178)</f>
        <v>11.07</v>
      </c>
      <c r="I1179" s="902" t="s">
        <v>2568</v>
      </c>
      <c r="J1179" s="865"/>
      <c r="K1179" s="923"/>
      <c r="L1179" s="868"/>
      <c r="M1179" s="868"/>
      <c r="N1179" s="868"/>
      <c r="O1179" s="924"/>
      <c r="P1179" s="924"/>
      <c r="Q1179" s="924"/>
      <c r="R1179" s="924"/>
      <c r="S1179" s="925"/>
    </row>
    <row r="1180" spans="1:19" ht="18">
      <c r="A1180" s="871"/>
      <c r="B1180" s="891"/>
      <c r="C1180" s="909"/>
      <c r="D1180" s="909"/>
      <c r="E1180" s="873"/>
      <c r="F1180" s="873"/>
      <c r="G1180" s="892" t="s">
        <v>206</v>
      </c>
      <c r="H1180" s="929">
        <f>ROUNDUP(H1179,1)</f>
        <v>11.1</v>
      </c>
      <c r="I1180" s="894" t="s">
        <v>2234</v>
      </c>
      <c r="J1180" s="865"/>
      <c r="K1180" s="923"/>
      <c r="L1180" s="868"/>
      <c r="M1180" s="868"/>
      <c r="N1180" s="868"/>
      <c r="O1180" s="924"/>
      <c r="P1180" s="924"/>
      <c r="Q1180" s="924"/>
      <c r="R1180" s="924"/>
      <c r="S1180" s="925"/>
    </row>
    <row r="1181" spans="1:19">
      <c r="A1181" s="871"/>
      <c r="B1181" s="891" t="s">
        <v>2569</v>
      </c>
      <c r="C1181" s="873"/>
      <c r="D1181" s="873"/>
      <c r="E1181" s="888"/>
      <c r="F1181" s="873"/>
      <c r="G1181" s="876"/>
      <c r="H1181" s="876"/>
      <c r="I1181" s="877"/>
      <c r="J1181" s="865"/>
      <c r="K1181" s="923"/>
      <c r="L1181" s="868"/>
      <c r="M1181" s="868"/>
      <c r="N1181" s="868"/>
      <c r="O1181" s="924"/>
      <c r="P1181" s="924"/>
      <c r="Q1181" s="924"/>
      <c r="R1181" s="924"/>
      <c r="S1181" s="925"/>
    </row>
    <row r="1182" spans="1:19">
      <c r="A1182" s="871"/>
      <c r="B1182" s="891" t="s">
        <v>978</v>
      </c>
      <c r="C1182" s="909"/>
      <c r="D1182" s="909"/>
      <c r="E1182" s="888"/>
      <c r="F1182" s="873"/>
      <c r="G1182" s="876"/>
      <c r="H1182" s="876"/>
      <c r="I1182" s="877"/>
      <c r="J1182" s="865"/>
      <c r="K1182" s="923"/>
      <c r="L1182" s="868"/>
      <c r="M1182" s="868"/>
      <c r="N1182" s="868"/>
      <c r="O1182" s="924"/>
      <c r="P1182" s="924"/>
      <c r="Q1182" s="924"/>
      <c r="R1182" s="924"/>
      <c r="S1182" s="925"/>
    </row>
    <row r="1183" spans="1:19">
      <c r="A1183" s="871"/>
      <c r="B1183" s="886" t="s">
        <v>2570</v>
      </c>
      <c r="C1183" s="873">
        <v>1</v>
      </c>
      <c r="D1183" s="873">
        <v>4</v>
      </c>
      <c r="E1183" s="888">
        <v>0.8</v>
      </c>
      <c r="F1183" s="873"/>
      <c r="G1183" s="910">
        <v>2.0499999999999998</v>
      </c>
      <c r="H1183" s="876">
        <f>PRODUCT(C1183:G1183)</f>
        <v>6.56</v>
      </c>
      <c r="I1183" s="877"/>
      <c r="J1183" s="865"/>
      <c r="K1183" s="923"/>
      <c r="L1183" s="868"/>
      <c r="M1183" s="868"/>
      <c r="N1183" s="868"/>
      <c r="O1183" s="924"/>
      <c r="P1183" s="924"/>
      <c r="Q1183" s="924"/>
      <c r="R1183" s="924"/>
      <c r="S1183" s="925"/>
    </row>
    <row r="1184" spans="1:19" ht="18">
      <c r="A1184" s="871"/>
      <c r="B1184" s="891"/>
      <c r="C1184" s="909"/>
      <c r="D1184" s="909"/>
      <c r="E1184" s="873"/>
      <c r="F1184" s="873"/>
      <c r="G1184" s="892" t="s">
        <v>206</v>
      </c>
      <c r="H1184" s="929">
        <f>ROUNDUP(H1183,1)</f>
        <v>6.6</v>
      </c>
      <c r="I1184" s="894" t="s">
        <v>2234</v>
      </c>
      <c r="J1184" s="865"/>
      <c r="K1184" s="923"/>
      <c r="L1184" s="868"/>
      <c r="M1184" s="868"/>
      <c r="N1184" s="868"/>
      <c r="O1184" s="924"/>
      <c r="P1184" s="924"/>
      <c r="Q1184" s="924"/>
      <c r="R1184" s="924"/>
      <c r="S1184" s="925"/>
    </row>
    <row r="1185" spans="1:255" s="958" customFormat="1" ht="31.5">
      <c r="A1185" s="871">
        <v>21.5</v>
      </c>
      <c r="B1185" s="891" t="s">
        <v>1705</v>
      </c>
      <c r="C1185" s="948"/>
      <c r="D1185" s="948"/>
      <c r="E1185" s="949"/>
      <c r="F1185" s="948"/>
      <c r="G1185" s="950"/>
      <c r="H1185" s="951"/>
      <c r="I1185" s="952"/>
      <c r="J1185" s="953"/>
      <c r="K1185" s="954"/>
      <c r="L1185" s="955"/>
      <c r="M1185" s="955"/>
      <c r="N1185" s="955"/>
      <c r="O1185" s="956"/>
      <c r="P1185" s="956"/>
      <c r="Q1185" s="956"/>
      <c r="R1185" s="956"/>
      <c r="S1185" s="957"/>
      <c r="T1185" s="953"/>
      <c r="U1185" s="953"/>
      <c r="V1185" s="953"/>
      <c r="W1185" s="953"/>
      <c r="X1185" s="953"/>
      <c r="Y1185" s="953"/>
      <c r="Z1185" s="953"/>
      <c r="AA1185" s="953"/>
      <c r="AB1185" s="953"/>
      <c r="AC1185" s="953"/>
      <c r="AD1185" s="953"/>
      <c r="AE1185" s="953"/>
      <c r="AF1185" s="953"/>
      <c r="AG1185" s="953"/>
      <c r="AH1185" s="953"/>
      <c r="AI1185" s="953"/>
      <c r="AJ1185" s="953"/>
      <c r="AK1185" s="953"/>
      <c r="AL1185" s="953"/>
      <c r="AM1185" s="953"/>
      <c r="AN1185" s="953"/>
      <c r="AO1185" s="953"/>
      <c r="AP1185" s="953"/>
      <c r="AQ1185" s="953"/>
      <c r="AR1185" s="953"/>
      <c r="AS1185" s="953"/>
      <c r="AT1185" s="953"/>
      <c r="AU1185" s="953"/>
      <c r="AV1185" s="953"/>
      <c r="AW1185" s="953"/>
      <c r="AX1185" s="953"/>
      <c r="AY1185" s="953"/>
      <c r="AZ1185" s="953"/>
      <c r="BA1185" s="953"/>
      <c r="BB1185" s="953"/>
      <c r="BC1185" s="953"/>
      <c r="BD1185" s="953"/>
      <c r="BE1185" s="953"/>
      <c r="BF1185" s="953"/>
      <c r="BG1185" s="953"/>
      <c r="BH1185" s="953"/>
      <c r="BI1185" s="953"/>
      <c r="BJ1185" s="953"/>
      <c r="BK1185" s="953"/>
      <c r="BL1185" s="953"/>
      <c r="BM1185" s="953"/>
      <c r="BN1185" s="953"/>
      <c r="BO1185" s="953"/>
      <c r="BP1185" s="953"/>
      <c r="BQ1185" s="953"/>
      <c r="BR1185" s="953"/>
      <c r="BS1185" s="953"/>
      <c r="BT1185" s="953"/>
      <c r="BU1185" s="953"/>
      <c r="BV1185" s="953"/>
      <c r="BW1185" s="953"/>
      <c r="BX1185" s="953"/>
      <c r="BY1185" s="953"/>
      <c r="BZ1185" s="953"/>
      <c r="CA1185" s="953"/>
      <c r="CB1185" s="953"/>
      <c r="CC1185" s="953"/>
      <c r="CD1185" s="953"/>
      <c r="CE1185" s="953"/>
      <c r="CF1185" s="953"/>
      <c r="CG1185" s="953"/>
      <c r="CH1185" s="953"/>
      <c r="CI1185" s="953"/>
      <c r="CJ1185" s="953"/>
      <c r="CK1185" s="953"/>
      <c r="CL1185" s="953"/>
      <c r="CM1185" s="953"/>
      <c r="CN1185" s="953"/>
      <c r="CO1185" s="953"/>
      <c r="CP1185" s="953"/>
      <c r="CQ1185" s="953"/>
      <c r="CR1185" s="953"/>
      <c r="CS1185" s="953"/>
      <c r="CT1185" s="953"/>
      <c r="CU1185" s="953"/>
      <c r="CV1185" s="953"/>
      <c r="CW1185" s="953"/>
      <c r="CX1185" s="953"/>
      <c r="CY1185" s="953"/>
      <c r="CZ1185" s="953"/>
      <c r="DA1185" s="953"/>
      <c r="DB1185" s="953"/>
      <c r="DC1185" s="953"/>
      <c r="DD1185" s="953"/>
      <c r="DE1185" s="953"/>
      <c r="DF1185" s="953"/>
      <c r="DG1185" s="953"/>
      <c r="DH1185" s="953"/>
      <c r="DI1185" s="953"/>
      <c r="DJ1185" s="953"/>
      <c r="DK1185" s="953"/>
      <c r="DL1185" s="953"/>
      <c r="DM1185" s="953"/>
      <c r="DN1185" s="953"/>
      <c r="DO1185" s="953"/>
      <c r="DP1185" s="953"/>
      <c r="DQ1185" s="953"/>
      <c r="DR1185" s="953"/>
      <c r="DS1185" s="953"/>
      <c r="DT1185" s="953"/>
      <c r="DU1185" s="953"/>
      <c r="DV1185" s="953"/>
      <c r="DW1185" s="953"/>
      <c r="DX1185" s="953"/>
      <c r="DY1185" s="953"/>
      <c r="DZ1185" s="953"/>
      <c r="EA1185" s="953"/>
      <c r="EB1185" s="953"/>
      <c r="EC1185" s="953"/>
      <c r="ED1185" s="953"/>
      <c r="EE1185" s="953"/>
      <c r="EF1185" s="953"/>
      <c r="EG1185" s="953"/>
      <c r="EH1185" s="953"/>
      <c r="EI1185" s="953"/>
      <c r="EJ1185" s="953"/>
      <c r="EK1185" s="953"/>
      <c r="EL1185" s="953"/>
      <c r="EM1185" s="953"/>
      <c r="EN1185" s="953"/>
      <c r="EO1185" s="953"/>
      <c r="EP1185" s="953"/>
      <c r="EQ1185" s="953"/>
      <c r="ER1185" s="953"/>
      <c r="ES1185" s="953"/>
      <c r="ET1185" s="953"/>
      <c r="EU1185" s="953"/>
      <c r="EV1185" s="953"/>
      <c r="EW1185" s="953"/>
      <c r="EX1185" s="953"/>
      <c r="EY1185" s="953"/>
      <c r="EZ1185" s="953"/>
      <c r="FA1185" s="953"/>
      <c r="FB1185" s="953"/>
      <c r="FC1185" s="953"/>
      <c r="FD1185" s="953"/>
      <c r="FE1185" s="953"/>
      <c r="FF1185" s="953"/>
      <c r="FG1185" s="953"/>
      <c r="FH1185" s="953"/>
      <c r="FI1185" s="953"/>
      <c r="FJ1185" s="953"/>
      <c r="FK1185" s="953"/>
      <c r="FL1185" s="953"/>
      <c r="FM1185" s="953"/>
      <c r="FN1185" s="953"/>
      <c r="FO1185" s="953"/>
      <c r="FP1185" s="953"/>
      <c r="FQ1185" s="953"/>
      <c r="FR1185" s="953"/>
      <c r="FS1185" s="953"/>
      <c r="FT1185" s="953"/>
      <c r="FU1185" s="953"/>
      <c r="FV1185" s="953"/>
      <c r="FW1185" s="953"/>
      <c r="FX1185" s="953"/>
      <c r="FY1185" s="953"/>
      <c r="FZ1185" s="953"/>
      <c r="GA1185" s="953"/>
      <c r="GB1185" s="953"/>
      <c r="GC1185" s="953"/>
      <c r="GD1185" s="953"/>
      <c r="GE1185" s="953"/>
      <c r="GF1185" s="953"/>
      <c r="GG1185" s="953"/>
      <c r="GH1185" s="953"/>
      <c r="GI1185" s="953"/>
      <c r="GJ1185" s="953"/>
      <c r="GK1185" s="953"/>
      <c r="GL1185" s="953"/>
      <c r="GM1185" s="953"/>
      <c r="GN1185" s="953"/>
      <c r="GO1185" s="953"/>
      <c r="GP1185" s="953"/>
      <c r="GQ1185" s="953"/>
      <c r="GR1185" s="953"/>
      <c r="GS1185" s="953"/>
      <c r="GT1185" s="953"/>
      <c r="GU1185" s="953"/>
      <c r="GV1185" s="953"/>
      <c r="GW1185" s="953"/>
      <c r="GX1185" s="953"/>
      <c r="GY1185" s="953"/>
      <c r="GZ1185" s="953"/>
      <c r="HA1185" s="953"/>
      <c r="HB1185" s="953"/>
      <c r="HC1185" s="953"/>
      <c r="HD1185" s="953"/>
      <c r="HE1185" s="953"/>
      <c r="HF1185" s="953"/>
      <c r="HG1185" s="953"/>
      <c r="HH1185" s="953"/>
      <c r="HI1185" s="953"/>
      <c r="HJ1185" s="953"/>
      <c r="HK1185" s="953"/>
      <c r="HL1185" s="953"/>
      <c r="HM1185" s="953"/>
      <c r="HN1185" s="953"/>
      <c r="HO1185" s="953"/>
      <c r="HP1185" s="953"/>
      <c r="HQ1185" s="953"/>
      <c r="HR1185" s="953"/>
      <c r="HS1185" s="953"/>
      <c r="HT1185" s="953"/>
      <c r="HU1185" s="953"/>
      <c r="HV1185" s="953"/>
      <c r="HW1185" s="953"/>
      <c r="HX1185" s="953"/>
      <c r="HY1185" s="953"/>
      <c r="HZ1185" s="953"/>
      <c r="IA1185" s="953"/>
      <c r="IB1185" s="953"/>
      <c r="IC1185" s="953"/>
      <c r="ID1185" s="953"/>
      <c r="IE1185" s="953"/>
      <c r="IF1185" s="953"/>
      <c r="IG1185" s="953"/>
      <c r="IH1185" s="953"/>
      <c r="II1185" s="953"/>
      <c r="IJ1185" s="953"/>
      <c r="IK1185" s="953"/>
      <c r="IL1185" s="953"/>
      <c r="IM1185" s="953"/>
      <c r="IN1185" s="953"/>
      <c r="IO1185" s="953"/>
      <c r="IP1185" s="953"/>
      <c r="IQ1185" s="953"/>
      <c r="IR1185" s="953"/>
      <c r="IS1185" s="953"/>
      <c r="IT1185" s="953"/>
      <c r="IU1185" s="953"/>
    </row>
    <row r="1186" spans="1:255">
      <c r="A1186" s="871"/>
      <c r="B1186" s="891" t="s">
        <v>2571</v>
      </c>
      <c r="C1186" s="873">
        <v>1</v>
      </c>
      <c r="D1186" s="873">
        <v>6</v>
      </c>
      <c r="E1186" s="888">
        <v>0.75</v>
      </c>
      <c r="F1186" s="873"/>
      <c r="G1186" s="876">
        <v>2.1</v>
      </c>
      <c r="H1186" s="876">
        <f>PRODUCT(C1186:G1186)</f>
        <v>9.4500000000000011</v>
      </c>
      <c r="I1186" s="877"/>
      <c r="J1186" s="865"/>
      <c r="K1186" s="923"/>
      <c r="L1186" s="868"/>
      <c r="M1186" s="868"/>
      <c r="N1186" s="868"/>
      <c r="O1186" s="926"/>
      <c r="P1186" s="924"/>
      <c r="Q1186" s="924"/>
      <c r="R1186" s="924"/>
      <c r="S1186" s="925"/>
    </row>
    <row r="1187" spans="1:255">
      <c r="A1187" s="871"/>
      <c r="B1187" s="891" t="s">
        <v>2572</v>
      </c>
      <c r="C1187" s="873">
        <v>1</v>
      </c>
      <c r="D1187" s="873">
        <v>2</v>
      </c>
      <c r="E1187" s="888">
        <v>0.75</v>
      </c>
      <c r="F1187" s="873"/>
      <c r="G1187" s="876">
        <v>1.35</v>
      </c>
      <c r="H1187" s="876">
        <f>PRODUCT(C1187:G1187)</f>
        <v>2.0250000000000004</v>
      </c>
      <c r="I1187" s="877"/>
      <c r="J1187" s="865"/>
      <c r="K1187" s="923"/>
      <c r="L1187" s="868"/>
      <c r="M1187" s="868"/>
      <c r="N1187" s="868"/>
      <c r="O1187" s="926"/>
      <c r="P1187" s="924"/>
      <c r="Q1187" s="924"/>
      <c r="R1187" s="924"/>
      <c r="S1187" s="925"/>
    </row>
    <row r="1188" spans="1:255">
      <c r="A1188" s="871"/>
      <c r="B1188" s="891"/>
      <c r="C1188" s="873"/>
      <c r="D1188" s="873"/>
      <c r="E1188" s="888"/>
      <c r="F1188" s="873"/>
      <c r="G1188" s="876" t="s">
        <v>57</v>
      </c>
      <c r="H1188" s="876">
        <f>SUM(H1186:H1187)</f>
        <v>11.475000000000001</v>
      </c>
      <c r="I1188" s="902" t="s">
        <v>2568</v>
      </c>
      <c r="J1188" s="865"/>
      <c r="K1188" s="923"/>
      <c r="L1188" s="868"/>
      <c r="M1188" s="868"/>
      <c r="N1188" s="868"/>
      <c r="O1188" s="926"/>
      <c r="P1188" s="924"/>
      <c r="Q1188" s="924"/>
      <c r="R1188" s="924"/>
      <c r="S1188" s="925"/>
    </row>
    <row r="1189" spans="1:255" ht="18">
      <c r="A1189" s="871"/>
      <c r="B1189" s="891"/>
      <c r="C1189" s="873"/>
      <c r="D1189" s="873"/>
      <c r="E1189" s="874"/>
      <c r="F1189" s="873"/>
      <c r="G1189" s="892" t="s">
        <v>206</v>
      </c>
      <c r="H1189" s="893">
        <f>ROUNDUP(H1188,1)</f>
        <v>11.5</v>
      </c>
      <c r="I1189" s="894" t="s">
        <v>2234</v>
      </c>
      <c r="J1189" s="865"/>
      <c r="K1189" s="923"/>
      <c r="L1189" s="868"/>
      <c r="M1189" s="868"/>
      <c r="N1189" s="868"/>
      <c r="O1189" s="924"/>
      <c r="P1189" s="924"/>
      <c r="Q1189" s="926"/>
      <c r="R1189" s="924"/>
      <c r="S1189" s="925"/>
    </row>
    <row r="1190" spans="1:255">
      <c r="A1190" s="871"/>
      <c r="B1190" s="891"/>
      <c r="C1190" s="873"/>
      <c r="D1190" s="873"/>
      <c r="E1190" s="874"/>
      <c r="F1190" s="873"/>
      <c r="G1190" s="892"/>
      <c r="H1190" s="893"/>
      <c r="I1190" s="894"/>
      <c r="J1190" s="865"/>
      <c r="K1190" s="923"/>
      <c r="L1190" s="868"/>
      <c r="M1190" s="868"/>
      <c r="N1190" s="868"/>
      <c r="O1190" s="924"/>
      <c r="P1190" s="924"/>
      <c r="Q1190" s="926"/>
      <c r="R1190" s="924"/>
      <c r="S1190" s="925"/>
    </row>
    <row r="1191" spans="1:255" ht="31.5">
      <c r="A1191" s="871" t="s">
        <v>1100</v>
      </c>
      <c r="B1191" s="886" t="s">
        <v>2573</v>
      </c>
      <c r="C1191" s="873"/>
      <c r="D1191" s="873"/>
      <c r="E1191" s="874"/>
      <c r="F1191" s="873"/>
      <c r="G1191" s="875"/>
      <c r="H1191" s="876"/>
      <c r="I1191" s="877"/>
      <c r="J1191" s="922"/>
      <c r="K1191" s="923">
        <v>0.86</v>
      </c>
      <c r="L1191" s="868"/>
      <c r="M1191" s="868"/>
      <c r="N1191" s="868"/>
      <c r="O1191" s="926"/>
      <c r="P1191" s="924"/>
      <c r="Q1191" s="924"/>
      <c r="R1191" s="924"/>
      <c r="S1191" s="925"/>
    </row>
    <row r="1192" spans="1:255">
      <c r="A1192" s="871"/>
      <c r="B1192" s="891" t="s">
        <v>2294</v>
      </c>
      <c r="C1192" s="873">
        <v>1</v>
      </c>
      <c r="D1192" s="873">
        <v>6</v>
      </c>
      <c r="E1192" s="888">
        <v>1.5</v>
      </c>
      <c r="F1192" s="873">
        <v>0.86</v>
      </c>
      <c r="G1192" s="876">
        <v>1.35</v>
      </c>
      <c r="H1192" s="876">
        <f>PRODUCT(C1192:G1192)</f>
        <v>10.449000000000002</v>
      </c>
      <c r="I1192" s="877"/>
      <c r="J1192" s="922"/>
      <c r="K1192" s="923"/>
      <c r="L1192" s="868"/>
      <c r="M1192" s="868"/>
      <c r="N1192" s="868"/>
      <c r="O1192" s="926"/>
      <c r="P1192" s="924"/>
      <c r="Q1192" s="924"/>
      <c r="R1192" s="924"/>
      <c r="S1192" s="925"/>
    </row>
    <row r="1193" spans="1:255">
      <c r="A1193" s="871"/>
      <c r="B1193" s="891" t="s">
        <v>2295</v>
      </c>
      <c r="C1193" s="873">
        <v>1</v>
      </c>
      <c r="D1193" s="873">
        <v>1</v>
      </c>
      <c r="E1193" s="888">
        <v>1.65</v>
      </c>
      <c r="F1193" s="873">
        <v>0.86</v>
      </c>
      <c r="G1193" s="876">
        <v>1.35</v>
      </c>
      <c r="H1193" s="876">
        <f t="shared" ref="H1193:H1200" si="39">PRODUCT(C1193:G1193)</f>
        <v>1.9156499999999999</v>
      </c>
      <c r="I1193" s="877"/>
      <c r="J1193" s="922"/>
      <c r="K1193" s="923"/>
      <c r="L1193" s="868"/>
      <c r="M1193" s="868"/>
      <c r="N1193" s="868"/>
      <c r="O1193" s="926"/>
      <c r="P1193" s="924"/>
      <c r="Q1193" s="924"/>
      <c r="R1193" s="924"/>
      <c r="S1193" s="925"/>
    </row>
    <row r="1194" spans="1:255">
      <c r="A1194" s="871"/>
      <c r="B1194" s="891" t="s">
        <v>2296</v>
      </c>
      <c r="C1194" s="873">
        <v>1</v>
      </c>
      <c r="D1194" s="873">
        <v>7</v>
      </c>
      <c r="E1194" s="888">
        <v>1.2</v>
      </c>
      <c r="F1194" s="873">
        <v>0.86</v>
      </c>
      <c r="G1194" s="876">
        <v>1.35</v>
      </c>
      <c r="H1194" s="876">
        <f t="shared" si="39"/>
        <v>9.7524000000000015</v>
      </c>
      <c r="I1194" s="877"/>
      <c r="J1194" s="922"/>
      <c r="K1194" s="923"/>
      <c r="L1194" s="868"/>
      <c r="M1194" s="868"/>
      <c r="N1194" s="868"/>
      <c r="O1194" s="926"/>
      <c r="P1194" s="924"/>
      <c r="Q1194" s="924"/>
      <c r="R1194" s="924"/>
      <c r="S1194" s="925"/>
    </row>
    <row r="1195" spans="1:255">
      <c r="A1195" s="871"/>
      <c r="B1195" s="891" t="s">
        <v>2297</v>
      </c>
      <c r="C1195" s="873">
        <v>1</v>
      </c>
      <c r="D1195" s="873">
        <v>1</v>
      </c>
      <c r="E1195" s="888">
        <v>0.85</v>
      </c>
      <c r="F1195" s="873">
        <v>0.86</v>
      </c>
      <c r="G1195" s="876">
        <v>1.35</v>
      </c>
      <c r="H1195" s="876">
        <f t="shared" si="39"/>
        <v>0.98685</v>
      </c>
      <c r="I1195" s="877"/>
      <c r="J1195" s="922"/>
      <c r="K1195" s="923"/>
      <c r="L1195" s="868"/>
      <c r="M1195" s="868"/>
      <c r="N1195" s="868"/>
      <c r="O1195" s="926"/>
      <c r="P1195" s="924"/>
      <c r="Q1195" s="924"/>
      <c r="R1195" s="924"/>
      <c r="S1195" s="925"/>
    </row>
    <row r="1196" spans="1:255">
      <c r="A1196" s="871"/>
      <c r="B1196" s="891" t="s">
        <v>2298</v>
      </c>
      <c r="C1196" s="873">
        <v>1</v>
      </c>
      <c r="D1196" s="873">
        <v>3</v>
      </c>
      <c r="E1196" s="888">
        <v>0.75</v>
      </c>
      <c r="F1196" s="873">
        <v>0.86</v>
      </c>
      <c r="G1196" s="876">
        <v>1.35</v>
      </c>
      <c r="H1196" s="876">
        <f t="shared" si="39"/>
        <v>2.6122500000000004</v>
      </c>
      <c r="I1196" s="877"/>
      <c r="J1196" s="922"/>
      <c r="K1196" s="923"/>
      <c r="L1196" s="868"/>
      <c r="M1196" s="868"/>
      <c r="N1196" s="868"/>
      <c r="O1196" s="926"/>
      <c r="P1196" s="924"/>
      <c r="Q1196" s="924"/>
      <c r="R1196" s="924"/>
      <c r="S1196" s="925"/>
    </row>
    <row r="1197" spans="1:255">
      <c r="A1197" s="871"/>
      <c r="B1197" s="891" t="s">
        <v>2299</v>
      </c>
      <c r="C1197" s="873">
        <v>1</v>
      </c>
      <c r="D1197" s="873">
        <v>2</v>
      </c>
      <c r="E1197" s="888">
        <v>1.8</v>
      </c>
      <c r="F1197" s="873">
        <v>0.86</v>
      </c>
      <c r="G1197" s="876">
        <v>1.35</v>
      </c>
      <c r="H1197" s="876">
        <f t="shared" si="39"/>
        <v>4.1796000000000006</v>
      </c>
      <c r="I1197" s="877"/>
      <c r="J1197" s="922"/>
      <c r="K1197" s="923"/>
      <c r="L1197" s="868"/>
      <c r="M1197" s="868"/>
      <c r="N1197" s="868"/>
      <c r="O1197" s="926"/>
      <c r="P1197" s="924"/>
      <c r="Q1197" s="924"/>
      <c r="R1197" s="924"/>
      <c r="S1197" s="925"/>
    </row>
    <row r="1198" spans="1:255">
      <c r="A1198" s="871"/>
      <c r="B1198" s="891" t="s">
        <v>2300</v>
      </c>
      <c r="C1198" s="873">
        <v>1</v>
      </c>
      <c r="D1198" s="873">
        <v>4</v>
      </c>
      <c r="E1198" s="888">
        <v>0.9</v>
      </c>
      <c r="F1198" s="873">
        <v>0.86</v>
      </c>
      <c r="G1198" s="876">
        <v>1.35</v>
      </c>
      <c r="H1198" s="876">
        <f t="shared" si="39"/>
        <v>4.1796000000000006</v>
      </c>
      <c r="I1198" s="877"/>
      <c r="J1198" s="922"/>
      <c r="K1198" s="923"/>
      <c r="L1198" s="868"/>
      <c r="M1198" s="868"/>
      <c r="N1198" s="868"/>
      <c r="O1198" s="926"/>
      <c r="P1198" s="924"/>
      <c r="Q1198" s="924"/>
      <c r="R1198" s="924"/>
      <c r="S1198" s="925"/>
    </row>
    <row r="1199" spans="1:255">
      <c r="A1199" s="871"/>
      <c r="B1199" s="891" t="s">
        <v>2301</v>
      </c>
      <c r="C1199" s="873">
        <v>1</v>
      </c>
      <c r="D1199" s="873">
        <v>2</v>
      </c>
      <c r="E1199" s="888">
        <v>1</v>
      </c>
      <c r="F1199" s="873">
        <v>0.86</v>
      </c>
      <c r="G1199" s="876">
        <v>2</v>
      </c>
      <c r="H1199" s="876">
        <f t="shared" si="39"/>
        <v>3.44</v>
      </c>
      <c r="I1199" s="877"/>
      <c r="J1199" s="922"/>
      <c r="K1199" s="923"/>
      <c r="L1199" s="868"/>
      <c r="M1199" s="868"/>
      <c r="N1199" s="868"/>
      <c r="O1199" s="924"/>
      <c r="P1199" s="924"/>
      <c r="Q1199" s="926"/>
      <c r="R1199" s="924"/>
      <c r="S1199" s="925"/>
    </row>
    <row r="1200" spans="1:255">
      <c r="A1200" s="871"/>
      <c r="B1200" s="891" t="s">
        <v>2418</v>
      </c>
      <c r="C1200" s="873">
        <v>1</v>
      </c>
      <c r="D1200" s="873">
        <v>6</v>
      </c>
      <c r="E1200" s="888">
        <v>0.9</v>
      </c>
      <c r="F1200" s="873">
        <v>0.86</v>
      </c>
      <c r="G1200" s="876">
        <v>0.75</v>
      </c>
      <c r="H1200" s="876">
        <f t="shared" si="39"/>
        <v>3.4830000000000001</v>
      </c>
      <c r="I1200" s="877"/>
      <c r="J1200" s="922"/>
      <c r="K1200" s="923"/>
      <c r="L1200" s="868"/>
      <c r="M1200" s="868"/>
      <c r="N1200" s="868"/>
      <c r="O1200" s="924"/>
      <c r="P1200" s="924"/>
      <c r="Q1200" s="926"/>
      <c r="R1200" s="924"/>
      <c r="S1200" s="925"/>
    </row>
    <row r="1201" spans="1:9">
      <c r="A1201" s="871"/>
      <c r="B1201" s="891"/>
      <c r="C1201" s="873"/>
      <c r="D1201" s="873"/>
      <c r="E1201" s="874"/>
      <c r="F1201" s="873"/>
      <c r="G1201" s="875" t="s">
        <v>57</v>
      </c>
      <c r="H1201" s="876">
        <f>SUM(H1192:H1200)</f>
        <v>40.998349999999995</v>
      </c>
      <c r="I1201" s="877"/>
    </row>
    <row r="1202" spans="1:9" ht="18">
      <c r="A1202" s="871"/>
      <c r="B1202" s="891"/>
      <c r="C1202" s="873"/>
      <c r="D1202" s="873"/>
      <c r="E1202" s="874"/>
      <c r="F1202" s="873"/>
      <c r="G1202" s="892" t="s">
        <v>206</v>
      </c>
      <c r="H1202" s="893">
        <f>ROUNDUP(H1201,1)</f>
        <v>41</v>
      </c>
      <c r="I1202" s="894" t="s">
        <v>2234</v>
      </c>
    </row>
    <row r="1203" spans="1:9">
      <c r="A1203" s="871"/>
      <c r="B1203" s="891"/>
      <c r="C1203" s="873"/>
      <c r="D1203" s="873"/>
      <c r="E1203" s="874"/>
      <c r="F1203" s="873"/>
      <c r="G1203" s="892"/>
      <c r="H1203" s="893"/>
      <c r="I1203" s="894"/>
    </row>
    <row r="1204" spans="1:9">
      <c r="A1204" s="871">
        <v>29.8</v>
      </c>
      <c r="B1204" s="891" t="s">
        <v>2574</v>
      </c>
      <c r="C1204" s="873"/>
      <c r="D1204" s="873"/>
      <c r="E1204" s="873"/>
      <c r="F1204" s="873"/>
      <c r="G1204" s="871"/>
      <c r="H1204" s="876"/>
      <c r="I1204" s="902"/>
    </row>
    <row r="1205" spans="1:9">
      <c r="A1205" s="871"/>
      <c r="B1205" s="917" t="s">
        <v>813</v>
      </c>
      <c r="C1205" s="904"/>
      <c r="D1205" s="918"/>
      <c r="E1205" s="905"/>
      <c r="F1205" s="905"/>
      <c r="G1205" s="907"/>
      <c r="H1205" s="903"/>
      <c r="I1205" s="877"/>
    </row>
    <row r="1206" spans="1:9">
      <c r="A1206" s="871"/>
      <c r="B1206" s="634" t="s">
        <v>2575</v>
      </c>
      <c r="C1206" s="904">
        <v>1</v>
      </c>
      <c r="D1206" s="918">
        <v>2</v>
      </c>
      <c r="E1206" s="905">
        <v>4.2</v>
      </c>
      <c r="F1206" s="905"/>
      <c r="G1206" s="907">
        <v>1.35</v>
      </c>
      <c r="H1206" s="903">
        <f t="shared" ref="H1206:H1248" si="40">PRODUCT(C1206:G1206)</f>
        <v>11.340000000000002</v>
      </c>
      <c r="I1206" s="877"/>
    </row>
    <row r="1207" spans="1:9">
      <c r="A1207" s="871"/>
      <c r="B1207" s="634" t="s">
        <v>2321</v>
      </c>
      <c r="C1207" s="904">
        <v>2</v>
      </c>
      <c r="D1207" s="918">
        <v>2</v>
      </c>
      <c r="E1207" s="959">
        <v>0.115</v>
      </c>
      <c r="F1207" s="905"/>
      <c r="G1207" s="907">
        <v>1.35</v>
      </c>
      <c r="H1207" s="903">
        <f t="shared" si="40"/>
        <v>0.62100000000000011</v>
      </c>
      <c r="I1207" s="877"/>
    </row>
    <row r="1208" spans="1:9">
      <c r="A1208" s="871"/>
      <c r="B1208" s="634" t="s">
        <v>2246</v>
      </c>
      <c r="C1208" s="904">
        <v>-1</v>
      </c>
      <c r="D1208" s="918">
        <v>2</v>
      </c>
      <c r="E1208" s="905">
        <v>0.75</v>
      </c>
      <c r="F1208" s="905"/>
      <c r="G1208" s="907">
        <v>1.35</v>
      </c>
      <c r="H1208" s="903">
        <f t="shared" si="40"/>
        <v>-2.0250000000000004</v>
      </c>
      <c r="I1208" s="877"/>
    </row>
    <row r="1209" spans="1:9">
      <c r="A1209" s="871"/>
      <c r="B1209" s="634" t="s">
        <v>2576</v>
      </c>
      <c r="C1209" s="904">
        <v>1</v>
      </c>
      <c r="D1209" s="918">
        <v>1</v>
      </c>
      <c r="E1209" s="905">
        <v>7.8</v>
      </c>
      <c r="F1209" s="905"/>
      <c r="G1209" s="907">
        <v>1.5</v>
      </c>
      <c r="H1209" s="903">
        <f t="shared" si="40"/>
        <v>11.7</v>
      </c>
      <c r="I1209" s="877"/>
    </row>
    <row r="1210" spans="1:9">
      <c r="A1210" s="871"/>
      <c r="B1210" s="634" t="s">
        <v>2577</v>
      </c>
      <c r="C1210" s="904">
        <v>1</v>
      </c>
      <c r="D1210" s="918">
        <v>1</v>
      </c>
      <c r="E1210" s="905">
        <v>7.8</v>
      </c>
      <c r="F1210" s="905"/>
      <c r="G1210" s="907">
        <v>0.75</v>
      </c>
      <c r="H1210" s="903">
        <f t="shared" si="40"/>
        <v>5.85</v>
      </c>
      <c r="I1210" s="877"/>
    </row>
    <row r="1211" spans="1:9">
      <c r="A1211" s="871"/>
      <c r="B1211" s="634" t="s">
        <v>2321</v>
      </c>
      <c r="C1211" s="904">
        <v>1</v>
      </c>
      <c r="D1211" s="918">
        <v>2</v>
      </c>
      <c r="E1211" s="959">
        <v>0.115</v>
      </c>
      <c r="F1211" s="905"/>
      <c r="G1211" s="907">
        <v>1.5</v>
      </c>
      <c r="H1211" s="903">
        <f t="shared" si="40"/>
        <v>0.34500000000000003</v>
      </c>
      <c r="I1211" s="877"/>
    </row>
    <row r="1212" spans="1:9">
      <c r="A1212" s="871"/>
      <c r="B1212" s="634" t="s">
        <v>2578</v>
      </c>
      <c r="C1212" s="904">
        <v>-1</v>
      </c>
      <c r="D1212" s="918">
        <v>1</v>
      </c>
      <c r="E1212" s="905">
        <v>0.75</v>
      </c>
      <c r="F1212" s="905"/>
      <c r="G1212" s="907">
        <v>1.5</v>
      </c>
      <c r="H1212" s="903">
        <f t="shared" si="40"/>
        <v>-1.125</v>
      </c>
      <c r="I1212" s="877"/>
    </row>
    <row r="1213" spans="1:9">
      <c r="A1213" s="871"/>
      <c r="B1213" s="634" t="s">
        <v>2186</v>
      </c>
      <c r="C1213" s="904">
        <v>1</v>
      </c>
      <c r="D1213" s="918">
        <v>1</v>
      </c>
      <c r="E1213" s="905">
        <v>6.74</v>
      </c>
      <c r="F1213" s="905"/>
      <c r="G1213" s="907">
        <v>1.5</v>
      </c>
      <c r="H1213" s="903">
        <f t="shared" si="40"/>
        <v>10.11</v>
      </c>
      <c r="I1213" s="877"/>
    </row>
    <row r="1214" spans="1:9">
      <c r="A1214" s="871"/>
      <c r="B1214" s="634" t="s">
        <v>2577</v>
      </c>
      <c r="C1214" s="904">
        <v>1</v>
      </c>
      <c r="D1214" s="918">
        <v>1</v>
      </c>
      <c r="E1214" s="905">
        <v>6.74</v>
      </c>
      <c r="F1214" s="905"/>
      <c r="G1214" s="907">
        <v>0.75</v>
      </c>
      <c r="H1214" s="903">
        <f t="shared" si="40"/>
        <v>5.0549999999999997</v>
      </c>
      <c r="I1214" s="877"/>
    </row>
    <row r="1215" spans="1:9">
      <c r="A1215" s="871"/>
      <c r="B1215" s="634" t="s">
        <v>2321</v>
      </c>
      <c r="C1215" s="904">
        <v>1</v>
      </c>
      <c r="D1215" s="918">
        <v>2</v>
      </c>
      <c r="E1215" s="959">
        <v>0.115</v>
      </c>
      <c r="F1215" s="905"/>
      <c r="G1215" s="907">
        <v>1.5</v>
      </c>
      <c r="H1215" s="903">
        <f t="shared" si="40"/>
        <v>0.34500000000000003</v>
      </c>
      <c r="I1215" s="877"/>
    </row>
    <row r="1216" spans="1:9">
      <c r="A1216" s="871"/>
      <c r="B1216" s="634" t="s">
        <v>2578</v>
      </c>
      <c r="C1216" s="904">
        <v>-1</v>
      </c>
      <c r="D1216" s="918">
        <v>1</v>
      </c>
      <c r="E1216" s="905">
        <v>0.75</v>
      </c>
      <c r="F1216" s="905"/>
      <c r="G1216" s="907">
        <v>1.5</v>
      </c>
      <c r="H1216" s="903">
        <f t="shared" si="40"/>
        <v>-1.125</v>
      </c>
      <c r="I1216" s="877"/>
    </row>
    <row r="1217" spans="1:9">
      <c r="A1217" s="871"/>
      <c r="B1217" s="634" t="s">
        <v>2579</v>
      </c>
      <c r="C1217" s="904">
        <v>1</v>
      </c>
      <c r="D1217" s="918">
        <v>1</v>
      </c>
      <c r="E1217" s="905">
        <v>5.4</v>
      </c>
      <c r="F1217" s="905"/>
      <c r="G1217" s="907">
        <v>1.5</v>
      </c>
      <c r="H1217" s="903">
        <f t="shared" si="40"/>
        <v>8.1000000000000014</v>
      </c>
      <c r="I1217" s="877"/>
    </row>
    <row r="1218" spans="1:9">
      <c r="A1218" s="871"/>
      <c r="B1218" s="634" t="s">
        <v>2577</v>
      </c>
      <c r="C1218" s="904">
        <v>1</v>
      </c>
      <c r="D1218" s="918">
        <v>1</v>
      </c>
      <c r="E1218" s="905">
        <v>5.4</v>
      </c>
      <c r="F1218" s="905"/>
      <c r="G1218" s="907">
        <v>0.75</v>
      </c>
      <c r="H1218" s="903">
        <f t="shared" si="40"/>
        <v>4.0500000000000007</v>
      </c>
      <c r="I1218" s="877"/>
    </row>
    <row r="1219" spans="1:9">
      <c r="A1219" s="871"/>
      <c r="B1219" s="634" t="s">
        <v>2321</v>
      </c>
      <c r="C1219" s="904">
        <v>1</v>
      </c>
      <c r="D1219" s="918">
        <v>2</v>
      </c>
      <c r="E1219" s="959">
        <v>0.115</v>
      </c>
      <c r="F1219" s="905"/>
      <c r="G1219" s="907">
        <v>1.5</v>
      </c>
      <c r="H1219" s="903">
        <f t="shared" si="40"/>
        <v>0.34500000000000003</v>
      </c>
      <c r="I1219" s="877"/>
    </row>
    <row r="1220" spans="1:9">
      <c r="A1220" s="871"/>
      <c r="B1220" s="634" t="s">
        <v>2578</v>
      </c>
      <c r="C1220" s="904">
        <v>-1</v>
      </c>
      <c r="D1220" s="918">
        <v>1</v>
      </c>
      <c r="E1220" s="905">
        <v>0.75</v>
      </c>
      <c r="F1220" s="905"/>
      <c r="G1220" s="907">
        <v>1.5</v>
      </c>
      <c r="H1220" s="903">
        <f t="shared" si="40"/>
        <v>-1.125</v>
      </c>
      <c r="I1220" s="877"/>
    </row>
    <row r="1221" spans="1:9">
      <c r="A1221" s="871"/>
      <c r="B1221" s="634" t="s">
        <v>2580</v>
      </c>
      <c r="C1221" s="904">
        <v>1</v>
      </c>
      <c r="D1221" s="918">
        <v>1</v>
      </c>
      <c r="E1221" s="905">
        <v>17.25</v>
      </c>
      <c r="F1221" s="905"/>
      <c r="G1221" s="907">
        <v>0.1</v>
      </c>
      <c r="H1221" s="903">
        <f t="shared" si="40"/>
        <v>1.7250000000000001</v>
      </c>
      <c r="I1221" s="877"/>
    </row>
    <row r="1222" spans="1:9">
      <c r="A1222" s="871"/>
      <c r="B1222" s="903" t="s">
        <v>2581</v>
      </c>
      <c r="C1222" s="904">
        <v>1</v>
      </c>
      <c r="D1222" s="918">
        <v>1</v>
      </c>
      <c r="E1222" s="905">
        <v>15.45</v>
      </c>
      <c r="F1222" s="905"/>
      <c r="G1222" s="907">
        <v>0.1</v>
      </c>
      <c r="H1222" s="903">
        <f t="shared" si="40"/>
        <v>1.5449999999999999</v>
      </c>
      <c r="I1222" s="877"/>
    </row>
    <row r="1223" spans="1:9">
      <c r="A1223" s="871"/>
      <c r="B1223" s="634" t="s">
        <v>2582</v>
      </c>
      <c r="C1223" s="904">
        <v>1</v>
      </c>
      <c r="D1223" s="918">
        <v>1</v>
      </c>
      <c r="E1223" s="905">
        <v>15.71</v>
      </c>
      <c r="F1223" s="905"/>
      <c r="G1223" s="907">
        <v>0.1</v>
      </c>
      <c r="H1223" s="903">
        <f t="shared" si="40"/>
        <v>1.5710000000000002</v>
      </c>
      <c r="I1223" s="877"/>
    </row>
    <row r="1224" spans="1:9">
      <c r="A1224" s="871"/>
      <c r="B1224" s="634" t="s">
        <v>2583</v>
      </c>
      <c r="C1224" s="904">
        <v>1</v>
      </c>
      <c r="D1224" s="918">
        <v>1</v>
      </c>
      <c r="E1224" s="905">
        <v>7.8</v>
      </c>
      <c r="F1224" s="905"/>
      <c r="G1224" s="907">
        <v>0.1</v>
      </c>
      <c r="H1224" s="903">
        <f t="shared" si="40"/>
        <v>0.78</v>
      </c>
      <c r="I1224" s="877"/>
    </row>
    <row r="1225" spans="1:9" ht="31.5">
      <c r="A1225" s="871"/>
      <c r="B1225" s="634" t="s">
        <v>2584</v>
      </c>
      <c r="C1225" s="904">
        <v>1</v>
      </c>
      <c r="D1225" s="918">
        <v>1</v>
      </c>
      <c r="E1225" s="905">
        <v>5.18</v>
      </c>
      <c r="F1225" s="905"/>
      <c r="G1225" s="907">
        <v>0.1</v>
      </c>
      <c r="H1225" s="903">
        <f t="shared" si="40"/>
        <v>0.51800000000000002</v>
      </c>
      <c r="I1225" s="877"/>
    </row>
    <row r="1226" spans="1:9">
      <c r="A1226" s="871"/>
      <c r="B1226" s="634" t="s">
        <v>2585</v>
      </c>
      <c r="C1226" s="904">
        <v>1</v>
      </c>
      <c r="D1226" s="918">
        <v>1</v>
      </c>
      <c r="E1226" s="905">
        <v>3.97</v>
      </c>
      <c r="F1226" s="905"/>
      <c r="G1226" s="907">
        <v>0.1</v>
      </c>
      <c r="H1226" s="903">
        <f t="shared" si="40"/>
        <v>0.39700000000000002</v>
      </c>
      <c r="I1226" s="877"/>
    </row>
    <row r="1227" spans="1:9">
      <c r="A1227" s="871"/>
      <c r="B1227" s="634" t="s">
        <v>2586</v>
      </c>
      <c r="C1227" s="904">
        <v>1</v>
      </c>
      <c r="D1227" s="918">
        <v>1</v>
      </c>
      <c r="E1227" s="905">
        <v>12.88</v>
      </c>
      <c r="F1227" s="905"/>
      <c r="G1227" s="907">
        <v>0.1</v>
      </c>
      <c r="H1227" s="903">
        <f t="shared" si="40"/>
        <v>1.2880000000000003</v>
      </c>
      <c r="I1227" s="877"/>
    </row>
    <row r="1228" spans="1:9">
      <c r="A1228" s="871"/>
      <c r="B1228" s="917" t="s">
        <v>817</v>
      </c>
      <c r="C1228" s="904"/>
      <c r="D1228" s="918"/>
      <c r="E1228" s="905"/>
      <c r="F1228" s="905"/>
      <c r="G1228" s="907"/>
      <c r="H1228" s="903"/>
      <c r="I1228" s="877"/>
    </row>
    <row r="1229" spans="1:9">
      <c r="A1229" s="871"/>
      <c r="B1229" s="634" t="s">
        <v>2587</v>
      </c>
      <c r="C1229" s="904">
        <v>1</v>
      </c>
      <c r="D1229" s="918">
        <v>2</v>
      </c>
      <c r="E1229" s="905">
        <v>7.5</v>
      </c>
      <c r="F1229" s="905"/>
      <c r="G1229" s="907">
        <v>1.5</v>
      </c>
      <c r="H1229" s="903">
        <f t="shared" si="40"/>
        <v>22.5</v>
      </c>
      <c r="I1229" s="877"/>
    </row>
    <row r="1230" spans="1:9">
      <c r="A1230" s="871"/>
      <c r="B1230" s="634" t="s">
        <v>2577</v>
      </c>
      <c r="C1230" s="904">
        <v>1</v>
      </c>
      <c r="D1230" s="918">
        <v>2</v>
      </c>
      <c r="E1230" s="905">
        <v>7.5</v>
      </c>
      <c r="F1230" s="905"/>
      <c r="G1230" s="907">
        <v>7.4999999999999997E-2</v>
      </c>
      <c r="H1230" s="903">
        <f t="shared" si="40"/>
        <v>1.125</v>
      </c>
      <c r="I1230" s="877"/>
    </row>
    <row r="1231" spans="1:9">
      <c r="A1231" s="871"/>
      <c r="B1231" s="634" t="s">
        <v>2321</v>
      </c>
      <c r="C1231" s="904">
        <v>2</v>
      </c>
      <c r="D1231" s="918">
        <v>2</v>
      </c>
      <c r="E1231" s="959">
        <v>0.115</v>
      </c>
      <c r="F1231" s="905"/>
      <c r="G1231" s="907">
        <v>1.5</v>
      </c>
      <c r="H1231" s="903">
        <f t="shared" si="40"/>
        <v>0.69000000000000006</v>
      </c>
      <c r="I1231" s="877"/>
    </row>
    <row r="1232" spans="1:9">
      <c r="A1232" s="871"/>
      <c r="B1232" s="634" t="s">
        <v>2578</v>
      </c>
      <c r="C1232" s="904">
        <v>-1</v>
      </c>
      <c r="D1232" s="918">
        <v>2</v>
      </c>
      <c r="E1232" s="905">
        <v>0.75</v>
      </c>
      <c r="F1232" s="905"/>
      <c r="G1232" s="907">
        <v>1.5</v>
      </c>
      <c r="H1232" s="903">
        <f t="shared" si="40"/>
        <v>-2.25</v>
      </c>
      <c r="I1232" s="877"/>
    </row>
    <row r="1233" spans="1:9">
      <c r="A1233" s="871"/>
      <c r="B1233" s="634" t="s">
        <v>2588</v>
      </c>
      <c r="C1233" s="904">
        <v>1</v>
      </c>
      <c r="D1233" s="918">
        <v>1</v>
      </c>
      <c r="E1233" s="905">
        <v>6.6</v>
      </c>
      <c r="F1233" s="905"/>
      <c r="G1233" s="907">
        <v>1.5</v>
      </c>
      <c r="H1233" s="903">
        <f t="shared" si="40"/>
        <v>9.8999999999999986</v>
      </c>
      <c r="I1233" s="877"/>
    </row>
    <row r="1234" spans="1:9">
      <c r="A1234" s="871"/>
      <c r="B1234" s="634" t="s">
        <v>2577</v>
      </c>
      <c r="C1234" s="904">
        <v>1</v>
      </c>
      <c r="D1234" s="918">
        <v>1</v>
      </c>
      <c r="E1234" s="905">
        <v>6.6</v>
      </c>
      <c r="F1234" s="905"/>
      <c r="G1234" s="907">
        <v>7.4999999999999997E-2</v>
      </c>
      <c r="H1234" s="903">
        <f t="shared" si="40"/>
        <v>0.49499999999999994</v>
      </c>
      <c r="I1234" s="877"/>
    </row>
    <row r="1235" spans="1:9">
      <c r="A1235" s="871"/>
      <c r="B1235" s="634" t="s">
        <v>2321</v>
      </c>
      <c r="C1235" s="904">
        <v>1</v>
      </c>
      <c r="D1235" s="918">
        <v>2</v>
      </c>
      <c r="E1235" s="959">
        <v>0.115</v>
      </c>
      <c r="F1235" s="905"/>
      <c r="G1235" s="907">
        <v>1.5</v>
      </c>
      <c r="H1235" s="903">
        <f t="shared" si="40"/>
        <v>0.34500000000000003</v>
      </c>
      <c r="I1235" s="877"/>
    </row>
    <row r="1236" spans="1:9">
      <c r="A1236" s="871"/>
      <c r="B1236" s="634" t="s">
        <v>2578</v>
      </c>
      <c r="C1236" s="904">
        <v>-1</v>
      </c>
      <c r="D1236" s="918">
        <v>1</v>
      </c>
      <c r="E1236" s="905">
        <v>0.75</v>
      </c>
      <c r="F1236" s="905"/>
      <c r="G1236" s="907">
        <v>1.5</v>
      </c>
      <c r="H1236" s="903">
        <f t="shared" si="40"/>
        <v>-1.125</v>
      </c>
      <c r="I1236" s="877"/>
    </row>
    <row r="1237" spans="1:9">
      <c r="A1237" s="871"/>
      <c r="B1237" s="634" t="s">
        <v>2589</v>
      </c>
      <c r="C1237" s="904">
        <v>1</v>
      </c>
      <c r="D1237" s="918">
        <v>1</v>
      </c>
      <c r="E1237" s="905">
        <v>17.25</v>
      </c>
      <c r="F1237" s="905"/>
      <c r="G1237" s="907">
        <v>0.1</v>
      </c>
      <c r="H1237" s="903">
        <f t="shared" si="40"/>
        <v>1.7250000000000001</v>
      </c>
      <c r="I1237" s="877"/>
    </row>
    <row r="1238" spans="1:9">
      <c r="A1238" s="871"/>
      <c r="B1238" s="634" t="s">
        <v>2590</v>
      </c>
      <c r="C1238" s="904">
        <v>1</v>
      </c>
      <c r="D1238" s="918">
        <v>1</v>
      </c>
      <c r="E1238" s="905">
        <v>4.16</v>
      </c>
      <c r="F1238" s="905"/>
      <c r="G1238" s="907">
        <v>0.1</v>
      </c>
      <c r="H1238" s="903">
        <f t="shared" si="40"/>
        <v>0.41600000000000004</v>
      </c>
      <c r="I1238" s="877"/>
    </row>
    <row r="1239" spans="1:9">
      <c r="A1239" s="871"/>
      <c r="B1239" s="634" t="s">
        <v>2591</v>
      </c>
      <c r="C1239" s="904">
        <v>1</v>
      </c>
      <c r="D1239" s="918">
        <v>1</v>
      </c>
      <c r="E1239" s="905">
        <v>10.6</v>
      </c>
      <c r="F1239" s="905"/>
      <c r="G1239" s="907">
        <v>0.1</v>
      </c>
      <c r="H1239" s="903">
        <f t="shared" si="40"/>
        <v>1.06</v>
      </c>
      <c r="I1239" s="877"/>
    </row>
    <row r="1240" spans="1:9">
      <c r="A1240" s="871"/>
      <c r="B1240" s="634" t="s">
        <v>2592</v>
      </c>
      <c r="C1240" s="904">
        <v>1</v>
      </c>
      <c r="D1240" s="918">
        <v>1</v>
      </c>
      <c r="E1240" s="905">
        <v>7.85</v>
      </c>
      <c r="F1240" s="905"/>
      <c r="G1240" s="907">
        <v>0.1</v>
      </c>
      <c r="H1240" s="903">
        <f t="shared" si="40"/>
        <v>0.78500000000000003</v>
      </c>
      <c r="I1240" s="877"/>
    </row>
    <row r="1241" spans="1:9">
      <c r="A1241" s="871"/>
      <c r="B1241" s="634" t="s">
        <v>2593</v>
      </c>
      <c r="C1241" s="904">
        <v>1</v>
      </c>
      <c r="D1241" s="918">
        <v>1</v>
      </c>
      <c r="E1241" s="905">
        <v>9.6</v>
      </c>
      <c r="F1241" s="905"/>
      <c r="G1241" s="907">
        <v>0.1</v>
      </c>
      <c r="H1241" s="903">
        <f t="shared" si="40"/>
        <v>0.96</v>
      </c>
      <c r="I1241" s="877"/>
    </row>
    <row r="1242" spans="1:9">
      <c r="A1242" s="871"/>
      <c r="B1242" s="634" t="s">
        <v>2588</v>
      </c>
      <c r="C1242" s="904">
        <v>1</v>
      </c>
      <c r="D1242" s="918">
        <v>1</v>
      </c>
      <c r="E1242" s="905">
        <v>14.51</v>
      </c>
      <c r="F1242" s="905"/>
      <c r="G1242" s="907">
        <v>0.1</v>
      </c>
      <c r="H1242" s="903">
        <f t="shared" si="40"/>
        <v>1.4510000000000001</v>
      </c>
      <c r="I1242" s="877"/>
    </row>
    <row r="1243" spans="1:9">
      <c r="A1243" s="871"/>
      <c r="B1243" s="634" t="s">
        <v>2594</v>
      </c>
      <c r="C1243" s="904">
        <v>1</v>
      </c>
      <c r="D1243" s="918">
        <v>1</v>
      </c>
      <c r="E1243" s="905">
        <v>4.09</v>
      </c>
      <c r="F1243" s="905"/>
      <c r="G1243" s="907">
        <v>0.1</v>
      </c>
      <c r="H1243" s="903">
        <f t="shared" si="40"/>
        <v>0.40900000000000003</v>
      </c>
      <c r="I1243" s="877"/>
    </row>
    <row r="1244" spans="1:9">
      <c r="A1244" s="871"/>
      <c r="B1244" s="634" t="s">
        <v>2595</v>
      </c>
      <c r="C1244" s="904">
        <v>1</v>
      </c>
      <c r="D1244" s="918">
        <v>1</v>
      </c>
      <c r="E1244" s="905">
        <v>10.48</v>
      </c>
      <c r="F1244" s="905"/>
      <c r="G1244" s="907">
        <v>0.1</v>
      </c>
      <c r="H1244" s="903">
        <f t="shared" si="40"/>
        <v>1.048</v>
      </c>
      <c r="I1244" s="877"/>
    </row>
    <row r="1245" spans="1:9">
      <c r="A1245" s="871"/>
      <c r="B1245" s="634" t="s">
        <v>2596</v>
      </c>
      <c r="C1245" s="904">
        <v>1</v>
      </c>
      <c r="D1245" s="918">
        <v>1</v>
      </c>
      <c r="E1245" s="905">
        <v>12.4</v>
      </c>
      <c r="F1245" s="905"/>
      <c r="G1245" s="907">
        <v>0.1</v>
      </c>
      <c r="H1245" s="903">
        <f t="shared" si="40"/>
        <v>1.2400000000000002</v>
      </c>
      <c r="I1245" s="877"/>
    </row>
    <row r="1246" spans="1:9">
      <c r="A1246" s="871"/>
      <c r="B1246" s="634" t="s">
        <v>2597</v>
      </c>
      <c r="C1246" s="904">
        <v>1</v>
      </c>
      <c r="D1246" s="918">
        <v>2</v>
      </c>
      <c r="E1246" s="905">
        <v>0.9</v>
      </c>
      <c r="F1246" s="905"/>
      <c r="G1246" s="907">
        <v>0.1</v>
      </c>
      <c r="H1246" s="903">
        <f t="shared" si="40"/>
        <v>0.18000000000000002</v>
      </c>
      <c r="I1246" s="877"/>
    </row>
    <row r="1247" spans="1:9">
      <c r="A1247" s="871"/>
      <c r="B1247" s="634" t="s">
        <v>2598</v>
      </c>
      <c r="C1247" s="904">
        <v>1</v>
      </c>
      <c r="D1247" s="918">
        <v>1</v>
      </c>
      <c r="E1247" s="905">
        <v>13.57</v>
      </c>
      <c r="F1247" s="905"/>
      <c r="G1247" s="907">
        <v>0.1</v>
      </c>
      <c r="H1247" s="903">
        <f t="shared" si="40"/>
        <v>1.3570000000000002</v>
      </c>
      <c r="I1247" s="877"/>
    </row>
    <row r="1248" spans="1:9">
      <c r="A1248" s="871"/>
      <c r="B1248" s="634" t="s">
        <v>2599</v>
      </c>
      <c r="C1248" s="904">
        <v>1</v>
      </c>
      <c r="D1248" s="918">
        <v>1</v>
      </c>
      <c r="E1248" s="905">
        <v>8.0299999999999994</v>
      </c>
      <c r="F1248" s="905"/>
      <c r="G1248" s="907">
        <v>0.1</v>
      </c>
      <c r="H1248" s="903">
        <f t="shared" si="40"/>
        <v>0.80299999999999994</v>
      </c>
      <c r="I1248" s="877"/>
    </row>
    <row r="1249" spans="1:10">
      <c r="A1249" s="871"/>
      <c r="B1249" s="891"/>
      <c r="C1249" s="873"/>
      <c r="D1249" s="873"/>
      <c r="E1249" s="873"/>
      <c r="F1249" s="873"/>
      <c r="G1249" s="871" t="s">
        <v>57</v>
      </c>
      <c r="H1249" s="910">
        <f>SUM(H1206:H1248)</f>
        <v>103.39899999999999</v>
      </c>
      <c r="I1249" s="902"/>
      <c r="J1249" s="865"/>
    </row>
    <row r="1250" spans="1:10" ht="18">
      <c r="A1250" s="871"/>
      <c r="B1250" s="891"/>
      <c r="C1250" s="873"/>
      <c r="D1250" s="873"/>
      <c r="E1250" s="874"/>
      <c r="F1250" s="873"/>
      <c r="G1250" s="895" t="s">
        <v>206</v>
      </c>
      <c r="H1250" s="896">
        <f>ROUNDUP(H1249,1)</f>
        <v>103.39999999999999</v>
      </c>
      <c r="I1250" s="894" t="s">
        <v>2234</v>
      </c>
      <c r="J1250" s="865"/>
    </row>
    <row r="1251" spans="1:10">
      <c r="A1251" s="871"/>
      <c r="B1251" s="891"/>
      <c r="C1251" s="873"/>
      <c r="D1251" s="873"/>
      <c r="E1251" s="874"/>
      <c r="F1251" s="873"/>
      <c r="G1251" s="895"/>
      <c r="H1251" s="896"/>
      <c r="I1251" s="894"/>
      <c r="J1251" s="865"/>
    </row>
    <row r="1252" spans="1:10" ht="31.5">
      <c r="A1252" s="876">
        <v>29.9</v>
      </c>
      <c r="B1252" s="886" t="s">
        <v>2600</v>
      </c>
      <c r="C1252" s="873"/>
      <c r="D1252" s="873"/>
      <c r="E1252" s="874"/>
      <c r="F1252" s="873"/>
      <c r="G1252" s="871"/>
      <c r="H1252" s="876"/>
      <c r="I1252" s="902"/>
    </row>
    <row r="1253" spans="1:10">
      <c r="A1253" s="871"/>
      <c r="B1253" s="634" t="s">
        <v>2601</v>
      </c>
      <c r="C1253" s="904">
        <v>1</v>
      </c>
      <c r="D1253" s="918">
        <v>1</v>
      </c>
      <c r="E1253" s="905">
        <v>2.4</v>
      </c>
      <c r="F1253" s="905">
        <v>1.5</v>
      </c>
      <c r="G1253" s="907"/>
      <c r="H1253" s="903">
        <f t="shared" ref="H1253:H1264" si="41">PRODUCT(C1253:G1253)</f>
        <v>3.5999999999999996</v>
      </c>
      <c r="I1253" s="902"/>
    </row>
    <row r="1254" spans="1:10">
      <c r="A1254" s="871"/>
      <c r="B1254" s="634" t="s">
        <v>2602</v>
      </c>
      <c r="C1254" s="904">
        <v>1</v>
      </c>
      <c r="D1254" s="918">
        <v>1</v>
      </c>
      <c r="E1254" s="905">
        <v>0.75</v>
      </c>
      <c r="F1254" s="905">
        <v>0.15</v>
      </c>
      <c r="G1254" s="907"/>
      <c r="H1254" s="903">
        <f t="shared" si="41"/>
        <v>0.11249999999999999</v>
      </c>
      <c r="I1254" s="902"/>
    </row>
    <row r="1255" spans="1:10">
      <c r="A1255" s="871"/>
      <c r="B1255" s="634" t="s">
        <v>2603</v>
      </c>
      <c r="C1255" s="904">
        <v>1</v>
      </c>
      <c r="D1255" s="918">
        <v>2</v>
      </c>
      <c r="E1255" s="905">
        <v>1.2</v>
      </c>
      <c r="F1255" s="905">
        <v>0.9</v>
      </c>
      <c r="G1255" s="907"/>
      <c r="H1255" s="903">
        <f t="shared" si="41"/>
        <v>2.16</v>
      </c>
      <c r="I1255" s="902"/>
    </row>
    <row r="1256" spans="1:10">
      <c r="A1256" s="871"/>
      <c r="B1256" s="634" t="s">
        <v>2602</v>
      </c>
      <c r="C1256" s="904">
        <v>1</v>
      </c>
      <c r="D1256" s="918">
        <v>2</v>
      </c>
      <c r="E1256" s="905">
        <v>0.75</v>
      </c>
      <c r="F1256" s="905">
        <v>0.1</v>
      </c>
      <c r="G1256" s="907"/>
      <c r="H1256" s="903">
        <f t="shared" si="41"/>
        <v>0.15000000000000002</v>
      </c>
      <c r="I1256" s="902"/>
    </row>
    <row r="1257" spans="1:10">
      <c r="A1257" s="871"/>
      <c r="B1257" s="634" t="s">
        <v>2604</v>
      </c>
      <c r="C1257" s="904">
        <v>1</v>
      </c>
      <c r="D1257" s="918">
        <v>1</v>
      </c>
      <c r="E1257" s="905">
        <v>1.27</v>
      </c>
      <c r="F1257" s="905">
        <v>2.1</v>
      </c>
      <c r="G1257" s="907"/>
      <c r="H1257" s="903">
        <f t="shared" si="41"/>
        <v>2.6670000000000003</v>
      </c>
      <c r="I1257" s="902"/>
    </row>
    <row r="1258" spans="1:10">
      <c r="A1258" s="871"/>
      <c r="B1258" s="634" t="s">
        <v>2602</v>
      </c>
      <c r="C1258" s="904">
        <v>1</v>
      </c>
      <c r="D1258" s="918">
        <v>1</v>
      </c>
      <c r="E1258" s="905">
        <v>0.75</v>
      </c>
      <c r="F1258" s="905">
        <v>0.1</v>
      </c>
      <c r="G1258" s="907"/>
      <c r="H1258" s="903">
        <f t="shared" si="41"/>
        <v>7.5000000000000011E-2</v>
      </c>
      <c r="I1258" s="902"/>
    </row>
    <row r="1259" spans="1:10">
      <c r="A1259" s="871"/>
      <c r="B1259" s="634" t="s">
        <v>2579</v>
      </c>
      <c r="C1259" s="904">
        <v>1</v>
      </c>
      <c r="D1259" s="918">
        <v>1</v>
      </c>
      <c r="E1259" s="905">
        <v>1.2</v>
      </c>
      <c r="F1259" s="905">
        <v>1.5</v>
      </c>
      <c r="G1259" s="907"/>
      <c r="H1259" s="903">
        <f t="shared" si="41"/>
        <v>1.7999999999999998</v>
      </c>
      <c r="I1259" s="902"/>
    </row>
    <row r="1260" spans="1:10">
      <c r="A1260" s="871"/>
      <c r="B1260" s="634" t="s">
        <v>2602</v>
      </c>
      <c r="C1260" s="904">
        <v>1</v>
      </c>
      <c r="D1260" s="918">
        <v>1</v>
      </c>
      <c r="E1260" s="905">
        <v>0.75</v>
      </c>
      <c r="F1260" s="905">
        <v>0.1</v>
      </c>
      <c r="G1260" s="907"/>
      <c r="H1260" s="903">
        <f t="shared" si="41"/>
        <v>7.5000000000000011E-2</v>
      </c>
      <c r="I1260" s="902"/>
    </row>
    <row r="1261" spans="1:10">
      <c r="A1261" s="871"/>
      <c r="B1261" s="634" t="s">
        <v>2605</v>
      </c>
      <c r="C1261" s="904">
        <v>1</v>
      </c>
      <c r="D1261" s="918">
        <v>2</v>
      </c>
      <c r="E1261" s="905">
        <v>2.4</v>
      </c>
      <c r="F1261" s="905">
        <v>1.35</v>
      </c>
      <c r="G1261" s="907"/>
      <c r="H1261" s="903">
        <f t="shared" si="41"/>
        <v>6.48</v>
      </c>
      <c r="I1261" s="902"/>
    </row>
    <row r="1262" spans="1:10">
      <c r="A1262" s="871"/>
      <c r="B1262" s="634" t="s">
        <v>2602</v>
      </c>
      <c r="C1262" s="904">
        <v>1</v>
      </c>
      <c r="D1262" s="918">
        <v>2</v>
      </c>
      <c r="E1262" s="905">
        <v>0.75</v>
      </c>
      <c r="F1262" s="905">
        <v>0.1</v>
      </c>
      <c r="G1262" s="907"/>
      <c r="H1262" s="903">
        <f t="shared" si="41"/>
        <v>0.15000000000000002</v>
      </c>
      <c r="I1262" s="902"/>
    </row>
    <row r="1263" spans="1:10">
      <c r="A1263" s="871"/>
      <c r="B1263" s="634" t="s">
        <v>2606</v>
      </c>
      <c r="C1263" s="904">
        <v>1</v>
      </c>
      <c r="D1263" s="918">
        <v>1</v>
      </c>
      <c r="E1263" s="905">
        <v>1.5</v>
      </c>
      <c r="F1263" s="905">
        <v>1.8</v>
      </c>
      <c r="G1263" s="907"/>
      <c r="H1263" s="903">
        <f t="shared" si="41"/>
        <v>2.7</v>
      </c>
      <c r="I1263" s="902"/>
    </row>
    <row r="1264" spans="1:10">
      <c r="A1264" s="871"/>
      <c r="B1264" s="634" t="s">
        <v>2602</v>
      </c>
      <c r="C1264" s="904">
        <v>1</v>
      </c>
      <c r="D1264" s="918">
        <v>1</v>
      </c>
      <c r="E1264" s="905">
        <v>0.75</v>
      </c>
      <c r="F1264" s="905">
        <v>0.1</v>
      </c>
      <c r="G1264" s="907"/>
      <c r="H1264" s="903">
        <f t="shared" si="41"/>
        <v>7.5000000000000011E-2</v>
      </c>
      <c r="I1264" s="902"/>
    </row>
    <row r="1265" spans="1:9">
      <c r="A1265" s="871"/>
      <c r="B1265" s="891"/>
      <c r="C1265" s="873"/>
      <c r="D1265" s="873"/>
      <c r="E1265" s="874"/>
      <c r="F1265" s="873"/>
      <c r="G1265" s="871" t="s">
        <v>57</v>
      </c>
      <c r="H1265" s="876">
        <f>SUM(H1253:H1264)</f>
        <v>20.044499999999996</v>
      </c>
      <c r="I1265" s="902"/>
    </row>
    <row r="1266" spans="1:9" ht="18">
      <c r="A1266" s="871"/>
      <c r="B1266" s="891"/>
      <c r="C1266" s="873"/>
      <c r="D1266" s="873"/>
      <c r="E1266" s="874"/>
      <c r="F1266" s="873"/>
      <c r="G1266" s="895" t="s">
        <v>206</v>
      </c>
      <c r="H1266" s="896">
        <f>ROUNDUP(H1265,1)</f>
        <v>20.100000000000001</v>
      </c>
      <c r="I1266" s="894" t="s">
        <v>2234</v>
      </c>
    </row>
    <row r="1267" spans="1:9">
      <c r="A1267" s="871"/>
      <c r="B1267" s="891"/>
      <c r="C1267" s="873"/>
      <c r="D1267" s="873"/>
      <c r="E1267" s="874"/>
      <c r="F1267" s="873"/>
      <c r="G1267" s="895"/>
      <c r="H1267" s="896"/>
      <c r="I1267" s="894"/>
    </row>
    <row r="1268" spans="1:9" ht="47.25">
      <c r="A1268" s="871">
        <v>379.5</v>
      </c>
      <c r="B1268" s="933" t="s">
        <v>2607</v>
      </c>
      <c r="C1268" s="909"/>
      <c r="D1268" s="909"/>
      <c r="E1268" s="873"/>
      <c r="F1268" s="873"/>
      <c r="G1268" s="909"/>
      <c r="H1268" s="909"/>
      <c r="I1268" s="902"/>
    </row>
    <row r="1269" spans="1:9">
      <c r="A1269" s="871"/>
      <c r="B1269" s="917" t="s">
        <v>813</v>
      </c>
      <c r="C1269" s="904"/>
      <c r="D1269" s="918"/>
      <c r="E1269" s="905"/>
      <c r="F1269" s="905"/>
      <c r="G1269" s="907"/>
      <c r="H1269" s="930"/>
      <c r="I1269" s="902"/>
    </row>
    <row r="1270" spans="1:9">
      <c r="A1270" s="871"/>
      <c r="B1270" s="634" t="s">
        <v>2608</v>
      </c>
      <c r="C1270" s="904">
        <v>1</v>
      </c>
      <c r="D1270" s="918">
        <v>1</v>
      </c>
      <c r="E1270" s="905">
        <v>4.7</v>
      </c>
      <c r="F1270" s="905">
        <v>3.93</v>
      </c>
      <c r="G1270" s="907"/>
      <c r="H1270" s="903">
        <f t="shared" ref="H1270:H1279" si="42">PRODUCT(C1270:G1270)</f>
        <v>18.471</v>
      </c>
      <c r="I1270" s="902"/>
    </row>
    <row r="1271" spans="1:9">
      <c r="A1271" s="871"/>
      <c r="B1271" s="634" t="s">
        <v>2609</v>
      </c>
      <c r="C1271" s="904">
        <v>1</v>
      </c>
      <c r="D1271" s="918">
        <v>1</v>
      </c>
      <c r="E1271" s="905">
        <v>3.47</v>
      </c>
      <c r="F1271" s="905">
        <v>4.3899999999999997</v>
      </c>
      <c r="G1271" s="907"/>
      <c r="H1271" s="903">
        <f t="shared" si="42"/>
        <v>15.2333</v>
      </c>
      <c r="I1271" s="902"/>
    </row>
    <row r="1272" spans="1:9">
      <c r="A1272" s="871"/>
      <c r="B1272" s="634" t="s">
        <v>2610</v>
      </c>
      <c r="C1272" s="904">
        <v>1</v>
      </c>
      <c r="D1272" s="918">
        <v>1</v>
      </c>
      <c r="E1272" s="905">
        <v>2.4</v>
      </c>
      <c r="F1272" s="905">
        <v>1.62</v>
      </c>
      <c r="G1272" s="907"/>
      <c r="H1272" s="903">
        <f t="shared" si="42"/>
        <v>3.8879999999999999</v>
      </c>
      <c r="I1272" s="902"/>
    </row>
    <row r="1273" spans="1:9">
      <c r="A1273" s="871"/>
      <c r="B1273" s="634" t="s">
        <v>2611</v>
      </c>
      <c r="C1273" s="904">
        <v>1</v>
      </c>
      <c r="D1273" s="918">
        <v>1</v>
      </c>
      <c r="E1273" s="905">
        <v>1.2</v>
      </c>
      <c r="F1273" s="959">
        <v>0.86</v>
      </c>
      <c r="G1273" s="907"/>
      <c r="H1273" s="903">
        <f t="shared" si="42"/>
        <v>1.032</v>
      </c>
      <c r="I1273" s="902"/>
    </row>
    <row r="1274" spans="1:9">
      <c r="A1274" s="871"/>
      <c r="B1274" s="634" t="s">
        <v>2612</v>
      </c>
      <c r="C1274" s="904">
        <v>1</v>
      </c>
      <c r="D1274" s="918">
        <v>1</v>
      </c>
      <c r="E1274" s="905">
        <v>5.12</v>
      </c>
      <c r="F1274" s="959">
        <v>0.23</v>
      </c>
      <c r="G1274" s="907"/>
      <c r="H1274" s="903">
        <f t="shared" si="42"/>
        <v>1.1776</v>
      </c>
      <c r="I1274" s="902"/>
    </row>
    <row r="1275" spans="1:9">
      <c r="A1275" s="871"/>
      <c r="B1275" s="917" t="s">
        <v>817</v>
      </c>
      <c r="C1275" s="904"/>
      <c r="D1275" s="918"/>
      <c r="E1275" s="905"/>
      <c r="F1275" s="959"/>
      <c r="G1275" s="907"/>
      <c r="H1275" s="903"/>
      <c r="I1275" s="902"/>
    </row>
    <row r="1276" spans="1:9">
      <c r="A1276" s="871"/>
      <c r="B1276" s="634" t="s">
        <v>2613</v>
      </c>
      <c r="C1276" s="904">
        <v>1</v>
      </c>
      <c r="D1276" s="918">
        <v>1</v>
      </c>
      <c r="E1276" s="905">
        <v>4.04</v>
      </c>
      <c r="F1276" s="905">
        <v>1.2</v>
      </c>
      <c r="G1276" s="907"/>
      <c r="H1276" s="903">
        <f t="shared" si="42"/>
        <v>4.8479999999999999</v>
      </c>
      <c r="I1276" s="902"/>
    </row>
    <row r="1277" spans="1:9">
      <c r="A1277" s="871"/>
      <c r="B1277" s="634" t="s">
        <v>2614</v>
      </c>
      <c r="C1277" s="904">
        <v>1</v>
      </c>
      <c r="D1277" s="918">
        <v>1</v>
      </c>
      <c r="E1277" s="905">
        <v>5.16</v>
      </c>
      <c r="F1277" s="905">
        <v>1.5</v>
      </c>
      <c r="G1277" s="907"/>
      <c r="H1277" s="903">
        <f t="shared" si="42"/>
        <v>7.74</v>
      </c>
      <c r="I1277" s="902"/>
    </row>
    <row r="1278" spans="1:9">
      <c r="A1278" s="871"/>
      <c r="B1278" s="634" t="s">
        <v>2615</v>
      </c>
      <c r="C1278" s="904">
        <v>1</v>
      </c>
      <c r="D1278" s="918">
        <v>1</v>
      </c>
      <c r="E1278" s="905">
        <v>2.4</v>
      </c>
      <c r="F1278" s="905">
        <v>2.5</v>
      </c>
      <c r="G1278" s="907"/>
      <c r="H1278" s="903">
        <f t="shared" si="42"/>
        <v>6</v>
      </c>
      <c r="I1278" s="902"/>
    </row>
    <row r="1279" spans="1:9">
      <c r="A1279" s="871"/>
      <c r="B1279" s="634" t="s">
        <v>2616</v>
      </c>
      <c r="C1279" s="904">
        <v>1</v>
      </c>
      <c r="D1279" s="918">
        <v>1</v>
      </c>
      <c r="E1279" s="905">
        <v>1.2</v>
      </c>
      <c r="F1279" s="905">
        <v>0.85</v>
      </c>
      <c r="G1279" s="907"/>
      <c r="H1279" s="903">
        <f t="shared" si="42"/>
        <v>1.02</v>
      </c>
      <c r="I1279" s="902"/>
    </row>
    <row r="1280" spans="1:9">
      <c r="A1280" s="871"/>
      <c r="B1280" s="891"/>
      <c r="C1280" s="873"/>
      <c r="D1280" s="873"/>
      <c r="E1280" s="874"/>
      <c r="F1280" s="874"/>
      <c r="G1280" s="871" t="s">
        <v>57</v>
      </c>
      <c r="H1280" s="876">
        <f>SUM(H1269:H1279)</f>
        <v>59.409900000000007</v>
      </c>
      <c r="I1280" s="902"/>
    </row>
    <row r="1281" spans="1:9" ht="18">
      <c r="A1281" s="871"/>
      <c r="B1281" s="891"/>
      <c r="C1281" s="909"/>
      <c r="D1281" s="909"/>
      <c r="E1281" s="873"/>
      <c r="F1281" s="873"/>
      <c r="G1281" s="895" t="s">
        <v>206</v>
      </c>
      <c r="H1281" s="896">
        <f>ROUNDUP(H1280,1)</f>
        <v>59.5</v>
      </c>
      <c r="I1281" s="894" t="s">
        <v>2234</v>
      </c>
    </row>
    <row r="1282" spans="1:9">
      <c r="A1282" s="871"/>
      <c r="B1282" s="891"/>
      <c r="C1282" s="909"/>
      <c r="D1282" s="909"/>
      <c r="E1282" s="873"/>
      <c r="F1282" s="873"/>
      <c r="G1282" s="895"/>
      <c r="H1282" s="896"/>
      <c r="I1282" s="894"/>
    </row>
    <row r="1283" spans="1:9" ht="27" customHeight="1">
      <c r="A1283" s="871">
        <v>361.6</v>
      </c>
      <c r="B1283" s="933" t="s">
        <v>2617</v>
      </c>
      <c r="C1283" s="909"/>
      <c r="D1283" s="909"/>
      <c r="E1283" s="873"/>
      <c r="F1283" s="873"/>
      <c r="G1283" s="909"/>
      <c r="H1283" s="909"/>
      <c r="I1283" s="902"/>
    </row>
    <row r="1284" spans="1:9">
      <c r="A1284" s="871"/>
      <c r="B1284" s="891" t="s">
        <v>2618</v>
      </c>
      <c r="C1284" s="873">
        <v>1</v>
      </c>
      <c r="D1284" s="873">
        <v>1</v>
      </c>
      <c r="E1284" s="888">
        <v>3.8</v>
      </c>
      <c r="F1284" s="888">
        <v>3.93</v>
      </c>
      <c r="G1284" s="871"/>
      <c r="H1284" s="876">
        <f t="shared" ref="H1284:H1296" si="43">PRODUCT(C1284:G1284)</f>
        <v>14.933999999999999</v>
      </c>
      <c r="I1284" s="902"/>
    </row>
    <row r="1285" spans="1:9">
      <c r="A1285" s="871"/>
      <c r="B1285" s="891" t="s">
        <v>2078</v>
      </c>
      <c r="C1285" s="873">
        <v>1</v>
      </c>
      <c r="D1285" s="873">
        <v>1</v>
      </c>
      <c r="E1285" s="888">
        <v>2.52</v>
      </c>
      <c r="F1285" s="888">
        <v>3.93</v>
      </c>
      <c r="G1285" s="871"/>
      <c r="H1285" s="876">
        <f t="shared" si="43"/>
        <v>9.9036000000000008</v>
      </c>
      <c r="I1285" s="902"/>
    </row>
    <row r="1286" spans="1:9">
      <c r="A1286" s="871"/>
      <c r="B1286" s="891" t="s">
        <v>2376</v>
      </c>
      <c r="C1286" s="873">
        <v>1</v>
      </c>
      <c r="D1286" s="873">
        <v>1</v>
      </c>
      <c r="E1286" s="888">
        <v>2.4</v>
      </c>
      <c r="F1286" s="874">
        <v>1.4</v>
      </c>
      <c r="G1286" s="871"/>
      <c r="H1286" s="876">
        <f t="shared" si="43"/>
        <v>3.36</v>
      </c>
      <c r="I1286" s="902"/>
    </row>
    <row r="1287" spans="1:9">
      <c r="A1287" s="871"/>
      <c r="B1287" s="891" t="s">
        <v>2619</v>
      </c>
      <c r="C1287" s="873">
        <v>1</v>
      </c>
      <c r="D1287" s="873">
        <v>3</v>
      </c>
      <c r="E1287" s="888">
        <v>1</v>
      </c>
      <c r="F1287" s="888">
        <v>0.23</v>
      </c>
      <c r="G1287" s="871"/>
      <c r="H1287" s="876">
        <f t="shared" si="43"/>
        <v>0.69000000000000006</v>
      </c>
      <c r="I1287" s="902"/>
    </row>
    <row r="1288" spans="1:9">
      <c r="A1288" s="871"/>
      <c r="B1288" s="891" t="s">
        <v>2620</v>
      </c>
      <c r="C1288" s="873">
        <v>1</v>
      </c>
      <c r="D1288" s="873">
        <v>1</v>
      </c>
      <c r="E1288" s="888">
        <v>4.7</v>
      </c>
      <c r="F1288" s="874">
        <v>3.9249999999999998</v>
      </c>
      <c r="G1288" s="871"/>
      <c r="H1288" s="876">
        <f t="shared" si="43"/>
        <v>18.447500000000002</v>
      </c>
      <c r="I1288" s="902"/>
    </row>
    <row r="1289" spans="1:9">
      <c r="A1289" s="871"/>
      <c r="B1289" s="891" t="s">
        <v>2380</v>
      </c>
      <c r="C1289" s="873">
        <v>1</v>
      </c>
      <c r="D1289" s="873">
        <v>1</v>
      </c>
      <c r="E1289" s="888">
        <f>2.4+0.23</f>
        <v>2.63</v>
      </c>
      <c r="F1289" s="874">
        <v>0.995</v>
      </c>
      <c r="G1289" s="871"/>
      <c r="H1289" s="876">
        <f t="shared" si="43"/>
        <v>2.6168499999999999</v>
      </c>
      <c r="I1289" s="902"/>
    </row>
    <row r="1290" spans="1:9">
      <c r="A1290" s="871"/>
      <c r="B1290" s="891" t="s">
        <v>2621</v>
      </c>
      <c r="C1290" s="873">
        <v>1</v>
      </c>
      <c r="D1290" s="873">
        <v>1</v>
      </c>
      <c r="E1290" s="888">
        <v>2.4</v>
      </c>
      <c r="F1290" s="874">
        <v>4.3849999999999998</v>
      </c>
      <c r="G1290" s="871"/>
      <c r="H1290" s="876">
        <f t="shared" si="43"/>
        <v>10.523999999999999</v>
      </c>
      <c r="I1290" s="902"/>
    </row>
    <row r="1291" spans="1:9">
      <c r="A1291" s="871"/>
      <c r="B1291" s="891" t="s">
        <v>2151</v>
      </c>
      <c r="C1291" s="873">
        <v>1</v>
      </c>
      <c r="D1291" s="873">
        <v>1</v>
      </c>
      <c r="E1291" s="888">
        <v>4.49</v>
      </c>
      <c r="F1291" s="874">
        <v>2.77</v>
      </c>
      <c r="G1291" s="871"/>
      <c r="H1291" s="876">
        <f t="shared" si="43"/>
        <v>12.4373</v>
      </c>
      <c r="I1291" s="902"/>
    </row>
    <row r="1292" spans="1:9">
      <c r="A1292" s="871"/>
      <c r="B1292" s="891" t="s">
        <v>2380</v>
      </c>
      <c r="C1292" s="873">
        <v>1</v>
      </c>
      <c r="D1292" s="873">
        <v>1</v>
      </c>
      <c r="E1292" s="888">
        <f>0.115+1.5</f>
        <v>1.615</v>
      </c>
      <c r="F1292" s="874">
        <f>2.77-1.8-0.115</f>
        <v>0.85499999999999998</v>
      </c>
      <c r="G1292" s="871"/>
      <c r="H1292" s="876">
        <f t="shared" si="43"/>
        <v>1.380825</v>
      </c>
      <c r="I1292" s="902"/>
    </row>
    <row r="1293" spans="1:9">
      <c r="A1293" s="871"/>
      <c r="B1293" s="891" t="s">
        <v>2381</v>
      </c>
      <c r="C1293" s="873">
        <v>1</v>
      </c>
      <c r="D1293" s="873">
        <v>1</v>
      </c>
      <c r="E1293" s="888">
        <v>2.4</v>
      </c>
      <c r="F1293" s="874">
        <v>2.4</v>
      </c>
      <c r="G1293" s="871"/>
      <c r="H1293" s="876">
        <f t="shared" si="43"/>
        <v>5.76</v>
      </c>
      <c r="I1293" s="902"/>
    </row>
    <row r="1294" spans="1:9">
      <c r="A1294" s="871"/>
      <c r="B1294" s="891" t="s">
        <v>2261</v>
      </c>
      <c r="C1294" s="873">
        <v>1</v>
      </c>
      <c r="D1294" s="873">
        <v>1</v>
      </c>
      <c r="E1294" s="888">
        <v>2.4</v>
      </c>
      <c r="F1294" s="874">
        <v>1.5249999999999999</v>
      </c>
      <c r="G1294" s="871"/>
      <c r="H1294" s="876">
        <f t="shared" si="43"/>
        <v>3.6599999999999997</v>
      </c>
      <c r="I1294" s="902"/>
    </row>
    <row r="1295" spans="1:9">
      <c r="A1295" s="871"/>
      <c r="B1295" s="891" t="s">
        <v>485</v>
      </c>
      <c r="C1295" s="873">
        <v>1</v>
      </c>
      <c r="D1295" s="873">
        <v>1</v>
      </c>
      <c r="E1295" s="888">
        <v>3.89</v>
      </c>
      <c r="F1295" s="874">
        <v>1.5</v>
      </c>
      <c r="G1295" s="871"/>
      <c r="H1295" s="876">
        <f t="shared" si="43"/>
        <v>5.835</v>
      </c>
      <c r="I1295" s="902"/>
    </row>
    <row r="1296" spans="1:9">
      <c r="A1296" s="871"/>
      <c r="B1296" s="909" t="s">
        <v>2622</v>
      </c>
      <c r="C1296" s="873">
        <v>1</v>
      </c>
      <c r="D1296" s="873">
        <v>7</v>
      </c>
      <c r="E1296" s="888">
        <v>1</v>
      </c>
      <c r="F1296" s="888">
        <v>0.23</v>
      </c>
      <c r="G1296" s="871"/>
      <c r="H1296" s="876">
        <f t="shared" si="43"/>
        <v>1.61</v>
      </c>
      <c r="I1296" s="902"/>
    </row>
    <row r="1297" spans="1:9">
      <c r="A1297" s="871"/>
      <c r="B1297" s="891"/>
      <c r="C1297" s="873"/>
      <c r="D1297" s="873"/>
      <c r="E1297" s="874"/>
      <c r="F1297" s="874"/>
      <c r="G1297" s="871" t="s">
        <v>57</v>
      </c>
      <c r="H1297" s="876">
        <f>SUM(H1284:H1296)</f>
        <v>91.159075000000001</v>
      </c>
      <c r="I1297" s="902"/>
    </row>
    <row r="1298" spans="1:9" ht="18">
      <c r="A1298" s="871"/>
      <c r="B1298" s="891"/>
      <c r="C1298" s="909"/>
      <c r="D1298" s="909"/>
      <c r="E1298" s="873"/>
      <c r="F1298" s="873"/>
      <c r="G1298" s="895" t="s">
        <v>206</v>
      </c>
      <c r="H1298" s="896">
        <f>ROUNDUP(H1297,1)</f>
        <v>91.199999999999989</v>
      </c>
      <c r="I1298" s="894" t="s">
        <v>2234</v>
      </c>
    </row>
    <row r="1299" spans="1:9">
      <c r="A1299" s="871"/>
      <c r="B1299" s="891"/>
      <c r="C1299" s="909"/>
      <c r="D1299" s="909"/>
      <c r="E1299" s="873"/>
      <c r="F1299" s="873"/>
      <c r="G1299" s="895"/>
      <c r="H1299" s="896"/>
      <c r="I1299" s="894"/>
    </row>
    <row r="1300" spans="1:9" ht="31.5">
      <c r="A1300" s="871">
        <v>38.6</v>
      </c>
      <c r="B1300" s="891" t="s">
        <v>160</v>
      </c>
      <c r="C1300" s="873"/>
      <c r="D1300" s="873"/>
      <c r="E1300" s="874"/>
      <c r="F1300" s="873"/>
      <c r="G1300" s="875"/>
      <c r="H1300" s="876"/>
      <c r="I1300" s="877"/>
    </row>
    <row r="1301" spans="1:9">
      <c r="A1301" s="871"/>
      <c r="B1301" s="878" t="s">
        <v>2333</v>
      </c>
      <c r="C1301" s="873"/>
      <c r="D1301" s="873"/>
      <c r="E1301" s="888"/>
      <c r="F1301" s="873"/>
      <c r="G1301" s="876"/>
      <c r="H1301" s="876"/>
      <c r="I1301" s="902"/>
    </row>
    <row r="1302" spans="1:9">
      <c r="A1302" s="871"/>
      <c r="B1302" s="891" t="s">
        <v>2334</v>
      </c>
      <c r="C1302" s="873">
        <v>1</v>
      </c>
      <c r="D1302" s="873">
        <v>1</v>
      </c>
      <c r="E1302" s="888">
        <f>2*(2.515+3.925)</f>
        <v>12.879999999999999</v>
      </c>
      <c r="F1302" s="873"/>
      <c r="G1302" s="876">
        <f>3.3-0.125</f>
        <v>3.1749999999999998</v>
      </c>
      <c r="H1302" s="876">
        <f>PRODUCT(C1302:G1302)</f>
        <v>40.893999999999991</v>
      </c>
      <c r="I1302" s="902"/>
    </row>
    <row r="1303" spans="1:9">
      <c r="A1303" s="871"/>
      <c r="B1303" s="891" t="s">
        <v>2189</v>
      </c>
      <c r="C1303" s="873">
        <v>-1</v>
      </c>
      <c r="D1303" s="873">
        <v>1</v>
      </c>
      <c r="E1303" s="888">
        <v>1</v>
      </c>
      <c r="F1303" s="873"/>
      <c r="G1303" s="876">
        <v>2.1</v>
      </c>
      <c r="H1303" s="876">
        <f t="shared" ref="H1303:H1323" si="44">PRODUCT(C1303:G1303)</f>
        <v>-2.1</v>
      </c>
      <c r="I1303" s="902"/>
    </row>
    <row r="1304" spans="1:9">
      <c r="A1304" s="871"/>
      <c r="B1304" s="891" t="s">
        <v>2181</v>
      </c>
      <c r="C1304" s="873">
        <v>-1</v>
      </c>
      <c r="D1304" s="873">
        <v>2</v>
      </c>
      <c r="E1304" s="888">
        <v>1.5</v>
      </c>
      <c r="F1304" s="873"/>
      <c r="G1304" s="876">
        <v>1.35</v>
      </c>
      <c r="H1304" s="876">
        <f t="shared" si="44"/>
        <v>-4.0500000000000007</v>
      </c>
      <c r="I1304" s="902"/>
    </row>
    <row r="1305" spans="1:9">
      <c r="A1305" s="871"/>
      <c r="B1305" s="891" t="s">
        <v>2335</v>
      </c>
      <c r="C1305" s="873">
        <v>1</v>
      </c>
      <c r="D1305" s="873">
        <v>2</v>
      </c>
      <c r="E1305" s="888">
        <f>2*(E1304+G1304)</f>
        <v>5.7</v>
      </c>
      <c r="F1305" s="873">
        <v>0.15</v>
      </c>
      <c r="G1305" s="876"/>
      <c r="H1305" s="876">
        <f t="shared" si="44"/>
        <v>1.71</v>
      </c>
      <c r="I1305" s="902"/>
    </row>
    <row r="1306" spans="1:9">
      <c r="A1306" s="871"/>
      <c r="B1306" s="891" t="s">
        <v>2336</v>
      </c>
      <c r="C1306" s="873">
        <v>3</v>
      </c>
      <c r="D1306" s="873">
        <v>2</v>
      </c>
      <c r="E1306" s="888">
        <v>0.45</v>
      </c>
      <c r="F1306" s="873"/>
      <c r="G1306" s="876">
        <v>2.1</v>
      </c>
      <c r="H1306" s="876">
        <f t="shared" si="44"/>
        <v>5.6700000000000008</v>
      </c>
      <c r="I1306" s="902"/>
    </row>
    <row r="1307" spans="1:9">
      <c r="A1307" s="871"/>
      <c r="B1307" s="891" t="s">
        <v>2337</v>
      </c>
      <c r="C1307" s="873">
        <v>1</v>
      </c>
      <c r="D1307" s="873">
        <v>1</v>
      </c>
      <c r="E1307" s="888">
        <f>2*(4.7+3.925)</f>
        <v>17.25</v>
      </c>
      <c r="F1307" s="873"/>
      <c r="G1307" s="876">
        <v>3.18</v>
      </c>
      <c r="H1307" s="876">
        <f t="shared" si="44"/>
        <v>54.855000000000004</v>
      </c>
      <c r="I1307" s="902"/>
    </row>
    <row r="1308" spans="1:9">
      <c r="A1308" s="871"/>
      <c r="B1308" s="891" t="s">
        <v>2338</v>
      </c>
      <c r="C1308" s="873">
        <v>-1</v>
      </c>
      <c r="D1308" s="873">
        <v>1</v>
      </c>
      <c r="E1308" s="888">
        <v>1.8</v>
      </c>
      <c r="F1308" s="873"/>
      <c r="G1308" s="876">
        <v>2.1</v>
      </c>
      <c r="H1308" s="876">
        <f t="shared" si="44"/>
        <v>-3.7800000000000002</v>
      </c>
      <c r="I1308" s="902"/>
    </row>
    <row r="1309" spans="1:9">
      <c r="A1309" s="871"/>
      <c r="B1309" s="891" t="s">
        <v>2335</v>
      </c>
      <c r="C1309" s="873">
        <v>1</v>
      </c>
      <c r="D1309" s="873">
        <v>1</v>
      </c>
      <c r="E1309" s="888">
        <f>1.8+2.1+2.1</f>
        <v>6</v>
      </c>
      <c r="F1309" s="873">
        <v>0.15</v>
      </c>
      <c r="G1309" s="876"/>
      <c r="H1309" s="876">
        <f t="shared" si="44"/>
        <v>0.89999999999999991</v>
      </c>
      <c r="I1309" s="902"/>
    </row>
    <row r="1310" spans="1:9">
      <c r="A1310" s="871"/>
      <c r="B1310" s="891" t="s">
        <v>2339</v>
      </c>
      <c r="C1310" s="873">
        <v>-1</v>
      </c>
      <c r="D1310" s="873">
        <v>1</v>
      </c>
      <c r="E1310" s="888">
        <v>1.2</v>
      </c>
      <c r="F1310" s="873"/>
      <c r="G1310" s="876">
        <v>2</v>
      </c>
      <c r="H1310" s="876">
        <f t="shared" si="44"/>
        <v>-2.4</v>
      </c>
      <c r="I1310" s="902"/>
    </row>
    <row r="1311" spans="1:9">
      <c r="A1311" s="871"/>
      <c r="B1311" s="891" t="s">
        <v>2335</v>
      </c>
      <c r="C1311" s="873">
        <v>1</v>
      </c>
      <c r="D1311" s="873">
        <v>1</v>
      </c>
      <c r="E1311" s="888">
        <f>1.2+1.2+2+2</f>
        <v>6.4</v>
      </c>
      <c r="F1311" s="873">
        <v>0.15</v>
      </c>
      <c r="G1311" s="876"/>
      <c r="H1311" s="876">
        <f t="shared" si="44"/>
        <v>0.96</v>
      </c>
      <c r="I1311" s="902"/>
    </row>
    <row r="1312" spans="1:9">
      <c r="A1312" s="871"/>
      <c r="B1312" s="891" t="s">
        <v>2189</v>
      </c>
      <c r="C1312" s="873">
        <v>-1</v>
      </c>
      <c r="D1312" s="873">
        <v>2</v>
      </c>
      <c r="E1312" s="888">
        <v>1</v>
      </c>
      <c r="F1312" s="873"/>
      <c r="G1312" s="876">
        <v>2.1</v>
      </c>
      <c r="H1312" s="876">
        <f t="shared" si="44"/>
        <v>-4.2</v>
      </c>
      <c r="I1312" s="902"/>
    </row>
    <row r="1313" spans="1:9">
      <c r="A1313" s="871"/>
      <c r="B1313" s="891" t="s">
        <v>2191</v>
      </c>
      <c r="C1313" s="873">
        <v>-1</v>
      </c>
      <c r="D1313" s="873">
        <v>1</v>
      </c>
      <c r="E1313" s="888">
        <v>3.5</v>
      </c>
      <c r="F1313" s="873"/>
      <c r="G1313" s="876">
        <v>2.1</v>
      </c>
      <c r="H1313" s="876">
        <f t="shared" si="44"/>
        <v>-7.3500000000000005</v>
      </c>
      <c r="I1313" s="902"/>
    </row>
    <row r="1314" spans="1:9">
      <c r="A1314" s="871"/>
      <c r="B1314" s="891" t="s">
        <v>2335</v>
      </c>
      <c r="C1314" s="873">
        <v>1</v>
      </c>
      <c r="D1314" s="873">
        <v>1</v>
      </c>
      <c r="E1314" s="888">
        <f>3.5+2.1+2.1</f>
        <v>7.6999999999999993</v>
      </c>
      <c r="F1314" s="873">
        <v>0.25</v>
      </c>
      <c r="G1314" s="876"/>
      <c r="H1314" s="876">
        <f t="shared" si="44"/>
        <v>1.9249999999999998</v>
      </c>
      <c r="I1314" s="902"/>
    </row>
    <row r="1315" spans="1:9">
      <c r="A1315" s="871"/>
      <c r="B1315" s="891" t="s">
        <v>2340</v>
      </c>
      <c r="C1315" s="873">
        <v>1</v>
      </c>
      <c r="D1315" s="873">
        <v>1</v>
      </c>
      <c r="E1315" s="888">
        <f>2*(3.8+3.925)</f>
        <v>15.45</v>
      </c>
      <c r="F1315" s="873"/>
      <c r="G1315" s="876">
        <v>3.18</v>
      </c>
      <c r="H1315" s="876">
        <f t="shared" si="44"/>
        <v>49.131</v>
      </c>
      <c r="I1315" s="902"/>
    </row>
    <row r="1316" spans="1:9">
      <c r="A1316" s="871"/>
      <c r="B1316" s="891" t="s">
        <v>2189</v>
      </c>
      <c r="C1316" s="873">
        <v>-1</v>
      </c>
      <c r="D1316" s="873">
        <v>1</v>
      </c>
      <c r="E1316" s="888">
        <v>1</v>
      </c>
      <c r="F1316" s="873"/>
      <c r="G1316" s="876">
        <v>2.1</v>
      </c>
      <c r="H1316" s="876">
        <f t="shared" si="44"/>
        <v>-2.1</v>
      </c>
      <c r="I1316" s="902"/>
    </row>
    <row r="1317" spans="1:9">
      <c r="A1317" s="871"/>
      <c r="B1317" s="891" t="s">
        <v>2335</v>
      </c>
      <c r="C1317" s="873">
        <v>1</v>
      </c>
      <c r="D1317" s="873">
        <v>1</v>
      </c>
      <c r="E1317" s="888">
        <f>1+2.1+2.1</f>
        <v>5.2</v>
      </c>
      <c r="F1317" s="873">
        <v>0.15</v>
      </c>
      <c r="G1317" s="876"/>
      <c r="H1317" s="876">
        <f t="shared" si="44"/>
        <v>0.78</v>
      </c>
      <c r="I1317" s="902"/>
    </row>
    <row r="1318" spans="1:9">
      <c r="A1318" s="871"/>
      <c r="B1318" s="891" t="s">
        <v>2183</v>
      </c>
      <c r="C1318" s="873">
        <v>-1</v>
      </c>
      <c r="D1318" s="873">
        <v>2</v>
      </c>
      <c r="E1318" s="888">
        <v>1.5</v>
      </c>
      <c r="F1318" s="873"/>
      <c r="G1318" s="876">
        <v>1.35</v>
      </c>
      <c r="H1318" s="876">
        <f t="shared" si="44"/>
        <v>-4.0500000000000007</v>
      </c>
      <c r="I1318" s="902"/>
    </row>
    <row r="1319" spans="1:9">
      <c r="A1319" s="871"/>
      <c r="B1319" s="891" t="s">
        <v>2335</v>
      </c>
      <c r="C1319" s="873">
        <v>1</v>
      </c>
      <c r="D1319" s="873">
        <v>2</v>
      </c>
      <c r="E1319" s="888">
        <f>1.5+1.5+1.35+1.35</f>
        <v>5.6999999999999993</v>
      </c>
      <c r="F1319" s="873">
        <v>0.15</v>
      </c>
      <c r="G1319" s="876"/>
      <c r="H1319" s="876">
        <f t="shared" si="44"/>
        <v>1.7099999999999997</v>
      </c>
      <c r="I1319" s="902"/>
    </row>
    <row r="1320" spans="1:9">
      <c r="A1320" s="871"/>
      <c r="B1320" s="891" t="s">
        <v>2341</v>
      </c>
      <c r="C1320" s="873">
        <v>-1</v>
      </c>
      <c r="D1320" s="873">
        <v>1</v>
      </c>
      <c r="E1320" s="888">
        <v>0.75</v>
      </c>
      <c r="F1320" s="873"/>
      <c r="G1320" s="876">
        <v>2.1</v>
      </c>
      <c r="H1320" s="876">
        <f t="shared" si="44"/>
        <v>-1.5750000000000002</v>
      </c>
      <c r="I1320" s="902"/>
    </row>
    <row r="1321" spans="1:9">
      <c r="A1321" s="871"/>
      <c r="B1321" s="891" t="s">
        <v>2335</v>
      </c>
      <c r="C1321" s="873">
        <v>1</v>
      </c>
      <c r="D1321" s="873">
        <v>1</v>
      </c>
      <c r="E1321" s="888">
        <f>2.1+2.1+0.75</f>
        <v>4.95</v>
      </c>
      <c r="F1321" s="873">
        <v>0.115</v>
      </c>
      <c r="G1321" s="876"/>
      <c r="H1321" s="876">
        <f t="shared" si="44"/>
        <v>0.56925000000000003</v>
      </c>
      <c r="I1321" s="902"/>
    </row>
    <row r="1322" spans="1:9">
      <c r="A1322" s="871"/>
      <c r="B1322" s="891" t="s">
        <v>2336</v>
      </c>
      <c r="C1322" s="873">
        <v>3</v>
      </c>
      <c r="D1322" s="873">
        <v>2</v>
      </c>
      <c r="E1322" s="888">
        <v>0.45</v>
      </c>
      <c r="F1322" s="873"/>
      <c r="G1322" s="876">
        <v>2.1</v>
      </c>
      <c r="H1322" s="876">
        <f t="shared" si="44"/>
        <v>5.6700000000000008</v>
      </c>
      <c r="I1322" s="902"/>
    </row>
    <row r="1323" spans="1:9">
      <c r="A1323" s="871"/>
      <c r="B1323" s="891" t="s">
        <v>2342</v>
      </c>
      <c r="C1323" s="873">
        <v>1</v>
      </c>
      <c r="D1323" s="873">
        <v>2</v>
      </c>
      <c r="E1323" s="888">
        <f>2*(2.4+1.5)</f>
        <v>7.8</v>
      </c>
      <c r="F1323" s="873"/>
      <c r="G1323" s="876">
        <v>3.18</v>
      </c>
      <c r="H1323" s="876">
        <f t="shared" si="44"/>
        <v>49.608000000000004</v>
      </c>
      <c r="I1323" s="902"/>
    </row>
    <row r="1324" spans="1:9">
      <c r="A1324" s="871"/>
      <c r="B1324" s="891" t="s">
        <v>2189</v>
      </c>
      <c r="C1324" s="873">
        <v>-1</v>
      </c>
      <c r="D1324" s="873">
        <v>1</v>
      </c>
      <c r="E1324" s="888">
        <v>1</v>
      </c>
      <c r="F1324" s="873"/>
      <c r="G1324" s="876">
        <v>2.1</v>
      </c>
      <c r="H1324" s="876">
        <f>PRODUCT(C1324:G1324)</f>
        <v>-2.1</v>
      </c>
      <c r="I1324" s="902"/>
    </row>
    <row r="1325" spans="1:9">
      <c r="A1325" s="871"/>
      <c r="B1325" s="891" t="s">
        <v>2335</v>
      </c>
      <c r="C1325" s="873">
        <v>1</v>
      </c>
      <c r="D1325" s="873">
        <v>1</v>
      </c>
      <c r="E1325" s="888">
        <f>1+2.1+2.1</f>
        <v>5.2</v>
      </c>
      <c r="F1325" s="873">
        <v>0.15</v>
      </c>
      <c r="G1325" s="876"/>
      <c r="H1325" s="876">
        <f t="shared" ref="H1325:H1388" si="45">PRODUCT(C1325:G1325)</f>
        <v>0.78</v>
      </c>
      <c r="I1325" s="902"/>
    </row>
    <row r="1326" spans="1:9">
      <c r="A1326" s="871"/>
      <c r="B1326" s="891" t="s">
        <v>2341</v>
      </c>
      <c r="C1326" s="873">
        <v>-1</v>
      </c>
      <c r="D1326" s="873">
        <v>1</v>
      </c>
      <c r="E1326" s="888">
        <v>0.75</v>
      </c>
      <c r="F1326" s="873"/>
      <c r="G1326" s="876">
        <v>2.1</v>
      </c>
      <c r="H1326" s="876">
        <f t="shared" si="45"/>
        <v>-1.5750000000000002</v>
      </c>
      <c r="I1326" s="902"/>
    </row>
    <row r="1327" spans="1:9">
      <c r="A1327" s="871"/>
      <c r="B1327" s="891" t="s">
        <v>2185</v>
      </c>
      <c r="C1327" s="873">
        <v>-1</v>
      </c>
      <c r="D1327" s="873">
        <v>1</v>
      </c>
      <c r="E1327" s="888">
        <v>0.75</v>
      </c>
      <c r="F1327" s="873"/>
      <c r="G1327" s="876">
        <v>0.6</v>
      </c>
      <c r="H1327" s="876">
        <f t="shared" si="45"/>
        <v>-0.44999999999999996</v>
      </c>
      <c r="I1327" s="902"/>
    </row>
    <row r="1328" spans="1:9">
      <c r="A1328" s="871"/>
      <c r="B1328" s="891" t="s">
        <v>2335</v>
      </c>
      <c r="C1328" s="873">
        <v>1</v>
      </c>
      <c r="D1328" s="873">
        <v>1</v>
      </c>
      <c r="E1328" s="888">
        <f>2*(0.75+0.6)</f>
        <v>2.7</v>
      </c>
      <c r="F1328" s="873">
        <v>0.15</v>
      </c>
      <c r="G1328" s="876"/>
      <c r="H1328" s="876">
        <f t="shared" si="45"/>
        <v>0.40500000000000003</v>
      </c>
      <c r="I1328" s="902"/>
    </row>
    <row r="1329" spans="1:9">
      <c r="A1329" s="871"/>
      <c r="B1329" s="891" t="s">
        <v>2343</v>
      </c>
      <c r="C1329" s="873">
        <v>1</v>
      </c>
      <c r="D1329" s="873">
        <v>2</v>
      </c>
      <c r="E1329" s="888">
        <f>2*(2.4+2.77)</f>
        <v>10.34</v>
      </c>
      <c r="F1329" s="873"/>
      <c r="G1329" s="876">
        <v>3.18</v>
      </c>
      <c r="H1329" s="876">
        <f t="shared" si="45"/>
        <v>65.7624</v>
      </c>
      <c r="I1329" s="902"/>
    </row>
    <row r="1330" spans="1:9">
      <c r="A1330" s="871"/>
      <c r="B1330" s="891" t="s">
        <v>2194</v>
      </c>
      <c r="C1330" s="873">
        <v>-1</v>
      </c>
      <c r="D1330" s="873">
        <v>2</v>
      </c>
      <c r="E1330" s="888">
        <v>1</v>
      </c>
      <c r="F1330" s="873"/>
      <c r="G1330" s="876">
        <v>2.1</v>
      </c>
      <c r="H1330" s="876">
        <f t="shared" si="45"/>
        <v>-4.2</v>
      </c>
      <c r="I1330" s="902"/>
    </row>
    <row r="1331" spans="1:9">
      <c r="A1331" s="871"/>
      <c r="B1331" s="891" t="s">
        <v>2335</v>
      </c>
      <c r="C1331" s="873">
        <v>1</v>
      </c>
      <c r="D1331" s="873">
        <v>2</v>
      </c>
      <c r="E1331" s="888">
        <f>1+2.1+2.1</f>
        <v>5.2</v>
      </c>
      <c r="F1331" s="873">
        <v>0.23</v>
      </c>
      <c r="G1331" s="876"/>
      <c r="H1331" s="876">
        <f t="shared" si="45"/>
        <v>2.3920000000000003</v>
      </c>
      <c r="I1331" s="902"/>
    </row>
    <row r="1332" spans="1:9">
      <c r="A1332" s="871"/>
      <c r="B1332" s="891" t="s">
        <v>2184</v>
      </c>
      <c r="C1332" s="873">
        <v>-1</v>
      </c>
      <c r="D1332" s="873">
        <v>2</v>
      </c>
      <c r="E1332" s="888">
        <v>1.35</v>
      </c>
      <c r="F1332" s="873"/>
      <c r="G1332" s="876">
        <v>0.6</v>
      </c>
      <c r="H1332" s="876">
        <f t="shared" si="45"/>
        <v>-1.62</v>
      </c>
      <c r="I1332" s="902"/>
    </row>
    <row r="1333" spans="1:9">
      <c r="A1333" s="871"/>
      <c r="B1333" s="891" t="s">
        <v>2335</v>
      </c>
      <c r="C1333" s="873">
        <v>1</v>
      </c>
      <c r="D1333" s="873">
        <v>2</v>
      </c>
      <c r="E1333" s="888">
        <f>1.35+1.35+0.6+0.6</f>
        <v>3.9000000000000004</v>
      </c>
      <c r="F1333" s="873">
        <v>0.23</v>
      </c>
      <c r="G1333" s="876"/>
      <c r="H1333" s="876">
        <f t="shared" si="45"/>
        <v>1.7940000000000003</v>
      </c>
      <c r="I1333" s="902"/>
    </row>
    <row r="1334" spans="1:9">
      <c r="A1334" s="871"/>
      <c r="B1334" s="891" t="s">
        <v>2344</v>
      </c>
      <c r="C1334" s="873">
        <v>2</v>
      </c>
      <c r="D1334" s="873">
        <v>2</v>
      </c>
      <c r="E1334" s="888">
        <f>1.2+0.9+0.23</f>
        <v>2.33</v>
      </c>
      <c r="F1334" s="873"/>
      <c r="G1334" s="876">
        <v>1.35</v>
      </c>
      <c r="H1334" s="876">
        <f t="shared" si="45"/>
        <v>12.582000000000001</v>
      </c>
      <c r="I1334" s="902"/>
    </row>
    <row r="1335" spans="1:9">
      <c r="A1335" s="871"/>
      <c r="B1335" s="891" t="s">
        <v>2187</v>
      </c>
      <c r="C1335" s="873">
        <v>-1</v>
      </c>
      <c r="D1335" s="873">
        <v>2</v>
      </c>
      <c r="E1335" s="888">
        <v>0.75</v>
      </c>
      <c r="F1335" s="873"/>
      <c r="G1335" s="876">
        <v>1.35</v>
      </c>
      <c r="H1335" s="876">
        <f t="shared" si="45"/>
        <v>-2.0250000000000004</v>
      </c>
      <c r="I1335" s="902"/>
    </row>
    <row r="1336" spans="1:9">
      <c r="A1336" s="871"/>
      <c r="B1336" s="891" t="s">
        <v>2335</v>
      </c>
      <c r="C1336" s="873">
        <v>2</v>
      </c>
      <c r="D1336" s="873">
        <v>2</v>
      </c>
      <c r="E1336" s="888">
        <v>0.75</v>
      </c>
      <c r="F1336" s="873">
        <v>0.115</v>
      </c>
      <c r="G1336" s="876"/>
      <c r="H1336" s="876">
        <f t="shared" si="45"/>
        <v>0.34500000000000003</v>
      </c>
      <c r="I1336" s="902"/>
    </row>
    <row r="1337" spans="1:9">
      <c r="A1337" s="871"/>
      <c r="B1337" s="891" t="s">
        <v>2345</v>
      </c>
      <c r="C1337" s="873">
        <v>1</v>
      </c>
      <c r="D1337" s="873">
        <v>1</v>
      </c>
      <c r="E1337" s="888">
        <f>2*(4.385+3.47+0.23+2.4+4.385-1.5)</f>
        <v>26.740000000000002</v>
      </c>
      <c r="F1337" s="873"/>
      <c r="G1337" s="876">
        <v>3.18</v>
      </c>
      <c r="H1337" s="876">
        <f t="shared" si="45"/>
        <v>85.033200000000008</v>
      </c>
      <c r="I1337" s="902"/>
    </row>
    <row r="1338" spans="1:9">
      <c r="A1338" s="871"/>
      <c r="B1338" s="891" t="s">
        <v>2191</v>
      </c>
      <c r="C1338" s="873">
        <v>-1</v>
      </c>
      <c r="D1338" s="873">
        <v>1</v>
      </c>
      <c r="E1338" s="888">
        <v>3.5</v>
      </c>
      <c r="F1338" s="873"/>
      <c r="G1338" s="876">
        <v>2.1</v>
      </c>
      <c r="H1338" s="876">
        <f t="shared" si="45"/>
        <v>-7.3500000000000005</v>
      </c>
      <c r="I1338" s="902"/>
    </row>
    <row r="1339" spans="1:9">
      <c r="A1339" s="871"/>
      <c r="B1339" s="891" t="s">
        <v>2189</v>
      </c>
      <c r="C1339" s="873">
        <v>-1</v>
      </c>
      <c r="D1339" s="873">
        <v>1</v>
      </c>
      <c r="E1339" s="888">
        <v>1</v>
      </c>
      <c r="F1339" s="873"/>
      <c r="G1339" s="876">
        <v>2.1</v>
      </c>
      <c r="H1339" s="876">
        <f t="shared" si="45"/>
        <v>-2.1</v>
      </c>
      <c r="I1339" s="902"/>
    </row>
    <row r="1340" spans="1:9">
      <c r="A1340" s="871"/>
      <c r="B1340" s="891" t="s">
        <v>2194</v>
      </c>
      <c r="C1340" s="873">
        <v>-1</v>
      </c>
      <c r="D1340" s="873">
        <v>2</v>
      </c>
      <c r="E1340" s="888">
        <v>1</v>
      </c>
      <c r="F1340" s="873"/>
      <c r="G1340" s="876">
        <v>2.1</v>
      </c>
      <c r="H1340" s="876">
        <f t="shared" si="45"/>
        <v>-4.2</v>
      </c>
      <c r="I1340" s="902"/>
    </row>
    <row r="1341" spans="1:9">
      <c r="A1341" s="871"/>
      <c r="B1341" s="891" t="s">
        <v>2341</v>
      </c>
      <c r="C1341" s="873">
        <v>-1</v>
      </c>
      <c r="D1341" s="873">
        <v>1</v>
      </c>
      <c r="E1341" s="888">
        <v>0.75</v>
      </c>
      <c r="F1341" s="873"/>
      <c r="G1341" s="876">
        <v>2.1</v>
      </c>
      <c r="H1341" s="876">
        <f t="shared" si="45"/>
        <v>-1.5750000000000002</v>
      </c>
      <c r="I1341" s="902"/>
    </row>
    <row r="1342" spans="1:9">
      <c r="A1342" s="871"/>
      <c r="B1342" s="891" t="s">
        <v>2181</v>
      </c>
      <c r="C1342" s="873">
        <v>-1</v>
      </c>
      <c r="D1342" s="873">
        <v>1</v>
      </c>
      <c r="E1342" s="888">
        <v>1.5</v>
      </c>
      <c r="F1342" s="873"/>
      <c r="G1342" s="876">
        <v>1.35</v>
      </c>
      <c r="H1342" s="876">
        <f t="shared" si="45"/>
        <v>-2.0250000000000004</v>
      </c>
      <c r="I1342" s="902"/>
    </row>
    <row r="1343" spans="1:9">
      <c r="A1343" s="871"/>
      <c r="B1343" s="891" t="s">
        <v>2335</v>
      </c>
      <c r="C1343" s="873">
        <v>1</v>
      </c>
      <c r="D1343" s="873">
        <v>1</v>
      </c>
      <c r="E1343" s="888">
        <f>1.5+1.5+1.35+1.35</f>
        <v>5.6999999999999993</v>
      </c>
      <c r="F1343" s="873">
        <v>0.15</v>
      </c>
      <c r="G1343" s="876"/>
      <c r="H1343" s="876">
        <f t="shared" si="45"/>
        <v>0.85499999999999987</v>
      </c>
      <c r="I1343" s="902"/>
    </row>
    <row r="1344" spans="1:9">
      <c r="A1344" s="871"/>
      <c r="B1344" s="891" t="s">
        <v>2346</v>
      </c>
      <c r="C1344" s="873">
        <v>2</v>
      </c>
      <c r="D1344" s="873">
        <v>2</v>
      </c>
      <c r="E1344" s="888">
        <v>0.45</v>
      </c>
      <c r="F1344" s="873"/>
      <c r="G1344" s="876">
        <v>2.1</v>
      </c>
      <c r="H1344" s="876">
        <f t="shared" si="45"/>
        <v>3.7800000000000002</v>
      </c>
      <c r="I1344" s="902"/>
    </row>
    <row r="1345" spans="1:9">
      <c r="A1345" s="871"/>
      <c r="B1345" s="891" t="s">
        <v>2347</v>
      </c>
      <c r="C1345" s="873">
        <v>1</v>
      </c>
      <c r="D1345" s="873">
        <v>1</v>
      </c>
      <c r="E1345" s="888">
        <f>2*(2.4+1.5)</f>
        <v>7.8</v>
      </c>
      <c r="F1345" s="873"/>
      <c r="G1345" s="876">
        <v>2.1</v>
      </c>
      <c r="H1345" s="876">
        <f t="shared" si="45"/>
        <v>16.38</v>
      </c>
      <c r="I1345" s="902"/>
    </row>
    <row r="1346" spans="1:9">
      <c r="A1346" s="871"/>
      <c r="B1346" s="891" t="s">
        <v>2341</v>
      </c>
      <c r="C1346" s="873">
        <v>1</v>
      </c>
      <c r="D1346" s="873">
        <v>-1</v>
      </c>
      <c r="E1346" s="888">
        <v>0.75</v>
      </c>
      <c r="F1346" s="873"/>
      <c r="G1346" s="876">
        <v>2.1</v>
      </c>
      <c r="H1346" s="876">
        <f t="shared" si="45"/>
        <v>-1.5750000000000002</v>
      </c>
      <c r="I1346" s="902"/>
    </row>
    <row r="1347" spans="1:9">
      <c r="A1347" s="871"/>
      <c r="B1347" s="891" t="s">
        <v>2335</v>
      </c>
      <c r="C1347" s="873">
        <v>1</v>
      </c>
      <c r="D1347" s="873">
        <v>1</v>
      </c>
      <c r="E1347" s="888">
        <f>2.1+2.1+0.75</f>
        <v>4.95</v>
      </c>
      <c r="F1347" s="873">
        <v>0.115</v>
      </c>
      <c r="G1347" s="876"/>
      <c r="H1347" s="876">
        <f t="shared" si="45"/>
        <v>0.56925000000000003</v>
      </c>
      <c r="I1347" s="902"/>
    </row>
    <row r="1348" spans="1:9">
      <c r="A1348" s="871"/>
      <c r="B1348" s="891" t="s">
        <v>2185</v>
      </c>
      <c r="C1348" s="873">
        <v>-1</v>
      </c>
      <c r="D1348" s="873">
        <v>1</v>
      </c>
      <c r="E1348" s="888">
        <v>0.75</v>
      </c>
      <c r="F1348" s="873"/>
      <c r="G1348" s="876">
        <v>0.6</v>
      </c>
      <c r="H1348" s="876">
        <f t="shared" si="45"/>
        <v>-0.44999999999999996</v>
      </c>
      <c r="I1348" s="902"/>
    </row>
    <row r="1349" spans="1:9">
      <c r="A1349" s="871"/>
      <c r="B1349" s="891" t="s">
        <v>2335</v>
      </c>
      <c r="C1349" s="873">
        <v>1</v>
      </c>
      <c r="D1349" s="873">
        <v>1</v>
      </c>
      <c r="E1349" s="888">
        <f>2*(0.75+0.6)</f>
        <v>2.7</v>
      </c>
      <c r="F1349" s="873">
        <v>0.15</v>
      </c>
      <c r="G1349" s="876"/>
      <c r="H1349" s="876">
        <f t="shared" si="45"/>
        <v>0.40500000000000003</v>
      </c>
      <c r="I1349" s="902"/>
    </row>
    <row r="1350" spans="1:9">
      <c r="A1350" s="871"/>
      <c r="B1350" s="891" t="s">
        <v>2348</v>
      </c>
      <c r="C1350" s="873">
        <v>1</v>
      </c>
      <c r="D1350" s="873">
        <v>1</v>
      </c>
      <c r="E1350" s="888">
        <f>2*(1.275+2.1)</f>
        <v>6.75</v>
      </c>
      <c r="F1350" s="873"/>
      <c r="G1350" s="876">
        <v>2.1</v>
      </c>
      <c r="H1350" s="876">
        <f t="shared" si="45"/>
        <v>14.175000000000001</v>
      </c>
      <c r="I1350" s="902"/>
    </row>
    <row r="1351" spans="1:9">
      <c r="A1351" s="871"/>
      <c r="B1351" s="891" t="s">
        <v>2341</v>
      </c>
      <c r="C1351" s="873">
        <v>1</v>
      </c>
      <c r="D1351" s="873">
        <v>-1</v>
      </c>
      <c r="E1351" s="888">
        <v>0.75</v>
      </c>
      <c r="F1351" s="873"/>
      <c r="G1351" s="876">
        <v>2.1</v>
      </c>
      <c r="H1351" s="876">
        <f t="shared" si="45"/>
        <v>-1.5750000000000002</v>
      </c>
      <c r="I1351" s="902"/>
    </row>
    <row r="1352" spans="1:9">
      <c r="A1352" s="871"/>
      <c r="B1352" s="891" t="s">
        <v>2335</v>
      </c>
      <c r="C1352" s="873">
        <v>1</v>
      </c>
      <c r="D1352" s="873">
        <v>1</v>
      </c>
      <c r="E1352" s="888">
        <f>2.1+2.1+0.75</f>
        <v>4.95</v>
      </c>
      <c r="F1352" s="873">
        <v>0.115</v>
      </c>
      <c r="G1352" s="876"/>
      <c r="H1352" s="876">
        <f t="shared" si="45"/>
        <v>0.56925000000000003</v>
      </c>
      <c r="I1352" s="902"/>
    </row>
    <row r="1353" spans="1:9">
      <c r="A1353" s="871"/>
      <c r="B1353" s="891" t="s">
        <v>2185</v>
      </c>
      <c r="C1353" s="873">
        <v>-1</v>
      </c>
      <c r="D1353" s="873">
        <v>1</v>
      </c>
      <c r="E1353" s="888">
        <v>0.75</v>
      </c>
      <c r="F1353" s="873"/>
      <c r="G1353" s="876">
        <v>0.6</v>
      </c>
      <c r="H1353" s="876">
        <f t="shared" si="45"/>
        <v>-0.44999999999999996</v>
      </c>
      <c r="I1353" s="902"/>
    </row>
    <row r="1354" spans="1:9">
      <c r="A1354" s="871"/>
      <c r="B1354" s="891" t="s">
        <v>2335</v>
      </c>
      <c r="C1354" s="873">
        <v>1</v>
      </c>
      <c r="D1354" s="873">
        <v>1</v>
      </c>
      <c r="E1354" s="888">
        <f>2*(0.75+0.6)</f>
        <v>2.7</v>
      </c>
      <c r="F1354" s="873">
        <v>0.15</v>
      </c>
      <c r="G1354" s="876"/>
      <c r="H1354" s="876">
        <f t="shared" si="45"/>
        <v>0.40500000000000003</v>
      </c>
      <c r="I1354" s="902"/>
    </row>
    <row r="1355" spans="1:9">
      <c r="A1355" s="871"/>
      <c r="B1355" s="891" t="s">
        <v>2349</v>
      </c>
      <c r="C1355" s="873">
        <v>1</v>
      </c>
      <c r="D1355" s="873">
        <v>1</v>
      </c>
      <c r="E1355" s="888">
        <f>2*(4.7+3.925+2.4+0.23)</f>
        <v>22.51</v>
      </c>
      <c r="F1355" s="873"/>
      <c r="G1355" s="876">
        <v>3.18</v>
      </c>
      <c r="H1355" s="876">
        <f t="shared" si="45"/>
        <v>71.581800000000015</v>
      </c>
      <c r="I1355" s="902"/>
    </row>
    <row r="1356" spans="1:9">
      <c r="A1356" s="871"/>
      <c r="B1356" s="891" t="s">
        <v>2189</v>
      </c>
      <c r="C1356" s="873">
        <v>-1</v>
      </c>
      <c r="D1356" s="873">
        <v>2</v>
      </c>
      <c r="E1356" s="888">
        <v>1</v>
      </c>
      <c r="F1356" s="873"/>
      <c r="G1356" s="876">
        <v>2.1</v>
      </c>
      <c r="H1356" s="876">
        <f t="shared" si="45"/>
        <v>-4.2</v>
      </c>
      <c r="I1356" s="902"/>
    </row>
    <row r="1357" spans="1:9">
      <c r="A1357" s="871"/>
      <c r="B1357" s="891" t="s">
        <v>2335</v>
      </c>
      <c r="C1357" s="873">
        <v>1</v>
      </c>
      <c r="D1357" s="873">
        <v>2</v>
      </c>
      <c r="E1357" s="888">
        <f>2.1+2.1+1</f>
        <v>5.2</v>
      </c>
      <c r="F1357" s="873">
        <v>0.15</v>
      </c>
      <c r="G1357" s="876"/>
      <c r="H1357" s="876">
        <f t="shared" si="45"/>
        <v>1.56</v>
      </c>
      <c r="I1357" s="902"/>
    </row>
    <row r="1358" spans="1:9">
      <c r="A1358" s="871"/>
      <c r="B1358" s="891" t="s">
        <v>2181</v>
      </c>
      <c r="C1358" s="873">
        <v>-1</v>
      </c>
      <c r="D1358" s="873">
        <v>2</v>
      </c>
      <c r="E1358" s="888">
        <v>1.5</v>
      </c>
      <c r="F1358" s="873"/>
      <c r="G1358" s="876">
        <v>1.35</v>
      </c>
      <c r="H1358" s="876">
        <f t="shared" si="45"/>
        <v>-4.0500000000000007</v>
      </c>
      <c r="I1358" s="902"/>
    </row>
    <row r="1359" spans="1:9">
      <c r="A1359" s="871"/>
      <c r="B1359" s="891" t="s">
        <v>2335</v>
      </c>
      <c r="C1359" s="873">
        <v>1</v>
      </c>
      <c r="D1359" s="873">
        <v>2</v>
      </c>
      <c r="E1359" s="888">
        <f>1.5+1.5+1.35+1.35</f>
        <v>5.6999999999999993</v>
      </c>
      <c r="F1359" s="873">
        <v>0.15</v>
      </c>
      <c r="G1359" s="876"/>
      <c r="H1359" s="876">
        <f t="shared" si="45"/>
        <v>1.7099999999999997</v>
      </c>
      <c r="I1359" s="902"/>
    </row>
    <row r="1360" spans="1:9">
      <c r="A1360" s="871"/>
      <c r="B1360" s="891" t="s">
        <v>2341</v>
      </c>
      <c r="C1360" s="873">
        <v>-1</v>
      </c>
      <c r="D1360" s="873">
        <v>1</v>
      </c>
      <c r="E1360" s="888">
        <v>0.75</v>
      </c>
      <c r="F1360" s="873"/>
      <c r="G1360" s="876">
        <v>2.1</v>
      </c>
      <c r="H1360" s="876">
        <f t="shared" si="45"/>
        <v>-1.5750000000000002</v>
      </c>
      <c r="I1360" s="902"/>
    </row>
    <row r="1361" spans="1:9">
      <c r="A1361" s="871"/>
      <c r="B1361" s="891" t="s">
        <v>2350</v>
      </c>
      <c r="C1361" s="873">
        <v>3</v>
      </c>
      <c r="D1361" s="873">
        <v>4</v>
      </c>
      <c r="E1361" s="888">
        <v>0.45</v>
      </c>
      <c r="F1361" s="873"/>
      <c r="G1361" s="876">
        <v>2.1</v>
      </c>
      <c r="H1361" s="876">
        <f t="shared" si="45"/>
        <v>11.340000000000002</v>
      </c>
      <c r="I1361" s="902"/>
    </row>
    <row r="1362" spans="1:9">
      <c r="A1362" s="871"/>
      <c r="B1362" s="891" t="s">
        <v>2351</v>
      </c>
      <c r="C1362" s="873">
        <v>1</v>
      </c>
      <c r="D1362" s="873">
        <v>2</v>
      </c>
      <c r="E1362" s="888">
        <f>2*(2.4+1.35)</f>
        <v>7.5</v>
      </c>
      <c r="F1362" s="873"/>
      <c r="G1362" s="876">
        <v>3.18</v>
      </c>
      <c r="H1362" s="876">
        <f t="shared" si="45"/>
        <v>47.7</v>
      </c>
      <c r="I1362" s="902"/>
    </row>
    <row r="1363" spans="1:9">
      <c r="A1363" s="871"/>
      <c r="B1363" s="891" t="s">
        <v>2189</v>
      </c>
      <c r="C1363" s="873">
        <v>-1</v>
      </c>
      <c r="D1363" s="873">
        <v>2</v>
      </c>
      <c r="E1363" s="888">
        <v>0.75</v>
      </c>
      <c r="F1363" s="873"/>
      <c r="G1363" s="876">
        <v>2.1</v>
      </c>
      <c r="H1363" s="876">
        <f t="shared" si="45"/>
        <v>-3.1500000000000004</v>
      </c>
      <c r="I1363" s="902"/>
    </row>
    <row r="1364" spans="1:9">
      <c r="A1364" s="871"/>
      <c r="B1364" s="891" t="s">
        <v>2335</v>
      </c>
      <c r="C1364" s="873">
        <v>1</v>
      </c>
      <c r="D1364" s="873">
        <v>2</v>
      </c>
      <c r="E1364" s="888">
        <f>2.1+2.1+0.75</f>
        <v>4.95</v>
      </c>
      <c r="F1364" s="873">
        <v>0.115</v>
      </c>
      <c r="G1364" s="876"/>
      <c r="H1364" s="876">
        <f t="shared" si="45"/>
        <v>1.1385000000000001</v>
      </c>
      <c r="I1364" s="902"/>
    </row>
    <row r="1365" spans="1:9">
      <c r="A1365" s="871"/>
      <c r="B1365" s="891" t="s">
        <v>2185</v>
      </c>
      <c r="C1365" s="873">
        <v>-1</v>
      </c>
      <c r="D1365" s="873">
        <v>2</v>
      </c>
      <c r="E1365" s="888">
        <v>0.75</v>
      </c>
      <c r="F1365" s="873"/>
      <c r="G1365" s="876">
        <v>0.6</v>
      </c>
      <c r="H1365" s="876">
        <f t="shared" si="45"/>
        <v>-0.89999999999999991</v>
      </c>
      <c r="I1365" s="902"/>
    </row>
    <row r="1366" spans="1:9">
      <c r="A1366" s="871"/>
      <c r="B1366" s="891" t="s">
        <v>2335</v>
      </c>
      <c r="C1366" s="873">
        <v>1</v>
      </c>
      <c r="D1366" s="873">
        <v>2</v>
      </c>
      <c r="E1366" s="888">
        <f>2*(0.75+0.6)</f>
        <v>2.7</v>
      </c>
      <c r="F1366" s="873">
        <v>0.15</v>
      </c>
      <c r="G1366" s="876"/>
      <c r="H1366" s="876">
        <f t="shared" si="45"/>
        <v>0.81</v>
      </c>
      <c r="I1366" s="902"/>
    </row>
    <row r="1367" spans="1:9">
      <c r="A1367" s="871"/>
      <c r="B1367" s="891" t="s">
        <v>2352</v>
      </c>
      <c r="C1367" s="873">
        <v>1</v>
      </c>
      <c r="D1367" s="873">
        <v>1</v>
      </c>
      <c r="E1367" s="888">
        <f>2*(2.4+4.385)</f>
        <v>13.57</v>
      </c>
      <c r="F1367" s="873"/>
      <c r="G1367" s="876">
        <v>3.18</v>
      </c>
      <c r="H1367" s="876">
        <f t="shared" si="45"/>
        <v>43.1526</v>
      </c>
      <c r="I1367" s="902"/>
    </row>
    <row r="1368" spans="1:9">
      <c r="A1368" s="871"/>
      <c r="B1368" s="891" t="s">
        <v>2189</v>
      </c>
      <c r="C1368" s="873">
        <v>-1</v>
      </c>
      <c r="D1368" s="873">
        <v>1</v>
      </c>
      <c r="E1368" s="888">
        <v>1</v>
      </c>
      <c r="F1368" s="873"/>
      <c r="G1368" s="876">
        <v>2.1</v>
      </c>
      <c r="H1368" s="876">
        <f t="shared" si="45"/>
        <v>-2.1</v>
      </c>
      <c r="I1368" s="902"/>
    </row>
    <row r="1369" spans="1:9">
      <c r="A1369" s="871"/>
      <c r="B1369" s="891" t="s">
        <v>2335</v>
      </c>
      <c r="C1369" s="873">
        <v>1</v>
      </c>
      <c r="D1369" s="873">
        <v>1</v>
      </c>
      <c r="E1369" s="888">
        <f>2.1+2.1+1</f>
        <v>5.2</v>
      </c>
      <c r="F1369" s="873">
        <v>0.15</v>
      </c>
      <c r="G1369" s="876"/>
      <c r="H1369" s="876">
        <f t="shared" si="45"/>
        <v>0.78</v>
      </c>
      <c r="I1369" s="902"/>
    </row>
    <row r="1370" spans="1:9">
      <c r="A1370" s="871"/>
      <c r="B1370" s="891" t="s">
        <v>2181</v>
      </c>
      <c r="C1370" s="873">
        <v>-1</v>
      </c>
      <c r="D1370" s="873">
        <v>1</v>
      </c>
      <c r="E1370" s="888">
        <v>1.5</v>
      </c>
      <c r="F1370" s="873"/>
      <c r="G1370" s="876">
        <v>1.35</v>
      </c>
      <c r="H1370" s="876">
        <f t="shared" si="45"/>
        <v>-2.0250000000000004</v>
      </c>
      <c r="I1370" s="902"/>
    </row>
    <row r="1371" spans="1:9">
      <c r="A1371" s="871"/>
      <c r="B1371" s="891" t="s">
        <v>2335</v>
      </c>
      <c r="C1371" s="873">
        <v>1</v>
      </c>
      <c r="D1371" s="873">
        <v>1</v>
      </c>
      <c r="E1371" s="888">
        <f>1.58+1.5+1.35+1.35</f>
        <v>5.7799999999999994</v>
      </c>
      <c r="F1371" s="873">
        <v>0.15</v>
      </c>
      <c r="G1371" s="876"/>
      <c r="H1371" s="876">
        <f t="shared" si="45"/>
        <v>0.86699999999999988</v>
      </c>
      <c r="I1371" s="902"/>
    </row>
    <row r="1372" spans="1:9">
      <c r="A1372" s="871"/>
      <c r="B1372" s="891" t="s">
        <v>2350</v>
      </c>
      <c r="C1372" s="873">
        <v>3</v>
      </c>
      <c r="D1372" s="873">
        <v>4</v>
      </c>
      <c r="E1372" s="888">
        <v>0.45</v>
      </c>
      <c r="F1372" s="873"/>
      <c r="G1372" s="876">
        <v>2.1</v>
      </c>
      <c r="H1372" s="876">
        <f t="shared" si="45"/>
        <v>11.340000000000002</v>
      </c>
      <c r="I1372" s="902"/>
    </row>
    <row r="1373" spans="1:9">
      <c r="A1373" s="871"/>
      <c r="B1373" s="891" t="s">
        <v>2341</v>
      </c>
      <c r="C1373" s="873">
        <v>-1</v>
      </c>
      <c r="D1373" s="873">
        <v>1</v>
      </c>
      <c r="E1373" s="888">
        <v>0.75</v>
      </c>
      <c r="F1373" s="873"/>
      <c r="G1373" s="876">
        <v>2.1</v>
      </c>
      <c r="H1373" s="876">
        <f t="shared" si="45"/>
        <v>-1.5750000000000002</v>
      </c>
      <c r="I1373" s="902"/>
    </row>
    <row r="1374" spans="1:9">
      <c r="A1374" s="871"/>
      <c r="B1374" s="891" t="s">
        <v>2353</v>
      </c>
      <c r="C1374" s="873">
        <v>1</v>
      </c>
      <c r="D1374" s="873">
        <v>1</v>
      </c>
      <c r="E1374" s="888">
        <f>2*(4.485+2.77)</f>
        <v>14.510000000000002</v>
      </c>
      <c r="F1374" s="873"/>
      <c r="G1374" s="876">
        <v>3.18</v>
      </c>
      <c r="H1374" s="876">
        <f t="shared" si="45"/>
        <v>46.141800000000011</v>
      </c>
      <c r="I1374" s="902"/>
    </row>
    <row r="1375" spans="1:9">
      <c r="A1375" s="871"/>
      <c r="B1375" s="891" t="s">
        <v>2189</v>
      </c>
      <c r="C1375" s="873">
        <v>-1</v>
      </c>
      <c r="D1375" s="873">
        <v>1</v>
      </c>
      <c r="E1375" s="888">
        <v>1</v>
      </c>
      <c r="F1375" s="873"/>
      <c r="G1375" s="876">
        <v>2.1</v>
      </c>
      <c r="H1375" s="876">
        <f t="shared" si="45"/>
        <v>-2.1</v>
      </c>
      <c r="I1375" s="902"/>
    </row>
    <row r="1376" spans="1:9">
      <c r="A1376" s="871"/>
      <c r="B1376" s="891" t="s">
        <v>2335</v>
      </c>
      <c r="C1376" s="873">
        <v>1</v>
      </c>
      <c r="D1376" s="873">
        <v>1</v>
      </c>
      <c r="E1376" s="888">
        <f>2.1+2.1+1</f>
        <v>5.2</v>
      </c>
      <c r="F1376" s="873">
        <v>0.15</v>
      </c>
      <c r="G1376" s="876"/>
      <c r="H1376" s="876">
        <f t="shared" si="45"/>
        <v>0.78</v>
      </c>
      <c r="I1376" s="902"/>
    </row>
    <row r="1377" spans="1:9">
      <c r="A1377" s="871"/>
      <c r="B1377" s="891" t="s">
        <v>2181</v>
      </c>
      <c r="C1377" s="873">
        <v>-1</v>
      </c>
      <c r="D1377" s="873">
        <v>2</v>
      </c>
      <c r="E1377" s="888">
        <v>1.5</v>
      </c>
      <c r="F1377" s="873"/>
      <c r="G1377" s="876">
        <v>1.35</v>
      </c>
      <c r="H1377" s="876">
        <f t="shared" si="45"/>
        <v>-4.0500000000000007</v>
      </c>
      <c r="I1377" s="902"/>
    </row>
    <row r="1378" spans="1:9">
      <c r="A1378" s="871"/>
      <c r="B1378" s="891" t="s">
        <v>2335</v>
      </c>
      <c r="C1378" s="873">
        <v>1</v>
      </c>
      <c r="D1378" s="873">
        <v>2</v>
      </c>
      <c r="E1378" s="888">
        <f>1.58+1.5+1.35+1.35</f>
        <v>5.7799999999999994</v>
      </c>
      <c r="F1378" s="873">
        <v>0.15</v>
      </c>
      <c r="G1378" s="876"/>
      <c r="H1378" s="876">
        <f t="shared" si="45"/>
        <v>1.7339999999999998</v>
      </c>
      <c r="I1378" s="902"/>
    </row>
    <row r="1379" spans="1:9">
      <c r="A1379" s="871"/>
      <c r="B1379" s="891" t="s">
        <v>2350</v>
      </c>
      <c r="C1379" s="873">
        <v>3</v>
      </c>
      <c r="D1379" s="873">
        <v>4</v>
      </c>
      <c r="E1379" s="888">
        <v>0.45</v>
      </c>
      <c r="F1379" s="873"/>
      <c r="G1379" s="876">
        <v>2.1</v>
      </c>
      <c r="H1379" s="876">
        <f t="shared" si="45"/>
        <v>11.340000000000002</v>
      </c>
      <c r="I1379" s="902"/>
    </row>
    <row r="1380" spans="1:9">
      <c r="A1380" s="871"/>
      <c r="B1380" s="891" t="s">
        <v>2341</v>
      </c>
      <c r="C1380" s="873">
        <v>-1</v>
      </c>
      <c r="D1380" s="873">
        <v>1</v>
      </c>
      <c r="E1380" s="888">
        <v>0.75</v>
      </c>
      <c r="F1380" s="873"/>
      <c r="G1380" s="876">
        <v>2.1</v>
      </c>
      <c r="H1380" s="876">
        <f t="shared" si="45"/>
        <v>-1.5750000000000002</v>
      </c>
      <c r="I1380" s="902"/>
    </row>
    <row r="1381" spans="1:9">
      <c r="A1381" s="871"/>
      <c r="B1381" s="891" t="s">
        <v>2351</v>
      </c>
      <c r="C1381" s="873">
        <v>1</v>
      </c>
      <c r="D1381" s="873">
        <v>1</v>
      </c>
      <c r="E1381" s="888">
        <f>2*(1.5+1.8)</f>
        <v>6.6</v>
      </c>
      <c r="F1381" s="873"/>
      <c r="G1381" s="876">
        <v>3.18</v>
      </c>
      <c r="H1381" s="876">
        <f t="shared" si="45"/>
        <v>20.988</v>
      </c>
      <c r="I1381" s="902"/>
    </row>
    <row r="1382" spans="1:9">
      <c r="A1382" s="871"/>
      <c r="B1382" s="891" t="s">
        <v>2341</v>
      </c>
      <c r="C1382" s="873">
        <v>-1</v>
      </c>
      <c r="D1382" s="873">
        <v>1</v>
      </c>
      <c r="E1382" s="888">
        <v>0.75</v>
      </c>
      <c r="F1382" s="873"/>
      <c r="G1382" s="876">
        <v>2.1</v>
      </c>
      <c r="H1382" s="876">
        <f t="shared" si="45"/>
        <v>-1.5750000000000002</v>
      </c>
      <c r="I1382" s="902"/>
    </row>
    <row r="1383" spans="1:9">
      <c r="A1383" s="871"/>
      <c r="B1383" s="891" t="s">
        <v>2335</v>
      </c>
      <c r="C1383" s="873">
        <v>1</v>
      </c>
      <c r="D1383" s="873">
        <v>1</v>
      </c>
      <c r="E1383" s="888">
        <f>0.75+2.1+2.1</f>
        <v>4.95</v>
      </c>
      <c r="F1383" s="873">
        <v>0.115</v>
      </c>
      <c r="G1383" s="876"/>
      <c r="H1383" s="876">
        <f t="shared" si="45"/>
        <v>0.56925000000000003</v>
      </c>
      <c r="I1383" s="902"/>
    </row>
    <row r="1384" spans="1:9">
      <c r="A1384" s="871"/>
      <c r="B1384" s="891" t="s">
        <v>2185</v>
      </c>
      <c r="C1384" s="873">
        <v>-1</v>
      </c>
      <c r="D1384" s="873">
        <v>1</v>
      </c>
      <c r="E1384" s="888">
        <v>0.75</v>
      </c>
      <c r="F1384" s="873"/>
      <c r="G1384" s="876">
        <v>0.6</v>
      </c>
      <c r="H1384" s="876">
        <f t="shared" si="45"/>
        <v>-0.44999999999999996</v>
      </c>
      <c r="I1384" s="902"/>
    </row>
    <row r="1385" spans="1:9">
      <c r="A1385" s="871"/>
      <c r="B1385" s="891" t="s">
        <v>2335</v>
      </c>
      <c r="C1385" s="873">
        <v>1</v>
      </c>
      <c r="D1385" s="873">
        <v>1</v>
      </c>
      <c r="E1385" s="888">
        <f>2*(0.75+0.6)</f>
        <v>2.7</v>
      </c>
      <c r="F1385" s="873">
        <v>0.15</v>
      </c>
      <c r="G1385" s="876"/>
      <c r="H1385" s="876">
        <f t="shared" si="45"/>
        <v>0.40500000000000003</v>
      </c>
      <c r="I1385" s="902"/>
    </row>
    <row r="1386" spans="1:9">
      <c r="A1386" s="871"/>
      <c r="B1386" s="891" t="s">
        <v>2354</v>
      </c>
      <c r="C1386" s="873">
        <v>1</v>
      </c>
      <c r="D1386" s="873">
        <v>1</v>
      </c>
      <c r="E1386" s="888">
        <f>2*(2.4+2.4)</f>
        <v>9.6</v>
      </c>
      <c r="F1386" s="873"/>
      <c r="G1386" s="876">
        <v>3.18</v>
      </c>
      <c r="H1386" s="876">
        <f t="shared" si="45"/>
        <v>30.527999999999999</v>
      </c>
      <c r="I1386" s="902"/>
    </row>
    <row r="1387" spans="1:9">
      <c r="A1387" s="871"/>
      <c r="B1387" s="891" t="s">
        <v>2189</v>
      </c>
      <c r="C1387" s="873">
        <v>-1</v>
      </c>
      <c r="D1387" s="873">
        <v>1</v>
      </c>
      <c r="E1387" s="888">
        <v>1</v>
      </c>
      <c r="F1387" s="873"/>
      <c r="G1387" s="876">
        <v>2.1</v>
      </c>
      <c r="H1387" s="876">
        <f t="shared" si="45"/>
        <v>-2.1</v>
      </c>
      <c r="I1387" s="902"/>
    </row>
    <row r="1388" spans="1:9">
      <c r="A1388" s="871"/>
      <c r="B1388" s="891" t="s">
        <v>2181</v>
      </c>
      <c r="C1388" s="873">
        <v>-1</v>
      </c>
      <c r="D1388" s="873">
        <v>1</v>
      </c>
      <c r="E1388" s="888">
        <v>1.5</v>
      </c>
      <c r="F1388" s="873"/>
      <c r="G1388" s="876">
        <v>1.35</v>
      </c>
      <c r="H1388" s="876">
        <f t="shared" si="45"/>
        <v>-2.0250000000000004</v>
      </c>
      <c r="I1388" s="902"/>
    </row>
    <row r="1389" spans="1:9">
      <c r="A1389" s="871"/>
      <c r="B1389" s="891" t="s">
        <v>2335</v>
      </c>
      <c r="C1389" s="873">
        <v>1</v>
      </c>
      <c r="D1389" s="873">
        <v>1</v>
      </c>
      <c r="E1389" s="888">
        <f>1.5+1.5+1.35+1.35</f>
        <v>5.6999999999999993</v>
      </c>
      <c r="F1389" s="873">
        <v>0.15</v>
      </c>
      <c r="G1389" s="876"/>
      <c r="H1389" s="876">
        <f t="shared" ref="H1389:H1406" si="46">PRODUCT(C1389:G1389)</f>
        <v>0.85499999999999987</v>
      </c>
      <c r="I1389" s="902"/>
    </row>
    <row r="1390" spans="1:9">
      <c r="A1390" s="871"/>
      <c r="B1390" s="891" t="s">
        <v>2355</v>
      </c>
      <c r="C1390" s="873">
        <v>1</v>
      </c>
      <c r="D1390" s="873">
        <v>1</v>
      </c>
      <c r="E1390" s="888">
        <f>2*(2.4+1.525)</f>
        <v>7.85</v>
      </c>
      <c r="F1390" s="873"/>
      <c r="G1390" s="876">
        <v>3.18</v>
      </c>
      <c r="H1390" s="876">
        <f t="shared" si="46"/>
        <v>24.963000000000001</v>
      </c>
      <c r="I1390" s="902"/>
    </row>
    <row r="1391" spans="1:9">
      <c r="A1391" s="871"/>
      <c r="B1391" s="891" t="s">
        <v>2189</v>
      </c>
      <c r="C1391" s="873">
        <v>-1</v>
      </c>
      <c r="D1391" s="873">
        <v>1</v>
      </c>
      <c r="E1391" s="888">
        <v>1</v>
      </c>
      <c r="F1391" s="873"/>
      <c r="G1391" s="876">
        <v>2.1</v>
      </c>
      <c r="H1391" s="876">
        <f t="shared" si="46"/>
        <v>-2.1</v>
      </c>
      <c r="I1391" s="902"/>
    </row>
    <row r="1392" spans="1:9">
      <c r="A1392" s="871"/>
      <c r="B1392" s="891" t="s">
        <v>2206</v>
      </c>
      <c r="C1392" s="873">
        <v>-1</v>
      </c>
      <c r="D1392" s="873">
        <v>1</v>
      </c>
      <c r="E1392" s="888">
        <v>0.9</v>
      </c>
      <c r="F1392" s="873"/>
      <c r="G1392" s="876">
        <v>0.6</v>
      </c>
      <c r="H1392" s="876">
        <f t="shared" si="46"/>
        <v>-0.54</v>
      </c>
      <c r="I1392" s="902"/>
    </row>
    <row r="1393" spans="1:9">
      <c r="A1393" s="871"/>
      <c r="B1393" s="891" t="s">
        <v>2335</v>
      </c>
      <c r="C1393" s="873">
        <v>1</v>
      </c>
      <c r="D1393" s="873">
        <v>1</v>
      </c>
      <c r="E1393" s="888">
        <f>0.9+0.6+0.9+0.6</f>
        <v>3</v>
      </c>
      <c r="F1393" s="873">
        <v>0.15</v>
      </c>
      <c r="G1393" s="876"/>
      <c r="H1393" s="876">
        <f t="shared" si="46"/>
        <v>0.44999999999999996</v>
      </c>
      <c r="I1393" s="902"/>
    </row>
    <row r="1394" spans="1:9">
      <c r="A1394" s="871"/>
      <c r="B1394" s="891" t="s">
        <v>2356</v>
      </c>
      <c r="C1394" s="873">
        <v>1</v>
      </c>
      <c r="D1394" s="873">
        <v>1</v>
      </c>
      <c r="E1394" s="888">
        <f>2*(3.8+1.5)</f>
        <v>10.6</v>
      </c>
      <c r="F1394" s="873"/>
      <c r="G1394" s="876">
        <v>3.18</v>
      </c>
      <c r="H1394" s="876">
        <f t="shared" si="46"/>
        <v>33.707999999999998</v>
      </c>
      <c r="I1394" s="902"/>
    </row>
    <row r="1395" spans="1:9">
      <c r="A1395" s="871"/>
      <c r="B1395" s="891" t="s">
        <v>2189</v>
      </c>
      <c r="C1395" s="873">
        <v>-1</v>
      </c>
      <c r="D1395" s="873">
        <v>1</v>
      </c>
      <c r="E1395" s="888">
        <v>1</v>
      </c>
      <c r="F1395" s="873"/>
      <c r="G1395" s="876">
        <v>2.1</v>
      </c>
      <c r="H1395" s="876">
        <f t="shared" si="46"/>
        <v>-2.1</v>
      </c>
      <c r="I1395" s="902"/>
    </row>
    <row r="1396" spans="1:9">
      <c r="A1396" s="871"/>
      <c r="B1396" s="891" t="s">
        <v>2181</v>
      </c>
      <c r="C1396" s="873">
        <v>-1</v>
      </c>
      <c r="D1396" s="873">
        <v>1</v>
      </c>
      <c r="E1396" s="888">
        <v>1.5</v>
      </c>
      <c r="F1396" s="873"/>
      <c r="G1396" s="876">
        <v>1.35</v>
      </c>
      <c r="H1396" s="876">
        <f t="shared" si="46"/>
        <v>-2.0250000000000004</v>
      </c>
      <c r="I1396" s="902"/>
    </row>
    <row r="1397" spans="1:9">
      <c r="A1397" s="871"/>
      <c r="B1397" s="891" t="s">
        <v>2335</v>
      </c>
      <c r="C1397" s="873">
        <v>1</v>
      </c>
      <c r="D1397" s="873">
        <v>1</v>
      </c>
      <c r="E1397" s="888">
        <f>1.5+1.5+1.35+1.35</f>
        <v>5.6999999999999993</v>
      </c>
      <c r="F1397" s="873">
        <v>0.15</v>
      </c>
      <c r="G1397" s="876"/>
      <c r="H1397" s="876">
        <f t="shared" si="46"/>
        <v>0.85499999999999987</v>
      </c>
      <c r="I1397" s="902"/>
    </row>
    <row r="1398" spans="1:9">
      <c r="A1398" s="871"/>
      <c r="B1398" s="891" t="s">
        <v>2357</v>
      </c>
      <c r="C1398" s="873">
        <v>1</v>
      </c>
      <c r="D1398" s="873">
        <v>1</v>
      </c>
      <c r="E1398" s="888">
        <f>2*(2.515+3+1.2+2.4+4.7-2.4+0.23+1.2+2.4+0.115+1.525)</f>
        <v>33.770000000000003</v>
      </c>
      <c r="F1398" s="873"/>
      <c r="G1398" s="876">
        <v>3.18</v>
      </c>
      <c r="H1398" s="876">
        <f t="shared" si="46"/>
        <v>107.38860000000001</v>
      </c>
      <c r="I1398" s="902"/>
    </row>
    <row r="1399" spans="1:9">
      <c r="A1399" s="871"/>
      <c r="B1399" s="891" t="s">
        <v>2189</v>
      </c>
      <c r="C1399" s="873">
        <v>-1</v>
      </c>
      <c r="D1399" s="873">
        <v>6</v>
      </c>
      <c r="E1399" s="888">
        <v>1</v>
      </c>
      <c r="F1399" s="873"/>
      <c r="G1399" s="876">
        <v>2.1</v>
      </c>
      <c r="H1399" s="876">
        <f t="shared" si="46"/>
        <v>-12.600000000000001</v>
      </c>
      <c r="I1399" s="902"/>
    </row>
    <row r="1400" spans="1:9">
      <c r="A1400" s="871"/>
      <c r="B1400" s="891" t="s">
        <v>2358</v>
      </c>
      <c r="C1400" s="873">
        <v>-1</v>
      </c>
      <c r="D1400" s="873">
        <v>1</v>
      </c>
      <c r="E1400" s="888">
        <v>1.8</v>
      </c>
      <c r="F1400" s="873"/>
      <c r="G1400" s="876">
        <v>2.2000000000000002</v>
      </c>
      <c r="H1400" s="876">
        <f t="shared" si="46"/>
        <v>-3.9600000000000004</v>
      </c>
      <c r="I1400" s="902"/>
    </row>
    <row r="1401" spans="1:9">
      <c r="A1401" s="871"/>
      <c r="B1401" s="891" t="s">
        <v>2335</v>
      </c>
      <c r="C1401" s="873">
        <v>1</v>
      </c>
      <c r="D1401" s="873">
        <v>1</v>
      </c>
      <c r="E1401" s="888">
        <f>2*(E1400+G1400)</f>
        <v>8</v>
      </c>
      <c r="F1401" s="873">
        <v>0.15</v>
      </c>
      <c r="G1401" s="876"/>
      <c r="H1401" s="876">
        <f t="shared" si="46"/>
        <v>1.2</v>
      </c>
      <c r="I1401" s="902"/>
    </row>
    <row r="1402" spans="1:9">
      <c r="A1402" s="871"/>
      <c r="B1402" s="891" t="s">
        <v>2223</v>
      </c>
      <c r="C1402" s="873">
        <v>1</v>
      </c>
      <c r="D1402" s="873">
        <v>1</v>
      </c>
      <c r="E1402" s="888">
        <f>2*(2.4+1.2+3+2.515)</f>
        <v>18.23</v>
      </c>
      <c r="F1402" s="873"/>
      <c r="G1402" s="876">
        <v>3.18</v>
      </c>
      <c r="H1402" s="876">
        <f t="shared" si="46"/>
        <v>57.971400000000003</v>
      </c>
      <c r="I1402" s="902"/>
    </row>
    <row r="1403" spans="1:9">
      <c r="A1403" s="871"/>
      <c r="B1403" s="891" t="s">
        <v>2189</v>
      </c>
      <c r="C1403" s="873">
        <v>-1</v>
      </c>
      <c r="D1403" s="873">
        <v>1</v>
      </c>
      <c r="E1403" s="888">
        <v>1</v>
      </c>
      <c r="F1403" s="873"/>
      <c r="G1403" s="876">
        <v>2.1</v>
      </c>
      <c r="H1403" s="876">
        <f t="shared" si="46"/>
        <v>-2.1</v>
      </c>
      <c r="I1403" s="902"/>
    </row>
    <row r="1404" spans="1:9">
      <c r="A1404" s="871"/>
      <c r="B1404" s="891" t="s">
        <v>2335</v>
      </c>
      <c r="C1404" s="873">
        <v>1</v>
      </c>
      <c r="D1404" s="873">
        <v>1</v>
      </c>
      <c r="E1404" s="888">
        <f>1+2.1+2.1</f>
        <v>5.2</v>
      </c>
      <c r="F1404" s="873">
        <v>0.23</v>
      </c>
      <c r="G1404" s="876"/>
      <c r="H1404" s="876">
        <f t="shared" si="46"/>
        <v>1.1960000000000002</v>
      </c>
      <c r="I1404" s="902"/>
    </row>
    <row r="1405" spans="1:9">
      <c r="A1405" s="871"/>
      <c r="B1405" s="891" t="s">
        <v>2358</v>
      </c>
      <c r="C1405" s="873">
        <v>-1</v>
      </c>
      <c r="D1405" s="873">
        <v>1</v>
      </c>
      <c r="E1405" s="888">
        <v>1.8</v>
      </c>
      <c r="F1405" s="873"/>
      <c r="G1405" s="876">
        <v>2.2000000000000002</v>
      </c>
      <c r="H1405" s="876">
        <f t="shared" si="46"/>
        <v>-3.9600000000000004</v>
      </c>
      <c r="I1405" s="902"/>
    </row>
    <row r="1406" spans="1:9">
      <c r="A1406" s="871"/>
      <c r="B1406" s="891" t="s">
        <v>2335</v>
      </c>
      <c r="C1406" s="873">
        <v>1</v>
      </c>
      <c r="D1406" s="873">
        <v>1</v>
      </c>
      <c r="E1406" s="888">
        <f>2*(E1405+G1405)</f>
        <v>8</v>
      </c>
      <c r="F1406" s="873">
        <v>0.15</v>
      </c>
      <c r="G1406" s="876"/>
      <c r="H1406" s="876">
        <f t="shared" si="46"/>
        <v>1.2</v>
      </c>
      <c r="I1406" s="902"/>
    </row>
    <row r="1407" spans="1:9">
      <c r="A1407" s="871"/>
      <c r="B1407" s="891"/>
      <c r="C1407" s="873"/>
      <c r="D1407" s="873"/>
      <c r="E1407" s="888"/>
      <c r="F1407" s="873"/>
      <c r="G1407" s="876" t="s">
        <v>57</v>
      </c>
      <c r="H1407" s="876">
        <f>SUM(H1302:H1406)</f>
        <v>827.15730000000008</v>
      </c>
      <c r="I1407" s="902"/>
    </row>
    <row r="1408" spans="1:9" ht="18">
      <c r="A1408" s="871"/>
      <c r="B1408" s="891"/>
      <c r="C1408" s="873"/>
      <c r="D1408" s="873"/>
      <c r="E1408" s="888"/>
      <c r="F1408" s="873"/>
      <c r="G1408" s="892" t="s">
        <v>206</v>
      </c>
      <c r="H1408" s="896">
        <f>ROUNDUP(H1407,0)</f>
        <v>828</v>
      </c>
      <c r="I1408" s="894" t="s">
        <v>2234</v>
      </c>
    </row>
    <row r="1409" spans="1:255">
      <c r="A1409" s="871"/>
      <c r="B1409" s="891"/>
      <c r="C1409" s="873"/>
      <c r="D1409" s="873"/>
      <c r="E1409" s="888"/>
      <c r="F1409" s="873"/>
      <c r="G1409" s="892"/>
      <c r="H1409" s="896"/>
      <c r="I1409" s="894"/>
    </row>
    <row r="1410" spans="1:255" ht="31.5">
      <c r="A1410" s="871"/>
      <c r="B1410" s="932" t="s">
        <v>162</v>
      </c>
      <c r="C1410" s="935"/>
      <c r="D1410" s="935"/>
      <c r="E1410" s="937" t="s">
        <v>220</v>
      </c>
      <c r="F1410" s="935"/>
      <c r="G1410" s="892"/>
      <c r="H1410" s="893"/>
      <c r="I1410" s="894"/>
      <c r="K1410" s="922"/>
      <c r="L1410" s="922"/>
      <c r="M1410" s="922"/>
      <c r="N1410" s="922"/>
      <c r="O1410" s="922"/>
      <c r="P1410" s="922"/>
      <c r="Q1410" s="922"/>
      <c r="R1410" s="922"/>
      <c r="S1410" s="922"/>
      <c r="T1410" s="922"/>
      <c r="U1410" s="922"/>
      <c r="V1410" s="922"/>
      <c r="W1410" s="922"/>
      <c r="X1410" s="922"/>
      <c r="Y1410" s="922"/>
      <c r="Z1410" s="922"/>
      <c r="AA1410" s="922"/>
      <c r="AB1410" s="922"/>
      <c r="AC1410" s="922"/>
      <c r="AD1410" s="922"/>
      <c r="AE1410" s="922"/>
      <c r="AF1410" s="922"/>
      <c r="AG1410" s="922"/>
      <c r="AH1410" s="922"/>
      <c r="AI1410" s="922"/>
      <c r="AJ1410" s="922"/>
      <c r="AK1410" s="922"/>
      <c r="AL1410" s="922"/>
      <c r="AM1410" s="922"/>
      <c r="AN1410" s="922"/>
      <c r="AO1410" s="922"/>
      <c r="AP1410" s="922"/>
      <c r="AQ1410" s="922"/>
      <c r="AR1410" s="922"/>
      <c r="AS1410" s="922"/>
      <c r="AT1410" s="922"/>
      <c r="AU1410" s="922"/>
      <c r="AV1410" s="922"/>
      <c r="AW1410" s="922"/>
      <c r="AX1410" s="922"/>
      <c r="AY1410" s="922"/>
      <c r="AZ1410" s="922"/>
      <c r="BA1410" s="922"/>
      <c r="BB1410" s="922"/>
      <c r="BC1410" s="922"/>
      <c r="BD1410" s="922"/>
      <c r="BE1410" s="922"/>
      <c r="BF1410" s="922"/>
      <c r="BG1410" s="922"/>
      <c r="BH1410" s="922"/>
      <c r="BI1410" s="922"/>
      <c r="BJ1410" s="922"/>
      <c r="BK1410" s="922"/>
      <c r="BL1410" s="922"/>
      <c r="BM1410" s="922"/>
      <c r="BN1410" s="922"/>
      <c r="BO1410" s="922"/>
      <c r="BP1410" s="922"/>
      <c r="BQ1410" s="922"/>
      <c r="BR1410" s="922"/>
      <c r="BS1410" s="922"/>
      <c r="BT1410" s="922"/>
      <c r="BU1410" s="922"/>
      <c r="BV1410" s="922"/>
      <c r="BW1410" s="922"/>
      <c r="BX1410" s="922"/>
      <c r="BY1410" s="922"/>
      <c r="BZ1410" s="922"/>
      <c r="CA1410" s="922"/>
      <c r="CB1410" s="922"/>
      <c r="CC1410" s="922"/>
      <c r="CD1410" s="922"/>
      <c r="CE1410" s="922"/>
      <c r="CF1410" s="922"/>
      <c r="CG1410" s="922"/>
      <c r="CH1410" s="922"/>
      <c r="CI1410" s="922"/>
      <c r="CJ1410" s="922"/>
      <c r="CK1410" s="922"/>
      <c r="CL1410" s="922"/>
      <c r="CM1410" s="922"/>
      <c r="CN1410" s="922"/>
      <c r="CO1410" s="922"/>
      <c r="CP1410" s="922"/>
      <c r="CQ1410" s="922"/>
      <c r="CR1410" s="922"/>
      <c r="CS1410" s="922"/>
      <c r="CT1410" s="922"/>
      <c r="CU1410" s="922"/>
      <c r="CV1410" s="922"/>
      <c r="CW1410" s="922"/>
      <c r="CX1410" s="922"/>
      <c r="CY1410" s="922"/>
      <c r="CZ1410" s="922"/>
      <c r="DA1410" s="922"/>
      <c r="DB1410" s="922"/>
      <c r="DC1410" s="922"/>
      <c r="DD1410" s="922"/>
      <c r="DE1410" s="922"/>
      <c r="DF1410" s="922"/>
      <c r="DG1410" s="922"/>
      <c r="DH1410" s="922"/>
      <c r="DI1410" s="922"/>
      <c r="DJ1410" s="922"/>
      <c r="DK1410" s="922"/>
      <c r="DL1410" s="922"/>
      <c r="DM1410" s="922"/>
      <c r="DN1410" s="922"/>
      <c r="DO1410" s="922"/>
      <c r="DP1410" s="922"/>
      <c r="DQ1410" s="922"/>
      <c r="DR1410" s="922"/>
      <c r="DS1410" s="922"/>
      <c r="DT1410" s="922"/>
      <c r="DU1410" s="922"/>
      <c r="DV1410" s="922"/>
      <c r="DW1410" s="922"/>
      <c r="DX1410" s="922"/>
      <c r="DY1410" s="922"/>
      <c r="DZ1410" s="922"/>
      <c r="EA1410" s="922"/>
      <c r="EB1410" s="922"/>
      <c r="EC1410" s="922"/>
      <c r="ED1410" s="922"/>
      <c r="EE1410" s="922"/>
      <c r="EF1410" s="922"/>
      <c r="EG1410" s="922"/>
      <c r="EH1410" s="922"/>
      <c r="EI1410" s="922"/>
      <c r="EJ1410" s="922"/>
      <c r="EK1410" s="922"/>
      <c r="EL1410" s="922"/>
      <c r="EM1410" s="922"/>
      <c r="EN1410" s="922"/>
      <c r="EO1410" s="922"/>
      <c r="EP1410" s="922"/>
      <c r="EQ1410" s="922"/>
      <c r="ER1410" s="922"/>
      <c r="ES1410" s="922"/>
      <c r="ET1410" s="922"/>
      <c r="EU1410" s="922"/>
      <c r="EV1410" s="922"/>
      <c r="EW1410" s="922"/>
      <c r="EX1410" s="922"/>
      <c r="EY1410" s="922"/>
      <c r="EZ1410" s="922"/>
      <c r="FA1410" s="922"/>
      <c r="FB1410" s="922"/>
      <c r="FC1410" s="922"/>
      <c r="FD1410" s="922"/>
      <c r="FE1410" s="922"/>
      <c r="FF1410" s="922"/>
      <c r="FG1410" s="922"/>
      <c r="FH1410" s="922"/>
      <c r="FI1410" s="922"/>
      <c r="FJ1410" s="922"/>
      <c r="FK1410" s="922"/>
      <c r="FL1410" s="922"/>
      <c r="FM1410" s="922"/>
      <c r="FN1410" s="922"/>
      <c r="FO1410" s="922"/>
      <c r="FP1410" s="922"/>
      <c r="FQ1410" s="922"/>
      <c r="FR1410" s="922"/>
      <c r="FS1410" s="922"/>
      <c r="FT1410" s="922"/>
      <c r="FU1410" s="922"/>
      <c r="FV1410" s="922"/>
      <c r="FW1410" s="922"/>
      <c r="FX1410" s="922"/>
      <c r="FY1410" s="922"/>
      <c r="FZ1410" s="922"/>
      <c r="GA1410" s="922"/>
      <c r="GB1410" s="922"/>
      <c r="GC1410" s="922"/>
      <c r="GD1410" s="922"/>
      <c r="GE1410" s="922"/>
      <c r="GF1410" s="922"/>
      <c r="GG1410" s="922"/>
      <c r="GH1410" s="922"/>
      <c r="GI1410" s="922"/>
      <c r="GJ1410" s="922"/>
      <c r="GK1410" s="922"/>
      <c r="GL1410" s="922"/>
      <c r="GM1410" s="922"/>
      <c r="GN1410" s="922"/>
      <c r="GO1410" s="922"/>
      <c r="GP1410" s="922"/>
      <c r="GQ1410" s="922"/>
      <c r="GR1410" s="922"/>
      <c r="GS1410" s="922"/>
      <c r="GT1410" s="922"/>
      <c r="GU1410" s="922"/>
      <c r="GV1410" s="922"/>
      <c r="GW1410" s="922"/>
      <c r="GX1410" s="922"/>
      <c r="GY1410" s="922"/>
      <c r="GZ1410" s="922"/>
      <c r="HA1410" s="922"/>
      <c r="HB1410" s="922"/>
      <c r="HC1410" s="922"/>
      <c r="HD1410" s="922"/>
      <c r="HE1410" s="922"/>
      <c r="HF1410" s="922"/>
      <c r="HG1410" s="922"/>
      <c r="HH1410" s="922"/>
      <c r="HI1410" s="922"/>
      <c r="HJ1410" s="922"/>
      <c r="HK1410" s="922"/>
      <c r="HL1410" s="922"/>
      <c r="HM1410" s="922"/>
      <c r="HN1410" s="922"/>
      <c r="HO1410" s="922"/>
      <c r="HP1410" s="922"/>
      <c r="HQ1410" s="922"/>
      <c r="HR1410" s="922"/>
      <c r="HS1410" s="922"/>
      <c r="HT1410" s="922"/>
      <c r="HU1410" s="922"/>
      <c r="HV1410" s="922"/>
      <c r="HW1410" s="922"/>
      <c r="HX1410" s="922"/>
      <c r="HY1410" s="922"/>
      <c r="HZ1410" s="922"/>
      <c r="IA1410" s="922"/>
      <c r="IB1410" s="922"/>
      <c r="IC1410" s="922"/>
      <c r="ID1410" s="922"/>
      <c r="IE1410" s="922"/>
      <c r="IF1410" s="922"/>
      <c r="IG1410" s="922"/>
      <c r="IH1410" s="922"/>
      <c r="II1410" s="922"/>
      <c r="IJ1410" s="922"/>
      <c r="IK1410" s="922"/>
      <c r="IL1410" s="922"/>
      <c r="IM1410" s="922"/>
      <c r="IN1410" s="922"/>
      <c r="IO1410" s="922"/>
      <c r="IP1410" s="922"/>
      <c r="IQ1410" s="922"/>
      <c r="IR1410" s="922"/>
      <c r="IS1410" s="922"/>
      <c r="IT1410" s="922"/>
      <c r="IU1410" s="922"/>
    </row>
    <row r="1411" spans="1:255" ht="31.5">
      <c r="A1411" s="871"/>
      <c r="B1411" s="891" t="s">
        <v>2623</v>
      </c>
      <c r="C1411" s="873"/>
      <c r="D1411" s="873"/>
      <c r="E1411" s="888"/>
      <c r="F1411" s="873"/>
      <c r="G1411" s="875"/>
      <c r="H1411" s="876">
        <f>H1408</f>
        <v>828</v>
      </c>
      <c r="I1411" s="877"/>
    </row>
    <row r="1412" spans="1:255" ht="18">
      <c r="A1412" s="871"/>
      <c r="B1412" s="891"/>
      <c r="C1412" s="873"/>
      <c r="D1412" s="873"/>
      <c r="E1412" s="888"/>
      <c r="F1412" s="873"/>
      <c r="G1412" s="896" t="s">
        <v>57</v>
      </c>
      <c r="H1412" s="896">
        <f>SUM(H1411)</f>
        <v>828</v>
      </c>
      <c r="I1412" s="894" t="s">
        <v>2234</v>
      </c>
    </row>
    <row r="1413" spans="1:255">
      <c r="A1413" s="871"/>
      <c r="B1413" s="891"/>
      <c r="C1413" s="873"/>
      <c r="D1413" s="873"/>
      <c r="E1413" s="888"/>
      <c r="F1413" s="873"/>
      <c r="G1413" s="875"/>
      <c r="H1413" s="876"/>
      <c r="I1413" s="902"/>
    </row>
    <row r="1414" spans="1:255">
      <c r="A1414" s="871">
        <v>38.700000000000003</v>
      </c>
      <c r="B1414" s="933" t="s">
        <v>302</v>
      </c>
      <c r="C1414" s="935"/>
      <c r="D1414" s="935"/>
      <c r="E1414" s="937"/>
      <c r="F1414" s="935"/>
      <c r="G1414" s="892"/>
      <c r="H1414" s="892"/>
      <c r="I1414" s="897"/>
      <c r="K1414" s="922"/>
      <c r="L1414" s="922"/>
      <c r="M1414" s="922"/>
      <c r="N1414" s="922"/>
      <c r="O1414" s="922"/>
      <c r="P1414" s="922"/>
      <c r="Q1414" s="922"/>
      <c r="R1414" s="922"/>
      <c r="S1414" s="922"/>
      <c r="T1414" s="922"/>
      <c r="U1414" s="922"/>
      <c r="V1414" s="922"/>
      <c r="W1414" s="922"/>
      <c r="X1414" s="922"/>
      <c r="Y1414" s="922"/>
      <c r="Z1414" s="922"/>
      <c r="AA1414" s="922"/>
      <c r="AB1414" s="922"/>
      <c r="AC1414" s="922"/>
      <c r="AD1414" s="922"/>
      <c r="AE1414" s="922"/>
      <c r="AF1414" s="922"/>
      <c r="AG1414" s="922"/>
      <c r="AH1414" s="922"/>
      <c r="AI1414" s="922"/>
      <c r="AJ1414" s="922"/>
      <c r="AK1414" s="922"/>
      <c r="AL1414" s="922"/>
      <c r="AM1414" s="922"/>
      <c r="AN1414" s="922"/>
      <c r="AO1414" s="922"/>
      <c r="AP1414" s="922"/>
      <c r="AQ1414" s="922"/>
      <c r="AR1414" s="922"/>
      <c r="AS1414" s="922"/>
      <c r="AT1414" s="922"/>
      <c r="AU1414" s="922"/>
      <c r="AV1414" s="922"/>
      <c r="AW1414" s="922"/>
      <c r="AX1414" s="922"/>
      <c r="AY1414" s="922"/>
      <c r="AZ1414" s="922"/>
      <c r="BA1414" s="922"/>
      <c r="BB1414" s="922"/>
      <c r="BC1414" s="922"/>
      <c r="BD1414" s="922"/>
      <c r="BE1414" s="922"/>
      <c r="BF1414" s="922"/>
      <c r="BG1414" s="922"/>
      <c r="BH1414" s="922"/>
      <c r="BI1414" s="922"/>
      <c r="BJ1414" s="922"/>
      <c r="BK1414" s="922"/>
      <c r="BL1414" s="922"/>
      <c r="BM1414" s="922"/>
      <c r="BN1414" s="922"/>
      <c r="BO1414" s="922"/>
      <c r="BP1414" s="922"/>
      <c r="BQ1414" s="922"/>
      <c r="BR1414" s="922"/>
      <c r="BS1414" s="922"/>
      <c r="BT1414" s="922"/>
      <c r="BU1414" s="922"/>
      <c r="BV1414" s="922"/>
      <c r="BW1414" s="922"/>
      <c r="BX1414" s="922"/>
      <c r="BY1414" s="922"/>
      <c r="BZ1414" s="922"/>
      <c r="CA1414" s="922"/>
      <c r="CB1414" s="922"/>
      <c r="CC1414" s="922"/>
      <c r="CD1414" s="922"/>
      <c r="CE1414" s="922"/>
      <c r="CF1414" s="922"/>
      <c r="CG1414" s="922"/>
      <c r="CH1414" s="922"/>
      <c r="CI1414" s="922"/>
      <c r="CJ1414" s="922"/>
      <c r="CK1414" s="922"/>
      <c r="CL1414" s="922"/>
      <c r="CM1414" s="922"/>
      <c r="CN1414" s="922"/>
      <c r="CO1414" s="922"/>
      <c r="CP1414" s="922"/>
      <c r="CQ1414" s="922"/>
      <c r="CR1414" s="922"/>
      <c r="CS1414" s="922"/>
      <c r="CT1414" s="922"/>
      <c r="CU1414" s="922"/>
      <c r="CV1414" s="922"/>
      <c r="CW1414" s="922"/>
      <c r="CX1414" s="922"/>
      <c r="CY1414" s="922"/>
      <c r="CZ1414" s="922"/>
      <c r="DA1414" s="922"/>
      <c r="DB1414" s="922"/>
      <c r="DC1414" s="922"/>
      <c r="DD1414" s="922"/>
      <c r="DE1414" s="922"/>
      <c r="DF1414" s="922"/>
      <c r="DG1414" s="922"/>
      <c r="DH1414" s="922"/>
      <c r="DI1414" s="922"/>
      <c r="DJ1414" s="922"/>
      <c r="DK1414" s="922"/>
      <c r="DL1414" s="922"/>
      <c r="DM1414" s="922"/>
      <c r="DN1414" s="922"/>
      <c r="DO1414" s="922"/>
      <c r="DP1414" s="922"/>
      <c r="DQ1414" s="922"/>
      <c r="DR1414" s="922"/>
      <c r="DS1414" s="922"/>
      <c r="DT1414" s="922"/>
      <c r="DU1414" s="922"/>
      <c r="DV1414" s="922"/>
      <c r="DW1414" s="922"/>
      <c r="DX1414" s="922"/>
      <c r="DY1414" s="922"/>
      <c r="DZ1414" s="922"/>
      <c r="EA1414" s="922"/>
      <c r="EB1414" s="922"/>
      <c r="EC1414" s="922"/>
      <c r="ED1414" s="922"/>
      <c r="EE1414" s="922"/>
      <c r="EF1414" s="922"/>
      <c r="EG1414" s="922"/>
      <c r="EH1414" s="922"/>
      <c r="EI1414" s="922"/>
      <c r="EJ1414" s="922"/>
      <c r="EK1414" s="922"/>
      <c r="EL1414" s="922"/>
      <c r="EM1414" s="922"/>
      <c r="EN1414" s="922"/>
      <c r="EO1414" s="922"/>
      <c r="EP1414" s="922"/>
      <c r="EQ1414" s="922"/>
      <c r="ER1414" s="922"/>
      <c r="ES1414" s="922"/>
      <c r="ET1414" s="922"/>
      <c r="EU1414" s="922"/>
      <c r="EV1414" s="922"/>
      <c r="EW1414" s="922"/>
      <c r="EX1414" s="922"/>
      <c r="EY1414" s="922"/>
      <c r="EZ1414" s="922"/>
      <c r="FA1414" s="922"/>
      <c r="FB1414" s="922"/>
      <c r="FC1414" s="922"/>
      <c r="FD1414" s="922"/>
      <c r="FE1414" s="922"/>
      <c r="FF1414" s="922"/>
      <c r="FG1414" s="922"/>
      <c r="FH1414" s="922"/>
      <c r="FI1414" s="922"/>
      <c r="FJ1414" s="922"/>
      <c r="FK1414" s="922"/>
      <c r="FL1414" s="922"/>
      <c r="FM1414" s="922"/>
      <c r="FN1414" s="922"/>
      <c r="FO1414" s="922"/>
      <c r="FP1414" s="922"/>
      <c r="FQ1414" s="922"/>
      <c r="FR1414" s="922"/>
      <c r="FS1414" s="922"/>
      <c r="FT1414" s="922"/>
      <c r="FU1414" s="922"/>
      <c r="FV1414" s="922"/>
      <c r="FW1414" s="922"/>
      <c r="FX1414" s="922"/>
      <c r="FY1414" s="922"/>
      <c r="FZ1414" s="922"/>
      <c r="GA1414" s="922"/>
      <c r="GB1414" s="922"/>
      <c r="GC1414" s="922"/>
      <c r="GD1414" s="922"/>
      <c r="GE1414" s="922"/>
      <c r="GF1414" s="922"/>
      <c r="GG1414" s="922"/>
      <c r="GH1414" s="922"/>
      <c r="GI1414" s="922"/>
      <c r="GJ1414" s="922"/>
      <c r="GK1414" s="922"/>
      <c r="GL1414" s="922"/>
      <c r="GM1414" s="922"/>
      <c r="GN1414" s="922"/>
      <c r="GO1414" s="922"/>
      <c r="GP1414" s="922"/>
      <c r="GQ1414" s="922"/>
      <c r="GR1414" s="922"/>
      <c r="GS1414" s="922"/>
      <c r="GT1414" s="922"/>
      <c r="GU1414" s="922"/>
      <c r="GV1414" s="922"/>
      <c r="GW1414" s="922"/>
      <c r="GX1414" s="922"/>
      <c r="GY1414" s="922"/>
      <c r="GZ1414" s="922"/>
      <c r="HA1414" s="922"/>
      <c r="HB1414" s="922"/>
      <c r="HC1414" s="922"/>
      <c r="HD1414" s="922"/>
      <c r="HE1414" s="922"/>
      <c r="HF1414" s="922"/>
      <c r="HG1414" s="922"/>
      <c r="HH1414" s="922"/>
      <c r="HI1414" s="922"/>
      <c r="HJ1414" s="922"/>
      <c r="HK1414" s="922"/>
      <c r="HL1414" s="922"/>
      <c r="HM1414" s="922"/>
      <c r="HN1414" s="922"/>
      <c r="HO1414" s="922"/>
      <c r="HP1414" s="922"/>
      <c r="HQ1414" s="922"/>
      <c r="HR1414" s="922"/>
      <c r="HS1414" s="922"/>
      <c r="HT1414" s="922"/>
      <c r="HU1414" s="922"/>
      <c r="HV1414" s="922"/>
      <c r="HW1414" s="922"/>
      <c r="HX1414" s="922"/>
      <c r="HY1414" s="922"/>
      <c r="HZ1414" s="922"/>
      <c r="IA1414" s="922"/>
      <c r="IB1414" s="922"/>
      <c r="IC1414" s="922"/>
      <c r="ID1414" s="922"/>
      <c r="IE1414" s="922"/>
      <c r="IF1414" s="922"/>
      <c r="IG1414" s="922"/>
      <c r="IH1414" s="922"/>
      <c r="II1414" s="922"/>
      <c r="IJ1414" s="922"/>
      <c r="IK1414" s="922"/>
      <c r="IL1414" s="922"/>
      <c r="IM1414" s="922"/>
      <c r="IN1414" s="922"/>
      <c r="IO1414" s="922"/>
      <c r="IP1414" s="922"/>
      <c r="IQ1414" s="922"/>
      <c r="IR1414" s="922"/>
      <c r="IS1414" s="922"/>
      <c r="IT1414" s="922"/>
      <c r="IU1414" s="922"/>
    </row>
    <row r="1415" spans="1:255">
      <c r="A1415" s="871"/>
      <c r="B1415" s="932" t="s">
        <v>2624</v>
      </c>
      <c r="C1415" s="873">
        <v>1</v>
      </c>
      <c r="D1415" s="873">
        <v>1</v>
      </c>
      <c r="E1415" s="888">
        <f>2*(9+11.82+2.33)</f>
        <v>46.3</v>
      </c>
      <c r="F1415" s="873"/>
      <c r="G1415" s="876">
        <f>1.2+3.3+3.3+1.2+0.23+1.2</f>
        <v>10.43</v>
      </c>
      <c r="H1415" s="876">
        <f t="shared" ref="H1415:H1431" si="47">PRODUCT(C1415:G1415)</f>
        <v>482.90899999999993</v>
      </c>
      <c r="I1415" s="877"/>
    </row>
    <row r="1416" spans="1:255">
      <c r="A1416" s="871"/>
      <c r="B1416" s="891" t="s">
        <v>2338</v>
      </c>
      <c r="C1416" s="873">
        <v>-1</v>
      </c>
      <c r="D1416" s="873">
        <v>1</v>
      </c>
      <c r="E1416" s="888">
        <v>1.8</v>
      </c>
      <c r="F1416" s="873"/>
      <c r="G1416" s="876">
        <v>2.1</v>
      </c>
      <c r="H1416" s="876">
        <f t="shared" si="47"/>
        <v>-3.7800000000000002</v>
      </c>
      <c r="I1416" s="877"/>
    </row>
    <row r="1417" spans="1:255">
      <c r="A1417" s="871"/>
      <c r="B1417" s="891" t="s">
        <v>2339</v>
      </c>
      <c r="C1417" s="873">
        <v>-1</v>
      </c>
      <c r="D1417" s="873">
        <v>1</v>
      </c>
      <c r="E1417" s="888">
        <v>1.2</v>
      </c>
      <c r="F1417" s="873"/>
      <c r="G1417" s="876">
        <v>2</v>
      </c>
      <c r="H1417" s="876">
        <f t="shared" si="47"/>
        <v>-2.4</v>
      </c>
      <c r="I1417" s="877"/>
    </row>
    <row r="1418" spans="1:255">
      <c r="A1418" s="871"/>
      <c r="B1418" s="891" t="s">
        <v>2181</v>
      </c>
      <c r="C1418" s="873">
        <v>-1</v>
      </c>
      <c r="D1418" s="873">
        <v>10</v>
      </c>
      <c r="E1418" s="888">
        <v>1.5</v>
      </c>
      <c r="F1418" s="873"/>
      <c r="G1418" s="876">
        <v>1.35</v>
      </c>
      <c r="H1418" s="876">
        <f t="shared" si="47"/>
        <v>-20.25</v>
      </c>
      <c r="I1418" s="877"/>
    </row>
    <row r="1419" spans="1:255">
      <c r="A1419" s="871"/>
      <c r="B1419" s="891" t="s">
        <v>2183</v>
      </c>
      <c r="C1419" s="873">
        <v>-1</v>
      </c>
      <c r="D1419" s="873">
        <v>2</v>
      </c>
      <c r="E1419" s="888">
        <v>1.5</v>
      </c>
      <c r="F1419" s="873"/>
      <c r="G1419" s="876">
        <v>1.35</v>
      </c>
      <c r="H1419" s="876">
        <f t="shared" si="47"/>
        <v>-4.0500000000000007</v>
      </c>
      <c r="I1419" s="877"/>
    </row>
    <row r="1420" spans="1:255">
      <c r="A1420" s="871"/>
      <c r="B1420" s="891" t="s">
        <v>2184</v>
      </c>
      <c r="C1420" s="873">
        <v>-1</v>
      </c>
      <c r="D1420" s="873">
        <v>2</v>
      </c>
      <c r="E1420" s="888">
        <v>1.35</v>
      </c>
      <c r="F1420" s="873"/>
      <c r="G1420" s="876">
        <v>0.6</v>
      </c>
      <c r="H1420" s="876">
        <f t="shared" si="47"/>
        <v>-1.62</v>
      </c>
      <c r="I1420" s="877"/>
    </row>
    <row r="1421" spans="1:255">
      <c r="A1421" s="871"/>
      <c r="B1421" s="891" t="s">
        <v>2206</v>
      </c>
      <c r="C1421" s="873">
        <v>-1</v>
      </c>
      <c r="D1421" s="873">
        <v>1</v>
      </c>
      <c r="E1421" s="888">
        <v>0.9</v>
      </c>
      <c r="F1421" s="873"/>
      <c r="G1421" s="876">
        <v>0.6</v>
      </c>
      <c r="H1421" s="876">
        <f t="shared" si="47"/>
        <v>-0.54</v>
      </c>
      <c r="I1421" s="877"/>
    </row>
    <row r="1422" spans="1:255">
      <c r="A1422" s="871"/>
      <c r="B1422" s="891" t="s">
        <v>2185</v>
      </c>
      <c r="C1422" s="873">
        <v>-1</v>
      </c>
      <c r="D1422" s="873">
        <v>6</v>
      </c>
      <c r="E1422" s="888">
        <v>0.75</v>
      </c>
      <c r="F1422" s="873"/>
      <c r="G1422" s="876">
        <v>0.6</v>
      </c>
      <c r="H1422" s="876">
        <f t="shared" si="47"/>
        <v>-2.6999999999999997</v>
      </c>
      <c r="I1422" s="877"/>
    </row>
    <row r="1423" spans="1:255">
      <c r="A1423" s="871"/>
      <c r="B1423" s="891" t="s">
        <v>2189</v>
      </c>
      <c r="C1423" s="873">
        <v>-1</v>
      </c>
      <c r="D1423" s="873">
        <v>1</v>
      </c>
      <c r="E1423" s="888">
        <v>1</v>
      </c>
      <c r="F1423" s="873"/>
      <c r="G1423" s="876">
        <v>2.1</v>
      </c>
      <c r="H1423" s="876">
        <f t="shared" si="47"/>
        <v>-2.1</v>
      </c>
      <c r="I1423" s="877"/>
    </row>
    <row r="1424" spans="1:255">
      <c r="A1424" s="871"/>
      <c r="B1424" s="891" t="s">
        <v>2341</v>
      </c>
      <c r="C1424" s="873">
        <v>-1</v>
      </c>
      <c r="D1424" s="873">
        <v>1</v>
      </c>
      <c r="E1424" s="888">
        <v>0.75</v>
      </c>
      <c r="F1424" s="873"/>
      <c r="G1424" s="876">
        <v>2.1</v>
      </c>
      <c r="H1424" s="876">
        <f t="shared" si="47"/>
        <v>-1.5750000000000002</v>
      </c>
      <c r="I1424" s="877"/>
    </row>
    <row r="1425" spans="1:9">
      <c r="A1425" s="871"/>
      <c r="B1425" s="891" t="s">
        <v>2358</v>
      </c>
      <c r="C1425" s="873">
        <v>-1</v>
      </c>
      <c r="D1425" s="873">
        <v>1</v>
      </c>
      <c r="E1425" s="888">
        <v>1.8</v>
      </c>
      <c r="F1425" s="873"/>
      <c r="G1425" s="876">
        <v>2.2000000000000002</v>
      </c>
      <c r="H1425" s="876">
        <f t="shared" si="47"/>
        <v>-3.9600000000000004</v>
      </c>
      <c r="I1425" s="877"/>
    </row>
    <row r="1426" spans="1:9">
      <c r="A1426" s="871"/>
      <c r="B1426" s="891" t="s">
        <v>2360</v>
      </c>
      <c r="C1426" s="873">
        <v>1</v>
      </c>
      <c r="D1426" s="873">
        <v>1</v>
      </c>
      <c r="E1426" s="888">
        <f>5.75+5.75+4.5</f>
        <v>16</v>
      </c>
      <c r="F1426" s="873"/>
      <c r="G1426" s="876">
        <f>0.4+1.2</f>
        <v>1.6</v>
      </c>
      <c r="H1426" s="876">
        <f t="shared" si="47"/>
        <v>25.6</v>
      </c>
      <c r="I1426" s="877"/>
    </row>
    <row r="1427" spans="1:9">
      <c r="A1427" s="871"/>
      <c r="B1427" s="891" t="s">
        <v>2361</v>
      </c>
      <c r="C1427" s="873">
        <v>1</v>
      </c>
      <c r="D1427" s="873">
        <v>1</v>
      </c>
      <c r="E1427" s="888">
        <f>E1426-0.23-0.23</f>
        <v>15.54</v>
      </c>
      <c r="F1427" s="873"/>
      <c r="G1427" s="876">
        <v>1.2</v>
      </c>
      <c r="H1427" s="876">
        <f t="shared" si="47"/>
        <v>18.648</v>
      </c>
      <c r="I1427" s="877"/>
    </row>
    <row r="1428" spans="1:9">
      <c r="A1428" s="871"/>
      <c r="B1428" s="891" t="s">
        <v>2362</v>
      </c>
      <c r="C1428" s="873">
        <v>4</v>
      </c>
      <c r="D1428" s="873">
        <v>2</v>
      </c>
      <c r="E1428" s="888">
        <v>0.12</v>
      </c>
      <c r="F1428" s="873"/>
      <c r="G1428" s="876">
        <v>1.2</v>
      </c>
      <c r="H1428" s="876">
        <f t="shared" si="47"/>
        <v>1.1519999999999999</v>
      </c>
      <c r="I1428" s="877"/>
    </row>
    <row r="1429" spans="1:9">
      <c r="A1429" s="871"/>
      <c r="B1429" s="891" t="s">
        <v>2363</v>
      </c>
      <c r="C1429" s="873">
        <v>1</v>
      </c>
      <c r="D1429" s="873">
        <v>1</v>
      </c>
      <c r="E1429" s="888">
        <f>2*(2.4+1.2+3+2.515+0.46+0.46+0.46+0.46)</f>
        <v>21.910000000000007</v>
      </c>
      <c r="F1429" s="873"/>
      <c r="G1429" s="876">
        <f>3.3+0.6+0.23+0.6</f>
        <v>4.7299999999999995</v>
      </c>
      <c r="H1429" s="876">
        <f t="shared" si="47"/>
        <v>103.63430000000002</v>
      </c>
      <c r="I1429" s="877"/>
    </row>
    <row r="1430" spans="1:9">
      <c r="A1430" s="871"/>
      <c r="B1430" s="891" t="s">
        <v>2189</v>
      </c>
      <c r="C1430" s="873">
        <v>-1</v>
      </c>
      <c r="D1430" s="873">
        <v>1</v>
      </c>
      <c r="E1430" s="888">
        <v>1</v>
      </c>
      <c r="F1430" s="873"/>
      <c r="G1430" s="876">
        <v>2.1</v>
      </c>
      <c r="H1430" s="876">
        <f t="shared" si="47"/>
        <v>-2.1</v>
      </c>
      <c r="I1430" s="877"/>
    </row>
    <row r="1431" spans="1:9">
      <c r="A1431" s="871"/>
      <c r="B1431" s="891" t="s">
        <v>2358</v>
      </c>
      <c r="C1431" s="873">
        <v>-1</v>
      </c>
      <c r="D1431" s="873">
        <v>1</v>
      </c>
      <c r="E1431" s="888">
        <v>1.8</v>
      </c>
      <c r="F1431" s="873"/>
      <c r="G1431" s="876">
        <v>2.2000000000000002</v>
      </c>
      <c r="H1431" s="876">
        <f t="shared" si="47"/>
        <v>-3.9600000000000004</v>
      </c>
      <c r="I1431" s="877"/>
    </row>
    <row r="1432" spans="1:9">
      <c r="A1432" s="871"/>
      <c r="B1432" s="891"/>
      <c r="C1432" s="873"/>
      <c r="D1432" s="873"/>
      <c r="E1432" s="888"/>
      <c r="F1432" s="873"/>
      <c r="G1432" s="876" t="s">
        <v>57</v>
      </c>
      <c r="H1432" s="876">
        <f>SUM(H1415:H1431)</f>
        <v>582.90829999999994</v>
      </c>
      <c r="I1432" s="877"/>
    </row>
    <row r="1433" spans="1:9" ht="18">
      <c r="A1433" s="871"/>
      <c r="B1433" s="891"/>
      <c r="C1433" s="873" t="s">
        <v>2369</v>
      </c>
      <c r="D1433" s="873"/>
      <c r="E1433" s="888"/>
      <c r="F1433" s="873"/>
      <c r="G1433" s="892" t="s">
        <v>206</v>
      </c>
      <c r="H1433" s="896">
        <f>ROUNDUP(H1432,0)</f>
        <v>583</v>
      </c>
      <c r="I1433" s="894" t="s">
        <v>2234</v>
      </c>
    </row>
    <row r="1434" spans="1:9">
      <c r="A1434" s="871"/>
      <c r="B1434" s="891"/>
      <c r="C1434" s="873"/>
      <c r="D1434" s="873"/>
      <c r="E1434" s="888"/>
      <c r="F1434" s="873"/>
      <c r="G1434" s="875"/>
      <c r="H1434" s="913"/>
      <c r="I1434" s="902"/>
    </row>
    <row r="1435" spans="1:9" ht="47.25">
      <c r="A1435" s="871">
        <v>43.1</v>
      </c>
      <c r="B1435" s="891" t="s">
        <v>2625</v>
      </c>
      <c r="C1435" s="873"/>
      <c r="D1435" s="873"/>
      <c r="E1435" s="874"/>
      <c r="F1435" s="873"/>
      <c r="G1435" s="909"/>
      <c r="H1435" s="875"/>
      <c r="I1435" s="877"/>
    </row>
    <row r="1436" spans="1:9">
      <c r="A1436" s="871"/>
      <c r="B1436" s="960" t="s">
        <v>2626</v>
      </c>
      <c r="C1436" s="961"/>
      <c r="D1436" s="961"/>
      <c r="E1436" s="962">
        <f>H121+H198+H241+H251</f>
        <v>98.1</v>
      </c>
      <c r="F1436" s="962"/>
      <c r="G1436" s="963"/>
      <c r="H1436" s="896">
        <f>E1436</f>
        <v>98.1</v>
      </c>
      <c r="I1436" s="964"/>
    </row>
    <row r="1437" spans="1:9">
      <c r="A1437" s="871"/>
      <c r="B1437" s="960" t="s">
        <v>2627</v>
      </c>
      <c r="C1437" s="961"/>
      <c r="D1437" s="961"/>
      <c r="E1437" s="962">
        <f>H437+H443+H451</f>
        <v>17.899999999999999</v>
      </c>
      <c r="F1437" s="962">
        <v>0.04</v>
      </c>
      <c r="G1437" s="963"/>
      <c r="H1437" s="896">
        <f>E1437*F1437</f>
        <v>0.71599999999999997</v>
      </c>
      <c r="I1437" s="964"/>
    </row>
    <row r="1438" spans="1:9">
      <c r="A1438" s="871"/>
      <c r="B1438" s="960" t="s">
        <v>2628</v>
      </c>
      <c r="C1438" s="961"/>
      <c r="D1438" s="961"/>
      <c r="E1438" s="962">
        <f>H423+H432</f>
        <v>34.800000000000004</v>
      </c>
      <c r="F1438" s="962">
        <v>0.02</v>
      </c>
      <c r="G1438" s="963"/>
      <c r="H1438" s="896">
        <f>E1438*F1438</f>
        <v>0.69600000000000006</v>
      </c>
      <c r="I1438" s="964"/>
    </row>
    <row r="1439" spans="1:9">
      <c r="A1439" s="871"/>
      <c r="B1439" s="960"/>
      <c r="C1439" s="961"/>
      <c r="D1439" s="961"/>
      <c r="E1439" s="962"/>
      <c r="F1439" s="962"/>
      <c r="G1439" s="963"/>
      <c r="H1439" s="896">
        <f>SUM(H1436:H1438)</f>
        <v>99.511999999999986</v>
      </c>
      <c r="I1439" s="964" t="s">
        <v>16</v>
      </c>
    </row>
    <row r="1440" spans="1:9">
      <c r="A1440" s="871"/>
      <c r="B1440" s="960"/>
      <c r="C1440" s="961"/>
      <c r="D1440" s="961"/>
      <c r="E1440" s="962">
        <f>H1439</f>
        <v>99.511999999999986</v>
      </c>
      <c r="F1440" s="962"/>
      <c r="G1440" s="965">
        <v>120</v>
      </c>
      <c r="H1440" s="896">
        <f>E1440*G1440</f>
        <v>11941.439999999999</v>
      </c>
      <c r="I1440" s="964" t="s">
        <v>165</v>
      </c>
    </row>
    <row r="1441" spans="1:20">
      <c r="A1441" s="871"/>
      <c r="B1441" s="961"/>
      <c r="C1441" s="961"/>
      <c r="D1441" s="961"/>
      <c r="E1441" s="961"/>
      <c r="F1441" s="961"/>
      <c r="G1441" s="966" t="s">
        <v>96</v>
      </c>
      <c r="H1441" s="967">
        <f>H1440/1000</f>
        <v>11.941439999999998</v>
      </c>
      <c r="I1441" s="967" t="s">
        <v>197</v>
      </c>
      <c r="J1441" s="864">
        <f>SUM(J1436:J1436)</f>
        <v>0</v>
      </c>
    </row>
    <row r="1442" spans="1:20">
      <c r="A1442" s="871"/>
      <c r="B1442" s="961"/>
      <c r="C1442" s="961"/>
      <c r="D1442" s="961"/>
      <c r="E1442" s="961"/>
      <c r="F1442" s="961"/>
      <c r="G1442" s="963"/>
      <c r="H1442" s="968"/>
      <c r="I1442" s="967"/>
    </row>
    <row r="1443" spans="1:20" ht="47.25">
      <c r="A1443" s="871">
        <v>44.2</v>
      </c>
      <c r="B1443" s="886" t="s">
        <v>2629</v>
      </c>
      <c r="C1443" s="969"/>
      <c r="D1443" s="969"/>
      <c r="E1443" s="969"/>
      <c r="F1443" s="969"/>
      <c r="G1443" s="876"/>
      <c r="H1443" s="876"/>
      <c r="I1443" s="877"/>
      <c r="M1443" s="866"/>
      <c r="N1443" s="866"/>
      <c r="O1443" s="866"/>
      <c r="P1443" s="866"/>
      <c r="Q1443" s="866"/>
      <c r="R1443" s="866"/>
      <c r="S1443" s="866"/>
      <c r="T1443" s="866"/>
    </row>
    <row r="1444" spans="1:20">
      <c r="A1444" s="871"/>
      <c r="B1444" s="886" t="s">
        <v>2630</v>
      </c>
      <c r="C1444" s="969">
        <v>1</v>
      </c>
      <c r="D1444" s="969">
        <v>4</v>
      </c>
      <c r="E1444" s="969"/>
      <c r="F1444" s="969"/>
      <c r="G1444" s="876"/>
      <c r="H1444" s="896">
        <f>PRODUCT(C1444:G1444)</f>
        <v>4</v>
      </c>
      <c r="I1444" s="897" t="s">
        <v>4</v>
      </c>
      <c r="M1444" s="866"/>
      <c r="N1444" s="866"/>
      <c r="O1444" s="866"/>
      <c r="P1444" s="866"/>
      <c r="Q1444" s="866"/>
      <c r="R1444" s="866"/>
      <c r="S1444" s="866"/>
      <c r="T1444" s="866"/>
    </row>
    <row r="1445" spans="1:20">
      <c r="A1445" s="871"/>
      <c r="B1445" s="886" t="s">
        <v>2631</v>
      </c>
      <c r="C1445" s="969">
        <v>1</v>
      </c>
      <c r="D1445" s="969">
        <v>4</v>
      </c>
      <c r="E1445" s="969">
        <v>3</v>
      </c>
      <c r="F1445" s="969"/>
      <c r="G1445" s="875"/>
      <c r="H1445" s="896">
        <f>PRODUCT(C1445:G1445)</f>
        <v>12</v>
      </c>
      <c r="I1445" s="897" t="s">
        <v>61</v>
      </c>
      <c r="M1445" s="866"/>
      <c r="N1445" s="866"/>
      <c r="O1445" s="866"/>
      <c r="P1445" s="866"/>
      <c r="Q1445" s="866"/>
      <c r="R1445" s="866"/>
      <c r="S1445" s="866"/>
      <c r="T1445" s="866"/>
    </row>
    <row r="1446" spans="1:20">
      <c r="A1446" s="871"/>
      <c r="B1446" s="886"/>
      <c r="C1446" s="969"/>
      <c r="D1446" s="969"/>
      <c r="E1446" s="969"/>
      <c r="F1446" s="969"/>
      <c r="G1446" s="876"/>
      <c r="H1446" s="876"/>
      <c r="I1446" s="877"/>
      <c r="M1446" s="866"/>
      <c r="N1446" s="866"/>
      <c r="O1446" s="866"/>
      <c r="P1446" s="866"/>
      <c r="Q1446" s="866"/>
      <c r="R1446" s="866"/>
      <c r="S1446" s="866"/>
      <c r="T1446" s="866"/>
    </row>
    <row r="1447" spans="1:20">
      <c r="A1447" s="871">
        <v>44.6</v>
      </c>
      <c r="B1447" s="891" t="s">
        <v>2632</v>
      </c>
      <c r="C1447" s="873"/>
      <c r="D1447" s="873"/>
      <c r="E1447" s="888"/>
      <c r="F1447" s="873"/>
      <c r="G1447" s="876"/>
      <c r="H1447" s="876"/>
      <c r="I1447" s="877"/>
      <c r="M1447" s="866"/>
      <c r="N1447" s="866"/>
      <c r="O1447" s="866"/>
      <c r="P1447" s="866"/>
      <c r="Q1447" s="866"/>
      <c r="R1447" s="866"/>
      <c r="S1447" s="866"/>
      <c r="T1447" s="866"/>
    </row>
    <row r="1448" spans="1:20">
      <c r="A1448" s="871"/>
      <c r="B1448" s="891" t="s">
        <v>2633</v>
      </c>
      <c r="C1448" s="873">
        <v>1</v>
      </c>
      <c r="D1448" s="873">
        <v>4</v>
      </c>
      <c r="E1448" s="888">
        <v>12</v>
      </c>
      <c r="F1448" s="873"/>
      <c r="G1448" s="875"/>
      <c r="H1448" s="876">
        <f>PRODUCT(C1448:G1448)</f>
        <v>48</v>
      </c>
      <c r="I1448" s="877"/>
    </row>
    <row r="1449" spans="1:20">
      <c r="A1449" s="871"/>
      <c r="B1449" s="891" t="s">
        <v>2634</v>
      </c>
      <c r="C1449" s="873">
        <v>1</v>
      </c>
      <c r="D1449" s="873">
        <v>1</v>
      </c>
      <c r="E1449" s="888">
        <v>4</v>
      </c>
      <c r="F1449" s="873"/>
      <c r="G1449" s="875"/>
      <c r="H1449" s="876">
        <f>PRODUCT(C1449:G1449)</f>
        <v>4</v>
      </c>
      <c r="I1449" s="877"/>
    </row>
    <row r="1450" spans="1:20">
      <c r="A1450" s="871"/>
      <c r="B1450" s="891" t="s">
        <v>2084</v>
      </c>
      <c r="C1450" s="873">
        <v>1</v>
      </c>
      <c r="D1450" s="873">
        <v>1</v>
      </c>
      <c r="E1450" s="888">
        <v>5</v>
      </c>
      <c r="F1450" s="873"/>
      <c r="G1450" s="875"/>
      <c r="H1450" s="876">
        <f>PRODUCT(C1450:G1450)</f>
        <v>5</v>
      </c>
      <c r="I1450" s="877"/>
    </row>
    <row r="1451" spans="1:20">
      <c r="A1451" s="871"/>
      <c r="B1451" s="891"/>
      <c r="C1451" s="873"/>
      <c r="D1451" s="873"/>
      <c r="E1451" s="888"/>
      <c r="F1451" s="873"/>
      <c r="G1451" s="892" t="s">
        <v>57</v>
      </c>
      <c r="H1451" s="896">
        <f>SUM(H1448:H1450)</f>
        <v>57</v>
      </c>
      <c r="I1451" s="897" t="s">
        <v>61</v>
      </c>
    </row>
    <row r="1452" spans="1:20">
      <c r="A1452" s="871"/>
      <c r="B1452" s="891"/>
      <c r="C1452" s="873"/>
      <c r="D1452" s="873"/>
      <c r="E1452" s="888"/>
      <c r="F1452" s="873"/>
      <c r="G1452" s="875"/>
      <c r="H1452" s="876"/>
      <c r="I1452" s="877"/>
    </row>
    <row r="1453" spans="1:20" ht="31.5">
      <c r="A1453" s="871">
        <v>52.4</v>
      </c>
      <c r="B1453" s="886" t="s">
        <v>1717</v>
      </c>
      <c r="C1453" s="873"/>
      <c r="D1453" s="873"/>
      <c r="E1453" s="874"/>
      <c r="F1453" s="873"/>
      <c r="G1453" s="875"/>
      <c r="H1453" s="876"/>
      <c r="I1453" s="877"/>
    </row>
    <row r="1454" spans="1:20">
      <c r="A1454" s="871"/>
      <c r="B1454" s="891" t="s">
        <v>2635</v>
      </c>
      <c r="C1454" s="873">
        <v>1</v>
      </c>
      <c r="D1454" s="873">
        <v>3</v>
      </c>
      <c r="E1454" s="888">
        <v>6</v>
      </c>
      <c r="F1454" s="873"/>
      <c r="G1454" s="875"/>
      <c r="H1454" s="876">
        <f>PRODUCT(C1454:G1454)</f>
        <v>18</v>
      </c>
      <c r="I1454" s="877"/>
    </row>
    <row r="1455" spans="1:20">
      <c r="A1455" s="871"/>
      <c r="B1455" s="891" t="s">
        <v>2636</v>
      </c>
      <c r="C1455" s="873">
        <v>1</v>
      </c>
      <c r="D1455" s="873">
        <v>2</v>
      </c>
      <c r="E1455" s="888">
        <v>4</v>
      </c>
      <c r="F1455" s="873"/>
      <c r="G1455" s="875"/>
      <c r="H1455" s="876">
        <f>PRODUCT(C1455:G1455)</f>
        <v>8</v>
      </c>
      <c r="I1455" s="877"/>
    </row>
    <row r="1456" spans="1:20">
      <c r="A1456" s="871"/>
      <c r="B1456" s="886" t="s">
        <v>2637</v>
      </c>
      <c r="C1456" s="873">
        <v>1</v>
      </c>
      <c r="D1456" s="873">
        <v>3</v>
      </c>
      <c r="E1456" s="888">
        <v>5</v>
      </c>
      <c r="F1456" s="873"/>
      <c r="G1456" s="875"/>
      <c r="H1456" s="876">
        <f>PRODUCT(C1456:G1456)</f>
        <v>15</v>
      </c>
      <c r="I1456" s="877"/>
    </row>
    <row r="1457" spans="1:9">
      <c r="A1457" s="871"/>
      <c r="B1457" s="891"/>
      <c r="C1457" s="909"/>
      <c r="D1457" s="909"/>
      <c r="E1457" s="873"/>
      <c r="F1457" s="873"/>
      <c r="G1457" s="892" t="s">
        <v>57</v>
      </c>
      <c r="H1457" s="929">
        <f>SUM(H1454:H1456)</f>
        <v>41</v>
      </c>
      <c r="I1457" s="897" t="s">
        <v>61</v>
      </c>
    </row>
    <row r="1458" spans="1:9">
      <c r="A1458" s="871"/>
      <c r="B1458" s="891"/>
      <c r="C1458" s="909"/>
      <c r="D1458" s="909"/>
      <c r="E1458" s="873"/>
      <c r="F1458" s="873"/>
      <c r="G1458" s="909"/>
      <c r="H1458" s="910"/>
      <c r="I1458" s="877"/>
    </row>
    <row r="1459" spans="1:9">
      <c r="A1459" s="871">
        <v>53.5</v>
      </c>
      <c r="B1459" s="891" t="s">
        <v>1718</v>
      </c>
      <c r="C1459" s="873"/>
      <c r="D1459" s="873"/>
      <c r="E1459" s="888"/>
      <c r="F1459" s="873"/>
      <c r="G1459" s="875"/>
      <c r="H1459" s="876"/>
      <c r="I1459" s="877"/>
    </row>
    <row r="1460" spans="1:9">
      <c r="A1460" s="871"/>
      <c r="B1460" s="891" t="s">
        <v>2638</v>
      </c>
      <c r="C1460" s="873">
        <v>1</v>
      </c>
      <c r="D1460" s="873">
        <v>3</v>
      </c>
      <c r="E1460" s="888"/>
      <c r="F1460" s="873"/>
      <c r="G1460" s="875"/>
      <c r="H1460" s="876">
        <f>PRODUCT(C1460:G1460)</f>
        <v>3</v>
      </c>
      <c r="I1460" s="877"/>
    </row>
    <row r="1461" spans="1:9">
      <c r="A1461" s="871"/>
      <c r="B1461" s="891" t="s">
        <v>2639</v>
      </c>
      <c r="C1461" s="873">
        <v>1</v>
      </c>
      <c r="D1461" s="873">
        <v>3</v>
      </c>
      <c r="E1461" s="888"/>
      <c r="F1461" s="873"/>
      <c r="G1461" s="875"/>
      <c r="H1461" s="876">
        <f>PRODUCT(C1461:G1461)</f>
        <v>3</v>
      </c>
      <c r="I1461" s="877"/>
    </row>
    <row r="1462" spans="1:9">
      <c r="A1462" s="871"/>
      <c r="B1462" s="891"/>
      <c r="C1462" s="873"/>
      <c r="D1462" s="873"/>
      <c r="E1462" s="874"/>
      <c r="F1462" s="873"/>
      <c r="G1462" s="892" t="s">
        <v>57</v>
      </c>
      <c r="H1462" s="896">
        <f>SUM(H1460:H1461)</f>
        <v>6</v>
      </c>
      <c r="I1462" s="897" t="s">
        <v>4</v>
      </c>
    </row>
    <row r="1463" spans="1:9">
      <c r="A1463" s="871"/>
      <c r="B1463" s="891"/>
      <c r="C1463" s="873"/>
      <c r="D1463" s="873"/>
      <c r="E1463" s="888"/>
      <c r="F1463" s="873"/>
      <c r="G1463" s="875"/>
      <c r="H1463" s="876"/>
      <c r="I1463" s="877"/>
    </row>
    <row r="1464" spans="1:9" ht="47.25">
      <c r="A1464" s="871">
        <v>56.3</v>
      </c>
      <c r="B1464" s="891" t="s">
        <v>2640</v>
      </c>
      <c r="C1464" s="873"/>
      <c r="D1464" s="873"/>
      <c r="E1464" s="888"/>
      <c r="F1464" s="873"/>
      <c r="G1464" s="875"/>
      <c r="H1464" s="876"/>
      <c r="I1464" s="877"/>
    </row>
    <row r="1465" spans="1:9">
      <c r="A1465" s="871"/>
      <c r="B1465" s="886" t="s">
        <v>2641</v>
      </c>
      <c r="C1465" s="873">
        <v>1</v>
      </c>
      <c r="D1465" s="873">
        <v>4</v>
      </c>
      <c r="E1465" s="888"/>
      <c r="F1465" s="873"/>
      <c r="G1465" s="875"/>
      <c r="H1465" s="876">
        <f>PRODUCT(C1465:G1465)</f>
        <v>4</v>
      </c>
      <c r="I1465" s="877"/>
    </row>
    <row r="1466" spans="1:9">
      <c r="A1466" s="871"/>
      <c r="B1466" s="891"/>
      <c r="C1466" s="873"/>
      <c r="D1466" s="873"/>
      <c r="E1466" s="888"/>
      <c r="F1466" s="873"/>
      <c r="G1466" s="892" t="s">
        <v>57</v>
      </c>
      <c r="H1466" s="896">
        <f>SUM(H1465)</f>
        <v>4</v>
      </c>
      <c r="I1466" s="897" t="s">
        <v>213</v>
      </c>
    </row>
    <row r="1467" spans="1:9">
      <c r="A1467" s="871"/>
      <c r="B1467" s="891"/>
      <c r="C1467" s="873"/>
      <c r="D1467" s="873"/>
      <c r="E1467" s="888"/>
      <c r="F1467" s="873"/>
      <c r="G1467" s="892"/>
      <c r="H1467" s="896"/>
      <c r="I1467" s="897"/>
    </row>
    <row r="1468" spans="1:9" ht="39" customHeight="1">
      <c r="A1468" s="871">
        <v>58.3</v>
      </c>
      <c r="B1468" s="886" t="s">
        <v>2642</v>
      </c>
      <c r="C1468" s="909"/>
      <c r="D1468" s="909"/>
      <c r="E1468" s="873"/>
      <c r="F1468" s="873"/>
      <c r="G1468" s="909"/>
      <c r="H1468" s="909"/>
      <c r="I1468" s="902"/>
    </row>
    <row r="1469" spans="1:9" ht="20.25" customHeight="1">
      <c r="A1469" s="871" t="s">
        <v>2058</v>
      </c>
      <c r="B1469" s="891" t="s">
        <v>2643</v>
      </c>
      <c r="C1469" s="909"/>
      <c r="D1469" s="909"/>
      <c r="E1469" s="873"/>
      <c r="F1469" s="873"/>
      <c r="G1469" s="909"/>
      <c r="H1469" s="909"/>
      <c r="I1469" s="902"/>
    </row>
    <row r="1470" spans="1:9" ht="39" customHeight="1">
      <c r="A1470" s="871"/>
      <c r="B1470" s="886" t="s">
        <v>2644</v>
      </c>
      <c r="C1470" s="873">
        <v>1</v>
      </c>
      <c r="D1470" s="873">
        <v>3</v>
      </c>
      <c r="E1470" s="888">
        <v>8</v>
      </c>
      <c r="F1470" s="873"/>
      <c r="G1470" s="875"/>
      <c r="H1470" s="876">
        <f>PRODUCT(C1470:G1470)</f>
        <v>24</v>
      </c>
      <c r="I1470" s="902"/>
    </row>
    <row r="1471" spans="1:9">
      <c r="A1471" s="871"/>
      <c r="B1471" s="891" t="s">
        <v>2645</v>
      </c>
      <c r="C1471" s="873">
        <v>1</v>
      </c>
      <c r="D1471" s="873">
        <v>2</v>
      </c>
      <c r="E1471" s="888">
        <v>3</v>
      </c>
      <c r="F1471" s="873"/>
      <c r="G1471" s="875"/>
      <c r="H1471" s="876">
        <f>PRODUCT(C1471:G1471)</f>
        <v>6</v>
      </c>
      <c r="I1471" s="902"/>
    </row>
    <row r="1472" spans="1:9">
      <c r="A1472" s="871"/>
      <c r="B1472" s="886" t="s">
        <v>2646</v>
      </c>
      <c r="C1472" s="873">
        <v>1</v>
      </c>
      <c r="D1472" s="873">
        <v>3</v>
      </c>
      <c r="E1472" s="888">
        <v>12</v>
      </c>
      <c r="F1472" s="873"/>
      <c r="G1472" s="875"/>
      <c r="H1472" s="876">
        <f>PRODUCT(C1472:G1472)</f>
        <v>36</v>
      </c>
      <c r="I1472" s="902"/>
    </row>
    <row r="1473" spans="1:11">
      <c r="A1473" s="871"/>
      <c r="B1473" s="891" t="s">
        <v>2442</v>
      </c>
      <c r="C1473" s="873">
        <v>1</v>
      </c>
      <c r="D1473" s="873">
        <v>3</v>
      </c>
      <c r="E1473" s="888">
        <v>3</v>
      </c>
      <c r="F1473" s="873"/>
      <c r="G1473" s="875"/>
      <c r="H1473" s="876">
        <f>PRODUCT(C1473:G1473)</f>
        <v>9</v>
      </c>
      <c r="I1473" s="877"/>
    </row>
    <row r="1474" spans="1:11">
      <c r="A1474" s="871"/>
      <c r="B1474" s="891"/>
      <c r="C1474" s="873"/>
      <c r="D1474" s="873"/>
      <c r="E1474" s="888"/>
      <c r="F1474" s="873"/>
      <c r="G1474" s="875" t="s">
        <v>57</v>
      </c>
      <c r="H1474" s="876">
        <f>SUM(H1470:H1473)</f>
        <v>75</v>
      </c>
      <c r="I1474" s="897"/>
    </row>
    <row r="1475" spans="1:11">
      <c r="A1475" s="871"/>
      <c r="B1475" s="891"/>
      <c r="C1475" s="873"/>
      <c r="D1475" s="873"/>
      <c r="E1475" s="888"/>
      <c r="F1475" s="873"/>
      <c r="G1475" s="892" t="s">
        <v>206</v>
      </c>
      <c r="H1475" s="893">
        <f>ROUNDUP(H1474,0)</f>
        <v>75</v>
      </c>
      <c r="I1475" s="897" t="s">
        <v>61</v>
      </c>
    </row>
    <row r="1476" spans="1:11">
      <c r="A1476" s="871"/>
      <c r="B1476" s="891"/>
      <c r="C1476" s="873"/>
      <c r="D1476" s="873"/>
      <c r="E1476" s="888"/>
      <c r="F1476" s="873"/>
      <c r="G1476" s="892"/>
      <c r="H1476" s="893"/>
      <c r="I1476" s="897"/>
    </row>
    <row r="1477" spans="1:11">
      <c r="A1477" s="871" t="s">
        <v>2142</v>
      </c>
      <c r="B1477" s="891" t="s">
        <v>2647</v>
      </c>
      <c r="C1477" s="873"/>
      <c r="D1477" s="873"/>
      <c r="E1477" s="874"/>
      <c r="F1477" s="873"/>
      <c r="G1477" s="875"/>
      <c r="H1477" s="876"/>
      <c r="I1477" s="877"/>
    </row>
    <row r="1478" spans="1:11">
      <c r="A1478" s="871"/>
      <c r="B1478" s="891" t="s">
        <v>2648</v>
      </c>
      <c r="C1478" s="873">
        <v>1</v>
      </c>
      <c r="D1478" s="873">
        <v>3</v>
      </c>
      <c r="E1478" s="888">
        <v>6</v>
      </c>
      <c r="F1478" s="873"/>
      <c r="G1478" s="875"/>
      <c r="H1478" s="876">
        <f>PRODUCT(C1478:G1478)</f>
        <v>18</v>
      </c>
      <c r="I1478" s="877"/>
    </row>
    <row r="1479" spans="1:11">
      <c r="A1479" s="871"/>
      <c r="B1479" s="886" t="s">
        <v>2649</v>
      </c>
      <c r="C1479" s="873">
        <v>1</v>
      </c>
      <c r="D1479" s="873">
        <v>2</v>
      </c>
      <c r="E1479" s="888">
        <v>6</v>
      </c>
      <c r="F1479" s="873"/>
      <c r="G1479" s="875"/>
      <c r="H1479" s="876">
        <f>PRODUCT(C1479:G1479)</f>
        <v>12</v>
      </c>
      <c r="I1479" s="877"/>
    </row>
    <row r="1480" spans="1:11" ht="16.5">
      <c r="A1480" s="871"/>
      <c r="B1480" s="891" t="s">
        <v>2650</v>
      </c>
      <c r="C1480" s="873">
        <v>1</v>
      </c>
      <c r="D1480" s="873">
        <v>3</v>
      </c>
      <c r="E1480" s="888">
        <v>9</v>
      </c>
      <c r="F1480" s="873"/>
      <c r="G1480" s="875"/>
      <c r="H1480" s="876">
        <f>PRODUCT(C1480:G1480)</f>
        <v>27</v>
      </c>
      <c r="I1480" s="877"/>
      <c r="J1480" s="970"/>
      <c r="K1480" s="864"/>
    </row>
    <row r="1481" spans="1:11" ht="16.5">
      <c r="A1481" s="871"/>
      <c r="B1481" s="891" t="s">
        <v>2651</v>
      </c>
      <c r="C1481" s="873">
        <v>1</v>
      </c>
      <c r="D1481" s="873">
        <v>3</v>
      </c>
      <c r="E1481" s="888">
        <v>3</v>
      </c>
      <c r="F1481" s="873"/>
      <c r="G1481" s="875"/>
      <c r="H1481" s="876">
        <f>PRODUCT(C1481:G1481)</f>
        <v>9</v>
      </c>
      <c r="I1481" s="877"/>
      <c r="J1481" s="970"/>
      <c r="K1481" s="864"/>
    </row>
    <row r="1482" spans="1:11" ht="16.5">
      <c r="A1482" s="871"/>
      <c r="B1482" s="891"/>
      <c r="C1482" s="873"/>
      <c r="D1482" s="873"/>
      <c r="E1482" s="874"/>
      <c r="F1482" s="873"/>
      <c r="G1482" s="875" t="s">
        <v>57</v>
      </c>
      <c r="H1482" s="876">
        <f>SUM(H1478:H1481)</f>
        <v>66</v>
      </c>
      <c r="I1482" s="877"/>
      <c r="J1482" s="970"/>
      <c r="K1482" s="864"/>
    </row>
    <row r="1483" spans="1:11" ht="16.5">
      <c r="A1483" s="871"/>
      <c r="B1483" s="891"/>
      <c r="C1483" s="873"/>
      <c r="D1483" s="873"/>
      <c r="E1483" s="874"/>
      <c r="F1483" s="873"/>
      <c r="G1483" s="892" t="s">
        <v>206</v>
      </c>
      <c r="H1483" s="893">
        <f>ROUNDUP(H1482,0)</f>
        <v>66</v>
      </c>
      <c r="I1483" s="897" t="s">
        <v>61</v>
      </c>
      <c r="J1483" s="970"/>
      <c r="K1483" s="864"/>
    </row>
    <row r="1484" spans="1:11" ht="16.5">
      <c r="A1484" s="871"/>
      <c r="B1484" s="891"/>
      <c r="C1484" s="873"/>
      <c r="D1484" s="873"/>
      <c r="E1484" s="874"/>
      <c r="F1484" s="873"/>
      <c r="G1484" s="892"/>
      <c r="H1484" s="893"/>
      <c r="I1484" s="897"/>
      <c r="J1484" s="970"/>
      <c r="K1484" s="864"/>
    </row>
    <row r="1485" spans="1:11" ht="39" customHeight="1">
      <c r="A1485" s="871">
        <v>58.4</v>
      </c>
      <c r="B1485" s="886" t="s">
        <v>2652</v>
      </c>
      <c r="C1485" s="909"/>
      <c r="D1485" s="909"/>
      <c r="E1485" s="873"/>
      <c r="F1485" s="873"/>
      <c r="G1485" s="909"/>
      <c r="H1485" s="909"/>
      <c r="I1485" s="902"/>
    </row>
    <row r="1486" spans="1:11">
      <c r="A1486" s="871"/>
      <c r="B1486" s="891" t="s">
        <v>2645</v>
      </c>
      <c r="C1486" s="873">
        <v>1</v>
      </c>
      <c r="D1486" s="873">
        <v>1</v>
      </c>
      <c r="E1486" s="888">
        <v>6</v>
      </c>
      <c r="F1486" s="873"/>
      <c r="G1486" s="875"/>
      <c r="H1486" s="876">
        <f>PRODUCT(C1486:G1486)</f>
        <v>6</v>
      </c>
      <c r="I1486" s="902"/>
    </row>
    <row r="1487" spans="1:11">
      <c r="A1487" s="871"/>
      <c r="B1487" s="891"/>
      <c r="C1487" s="873"/>
      <c r="D1487" s="873"/>
      <c r="E1487" s="888"/>
      <c r="F1487" s="873"/>
      <c r="G1487" s="892" t="s">
        <v>57</v>
      </c>
      <c r="H1487" s="896">
        <f>SUM(H1486:H1486)</f>
        <v>6</v>
      </c>
      <c r="I1487" s="897" t="s">
        <v>61</v>
      </c>
    </row>
    <row r="1488" spans="1:11" ht="16.5">
      <c r="A1488" s="871"/>
      <c r="B1488" s="891"/>
      <c r="C1488" s="873"/>
      <c r="D1488" s="873"/>
      <c r="E1488" s="874"/>
      <c r="F1488" s="873"/>
      <c r="G1488" s="892"/>
      <c r="H1488" s="896"/>
      <c r="I1488" s="897"/>
      <c r="J1488" s="970"/>
      <c r="K1488" s="864"/>
    </row>
    <row r="1489" spans="1:9">
      <c r="A1489" s="871" t="s">
        <v>2653</v>
      </c>
      <c r="B1489" s="878" t="s">
        <v>2654</v>
      </c>
      <c r="C1489" s="873"/>
      <c r="D1489" s="873"/>
      <c r="E1489" s="874"/>
      <c r="F1489" s="873"/>
      <c r="G1489" s="875"/>
      <c r="H1489" s="876"/>
      <c r="I1489" s="877"/>
    </row>
    <row r="1490" spans="1:9">
      <c r="A1490" s="871"/>
      <c r="B1490" s="932" t="s">
        <v>2655</v>
      </c>
      <c r="C1490" s="873"/>
      <c r="D1490" s="873"/>
      <c r="E1490" s="874"/>
      <c r="F1490" s="873"/>
      <c r="G1490" s="875"/>
      <c r="H1490" s="876"/>
      <c r="I1490" s="877"/>
    </row>
    <row r="1491" spans="1:9">
      <c r="A1491" s="871"/>
      <c r="B1491" s="932" t="s">
        <v>2656</v>
      </c>
      <c r="C1491" s="873"/>
      <c r="D1491" s="873"/>
      <c r="E1491" s="874"/>
      <c r="F1491" s="873"/>
      <c r="G1491" s="875"/>
      <c r="H1491" s="876"/>
      <c r="I1491" s="877"/>
    </row>
    <row r="1492" spans="1:9">
      <c r="A1492" s="871"/>
      <c r="B1492" s="891" t="s">
        <v>2084</v>
      </c>
      <c r="C1492" s="873">
        <v>1</v>
      </c>
      <c r="D1492" s="873">
        <v>2</v>
      </c>
      <c r="E1492" s="874"/>
      <c r="F1492" s="873"/>
      <c r="G1492" s="875"/>
      <c r="H1492" s="876">
        <f>PRODUCT(C1492:G1492)</f>
        <v>2</v>
      </c>
      <c r="I1492" s="877"/>
    </row>
    <row r="1493" spans="1:9">
      <c r="A1493" s="871"/>
      <c r="B1493" s="891" t="s">
        <v>2657</v>
      </c>
      <c r="C1493" s="873">
        <v>1</v>
      </c>
      <c r="D1493" s="873">
        <v>1</v>
      </c>
      <c r="E1493" s="874"/>
      <c r="F1493" s="873"/>
      <c r="G1493" s="875"/>
      <c r="H1493" s="876">
        <f t="shared" ref="H1493:H1498" si="48">PRODUCT(C1493:G1493)</f>
        <v>1</v>
      </c>
      <c r="I1493" s="877"/>
    </row>
    <row r="1494" spans="1:9">
      <c r="A1494" s="871"/>
      <c r="B1494" s="891" t="s">
        <v>2080</v>
      </c>
      <c r="C1494" s="873">
        <v>1</v>
      </c>
      <c r="D1494" s="873">
        <v>2</v>
      </c>
      <c r="E1494" s="874"/>
      <c r="F1494" s="873"/>
      <c r="G1494" s="875"/>
      <c r="H1494" s="876">
        <f t="shared" si="48"/>
        <v>2</v>
      </c>
      <c r="I1494" s="877"/>
    </row>
    <row r="1495" spans="1:9">
      <c r="A1495" s="871"/>
      <c r="B1495" s="891" t="s">
        <v>2079</v>
      </c>
      <c r="C1495" s="873">
        <v>1</v>
      </c>
      <c r="D1495" s="873">
        <v>3</v>
      </c>
      <c r="E1495" s="874"/>
      <c r="F1495" s="873"/>
      <c r="G1495" s="875"/>
      <c r="H1495" s="876">
        <f t="shared" si="48"/>
        <v>3</v>
      </c>
      <c r="I1495" s="877"/>
    </row>
    <row r="1496" spans="1:9">
      <c r="A1496" s="871"/>
      <c r="B1496" s="891" t="s">
        <v>2078</v>
      </c>
      <c r="C1496" s="873">
        <v>1</v>
      </c>
      <c r="D1496" s="873">
        <v>2</v>
      </c>
      <c r="E1496" s="874"/>
      <c r="F1496" s="873"/>
      <c r="G1496" s="875"/>
      <c r="H1496" s="876">
        <f t="shared" si="48"/>
        <v>2</v>
      </c>
      <c r="I1496" s="877"/>
    </row>
    <row r="1497" spans="1:9">
      <c r="A1497" s="871"/>
      <c r="B1497" s="891" t="s">
        <v>2658</v>
      </c>
      <c r="C1497" s="873">
        <v>1</v>
      </c>
      <c r="D1497" s="873">
        <v>1</v>
      </c>
      <c r="E1497" s="874"/>
      <c r="F1497" s="873"/>
      <c r="G1497" s="875"/>
      <c r="H1497" s="876">
        <f t="shared" si="48"/>
        <v>1</v>
      </c>
      <c r="I1497" s="877"/>
    </row>
    <row r="1498" spans="1:9">
      <c r="A1498" s="871"/>
      <c r="B1498" s="891" t="s">
        <v>2083</v>
      </c>
      <c r="C1498" s="873">
        <v>1</v>
      </c>
      <c r="D1498" s="873">
        <v>2</v>
      </c>
      <c r="E1498" s="874"/>
      <c r="F1498" s="873"/>
      <c r="G1498" s="875"/>
      <c r="H1498" s="876">
        <f t="shared" si="48"/>
        <v>2</v>
      </c>
      <c r="I1498" s="877"/>
    </row>
    <row r="1499" spans="1:9">
      <c r="A1499" s="871"/>
      <c r="B1499" s="932" t="s">
        <v>1105</v>
      </c>
      <c r="C1499" s="873"/>
      <c r="D1499" s="873"/>
      <c r="E1499" s="888"/>
      <c r="F1499" s="873"/>
      <c r="G1499" s="875"/>
      <c r="H1499" s="876"/>
      <c r="I1499" s="877"/>
    </row>
    <row r="1500" spans="1:9">
      <c r="A1500" s="871"/>
      <c r="B1500" s="891" t="s">
        <v>485</v>
      </c>
      <c r="C1500" s="873">
        <v>1</v>
      </c>
      <c r="D1500" s="873">
        <v>1</v>
      </c>
      <c r="E1500" s="888"/>
      <c r="F1500" s="873"/>
      <c r="G1500" s="875"/>
      <c r="H1500" s="876">
        <f t="shared" ref="H1500:H1506" si="49">PRODUCT(C1500:G1500)</f>
        <v>1</v>
      </c>
      <c r="I1500" s="877"/>
    </row>
    <row r="1501" spans="1:9">
      <c r="A1501" s="871"/>
      <c r="B1501" s="891" t="s">
        <v>2261</v>
      </c>
      <c r="C1501" s="873">
        <v>1</v>
      </c>
      <c r="D1501" s="873">
        <v>1</v>
      </c>
      <c r="E1501" s="888"/>
      <c r="F1501" s="873"/>
      <c r="G1501" s="875"/>
      <c r="H1501" s="876">
        <f t="shared" si="49"/>
        <v>1</v>
      </c>
      <c r="I1501" s="877"/>
    </row>
    <row r="1502" spans="1:9">
      <c r="A1502" s="871"/>
      <c r="B1502" s="891" t="s">
        <v>2163</v>
      </c>
      <c r="C1502" s="873">
        <v>1</v>
      </c>
      <c r="D1502" s="873">
        <v>3</v>
      </c>
      <c r="E1502" s="888"/>
      <c r="F1502" s="873"/>
      <c r="G1502" s="875"/>
      <c r="H1502" s="876">
        <f t="shared" si="49"/>
        <v>3</v>
      </c>
      <c r="I1502" s="877"/>
    </row>
    <row r="1503" spans="1:9">
      <c r="A1503" s="871"/>
      <c r="B1503" s="891" t="s">
        <v>2659</v>
      </c>
      <c r="C1503" s="873">
        <v>2</v>
      </c>
      <c r="D1503" s="873">
        <v>2</v>
      </c>
      <c r="E1503" s="888"/>
      <c r="F1503" s="873"/>
      <c r="G1503" s="875"/>
      <c r="H1503" s="876">
        <f t="shared" si="49"/>
        <v>4</v>
      </c>
      <c r="I1503" s="877"/>
    </row>
    <row r="1504" spans="1:9">
      <c r="A1504" s="871"/>
      <c r="B1504" s="891" t="s">
        <v>2660</v>
      </c>
      <c r="C1504" s="873">
        <v>1</v>
      </c>
      <c r="D1504" s="873">
        <v>1</v>
      </c>
      <c r="E1504" s="874"/>
      <c r="F1504" s="873"/>
      <c r="G1504" s="875"/>
      <c r="H1504" s="876">
        <f t="shared" si="49"/>
        <v>1</v>
      </c>
      <c r="I1504" s="877"/>
    </row>
    <row r="1505" spans="1:9">
      <c r="A1505" s="871"/>
      <c r="B1505" s="891" t="s">
        <v>2382</v>
      </c>
      <c r="C1505" s="873">
        <v>1</v>
      </c>
      <c r="D1505" s="873">
        <v>1</v>
      </c>
      <c r="E1505" s="888"/>
      <c r="F1505" s="873"/>
      <c r="G1505" s="875"/>
      <c r="H1505" s="876">
        <f t="shared" si="49"/>
        <v>1</v>
      </c>
      <c r="I1505" s="877"/>
    </row>
    <row r="1506" spans="1:9">
      <c r="A1506" s="871"/>
      <c r="B1506" s="891" t="s">
        <v>2380</v>
      </c>
      <c r="C1506" s="873">
        <v>1</v>
      </c>
      <c r="D1506" s="873">
        <v>1</v>
      </c>
      <c r="E1506" s="888"/>
      <c r="F1506" s="873"/>
      <c r="G1506" s="875"/>
      <c r="H1506" s="876">
        <f t="shared" si="49"/>
        <v>1</v>
      </c>
      <c r="I1506" s="877"/>
    </row>
    <row r="1507" spans="1:9">
      <c r="A1507" s="871"/>
      <c r="B1507" s="932" t="s">
        <v>2661</v>
      </c>
      <c r="C1507" s="873"/>
      <c r="D1507" s="873"/>
      <c r="E1507" s="874"/>
      <c r="F1507" s="873"/>
      <c r="G1507" s="875"/>
      <c r="H1507" s="876"/>
      <c r="I1507" s="877"/>
    </row>
    <row r="1508" spans="1:9">
      <c r="A1508" s="871"/>
      <c r="B1508" s="891" t="s">
        <v>2662</v>
      </c>
      <c r="C1508" s="873">
        <v>1</v>
      </c>
      <c r="D1508" s="873">
        <v>2</v>
      </c>
      <c r="E1508" s="888"/>
      <c r="F1508" s="873"/>
      <c r="G1508" s="875"/>
      <c r="H1508" s="876">
        <f t="shared" ref="H1508:H1513" si="50">PRODUCT(C1508:G1508)</f>
        <v>2</v>
      </c>
      <c r="I1508" s="877"/>
    </row>
    <row r="1509" spans="1:9">
      <c r="A1509" s="871"/>
      <c r="B1509" s="891" t="s">
        <v>2663</v>
      </c>
      <c r="C1509" s="873">
        <v>1</v>
      </c>
      <c r="D1509" s="873">
        <v>1</v>
      </c>
      <c r="E1509" s="888"/>
      <c r="F1509" s="873"/>
      <c r="G1509" s="875"/>
      <c r="H1509" s="876">
        <f t="shared" si="50"/>
        <v>1</v>
      </c>
      <c r="I1509" s="877"/>
    </row>
    <row r="1510" spans="1:9">
      <c r="A1510" s="871"/>
      <c r="B1510" s="891" t="s">
        <v>2664</v>
      </c>
      <c r="C1510" s="873">
        <v>1</v>
      </c>
      <c r="D1510" s="873">
        <v>1</v>
      </c>
      <c r="E1510" s="888"/>
      <c r="F1510" s="873"/>
      <c r="G1510" s="875"/>
      <c r="H1510" s="876">
        <f t="shared" si="50"/>
        <v>1</v>
      </c>
      <c r="I1510" s="877"/>
    </row>
    <row r="1511" spans="1:9">
      <c r="A1511" s="871"/>
      <c r="B1511" s="891" t="s">
        <v>2384</v>
      </c>
      <c r="C1511" s="873">
        <v>1</v>
      </c>
      <c r="D1511" s="873">
        <v>3</v>
      </c>
      <c r="E1511" s="888"/>
      <c r="F1511" s="873"/>
      <c r="G1511" s="875"/>
      <c r="H1511" s="876">
        <f t="shared" si="50"/>
        <v>3</v>
      </c>
      <c r="I1511" s="877"/>
    </row>
    <row r="1512" spans="1:9">
      <c r="A1512" s="871"/>
      <c r="B1512" s="891" t="s">
        <v>2665</v>
      </c>
      <c r="C1512" s="873">
        <v>1</v>
      </c>
      <c r="D1512" s="873">
        <v>1</v>
      </c>
      <c r="E1512" s="888"/>
      <c r="F1512" s="873"/>
      <c r="G1512" s="875"/>
      <c r="H1512" s="876">
        <f t="shared" si="50"/>
        <v>1</v>
      </c>
      <c r="I1512" s="877"/>
    </row>
    <row r="1513" spans="1:9">
      <c r="A1513" s="871"/>
      <c r="B1513" s="891" t="s">
        <v>2186</v>
      </c>
      <c r="C1513" s="873">
        <v>1</v>
      </c>
      <c r="D1513" s="873">
        <v>1</v>
      </c>
      <c r="E1513" s="888"/>
      <c r="F1513" s="873"/>
      <c r="G1513" s="875"/>
      <c r="H1513" s="876">
        <f t="shared" si="50"/>
        <v>1</v>
      </c>
      <c r="I1513" s="877"/>
    </row>
    <row r="1514" spans="1:9">
      <c r="A1514" s="871"/>
      <c r="B1514" s="932" t="s">
        <v>2666</v>
      </c>
      <c r="C1514" s="873"/>
      <c r="D1514" s="873"/>
      <c r="E1514" s="874"/>
      <c r="F1514" s="873"/>
      <c r="G1514" s="875"/>
      <c r="H1514" s="876"/>
      <c r="I1514" s="877"/>
    </row>
    <row r="1515" spans="1:9">
      <c r="A1515" s="871"/>
      <c r="B1515" s="891" t="s">
        <v>2667</v>
      </c>
      <c r="C1515" s="873">
        <v>1</v>
      </c>
      <c r="D1515" s="873">
        <v>5</v>
      </c>
      <c r="E1515" s="874"/>
      <c r="F1515" s="873"/>
      <c r="G1515" s="875"/>
      <c r="H1515" s="876">
        <f>PRODUCT(C1515:G1515)</f>
        <v>5</v>
      </c>
      <c r="I1515" s="877"/>
    </row>
    <row r="1516" spans="1:9">
      <c r="A1516" s="871"/>
      <c r="B1516" s="891"/>
      <c r="C1516" s="873"/>
      <c r="D1516" s="873"/>
      <c r="E1516" s="888"/>
      <c r="F1516" s="873"/>
      <c r="G1516" s="892" t="s">
        <v>57</v>
      </c>
      <c r="H1516" s="896">
        <f>SUM(H1492:H1515)</f>
        <v>39</v>
      </c>
      <c r="I1516" s="897" t="s">
        <v>4</v>
      </c>
    </row>
    <row r="1517" spans="1:9">
      <c r="A1517" s="871"/>
      <c r="B1517" s="891"/>
      <c r="C1517" s="873"/>
      <c r="D1517" s="873"/>
      <c r="E1517" s="888"/>
      <c r="F1517" s="873"/>
      <c r="G1517" s="892"/>
      <c r="H1517" s="896"/>
      <c r="I1517" s="897"/>
    </row>
    <row r="1518" spans="1:9" ht="22.5" customHeight="1">
      <c r="A1518" s="871" t="s">
        <v>2668</v>
      </c>
      <c r="B1518" s="915" t="s">
        <v>2669</v>
      </c>
      <c r="C1518" s="873"/>
      <c r="D1518" s="873"/>
      <c r="E1518" s="874"/>
      <c r="F1518" s="873"/>
      <c r="G1518" s="875"/>
      <c r="H1518" s="876"/>
      <c r="I1518" s="877"/>
    </row>
    <row r="1519" spans="1:9">
      <c r="A1519" s="871"/>
      <c r="B1519" s="886" t="s">
        <v>2670</v>
      </c>
      <c r="C1519" s="873">
        <v>1</v>
      </c>
      <c r="D1519" s="873">
        <v>1</v>
      </c>
      <c r="E1519" s="874"/>
      <c r="F1519" s="873"/>
      <c r="G1519" s="875"/>
      <c r="H1519" s="876">
        <f>PRODUCT(C1519:G1519)</f>
        <v>1</v>
      </c>
      <c r="I1519" s="877"/>
    </row>
    <row r="1520" spans="1:9">
      <c r="A1520" s="871"/>
      <c r="B1520" s="886" t="s">
        <v>2080</v>
      </c>
      <c r="C1520" s="873">
        <v>1</v>
      </c>
      <c r="D1520" s="873">
        <v>1</v>
      </c>
      <c r="E1520" s="874"/>
      <c r="F1520" s="873"/>
      <c r="G1520" s="875"/>
      <c r="H1520" s="876">
        <f t="shared" ref="H1520:H1536" si="51">PRODUCT(C1520:G1520)</f>
        <v>1</v>
      </c>
      <c r="I1520" s="877"/>
    </row>
    <row r="1521" spans="1:9">
      <c r="A1521" s="871"/>
      <c r="B1521" s="886" t="s">
        <v>2671</v>
      </c>
      <c r="C1521" s="873">
        <v>1</v>
      </c>
      <c r="D1521" s="873">
        <v>2</v>
      </c>
      <c r="E1521" s="874"/>
      <c r="F1521" s="873"/>
      <c r="G1521" s="875"/>
      <c r="H1521" s="876">
        <f t="shared" si="51"/>
        <v>2</v>
      </c>
      <c r="I1521" s="877"/>
    </row>
    <row r="1522" spans="1:9">
      <c r="A1522" s="871"/>
      <c r="B1522" s="886" t="s">
        <v>2078</v>
      </c>
      <c r="C1522" s="873">
        <v>1</v>
      </c>
      <c r="D1522" s="873">
        <v>1</v>
      </c>
      <c r="E1522" s="874"/>
      <c r="F1522" s="873"/>
      <c r="G1522" s="875"/>
      <c r="H1522" s="876">
        <f t="shared" si="51"/>
        <v>1</v>
      </c>
      <c r="I1522" s="877"/>
    </row>
    <row r="1523" spans="1:9">
      <c r="A1523" s="871"/>
      <c r="B1523" s="886" t="s">
        <v>2376</v>
      </c>
      <c r="C1523" s="873">
        <v>1</v>
      </c>
      <c r="D1523" s="873">
        <v>1</v>
      </c>
      <c r="E1523" s="874"/>
      <c r="F1523" s="873"/>
      <c r="G1523" s="875"/>
      <c r="H1523" s="876">
        <f t="shared" si="51"/>
        <v>1</v>
      </c>
      <c r="I1523" s="877"/>
    </row>
    <row r="1524" spans="1:9">
      <c r="A1524" s="871"/>
      <c r="B1524" s="886" t="s">
        <v>2672</v>
      </c>
      <c r="C1524" s="873">
        <v>1</v>
      </c>
      <c r="D1524" s="873">
        <v>1</v>
      </c>
      <c r="E1524" s="874"/>
      <c r="F1524" s="873"/>
      <c r="G1524" s="875"/>
      <c r="H1524" s="876">
        <f t="shared" si="51"/>
        <v>1</v>
      </c>
      <c r="I1524" s="877"/>
    </row>
    <row r="1525" spans="1:9">
      <c r="A1525" s="871"/>
      <c r="B1525" s="886" t="s">
        <v>2673</v>
      </c>
      <c r="C1525" s="873">
        <v>1</v>
      </c>
      <c r="D1525" s="873">
        <v>1</v>
      </c>
      <c r="E1525" s="874"/>
      <c r="F1525" s="873"/>
      <c r="G1525" s="875"/>
      <c r="H1525" s="876">
        <f t="shared" si="51"/>
        <v>1</v>
      </c>
      <c r="I1525" s="877"/>
    </row>
    <row r="1526" spans="1:9">
      <c r="A1526" s="871"/>
      <c r="B1526" s="886" t="s">
        <v>2674</v>
      </c>
      <c r="C1526" s="873">
        <v>1</v>
      </c>
      <c r="D1526" s="873">
        <v>1</v>
      </c>
      <c r="E1526" s="874"/>
      <c r="F1526" s="873"/>
      <c r="G1526" s="875"/>
      <c r="H1526" s="876">
        <f t="shared" si="51"/>
        <v>1</v>
      </c>
      <c r="I1526" s="877"/>
    </row>
    <row r="1527" spans="1:9">
      <c r="A1527" s="871"/>
      <c r="B1527" s="886" t="s">
        <v>2083</v>
      </c>
      <c r="C1527" s="873">
        <v>1</v>
      </c>
      <c r="D1527" s="873">
        <v>2</v>
      </c>
      <c r="E1527" s="874"/>
      <c r="F1527" s="873"/>
      <c r="G1527" s="875"/>
      <c r="H1527" s="876">
        <f t="shared" si="51"/>
        <v>2</v>
      </c>
      <c r="I1527" s="877"/>
    </row>
    <row r="1528" spans="1:9">
      <c r="A1528" s="871"/>
      <c r="B1528" s="886" t="s">
        <v>2675</v>
      </c>
      <c r="C1528" s="873">
        <v>1</v>
      </c>
      <c r="D1528" s="873">
        <v>1</v>
      </c>
      <c r="E1528" s="874"/>
      <c r="F1528" s="873"/>
      <c r="G1528" s="875"/>
      <c r="H1528" s="876">
        <f t="shared" si="51"/>
        <v>1</v>
      </c>
      <c r="I1528" s="877"/>
    </row>
    <row r="1529" spans="1:9">
      <c r="A1529" s="871"/>
      <c r="B1529" s="886" t="s">
        <v>485</v>
      </c>
      <c r="C1529" s="873">
        <v>1</v>
      </c>
      <c r="D1529" s="873">
        <v>1</v>
      </c>
      <c r="E1529" s="874"/>
      <c r="F1529" s="873"/>
      <c r="G1529" s="875"/>
      <c r="H1529" s="876">
        <f t="shared" si="51"/>
        <v>1</v>
      </c>
      <c r="I1529" s="877"/>
    </row>
    <row r="1530" spans="1:9">
      <c r="A1530" s="871"/>
      <c r="B1530" s="886" t="s">
        <v>2676</v>
      </c>
      <c r="C1530" s="873">
        <v>1</v>
      </c>
      <c r="D1530" s="873">
        <v>2</v>
      </c>
      <c r="E1530" s="874"/>
      <c r="F1530" s="873"/>
      <c r="G1530" s="875"/>
      <c r="H1530" s="876">
        <f t="shared" si="51"/>
        <v>2</v>
      </c>
      <c r="I1530" s="877"/>
    </row>
    <row r="1531" spans="1:9">
      <c r="A1531" s="871"/>
      <c r="B1531" s="886" t="s">
        <v>2163</v>
      </c>
      <c r="C1531" s="873">
        <v>1</v>
      </c>
      <c r="D1531" s="873">
        <v>1</v>
      </c>
      <c r="E1531" s="874"/>
      <c r="F1531" s="873"/>
      <c r="G1531" s="875"/>
      <c r="H1531" s="876">
        <f t="shared" si="51"/>
        <v>1</v>
      </c>
      <c r="I1531" s="877"/>
    </row>
    <row r="1532" spans="1:9">
      <c r="A1532" s="871"/>
      <c r="B1532" s="886" t="s">
        <v>2677</v>
      </c>
      <c r="C1532" s="873">
        <v>1</v>
      </c>
      <c r="D1532" s="873">
        <v>1</v>
      </c>
      <c r="E1532" s="874"/>
      <c r="F1532" s="873"/>
      <c r="G1532" s="875"/>
      <c r="H1532" s="876">
        <f t="shared" si="51"/>
        <v>1</v>
      </c>
      <c r="I1532" s="877"/>
    </row>
    <row r="1533" spans="1:9">
      <c r="A1533" s="871"/>
      <c r="B1533" s="886" t="s">
        <v>2678</v>
      </c>
      <c r="C1533" s="873">
        <v>1</v>
      </c>
      <c r="D1533" s="873">
        <v>2</v>
      </c>
      <c r="E1533" s="874"/>
      <c r="F1533" s="873"/>
      <c r="G1533" s="875"/>
      <c r="H1533" s="876">
        <f t="shared" si="51"/>
        <v>2</v>
      </c>
      <c r="I1533" s="877"/>
    </row>
    <row r="1534" spans="1:9">
      <c r="A1534" s="871"/>
      <c r="B1534" s="886" t="s">
        <v>2679</v>
      </c>
      <c r="C1534" s="873">
        <v>1</v>
      </c>
      <c r="D1534" s="873">
        <v>1</v>
      </c>
      <c r="E1534" s="874"/>
      <c r="F1534" s="873"/>
      <c r="G1534" s="875"/>
      <c r="H1534" s="876">
        <f t="shared" si="51"/>
        <v>1</v>
      </c>
      <c r="I1534" s="877"/>
    </row>
    <row r="1535" spans="1:9">
      <c r="A1535" s="871"/>
      <c r="B1535" s="886" t="s">
        <v>2381</v>
      </c>
      <c r="C1535" s="873">
        <v>1</v>
      </c>
      <c r="D1535" s="873">
        <v>1</v>
      </c>
      <c r="E1535" s="874"/>
      <c r="F1535" s="873"/>
      <c r="G1535" s="875"/>
      <c r="H1535" s="876">
        <f t="shared" si="51"/>
        <v>1</v>
      </c>
      <c r="I1535" s="877"/>
    </row>
    <row r="1536" spans="1:9">
      <c r="A1536" s="871"/>
      <c r="B1536" s="886" t="s">
        <v>2680</v>
      </c>
      <c r="C1536" s="873">
        <v>1</v>
      </c>
      <c r="D1536" s="873">
        <v>2</v>
      </c>
      <c r="E1536" s="874"/>
      <c r="F1536" s="873"/>
      <c r="G1536" s="875"/>
      <c r="H1536" s="876">
        <f t="shared" si="51"/>
        <v>2</v>
      </c>
      <c r="I1536" s="877"/>
    </row>
    <row r="1537" spans="1:9">
      <c r="A1537" s="871"/>
      <c r="B1537" s="891"/>
      <c r="C1537" s="873"/>
      <c r="D1537" s="873"/>
      <c r="E1537" s="888"/>
      <c r="F1537" s="873"/>
      <c r="G1537" s="892" t="s">
        <v>57</v>
      </c>
      <c r="H1537" s="896">
        <f>SUM(H1519:H1536)</f>
        <v>23</v>
      </c>
      <c r="I1537" s="897" t="s">
        <v>4</v>
      </c>
    </row>
    <row r="1538" spans="1:9">
      <c r="A1538" s="871"/>
      <c r="B1538" s="891"/>
      <c r="C1538" s="873"/>
      <c r="D1538" s="873"/>
      <c r="E1538" s="888"/>
      <c r="F1538" s="873"/>
      <c r="G1538" s="892"/>
      <c r="H1538" s="896"/>
      <c r="I1538" s="897"/>
    </row>
    <row r="1539" spans="1:9" ht="24.95" customHeight="1">
      <c r="A1539" s="871" t="s">
        <v>2681</v>
      </c>
      <c r="B1539" s="891" t="s">
        <v>2682</v>
      </c>
      <c r="C1539" s="873"/>
      <c r="D1539" s="873"/>
      <c r="E1539" s="874"/>
      <c r="F1539" s="873"/>
      <c r="G1539" s="875"/>
      <c r="H1539" s="876"/>
      <c r="I1539" s="877"/>
    </row>
    <row r="1540" spans="1:9">
      <c r="A1540" s="871"/>
      <c r="B1540" s="891" t="s">
        <v>2683</v>
      </c>
      <c r="C1540" s="873">
        <v>1</v>
      </c>
      <c r="D1540" s="873">
        <v>2</v>
      </c>
      <c r="E1540" s="888"/>
      <c r="F1540" s="873"/>
      <c r="G1540" s="875"/>
      <c r="H1540" s="876">
        <f>PRODUCT(C1540:G1540)</f>
        <v>2</v>
      </c>
      <c r="I1540" s="877"/>
    </row>
    <row r="1541" spans="1:9">
      <c r="A1541" s="871"/>
      <c r="B1541" s="891"/>
      <c r="C1541" s="873"/>
      <c r="D1541" s="873"/>
      <c r="E1541" s="888"/>
      <c r="F1541" s="873"/>
      <c r="G1541" s="892" t="s">
        <v>57</v>
      </c>
      <c r="H1541" s="896">
        <f>SUM(H1540:H1540)</f>
        <v>2</v>
      </c>
      <c r="I1541" s="897" t="s">
        <v>4</v>
      </c>
    </row>
    <row r="1542" spans="1:9">
      <c r="A1542" s="871"/>
      <c r="B1542" s="891"/>
      <c r="C1542" s="873"/>
      <c r="D1542" s="873"/>
      <c r="E1542" s="888"/>
      <c r="F1542" s="873"/>
      <c r="G1542" s="875"/>
      <c r="H1542" s="876"/>
      <c r="I1542" s="877"/>
    </row>
    <row r="1543" spans="1:9">
      <c r="A1543" s="871">
        <v>65</v>
      </c>
      <c r="B1543" s="891" t="s">
        <v>2684</v>
      </c>
      <c r="C1543" s="873"/>
      <c r="D1543" s="873"/>
      <c r="E1543" s="874"/>
      <c r="F1543" s="873"/>
      <c r="G1543" s="875"/>
      <c r="H1543" s="876"/>
      <c r="I1543" s="877"/>
    </row>
    <row r="1544" spans="1:9">
      <c r="A1544" s="871"/>
      <c r="B1544" s="932" t="s">
        <v>2685</v>
      </c>
      <c r="C1544" s="873"/>
      <c r="D1544" s="873"/>
      <c r="E1544" s="874"/>
      <c r="F1544" s="873"/>
      <c r="G1544" s="875"/>
      <c r="H1544" s="876"/>
      <c r="I1544" s="877"/>
    </row>
    <row r="1545" spans="1:9">
      <c r="A1545" s="871"/>
      <c r="B1545" s="891" t="s">
        <v>2686</v>
      </c>
      <c r="C1545" s="873">
        <v>1</v>
      </c>
      <c r="D1545" s="873">
        <v>2</v>
      </c>
      <c r="E1545" s="874"/>
      <c r="F1545" s="873"/>
      <c r="G1545" s="875"/>
      <c r="H1545" s="876">
        <f>PRODUCT(C1545:G1545)</f>
        <v>2</v>
      </c>
      <c r="I1545" s="877"/>
    </row>
    <row r="1546" spans="1:9">
      <c r="A1546" s="871"/>
      <c r="B1546" s="891" t="s">
        <v>2465</v>
      </c>
      <c r="C1546" s="873">
        <v>1</v>
      </c>
      <c r="D1546" s="873">
        <v>2</v>
      </c>
      <c r="E1546" s="874"/>
      <c r="F1546" s="873"/>
      <c r="G1546" s="875"/>
      <c r="H1546" s="876">
        <f>PRODUCT(C1546:G1546)</f>
        <v>2</v>
      </c>
      <c r="I1546" s="877"/>
    </row>
    <row r="1547" spans="1:9">
      <c r="A1547" s="871"/>
      <c r="B1547" s="891" t="s">
        <v>2078</v>
      </c>
      <c r="C1547" s="873">
        <v>1</v>
      </c>
      <c r="D1547" s="873">
        <v>2</v>
      </c>
      <c r="E1547" s="874"/>
      <c r="F1547" s="873"/>
      <c r="G1547" s="875"/>
      <c r="H1547" s="876">
        <f>PRODUCT(C1547:G1547)</f>
        <v>2</v>
      </c>
      <c r="I1547" s="877"/>
    </row>
    <row r="1548" spans="1:9">
      <c r="A1548" s="871"/>
      <c r="B1548" s="886" t="s">
        <v>2687</v>
      </c>
      <c r="C1548" s="873">
        <v>1</v>
      </c>
      <c r="D1548" s="873">
        <v>2</v>
      </c>
      <c r="E1548" s="874"/>
      <c r="F1548" s="873"/>
      <c r="G1548" s="875"/>
      <c r="H1548" s="876">
        <f>PRODUCT(C1548:G1548)</f>
        <v>2</v>
      </c>
      <c r="I1548" s="877"/>
    </row>
    <row r="1549" spans="1:9">
      <c r="A1549" s="871"/>
      <c r="B1549" s="932" t="s">
        <v>1105</v>
      </c>
      <c r="C1549" s="873"/>
      <c r="D1549" s="873"/>
      <c r="E1549" s="888"/>
      <c r="F1549" s="873"/>
      <c r="G1549" s="875"/>
      <c r="H1549" s="876" t="s">
        <v>220</v>
      </c>
      <c r="I1549" s="877"/>
    </row>
    <row r="1550" spans="1:9">
      <c r="A1550" s="871"/>
      <c r="B1550" s="891" t="s">
        <v>2688</v>
      </c>
      <c r="C1550" s="873">
        <v>1</v>
      </c>
      <c r="D1550" s="873">
        <v>2</v>
      </c>
      <c r="E1550" s="888"/>
      <c r="F1550" s="873"/>
      <c r="G1550" s="875"/>
      <c r="H1550" s="876">
        <f>PRODUCT(C1550:G1550)</f>
        <v>2</v>
      </c>
      <c r="I1550" s="877"/>
    </row>
    <row r="1551" spans="1:9">
      <c r="A1551" s="871"/>
      <c r="B1551" s="891" t="s">
        <v>2464</v>
      </c>
      <c r="C1551" s="873">
        <v>1</v>
      </c>
      <c r="D1551" s="873">
        <v>3</v>
      </c>
      <c r="E1551" s="888"/>
      <c r="F1551" s="873"/>
      <c r="G1551" s="875"/>
      <c r="H1551" s="876">
        <f>PRODUCT(C1551:G1551)</f>
        <v>3</v>
      </c>
      <c r="I1551" s="877"/>
    </row>
    <row r="1552" spans="1:9">
      <c r="A1552" s="871"/>
      <c r="B1552" s="891" t="s">
        <v>2381</v>
      </c>
      <c r="C1552" s="873">
        <v>1</v>
      </c>
      <c r="D1552" s="873">
        <v>1</v>
      </c>
      <c r="E1552" s="888"/>
      <c r="F1552" s="873"/>
      <c r="G1552" s="875"/>
      <c r="H1552" s="876">
        <f>PRODUCT(C1552:G1552)</f>
        <v>1</v>
      </c>
      <c r="I1552" s="877"/>
    </row>
    <row r="1553" spans="1:9">
      <c r="A1553" s="871"/>
      <c r="B1553" s="891" t="s">
        <v>2689</v>
      </c>
      <c r="C1553" s="873">
        <v>1</v>
      </c>
      <c r="D1553" s="873">
        <v>2</v>
      </c>
      <c r="E1553" s="888"/>
      <c r="F1553" s="873"/>
      <c r="G1553" s="875"/>
      <c r="H1553" s="876">
        <f>PRODUCT(C1553:G1553)</f>
        <v>2</v>
      </c>
      <c r="I1553" s="877"/>
    </row>
    <row r="1554" spans="1:9">
      <c r="A1554" s="871"/>
      <c r="B1554" s="891" t="s">
        <v>2676</v>
      </c>
      <c r="C1554" s="873">
        <v>1</v>
      </c>
      <c r="D1554" s="873">
        <v>1</v>
      </c>
      <c r="E1554" s="888"/>
      <c r="F1554" s="873"/>
      <c r="G1554" s="875"/>
      <c r="H1554" s="876">
        <f>PRODUCT(C1554:G1554)</f>
        <v>1</v>
      </c>
      <c r="I1554" s="877"/>
    </row>
    <row r="1555" spans="1:9">
      <c r="A1555" s="871"/>
      <c r="B1555" s="891"/>
      <c r="C1555" s="873"/>
      <c r="D1555" s="873"/>
      <c r="E1555" s="888"/>
      <c r="F1555" s="873"/>
      <c r="G1555" s="892" t="s">
        <v>57</v>
      </c>
      <c r="H1555" s="896">
        <f>SUM(H1545:H1554)</f>
        <v>17</v>
      </c>
      <c r="I1555" s="897" t="s">
        <v>4</v>
      </c>
    </row>
    <row r="1556" spans="1:9">
      <c r="A1556" s="871"/>
      <c r="B1556" s="891"/>
      <c r="C1556" s="873"/>
      <c r="D1556" s="873"/>
      <c r="E1556" s="888"/>
      <c r="F1556" s="873"/>
      <c r="G1556" s="875"/>
      <c r="H1556" s="876"/>
      <c r="I1556" s="877"/>
    </row>
    <row r="1557" spans="1:9">
      <c r="A1557" s="871">
        <v>66.099999999999994</v>
      </c>
      <c r="B1557" s="891" t="s">
        <v>998</v>
      </c>
      <c r="C1557" s="873"/>
      <c r="D1557" s="873"/>
      <c r="E1557" s="874"/>
      <c r="F1557" s="873"/>
      <c r="G1557" s="875"/>
      <c r="H1557" s="876"/>
      <c r="I1557" s="877"/>
    </row>
    <row r="1558" spans="1:9">
      <c r="A1558" s="871"/>
      <c r="B1558" s="891" t="s">
        <v>2690</v>
      </c>
      <c r="C1558" s="873">
        <v>1</v>
      </c>
      <c r="D1558" s="873">
        <v>2</v>
      </c>
      <c r="E1558" s="874"/>
      <c r="F1558" s="873"/>
      <c r="G1558" s="875"/>
      <c r="H1558" s="876">
        <f>PRODUCT(C1558:G1558)</f>
        <v>2</v>
      </c>
      <c r="I1558" s="902"/>
    </row>
    <row r="1559" spans="1:9">
      <c r="A1559" s="871"/>
      <c r="B1559" s="891"/>
      <c r="C1559" s="873"/>
      <c r="D1559" s="873"/>
      <c r="E1559" s="874"/>
      <c r="F1559" s="873"/>
      <c r="G1559" s="892" t="s">
        <v>57</v>
      </c>
      <c r="H1559" s="896">
        <f>SUM(H1558)</f>
        <v>2</v>
      </c>
      <c r="I1559" s="897" t="s">
        <v>4</v>
      </c>
    </row>
    <row r="1560" spans="1:9">
      <c r="A1560" s="871"/>
      <c r="B1560" s="891"/>
      <c r="C1560" s="873"/>
      <c r="D1560" s="873"/>
      <c r="E1560" s="874"/>
      <c r="F1560" s="873"/>
      <c r="G1560" s="892"/>
      <c r="H1560" s="896"/>
      <c r="I1560" s="897"/>
    </row>
    <row r="1561" spans="1:9">
      <c r="A1561" s="871">
        <v>67.099999999999994</v>
      </c>
      <c r="B1561" s="886" t="s">
        <v>2691</v>
      </c>
      <c r="C1561" s="873"/>
      <c r="D1561" s="873"/>
      <c r="E1561" s="874"/>
      <c r="F1561" s="873"/>
      <c r="G1561" s="875"/>
      <c r="H1561" s="876"/>
      <c r="I1561" s="877"/>
    </row>
    <row r="1562" spans="1:9">
      <c r="A1562" s="871"/>
      <c r="B1562" s="932" t="s">
        <v>2656</v>
      </c>
      <c r="C1562" s="873"/>
      <c r="D1562" s="873"/>
      <c r="E1562" s="874"/>
      <c r="F1562" s="873"/>
      <c r="G1562" s="875"/>
      <c r="H1562" s="876"/>
      <c r="I1562" s="877"/>
    </row>
    <row r="1563" spans="1:9">
      <c r="A1563" s="871"/>
      <c r="B1563" s="891" t="s">
        <v>2465</v>
      </c>
      <c r="C1563" s="873">
        <v>1</v>
      </c>
      <c r="D1563" s="873">
        <v>1</v>
      </c>
      <c r="E1563" s="874"/>
      <c r="F1563" s="873"/>
      <c r="G1563" s="875"/>
      <c r="H1563" s="876">
        <f t="shared" ref="H1563:H1568" si="52">PRODUCT(C1563:G1563)</f>
        <v>1</v>
      </c>
      <c r="I1563" s="877"/>
    </row>
    <row r="1564" spans="1:9">
      <c r="A1564" s="871"/>
      <c r="B1564" s="891" t="s">
        <v>2078</v>
      </c>
      <c r="C1564" s="873">
        <v>1</v>
      </c>
      <c r="D1564" s="873">
        <v>1</v>
      </c>
      <c r="E1564" s="874"/>
      <c r="F1564" s="873"/>
      <c r="G1564" s="875"/>
      <c r="H1564" s="876">
        <f t="shared" si="52"/>
        <v>1</v>
      </c>
      <c r="I1564" s="877"/>
    </row>
    <row r="1565" spans="1:9">
      <c r="A1565" s="871"/>
      <c r="B1565" s="886" t="s">
        <v>2376</v>
      </c>
      <c r="C1565" s="873">
        <v>1</v>
      </c>
      <c r="D1565" s="873">
        <v>1</v>
      </c>
      <c r="E1565" s="874"/>
      <c r="F1565" s="873"/>
      <c r="G1565" s="875"/>
      <c r="H1565" s="876">
        <f t="shared" si="52"/>
        <v>1</v>
      </c>
      <c r="I1565" s="877"/>
    </row>
    <row r="1566" spans="1:9">
      <c r="A1566" s="871"/>
      <c r="B1566" s="891" t="s">
        <v>2658</v>
      </c>
      <c r="C1566" s="873">
        <v>1</v>
      </c>
      <c r="D1566" s="873">
        <v>1</v>
      </c>
      <c r="E1566" s="874"/>
      <c r="F1566" s="873"/>
      <c r="G1566" s="875"/>
      <c r="H1566" s="876">
        <f t="shared" si="52"/>
        <v>1</v>
      </c>
      <c r="I1566" s="877"/>
    </row>
    <row r="1567" spans="1:9">
      <c r="A1567" s="871"/>
      <c r="B1567" s="891" t="s">
        <v>2674</v>
      </c>
      <c r="C1567" s="873">
        <v>1</v>
      </c>
      <c r="D1567" s="873">
        <v>1</v>
      </c>
      <c r="E1567" s="874"/>
      <c r="F1567" s="873"/>
      <c r="G1567" s="875"/>
      <c r="H1567" s="876">
        <f t="shared" si="52"/>
        <v>1</v>
      </c>
      <c r="I1567" s="877"/>
    </row>
    <row r="1568" spans="1:9">
      <c r="A1568" s="871"/>
      <c r="B1568" s="891" t="s">
        <v>2692</v>
      </c>
      <c r="C1568" s="873">
        <v>1</v>
      </c>
      <c r="D1568" s="873">
        <v>2</v>
      </c>
      <c r="E1568" s="874"/>
      <c r="F1568" s="873"/>
      <c r="G1568" s="875"/>
      <c r="H1568" s="876">
        <f t="shared" si="52"/>
        <v>2</v>
      </c>
      <c r="I1568" s="877"/>
    </row>
    <row r="1569" spans="1:9">
      <c r="A1569" s="871"/>
      <c r="B1569" s="932" t="s">
        <v>1105</v>
      </c>
      <c r="C1569" s="873"/>
      <c r="D1569" s="873"/>
      <c r="E1569" s="874"/>
      <c r="F1569" s="873"/>
      <c r="G1569" s="875"/>
      <c r="H1569" s="876"/>
      <c r="I1569" s="877"/>
    </row>
    <row r="1570" spans="1:9">
      <c r="A1570" s="871"/>
      <c r="B1570" s="891" t="s">
        <v>485</v>
      </c>
      <c r="C1570" s="873">
        <v>1</v>
      </c>
      <c r="D1570" s="873">
        <v>1</v>
      </c>
      <c r="E1570" s="874"/>
      <c r="F1570" s="873"/>
      <c r="G1570" s="875"/>
      <c r="H1570" s="876">
        <f>PRODUCT(C1570:G1570)</f>
        <v>1</v>
      </c>
      <c r="I1570" s="877"/>
    </row>
    <row r="1571" spans="1:9">
      <c r="A1571" s="871"/>
      <c r="B1571" s="891" t="s">
        <v>2676</v>
      </c>
      <c r="C1571" s="873">
        <v>1</v>
      </c>
      <c r="D1571" s="873">
        <v>1</v>
      </c>
      <c r="E1571" s="874"/>
      <c r="F1571" s="873"/>
      <c r="G1571" s="875"/>
      <c r="H1571" s="876">
        <f>PRODUCT(C1571:G1571)</f>
        <v>1</v>
      </c>
      <c r="I1571" s="877"/>
    </row>
    <row r="1572" spans="1:9">
      <c r="A1572" s="871"/>
      <c r="B1572" s="891" t="s">
        <v>2163</v>
      </c>
      <c r="C1572" s="873">
        <v>1</v>
      </c>
      <c r="D1572" s="873">
        <v>2</v>
      </c>
      <c r="E1572" s="874"/>
      <c r="F1572" s="873"/>
      <c r="G1572" s="875"/>
      <c r="H1572" s="876">
        <f>PRODUCT(C1572:G1572)</f>
        <v>2</v>
      </c>
      <c r="I1572" s="877"/>
    </row>
    <row r="1573" spans="1:9">
      <c r="A1573" s="871"/>
      <c r="B1573" s="891" t="s">
        <v>2693</v>
      </c>
      <c r="C1573" s="873">
        <v>1</v>
      </c>
      <c r="D1573" s="873">
        <v>2</v>
      </c>
      <c r="E1573" s="888"/>
      <c r="F1573" s="873"/>
      <c r="G1573" s="875"/>
      <c r="H1573" s="876">
        <f>PRODUCT(C1573:G1573)</f>
        <v>2</v>
      </c>
      <c r="I1573" s="877"/>
    </row>
    <row r="1574" spans="1:9">
      <c r="A1574" s="871"/>
      <c r="B1574" s="891" t="s">
        <v>2660</v>
      </c>
      <c r="C1574" s="873">
        <v>1</v>
      </c>
      <c r="D1574" s="873">
        <v>1</v>
      </c>
      <c r="E1574" s="888"/>
      <c r="F1574" s="873"/>
      <c r="G1574" s="875"/>
      <c r="H1574" s="876">
        <f>PRODUCT(C1574:G1574)</f>
        <v>1</v>
      </c>
      <c r="I1574" s="877"/>
    </row>
    <row r="1575" spans="1:9">
      <c r="A1575" s="871"/>
      <c r="B1575" s="891"/>
      <c r="C1575" s="873"/>
      <c r="D1575" s="873"/>
      <c r="E1575" s="888"/>
      <c r="F1575" s="873"/>
      <c r="G1575" s="892" t="s">
        <v>57</v>
      </c>
      <c r="H1575" s="896">
        <f>SUM(H1563:H1574)</f>
        <v>14</v>
      </c>
      <c r="I1575" s="897" t="s">
        <v>4</v>
      </c>
    </row>
    <row r="1576" spans="1:9">
      <c r="A1576" s="871"/>
      <c r="B1576" s="891"/>
      <c r="C1576" s="873"/>
      <c r="D1576" s="873"/>
      <c r="E1576" s="874"/>
      <c r="F1576" s="873"/>
      <c r="G1576" s="875"/>
      <c r="H1576" s="876"/>
      <c r="I1576" s="877"/>
    </row>
    <row r="1577" spans="1:9">
      <c r="A1577" s="871">
        <v>68.2</v>
      </c>
      <c r="B1577" s="886" t="s">
        <v>2694</v>
      </c>
      <c r="C1577" s="873"/>
      <c r="D1577" s="873"/>
      <c r="E1577" s="874"/>
      <c r="F1577" s="873"/>
      <c r="G1577" s="875"/>
      <c r="H1577" s="876"/>
      <c r="I1577" s="877"/>
    </row>
    <row r="1578" spans="1:9">
      <c r="A1578" s="871"/>
      <c r="B1578" s="932" t="s">
        <v>2656</v>
      </c>
      <c r="C1578" s="873"/>
      <c r="D1578" s="873"/>
      <c r="E1578" s="874"/>
      <c r="F1578" s="873"/>
      <c r="G1578" s="875"/>
      <c r="H1578" s="876"/>
      <c r="I1578" s="877"/>
    </row>
    <row r="1579" spans="1:9">
      <c r="A1579" s="871"/>
      <c r="B1579" s="891" t="s">
        <v>2671</v>
      </c>
      <c r="C1579" s="873">
        <v>1</v>
      </c>
      <c r="D1579" s="873">
        <v>2</v>
      </c>
      <c r="E1579" s="874"/>
      <c r="F1579" s="873"/>
      <c r="G1579" s="875"/>
      <c r="H1579" s="876">
        <f>PRODUCT(C1579:G1579)</f>
        <v>2</v>
      </c>
      <c r="I1579" s="877"/>
    </row>
    <row r="1580" spans="1:9">
      <c r="A1580" s="871"/>
      <c r="B1580" s="891" t="s">
        <v>2259</v>
      </c>
      <c r="C1580" s="873">
        <v>1</v>
      </c>
      <c r="D1580" s="873">
        <v>1</v>
      </c>
      <c r="E1580" s="874"/>
      <c r="F1580" s="873"/>
      <c r="G1580" s="875"/>
      <c r="H1580" s="876">
        <f>PRODUCT(C1580:G1580)</f>
        <v>1</v>
      </c>
      <c r="I1580" s="877"/>
    </row>
    <row r="1581" spans="1:9">
      <c r="A1581" s="871"/>
      <c r="B1581" s="886" t="s">
        <v>2078</v>
      </c>
      <c r="C1581" s="873">
        <v>1</v>
      </c>
      <c r="D1581" s="873">
        <v>2</v>
      </c>
      <c r="E1581" s="874"/>
      <c r="F1581" s="873"/>
      <c r="G1581" s="875"/>
      <c r="H1581" s="876">
        <f>PRODUCT(C1581:G1581)</f>
        <v>2</v>
      </c>
      <c r="I1581" s="877"/>
    </row>
    <row r="1582" spans="1:9">
      <c r="A1582" s="871"/>
      <c r="B1582" s="886" t="s">
        <v>2083</v>
      </c>
      <c r="C1582" s="873">
        <v>1</v>
      </c>
      <c r="D1582" s="873">
        <v>1</v>
      </c>
      <c r="E1582" s="874"/>
      <c r="F1582" s="873"/>
      <c r="G1582" s="875"/>
      <c r="H1582" s="876">
        <f>PRODUCT(C1582:G1582)</f>
        <v>1</v>
      </c>
      <c r="I1582" s="877"/>
    </row>
    <row r="1583" spans="1:9">
      <c r="A1583" s="871"/>
      <c r="B1583" s="932" t="s">
        <v>1105</v>
      </c>
      <c r="C1583" s="873"/>
      <c r="D1583" s="873"/>
      <c r="E1583" s="874"/>
      <c r="F1583" s="873"/>
      <c r="G1583" s="875"/>
      <c r="H1583" s="876"/>
      <c r="I1583" s="877"/>
    </row>
    <row r="1584" spans="1:9">
      <c r="A1584" s="871"/>
      <c r="B1584" s="891" t="s">
        <v>2163</v>
      </c>
      <c r="C1584" s="873">
        <v>1</v>
      </c>
      <c r="D1584" s="873">
        <v>3</v>
      </c>
      <c r="E1584" s="874"/>
      <c r="F1584" s="873"/>
      <c r="G1584" s="875"/>
      <c r="H1584" s="876">
        <f>PRODUCT(C1584:G1584)</f>
        <v>3</v>
      </c>
      <c r="I1584" s="877"/>
    </row>
    <row r="1585" spans="1:9">
      <c r="A1585" s="871"/>
      <c r="B1585" s="891" t="s">
        <v>2660</v>
      </c>
      <c r="C1585" s="873">
        <v>1</v>
      </c>
      <c r="D1585" s="873">
        <v>1</v>
      </c>
      <c r="E1585" s="874"/>
      <c r="F1585" s="873"/>
      <c r="G1585" s="875"/>
      <c r="H1585" s="876">
        <f>PRODUCT(C1585:G1585)</f>
        <v>1</v>
      </c>
      <c r="I1585" s="877"/>
    </row>
    <row r="1586" spans="1:9">
      <c r="A1586" s="871"/>
      <c r="B1586" s="891" t="s">
        <v>2695</v>
      </c>
      <c r="C1586" s="873">
        <v>2</v>
      </c>
      <c r="D1586" s="873">
        <v>2</v>
      </c>
      <c r="E1586" s="888"/>
      <c r="F1586" s="873"/>
      <c r="G1586" s="875"/>
      <c r="H1586" s="876">
        <f>PRODUCT(C1586:G1586)</f>
        <v>4</v>
      </c>
      <c r="I1586" s="877"/>
    </row>
    <row r="1587" spans="1:9">
      <c r="A1587" s="871"/>
      <c r="B1587" s="891"/>
      <c r="C1587" s="873"/>
      <c r="D1587" s="873"/>
      <c r="E1587" s="888"/>
      <c r="F1587" s="873"/>
      <c r="G1587" s="892" t="s">
        <v>57</v>
      </c>
      <c r="H1587" s="896">
        <f>SUM(H1579:H1586)</f>
        <v>14</v>
      </c>
      <c r="I1587" s="897" t="s">
        <v>4</v>
      </c>
    </row>
    <row r="1588" spans="1:9">
      <c r="A1588" s="871"/>
      <c r="B1588" s="891"/>
      <c r="C1588" s="873"/>
      <c r="D1588" s="873"/>
      <c r="E1588" s="888"/>
      <c r="F1588" s="873"/>
      <c r="G1588" s="892"/>
      <c r="H1588" s="896"/>
      <c r="I1588" s="897"/>
    </row>
    <row r="1589" spans="1:9">
      <c r="A1589" s="871"/>
      <c r="B1589" s="891"/>
      <c r="C1589" s="873"/>
      <c r="D1589" s="873"/>
      <c r="E1589" s="888"/>
      <c r="F1589" s="873"/>
      <c r="G1589" s="892"/>
      <c r="H1589" s="896"/>
      <c r="I1589" s="897"/>
    </row>
    <row r="1590" spans="1:9">
      <c r="A1590" s="871">
        <v>75.2</v>
      </c>
      <c r="B1590" s="886" t="s">
        <v>2696</v>
      </c>
      <c r="C1590" s="873"/>
      <c r="D1590" s="873"/>
      <c r="E1590" s="874"/>
      <c r="F1590" s="873"/>
      <c r="G1590" s="875"/>
      <c r="H1590" s="876"/>
      <c r="I1590" s="877"/>
    </row>
    <row r="1591" spans="1:9">
      <c r="A1591" s="871"/>
      <c r="B1591" s="891" t="s">
        <v>2467</v>
      </c>
      <c r="C1591" s="873"/>
      <c r="D1591" s="873"/>
      <c r="E1591" s="874"/>
      <c r="F1591" s="873"/>
      <c r="G1591" s="875"/>
      <c r="H1591" s="876">
        <f>H894</f>
        <v>17</v>
      </c>
      <c r="I1591" s="877"/>
    </row>
    <row r="1592" spans="1:9">
      <c r="A1592" s="871"/>
      <c r="B1592" s="891"/>
      <c r="C1592" s="873"/>
      <c r="D1592" s="873"/>
      <c r="E1592" s="874"/>
      <c r="F1592" s="873"/>
      <c r="G1592" s="892" t="s">
        <v>57</v>
      </c>
      <c r="H1592" s="896">
        <f>SUM(H1591)</f>
        <v>17</v>
      </c>
      <c r="I1592" s="897" t="s">
        <v>4</v>
      </c>
    </row>
    <row r="1593" spans="1:9">
      <c r="A1593" s="871"/>
      <c r="B1593" s="891"/>
      <c r="C1593" s="873"/>
      <c r="D1593" s="873"/>
      <c r="E1593" s="874"/>
      <c r="F1593" s="873"/>
      <c r="G1593" s="892"/>
      <c r="H1593" s="896"/>
      <c r="I1593" s="897"/>
    </row>
    <row r="1594" spans="1:9">
      <c r="A1594" s="871">
        <v>77.5</v>
      </c>
      <c r="B1594" s="891" t="s">
        <v>2697</v>
      </c>
      <c r="C1594" s="873"/>
      <c r="D1594" s="873"/>
      <c r="E1594" s="874"/>
      <c r="F1594" s="873"/>
      <c r="G1594" s="875"/>
      <c r="H1594" s="876"/>
      <c r="I1594" s="877"/>
    </row>
    <row r="1595" spans="1:9">
      <c r="A1595" s="871"/>
      <c r="B1595" s="891" t="s">
        <v>978</v>
      </c>
      <c r="C1595" s="873"/>
      <c r="D1595" s="873"/>
      <c r="E1595" s="874"/>
      <c r="F1595" s="873"/>
      <c r="G1595" s="875"/>
      <c r="H1595" s="876"/>
      <c r="I1595" s="877"/>
    </row>
    <row r="1596" spans="1:9">
      <c r="A1596" s="871"/>
      <c r="B1596" s="886" t="s">
        <v>2698</v>
      </c>
      <c r="C1596" s="873">
        <v>1</v>
      </c>
      <c r="D1596" s="873">
        <v>2</v>
      </c>
      <c r="E1596" s="888">
        <v>15</v>
      </c>
      <c r="F1596" s="873"/>
      <c r="G1596" s="875"/>
      <c r="H1596" s="876">
        <f t="shared" ref="H1596:H1601" si="53">PRODUCT(C1596:G1596)</f>
        <v>30</v>
      </c>
      <c r="I1596" s="877"/>
    </row>
    <row r="1597" spans="1:9">
      <c r="A1597" s="871"/>
      <c r="B1597" s="886" t="s">
        <v>2699</v>
      </c>
      <c r="C1597" s="873">
        <v>1</v>
      </c>
      <c r="D1597" s="873">
        <v>3</v>
      </c>
      <c r="E1597" s="888">
        <v>15</v>
      </c>
      <c r="F1597" s="873"/>
      <c r="G1597" s="875"/>
      <c r="H1597" s="876">
        <f t="shared" si="53"/>
        <v>45</v>
      </c>
      <c r="I1597" s="877"/>
    </row>
    <row r="1598" spans="1:9">
      <c r="A1598" s="871"/>
      <c r="B1598" s="891" t="s">
        <v>1105</v>
      </c>
      <c r="C1598" s="873"/>
      <c r="D1598" s="873"/>
      <c r="E1598" s="888"/>
      <c r="F1598" s="873"/>
      <c r="G1598" s="875"/>
      <c r="H1598" s="876">
        <f t="shared" si="53"/>
        <v>0</v>
      </c>
      <c r="I1598" s="877"/>
    </row>
    <row r="1599" spans="1:9">
      <c r="A1599" s="871"/>
      <c r="B1599" s="886" t="s">
        <v>2700</v>
      </c>
      <c r="C1599" s="873">
        <v>1</v>
      </c>
      <c r="D1599" s="873">
        <v>1</v>
      </c>
      <c r="E1599" s="888">
        <v>30</v>
      </c>
      <c r="F1599" s="873"/>
      <c r="G1599" s="875"/>
      <c r="H1599" s="876">
        <f t="shared" si="53"/>
        <v>30</v>
      </c>
      <c r="I1599" s="877"/>
    </row>
    <row r="1600" spans="1:9">
      <c r="A1600" s="871"/>
      <c r="B1600" s="886" t="s">
        <v>2701</v>
      </c>
      <c r="C1600" s="873">
        <v>1</v>
      </c>
      <c r="D1600" s="873">
        <v>1</v>
      </c>
      <c r="E1600" s="888">
        <v>25</v>
      </c>
      <c r="F1600" s="873"/>
      <c r="G1600" s="875"/>
      <c r="H1600" s="876">
        <f t="shared" si="53"/>
        <v>25</v>
      </c>
      <c r="I1600" s="877"/>
    </row>
    <row r="1601" spans="1:9">
      <c r="A1601" s="871"/>
      <c r="B1601" s="886" t="s">
        <v>2699</v>
      </c>
      <c r="C1601" s="873">
        <v>1</v>
      </c>
      <c r="D1601" s="873">
        <v>3</v>
      </c>
      <c r="E1601" s="888">
        <v>15</v>
      </c>
      <c r="F1601" s="873"/>
      <c r="G1601" s="875"/>
      <c r="H1601" s="876">
        <f t="shared" si="53"/>
        <v>45</v>
      </c>
      <c r="I1601" s="877"/>
    </row>
    <row r="1602" spans="1:9">
      <c r="A1602" s="871"/>
      <c r="B1602" s="886"/>
      <c r="C1602" s="873"/>
      <c r="D1602" s="873"/>
      <c r="E1602" s="888"/>
      <c r="F1602" s="873"/>
      <c r="G1602" s="892" t="s">
        <v>57</v>
      </c>
      <c r="H1602" s="896">
        <f>SUM(H1596:H1601)</f>
        <v>175</v>
      </c>
      <c r="I1602" s="897" t="s">
        <v>61</v>
      </c>
    </row>
    <row r="1603" spans="1:9">
      <c r="A1603" s="871"/>
      <c r="B1603" s="886"/>
      <c r="C1603" s="873"/>
      <c r="D1603" s="873"/>
      <c r="E1603" s="888"/>
      <c r="F1603" s="873"/>
      <c r="G1603" s="892"/>
      <c r="H1603" s="896"/>
      <c r="I1603" s="897"/>
    </row>
    <row r="1604" spans="1:9" ht="31.5">
      <c r="A1604" s="934">
        <v>105.1</v>
      </c>
      <c r="B1604" s="891" t="s">
        <v>2702</v>
      </c>
      <c r="C1604" s="873"/>
      <c r="D1604" s="873"/>
      <c r="E1604" s="874"/>
      <c r="F1604" s="873"/>
      <c r="G1604" s="875"/>
      <c r="H1604" s="876"/>
      <c r="I1604" s="877"/>
    </row>
    <row r="1605" spans="1:9">
      <c r="A1605" s="871"/>
      <c r="B1605" s="891" t="s">
        <v>2703</v>
      </c>
      <c r="C1605" s="873">
        <v>1</v>
      </c>
      <c r="D1605" s="873">
        <v>1</v>
      </c>
      <c r="E1605" s="888">
        <v>30</v>
      </c>
      <c r="F1605" s="873"/>
      <c r="G1605" s="875"/>
      <c r="H1605" s="876">
        <f>PRODUCT(C1605:G1605)</f>
        <v>30</v>
      </c>
      <c r="I1605" s="902"/>
    </row>
    <row r="1606" spans="1:9">
      <c r="A1606" s="871"/>
      <c r="B1606" s="886"/>
      <c r="C1606" s="873"/>
      <c r="D1606" s="873"/>
      <c r="E1606" s="888"/>
      <c r="F1606" s="873"/>
      <c r="G1606" s="892" t="s">
        <v>57</v>
      </c>
      <c r="H1606" s="896">
        <f>H1605</f>
        <v>30</v>
      </c>
      <c r="I1606" s="897" t="s">
        <v>61</v>
      </c>
    </row>
    <row r="1607" spans="1:9" ht="31.5">
      <c r="A1607" s="934">
        <v>344.2</v>
      </c>
      <c r="B1607" s="886" t="s">
        <v>2704</v>
      </c>
      <c r="C1607" s="873"/>
      <c r="D1607" s="873"/>
      <c r="E1607" s="874"/>
      <c r="F1607" s="873"/>
      <c r="G1607" s="875"/>
      <c r="H1607" s="876"/>
      <c r="I1607" s="877"/>
    </row>
    <row r="1608" spans="1:9">
      <c r="A1608" s="871"/>
      <c r="B1608" s="891" t="s">
        <v>2705</v>
      </c>
      <c r="C1608" s="873">
        <v>1</v>
      </c>
      <c r="D1608" s="873">
        <v>3</v>
      </c>
      <c r="E1608" s="888"/>
      <c r="F1608" s="873"/>
      <c r="G1608" s="875"/>
      <c r="H1608" s="876">
        <f>PRODUCT(C1608:G1608)</f>
        <v>3</v>
      </c>
      <c r="I1608" s="877"/>
    </row>
    <row r="1609" spans="1:9">
      <c r="A1609" s="871"/>
      <c r="B1609" s="891" t="s">
        <v>2706</v>
      </c>
      <c r="C1609" s="873">
        <v>1</v>
      </c>
      <c r="D1609" s="873">
        <v>3</v>
      </c>
      <c r="E1609" s="888"/>
      <c r="F1609" s="873"/>
      <c r="G1609" s="875"/>
      <c r="H1609" s="876">
        <f>PRODUCT(C1609:G1609)</f>
        <v>3</v>
      </c>
      <c r="I1609" s="877"/>
    </row>
    <row r="1610" spans="1:9">
      <c r="A1610" s="871"/>
      <c r="B1610" s="891"/>
      <c r="C1610" s="873"/>
      <c r="D1610" s="873"/>
      <c r="E1610" s="888"/>
      <c r="F1610" s="873"/>
      <c r="G1610" s="892" t="s">
        <v>57</v>
      </c>
      <c r="H1610" s="896">
        <f>SUM(H1608:H1609)</f>
        <v>6</v>
      </c>
      <c r="I1610" s="897" t="s">
        <v>213</v>
      </c>
    </row>
    <row r="1611" spans="1:9">
      <c r="A1611" s="871"/>
      <c r="B1611" s="891"/>
      <c r="C1611" s="873"/>
      <c r="D1611" s="873"/>
      <c r="E1611" s="888"/>
      <c r="F1611" s="873"/>
      <c r="G1611" s="892"/>
      <c r="H1611" s="896"/>
      <c r="I1611" s="897"/>
    </row>
    <row r="1612" spans="1:9" ht="31.5">
      <c r="A1612" s="871">
        <v>71</v>
      </c>
      <c r="B1612" s="886" t="s">
        <v>1181</v>
      </c>
      <c r="C1612" s="873"/>
      <c r="D1612" s="873"/>
      <c r="E1612" s="874"/>
      <c r="F1612" s="873"/>
      <c r="G1612" s="875"/>
      <c r="H1612" s="876"/>
      <c r="I1612" s="877"/>
    </row>
    <row r="1613" spans="1:9">
      <c r="A1613" s="871"/>
      <c r="B1613" s="891" t="s">
        <v>2707</v>
      </c>
      <c r="C1613" s="873">
        <v>1</v>
      </c>
      <c r="D1613" s="873">
        <v>1</v>
      </c>
      <c r="E1613" s="874"/>
      <c r="F1613" s="873"/>
      <c r="G1613" s="875"/>
      <c r="H1613" s="876">
        <f>PRODUCT(C1613:G1613)</f>
        <v>1</v>
      </c>
      <c r="I1613" s="877"/>
    </row>
    <row r="1614" spans="1:9">
      <c r="A1614" s="871"/>
      <c r="B1614" s="891"/>
      <c r="C1614" s="873"/>
      <c r="D1614" s="873"/>
      <c r="E1614" s="874"/>
      <c r="F1614" s="873"/>
      <c r="G1614" s="892" t="s">
        <v>57</v>
      </c>
      <c r="H1614" s="896">
        <f>SUM(H1613)</f>
        <v>1</v>
      </c>
      <c r="I1614" s="897" t="s">
        <v>54</v>
      </c>
    </row>
    <row r="1615" spans="1:9">
      <c r="A1615" s="871"/>
      <c r="B1615" s="891"/>
      <c r="C1615" s="873"/>
      <c r="D1615" s="873"/>
      <c r="E1615" s="874"/>
      <c r="F1615" s="873"/>
      <c r="G1615" s="892"/>
      <c r="H1615" s="896"/>
      <c r="I1615" s="897"/>
    </row>
    <row r="1616" spans="1:9">
      <c r="A1616" s="871">
        <v>80.2</v>
      </c>
      <c r="B1616" s="886" t="s">
        <v>2708</v>
      </c>
      <c r="C1616" s="873"/>
      <c r="D1616" s="873"/>
      <c r="E1616" s="888"/>
      <c r="F1616" s="873"/>
      <c r="G1616" s="875"/>
      <c r="H1616" s="876"/>
      <c r="I1616" s="877"/>
    </row>
    <row r="1617" spans="1:9">
      <c r="A1617" s="871"/>
      <c r="B1617" s="891" t="s">
        <v>2709</v>
      </c>
      <c r="C1617" s="873">
        <v>1</v>
      </c>
      <c r="D1617" s="873">
        <v>2</v>
      </c>
      <c r="E1617" s="888" t="s">
        <v>220</v>
      </c>
      <c r="F1617" s="873"/>
      <c r="G1617" s="875"/>
      <c r="H1617" s="876">
        <f>PRODUCT(C1617:G1617)</f>
        <v>2</v>
      </c>
      <c r="I1617" s="877"/>
    </row>
    <row r="1618" spans="1:9">
      <c r="A1618" s="871"/>
      <c r="B1618" s="891"/>
      <c r="C1618" s="873"/>
      <c r="D1618" s="873"/>
      <c r="E1618" s="888"/>
      <c r="F1618" s="873"/>
      <c r="G1618" s="892" t="s">
        <v>57</v>
      </c>
      <c r="H1618" s="896">
        <f>SUM(H1617)</f>
        <v>2</v>
      </c>
      <c r="I1618" s="897" t="s">
        <v>4</v>
      </c>
    </row>
    <row r="1619" spans="1:9">
      <c r="A1619" s="871"/>
      <c r="B1619" s="891"/>
      <c r="C1619" s="873"/>
      <c r="D1619" s="873"/>
      <c r="E1619" s="888"/>
      <c r="F1619" s="873"/>
      <c r="G1619" s="892"/>
      <c r="H1619" s="896"/>
      <c r="I1619" s="897"/>
    </row>
    <row r="1620" spans="1:9" ht="31.5">
      <c r="A1620" s="871">
        <v>79.2</v>
      </c>
      <c r="B1620" s="886" t="s">
        <v>2710</v>
      </c>
      <c r="C1620" s="873"/>
      <c r="D1620" s="873"/>
      <c r="E1620" s="888"/>
      <c r="F1620" s="873"/>
      <c r="G1620" s="875"/>
      <c r="H1620" s="876"/>
      <c r="I1620" s="877"/>
    </row>
    <row r="1621" spans="1:9">
      <c r="A1621" s="871"/>
      <c r="B1621" s="891" t="s">
        <v>2711</v>
      </c>
      <c r="C1621" s="873">
        <v>1</v>
      </c>
      <c r="D1621" s="873">
        <v>2</v>
      </c>
      <c r="E1621" s="888" t="s">
        <v>220</v>
      </c>
      <c r="F1621" s="873"/>
      <c r="G1621" s="875"/>
      <c r="H1621" s="876">
        <f>PRODUCT(C1621:G1621)</f>
        <v>2</v>
      </c>
      <c r="I1621" s="877"/>
    </row>
    <row r="1622" spans="1:9">
      <c r="A1622" s="871"/>
      <c r="B1622" s="891"/>
      <c r="C1622" s="873"/>
      <c r="D1622" s="873"/>
      <c r="E1622" s="888"/>
      <c r="F1622" s="873"/>
      <c r="G1622" s="892" t="s">
        <v>57</v>
      </c>
      <c r="H1622" s="896">
        <f>SUM(H1621)</f>
        <v>2</v>
      </c>
      <c r="I1622" s="897" t="s">
        <v>4</v>
      </c>
    </row>
    <row r="1623" spans="1:9">
      <c r="A1623" s="871"/>
      <c r="B1623" s="891"/>
      <c r="C1623" s="873"/>
      <c r="D1623" s="873"/>
      <c r="E1623" s="888"/>
      <c r="F1623" s="873"/>
      <c r="G1623" s="892"/>
      <c r="H1623" s="896"/>
      <c r="I1623" s="897"/>
    </row>
    <row r="1624" spans="1:9">
      <c r="A1624" s="871">
        <v>87</v>
      </c>
      <c r="B1624" s="891" t="s">
        <v>2712</v>
      </c>
      <c r="C1624" s="873"/>
      <c r="D1624" s="873"/>
      <c r="E1624" s="874"/>
      <c r="F1624" s="873"/>
      <c r="G1624" s="875"/>
      <c r="H1624" s="876"/>
      <c r="I1624" s="877"/>
    </row>
    <row r="1625" spans="1:9">
      <c r="A1625" s="871"/>
      <c r="B1625" s="891" t="s">
        <v>1118</v>
      </c>
      <c r="C1625" s="873">
        <v>1</v>
      </c>
      <c r="D1625" s="873">
        <v>2</v>
      </c>
      <c r="E1625" s="888" t="s">
        <v>220</v>
      </c>
      <c r="F1625" s="873"/>
      <c r="G1625" s="875"/>
      <c r="H1625" s="876">
        <f>PRODUCT(C1625:G1625)</f>
        <v>2</v>
      </c>
      <c r="I1625" s="877"/>
    </row>
    <row r="1626" spans="1:9">
      <c r="A1626" s="871"/>
      <c r="B1626" s="891"/>
      <c r="C1626" s="873"/>
      <c r="D1626" s="873"/>
      <c r="E1626" s="888"/>
      <c r="F1626" s="873"/>
      <c r="G1626" s="892" t="s">
        <v>57</v>
      </c>
      <c r="H1626" s="896">
        <f>SUM(H1625)</f>
        <v>2</v>
      </c>
      <c r="I1626" s="897" t="s">
        <v>54</v>
      </c>
    </row>
    <row r="1627" spans="1:9">
      <c r="A1627" s="871"/>
      <c r="B1627" s="891"/>
      <c r="C1627" s="873"/>
      <c r="D1627" s="873"/>
      <c r="E1627" s="888"/>
      <c r="F1627" s="873"/>
      <c r="G1627" s="892"/>
      <c r="H1627" s="896"/>
      <c r="I1627" s="897"/>
    </row>
    <row r="1628" spans="1:9">
      <c r="A1628" s="871">
        <v>85.1</v>
      </c>
      <c r="B1628" s="886" t="s">
        <v>2713</v>
      </c>
      <c r="C1628" s="873"/>
      <c r="D1628" s="873"/>
      <c r="E1628" s="888"/>
      <c r="F1628" s="873"/>
      <c r="G1628" s="875"/>
      <c r="H1628" s="876"/>
      <c r="I1628" s="877"/>
    </row>
    <row r="1629" spans="1:9">
      <c r="A1629" s="871"/>
      <c r="B1629" s="886" t="s">
        <v>2714</v>
      </c>
      <c r="C1629" s="873">
        <v>1</v>
      </c>
      <c r="D1629" s="873">
        <v>1</v>
      </c>
      <c r="E1629" s="888">
        <v>6</v>
      </c>
      <c r="F1629" s="873"/>
      <c r="G1629" s="875"/>
      <c r="H1629" s="876">
        <f>PRODUCT(C1629:G1629)</f>
        <v>6</v>
      </c>
      <c r="I1629" s="877"/>
    </row>
    <row r="1630" spans="1:9">
      <c r="A1630" s="871"/>
      <c r="B1630" s="886"/>
      <c r="C1630" s="873"/>
      <c r="D1630" s="873"/>
      <c r="E1630" s="888"/>
      <c r="F1630" s="873"/>
      <c r="G1630" s="892" t="s">
        <v>57</v>
      </c>
      <c r="H1630" s="896">
        <f>SUM(H1629)</f>
        <v>6</v>
      </c>
      <c r="I1630" s="897" t="s">
        <v>61</v>
      </c>
    </row>
    <row r="1631" spans="1:9">
      <c r="A1631" s="871"/>
      <c r="B1631" s="886"/>
      <c r="C1631" s="873"/>
      <c r="D1631" s="873"/>
      <c r="E1631" s="888"/>
      <c r="F1631" s="873"/>
      <c r="G1631" s="892"/>
      <c r="H1631" s="896"/>
      <c r="I1631" s="897"/>
    </row>
    <row r="1632" spans="1:9">
      <c r="A1632" s="934">
        <v>112.1</v>
      </c>
      <c r="B1632" s="891" t="s">
        <v>2715</v>
      </c>
      <c r="C1632" s="873"/>
      <c r="D1632" s="873"/>
      <c r="E1632" s="874"/>
      <c r="F1632" s="873"/>
      <c r="G1632" s="875"/>
      <c r="H1632" s="876"/>
      <c r="I1632" s="877"/>
    </row>
    <row r="1633" spans="1:9">
      <c r="A1633" s="871" t="s">
        <v>220</v>
      </c>
      <c r="B1633" s="891" t="s">
        <v>2667</v>
      </c>
      <c r="C1633" s="873">
        <v>1</v>
      </c>
      <c r="D1633" s="873">
        <v>5</v>
      </c>
      <c r="E1633" s="874"/>
      <c r="F1633" s="873"/>
      <c r="G1633" s="875"/>
      <c r="H1633" s="876">
        <f>PRODUCT(C1633:G1633)</f>
        <v>5</v>
      </c>
      <c r="I1633" s="877"/>
    </row>
    <row r="1634" spans="1:9">
      <c r="A1634" s="871"/>
      <c r="B1634" s="891"/>
      <c r="C1634" s="873"/>
      <c r="D1634" s="873"/>
      <c r="E1634" s="874"/>
      <c r="F1634" s="873"/>
      <c r="G1634" s="892" t="s">
        <v>57</v>
      </c>
      <c r="H1634" s="896">
        <f>SUM(H1633)</f>
        <v>5</v>
      </c>
      <c r="I1634" s="897" t="s">
        <v>4</v>
      </c>
    </row>
    <row r="1635" spans="1:9">
      <c r="A1635" s="871"/>
      <c r="B1635" s="891"/>
      <c r="C1635" s="873"/>
      <c r="D1635" s="873"/>
      <c r="E1635" s="874"/>
      <c r="F1635" s="873"/>
      <c r="G1635" s="892"/>
      <c r="H1635" s="896"/>
      <c r="I1635" s="897"/>
    </row>
    <row r="1636" spans="1:9" ht="31.5">
      <c r="A1636" s="871">
        <v>361.2</v>
      </c>
      <c r="B1636" s="886" t="s">
        <v>2716</v>
      </c>
      <c r="C1636" s="873"/>
      <c r="D1636" s="873"/>
      <c r="E1636" s="874"/>
      <c r="F1636" s="874"/>
      <c r="G1636" s="875"/>
      <c r="H1636" s="876"/>
      <c r="I1636" s="902"/>
    </row>
    <row r="1637" spans="1:9">
      <c r="A1637" s="871"/>
      <c r="B1637" s="891" t="s">
        <v>2717</v>
      </c>
      <c r="C1637" s="873">
        <v>1</v>
      </c>
      <c r="D1637" s="873">
        <v>1</v>
      </c>
      <c r="E1637" s="888">
        <f>1.74+1.5+3.66+3.9</f>
        <v>10.8</v>
      </c>
      <c r="F1637" s="888">
        <v>1.2</v>
      </c>
      <c r="G1637" s="875"/>
      <c r="H1637" s="876">
        <f t="shared" ref="H1637:H1642" si="54">F1637*E1637*D1637*C1637</f>
        <v>12.96</v>
      </c>
      <c r="I1637" s="877"/>
    </row>
    <row r="1638" spans="1:9">
      <c r="A1638" s="871"/>
      <c r="B1638" s="891" t="s">
        <v>2084</v>
      </c>
      <c r="C1638" s="873">
        <v>1</v>
      </c>
      <c r="D1638" s="873">
        <v>1</v>
      </c>
      <c r="E1638" s="888">
        <v>4.25</v>
      </c>
      <c r="F1638" s="888">
        <v>4.5</v>
      </c>
      <c r="G1638" s="875"/>
      <c r="H1638" s="876">
        <f t="shared" si="54"/>
        <v>19.125</v>
      </c>
      <c r="I1638" s="877"/>
    </row>
    <row r="1639" spans="1:9">
      <c r="A1639" s="871"/>
      <c r="B1639" s="891" t="s">
        <v>2718</v>
      </c>
      <c r="C1639" s="873">
        <v>1</v>
      </c>
      <c r="D1639" s="873">
        <v>6</v>
      </c>
      <c r="E1639" s="888">
        <v>1.5</v>
      </c>
      <c r="F1639" s="888">
        <v>0.45</v>
      </c>
      <c r="G1639" s="875"/>
      <c r="H1639" s="876">
        <f t="shared" si="54"/>
        <v>4.0500000000000007</v>
      </c>
      <c r="I1639" s="877"/>
    </row>
    <row r="1640" spans="1:9">
      <c r="A1640" s="871"/>
      <c r="B1640" s="891" t="s">
        <v>2719</v>
      </c>
      <c r="C1640" s="873">
        <v>1</v>
      </c>
      <c r="D1640" s="873">
        <v>1</v>
      </c>
      <c r="E1640" s="888">
        <v>1.1299999999999999</v>
      </c>
      <c r="F1640" s="888">
        <v>0.9</v>
      </c>
      <c r="G1640" s="875"/>
      <c r="H1640" s="876">
        <f t="shared" si="54"/>
        <v>1.0169999999999999</v>
      </c>
      <c r="I1640" s="877"/>
    </row>
    <row r="1641" spans="1:9">
      <c r="A1641" s="871"/>
      <c r="B1641" s="891" t="s">
        <v>94</v>
      </c>
      <c r="C1641" s="873">
        <v>1</v>
      </c>
      <c r="D1641" s="873">
        <v>3</v>
      </c>
      <c r="E1641" s="888">
        <v>1</v>
      </c>
      <c r="F1641" s="888">
        <v>0.45</v>
      </c>
      <c r="G1641" s="875"/>
      <c r="H1641" s="876">
        <f t="shared" si="54"/>
        <v>1.35</v>
      </c>
      <c r="I1641" s="877"/>
    </row>
    <row r="1642" spans="1:9">
      <c r="A1642" s="871"/>
      <c r="B1642" s="891" t="s">
        <v>2720</v>
      </c>
      <c r="C1642" s="873">
        <v>3</v>
      </c>
      <c r="D1642" s="873">
        <v>22</v>
      </c>
      <c r="E1642" s="888">
        <v>1.2</v>
      </c>
      <c r="F1642" s="888">
        <v>0.45</v>
      </c>
      <c r="G1642" s="875"/>
      <c r="H1642" s="876">
        <f t="shared" si="54"/>
        <v>35.64</v>
      </c>
      <c r="I1642" s="877"/>
    </row>
    <row r="1643" spans="1:9">
      <c r="A1643" s="871"/>
      <c r="B1643" s="891" t="s">
        <v>2721</v>
      </c>
      <c r="C1643" s="873">
        <v>1</v>
      </c>
      <c r="D1643" s="873">
        <v>2</v>
      </c>
      <c r="E1643" s="888">
        <v>2.4</v>
      </c>
      <c r="F1643" s="888">
        <v>1.95</v>
      </c>
      <c r="G1643" s="875"/>
      <c r="H1643" s="876">
        <f>PRODUCT(C1643:G1643)</f>
        <v>9.36</v>
      </c>
      <c r="I1643" s="902"/>
    </row>
    <row r="1644" spans="1:9">
      <c r="A1644" s="871"/>
      <c r="B1644" s="891" t="s">
        <v>2722</v>
      </c>
      <c r="C1644" s="873">
        <v>1</v>
      </c>
      <c r="D1644" s="873">
        <v>3</v>
      </c>
      <c r="E1644" s="888">
        <v>2.4</v>
      </c>
      <c r="F1644" s="888">
        <v>1.2</v>
      </c>
      <c r="G1644" s="875"/>
      <c r="H1644" s="876">
        <f>PRODUCT(C1644:G1644)</f>
        <v>8.6399999999999988</v>
      </c>
      <c r="I1644" s="902"/>
    </row>
    <row r="1645" spans="1:9">
      <c r="A1645" s="871"/>
      <c r="B1645" s="891"/>
      <c r="C1645" s="873"/>
      <c r="D1645" s="873"/>
      <c r="E1645" s="874"/>
      <c r="F1645" s="874"/>
      <c r="G1645" s="875" t="s">
        <v>57</v>
      </c>
      <c r="H1645" s="876">
        <f>SUM(H1637:H1644)</f>
        <v>92.14200000000001</v>
      </c>
      <c r="I1645" s="897"/>
    </row>
    <row r="1646" spans="1:9" ht="18">
      <c r="A1646" s="871" t="s">
        <v>220</v>
      </c>
      <c r="B1646" s="971"/>
      <c r="C1646" s="873"/>
      <c r="D1646" s="873"/>
      <c r="E1646" s="874"/>
      <c r="F1646" s="874"/>
      <c r="G1646" s="892" t="s">
        <v>206</v>
      </c>
      <c r="H1646" s="896">
        <f>ROUNDUP(H1645,1)</f>
        <v>92.199999999999989</v>
      </c>
      <c r="I1646" s="897" t="s">
        <v>2234</v>
      </c>
    </row>
    <row r="1647" spans="1:9" ht="33" customHeight="1">
      <c r="A1647" s="871">
        <v>23.5</v>
      </c>
      <c r="B1647" s="886" t="s">
        <v>2723</v>
      </c>
      <c r="C1647" s="909"/>
      <c r="D1647" s="909"/>
      <c r="E1647" s="873"/>
      <c r="F1647" s="873"/>
      <c r="G1647" s="909"/>
      <c r="H1647" s="910"/>
      <c r="I1647" s="877"/>
    </row>
    <row r="1648" spans="1:9">
      <c r="A1648" s="871"/>
      <c r="B1648" s="886" t="s">
        <v>1867</v>
      </c>
      <c r="C1648" s="909"/>
      <c r="D1648" s="909"/>
      <c r="E1648" s="873"/>
      <c r="F1648" s="873"/>
      <c r="G1648" s="909"/>
      <c r="H1648" s="910"/>
      <c r="I1648" s="877"/>
    </row>
    <row r="1649" spans="1:9">
      <c r="A1649" s="871"/>
      <c r="B1649" s="891" t="s">
        <v>2724</v>
      </c>
      <c r="C1649" s="873">
        <v>1</v>
      </c>
      <c r="D1649" s="873">
        <v>2</v>
      </c>
      <c r="E1649" s="888"/>
      <c r="F1649" s="873"/>
      <c r="G1649" s="909"/>
      <c r="H1649" s="876">
        <f>PRODUCT(C1649:G1649)</f>
        <v>2</v>
      </c>
      <c r="I1649" s="902"/>
    </row>
    <row r="1650" spans="1:9">
      <c r="A1650" s="871"/>
      <c r="B1650" s="891"/>
      <c r="C1650" s="909"/>
      <c r="D1650" s="909"/>
      <c r="E1650" s="873"/>
      <c r="F1650" s="873"/>
      <c r="G1650" s="892" t="s">
        <v>57</v>
      </c>
      <c r="H1650" s="929">
        <f>SUM(H1649)</f>
        <v>2</v>
      </c>
      <c r="I1650" s="897" t="s">
        <v>4</v>
      </c>
    </row>
    <row r="1651" spans="1:9">
      <c r="A1651" s="871"/>
      <c r="B1651" s="891"/>
      <c r="C1651" s="909"/>
      <c r="D1651" s="909"/>
      <c r="E1651" s="873"/>
      <c r="F1651" s="873"/>
      <c r="G1651" s="892"/>
      <c r="H1651" s="929"/>
      <c r="I1651" s="897"/>
    </row>
    <row r="1652" spans="1:9" ht="31.5">
      <c r="A1652" s="871">
        <v>24.1</v>
      </c>
      <c r="B1652" s="886" t="s">
        <v>2725</v>
      </c>
      <c r="C1652" s="909"/>
      <c r="D1652" s="909"/>
      <c r="E1652" s="873"/>
      <c r="F1652" s="873"/>
      <c r="G1652" s="909"/>
      <c r="H1652" s="910"/>
      <c r="I1652" s="877"/>
    </row>
    <row r="1653" spans="1:9">
      <c r="A1653" s="871"/>
      <c r="B1653" s="886" t="s">
        <v>2726</v>
      </c>
      <c r="C1653" s="909">
        <v>1</v>
      </c>
      <c r="D1653" s="909">
        <v>1</v>
      </c>
      <c r="E1653" s="888">
        <v>1</v>
      </c>
      <c r="F1653" s="873">
        <v>0.6</v>
      </c>
      <c r="G1653" s="909"/>
      <c r="H1653" s="876">
        <f>PRODUCT(C1653:G1653)</f>
        <v>0.6</v>
      </c>
      <c r="I1653" s="877"/>
    </row>
    <row r="1654" spans="1:9">
      <c r="A1654" s="871"/>
      <c r="B1654" s="891" t="s">
        <v>2724</v>
      </c>
      <c r="C1654" s="873">
        <v>1</v>
      </c>
      <c r="D1654" s="873">
        <v>2</v>
      </c>
      <c r="E1654" s="888">
        <v>1.2</v>
      </c>
      <c r="F1654" s="888">
        <v>0.6</v>
      </c>
      <c r="G1654" s="875"/>
      <c r="H1654" s="876">
        <f>PRODUCT(C1654:G1654)</f>
        <v>1.44</v>
      </c>
      <c r="I1654" s="877"/>
    </row>
    <row r="1655" spans="1:9">
      <c r="A1655" s="871"/>
      <c r="B1655" s="891"/>
      <c r="C1655" s="873"/>
      <c r="D1655" s="873"/>
      <c r="E1655" s="888"/>
      <c r="F1655" s="888"/>
      <c r="G1655" s="875" t="s">
        <v>57</v>
      </c>
      <c r="H1655" s="876">
        <f>SUM(H1653:H1654)</f>
        <v>2.04</v>
      </c>
      <c r="I1655" s="877"/>
    </row>
    <row r="1656" spans="1:9" ht="18">
      <c r="A1656" s="871"/>
      <c r="B1656" s="891"/>
      <c r="C1656" s="873"/>
      <c r="D1656" s="873"/>
      <c r="E1656" s="888"/>
      <c r="F1656" s="873"/>
      <c r="G1656" s="892" t="s">
        <v>206</v>
      </c>
      <c r="H1656" s="893">
        <f>ROUNDUP(H1655,1)</f>
        <v>2.1</v>
      </c>
      <c r="I1656" s="897" t="s">
        <v>2234</v>
      </c>
    </row>
    <row r="1657" spans="1:9">
      <c r="A1657" s="871"/>
      <c r="B1657" s="891"/>
      <c r="C1657" s="873"/>
      <c r="D1657" s="873"/>
      <c r="E1657" s="888"/>
      <c r="F1657" s="873"/>
      <c r="G1657" s="875"/>
      <c r="H1657" s="876"/>
      <c r="I1657" s="877"/>
    </row>
    <row r="1658" spans="1:9">
      <c r="A1658" s="871">
        <v>448.1</v>
      </c>
      <c r="B1658" s="972" t="s">
        <v>2727</v>
      </c>
      <c r="C1658" s="873"/>
      <c r="D1658" s="873"/>
      <c r="E1658" s="873"/>
      <c r="F1658" s="873"/>
      <c r="G1658" s="875"/>
      <c r="H1658" s="876"/>
      <c r="I1658" s="877"/>
    </row>
    <row r="1659" spans="1:9">
      <c r="A1659" s="871"/>
      <c r="B1659" s="891" t="s">
        <v>2728</v>
      </c>
      <c r="C1659" s="873"/>
      <c r="D1659" s="873"/>
      <c r="E1659" s="873"/>
      <c r="F1659" s="873"/>
      <c r="G1659" s="875"/>
      <c r="H1659" s="876"/>
      <c r="I1659" s="877"/>
    </row>
    <row r="1660" spans="1:9">
      <c r="A1660" s="871"/>
      <c r="B1660" s="891" t="s">
        <v>2705</v>
      </c>
      <c r="C1660" s="873">
        <v>1</v>
      </c>
      <c r="D1660" s="873">
        <v>3</v>
      </c>
      <c r="E1660" s="888"/>
      <c r="F1660" s="873"/>
      <c r="G1660" s="875"/>
      <c r="H1660" s="876">
        <f>PRODUCT(C1660:G1660)</f>
        <v>3</v>
      </c>
      <c r="I1660" s="877"/>
    </row>
    <row r="1661" spans="1:9">
      <c r="A1661" s="871"/>
      <c r="B1661" s="891" t="s">
        <v>2706</v>
      </c>
      <c r="C1661" s="873">
        <v>1</v>
      </c>
      <c r="D1661" s="873">
        <v>3</v>
      </c>
      <c r="E1661" s="888"/>
      <c r="F1661" s="873"/>
      <c r="G1661" s="875"/>
      <c r="H1661" s="876">
        <f>PRODUCT(C1661:G1661)</f>
        <v>3</v>
      </c>
      <c r="I1661" s="877"/>
    </row>
    <row r="1662" spans="1:9">
      <c r="A1662" s="871"/>
      <c r="B1662" s="891"/>
      <c r="C1662" s="873"/>
      <c r="D1662" s="873"/>
      <c r="E1662" s="874"/>
      <c r="F1662" s="873"/>
      <c r="G1662" s="892" t="s">
        <v>57</v>
      </c>
      <c r="H1662" s="896">
        <f>SUM(H1660:H1661)</f>
        <v>6</v>
      </c>
      <c r="I1662" s="897" t="s">
        <v>213</v>
      </c>
    </row>
    <row r="1663" spans="1:9">
      <c r="A1663" s="871"/>
      <c r="B1663" s="891"/>
      <c r="C1663" s="873"/>
      <c r="D1663" s="873"/>
      <c r="E1663" s="874"/>
      <c r="F1663" s="873"/>
      <c r="G1663" s="892"/>
      <c r="H1663" s="896"/>
      <c r="I1663" s="897"/>
    </row>
    <row r="1664" spans="1:9" s="882" customFormat="1" ht="17.25">
      <c r="A1664" s="973">
        <v>70.099999999999994</v>
      </c>
      <c r="B1664" s="880" t="s">
        <v>2729</v>
      </c>
      <c r="C1664" s="879"/>
      <c r="D1664" s="879"/>
      <c r="E1664" s="879"/>
      <c r="F1664" s="973"/>
      <c r="G1664" s="974"/>
      <c r="H1664" s="974"/>
    </row>
    <row r="1665" spans="1:8" s="882" customFormat="1" ht="17.25">
      <c r="A1665" s="879"/>
      <c r="B1665" s="975" t="s">
        <v>2730</v>
      </c>
      <c r="C1665" s="879">
        <v>1</v>
      </c>
      <c r="D1665" s="879">
        <v>3</v>
      </c>
      <c r="E1665" s="879"/>
      <c r="F1665" s="879"/>
      <c r="G1665" s="881"/>
      <c r="H1665" s="881">
        <v>3</v>
      </c>
    </row>
    <row r="1666" spans="1:8" s="882" customFormat="1" ht="17.25">
      <c r="A1666" s="879"/>
      <c r="B1666" s="975" t="s">
        <v>1119</v>
      </c>
      <c r="C1666" s="879">
        <v>1</v>
      </c>
      <c r="D1666" s="879">
        <v>3</v>
      </c>
      <c r="E1666" s="879"/>
      <c r="F1666" s="879"/>
      <c r="G1666" s="881"/>
      <c r="H1666" s="881">
        <v>3</v>
      </c>
    </row>
    <row r="1667" spans="1:8" s="882" customFormat="1" ht="17.25">
      <c r="A1667" s="879"/>
      <c r="B1667" s="883"/>
      <c r="C1667" s="879"/>
      <c r="D1667" s="879"/>
      <c r="E1667" s="879"/>
      <c r="F1667" s="973"/>
      <c r="G1667" s="974"/>
      <c r="H1667" s="974">
        <v>6</v>
      </c>
    </row>
    <row r="1668" spans="1:8" s="882" customFormat="1" ht="17.25">
      <c r="A1668" s="973">
        <v>70.5</v>
      </c>
      <c r="B1668" s="880" t="s">
        <v>2731</v>
      </c>
      <c r="C1668" s="879"/>
      <c r="D1668" s="879"/>
      <c r="E1668" s="879"/>
      <c r="F1668" s="879"/>
      <c r="G1668" s="881"/>
      <c r="H1668" s="881"/>
    </row>
    <row r="1669" spans="1:8" s="882" customFormat="1" ht="17.25">
      <c r="A1669" s="879"/>
      <c r="B1669" s="883" t="str">
        <f t="shared" ref="B1669:B1684" si="55">B1519</f>
        <v>Verandha</v>
      </c>
      <c r="C1669" s="879"/>
      <c r="D1669" s="879"/>
      <c r="E1669" s="879"/>
      <c r="F1669" s="879"/>
      <c r="G1669" s="881"/>
      <c r="H1669" s="881"/>
    </row>
    <row r="1670" spans="1:8" s="882" customFormat="1" ht="17.25">
      <c r="A1670" s="879"/>
      <c r="B1670" s="975" t="str">
        <f t="shared" si="55"/>
        <v>INS</v>
      </c>
      <c r="C1670" s="879">
        <v>1</v>
      </c>
      <c r="D1670" s="879">
        <v>1</v>
      </c>
      <c r="E1670" s="879"/>
      <c r="F1670" s="879"/>
      <c r="G1670" s="881"/>
      <c r="H1670" s="881">
        <v>1</v>
      </c>
    </row>
    <row r="1671" spans="1:8" s="882" customFormat="1" ht="17.25">
      <c r="A1671" s="879"/>
      <c r="B1671" s="975" t="str">
        <f t="shared" si="55"/>
        <v>Reseption</v>
      </c>
      <c r="C1671" s="879">
        <v>1</v>
      </c>
      <c r="D1671" s="879">
        <v>1</v>
      </c>
      <c r="E1671" s="879"/>
      <c r="F1671" s="879"/>
      <c r="G1671" s="881"/>
      <c r="H1671" s="881">
        <v>1</v>
      </c>
    </row>
    <row r="1672" spans="1:8" s="882" customFormat="1" ht="17.25">
      <c r="A1672" s="879"/>
      <c r="B1672" s="975" t="str">
        <f t="shared" si="55"/>
        <v>CCTNS</v>
      </c>
      <c r="C1672" s="879">
        <v>1</v>
      </c>
      <c r="D1672" s="879">
        <v>2</v>
      </c>
      <c r="E1672" s="879"/>
      <c r="F1672" s="879"/>
      <c r="G1672" s="881"/>
      <c r="H1672" s="881">
        <v>2</v>
      </c>
    </row>
    <row r="1673" spans="1:8" s="882" customFormat="1" ht="17.25">
      <c r="A1673" s="879"/>
      <c r="B1673" s="975" t="str">
        <f t="shared" si="55"/>
        <v>Arms</v>
      </c>
      <c r="C1673" s="879">
        <v>1</v>
      </c>
      <c r="D1673" s="879">
        <v>2</v>
      </c>
      <c r="E1673" s="879"/>
      <c r="F1673" s="879"/>
      <c r="G1673" s="881"/>
      <c r="H1673" s="881">
        <v>2</v>
      </c>
    </row>
    <row r="1674" spans="1:8" s="882" customFormat="1" ht="17.25">
      <c r="A1674" s="879"/>
      <c r="B1674" s="975" t="str">
        <f t="shared" si="55"/>
        <v>Stair Bottom Toilet</v>
      </c>
      <c r="C1674" s="879">
        <v>1</v>
      </c>
      <c r="D1674" s="879">
        <v>2</v>
      </c>
      <c r="E1674" s="879"/>
      <c r="F1674" s="879"/>
      <c r="G1674" s="881"/>
      <c r="H1674" s="881">
        <v>2</v>
      </c>
    </row>
    <row r="1675" spans="1:8" s="882" customFormat="1" ht="17.25">
      <c r="A1675" s="879"/>
      <c r="B1675" s="975" t="str">
        <f t="shared" si="55"/>
        <v>S/C Front Corridor</v>
      </c>
      <c r="C1675" s="879">
        <v>1</v>
      </c>
      <c r="D1675" s="879">
        <v>1</v>
      </c>
      <c r="E1675" s="879"/>
      <c r="F1675" s="879"/>
      <c r="G1675" s="881"/>
      <c r="H1675" s="881">
        <v>1</v>
      </c>
    </row>
    <row r="1676" spans="1:8" s="882" customFormat="1" ht="17.25">
      <c r="A1676" s="879"/>
      <c r="B1676" s="975" t="str">
        <f t="shared" si="55"/>
        <v>S/C Rear toilet</v>
      </c>
      <c r="C1676" s="879">
        <v>1</v>
      </c>
      <c r="D1676" s="879">
        <v>2</v>
      </c>
      <c r="E1676" s="879"/>
      <c r="F1676" s="879"/>
      <c r="G1676" s="881"/>
      <c r="H1676" s="881">
        <v>2</v>
      </c>
    </row>
    <row r="1677" spans="1:8" s="882" customFormat="1" ht="17.25">
      <c r="A1677" s="879"/>
      <c r="B1677" s="975" t="str">
        <f t="shared" si="55"/>
        <v>Station Writer</v>
      </c>
      <c r="C1677" s="879">
        <v>1</v>
      </c>
      <c r="D1677" s="879">
        <v>2</v>
      </c>
      <c r="E1677" s="879"/>
      <c r="F1677" s="879"/>
      <c r="G1677" s="881"/>
      <c r="H1677" s="881">
        <v>2</v>
      </c>
    </row>
    <row r="1678" spans="1:8" s="882" customFormat="1" ht="17.25">
      <c r="A1678" s="879"/>
      <c r="B1678" s="975" t="str">
        <f t="shared" si="55"/>
        <v>INS Toilet</v>
      </c>
      <c r="C1678" s="879">
        <v>1</v>
      </c>
      <c r="D1678" s="879">
        <v>1</v>
      </c>
      <c r="E1678" s="879"/>
      <c r="F1678" s="879"/>
      <c r="G1678" s="881"/>
      <c r="H1678" s="881">
        <v>1</v>
      </c>
    </row>
    <row r="1679" spans="1:8" s="882" customFormat="1" ht="17.25">
      <c r="A1679" s="879"/>
      <c r="B1679" s="975" t="str">
        <f t="shared" si="55"/>
        <v>Store</v>
      </c>
      <c r="C1679" s="879"/>
      <c r="D1679" s="879"/>
      <c r="E1679" s="879"/>
      <c r="F1679" s="879"/>
      <c r="G1679" s="881"/>
      <c r="H1679" s="881"/>
    </row>
    <row r="1680" spans="1:8" s="882" customFormat="1" ht="17.25">
      <c r="A1680" s="879"/>
      <c r="B1680" s="975" t="str">
        <f t="shared" si="55"/>
        <v>Property</v>
      </c>
      <c r="C1680" s="879">
        <v>1</v>
      </c>
      <c r="D1680" s="879">
        <v>1</v>
      </c>
      <c r="E1680" s="879"/>
      <c r="F1680" s="879"/>
      <c r="G1680" s="881"/>
      <c r="H1680" s="881">
        <v>1</v>
      </c>
    </row>
    <row r="1681" spans="1:10" s="882" customFormat="1" ht="17.25">
      <c r="A1681" s="879"/>
      <c r="B1681" s="975" t="str">
        <f t="shared" si="55"/>
        <v>SI 3 Nos</v>
      </c>
      <c r="C1681" s="879">
        <v>1</v>
      </c>
      <c r="D1681" s="879">
        <v>1</v>
      </c>
      <c r="E1681" s="879"/>
      <c r="F1681" s="879"/>
      <c r="G1681" s="881"/>
      <c r="H1681" s="881">
        <v>1</v>
      </c>
    </row>
    <row r="1682" spans="1:10" s="882" customFormat="1" ht="17.25">
      <c r="A1682" s="879"/>
      <c r="B1682" s="975" t="str">
        <f t="shared" si="55"/>
        <v>SI toilet</v>
      </c>
      <c r="C1682" s="879">
        <v>1</v>
      </c>
      <c r="D1682" s="879">
        <v>3</v>
      </c>
      <c r="E1682" s="879"/>
      <c r="F1682" s="879"/>
      <c r="G1682" s="881"/>
      <c r="H1682" s="881">
        <v>3</v>
      </c>
    </row>
    <row r="1683" spans="1:10" s="882" customFormat="1" ht="17.25">
      <c r="A1683" s="879"/>
      <c r="B1683" s="975" t="str">
        <f t="shared" si="55"/>
        <v>Rest room (W&amp;M)</v>
      </c>
      <c r="C1683" s="879">
        <v>1</v>
      </c>
      <c r="D1683" s="879">
        <v>2</v>
      </c>
      <c r="E1683" s="879"/>
      <c r="F1683" s="879"/>
      <c r="G1683" s="881"/>
      <c r="H1683" s="881">
        <v>2</v>
      </c>
    </row>
    <row r="1684" spans="1:10" s="882" customFormat="1" ht="17.25">
      <c r="A1684" s="879"/>
      <c r="B1684" s="975" t="str">
        <f t="shared" si="55"/>
        <v>Stair Carridor</v>
      </c>
      <c r="C1684" s="879">
        <v>1</v>
      </c>
      <c r="D1684" s="879">
        <v>1</v>
      </c>
      <c r="E1684" s="879"/>
      <c r="F1684" s="879"/>
      <c r="G1684" s="881"/>
      <c r="H1684" s="881">
        <v>1</v>
      </c>
    </row>
    <row r="1685" spans="1:10" s="882" customFormat="1" ht="17.25">
      <c r="A1685" s="879"/>
      <c r="B1685" s="975" t="str">
        <f>B1535</f>
        <v>Interrogation</v>
      </c>
      <c r="C1685" s="879">
        <v>1</v>
      </c>
      <c r="D1685" s="879">
        <v>1</v>
      </c>
      <c r="E1685" s="879"/>
      <c r="F1685" s="879"/>
      <c r="G1685" s="881"/>
      <c r="H1685" s="881">
        <v>1</v>
      </c>
    </row>
    <row r="1686" spans="1:10" s="882" customFormat="1" ht="17.25">
      <c r="A1686" s="879"/>
      <c r="B1686" s="975" t="s">
        <v>2732</v>
      </c>
      <c r="C1686" s="879">
        <v>1</v>
      </c>
      <c r="D1686" s="879">
        <v>2</v>
      </c>
      <c r="E1686" s="879"/>
      <c r="F1686" s="879"/>
      <c r="G1686" s="881"/>
      <c r="H1686" s="881">
        <v>2</v>
      </c>
    </row>
    <row r="1687" spans="1:10" s="882" customFormat="1" ht="17.25">
      <c r="A1687" s="879"/>
      <c r="B1687" s="883"/>
      <c r="C1687" s="879"/>
      <c r="D1687" s="879"/>
      <c r="E1687" s="879"/>
      <c r="F1687" s="879"/>
      <c r="G1687" s="881"/>
      <c r="H1687" s="974">
        <v>25</v>
      </c>
      <c r="J1687" s="882">
        <f>2.33*3.28</f>
        <v>7.6423999999999994</v>
      </c>
    </row>
    <row r="1688" spans="1:10" s="882" customFormat="1" ht="17.25">
      <c r="A1688" s="879"/>
      <c r="B1688" s="883"/>
      <c r="C1688" s="879"/>
      <c r="D1688" s="879"/>
      <c r="E1688" s="879"/>
      <c r="F1688" s="973" t="s">
        <v>15</v>
      </c>
      <c r="G1688" s="974">
        <v>25</v>
      </c>
      <c r="H1688" s="974" t="s">
        <v>4</v>
      </c>
    </row>
    <row r="1689" spans="1:10" s="882" customFormat="1" ht="17.25">
      <c r="A1689" s="973">
        <v>70.099999999999994</v>
      </c>
      <c r="B1689" s="880" t="s">
        <v>1005</v>
      </c>
      <c r="C1689" s="879"/>
      <c r="D1689" s="879"/>
      <c r="E1689" s="879"/>
      <c r="F1689" s="879"/>
      <c r="G1689" s="881"/>
      <c r="H1689" s="881"/>
    </row>
    <row r="1690" spans="1:10" s="882" customFormat="1" ht="17.25">
      <c r="A1690" s="879"/>
      <c r="B1690" s="975" t="str">
        <f t="shared" ref="B1690:B1695" si="56">B1595</f>
        <v>Ground Floor</v>
      </c>
      <c r="C1690" s="879">
        <v>1</v>
      </c>
      <c r="D1690" s="879">
        <v>2</v>
      </c>
      <c r="E1690" s="879"/>
      <c r="F1690" s="879"/>
      <c r="G1690" s="881"/>
      <c r="H1690" s="881">
        <v>2</v>
      </c>
    </row>
    <row r="1691" spans="1:10" s="882" customFormat="1" ht="17.25">
      <c r="A1691" s="879"/>
      <c r="B1691" s="975" t="str">
        <f t="shared" si="56"/>
        <v>Main board to Power Plug</v>
      </c>
      <c r="C1691" s="879">
        <v>1</v>
      </c>
      <c r="D1691" s="879">
        <v>1</v>
      </c>
      <c r="E1691" s="879"/>
      <c r="F1691" s="879"/>
      <c r="G1691" s="881"/>
      <c r="H1691" s="881">
        <v>1</v>
      </c>
    </row>
    <row r="1692" spans="1:10" s="882" customFormat="1" ht="17.25">
      <c r="A1692" s="879"/>
      <c r="B1692" s="975" t="str">
        <f t="shared" si="56"/>
        <v>Main board to switch boards</v>
      </c>
      <c r="C1692" s="879">
        <v>1</v>
      </c>
      <c r="D1692" s="879">
        <v>1</v>
      </c>
      <c r="E1692" s="879"/>
      <c r="F1692" s="879"/>
      <c r="G1692" s="881"/>
      <c r="H1692" s="881">
        <v>1</v>
      </c>
    </row>
    <row r="1693" spans="1:10" s="882" customFormat="1" ht="17.25">
      <c r="A1693" s="879"/>
      <c r="B1693" s="975" t="str">
        <f t="shared" si="56"/>
        <v>First Floor</v>
      </c>
      <c r="C1693" s="879">
        <v>1</v>
      </c>
      <c r="D1693" s="879">
        <v>1</v>
      </c>
      <c r="E1693" s="879"/>
      <c r="F1693" s="879"/>
      <c r="G1693" s="881"/>
      <c r="H1693" s="881">
        <v>1</v>
      </c>
    </row>
    <row r="1694" spans="1:10" s="882" customFormat="1" ht="34.5">
      <c r="A1694" s="879"/>
      <c r="B1694" s="975" t="str">
        <f t="shared" si="56"/>
        <v>Main Board to Communication Room</v>
      </c>
      <c r="C1694" s="879">
        <v>1</v>
      </c>
      <c r="D1694" s="879">
        <v>1</v>
      </c>
      <c r="E1694" s="879"/>
      <c r="F1694" s="879"/>
      <c r="G1694" s="881"/>
      <c r="H1694" s="881">
        <v>1</v>
      </c>
    </row>
    <row r="1695" spans="1:10" s="882" customFormat="1" ht="17.25">
      <c r="A1695" s="879"/>
      <c r="B1695" s="975" t="str">
        <f t="shared" si="56"/>
        <v xml:space="preserve">Main Board  to Power plug </v>
      </c>
      <c r="C1695" s="879">
        <v>1</v>
      </c>
      <c r="D1695" s="879">
        <v>1</v>
      </c>
      <c r="E1695" s="879"/>
      <c r="F1695" s="879"/>
      <c r="G1695" s="881"/>
      <c r="H1695" s="881">
        <v>1</v>
      </c>
    </row>
    <row r="1696" spans="1:10" s="882" customFormat="1" ht="17.25">
      <c r="A1696" s="879"/>
      <c r="B1696" s="879"/>
      <c r="C1696" s="879"/>
      <c r="D1696" s="879"/>
      <c r="E1696" s="879"/>
      <c r="F1696" s="879"/>
      <c r="G1696" s="881"/>
      <c r="H1696" s="881"/>
    </row>
    <row r="1697" spans="1:8" s="882" customFormat="1" ht="17.25">
      <c r="A1697" s="879"/>
      <c r="B1697" s="883"/>
      <c r="C1697" s="879"/>
      <c r="D1697" s="879"/>
      <c r="E1697" s="879"/>
      <c r="F1697" s="879"/>
      <c r="G1697" s="881"/>
      <c r="H1697" s="974">
        <v>7</v>
      </c>
    </row>
    <row r="1698" spans="1:8" s="882" customFormat="1" ht="17.25">
      <c r="A1698" s="879"/>
      <c r="B1698" s="883"/>
      <c r="C1698" s="879"/>
      <c r="D1698" s="879"/>
      <c r="E1698" s="879"/>
      <c r="F1698" s="973" t="s">
        <v>15</v>
      </c>
      <c r="G1698" s="974">
        <v>7</v>
      </c>
      <c r="H1698" s="974" t="s">
        <v>4</v>
      </c>
    </row>
    <row r="1699" spans="1:8" s="882" customFormat="1" ht="17.25">
      <c r="A1699" s="973">
        <v>70.3</v>
      </c>
      <c r="B1699" s="880" t="s">
        <v>2733</v>
      </c>
      <c r="C1699" s="879"/>
      <c r="D1699" s="879"/>
      <c r="E1699" s="879"/>
      <c r="F1699" s="879"/>
      <c r="G1699" s="881"/>
      <c r="H1699" s="881"/>
    </row>
    <row r="1700" spans="1:8" s="882" customFormat="1" ht="17.25">
      <c r="A1700" s="879"/>
      <c r="B1700" s="975" t="s">
        <v>2734</v>
      </c>
      <c r="C1700" s="879">
        <v>1</v>
      </c>
      <c r="D1700" s="879">
        <v>2</v>
      </c>
      <c r="E1700" s="879"/>
      <c r="F1700" s="879"/>
      <c r="G1700" s="881"/>
      <c r="H1700" s="881">
        <v>2</v>
      </c>
    </row>
    <row r="1701" spans="1:8" s="882" customFormat="1" ht="17.25">
      <c r="A1701" s="879"/>
      <c r="B1701" s="975" t="s">
        <v>2078</v>
      </c>
      <c r="C1701" s="879">
        <v>1</v>
      </c>
      <c r="D1701" s="879">
        <v>1</v>
      </c>
      <c r="E1701" s="879"/>
      <c r="F1701" s="879"/>
      <c r="G1701" s="881"/>
      <c r="H1701" s="881">
        <v>1</v>
      </c>
    </row>
    <row r="1702" spans="1:8" s="882" customFormat="1" ht="17.25">
      <c r="A1702" s="879"/>
      <c r="B1702" s="975" t="s">
        <v>2735</v>
      </c>
      <c r="C1702" s="879">
        <v>1</v>
      </c>
      <c r="D1702" s="879">
        <v>1</v>
      </c>
      <c r="E1702" s="879"/>
      <c r="F1702" s="879"/>
      <c r="G1702" s="881"/>
      <c r="H1702" s="881">
        <v>1</v>
      </c>
    </row>
    <row r="1703" spans="1:8" s="882" customFormat="1" ht="17.25">
      <c r="A1703" s="879"/>
      <c r="B1703" s="975" t="s">
        <v>2736</v>
      </c>
      <c r="C1703" s="879">
        <v>1</v>
      </c>
      <c r="D1703" s="879">
        <v>2</v>
      </c>
      <c r="E1703" s="879"/>
      <c r="F1703" s="879"/>
      <c r="G1703" s="881"/>
      <c r="H1703" s="881">
        <v>2</v>
      </c>
    </row>
    <row r="1704" spans="1:8" s="882" customFormat="1" ht="17.25">
      <c r="A1704" s="879"/>
      <c r="B1704" s="975" t="s">
        <v>2113</v>
      </c>
      <c r="C1704" s="879">
        <v>1</v>
      </c>
      <c r="D1704" s="879">
        <v>1</v>
      </c>
      <c r="E1704" s="879"/>
      <c r="F1704" s="879"/>
      <c r="G1704" s="881"/>
      <c r="H1704" s="881">
        <v>1</v>
      </c>
    </row>
    <row r="1705" spans="1:8" s="882" customFormat="1" ht="17.25">
      <c r="A1705" s="879"/>
      <c r="B1705" s="975" t="s">
        <v>2737</v>
      </c>
      <c r="C1705" s="879">
        <v>1</v>
      </c>
      <c r="D1705" s="879">
        <v>1</v>
      </c>
      <c r="E1705" s="879"/>
      <c r="F1705" s="879"/>
      <c r="G1705" s="881"/>
      <c r="H1705" s="881">
        <v>1</v>
      </c>
    </row>
    <row r="1706" spans="1:8" s="882" customFormat="1" ht="17.25">
      <c r="A1706" s="879"/>
      <c r="B1706" s="975" t="s">
        <v>2738</v>
      </c>
      <c r="C1706" s="879">
        <v>1</v>
      </c>
      <c r="D1706" s="879">
        <v>2</v>
      </c>
      <c r="E1706" s="879"/>
      <c r="F1706" s="879"/>
      <c r="G1706" s="881"/>
      <c r="H1706" s="881">
        <v>2</v>
      </c>
    </row>
    <row r="1707" spans="1:8" s="882" customFormat="1" ht="17.25">
      <c r="A1707" s="879"/>
      <c r="B1707" s="975" t="s">
        <v>2380</v>
      </c>
      <c r="C1707" s="879">
        <v>1</v>
      </c>
      <c r="D1707" s="879">
        <v>1</v>
      </c>
      <c r="E1707" s="879"/>
      <c r="F1707" s="879"/>
      <c r="G1707" s="881"/>
      <c r="H1707" s="881">
        <v>1</v>
      </c>
    </row>
    <row r="1708" spans="1:8" s="882" customFormat="1" ht="17.25">
      <c r="A1708" s="879"/>
      <c r="B1708" s="975" t="s">
        <v>2739</v>
      </c>
      <c r="C1708" s="879">
        <v>1</v>
      </c>
      <c r="D1708" s="879">
        <v>2</v>
      </c>
      <c r="E1708" s="879"/>
      <c r="F1708" s="879"/>
      <c r="G1708" s="881"/>
      <c r="H1708" s="881">
        <v>2</v>
      </c>
    </row>
    <row r="1709" spans="1:8" s="882" customFormat="1" ht="17.25">
      <c r="A1709" s="879"/>
      <c r="B1709" s="975" t="s">
        <v>2740</v>
      </c>
      <c r="C1709" s="879">
        <v>1</v>
      </c>
      <c r="D1709" s="879">
        <v>2</v>
      </c>
      <c r="E1709" s="879"/>
      <c r="F1709" s="879"/>
      <c r="G1709" s="881"/>
      <c r="H1709" s="881">
        <v>2</v>
      </c>
    </row>
    <row r="1710" spans="1:8" s="882" customFormat="1" ht="17.25">
      <c r="A1710" s="879"/>
      <c r="B1710" s="975" t="s">
        <v>2381</v>
      </c>
      <c r="C1710" s="879">
        <v>1</v>
      </c>
      <c r="D1710" s="879">
        <v>1</v>
      </c>
      <c r="E1710" s="879"/>
      <c r="F1710" s="879"/>
      <c r="G1710" s="881"/>
      <c r="H1710" s="881">
        <v>1</v>
      </c>
    </row>
    <row r="1711" spans="1:8" s="882" customFormat="1" ht="17.25">
      <c r="A1711" s="879"/>
      <c r="B1711" s="975" t="s">
        <v>2741</v>
      </c>
      <c r="C1711" s="879">
        <v>1</v>
      </c>
      <c r="D1711" s="879">
        <v>2</v>
      </c>
      <c r="E1711" s="879"/>
      <c r="F1711" s="879"/>
      <c r="G1711" s="881"/>
      <c r="H1711" s="881">
        <v>2</v>
      </c>
    </row>
    <row r="1712" spans="1:8" s="882" customFormat="1" ht="17.25">
      <c r="A1712" s="879"/>
      <c r="B1712" s="975" t="s">
        <v>835</v>
      </c>
      <c r="C1712" s="879">
        <v>1</v>
      </c>
      <c r="D1712" s="879">
        <v>1</v>
      </c>
      <c r="E1712" s="879"/>
      <c r="F1712" s="879"/>
      <c r="G1712" s="881"/>
      <c r="H1712" s="881">
        <v>1</v>
      </c>
    </row>
    <row r="1713" spans="1:11" s="882" customFormat="1" ht="17.25">
      <c r="A1713" s="879"/>
      <c r="B1713" s="975" t="s">
        <v>2742</v>
      </c>
      <c r="C1713" s="879">
        <v>1</v>
      </c>
      <c r="D1713" s="879">
        <v>3</v>
      </c>
      <c r="E1713" s="879"/>
      <c r="F1713" s="879"/>
      <c r="G1713" s="881"/>
      <c r="H1713" s="881">
        <v>3</v>
      </c>
    </row>
    <row r="1714" spans="1:11" s="882" customFormat="1" ht="17.25">
      <c r="A1714" s="879"/>
      <c r="B1714" s="883" t="s">
        <v>2743</v>
      </c>
      <c r="C1714" s="879">
        <v>1</v>
      </c>
      <c r="D1714" s="879">
        <v>2</v>
      </c>
      <c r="E1714" s="879"/>
      <c r="F1714" s="879"/>
      <c r="G1714" s="881"/>
      <c r="H1714" s="881">
        <v>2</v>
      </c>
    </row>
    <row r="1715" spans="1:11" s="882" customFormat="1" ht="17.25">
      <c r="A1715" s="879"/>
      <c r="B1715" s="883" t="s">
        <v>2734</v>
      </c>
      <c r="C1715" s="879">
        <v>1</v>
      </c>
      <c r="D1715" s="879">
        <v>8</v>
      </c>
      <c r="E1715" s="879"/>
      <c r="F1715" s="879"/>
      <c r="G1715" s="881"/>
      <c r="H1715" s="881">
        <v>8</v>
      </c>
    </row>
    <row r="1716" spans="1:11" s="882" customFormat="1" ht="34.5">
      <c r="A1716" s="879"/>
      <c r="B1716" s="883" t="s">
        <v>2744</v>
      </c>
      <c r="C1716" s="879">
        <v>1</v>
      </c>
      <c r="D1716" s="879">
        <v>5</v>
      </c>
      <c r="E1716" s="879"/>
      <c r="F1716" s="879"/>
      <c r="G1716" s="881"/>
      <c r="H1716" s="881">
        <v>5</v>
      </c>
    </row>
    <row r="1717" spans="1:11" s="882" customFormat="1" ht="17.25">
      <c r="A1717" s="879"/>
      <c r="B1717" s="883"/>
      <c r="C1717" s="879"/>
      <c r="D1717" s="879"/>
      <c r="E1717" s="879"/>
      <c r="F1717" s="879"/>
      <c r="G1717" s="881"/>
      <c r="H1717" s="974">
        <v>37</v>
      </c>
    </row>
    <row r="1718" spans="1:11" s="882" customFormat="1" ht="17.25">
      <c r="A1718" s="879"/>
      <c r="B1718" s="883"/>
      <c r="C1718" s="879"/>
      <c r="D1718" s="879"/>
      <c r="E1718" s="879"/>
      <c r="F1718" s="973" t="s">
        <v>15</v>
      </c>
      <c r="G1718" s="974">
        <v>37</v>
      </c>
      <c r="H1718" s="974" t="s">
        <v>4</v>
      </c>
    </row>
    <row r="1719" spans="1:11">
      <c r="A1719" s="871">
        <v>45</v>
      </c>
      <c r="B1719" s="891" t="s">
        <v>2745</v>
      </c>
      <c r="C1719" s="873"/>
      <c r="D1719" s="873"/>
      <c r="E1719" s="874"/>
      <c r="F1719" s="873"/>
      <c r="G1719" s="892"/>
      <c r="H1719" s="896"/>
      <c r="I1719" s="897"/>
    </row>
    <row r="1720" spans="1:11">
      <c r="A1720" s="871"/>
      <c r="B1720" s="932" t="s">
        <v>2624</v>
      </c>
      <c r="C1720" s="873">
        <v>1</v>
      </c>
      <c r="D1720" s="873">
        <v>1</v>
      </c>
      <c r="E1720" s="888">
        <f>2*(9+11.82+2.33)</f>
        <v>46.3</v>
      </c>
      <c r="F1720" s="873"/>
      <c r="G1720" s="876">
        <v>1.5</v>
      </c>
      <c r="H1720" s="876">
        <f>PRODUCT(C1720:G1720)</f>
        <v>69.449999999999989</v>
      </c>
      <c r="I1720" s="897"/>
      <c r="K1720" s="865">
        <f>11.82+9+11.82+2.33+2.33+9</f>
        <v>46.3</v>
      </c>
    </row>
    <row r="1721" spans="1:11">
      <c r="A1721" s="871"/>
      <c r="B1721" s="891" t="s">
        <v>2746</v>
      </c>
      <c r="C1721" s="873">
        <v>-1</v>
      </c>
      <c r="D1721" s="873">
        <v>1</v>
      </c>
      <c r="E1721" s="888">
        <v>4.7</v>
      </c>
      <c r="F1721" s="873" t="s">
        <v>36</v>
      </c>
      <c r="G1721" s="876">
        <v>1.5</v>
      </c>
      <c r="H1721" s="876">
        <f>PRODUCT(C1721:G1721)</f>
        <v>-7.0500000000000007</v>
      </c>
      <c r="I1721" s="897"/>
    </row>
    <row r="1722" spans="1:11">
      <c r="A1722" s="871"/>
      <c r="B1722" s="972"/>
      <c r="C1722" s="873"/>
      <c r="D1722" s="873"/>
      <c r="E1722" s="873"/>
      <c r="F1722" s="873"/>
      <c r="G1722" s="875" t="s">
        <v>57</v>
      </c>
      <c r="H1722" s="876">
        <f>SUM(H1720:H1721)</f>
        <v>62.399999999999991</v>
      </c>
      <c r="I1722" s="877"/>
    </row>
    <row r="1723" spans="1:11">
      <c r="A1723" s="871"/>
      <c r="B1723" s="891"/>
      <c r="C1723" s="873"/>
      <c r="D1723" s="873"/>
      <c r="E1723" s="888"/>
      <c r="F1723" s="873"/>
      <c r="G1723" s="875" t="s">
        <v>2747</v>
      </c>
      <c r="H1723" s="896">
        <f>H1722</f>
        <v>62.399999999999991</v>
      </c>
      <c r="I1723" s="877" t="s">
        <v>264</v>
      </c>
    </row>
    <row r="1724" spans="1:11">
      <c r="A1724" s="976"/>
      <c r="B1724" s="960" t="s">
        <v>2748</v>
      </c>
      <c r="C1724" s="977"/>
      <c r="D1724" s="977"/>
      <c r="E1724" s="961"/>
      <c r="F1724" s="961"/>
      <c r="G1724" s="977"/>
      <c r="H1724" s="977"/>
      <c r="I1724" s="978"/>
    </row>
    <row r="1725" spans="1:11">
      <c r="A1725" s="976"/>
      <c r="B1725" s="960" t="s">
        <v>2749</v>
      </c>
      <c r="C1725" s="977">
        <v>1</v>
      </c>
      <c r="D1725" s="977">
        <v>1</v>
      </c>
      <c r="E1725" s="961">
        <v>2000</v>
      </c>
      <c r="F1725" s="961"/>
      <c r="G1725" s="977"/>
      <c r="H1725" s="876">
        <f>PRODUCT(C1725:G1725)</f>
        <v>2000</v>
      </c>
      <c r="I1725" s="978"/>
    </row>
    <row r="1726" spans="1:11">
      <c r="A1726" s="976"/>
      <c r="B1726" s="960"/>
      <c r="C1726" s="977"/>
      <c r="D1726" s="977"/>
      <c r="E1726" s="961"/>
      <c r="F1726" s="961"/>
      <c r="G1726" s="875" t="s">
        <v>2747</v>
      </c>
      <c r="H1726" s="896">
        <f>H1725</f>
        <v>2000</v>
      </c>
      <c r="I1726" s="877" t="s">
        <v>2750</v>
      </c>
    </row>
  </sheetData>
  <mergeCells count="18">
    <mergeCell ref="A6:A7"/>
    <mergeCell ref="B6:B7"/>
    <mergeCell ref="C6:D7"/>
    <mergeCell ref="E6:G6"/>
    <mergeCell ref="H6:H7"/>
    <mergeCell ref="A1:I1"/>
    <mergeCell ref="A2:I2"/>
    <mergeCell ref="A3:I3"/>
    <mergeCell ref="A4:I4"/>
    <mergeCell ref="A5:I5"/>
    <mergeCell ref="E1118:F1118"/>
    <mergeCell ref="E1126:F1126"/>
    <mergeCell ref="I6:I7"/>
    <mergeCell ref="E88:F88"/>
    <mergeCell ref="E107:F107"/>
    <mergeCell ref="E153:F153"/>
    <mergeCell ref="F771:G771"/>
    <mergeCell ref="E1110:F1110"/>
  </mergeCells>
  <printOptions horizontalCentered="1"/>
  <pageMargins left="1" right="1" top="1" bottom="1" header="0.5" footer="0.5"/>
  <pageSetup paperSize="9" scale="87" fitToWidth="0" orientation="portrait" r:id="rId1"/>
  <headerFooter>
    <oddHeader>Page &amp;P&amp;RAll Detailed</oddHeader>
  </headerFooter>
</worksheet>
</file>

<file path=xl/worksheets/sheet5.xml><?xml version="1.0" encoding="utf-8"?>
<worksheet xmlns="http://schemas.openxmlformats.org/spreadsheetml/2006/main" xmlns:r="http://schemas.openxmlformats.org/officeDocument/2006/relationships">
  <sheetPr>
    <tabColor rgb="FF00B050"/>
  </sheetPr>
  <dimension ref="A1:J18"/>
  <sheetViews>
    <sheetView view="pageBreakPreview" topLeftCell="A4" zoomScaleNormal="75" zoomScaleSheetLayoutView="100" workbookViewId="0">
      <selection activeCell="D425" sqref="D425"/>
    </sheetView>
  </sheetViews>
  <sheetFormatPr defaultRowHeight="35.1" customHeight="1"/>
  <cols>
    <col min="1" max="1" width="4.5546875" style="625" customWidth="1"/>
    <col min="2" max="2" width="6.6640625" style="625" customWidth="1"/>
    <col min="3" max="3" width="34.109375" style="625" customWidth="1"/>
    <col min="4" max="4" width="11.33203125" style="625" customWidth="1"/>
    <col min="5" max="5" width="6.88671875" style="625" customWidth="1"/>
    <col min="6" max="6" width="11.77734375" style="625" customWidth="1"/>
    <col min="7" max="7" width="19.109375" style="625" customWidth="1"/>
    <col min="8" max="8" width="19" style="625" customWidth="1"/>
    <col min="9" max="9" width="10" style="625" bestFit="1" customWidth="1"/>
    <col min="10" max="10" width="34.109375" style="625" customWidth="1"/>
    <col min="11" max="256" width="8.88671875" style="625"/>
    <col min="257" max="257" width="4.5546875" style="625" customWidth="1"/>
    <col min="258" max="258" width="6.6640625" style="625" customWidth="1"/>
    <col min="259" max="259" width="34.109375" style="625" customWidth="1"/>
    <col min="260" max="260" width="11.33203125" style="625" customWidth="1"/>
    <col min="261" max="261" width="6.88671875" style="625" customWidth="1"/>
    <col min="262" max="262" width="11.77734375" style="625" customWidth="1"/>
    <col min="263" max="263" width="19.109375" style="625" customWidth="1"/>
    <col min="264" max="264" width="19" style="625" customWidth="1"/>
    <col min="265" max="265" width="10" style="625" bestFit="1" customWidth="1"/>
    <col min="266" max="266" width="34.109375" style="625" customWidth="1"/>
    <col min="267" max="512" width="8.88671875" style="625"/>
    <col min="513" max="513" width="4.5546875" style="625" customWidth="1"/>
    <col min="514" max="514" width="6.6640625" style="625" customWidth="1"/>
    <col min="515" max="515" width="34.109375" style="625" customWidth="1"/>
    <col min="516" max="516" width="11.33203125" style="625" customWidth="1"/>
    <col min="517" max="517" width="6.88671875" style="625" customWidth="1"/>
    <col min="518" max="518" width="11.77734375" style="625" customWidth="1"/>
    <col min="519" max="519" width="19.109375" style="625" customWidth="1"/>
    <col min="520" max="520" width="19" style="625" customWidth="1"/>
    <col min="521" max="521" width="10" style="625" bestFit="1" customWidth="1"/>
    <col min="522" max="522" width="34.109375" style="625" customWidth="1"/>
    <col min="523" max="768" width="8.88671875" style="625"/>
    <col min="769" max="769" width="4.5546875" style="625" customWidth="1"/>
    <col min="770" max="770" width="6.6640625" style="625" customWidth="1"/>
    <col min="771" max="771" width="34.109375" style="625" customWidth="1"/>
    <col min="772" max="772" width="11.33203125" style="625" customWidth="1"/>
    <col min="773" max="773" width="6.88671875" style="625" customWidth="1"/>
    <col min="774" max="774" width="11.77734375" style="625" customWidth="1"/>
    <col min="775" max="775" width="19.109375" style="625" customWidth="1"/>
    <col min="776" max="776" width="19" style="625" customWidth="1"/>
    <col min="777" max="777" width="10" style="625" bestFit="1" customWidth="1"/>
    <col min="778" max="778" width="34.109375" style="625" customWidth="1"/>
    <col min="779" max="1024" width="8.88671875" style="625"/>
    <col min="1025" max="1025" width="4.5546875" style="625" customWidth="1"/>
    <col min="1026" max="1026" width="6.6640625" style="625" customWidth="1"/>
    <col min="1027" max="1027" width="34.109375" style="625" customWidth="1"/>
    <col min="1028" max="1028" width="11.33203125" style="625" customWidth="1"/>
    <col min="1029" max="1029" width="6.88671875" style="625" customWidth="1"/>
    <col min="1030" max="1030" width="11.77734375" style="625" customWidth="1"/>
    <col min="1031" max="1031" width="19.109375" style="625" customWidth="1"/>
    <col min="1032" max="1032" width="19" style="625" customWidth="1"/>
    <col min="1033" max="1033" width="10" style="625" bestFit="1" customWidth="1"/>
    <col min="1034" max="1034" width="34.109375" style="625" customWidth="1"/>
    <col min="1035" max="1280" width="8.88671875" style="625"/>
    <col min="1281" max="1281" width="4.5546875" style="625" customWidth="1"/>
    <col min="1282" max="1282" width="6.6640625" style="625" customWidth="1"/>
    <col min="1283" max="1283" width="34.109375" style="625" customWidth="1"/>
    <col min="1284" max="1284" width="11.33203125" style="625" customWidth="1"/>
    <col min="1285" max="1285" width="6.88671875" style="625" customWidth="1"/>
    <col min="1286" max="1286" width="11.77734375" style="625" customWidth="1"/>
    <col min="1287" max="1287" width="19.109375" style="625" customWidth="1"/>
    <col min="1288" max="1288" width="19" style="625" customWidth="1"/>
    <col min="1289" max="1289" width="10" style="625" bestFit="1" customWidth="1"/>
    <col min="1290" max="1290" width="34.109375" style="625" customWidth="1"/>
    <col min="1291" max="1536" width="8.88671875" style="625"/>
    <col min="1537" max="1537" width="4.5546875" style="625" customWidth="1"/>
    <col min="1538" max="1538" width="6.6640625" style="625" customWidth="1"/>
    <col min="1539" max="1539" width="34.109375" style="625" customWidth="1"/>
    <col min="1540" max="1540" width="11.33203125" style="625" customWidth="1"/>
    <col min="1541" max="1541" width="6.88671875" style="625" customWidth="1"/>
    <col min="1542" max="1542" width="11.77734375" style="625" customWidth="1"/>
    <col min="1543" max="1543" width="19.109375" style="625" customWidth="1"/>
    <col min="1544" max="1544" width="19" style="625" customWidth="1"/>
    <col min="1545" max="1545" width="10" style="625" bestFit="1" customWidth="1"/>
    <col min="1546" max="1546" width="34.109375" style="625" customWidth="1"/>
    <col min="1547" max="1792" width="8.88671875" style="625"/>
    <col min="1793" max="1793" width="4.5546875" style="625" customWidth="1"/>
    <col min="1794" max="1794" width="6.6640625" style="625" customWidth="1"/>
    <col min="1795" max="1795" width="34.109375" style="625" customWidth="1"/>
    <col min="1796" max="1796" width="11.33203125" style="625" customWidth="1"/>
    <col min="1797" max="1797" width="6.88671875" style="625" customWidth="1"/>
    <col min="1798" max="1798" width="11.77734375" style="625" customWidth="1"/>
    <col min="1799" max="1799" width="19.109375" style="625" customWidth="1"/>
    <col min="1800" max="1800" width="19" style="625" customWidth="1"/>
    <col min="1801" max="1801" width="10" style="625" bestFit="1" customWidth="1"/>
    <col min="1802" max="1802" width="34.109375" style="625" customWidth="1"/>
    <col min="1803" max="2048" width="8.88671875" style="625"/>
    <col min="2049" max="2049" width="4.5546875" style="625" customWidth="1"/>
    <col min="2050" max="2050" width="6.6640625" style="625" customWidth="1"/>
    <col min="2051" max="2051" width="34.109375" style="625" customWidth="1"/>
    <col min="2052" max="2052" width="11.33203125" style="625" customWidth="1"/>
    <col min="2053" max="2053" width="6.88671875" style="625" customWidth="1"/>
    <col min="2054" max="2054" width="11.77734375" style="625" customWidth="1"/>
    <col min="2055" max="2055" width="19.109375" style="625" customWidth="1"/>
    <col min="2056" max="2056" width="19" style="625" customWidth="1"/>
    <col min="2057" max="2057" width="10" style="625" bestFit="1" customWidth="1"/>
    <col min="2058" max="2058" width="34.109375" style="625" customWidth="1"/>
    <col min="2059" max="2304" width="8.88671875" style="625"/>
    <col min="2305" max="2305" width="4.5546875" style="625" customWidth="1"/>
    <col min="2306" max="2306" width="6.6640625" style="625" customWidth="1"/>
    <col min="2307" max="2307" width="34.109375" style="625" customWidth="1"/>
    <col min="2308" max="2308" width="11.33203125" style="625" customWidth="1"/>
    <col min="2309" max="2309" width="6.88671875" style="625" customWidth="1"/>
    <col min="2310" max="2310" width="11.77734375" style="625" customWidth="1"/>
    <col min="2311" max="2311" width="19.109375" style="625" customWidth="1"/>
    <col min="2312" max="2312" width="19" style="625" customWidth="1"/>
    <col min="2313" max="2313" width="10" style="625" bestFit="1" customWidth="1"/>
    <col min="2314" max="2314" width="34.109375" style="625" customWidth="1"/>
    <col min="2315" max="2560" width="8.88671875" style="625"/>
    <col min="2561" max="2561" width="4.5546875" style="625" customWidth="1"/>
    <col min="2562" max="2562" width="6.6640625" style="625" customWidth="1"/>
    <col min="2563" max="2563" width="34.109375" style="625" customWidth="1"/>
    <col min="2564" max="2564" width="11.33203125" style="625" customWidth="1"/>
    <col min="2565" max="2565" width="6.88671875" style="625" customWidth="1"/>
    <col min="2566" max="2566" width="11.77734375" style="625" customWidth="1"/>
    <col min="2567" max="2567" width="19.109375" style="625" customWidth="1"/>
    <col min="2568" max="2568" width="19" style="625" customWidth="1"/>
    <col min="2569" max="2569" width="10" style="625" bestFit="1" customWidth="1"/>
    <col min="2570" max="2570" width="34.109375" style="625" customWidth="1"/>
    <col min="2571" max="2816" width="8.88671875" style="625"/>
    <col min="2817" max="2817" width="4.5546875" style="625" customWidth="1"/>
    <col min="2818" max="2818" width="6.6640625" style="625" customWidth="1"/>
    <col min="2819" max="2819" width="34.109375" style="625" customWidth="1"/>
    <col min="2820" max="2820" width="11.33203125" style="625" customWidth="1"/>
    <col min="2821" max="2821" width="6.88671875" style="625" customWidth="1"/>
    <col min="2822" max="2822" width="11.77734375" style="625" customWidth="1"/>
    <col min="2823" max="2823" width="19.109375" style="625" customWidth="1"/>
    <col min="2824" max="2824" width="19" style="625" customWidth="1"/>
    <col min="2825" max="2825" width="10" style="625" bestFit="1" customWidth="1"/>
    <col min="2826" max="2826" width="34.109375" style="625" customWidth="1"/>
    <col min="2827" max="3072" width="8.88671875" style="625"/>
    <col min="3073" max="3073" width="4.5546875" style="625" customWidth="1"/>
    <col min="3074" max="3074" width="6.6640625" style="625" customWidth="1"/>
    <col min="3075" max="3075" width="34.109375" style="625" customWidth="1"/>
    <col min="3076" max="3076" width="11.33203125" style="625" customWidth="1"/>
    <col min="3077" max="3077" width="6.88671875" style="625" customWidth="1"/>
    <col min="3078" max="3078" width="11.77734375" style="625" customWidth="1"/>
    <col min="3079" max="3079" width="19.109375" style="625" customWidth="1"/>
    <col min="3080" max="3080" width="19" style="625" customWidth="1"/>
    <col min="3081" max="3081" width="10" style="625" bestFit="1" customWidth="1"/>
    <col min="3082" max="3082" width="34.109375" style="625" customWidth="1"/>
    <col min="3083" max="3328" width="8.88671875" style="625"/>
    <col min="3329" max="3329" width="4.5546875" style="625" customWidth="1"/>
    <col min="3330" max="3330" width="6.6640625" style="625" customWidth="1"/>
    <col min="3331" max="3331" width="34.109375" style="625" customWidth="1"/>
    <col min="3332" max="3332" width="11.33203125" style="625" customWidth="1"/>
    <col min="3333" max="3333" width="6.88671875" style="625" customWidth="1"/>
    <col min="3334" max="3334" width="11.77734375" style="625" customWidth="1"/>
    <col min="3335" max="3335" width="19.109375" style="625" customWidth="1"/>
    <col min="3336" max="3336" width="19" style="625" customWidth="1"/>
    <col min="3337" max="3337" width="10" style="625" bestFit="1" customWidth="1"/>
    <col min="3338" max="3338" width="34.109375" style="625" customWidth="1"/>
    <col min="3339" max="3584" width="8.88671875" style="625"/>
    <col min="3585" max="3585" width="4.5546875" style="625" customWidth="1"/>
    <col min="3586" max="3586" width="6.6640625" style="625" customWidth="1"/>
    <col min="3587" max="3587" width="34.109375" style="625" customWidth="1"/>
    <col min="3588" max="3588" width="11.33203125" style="625" customWidth="1"/>
    <col min="3589" max="3589" width="6.88671875" style="625" customWidth="1"/>
    <col min="3590" max="3590" width="11.77734375" style="625" customWidth="1"/>
    <col min="3591" max="3591" width="19.109375" style="625" customWidth="1"/>
    <col min="3592" max="3592" width="19" style="625" customWidth="1"/>
    <col min="3593" max="3593" width="10" style="625" bestFit="1" customWidth="1"/>
    <col min="3594" max="3594" width="34.109375" style="625" customWidth="1"/>
    <col min="3595" max="3840" width="8.88671875" style="625"/>
    <col min="3841" max="3841" width="4.5546875" style="625" customWidth="1"/>
    <col min="3842" max="3842" width="6.6640625" style="625" customWidth="1"/>
    <col min="3843" max="3843" width="34.109375" style="625" customWidth="1"/>
    <col min="3844" max="3844" width="11.33203125" style="625" customWidth="1"/>
    <col min="3845" max="3845" width="6.88671875" style="625" customWidth="1"/>
    <col min="3846" max="3846" width="11.77734375" style="625" customWidth="1"/>
    <col min="3847" max="3847" width="19.109375" style="625" customWidth="1"/>
    <col min="3848" max="3848" width="19" style="625" customWidth="1"/>
    <col min="3849" max="3849" width="10" style="625" bestFit="1" customWidth="1"/>
    <col min="3850" max="3850" width="34.109375" style="625" customWidth="1"/>
    <col min="3851" max="4096" width="8.88671875" style="625"/>
    <col min="4097" max="4097" width="4.5546875" style="625" customWidth="1"/>
    <col min="4098" max="4098" width="6.6640625" style="625" customWidth="1"/>
    <col min="4099" max="4099" width="34.109375" style="625" customWidth="1"/>
    <col min="4100" max="4100" width="11.33203125" style="625" customWidth="1"/>
    <col min="4101" max="4101" width="6.88671875" style="625" customWidth="1"/>
    <col min="4102" max="4102" width="11.77734375" style="625" customWidth="1"/>
    <col min="4103" max="4103" width="19.109375" style="625" customWidth="1"/>
    <col min="4104" max="4104" width="19" style="625" customWidth="1"/>
    <col min="4105" max="4105" width="10" style="625" bestFit="1" customWidth="1"/>
    <col min="4106" max="4106" width="34.109375" style="625" customWidth="1"/>
    <col min="4107" max="4352" width="8.88671875" style="625"/>
    <col min="4353" max="4353" width="4.5546875" style="625" customWidth="1"/>
    <col min="4354" max="4354" width="6.6640625" style="625" customWidth="1"/>
    <col min="4355" max="4355" width="34.109375" style="625" customWidth="1"/>
    <col min="4356" max="4356" width="11.33203125" style="625" customWidth="1"/>
    <col min="4357" max="4357" width="6.88671875" style="625" customWidth="1"/>
    <col min="4358" max="4358" width="11.77734375" style="625" customWidth="1"/>
    <col min="4359" max="4359" width="19.109375" style="625" customWidth="1"/>
    <col min="4360" max="4360" width="19" style="625" customWidth="1"/>
    <col min="4361" max="4361" width="10" style="625" bestFit="1" customWidth="1"/>
    <col min="4362" max="4362" width="34.109375" style="625" customWidth="1"/>
    <col min="4363" max="4608" width="8.88671875" style="625"/>
    <col min="4609" max="4609" width="4.5546875" style="625" customWidth="1"/>
    <col min="4610" max="4610" width="6.6640625" style="625" customWidth="1"/>
    <col min="4611" max="4611" width="34.109375" style="625" customWidth="1"/>
    <col min="4612" max="4612" width="11.33203125" style="625" customWidth="1"/>
    <col min="4613" max="4613" width="6.88671875" style="625" customWidth="1"/>
    <col min="4614" max="4614" width="11.77734375" style="625" customWidth="1"/>
    <col min="4615" max="4615" width="19.109375" style="625" customWidth="1"/>
    <col min="4616" max="4616" width="19" style="625" customWidth="1"/>
    <col min="4617" max="4617" width="10" style="625" bestFit="1" customWidth="1"/>
    <col min="4618" max="4618" width="34.109375" style="625" customWidth="1"/>
    <col min="4619" max="4864" width="8.88671875" style="625"/>
    <col min="4865" max="4865" width="4.5546875" style="625" customWidth="1"/>
    <col min="4866" max="4866" width="6.6640625" style="625" customWidth="1"/>
    <col min="4867" max="4867" width="34.109375" style="625" customWidth="1"/>
    <col min="4868" max="4868" width="11.33203125" style="625" customWidth="1"/>
    <col min="4869" max="4869" width="6.88671875" style="625" customWidth="1"/>
    <col min="4870" max="4870" width="11.77734375" style="625" customWidth="1"/>
    <col min="4871" max="4871" width="19.109375" style="625" customWidth="1"/>
    <col min="4872" max="4872" width="19" style="625" customWidth="1"/>
    <col min="4873" max="4873" width="10" style="625" bestFit="1" customWidth="1"/>
    <col min="4874" max="4874" width="34.109375" style="625" customWidth="1"/>
    <col min="4875" max="5120" width="8.88671875" style="625"/>
    <col min="5121" max="5121" width="4.5546875" style="625" customWidth="1"/>
    <col min="5122" max="5122" width="6.6640625" style="625" customWidth="1"/>
    <col min="5123" max="5123" width="34.109375" style="625" customWidth="1"/>
    <col min="5124" max="5124" width="11.33203125" style="625" customWidth="1"/>
    <col min="5125" max="5125" width="6.88671875" style="625" customWidth="1"/>
    <col min="5126" max="5126" width="11.77734375" style="625" customWidth="1"/>
    <col min="5127" max="5127" width="19.109375" style="625" customWidth="1"/>
    <col min="5128" max="5128" width="19" style="625" customWidth="1"/>
    <col min="5129" max="5129" width="10" style="625" bestFit="1" customWidth="1"/>
    <col min="5130" max="5130" width="34.109375" style="625" customWidth="1"/>
    <col min="5131" max="5376" width="8.88671875" style="625"/>
    <col min="5377" max="5377" width="4.5546875" style="625" customWidth="1"/>
    <col min="5378" max="5378" width="6.6640625" style="625" customWidth="1"/>
    <col min="5379" max="5379" width="34.109375" style="625" customWidth="1"/>
    <col min="5380" max="5380" width="11.33203125" style="625" customWidth="1"/>
    <col min="5381" max="5381" width="6.88671875" style="625" customWidth="1"/>
    <col min="5382" max="5382" width="11.77734375" style="625" customWidth="1"/>
    <col min="5383" max="5383" width="19.109375" style="625" customWidth="1"/>
    <col min="5384" max="5384" width="19" style="625" customWidth="1"/>
    <col min="5385" max="5385" width="10" style="625" bestFit="1" customWidth="1"/>
    <col min="5386" max="5386" width="34.109375" style="625" customWidth="1"/>
    <col min="5387" max="5632" width="8.88671875" style="625"/>
    <col min="5633" max="5633" width="4.5546875" style="625" customWidth="1"/>
    <col min="5634" max="5634" width="6.6640625" style="625" customWidth="1"/>
    <col min="5635" max="5635" width="34.109375" style="625" customWidth="1"/>
    <col min="5636" max="5636" width="11.33203125" style="625" customWidth="1"/>
    <col min="5637" max="5637" width="6.88671875" style="625" customWidth="1"/>
    <col min="5638" max="5638" width="11.77734375" style="625" customWidth="1"/>
    <col min="5639" max="5639" width="19.109375" style="625" customWidth="1"/>
    <col min="5640" max="5640" width="19" style="625" customWidth="1"/>
    <col min="5641" max="5641" width="10" style="625" bestFit="1" customWidth="1"/>
    <col min="5642" max="5642" width="34.109375" style="625" customWidth="1"/>
    <col min="5643" max="5888" width="8.88671875" style="625"/>
    <col min="5889" max="5889" width="4.5546875" style="625" customWidth="1"/>
    <col min="5890" max="5890" width="6.6640625" style="625" customWidth="1"/>
    <col min="5891" max="5891" width="34.109375" style="625" customWidth="1"/>
    <col min="5892" max="5892" width="11.33203125" style="625" customWidth="1"/>
    <col min="5893" max="5893" width="6.88671875" style="625" customWidth="1"/>
    <col min="5894" max="5894" width="11.77734375" style="625" customWidth="1"/>
    <col min="5895" max="5895" width="19.109375" style="625" customWidth="1"/>
    <col min="5896" max="5896" width="19" style="625" customWidth="1"/>
    <col min="5897" max="5897" width="10" style="625" bestFit="1" customWidth="1"/>
    <col min="5898" max="5898" width="34.109375" style="625" customWidth="1"/>
    <col min="5899" max="6144" width="8.88671875" style="625"/>
    <col min="6145" max="6145" width="4.5546875" style="625" customWidth="1"/>
    <col min="6146" max="6146" width="6.6640625" style="625" customWidth="1"/>
    <col min="6147" max="6147" width="34.109375" style="625" customWidth="1"/>
    <col min="6148" max="6148" width="11.33203125" style="625" customWidth="1"/>
    <col min="6149" max="6149" width="6.88671875" style="625" customWidth="1"/>
    <col min="6150" max="6150" width="11.77734375" style="625" customWidth="1"/>
    <col min="6151" max="6151" width="19.109375" style="625" customWidth="1"/>
    <col min="6152" max="6152" width="19" style="625" customWidth="1"/>
    <col min="6153" max="6153" width="10" style="625" bestFit="1" customWidth="1"/>
    <col min="6154" max="6154" width="34.109375" style="625" customWidth="1"/>
    <col min="6155" max="6400" width="8.88671875" style="625"/>
    <col min="6401" max="6401" width="4.5546875" style="625" customWidth="1"/>
    <col min="6402" max="6402" width="6.6640625" style="625" customWidth="1"/>
    <col min="6403" max="6403" width="34.109375" style="625" customWidth="1"/>
    <col min="6404" max="6404" width="11.33203125" style="625" customWidth="1"/>
    <col min="6405" max="6405" width="6.88671875" style="625" customWidth="1"/>
    <col min="6406" max="6406" width="11.77734375" style="625" customWidth="1"/>
    <col min="6407" max="6407" width="19.109375" style="625" customWidth="1"/>
    <col min="6408" max="6408" width="19" style="625" customWidth="1"/>
    <col min="6409" max="6409" width="10" style="625" bestFit="1" customWidth="1"/>
    <col min="6410" max="6410" width="34.109375" style="625" customWidth="1"/>
    <col min="6411" max="6656" width="8.88671875" style="625"/>
    <col min="6657" max="6657" width="4.5546875" style="625" customWidth="1"/>
    <col min="6658" max="6658" width="6.6640625" style="625" customWidth="1"/>
    <col min="6659" max="6659" width="34.109375" style="625" customWidth="1"/>
    <col min="6660" max="6660" width="11.33203125" style="625" customWidth="1"/>
    <col min="6661" max="6661" width="6.88671875" style="625" customWidth="1"/>
    <col min="6662" max="6662" width="11.77734375" style="625" customWidth="1"/>
    <col min="6663" max="6663" width="19.109375" style="625" customWidth="1"/>
    <col min="6664" max="6664" width="19" style="625" customWidth="1"/>
    <col min="6665" max="6665" width="10" style="625" bestFit="1" customWidth="1"/>
    <col min="6666" max="6666" width="34.109375" style="625" customWidth="1"/>
    <col min="6667" max="6912" width="8.88671875" style="625"/>
    <col min="6913" max="6913" width="4.5546875" style="625" customWidth="1"/>
    <col min="6914" max="6914" width="6.6640625" style="625" customWidth="1"/>
    <col min="6915" max="6915" width="34.109375" style="625" customWidth="1"/>
    <col min="6916" max="6916" width="11.33203125" style="625" customWidth="1"/>
    <col min="6917" max="6917" width="6.88671875" style="625" customWidth="1"/>
    <col min="6918" max="6918" width="11.77734375" style="625" customWidth="1"/>
    <col min="6919" max="6919" width="19.109375" style="625" customWidth="1"/>
    <col min="6920" max="6920" width="19" style="625" customWidth="1"/>
    <col min="6921" max="6921" width="10" style="625" bestFit="1" customWidth="1"/>
    <col min="6922" max="6922" width="34.109375" style="625" customWidth="1"/>
    <col min="6923" max="7168" width="8.88671875" style="625"/>
    <col min="7169" max="7169" width="4.5546875" style="625" customWidth="1"/>
    <col min="7170" max="7170" width="6.6640625" style="625" customWidth="1"/>
    <col min="7171" max="7171" width="34.109375" style="625" customWidth="1"/>
    <col min="7172" max="7172" width="11.33203125" style="625" customWidth="1"/>
    <col min="7173" max="7173" width="6.88671875" style="625" customWidth="1"/>
    <col min="7174" max="7174" width="11.77734375" style="625" customWidth="1"/>
    <col min="7175" max="7175" width="19.109375" style="625" customWidth="1"/>
    <col min="7176" max="7176" width="19" style="625" customWidth="1"/>
    <col min="7177" max="7177" width="10" style="625" bestFit="1" customWidth="1"/>
    <col min="7178" max="7178" width="34.109375" style="625" customWidth="1"/>
    <col min="7179" max="7424" width="8.88671875" style="625"/>
    <col min="7425" max="7425" width="4.5546875" style="625" customWidth="1"/>
    <col min="7426" max="7426" width="6.6640625" style="625" customWidth="1"/>
    <col min="7427" max="7427" width="34.109375" style="625" customWidth="1"/>
    <col min="7428" max="7428" width="11.33203125" style="625" customWidth="1"/>
    <col min="7429" max="7429" width="6.88671875" style="625" customWidth="1"/>
    <col min="7430" max="7430" width="11.77734375" style="625" customWidth="1"/>
    <col min="7431" max="7431" width="19.109375" style="625" customWidth="1"/>
    <col min="7432" max="7432" width="19" style="625" customWidth="1"/>
    <col min="7433" max="7433" width="10" style="625" bestFit="1" customWidth="1"/>
    <col min="7434" max="7434" width="34.109375" style="625" customWidth="1"/>
    <col min="7435" max="7680" width="8.88671875" style="625"/>
    <col min="7681" max="7681" width="4.5546875" style="625" customWidth="1"/>
    <col min="7682" max="7682" width="6.6640625" style="625" customWidth="1"/>
    <col min="7683" max="7683" width="34.109375" style="625" customWidth="1"/>
    <col min="7684" max="7684" width="11.33203125" style="625" customWidth="1"/>
    <col min="7685" max="7685" width="6.88671875" style="625" customWidth="1"/>
    <col min="7686" max="7686" width="11.77734375" style="625" customWidth="1"/>
    <col min="7687" max="7687" width="19.109375" style="625" customWidth="1"/>
    <col min="7688" max="7688" width="19" style="625" customWidth="1"/>
    <col min="7689" max="7689" width="10" style="625" bestFit="1" customWidth="1"/>
    <col min="7690" max="7690" width="34.109375" style="625" customWidth="1"/>
    <col min="7691" max="7936" width="8.88671875" style="625"/>
    <col min="7937" max="7937" width="4.5546875" style="625" customWidth="1"/>
    <col min="7938" max="7938" width="6.6640625" style="625" customWidth="1"/>
    <col min="7939" max="7939" width="34.109375" style="625" customWidth="1"/>
    <col min="7940" max="7940" width="11.33203125" style="625" customWidth="1"/>
    <col min="7941" max="7941" width="6.88671875" style="625" customWidth="1"/>
    <col min="7942" max="7942" width="11.77734375" style="625" customWidth="1"/>
    <col min="7943" max="7943" width="19.109375" style="625" customWidth="1"/>
    <col min="7944" max="7944" width="19" style="625" customWidth="1"/>
    <col min="7945" max="7945" width="10" style="625" bestFit="1" customWidth="1"/>
    <col min="7946" max="7946" width="34.109375" style="625" customWidth="1"/>
    <col min="7947" max="8192" width="8.88671875" style="625"/>
    <col min="8193" max="8193" width="4.5546875" style="625" customWidth="1"/>
    <col min="8194" max="8194" width="6.6640625" style="625" customWidth="1"/>
    <col min="8195" max="8195" width="34.109375" style="625" customWidth="1"/>
    <col min="8196" max="8196" width="11.33203125" style="625" customWidth="1"/>
    <col min="8197" max="8197" width="6.88671875" style="625" customWidth="1"/>
    <col min="8198" max="8198" width="11.77734375" style="625" customWidth="1"/>
    <col min="8199" max="8199" width="19.109375" style="625" customWidth="1"/>
    <col min="8200" max="8200" width="19" style="625" customWidth="1"/>
    <col min="8201" max="8201" width="10" style="625" bestFit="1" customWidth="1"/>
    <col min="8202" max="8202" width="34.109375" style="625" customWidth="1"/>
    <col min="8203" max="8448" width="8.88671875" style="625"/>
    <col min="8449" max="8449" width="4.5546875" style="625" customWidth="1"/>
    <col min="8450" max="8450" width="6.6640625" style="625" customWidth="1"/>
    <col min="8451" max="8451" width="34.109375" style="625" customWidth="1"/>
    <col min="8452" max="8452" width="11.33203125" style="625" customWidth="1"/>
    <col min="8453" max="8453" width="6.88671875" style="625" customWidth="1"/>
    <col min="8454" max="8454" width="11.77734375" style="625" customWidth="1"/>
    <col min="8455" max="8455" width="19.109375" style="625" customWidth="1"/>
    <col min="8456" max="8456" width="19" style="625" customWidth="1"/>
    <col min="8457" max="8457" width="10" style="625" bestFit="1" customWidth="1"/>
    <col min="8458" max="8458" width="34.109375" style="625" customWidth="1"/>
    <col min="8459" max="8704" width="8.88671875" style="625"/>
    <col min="8705" max="8705" width="4.5546875" style="625" customWidth="1"/>
    <col min="8706" max="8706" width="6.6640625" style="625" customWidth="1"/>
    <col min="8707" max="8707" width="34.109375" style="625" customWidth="1"/>
    <col min="8708" max="8708" width="11.33203125" style="625" customWidth="1"/>
    <col min="8709" max="8709" width="6.88671875" style="625" customWidth="1"/>
    <col min="8710" max="8710" width="11.77734375" style="625" customWidth="1"/>
    <col min="8711" max="8711" width="19.109375" style="625" customWidth="1"/>
    <col min="8712" max="8712" width="19" style="625" customWidth="1"/>
    <col min="8713" max="8713" width="10" style="625" bestFit="1" customWidth="1"/>
    <col min="8714" max="8714" width="34.109375" style="625" customWidth="1"/>
    <col min="8715" max="8960" width="8.88671875" style="625"/>
    <col min="8961" max="8961" width="4.5546875" style="625" customWidth="1"/>
    <col min="8962" max="8962" width="6.6640625" style="625" customWidth="1"/>
    <col min="8963" max="8963" width="34.109375" style="625" customWidth="1"/>
    <col min="8964" max="8964" width="11.33203125" style="625" customWidth="1"/>
    <col min="8965" max="8965" width="6.88671875" style="625" customWidth="1"/>
    <col min="8966" max="8966" width="11.77734375" style="625" customWidth="1"/>
    <col min="8967" max="8967" width="19.109375" style="625" customWidth="1"/>
    <col min="8968" max="8968" width="19" style="625" customWidth="1"/>
    <col min="8969" max="8969" width="10" style="625" bestFit="1" customWidth="1"/>
    <col min="8970" max="8970" width="34.109375" style="625" customWidth="1"/>
    <col min="8971" max="9216" width="8.88671875" style="625"/>
    <col min="9217" max="9217" width="4.5546875" style="625" customWidth="1"/>
    <col min="9218" max="9218" width="6.6640625" style="625" customWidth="1"/>
    <col min="9219" max="9219" width="34.109375" style="625" customWidth="1"/>
    <col min="9220" max="9220" width="11.33203125" style="625" customWidth="1"/>
    <col min="9221" max="9221" width="6.88671875" style="625" customWidth="1"/>
    <col min="9222" max="9222" width="11.77734375" style="625" customWidth="1"/>
    <col min="9223" max="9223" width="19.109375" style="625" customWidth="1"/>
    <col min="9224" max="9224" width="19" style="625" customWidth="1"/>
    <col min="9225" max="9225" width="10" style="625" bestFit="1" customWidth="1"/>
    <col min="9226" max="9226" width="34.109375" style="625" customWidth="1"/>
    <col min="9227" max="9472" width="8.88671875" style="625"/>
    <col min="9473" max="9473" width="4.5546875" style="625" customWidth="1"/>
    <col min="9474" max="9474" width="6.6640625" style="625" customWidth="1"/>
    <col min="9475" max="9475" width="34.109375" style="625" customWidth="1"/>
    <col min="9476" max="9476" width="11.33203125" style="625" customWidth="1"/>
    <col min="9477" max="9477" width="6.88671875" style="625" customWidth="1"/>
    <col min="9478" max="9478" width="11.77734375" style="625" customWidth="1"/>
    <col min="9479" max="9479" width="19.109375" style="625" customWidth="1"/>
    <col min="9480" max="9480" width="19" style="625" customWidth="1"/>
    <col min="9481" max="9481" width="10" style="625" bestFit="1" customWidth="1"/>
    <col min="9482" max="9482" width="34.109375" style="625" customWidth="1"/>
    <col min="9483" max="9728" width="8.88671875" style="625"/>
    <col min="9729" max="9729" width="4.5546875" style="625" customWidth="1"/>
    <col min="9730" max="9730" width="6.6640625" style="625" customWidth="1"/>
    <col min="9731" max="9731" width="34.109375" style="625" customWidth="1"/>
    <col min="9732" max="9732" width="11.33203125" style="625" customWidth="1"/>
    <col min="9733" max="9733" width="6.88671875" style="625" customWidth="1"/>
    <col min="9734" max="9734" width="11.77734375" style="625" customWidth="1"/>
    <col min="9735" max="9735" width="19.109375" style="625" customWidth="1"/>
    <col min="9736" max="9736" width="19" style="625" customWidth="1"/>
    <col min="9737" max="9737" width="10" style="625" bestFit="1" customWidth="1"/>
    <col min="9738" max="9738" width="34.109375" style="625" customWidth="1"/>
    <col min="9739" max="9984" width="8.88671875" style="625"/>
    <col min="9985" max="9985" width="4.5546875" style="625" customWidth="1"/>
    <col min="9986" max="9986" width="6.6640625" style="625" customWidth="1"/>
    <col min="9987" max="9987" width="34.109375" style="625" customWidth="1"/>
    <col min="9988" max="9988" width="11.33203125" style="625" customWidth="1"/>
    <col min="9989" max="9989" width="6.88671875" style="625" customWidth="1"/>
    <col min="9990" max="9990" width="11.77734375" style="625" customWidth="1"/>
    <col min="9991" max="9991" width="19.109375" style="625" customWidth="1"/>
    <col min="9992" max="9992" width="19" style="625" customWidth="1"/>
    <col min="9993" max="9993" width="10" style="625" bestFit="1" customWidth="1"/>
    <col min="9994" max="9994" width="34.109375" style="625" customWidth="1"/>
    <col min="9995" max="10240" width="8.88671875" style="625"/>
    <col min="10241" max="10241" width="4.5546875" style="625" customWidth="1"/>
    <col min="10242" max="10242" width="6.6640625" style="625" customWidth="1"/>
    <col min="10243" max="10243" width="34.109375" style="625" customWidth="1"/>
    <col min="10244" max="10244" width="11.33203125" style="625" customWidth="1"/>
    <col min="10245" max="10245" width="6.88671875" style="625" customWidth="1"/>
    <col min="10246" max="10246" width="11.77734375" style="625" customWidth="1"/>
    <col min="10247" max="10247" width="19.109375" style="625" customWidth="1"/>
    <col min="10248" max="10248" width="19" style="625" customWidth="1"/>
    <col min="10249" max="10249" width="10" style="625" bestFit="1" customWidth="1"/>
    <col min="10250" max="10250" width="34.109375" style="625" customWidth="1"/>
    <col min="10251" max="10496" width="8.88671875" style="625"/>
    <col min="10497" max="10497" width="4.5546875" style="625" customWidth="1"/>
    <col min="10498" max="10498" width="6.6640625" style="625" customWidth="1"/>
    <col min="10499" max="10499" width="34.109375" style="625" customWidth="1"/>
    <col min="10500" max="10500" width="11.33203125" style="625" customWidth="1"/>
    <col min="10501" max="10501" width="6.88671875" style="625" customWidth="1"/>
    <col min="10502" max="10502" width="11.77734375" style="625" customWidth="1"/>
    <col min="10503" max="10503" width="19.109375" style="625" customWidth="1"/>
    <col min="10504" max="10504" width="19" style="625" customWidth="1"/>
    <col min="10505" max="10505" width="10" style="625" bestFit="1" customWidth="1"/>
    <col min="10506" max="10506" width="34.109375" style="625" customWidth="1"/>
    <col min="10507" max="10752" width="8.88671875" style="625"/>
    <col min="10753" max="10753" width="4.5546875" style="625" customWidth="1"/>
    <col min="10754" max="10754" width="6.6640625" style="625" customWidth="1"/>
    <col min="10755" max="10755" width="34.109375" style="625" customWidth="1"/>
    <col min="10756" max="10756" width="11.33203125" style="625" customWidth="1"/>
    <col min="10757" max="10757" width="6.88671875" style="625" customWidth="1"/>
    <col min="10758" max="10758" width="11.77734375" style="625" customWidth="1"/>
    <col min="10759" max="10759" width="19.109375" style="625" customWidth="1"/>
    <col min="10760" max="10760" width="19" style="625" customWidth="1"/>
    <col min="10761" max="10761" width="10" style="625" bestFit="1" customWidth="1"/>
    <col min="10762" max="10762" width="34.109375" style="625" customWidth="1"/>
    <col min="10763" max="11008" width="8.88671875" style="625"/>
    <col min="11009" max="11009" width="4.5546875" style="625" customWidth="1"/>
    <col min="11010" max="11010" width="6.6640625" style="625" customWidth="1"/>
    <col min="11011" max="11011" width="34.109375" style="625" customWidth="1"/>
    <col min="11012" max="11012" width="11.33203125" style="625" customWidth="1"/>
    <col min="11013" max="11013" width="6.88671875" style="625" customWidth="1"/>
    <col min="11014" max="11014" width="11.77734375" style="625" customWidth="1"/>
    <col min="11015" max="11015" width="19.109375" style="625" customWidth="1"/>
    <col min="11016" max="11016" width="19" style="625" customWidth="1"/>
    <col min="11017" max="11017" width="10" style="625" bestFit="1" customWidth="1"/>
    <col min="11018" max="11018" width="34.109375" style="625" customWidth="1"/>
    <col min="11019" max="11264" width="8.88671875" style="625"/>
    <col min="11265" max="11265" width="4.5546875" style="625" customWidth="1"/>
    <col min="11266" max="11266" width="6.6640625" style="625" customWidth="1"/>
    <col min="11267" max="11267" width="34.109375" style="625" customWidth="1"/>
    <col min="11268" max="11268" width="11.33203125" style="625" customWidth="1"/>
    <col min="11269" max="11269" width="6.88671875" style="625" customWidth="1"/>
    <col min="11270" max="11270" width="11.77734375" style="625" customWidth="1"/>
    <col min="11271" max="11271" width="19.109375" style="625" customWidth="1"/>
    <col min="11272" max="11272" width="19" style="625" customWidth="1"/>
    <col min="11273" max="11273" width="10" style="625" bestFit="1" customWidth="1"/>
    <col min="11274" max="11274" width="34.109375" style="625" customWidth="1"/>
    <col min="11275" max="11520" width="8.88671875" style="625"/>
    <col min="11521" max="11521" width="4.5546875" style="625" customWidth="1"/>
    <col min="11522" max="11522" width="6.6640625" style="625" customWidth="1"/>
    <col min="11523" max="11523" width="34.109375" style="625" customWidth="1"/>
    <col min="11524" max="11524" width="11.33203125" style="625" customWidth="1"/>
    <col min="11525" max="11525" width="6.88671875" style="625" customWidth="1"/>
    <col min="11526" max="11526" width="11.77734375" style="625" customWidth="1"/>
    <col min="11527" max="11527" width="19.109375" style="625" customWidth="1"/>
    <col min="11528" max="11528" width="19" style="625" customWidth="1"/>
    <col min="11529" max="11529" width="10" style="625" bestFit="1" customWidth="1"/>
    <col min="11530" max="11530" width="34.109375" style="625" customWidth="1"/>
    <col min="11531" max="11776" width="8.88671875" style="625"/>
    <col min="11777" max="11777" width="4.5546875" style="625" customWidth="1"/>
    <col min="11778" max="11778" width="6.6640625" style="625" customWidth="1"/>
    <col min="11779" max="11779" width="34.109375" style="625" customWidth="1"/>
    <col min="11780" max="11780" width="11.33203125" style="625" customWidth="1"/>
    <col min="11781" max="11781" width="6.88671875" style="625" customWidth="1"/>
    <col min="11782" max="11782" width="11.77734375" style="625" customWidth="1"/>
    <col min="11783" max="11783" width="19.109375" style="625" customWidth="1"/>
    <col min="11784" max="11784" width="19" style="625" customWidth="1"/>
    <col min="11785" max="11785" width="10" style="625" bestFit="1" customWidth="1"/>
    <col min="11786" max="11786" width="34.109375" style="625" customWidth="1"/>
    <col min="11787" max="12032" width="8.88671875" style="625"/>
    <col min="12033" max="12033" width="4.5546875" style="625" customWidth="1"/>
    <col min="12034" max="12034" width="6.6640625" style="625" customWidth="1"/>
    <col min="12035" max="12035" width="34.109375" style="625" customWidth="1"/>
    <col min="12036" max="12036" width="11.33203125" style="625" customWidth="1"/>
    <col min="12037" max="12037" width="6.88671875" style="625" customWidth="1"/>
    <col min="12038" max="12038" width="11.77734375" style="625" customWidth="1"/>
    <col min="12039" max="12039" width="19.109375" style="625" customWidth="1"/>
    <col min="12040" max="12040" width="19" style="625" customWidth="1"/>
    <col min="12041" max="12041" width="10" style="625" bestFit="1" customWidth="1"/>
    <col min="12042" max="12042" width="34.109375" style="625" customWidth="1"/>
    <col min="12043" max="12288" width="8.88671875" style="625"/>
    <col min="12289" max="12289" width="4.5546875" style="625" customWidth="1"/>
    <col min="12290" max="12290" width="6.6640625" style="625" customWidth="1"/>
    <col min="12291" max="12291" width="34.109375" style="625" customWidth="1"/>
    <col min="12292" max="12292" width="11.33203125" style="625" customWidth="1"/>
    <col min="12293" max="12293" width="6.88671875" style="625" customWidth="1"/>
    <col min="12294" max="12294" width="11.77734375" style="625" customWidth="1"/>
    <col min="12295" max="12295" width="19.109375" style="625" customWidth="1"/>
    <col min="12296" max="12296" width="19" style="625" customWidth="1"/>
    <col min="12297" max="12297" width="10" style="625" bestFit="1" customWidth="1"/>
    <col min="12298" max="12298" width="34.109375" style="625" customWidth="1"/>
    <col min="12299" max="12544" width="8.88671875" style="625"/>
    <col min="12545" max="12545" width="4.5546875" style="625" customWidth="1"/>
    <col min="12546" max="12546" width="6.6640625" style="625" customWidth="1"/>
    <col min="12547" max="12547" width="34.109375" style="625" customWidth="1"/>
    <col min="12548" max="12548" width="11.33203125" style="625" customWidth="1"/>
    <col min="12549" max="12549" width="6.88671875" style="625" customWidth="1"/>
    <col min="12550" max="12550" width="11.77734375" style="625" customWidth="1"/>
    <col min="12551" max="12551" width="19.109375" style="625" customWidth="1"/>
    <col min="12552" max="12552" width="19" style="625" customWidth="1"/>
    <col min="12553" max="12553" width="10" style="625" bestFit="1" customWidth="1"/>
    <col min="12554" max="12554" width="34.109375" style="625" customWidth="1"/>
    <col min="12555" max="12800" width="8.88671875" style="625"/>
    <col min="12801" max="12801" width="4.5546875" style="625" customWidth="1"/>
    <col min="12802" max="12802" width="6.6640625" style="625" customWidth="1"/>
    <col min="12803" max="12803" width="34.109375" style="625" customWidth="1"/>
    <col min="12804" max="12804" width="11.33203125" style="625" customWidth="1"/>
    <col min="12805" max="12805" width="6.88671875" style="625" customWidth="1"/>
    <col min="12806" max="12806" width="11.77734375" style="625" customWidth="1"/>
    <col min="12807" max="12807" width="19.109375" style="625" customWidth="1"/>
    <col min="12808" max="12808" width="19" style="625" customWidth="1"/>
    <col min="12809" max="12809" width="10" style="625" bestFit="1" customWidth="1"/>
    <col min="12810" max="12810" width="34.109375" style="625" customWidth="1"/>
    <col min="12811" max="13056" width="8.88671875" style="625"/>
    <col min="13057" max="13057" width="4.5546875" style="625" customWidth="1"/>
    <col min="13058" max="13058" width="6.6640625" style="625" customWidth="1"/>
    <col min="13059" max="13059" width="34.109375" style="625" customWidth="1"/>
    <col min="13060" max="13060" width="11.33203125" style="625" customWidth="1"/>
    <col min="13061" max="13061" width="6.88671875" style="625" customWidth="1"/>
    <col min="13062" max="13062" width="11.77734375" style="625" customWidth="1"/>
    <col min="13063" max="13063" width="19.109375" style="625" customWidth="1"/>
    <col min="13064" max="13064" width="19" style="625" customWidth="1"/>
    <col min="13065" max="13065" width="10" style="625" bestFit="1" customWidth="1"/>
    <col min="13066" max="13066" width="34.109375" style="625" customWidth="1"/>
    <col min="13067" max="13312" width="8.88671875" style="625"/>
    <col min="13313" max="13313" width="4.5546875" style="625" customWidth="1"/>
    <col min="13314" max="13314" width="6.6640625" style="625" customWidth="1"/>
    <col min="13315" max="13315" width="34.109375" style="625" customWidth="1"/>
    <col min="13316" max="13316" width="11.33203125" style="625" customWidth="1"/>
    <col min="13317" max="13317" width="6.88671875" style="625" customWidth="1"/>
    <col min="13318" max="13318" width="11.77734375" style="625" customWidth="1"/>
    <col min="13319" max="13319" width="19.109375" style="625" customWidth="1"/>
    <col min="13320" max="13320" width="19" style="625" customWidth="1"/>
    <col min="13321" max="13321" width="10" style="625" bestFit="1" customWidth="1"/>
    <col min="13322" max="13322" width="34.109375" style="625" customWidth="1"/>
    <col min="13323" max="13568" width="8.88671875" style="625"/>
    <col min="13569" max="13569" width="4.5546875" style="625" customWidth="1"/>
    <col min="13570" max="13570" width="6.6640625" style="625" customWidth="1"/>
    <col min="13571" max="13571" width="34.109375" style="625" customWidth="1"/>
    <col min="13572" max="13572" width="11.33203125" style="625" customWidth="1"/>
    <col min="13573" max="13573" width="6.88671875" style="625" customWidth="1"/>
    <col min="13574" max="13574" width="11.77734375" style="625" customWidth="1"/>
    <col min="13575" max="13575" width="19.109375" style="625" customWidth="1"/>
    <col min="13576" max="13576" width="19" style="625" customWidth="1"/>
    <col min="13577" max="13577" width="10" style="625" bestFit="1" customWidth="1"/>
    <col min="13578" max="13578" width="34.109375" style="625" customWidth="1"/>
    <col min="13579" max="13824" width="8.88671875" style="625"/>
    <col min="13825" max="13825" width="4.5546875" style="625" customWidth="1"/>
    <col min="13826" max="13826" width="6.6640625" style="625" customWidth="1"/>
    <col min="13827" max="13827" width="34.109375" style="625" customWidth="1"/>
    <col min="13828" max="13828" width="11.33203125" style="625" customWidth="1"/>
    <col min="13829" max="13829" width="6.88671875" style="625" customWidth="1"/>
    <col min="13830" max="13830" width="11.77734375" style="625" customWidth="1"/>
    <col min="13831" max="13831" width="19.109375" style="625" customWidth="1"/>
    <col min="13832" max="13832" width="19" style="625" customWidth="1"/>
    <col min="13833" max="13833" width="10" style="625" bestFit="1" customWidth="1"/>
    <col min="13834" max="13834" width="34.109375" style="625" customWidth="1"/>
    <col min="13835" max="14080" width="8.88671875" style="625"/>
    <col min="14081" max="14081" width="4.5546875" style="625" customWidth="1"/>
    <col min="14082" max="14082" width="6.6640625" style="625" customWidth="1"/>
    <col min="14083" max="14083" width="34.109375" style="625" customWidth="1"/>
    <col min="14084" max="14084" width="11.33203125" style="625" customWidth="1"/>
    <col min="14085" max="14085" width="6.88671875" style="625" customWidth="1"/>
    <col min="14086" max="14086" width="11.77734375" style="625" customWidth="1"/>
    <col min="14087" max="14087" width="19.109375" style="625" customWidth="1"/>
    <col min="14088" max="14088" width="19" style="625" customWidth="1"/>
    <col min="14089" max="14089" width="10" style="625" bestFit="1" customWidth="1"/>
    <col min="14090" max="14090" width="34.109375" style="625" customWidth="1"/>
    <col min="14091" max="14336" width="8.88671875" style="625"/>
    <col min="14337" max="14337" width="4.5546875" style="625" customWidth="1"/>
    <col min="14338" max="14338" width="6.6640625" style="625" customWidth="1"/>
    <col min="14339" max="14339" width="34.109375" style="625" customWidth="1"/>
    <col min="14340" max="14340" width="11.33203125" style="625" customWidth="1"/>
    <col min="14341" max="14341" width="6.88671875" style="625" customWidth="1"/>
    <col min="14342" max="14342" width="11.77734375" style="625" customWidth="1"/>
    <col min="14343" max="14343" width="19.109375" style="625" customWidth="1"/>
    <col min="14344" max="14344" width="19" style="625" customWidth="1"/>
    <col min="14345" max="14345" width="10" style="625" bestFit="1" customWidth="1"/>
    <col min="14346" max="14346" width="34.109375" style="625" customWidth="1"/>
    <col min="14347" max="14592" width="8.88671875" style="625"/>
    <col min="14593" max="14593" width="4.5546875" style="625" customWidth="1"/>
    <col min="14594" max="14594" width="6.6640625" style="625" customWidth="1"/>
    <col min="14595" max="14595" width="34.109375" style="625" customWidth="1"/>
    <col min="14596" max="14596" width="11.33203125" style="625" customWidth="1"/>
    <col min="14597" max="14597" width="6.88671875" style="625" customWidth="1"/>
    <col min="14598" max="14598" width="11.77734375" style="625" customWidth="1"/>
    <col min="14599" max="14599" width="19.109375" style="625" customWidth="1"/>
    <col min="14600" max="14600" width="19" style="625" customWidth="1"/>
    <col min="14601" max="14601" width="10" style="625" bestFit="1" customWidth="1"/>
    <col min="14602" max="14602" width="34.109375" style="625" customWidth="1"/>
    <col min="14603" max="14848" width="8.88671875" style="625"/>
    <col min="14849" max="14849" width="4.5546875" style="625" customWidth="1"/>
    <col min="14850" max="14850" width="6.6640625" style="625" customWidth="1"/>
    <col min="14851" max="14851" width="34.109375" style="625" customWidth="1"/>
    <col min="14852" max="14852" width="11.33203125" style="625" customWidth="1"/>
    <col min="14853" max="14853" width="6.88671875" style="625" customWidth="1"/>
    <col min="14854" max="14854" width="11.77734375" style="625" customWidth="1"/>
    <col min="14855" max="14855" width="19.109375" style="625" customWidth="1"/>
    <col min="14856" max="14856" width="19" style="625" customWidth="1"/>
    <col min="14857" max="14857" width="10" style="625" bestFit="1" customWidth="1"/>
    <col min="14858" max="14858" width="34.109375" style="625" customWidth="1"/>
    <col min="14859" max="15104" width="8.88671875" style="625"/>
    <col min="15105" max="15105" width="4.5546875" style="625" customWidth="1"/>
    <col min="15106" max="15106" width="6.6640625" style="625" customWidth="1"/>
    <col min="15107" max="15107" width="34.109375" style="625" customWidth="1"/>
    <col min="15108" max="15108" width="11.33203125" style="625" customWidth="1"/>
    <col min="15109" max="15109" width="6.88671875" style="625" customWidth="1"/>
    <col min="15110" max="15110" width="11.77734375" style="625" customWidth="1"/>
    <col min="15111" max="15111" width="19.109375" style="625" customWidth="1"/>
    <col min="15112" max="15112" width="19" style="625" customWidth="1"/>
    <col min="15113" max="15113" width="10" style="625" bestFit="1" customWidth="1"/>
    <col min="15114" max="15114" width="34.109375" style="625" customWidth="1"/>
    <col min="15115" max="15360" width="8.88671875" style="625"/>
    <col min="15361" max="15361" width="4.5546875" style="625" customWidth="1"/>
    <col min="15362" max="15362" width="6.6640625" style="625" customWidth="1"/>
    <col min="15363" max="15363" width="34.109375" style="625" customWidth="1"/>
    <col min="15364" max="15364" width="11.33203125" style="625" customWidth="1"/>
    <col min="15365" max="15365" width="6.88671875" style="625" customWidth="1"/>
    <col min="15366" max="15366" width="11.77734375" style="625" customWidth="1"/>
    <col min="15367" max="15367" width="19.109375" style="625" customWidth="1"/>
    <col min="15368" max="15368" width="19" style="625" customWidth="1"/>
    <col min="15369" max="15369" width="10" style="625" bestFit="1" customWidth="1"/>
    <col min="15370" max="15370" width="34.109375" style="625" customWidth="1"/>
    <col min="15371" max="15616" width="8.88671875" style="625"/>
    <col min="15617" max="15617" width="4.5546875" style="625" customWidth="1"/>
    <col min="15618" max="15618" width="6.6640625" style="625" customWidth="1"/>
    <col min="15619" max="15619" width="34.109375" style="625" customWidth="1"/>
    <col min="15620" max="15620" width="11.33203125" style="625" customWidth="1"/>
    <col min="15621" max="15621" width="6.88671875" style="625" customWidth="1"/>
    <col min="15622" max="15622" width="11.77734375" style="625" customWidth="1"/>
    <col min="15623" max="15623" width="19.109375" style="625" customWidth="1"/>
    <col min="15624" max="15624" width="19" style="625" customWidth="1"/>
    <col min="15625" max="15625" width="10" style="625" bestFit="1" customWidth="1"/>
    <col min="15626" max="15626" width="34.109375" style="625" customWidth="1"/>
    <col min="15627" max="15872" width="8.88671875" style="625"/>
    <col min="15873" max="15873" width="4.5546875" style="625" customWidth="1"/>
    <col min="15874" max="15874" width="6.6640625" style="625" customWidth="1"/>
    <col min="15875" max="15875" width="34.109375" style="625" customWidth="1"/>
    <col min="15876" max="15876" width="11.33203125" style="625" customWidth="1"/>
    <col min="15877" max="15877" width="6.88671875" style="625" customWidth="1"/>
    <col min="15878" max="15878" width="11.77734375" style="625" customWidth="1"/>
    <col min="15879" max="15879" width="19.109375" style="625" customWidth="1"/>
    <col min="15880" max="15880" width="19" style="625" customWidth="1"/>
    <col min="15881" max="15881" width="10" style="625" bestFit="1" customWidth="1"/>
    <col min="15882" max="15882" width="34.109375" style="625" customWidth="1"/>
    <col min="15883" max="16128" width="8.88671875" style="625"/>
    <col min="16129" max="16129" width="4.5546875" style="625" customWidth="1"/>
    <col min="16130" max="16130" width="6.6640625" style="625" customWidth="1"/>
    <col min="16131" max="16131" width="34.109375" style="625" customWidth="1"/>
    <col min="16132" max="16132" width="11.33203125" style="625" customWidth="1"/>
    <col min="16133" max="16133" width="6.88671875" style="625" customWidth="1"/>
    <col min="16134" max="16134" width="11.77734375" style="625" customWidth="1"/>
    <col min="16135" max="16135" width="19.109375" style="625" customWidth="1"/>
    <col min="16136" max="16136" width="19" style="625" customWidth="1"/>
    <col min="16137" max="16137" width="10" style="625" bestFit="1" customWidth="1"/>
    <col min="16138" max="16138" width="34.109375" style="625" customWidth="1"/>
    <col min="16139" max="16384" width="8.88671875" style="625"/>
  </cols>
  <sheetData>
    <row r="1" spans="1:10" ht="19.899999999999999" customHeight="1">
      <c r="A1" s="1481" t="s">
        <v>1338</v>
      </c>
      <c r="B1" s="1481"/>
      <c r="C1" s="1481"/>
      <c r="D1" s="1481"/>
      <c r="E1" s="1481"/>
      <c r="F1" s="1481"/>
    </row>
    <row r="2" spans="1:10" ht="40.15" customHeight="1">
      <c r="A2" s="1482" t="str">
        <f>[8]Development!A1</f>
        <v>CONSTRUCTION OF RURAL POLICE STATION BUILDING WITH DEVELOPMENT WORK AT REGUNATHAPURAM IN PUDUKKOTTAI DISRICT.</v>
      </c>
      <c r="B2" s="1482"/>
      <c r="C2" s="1482"/>
      <c r="D2" s="1482"/>
      <c r="E2" s="1482"/>
      <c r="F2" s="1482"/>
    </row>
    <row r="3" spans="1:10" ht="34.9" customHeight="1">
      <c r="A3" s="862" t="s">
        <v>544</v>
      </c>
      <c r="B3" s="862" t="s">
        <v>8</v>
      </c>
      <c r="C3" s="862" t="s">
        <v>1231</v>
      </c>
      <c r="D3" s="862" t="s">
        <v>1339</v>
      </c>
      <c r="E3" s="862" t="s">
        <v>215</v>
      </c>
      <c r="F3" s="862" t="s">
        <v>1340</v>
      </c>
    </row>
    <row r="4" spans="1:10" ht="25.15" customHeight="1">
      <c r="A4" s="862"/>
      <c r="B4" s="862"/>
      <c r="C4" s="862" t="s">
        <v>1341</v>
      </c>
      <c r="D4" s="1483" t="s">
        <v>1342</v>
      </c>
      <c r="E4" s="1483"/>
      <c r="F4" s="1483"/>
    </row>
    <row r="5" spans="1:10" ht="25.15" customHeight="1">
      <c r="A5" s="627">
        <v>1</v>
      </c>
      <c r="B5" s="628">
        <v>1</v>
      </c>
      <c r="C5" s="629" t="str">
        <f>[8]Development!E2</f>
        <v>Police Station building</v>
      </c>
      <c r="D5" s="629">
        <f>'[8]Coding sheet'!F870</f>
        <v>5990015.54</v>
      </c>
      <c r="E5" s="629" t="s">
        <v>1343</v>
      </c>
      <c r="F5" s="629">
        <f>B5*D5</f>
        <v>5990015.54</v>
      </c>
    </row>
    <row r="6" spans="1:10" ht="25.15" customHeight="1">
      <c r="A6" s="630"/>
      <c r="B6" s="631"/>
      <c r="C6" s="631" t="s">
        <v>1344</v>
      </c>
      <c r="D6" s="631"/>
      <c r="E6" s="631"/>
      <c r="F6" s="632">
        <f>SUM(F5:F5)</f>
        <v>5990015.54</v>
      </c>
    </row>
    <row r="7" spans="1:10" ht="25.15" customHeight="1">
      <c r="A7" s="627">
        <v>2</v>
      </c>
      <c r="B7" s="628">
        <v>1</v>
      </c>
      <c r="C7" s="629" t="s">
        <v>424</v>
      </c>
      <c r="D7" s="633">
        <f>'[8]Coding sheet'!H870</f>
        <v>410785.2</v>
      </c>
      <c r="E7" s="629" t="s">
        <v>1343</v>
      </c>
      <c r="F7" s="634">
        <f>D7*B7</f>
        <v>410785.2</v>
      </c>
    </row>
    <row r="8" spans="1:10" ht="25.15" customHeight="1">
      <c r="A8" s="635"/>
      <c r="B8" s="863"/>
      <c r="C8" s="861" t="s">
        <v>1345</v>
      </c>
      <c r="D8" s="1478"/>
      <c r="E8" s="1478"/>
      <c r="F8" s="638">
        <f>+SUM(F6:F7)</f>
        <v>6400800.7400000002</v>
      </c>
      <c r="J8" s="639"/>
    </row>
    <row r="9" spans="1:10" ht="25.15" customHeight="1">
      <c r="A9" s="635">
        <v>3</v>
      </c>
      <c r="B9" s="863"/>
      <c r="C9" s="640" t="s">
        <v>1346</v>
      </c>
      <c r="D9" s="1478"/>
      <c r="E9" s="1478"/>
      <c r="F9" s="641">
        <f>F8*0.12</f>
        <v>768096.08880000003</v>
      </c>
      <c r="J9" s="639"/>
    </row>
    <row r="10" spans="1:10" ht="25.15" customHeight="1">
      <c r="A10" s="630"/>
      <c r="B10" s="863"/>
      <c r="C10" s="861" t="s">
        <v>1347</v>
      </c>
      <c r="D10" s="1478"/>
      <c r="E10" s="1478"/>
      <c r="F10" s="638">
        <f>SUM(F8:F9)</f>
        <v>7168896.8288000003</v>
      </c>
      <c r="G10" s="642"/>
    </row>
    <row r="11" spans="1:10" ht="25.15" customHeight="1">
      <c r="A11" s="643">
        <v>4</v>
      </c>
      <c r="B11" s="863" t="s">
        <v>1348</v>
      </c>
      <c r="C11" s="644" t="s">
        <v>1349</v>
      </c>
      <c r="D11" s="1479" t="s">
        <v>1348</v>
      </c>
      <c r="E11" s="1479"/>
      <c r="F11" s="641">
        <f>F10*0.01</f>
        <v>71688.968288000004</v>
      </c>
      <c r="G11" s="642"/>
    </row>
    <row r="12" spans="1:10" ht="25.15" customHeight="1">
      <c r="A12" s="643">
        <v>5</v>
      </c>
      <c r="B12" s="863" t="s">
        <v>1348</v>
      </c>
      <c r="C12" s="644" t="s">
        <v>1350</v>
      </c>
      <c r="D12" s="1479" t="s">
        <v>1348</v>
      </c>
      <c r="E12" s="1479"/>
      <c r="F12" s="641">
        <f>F10*0.075</f>
        <v>537667.26216000004</v>
      </c>
    </row>
    <row r="13" spans="1:10" ht="25.15" customHeight="1">
      <c r="A13" s="630"/>
      <c r="B13" s="863"/>
      <c r="C13" s="861" t="s">
        <v>1351</v>
      </c>
      <c r="D13" s="1478"/>
      <c r="E13" s="1478"/>
      <c r="F13" s="638">
        <f>+SUM(F10:F12)</f>
        <v>7778253.0592480004</v>
      </c>
    </row>
    <row r="14" spans="1:10" ht="25.15" customHeight="1">
      <c r="A14" s="635">
        <v>6</v>
      </c>
      <c r="B14" s="863" t="s">
        <v>1348</v>
      </c>
      <c r="C14" s="644" t="s">
        <v>1352</v>
      </c>
      <c r="D14" s="1480" t="s">
        <v>1348</v>
      </c>
      <c r="E14" s="1480"/>
      <c r="F14" s="641">
        <v>24000</v>
      </c>
      <c r="G14" s="625" t="e">
        <f>F14+#REF!+F15+F16</f>
        <v>#REF!</v>
      </c>
      <c r="H14" s="625">
        <f>F14+F15+F16</f>
        <v>39700</v>
      </c>
    </row>
    <row r="15" spans="1:10" ht="25.15" customHeight="1">
      <c r="A15" s="635">
        <v>8</v>
      </c>
      <c r="B15" s="863" t="s">
        <v>1348</v>
      </c>
      <c r="C15" s="644" t="s">
        <v>1353</v>
      </c>
      <c r="D15" s="1480" t="s">
        <v>1348</v>
      </c>
      <c r="E15" s="1480"/>
      <c r="F15" s="641">
        <v>7200</v>
      </c>
    </row>
    <row r="16" spans="1:10" ht="25.15" customHeight="1">
      <c r="A16" s="635">
        <v>9</v>
      </c>
      <c r="B16" s="863" t="s">
        <v>1348</v>
      </c>
      <c r="C16" s="644" t="s">
        <v>1354</v>
      </c>
      <c r="D16" s="1479" t="s">
        <v>1348</v>
      </c>
      <c r="E16" s="1479"/>
      <c r="F16" s="641">
        <v>8500</v>
      </c>
    </row>
    <row r="17" spans="1:8" ht="25.15" customHeight="1">
      <c r="A17" s="630"/>
      <c r="B17" s="863"/>
      <c r="C17" s="861" t="s">
        <v>1355</v>
      </c>
      <c r="D17" s="1478"/>
      <c r="E17" s="1478"/>
      <c r="F17" s="638">
        <f>SUM(F13:F16)+46.94</f>
        <v>7817999.9992480008</v>
      </c>
      <c r="G17" s="625">
        <v>7818000</v>
      </c>
      <c r="H17" s="625">
        <f>G17-F17</f>
        <v>7.5199920684099197E-4</v>
      </c>
    </row>
    <row r="18" spans="1:8" ht="25.15" customHeight="1">
      <c r="A18" s="630"/>
      <c r="B18" s="630"/>
      <c r="C18" s="645"/>
      <c r="D18" s="646" t="s">
        <v>15</v>
      </c>
      <c r="E18" s="646">
        <f>F17/100000</f>
        <v>78.179999992480006</v>
      </c>
      <c r="F18" s="647" t="s">
        <v>1356</v>
      </c>
    </row>
  </sheetData>
  <mergeCells count="13">
    <mergeCell ref="D10:E10"/>
    <mergeCell ref="A1:F1"/>
    <mergeCell ref="A2:F2"/>
    <mergeCell ref="D4:F4"/>
    <mergeCell ref="D8:E8"/>
    <mergeCell ref="D9:E9"/>
    <mergeCell ref="D17:E17"/>
    <mergeCell ref="D11:E11"/>
    <mergeCell ref="D12:E12"/>
    <mergeCell ref="D13:E13"/>
    <mergeCell ref="D14:E14"/>
    <mergeCell ref="D15:E15"/>
    <mergeCell ref="D16:E16"/>
  </mergeCells>
  <printOptions horizontalCentered="1"/>
  <pageMargins left="0.8" right="0.5" top="0.8" bottom="0" header="0.42" footer="0.28000000000000003"/>
  <pageSetup paperSize="9" orientation="portrait" r:id="rId1"/>
  <headerFooter alignWithMargins="0">
    <oddHeader>&amp;R&amp;P</oddHeader>
  </headerFooter>
</worksheet>
</file>

<file path=xl/worksheets/sheet6.xml><?xml version="1.0" encoding="utf-8"?>
<worksheet xmlns="http://schemas.openxmlformats.org/spreadsheetml/2006/main" xmlns:r="http://schemas.openxmlformats.org/officeDocument/2006/relationships">
  <sheetPr>
    <tabColor rgb="FFFF0000"/>
  </sheetPr>
  <dimension ref="A1:Z1011"/>
  <sheetViews>
    <sheetView showZeros="0" view="pageBreakPreview" topLeftCell="A870" zoomScale="50" zoomScaleNormal="40" zoomScaleSheetLayoutView="50" workbookViewId="0">
      <selection activeCell="F871" sqref="F871"/>
    </sheetView>
  </sheetViews>
  <sheetFormatPr defaultRowHeight="25.5"/>
  <cols>
    <col min="1" max="1" width="10" style="794" customWidth="1"/>
    <col min="2" max="2" width="13.77734375" style="794" customWidth="1"/>
    <col min="3" max="3" width="60.88671875" style="795" customWidth="1"/>
    <col min="4" max="4" width="16.6640625" style="794" customWidth="1"/>
    <col min="5" max="5" width="9.5546875" style="795" customWidth="1"/>
    <col min="6" max="6" width="17.44140625" style="795" customWidth="1"/>
    <col min="7" max="7" width="14.6640625" style="796" hidden="1" customWidth="1"/>
    <col min="8" max="12" width="18.6640625" style="794" hidden="1" customWidth="1"/>
    <col min="13" max="13" width="16.44140625" style="797" hidden="1" customWidth="1"/>
    <col min="14" max="14" width="18.6640625" style="798" hidden="1" customWidth="1"/>
    <col min="15" max="15" width="20.21875" style="669" hidden="1" customWidth="1"/>
    <col min="16" max="16" width="25.6640625" style="669" hidden="1" customWidth="1"/>
    <col min="17" max="17" width="19.44140625" style="669" bestFit="1" customWidth="1"/>
    <col min="18" max="18" width="21.109375" style="669" bestFit="1" customWidth="1"/>
    <col min="19" max="19" width="15.88671875" style="670" bestFit="1" customWidth="1"/>
    <col min="20" max="20" width="8.88671875" style="670"/>
    <col min="21" max="21" width="13.44140625" style="670" bestFit="1" customWidth="1"/>
    <col min="22" max="22" width="8.88671875" style="670"/>
    <col min="23" max="23" width="11.77734375" style="670" bestFit="1" customWidth="1"/>
    <col min="24" max="25" width="8.88671875" style="670"/>
    <col min="26" max="26" width="11.6640625" style="670" bestFit="1" customWidth="1"/>
    <col min="27" max="256" width="8.88671875" style="670"/>
    <col min="257" max="257" width="10" style="670" customWidth="1"/>
    <col min="258" max="258" width="13.77734375" style="670" customWidth="1"/>
    <col min="259" max="259" width="60.88671875" style="670" customWidth="1"/>
    <col min="260" max="260" width="16.6640625" style="670" customWidth="1"/>
    <col min="261" max="261" width="9.5546875" style="670" customWidth="1"/>
    <col min="262" max="262" width="17.44140625" style="670" customWidth="1"/>
    <col min="263" max="272" width="0" style="670" hidden="1" customWidth="1"/>
    <col min="273" max="273" width="19.44140625" style="670" bestFit="1" customWidth="1"/>
    <col min="274" max="274" width="21.109375" style="670" bestFit="1" customWidth="1"/>
    <col min="275" max="275" width="15.88671875" style="670" bestFit="1" customWidth="1"/>
    <col min="276" max="276" width="8.88671875" style="670"/>
    <col min="277" max="277" width="13.44140625" style="670" bestFit="1" customWidth="1"/>
    <col min="278" max="278" width="8.88671875" style="670"/>
    <col min="279" max="279" width="11.77734375" style="670" bestFit="1" customWidth="1"/>
    <col min="280" max="281" width="8.88671875" style="670"/>
    <col min="282" max="282" width="11.6640625" style="670" bestFit="1" customWidth="1"/>
    <col min="283" max="512" width="8.88671875" style="670"/>
    <col min="513" max="513" width="10" style="670" customWidth="1"/>
    <col min="514" max="514" width="13.77734375" style="670" customWidth="1"/>
    <col min="515" max="515" width="60.88671875" style="670" customWidth="1"/>
    <col min="516" max="516" width="16.6640625" style="670" customWidth="1"/>
    <col min="517" max="517" width="9.5546875" style="670" customWidth="1"/>
    <col min="518" max="518" width="17.44140625" style="670" customWidth="1"/>
    <col min="519" max="528" width="0" style="670" hidden="1" customWidth="1"/>
    <col min="529" max="529" width="19.44140625" style="670" bestFit="1" customWidth="1"/>
    <col min="530" max="530" width="21.109375" style="670" bestFit="1" customWidth="1"/>
    <col min="531" max="531" width="15.88671875" style="670" bestFit="1" customWidth="1"/>
    <col min="532" max="532" width="8.88671875" style="670"/>
    <col min="533" max="533" width="13.44140625" style="670" bestFit="1" customWidth="1"/>
    <col min="534" max="534" width="8.88671875" style="670"/>
    <col min="535" max="535" width="11.77734375" style="670" bestFit="1" customWidth="1"/>
    <col min="536" max="537" width="8.88671875" style="670"/>
    <col min="538" max="538" width="11.6640625" style="670" bestFit="1" customWidth="1"/>
    <col min="539" max="768" width="8.88671875" style="670"/>
    <col min="769" max="769" width="10" style="670" customWidth="1"/>
    <col min="770" max="770" width="13.77734375" style="670" customWidth="1"/>
    <col min="771" max="771" width="60.88671875" style="670" customWidth="1"/>
    <col min="772" max="772" width="16.6640625" style="670" customWidth="1"/>
    <col min="773" max="773" width="9.5546875" style="670" customWidth="1"/>
    <col min="774" max="774" width="17.44140625" style="670" customWidth="1"/>
    <col min="775" max="784" width="0" style="670" hidden="1" customWidth="1"/>
    <col min="785" max="785" width="19.44140625" style="670" bestFit="1" customWidth="1"/>
    <col min="786" max="786" width="21.109375" style="670" bestFit="1" customWidth="1"/>
    <col min="787" max="787" width="15.88671875" style="670" bestFit="1" customWidth="1"/>
    <col min="788" max="788" width="8.88671875" style="670"/>
    <col min="789" max="789" width="13.44140625" style="670" bestFit="1" customWidth="1"/>
    <col min="790" max="790" width="8.88671875" style="670"/>
    <col min="791" max="791" width="11.77734375" style="670" bestFit="1" customWidth="1"/>
    <col min="792" max="793" width="8.88671875" style="670"/>
    <col min="794" max="794" width="11.6640625" style="670" bestFit="1" customWidth="1"/>
    <col min="795" max="1024" width="8.88671875" style="670"/>
    <col min="1025" max="1025" width="10" style="670" customWidth="1"/>
    <col min="1026" max="1026" width="13.77734375" style="670" customWidth="1"/>
    <col min="1027" max="1027" width="60.88671875" style="670" customWidth="1"/>
    <col min="1028" max="1028" width="16.6640625" style="670" customWidth="1"/>
    <col min="1029" max="1029" width="9.5546875" style="670" customWidth="1"/>
    <col min="1030" max="1030" width="17.44140625" style="670" customWidth="1"/>
    <col min="1031" max="1040" width="0" style="670" hidden="1" customWidth="1"/>
    <col min="1041" max="1041" width="19.44140625" style="670" bestFit="1" customWidth="1"/>
    <col min="1042" max="1042" width="21.109375" style="670" bestFit="1" customWidth="1"/>
    <col min="1043" max="1043" width="15.88671875" style="670" bestFit="1" customWidth="1"/>
    <col min="1044" max="1044" width="8.88671875" style="670"/>
    <col min="1045" max="1045" width="13.44140625" style="670" bestFit="1" customWidth="1"/>
    <col min="1046" max="1046" width="8.88671875" style="670"/>
    <col min="1047" max="1047" width="11.77734375" style="670" bestFit="1" customWidth="1"/>
    <col min="1048" max="1049" width="8.88671875" style="670"/>
    <col min="1050" max="1050" width="11.6640625" style="670" bestFit="1" customWidth="1"/>
    <col min="1051" max="1280" width="8.88671875" style="670"/>
    <col min="1281" max="1281" width="10" style="670" customWidth="1"/>
    <col min="1282" max="1282" width="13.77734375" style="670" customWidth="1"/>
    <col min="1283" max="1283" width="60.88671875" style="670" customWidth="1"/>
    <col min="1284" max="1284" width="16.6640625" style="670" customWidth="1"/>
    <col min="1285" max="1285" width="9.5546875" style="670" customWidth="1"/>
    <col min="1286" max="1286" width="17.44140625" style="670" customWidth="1"/>
    <col min="1287" max="1296" width="0" style="670" hidden="1" customWidth="1"/>
    <col min="1297" max="1297" width="19.44140625" style="670" bestFit="1" customWidth="1"/>
    <col min="1298" max="1298" width="21.109375" style="670" bestFit="1" customWidth="1"/>
    <col min="1299" max="1299" width="15.88671875" style="670" bestFit="1" customWidth="1"/>
    <col min="1300" max="1300" width="8.88671875" style="670"/>
    <col min="1301" max="1301" width="13.44140625" style="670" bestFit="1" customWidth="1"/>
    <col min="1302" max="1302" width="8.88671875" style="670"/>
    <col min="1303" max="1303" width="11.77734375" style="670" bestFit="1" customWidth="1"/>
    <col min="1304" max="1305" width="8.88671875" style="670"/>
    <col min="1306" max="1306" width="11.6640625" style="670" bestFit="1" customWidth="1"/>
    <col min="1307" max="1536" width="8.88671875" style="670"/>
    <col min="1537" max="1537" width="10" style="670" customWidth="1"/>
    <col min="1538" max="1538" width="13.77734375" style="670" customWidth="1"/>
    <col min="1539" max="1539" width="60.88671875" style="670" customWidth="1"/>
    <col min="1540" max="1540" width="16.6640625" style="670" customWidth="1"/>
    <col min="1541" max="1541" width="9.5546875" style="670" customWidth="1"/>
    <col min="1542" max="1542" width="17.44140625" style="670" customWidth="1"/>
    <col min="1543" max="1552" width="0" style="670" hidden="1" customWidth="1"/>
    <col min="1553" max="1553" width="19.44140625" style="670" bestFit="1" customWidth="1"/>
    <col min="1554" max="1554" width="21.109375" style="670" bestFit="1" customWidth="1"/>
    <col min="1555" max="1555" width="15.88671875" style="670" bestFit="1" customWidth="1"/>
    <col min="1556" max="1556" width="8.88671875" style="670"/>
    <col min="1557" max="1557" width="13.44140625" style="670" bestFit="1" customWidth="1"/>
    <col min="1558" max="1558" width="8.88671875" style="670"/>
    <col min="1559" max="1559" width="11.77734375" style="670" bestFit="1" customWidth="1"/>
    <col min="1560" max="1561" width="8.88671875" style="670"/>
    <col min="1562" max="1562" width="11.6640625" style="670" bestFit="1" customWidth="1"/>
    <col min="1563" max="1792" width="8.88671875" style="670"/>
    <col min="1793" max="1793" width="10" style="670" customWidth="1"/>
    <col min="1794" max="1794" width="13.77734375" style="670" customWidth="1"/>
    <col min="1795" max="1795" width="60.88671875" style="670" customWidth="1"/>
    <col min="1796" max="1796" width="16.6640625" style="670" customWidth="1"/>
    <col min="1797" max="1797" width="9.5546875" style="670" customWidth="1"/>
    <col min="1798" max="1798" width="17.44140625" style="670" customWidth="1"/>
    <col min="1799" max="1808" width="0" style="670" hidden="1" customWidth="1"/>
    <col min="1809" max="1809" width="19.44140625" style="670" bestFit="1" customWidth="1"/>
    <col min="1810" max="1810" width="21.109375" style="670" bestFit="1" customWidth="1"/>
    <col min="1811" max="1811" width="15.88671875" style="670" bestFit="1" customWidth="1"/>
    <col min="1812" max="1812" width="8.88671875" style="670"/>
    <col min="1813" max="1813" width="13.44140625" style="670" bestFit="1" customWidth="1"/>
    <col min="1814" max="1814" width="8.88671875" style="670"/>
    <col min="1815" max="1815" width="11.77734375" style="670" bestFit="1" customWidth="1"/>
    <col min="1816" max="1817" width="8.88671875" style="670"/>
    <col min="1818" max="1818" width="11.6640625" style="670" bestFit="1" customWidth="1"/>
    <col min="1819" max="2048" width="8.88671875" style="670"/>
    <col min="2049" max="2049" width="10" style="670" customWidth="1"/>
    <col min="2050" max="2050" width="13.77734375" style="670" customWidth="1"/>
    <col min="2051" max="2051" width="60.88671875" style="670" customWidth="1"/>
    <col min="2052" max="2052" width="16.6640625" style="670" customWidth="1"/>
    <col min="2053" max="2053" width="9.5546875" style="670" customWidth="1"/>
    <col min="2054" max="2054" width="17.44140625" style="670" customWidth="1"/>
    <col min="2055" max="2064" width="0" style="670" hidden="1" customWidth="1"/>
    <col min="2065" max="2065" width="19.44140625" style="670" bestFit="1" customWidth="1"/>
    <col min="2066" max="2066" width="21.109375" style="670" bestFit="1" customWidth="1"/>
    <col min="2067" max="2067" width="15.88671875" style="670" bestFit="1" customWidth="1"/>
    <col min="2068" max="2068" width="8.88671875" style="670"/>
    <col min="2069" max="2069" width="13.44140625" style="670" bestFit="1" customWidth="1"/>
    <col min="2070" max="2070" width="8.88671875" style="670"/>
    <col min="2071" max="2071" width="11.77734375" style="670" bestFit="1" customWidth="1"/>
    <col min="2072" max="2073" width="8.88671875" style="670"/>
    <col min="2074" max="2074" width="11.6640625" style="670" bestFit="1" customWidth="1"/>
    <col min="2075" max="2304" width="8.88671875" style="670"/>
    <col min="2305" max="2305" width="10" style="670" customWidth="1"/>
    <col min="2306" max="2306" width="13.77734375" style="670" customWidth="1"/>
    <col min="2307" max="2307" width="60.88671875" style="670" customWidth="1"/>
    <col min="2308" max="2308" width="16.6640625" style="670" customWidth="1"/>
    <col min="2309" max="2309" width="9.5546875" style="670" customWidth="1"/>
    <col min="2310" max="2310" width="17.44140625" style="670" customWidth="1"/>
    <col min="2311" max="2320" width="0" style="670" hidden="1" customWidth="1"/>
    <col min="2321" max="2321" width="19.44140625" style="670" bestFit="1" customWidth="1"/>
    <col min="2322" max="2322" width="21.109375" style="670" bestFit="1" customWidth="1"/>
    <col min="2323" max="2323" width="15.88671875" style="670" bestFit="1" customWidth="1"/>
    <col min="2324" max="2324" width="8.88671875" style="670"/>
    <col min="2325" max="2325" width="13.44140625" style="670" bestFit="1" customWidth="1"/>
    <col min="2326" max="2326" width="8.88671875" style="670"/>
    <col min="2327" max="2327" width="11.77734375" style="670" bestFit="1" customWidth="1"/>
    <col min="2328" max="2329" width="8.88671875" style="670"/>
    <col min="2330" max="2330" width="11.6640625" style="670" bestFit="1" customWidth="1"/>
    <col min="2331" max="2560" width="8.88671875" style="670"/>
    <col min="2561" max="2561" width="10" style="670" customWidth="1"/>
    <col min="2562" max="2562" width="13.77734375" style="670" customWidth="1"/>
    <col min="2563" max="2563" width="60.88671875" style="670" customWidth="1"/>
    <col min="2564" max="2564" width="16.6640625" style="670" customWidth="1"/>
    <col min="2565" max="2565" width="9.5546875" style="670" customWidth="1"/>
    <col min="2566" max="2566" width="17.44140625" style="670" customWidth="1"/>
    <col min="2567" max="2576" width="0" style="670" hidden="1" customWidth="1"/>
    <col min="2577" max="2577" width="19.44140625" style="670" bestFit="1" customWidth="1"/>
    <col min="2578" max="2578" width="21.109375" style="670" bestFit="1" customWidth="1"/>
    <col min="2579" max="2579" width="15.88671875" style="670" bestFit="1" customWidth="1"/>
    <col min="2580" max="2580" width="8.88671875" style="670"/>
    <col min="2581" max="2581" width="13.44140625" style="670" bestFit="1" customWidth="1"/>
    <col min="2582" max="2582" width="8.88671875" style="670"/>
    <col min="2583" max="2583" width="11.77734375" style="670" bestFit="1" customWidth="1"/>
    <col min="2584" max="2585" width="8.88671875" style="670"/>
    <col min="2586" max="2586" width="11.6640625" style="670" bestFit="1" customWidth="1"/>
    <col min="2587" max="2816" width="8.88671875" style="670"/>
    <col min="2817" max="2817" width="10" style="670" customWidth="1"/>
    <col min="2818" max="2818" width="13.77734375" style="670" customWidth="1"/>
    <col min="2819" max="2819" width="60.88671875" style="670" customWidth="1"/>
    <col min="2820" max="2820" width="16.6640625" style="670" customWidth="1"/>
    <col min="2821" max="2821" width="9.5546875" style="670" customWidth="1"/>
    <col min="2822" max="2822" width="17.44140625" style="670" customWidth="1"/>
    <col min="2823" max="2832" width="0" style="670" hidden="1" customWidth="1"/>
    <col min="2833" max="2833" width="19.44140625" style="670" bestFit="1" customWidth="1"/>
    <col min="2834" max="2834" width="21.109375" style="670" bestFit="1" customWidth="1"/>
    <col min="2835" max="2835" width="15.88671875" style="670" bestFit="1" customWidth="1"/>
    <col min="2836" max="2836" width="8.88671875" style="670"/>
    <col min="2837" max="2837" width="13.44140625" style="670" bestFit="1" customWidth="1"/>
    <col min="2838" max="2838" width="8.88671875" style="670"/>
    <col min="2839" max="2839" width="11.77734375" style="670" bestFit="1" customWidth="1"/>
    <col min="2840" max="2841" width="8.88671875" style="670"/>
    <col min="2842" max="2842" width="11.6640625" style="670" bestFit="1" customWidth="1"/>
    <col min="2843" max="3072" width="8.88671875" style="670"/>
    <col min="3073" max="3073" width="10" style="670" customWidth="1"/>
    <col min="3074" max="3074" width="13.77734375" style="670" customWidth="1"/>
    <col min="3075" max="3075" width="60.88671875" style="670" customWidth="1"/>
    <col min="3076" max="3076" width="16.6640625" style="670" customWidth="1"/>
    <col min="3077" max="3077" width="9.5546875" style="670" customWidth="1"/>
    <col min="3078" max="3078" width="17.44140625" style="670" customWidth="1"/>
    <col min="3079" max="3088" width="0" style="670" hidden="1" customWidth="1"/>
    <col min="3089" max="3089" width="19.44140625" style="670" bestFit="1" customWidth="1"/>
    <col min="3090" max="3090" width="21.109375" style="670" bestFit="1" customWidth="1"/>
    <col min="3091" max="3091" width="15.88671875" style="670" bestFit="1" customWidth="1"/>
    <col min="3092" max="3092" width="8.88671875" style="670"/>
    <col min="3093" max="3093" width="13.44140625" style="670" bestFit="1" customWidth="1"/>
    <col min="3094" max="3094" width="8.88671875" style="670"/>
    <col min="3095" max="3095" width="11.77734375" style="670" bestFit="1" customWidth="1"/>
    <col min="3096" max="3097" width="8.88671875" style="670"/>
    <col min="3098" max="3098" width="11.6640625" style="670" bestFit="1" customWidth="1"/>
    <col min="3099" max="3328" width="8.88671875" style="670"/>
    <col min="3329" max="3329" width="10" style="670" customWidth="1"/>
    <col min="3330" max="3330" width="13.77734375" style="670" customWidth="1"/>
    <col min="3331" max="3331" width="60.88671875" style="670" customWidth="1"/>
    <col min="3332" max="3332" width="16.6640625" style="670" customWidth="1"/>
    <col min="3333" max="3333" width="9.5546875" style="670" customWidth="1"/>
    <col min="3334" max="3334" width="17.44140625" style="670" customWidth="1"/>
    <col min="3335" max="3344" width="0" style="670" hidden="1" customWidth="1"/>
    <col min="3345" max="3345" width="19.44140625" style="670" bestFit="1" customWidth="1"/>
    <col min="3346" max="3346" width="21.109375" style="670" bestFit="1" customWidth="1"/>
    <col min="3347" max="3347" width="15.88671875" style="670" bestFit="1" customWidth="1"/>
    <col min="3348" max="3348" width="8.88671875" style="670"/>
    <col min="3349" max="3349" width="13.44140625" style="670" bestFit="1" customWidth="1"/>
    <col min="3350" max="3350" width="8.88671875" style="670"/>
    <col min="3351" max="3351" width="11.77734375" style="670" bestFit="1" customWidth="1"/>
    <col min="3352" max="3353" width="8.88671875" style="670"/>
    <col min="3354" max="3354" width="11.6640625" style="670" bestFit="1" customWidth="1"/>
    <col min="3355" max="3584" width="8.88671875" style="670"/>
    <col min="3585" max="3585" width="10" style="670" customWidth="1"/>
    <col min="3586" max="3586" width="13.77734375" style="670" customWidth="1"/>
    <col min="3587" max="3587" width="60.88671875" style="670" customWidth="1"/>
    <col min="3588" max="3588" width="16.6640625" style="670" customWidth="1"/>
    <col min="3589" max="3589" width="9.5546875" style="670" customWidth="1"/>
    <col min="3590" max="3590" width="17.44140625" style="670" customWidth="1"/>
    <col min="3591" max="3600" width="0" style="670" hidden="1" customWidth="1"/>
    <col min="3601" max="3601" width="19.44140625" style="670" bestFit="1" customWidth="1"/>
    <col min="3602" max="3602" width="21.109375" style="670" bestFit="1" customWidth="1"/>
    <col min="3603" max="3603" width="15.88671875" style="670" bestFit="1" customWidth="1"/>
    <col min="3604" max="3604" width="8.88671875" style="670"/>
    <col min="3605" max="3605" width="13.44140625" style="670" bestFit="1" customWidth="1"/>
    <col min="3606" max="3606" width="8.88671875" style="670"/>
    <col min="3607" max="3607" width="11.77734375" style="670" bestFit="1" customWidth="1"/>
    <col min="3608" max="3609" width="8.88671875" style="670"/>
    <col min="3610" max="3610" width="11.6640625" style="670" bestFit="1" customWidth="1"/>
    <col min="3611" max="3840" width="8.88671875" style="670"/>
    <col min="3841" max="3841" width="10" style="670" customWidth="1"/>
    <col min="3842" max="3842" width="13.77734375" style="670" customWidth="1"/>
    <col min="3843" max="3843" width="60.88671875" style="670" customWidth="1"/>
    <col min="3844" max="3844" width="16.6640625" style="670" customWidth="1"/>
    <col min="3845" max="3845" width="9.5546875" style="670" customWidth="1"/>
    <col min="3846" max="3846" width="17.44140625" style="670" customWidth="1"/>
    <col min="3847" max="3856" width="0" style="670" hidden="1" customWidth="1"/>
    <col min="3857" max="3857" width="19.44140625" style="670" bestFit="1" customWidth="1"/>
    <col min="3858" max="3858" width="21.109375" style="670" bestFit="1" customWidth="1"/>
    <col min="3859" max="3859" width="15.88671875" style="670" bestFit="1" customWidth="1"/>
    <col min="3860" max="3860" width="8.88671875" style="670"/>
    <col min="3861" max="3861" width="13.44140625" style="670" bestFit="1" customWidth="1"/>
    <col min="3862" max="3862" width="8.88671875" style="670"/>
    <col min="3863" max="3863" width="11.77734375" style="670" bestFit="1" customWidth="1"/>
    <col min="3864" max="3865" width="8.88671875" style="670"/>
    <col min="3866" max="3866" width="11.6640625" style="670" bestFit="1" customWidth="1"/>
    <col min="3867" max="4096" width="8.88671875" style="670"/>
    <col min="4097" max="4097" width="10" style="670" customWidth="1"/>
    <col min="4098" max="4098" width="13.77734375" style="670" customWidth="1"/>
    <col min="4099" max="4099" width="60.88671875" style="670" customWidth="1"/>
    <col min="4100" max="4100" width="16.6640625" style="670" customWidth="1"/>
    <col min="4101" max="4101" width="9.5546875" style="670" customWidth="1"/>
    <col min="4102" max="4102" width="17.44140625" style="670" customWidth="1"/>
    <col min="4103" max="4112" width="0" style="670" hidden="1" customWidth="1"/>
    <col min="4113" max="4113" width="19.44140625" style="670" bestFit="1" customWidth="1"/>
    <col min="4114" max="4114" width="21.109375" style="670" bestFit="1" customWidth="1"/>
    <col min="4115" max="4115" width="15.88671875" style="670" bestFit="1" customWidth="1"/>
    <col min="4116" max="4116" width="8.88671875" style="670"/>
    <col min="4117" max="4117" width="13.44140625" style="670" bestFit="1" customWidth="1"/>
    <col min="4118" max="4118" width="8.88671875" style="670"/>
    <col min="4119" max="4119" width="11.77734375" style="670" bestFit="1" customWidth="1"/>
    <col min="4120" max="4121" width="8.88671875" style="670"/>
    <col min="4122" max="4122" width="11.6640625" style="670" bestFit="1" customWidth="1"/>
    <col min="4123" max="4352" width="8.88671875" style="670"/>
    <col min="4353" max="4353" width="10" style="670" customWidth="1"/>
    <col min="4354" max="4354" width="13.77734375" style="670" customWidth="1"/>
    <col min="4355" max="4355" width="60.88671875" style="670" customWidth="1"/>
    <col min="4356" max="4356" width="16.6640625" style="670" customWidth="1"/>
    <col min="4357" max="4357" width="9.5546875" style="670" customWidth="1"/>
    <col min="4358" max="4358" width="17.44140625" style="670" customWidth="1"/>
    <col min="4359" max="4368" width="0" style="670" hidden="1" customWidth="1"/>
    <col min="4369" max="4369" width="19.44140625" style="670" bestFit="1" customWidth="1"/>
    <col min="4370" max="4370" width="21.109375" style="670" bestFit="1" customWidth="1"/>
    <col min="4371" max="4371" width="15.88671875" style="670" bestFit="1" customWidth="1"/>
    <col min="4372" max="4372" width="8.88671875" style="670"/>
    <col min="4373" max="4373" width="13.44140625" style="670" bestFit="1" customWidth="1"/>
    <col min="4374" max="4374" width="8.88671875" style="670"/>
    <col min="4375" max="4375" width="11.77734375" style="670" bestFit="1" customWidth="1"/>
    <col min="4376" max="4377" width="8.88671875" style="670"/>
    <col min="4378" max="4378" width="11.6640625" style="670" bestFit="1" customWidth="1"/>
    <col min="4379" max="4608" width="8.88671875" style="670"/>
    <col min="4609" max="4609" width="10" style="670" customWidth="1"/>
    <col min="4610" max="4610" width="13.77734375" style="670" customWidth="1"/>
    <col min="4611" max="4611" width="60.88671875" style="670" customWidth="1"/>
    <col min="4612" max="4612" width="16.6640625" style="670" customWidth="1"/>
    <col min="4613" max="4613" width="9.5546875" style="670" customWidth="1"/>
    <col min="4614" max="4614" width="17.44140625" style="670" customWidth="1"/>
    <col min="4615" max="4624" width="0" style="670" hidden="1" customWidth="1"/>
    <col min="4625" max="4625" width="19.44140625" style="670" bestFit="1" customWidth="1"/>
    <col min="4626" max="4626" width="21.109375" style="670" bestFit="1" customWidth="1"/>
    <col min="4627" max="4627" width="15.88671875" style="670" bestFit="1" customWidth="1"/>
    <col min="4628" max="4628" width="8.88671875" style="670"/>
    <col min="4629" max="4629" width="13.44140625" style="670" bestFit="1" customWidth="1"/>
    <col min="4630" max="4630" width="8.88671875" style="670"/>
    <col min="4631" max="4631" width="11.77734375" style="670" bestFit="1" customWidth="1"/>
    <col min="4632" max="4633" width="8.88671875" style="670"/>
    <col min="4634" max="4634" width="11.6640625" style="670" bestFit="1" customWidth="1"/>
    <col min="4635" max="4864" width="8.88671875" style="670"/>
    <col min="4865" max="4865" width="10" style="670" customWidth="1"/>
    <col min="4866" max="4866" width="13.77734375" style="670" customWidth="1"/>
    <col min="4867" max="4867" width="60.88671875" style="670" customWidth="1"/>
    <col min="4868" max="4868" width="16.6640625" style="670" customWidth="1"/>
    <col min="4869" max="4869" width="9.5546875" style="670" customWidth="1"/>
    <col min="4870" max="4870" width="17.44140625" style="670" customWidth="1"/>
    <col min="4871" max="4880" width="0" style="670" hidden="1" customWidth="1"/>
    <col min="4881" max="4881" width="19.44140625" style="670" bestFit="1" customWidth="1"/>
    <col min="4882" max="4882" width="21.109375" style="670" bestFit="1" customWidth="1"/>
    <col min="4883" max="4883" width="15.88671875" style="670" bestFit="1" customWidth="1"/>
    <col min="4884" max="4884" width="8.88671875" style="670"/>
    <col min="4885" max="4885" width="13.44140625" style="670" bestFit="1" customWidth="1"/>
    <col min="4886" max="4886" width="8.88671875" style="670"/>
    <col min="4887" max="4887" width="11.77734375" style="670" bestFit="1" customWidth="1"/>
    <col min="4888" max="4889" width="8.88671875" style="670"/>
    <col min="4890" max="4890" width="11.6640625" style="670" bestFit="1" customWidth="1"/>
    <col min="4891" max="5120" width="8.88671875" style="670"/>
    <col min="5121" max="5121" width="10" style="670" customWidth="1"/>
    <col min="5122" max="5122" width="13.77734375" style="670" customWidth="1"/>
    <col min="5123" max="5123" width="60.88671875" style="670" customWidth="1"/>
    <col min="5124" max="5124" width="16.6640625" style="670" customWidth="1"/>
    <col min="5125" max="5125" width="9.5546875" style="670" customWidth="1"/>
    <col min="5126" max="5126" width="17.44140625" style="670" customWidth="1"/>
    <col min="5127" max="5136" width="0" style="670" hidden="1" customWidth="1"/>
    <col min="5137" max="5137" width="19.44140625" style="670" bestFit="1" customWidth="1"/>
    <col min="5138" max="5138" width="21.109375" style="670" bestFit="1" customWidth="1"/>
    <col min="5139" max="5139" width="15.88671875" style="670" bestFit="1" customWidth="1"/>
    <col min="5140" max="5140" width="8.88671875" style="670"/>
    <col min="5141" max="5141" width="13.44140625" style="670" bestFit="1" customWidth="1"/>
    <col min="5142" max="5142" width="8.88671875" style="670"/>
    <col min="5143" max="5143" width="11.77734375" style="670" bestFit="1" customWidth="1"/>
    <col min="5144" max="5145" width="8.88671875" style="670"/>
    <col min="5146" max="5146" width="11.6640625" style="670" bestFit="1" customWidth="1"/>
    <col min="5147" max="5376" width="8.88671875" style="670"/>
    <col min="5377" max="5377" width="10" style="670" customWidth="1"/>
    <col min="5378" max="5378" width="13.77734375" style="670" customWidth="1"/>
    <col min="5379" max="5379" width="60.88671875" style="670" customWidth="1"/>
    <col min="5380" max="5380" width="16.6640625" style="670" customWidth="1"/>
    <col min="5381" max="5381" width="9.5546875" style="670" customWidth="1"/>
    <col min="5382" max="5382" width="17.44140625" style="670" customWidth="1"/>
    <col min="5383" max="5392" width="0" style="670" hidden="1" customWidth="1"/>
    <col min="5393" max="5393" width="19.44140625" style="670" bestFit="1" customWidth="1"/>
    <col min="5394" max="5394" width="21.109375" style="670" bestFit="1" customWidth="1"/>
    <col min="5395" max="5395" width="15.88671875" style="670" bestFit="1" customWidth="1"/>
    <col min="5396" max="5396" width="8.88671875" style="670"/>
    <col min="5397" max="5397" width="13.44140625" style="670" bestFit="1" customWidth="1"/>
    <col min="5398" max="5398" width="8.88671875" style="670"/>
    <col min="5399" max="5399" width="11.77734375" style="670" bestFit="1" customWidth="1"/>
    <col min="5400" max="5401" width="8.88671875" style="670"/>
    <col min="5402" max="5402" width="11.6640625" style="670" bestFit="1" customWidth="1"/>
    <col min="5403" max="5632" width="8.88671875" style="670"/>
    <col min="5633" max="5633" width="10" style="670" customWidth="1"/>
    <col min="5634" max="5634" width="13.77734375" style="670" customWidth="1"/>
    <col min="5635" max="5635" width="60.88671875" style="670" customWidth="1"/>
    <col min="5636" max="5636" width="16.6640625" style="670" customWidth="1"/>
    <col min="5637" max="5637" width="9.5546875" style="670" customWidth="1"/>
    <col min="5638" max="5638" width="17.44140625" style="670" customWidth="1"/>
    <col min="5639" max="5648" width="0" style="670" hidden="1" customWidth="1"/>
    <col min="5649" max="5649" width="19.44140625" style="670" bestFit="1" customWidth="1"/>
    <col min="5650" max="5650" width="21.109375" style="670" bestFit="1" customWidth="1"/>
    <col min="5651" max="5651" width="15.88671875" style="670" bestFit="1" customWidth="1"/>
    <col min="5652" max="5652" width="8.88671875" style="670"/>
    <col min="5653" max="5653" width="13.44140625" style="670" bestFit="1" customWidth="1"/>
    <col min="5654" max="5654" width="8.88671875" style="670"/>
    <col min="5655" max="5655" width="11.77734375" style="670" bestFit="1" customWidth="1"/>
    <col min="5656" max="5657" width="8.88671875" style="670"/>
    <col min="5658" max="5658" width="11.6640625" style="670" bestFit="1" customWidth="1"/>
    <col min="5659" max="5888" width="8.88671875" style="670"/>
    <col min="5889" max="5889" width="10" style="670" customWidth="1"/>
    <col min="5890" max="5890" width="13.77734375" style="670" customWidth="1"/>
    <col min="5891" max="5891" width="60.88671875" style="670" customWidth="1"/>
    <col min="5892" max="5892" width="16.6640625" style="670" customWidth="1"/>
    <col min="5893" max="5893" width="9.5546875" style="670" customWidth="1"/>
    <col min="5894" max="5894" width="17.44140625" style="670" customWidth="1"/>
    <col min="5895" max="5904" width="0" style="670" hidden="1" customWidth="1"/>
    <col min="5905" max="5905" width="19.44140625" style="670" bestFit="1" customWidth="1"/>
    <col min="5906" max="5906" width="21.109375" style="670" bestFit="1" customWidth="1"/>
    <col min="5907" max="5907" width="15.88671875" style="670" bestFit="1" customWidth="1"/>
    <col min="5908" max="5908" width="8.88671875" style="670"/>
    <col min="5909" max="5909" width="13.44140625" style="670" bestFit="1" customWidth="1"/>
    <col min="5910" max="5910" width="8.88671875" style="670"/>
    <col min="5911" max="5911" width="11.77734375" style="670" bestFit="1" customWidth="1"/>
    <col min="5912" max="5913" width="8.88671875" style="670"/>
    <col min="5914" max="5914" width="11.6640625" style="670" bestFit="1" customWidth="1"/>
    <col min="5915" max="6144" width="8.88671875" style="670"/>
    <col min="6145" max="6145" width="10" style="670" customWidth="1"/>
    <col min="6146" max="6146" width="13.77734375" style="670" customWidth="1"/>
    <col min="6147" max="6147" width="60.88671875" style="670" customWidth="1"/>
    <col min="6148" max="6148" width="16.6640625" style="670" customWidth="1"/>
    <col min="6149" max="6149" width="9.5546875" style="670" customWidth="1"/>
    <col min="6150" max="6150" width="17.44140625" style="670" customWidth="1"/>
    <col min="6151" max="6160" width="0" style="670" hidden="1" customWidth="1"/>
    <col min="6161" max="6161" width="19.44140625" style="670" bestFit="1" customWidth="1"/>
    <col min="6162" max="6162" width="21.109375" style="670" bestFit="1" customWidth="1"/>
    <col min="6163" max="6163" width="15.88671875" style="670" bestFit="1" customWidth="1"/>
    <col min="6164" max="6164" width="8.88671875" style="670"/>
    <col min="6165" max="6165" width="13.44140625" style="670" bestFit="1" customWidth="1"/>
    <col min="6166" max="6166" width="8.88671875" style="670"/>
    <col min="6167" max="6167" width="11.77734375" style="670" bestFit="1" customWidth="1"/>
    <col min="6168" max="6169" width="8.88671875" style="670"/>
    <col min="6170" max="6170" width="11.6640625" style="670" bestFit="1" customWidth="1"/>
    <col min="6171" max="6400" width="8.88671875" style="670"/>
    <col min="6401" max="6401" width="10" style="670" customWidth="1"/>
    <col min="6402" max="6402" width="13.77734375" style="670" customWidth="1"/>
    <col min="6403" max="6403" width="60.88671875" style="670" customWidth="1"/>
    <col min="6404" max="6404" width="16.6640625" style="670" customWidth="1"/>
    <col min="6405" max="6405" width="9.5546875" style="670" customWidth="1"/>
    <col min="6406" max="6406" width="17.44140625" style="670" customWidth="1"/>
    <col min="6407" max="6416" width="0" style="670" hidden="1" customWidth="1"/>
    <col min="6417" max="6417" width="19.44140625" style="670" bestFit="1" customWidth="1"/>
    <col min="6418" max="6418" width="21.109375" style="670" bestFit="1" customWidth="1"/>
    <col min="6419" max="6419" width="15.88671875" style="670" bestFit="1" customWidth="1"/>
    <col min="6420" max="6420" width="8.88671875" style="670"/>
    <col min="6421" max="6421" width="13.44140625" style="670" bestFit="1" customWidth="1"/>
    <col min="6422" max="6422" width="8.88671875" style="670"/>
    <col min="6423" max="6423" width="11.77734375" style="670" bestFit="1" customWidth="1"/>
    <col min="6424" max="6425" width="8.88671875" style="670"/>
    <col min="6426" max="6426" width="11.6640625" style="670" bestFit="1" customWidth="1"/>
    <col min="6427" max="6656" width="8.88671875" style="670"/>
    <col min="6657" max="6657" width="10" style="670" customWidth="1"/>
    <col min="6658" max="6658" width="13.77734375" style="670" customWidth="1"/>
    <col min="6659" max="6659" width="60.88671875" style="670" customWidth="1"/>
    <col min="6660" max="6660" width="16.6640625" style="670" customWidth="1"/>
    <col min="6661" max="6661" width="9.5546875" style="670" customWidth="1"/>
    <col min="6662" max="6662" width="17.44140625" style="670" customWidth="1"/>
    <col min="6663" max="6672" width="0" style="670" hidden="1" customWidth="1"/>
    <col min="6673" max="6673" width="19.44140625" style="670" bestFit="1" customWidth="1"/>
    <col min="6674" max="6674" width="21.109375" style="670" bestFit="1" customWidth="1"/>
    <col min="6675" max="6675" width="15.88671875" style="670" bestFit="1" customWidth="1"/>
    <col min="6676" max="6676" width="8.88671875" style="670"/>
    <col min="6677" max="6677" width="13.44140625" style="670" bestFit="1" customWidth="1"/>
    <col min="6678" max="6678" width="8.88671875" style="670"/>
    <col min="6679" max="6679" width="11.77734375" style="670" bestFit="1" customWidth="1"/>
    <col min="6680" max="6681" width="8.88671875" style="670"/>
    <col min="6682" max="6682" width="11.6640625" style="670" bestFit="1" customWidth="1"/>
    <col min="6683" max="6912" width="8.88671875" style="670"/>
    <col min="6913" max="6913" width="10" style="670" customWidth="1"/>
    <col min="6914" max="6914" width="13.77734375" style="670" customWidth="1"/>
    <col min="6915" max="6915" width="60.88671875" style="670" customWidth="1"/>
    <col min="6916" max="6916" width="16.6640625" style="670" customWidth="1"/>
    <col min="6917" max="6917" width="9.5546875" style="670" customWidth="1"/>
    <col min="6918" max="6918" width="17.44140625" style="670" customWidth="1"/>
    <col min="6919" max="6928" width="0" style="670" hidden="1" customWidth="1"/>
    <col min="6929" max="6929" width="19.44140625" style="670" bestFit="1" customWidth="1"/>
    <col min="6930" max="6930" width="21.109375" style="670" bestFit="1" customWidth="1"/>
    <col min="6931" max="6931" width="15.88671875" style="670" bestFit="1" customWidth="1"/>
    <col min="6932" max="6932" width="8.88671875" style="670"/>
    <col min="6933" max="6933" width="13.44140625" style="670" bestFit="1" customWidth="1"/>
    <col min="6934" max="6934" width="8.88671875" style="670"/>
    <col min="6935" max="6935" width="11.77734375" style="670" bestFit="1" customWidth="1"/>
    <col min="6936" max="6937" width="8.88671875" style="670"/>
    <col min="6938" max="6938" width="11.6640625" style="670" bestFit="1" customWidth="1"/>
    <col min="6939" max="7168" width="8.88671875" style="670"/>
    <col min="7169" max="7169" width="10" style="670" customWidth="1"/>
    <col min="7170" max="7170" width="13.77734375" style="670" customWidth="1"/>
    <col min="7171" max="7171" width="60.88671875" style="670" customWidth="1"/>
    <col min="7172" max="7172" width="16.6640625" style="670" customWidth="1"/>
    <col min="7173" max="7173" width="9.5546875" style="670" customWidth="1"/>
    <col min="7174" max="7174" width="17.44140625" style="670" customWidth="1"/>
    <col min="7175" max="7184" width="0" style="670" hidden="1" customWidth="1"/>
    <col min="7185" max="7185" width="19.44140625" style="670" bestFit="1" customWidth="1"/>
    <col min="7186" max="7186" width="21.109375" style="670" bestFit="1" customWidth="1"/>
    <col min="7187" max="7187" width="15.88671875" style="670" bestFit="1" customWidth="1"/>
    <col min="7188" max="7188" width="8.88671875" style="670"/>
    <col min="7189" max="7189" width="13.44140625" style="670" bestFit="1" customWidth="1"/>
    <col min="7190" max="7190" width="8.88671875" style="670"/>
    <col min="7191" max="7191" width="11.77734375" style="670" bestFit="1" customWidth="1"/>
    <col min="7192" max="7193" width="8.88671875" style="670"/>
    <col min="7194" max="7194" width="11.6640625" style="670" bestFit="1" customWidth="1"/>
    <col min="7195" max="7424" width="8.88671875" style="670"/>
    <col min="7425" max="7425" width="10" style="670" customWidth="1"/>
    <col min="7426" max="7426" width="13.77734375" style="670" customWidth="1"/>
    <col min="7427" max="7427" width="60.88671875" style="670" customWidth="1"/>
    <col min="7428" max="7428" width="16.6640625" style="670" customWidth="1"/>
    <col min="7429" max="7429" width="9.5546875" style="670" customWidth="1"/>
    <col min="7430" max="7430" width="17.44140625" style="670" customWidth="1"/>
    <col min="7431" max="7440" width="0" style="670" hidden="1" customWidth="1"/>
    <col min="7441" max="7441" width="19.44140625" style="670" bestFit="1" customWidth="1"/>
    <col min="7442" max="7442" width="21.109375" style="670" bestFit="1" customWidth="1"/>
    <col min="7443" max="7443" width="15.88671875" style="670" bestFit="1" customWidth="1"/>
    <col min="7444" max="7444" width="8.88671875" style="670"/>
    <col min="7445" max="7445" width="13.44140625" style="670" bestFit="1" customWidth="1"/>
    <col min="7446" max="7446" width="8.88671875" style="670"/>
    <col min="7447" max="7447" width="11.77734375" style="670" bestFit="1" customWidth="1"/>
    <col min="7448" max="7449" width="8.88671875" style="670"/>
    <col min="7450" max="7450" width="11.6640625" style="670" bestFit="1" customWidth="1"/>
    <col min="7451" max="7680" width="8.88671875" style="670"/>
    <col min="7681" max="7681" width="10" style="670" customWidth="1"/>
    <col min="7682" max="7682" width="13.77734375" style="670" customWidth="1"/>
    <col min="7683" max="7683" width="60.88671875" style="670" customWidth="1"/>
    <col min="7684" max="7684" width="16.6640625" style="670" customWidth="1"/>
    <col min="7685" max="7685" width="9.5546875" style="670" customWidth="1"/>
    <col min="7686" max="7686" width="17.44140625" style="670" customWidth="1"/>
    <col min="7687" max="7696" width="0" style="670" hidden="1" customWidth="1"/>
    <col min="7697" max="7697" width="19.44140625" style="670" bestFit="1" customWidth="1"/>
    <col min="7698" max="7698" width="21.109375" style="670" bestFit="1" customWidth="1"/>
    <col min="7699" max="7699" width="15.88671875" style="670" bestFit="1" customWidth="1"/>
    <col min="7700" max="7700" width="8.88671875" style="670"/>
    <col min="7701" max="7701" width="13.44140625" style="670" bestFit="1" customWidth="1"/>
    <col min="7702" max="7702" width="8.88671875" style="670"/>
    <col min="7703" max="7703" width="11.77734375" style="670" bestFit="1" customWidth="1"/>
    <col min="7704" max="7705" width="8.88671875" style="670"/>
    <col min="7706" max="7706" width="11.6640625" style="670" bestFit="1" customWidth="1"/>
    <col min="7707" max="7936" width="8.88671875" style="670"/>
    <col min="7937" max="7937" width="10" style="670" customWidth="1"/>
    <col min="7938" max="7938" width="13.77734375" style="670" customWidth="1"/>
    <col min="7939" max="7939" width="60.88671875" style="670" customWidth="1"/>
    <col min="7940" max="7940" width="16.6640625" style="670" customWidth="1"/>
    <col min="7941" max="7941" width="9.5546875" style="670" customWidth="1"/>
    <col min="7942" max="7942" width="17.44140625" style="670" customWidth="1"/>
    <col min="7943" max="7952" width="0" style="670" hidden="1" customWidth="1"/>
    <col min="7953" max="7953" width="19.44140625" style="670" bestFit="1" customWidth="1"/>
    <col min="7954" max="7954" width="21.109375" style="670" bestFit="1" customWidth="1"/>
    <col min="7955" max="7955" width="15.88671875" style="670" bestFit="1" customWidth="1"/>
    <col min="7956" max="7956" width="8.88671875" style="670"/>
    <col min="7957" max="7957" width="13.44140625" style="670" bestFit="1" customWidth="1"/>
    <col min="7958" max="7958" width="8.88671875" style="670"/>
    <col min="7959" max="7959" width="11.77734375" style="670" bestFit="1" customWidth="1"/>
    <col min="7960" max="7961" width="8.88671875" style="670"/>
    <col min="7962" max="7962" width="11.6640625" style="670" bestFit="1" customWidth="1"/>
    <col min="7963" max="8192" width="8.88671875" style="670"/>
    <col min="8193" max="8193" width="10" style="670" customWidth="1"/>
    <col min="8194" max="8194" width="13.77734375" style="670" customWidth="1"/>
    <col min="8195" max="8195" width="60.88671875" style="670" customWidth="1"/>
    <col min="8196" max="8196" width="16.6640625" style="670" customWidth="1"/>
    <col min="8197" max="8197" width="9.5546875" style="670" customWidth="1"/>
    <col min="8198" max="8198" width="17.44140625" style="670" customWidth="1"/>
    <col min="8199" max="8208" width="0" style="670" hidden="1" customWidth="1"/>
    <col min="8209" max="8209" width="19.44140625" style="670" bestFit="1" customWidth="1"/>
    <col min="8210" max="8210" width="21.109375" style="670" bestFit="1" customWidth="1"/>
    <col min="8211" max="8211" width="15.88671875" style="670" bestFit="1" customWidth="1"/>
    <col min="8212" max="8212" width="8.88671875" style="670"/>
    <col min="8213" max="8213" width="13.44140625" style="670" bestFit="1" customWidth="1"/>
    <col min="8214" max="8214" width="8.88671875" style="670"/>
    <col min="8215" max="8215" width="11.77734375" style="670" bestFit="1" customWidth="1"/>
    <col min="8216" max="8217" width="8.88671875" style="670"/>
    <col min="8218" max="8218" width="11.6640625" style="670" bestFit="1" customWidth="1"/>
    <col min="8219" max="8448" width="8.88671875" style="670"/>
    <col min="8449" max="8449" width="10" style="670" customWidth="1"/>
    <col min="8450" max="8450" width="13.77734375" style="670" customWidth="1"/>
    <col min="8451" max="8451" width="60.88671875" style="670" customWidth="1"/>
    <col min="8452" max="8452" width="16.6640625" style="670" customWidth="1"/>
    <col min="8453" max="8453" width="9.5546875" style="670" customWidth="1"/>
    <col min="8454" max="8454" width="17.44140625" style="670" customWidth="1"/>
    <col min="8455" max="8464" width="0" style="670" hidden="1" customWidth="1"/>
    <col min="8465" max="8465" width="19.44140625" style="670" bestFit="1" customWidth="1"/>
    <col min="8466" max="8466" width="21.109375" style="670" bestFit="1" customWidth="1"/>
    <col min="8467" max="8467" width="15.88671875" style="670" bestFit="1" customWidth="1"/>
    <col min="8468" max="8468" width="8.88671875" style="670"/>
    <col min="8469" max="8469" width="13.44140625" style="670" bestFit="1" customWidth="1"/>
    <col min="8470" max="8470" width="8.88671875" style="670"/>
    <col min="8471" max="8471" width="11.77734375" style="670" bestFit="1" customWidth="1"/>
    <col min="8472" max="8473" width="8.88671875" style="670"/>
    <col min="8474" max="8474" width="11.6640625" style="670" bestFit="1" customWidth="1"/>
    <col min="8475" max="8704" width="8.88671875" style="670"/>
    <col min="8705" max="8705" width="10" style="670" customWidth="1"/>
    <col min="8706" max="8706" width="13.77734375" style="670" customWidth="1"/>
    <col min="8707" max="8707" width="60.88671875" style="670" customWidth="1"/>
    <col min="8708" max="8708" width="16.6640625" style="670" customWidth="1"/>
    <col min="8709" max="8709" width="9.5546875" style="670" customWidth="1"/>
    <col min="8710" max="8710" width="17.44140625" style="670" customWidth="1"/>
    <col min="8711" max="8720" width="0" style="670" hidden="1" customWidth="1"/>
    <col min="8721" max="8721" width="19.44140625" style="670" bestFit="1" customWidth="1"/>
    <col min="8722" max="8722" width="21.109375" style="670" bestFit="1" customWidth="1"/>
    <col min="8723" max="8723" width="15.88671875" style="670" bestFit="1" customWidth="1"/>
    <col min="8724" max="8724" width="8.88671875" style="670"/>
    <col min="8725" max="8725" width="13.44140625" style="670" bestFit="1" customWidth="1"/>
    <col min="8726" max="8726" width="8.88671875" style="670"/>
    <col min="8727" max="8727" width="11.77734375" style="670" bestFit="1" customWidth="1"/>
    <col min="8728" max="8729" width="8.88671875" style="670"/>
    <col min="8730" max="8730" width="11.6640625" style="670" bestFit="1" customWidth="1"/>
    <col min="8731" max="8960" width="8.88671875" style="670"/>
    <col min="8961" max="8961" width="10" style="670" customWidth="1"/>
    <col min="8962" max="8962" width="13.77734375" style="670" customWidth="1"/>
    <col min="8963" max="8963" width="60.88671875" style="670" customWidth="1"/>
    <col min="8964" max="8964" width="16.6640625" style="670" customWidth="1"/>
    <col min="8965" max="8965" width="9.5546875" style="670" customWidth="1"/>
    <col min="8966" max="8966" width="17.44140625" style="670" customWidth="1"/>
    <col min="8967" max="8976" width="0" style="670" hidden="1" customWidth="1"/>
    <col min="8977" max="8977" width="19.44140625" style="670" bestFit="1" customWidth="1"/>
    <col min="8978" max="8978" width="21.109375" style="670" bestFit="1" customWidth="1"/>
    <col min="8979" max="8979" width="15.88671875" style="670" bestFit="1" customWidth="1"/>
    <col min="8980" max="8980" width="8.88671875" style="670"/>
    <col min="8981" max="8981" width="13.44140625" style="670" bestFit="1" customWidth="1"/>
    <col min="8982" max="8982" width="8.88671875" style="670"/>
    <col min="8983" max="8983" width="11.77734375" style="670" bestFit="1" customWidth="1"/>
    <col min="8984" max="8985" width="8.88671875" style="670"/>
    <col min="8986" max="8986" width="11.6640625" style="670" bestFit="1" customWidth="1"/>
    <col min="8987" max="9216" width="8.88671875" style="670"/>
    <col min="9217" max="9217" width="10" style="670" customWidth="1"/>
    <col min="9218" max="9218" width="13.77734375" style="670" customWidth="1"/>
    <col min="9219" max="9219" width="60.88671875" style="670" customWidth="1"/>
    <col min="9220" max="9220" width="16.6640625" style="670" customWidth="1"/>
    <col min="9221" max="9221" width="9.5546875" style="670" customWidth="1"/>
    <col min="9222" max="9222" width="17.44140625" style="670" customWidth="1"/>
    <col min="9223" max="9232" width="0" style="670" hidden="1" customWidth="1"/>
    <col min="9233" max="9233" width="19.44140625" style="670" bestFit="1" customWidth="1"/>
    <col min="9234" max="9234" width="21.109375" style="670" bestFit="1" customWidth="1"/>
    <col min="9235" max="9235" width="15.88671875" style="670" bestFit="1" customWidth="1"/>
    <col min="9236" max="9236" width="8.88671875" style="670"/>
    <col min="9237" max="9237" width="13.44140625" style="670" bestFit="1" customWidth="1"/>
    <col min="9238" max="9238" width="8.88671875" style="670"/>
    <col min="9239" max="9239" width="11.77734375" style="670" bestFit="1" customWidth="1"/>
    <col min="9240" max="9241" width="8.88671875" style="670"/>
    <col min="9242" max="9242" width="11.6640625" style="670" bestFit="1" customWidth="1"/>
    <col min="9243" max="9472" width="8.88671875" style="670"/>
    <col min="9473" max="9473" width="10" style="670" customWidth="1"/>
    <col min="9474" max="9474" width="13.77734375" style="670" customWidth="1"/>
    <col min="9475" max="9475" width="60.88671875" style="670" customWidth="1"/>
    <col min="9476" max="9476" width="16.6640625" style="670" customWidth="1"/>
    <col min="9477" max="9477" width="9.5546875" style="670" customWidth="1"/>
    <col min="9478" max="9478" width="17.44140625" style="670" customWidth="1"/>
    <col min="9479" max="9488" width="0" style="670" hidden="1" customWidth="1"/>
    <col min="9489" max="9489" width="19.44140625" style="670" bestFit="1" customWidth="1"/>
    <col min="9490" max="9490" width="21.109375" style="670" bestFit="1" customWidth="1"/>
    <col min="9491" max="9491" width="15.88671875" style="670" bestFit="1" customWidth="1"/>
    <col min="9492" max="9492" width="8.88671875" style="670"/>
    <col min="9493" max="9493" width="13.44140625" style="670" bestFit="1" customWidth="1"/>
    <col min="9494" max="9494" width="8.88671875" style="670"/>
    <col min="9495" max="9495" width="11.77734375" style="670" bestFit="1" customWidth="1"/>
    <col min="9496" max="9497" width="8.88671875" style="670"/>
    <col min="9498" max="9498" width="11.6640625" style="670" bestFit="1" customWidth="1"/>
    <col min="9499" max="9728" width="8.88671875" style="670"/>
    <col min="9729" max="9729" width="10" style="670" customWidth="1"/>
    <col min="9730" max="9730" width="13.77734375" style="670" customWidth="1"/>
    <col min="9731" max="9731" width="60.88671875" style="670" customWidth="1"/>
    <col min="9732" max="9732" width="16.6640625" style="670" customWidth="1"/>
    <col min="9733" max="9733" width="9.5546875" style="670" customWidth="1"/>
    <col min="9734" max="9734" width="17.44140625" style="670" customWidth="1"/>
    <col min="9735" max="9744" width="0" style="670" hidden="1" customWidth="1"/>
    <col min="9745" max="9745" width="19.44140625" style="670" bestFit="1" customWidth="1"/>
    <col min="9746" max="9746" width="21.109375" style="670" bestFit="1" customWidth="1"/>
    <col min="9747" max="9747" width="15.88671875" style="670" bestFit="1" customWidth="1"/>
    <col min="9748" max="9748" width="8.88671875" style="670"/>
    <col min="9749" max="9749" width="13.44140625" style="670" bestFit="1" customWidth="1"/>
    <col min="9750" max="9750" width="8.88671875" style="670"/>
    <col min="9751" max="9751" width="11.77734375" style="670" bestFit="1" customWidth="1"/>
    <col min="9752" max="9753" width="8.88671875" style="670"/>
    <col min="9754" max="9754" width="11.6640625" style="670" bestFit="1" customWidth="1"/>
    <col min="9755" max="9984" width="8.88671875" style="670"/>
    <col min="9985" max="9985" width="10" style="670" customWidth="1"/>
    <col min="9986" max="9986" width="13.77734375" style="670" customWidth="1"/>
    <col min="9987" max="9987" width="60.88671875" style="670" customWidth="1"/>
    <col min="9988" max="9988" width="16.6640625" style="670" customWidth="1"/>
    <col min="9989" max="9989" width="9.5546875" style="670" customWidth="1"/>
    <col min="9990" max="9990" width="17.44140625" style="670" customWidth="1"/>
    <col min="9991" max="10000" width="0" style="670" hidden="1" customWidth="1"/>
    <col min="10001" max="10001" width="19.44140625" style="670" bestFit="1" customWidth="1"/>
    <col min="10002" max="10002" width="21.109375" style="670" bestFit="1" customWidth="1"/>
    <col min="10003" max="10003" width="15.88671875" style="670" bestFit="1" customWidth="1"/>
    <col min="10004" max="10004" width="8.88671875" style="670"/>
    <col min="10005" max="10005" width="13.44140625" style="670" bestFit="1" customWidth="1"/>
    <col min="10006" max="10006" width="8.88671875" style="670"/>
    <col min="10007" max="10007" width="11.77734375" style="670" bestFit="1" customWidth="1"/>
    <col min="10008" max="10009" width="8.88671875" style="670"/>
    <col min="10010" max="10010" width="11.6640625" style="670" bestFit="1" customWidth="1"/>
    <col min="10011" max="10240" width="8.88671875" style="670"/>
    <col min="10241" max="10241" width="10" style="670" customWidth="1"/>
    <col min="10242" max="10242" width="13.77734375" style="670" customWidth="1"/>
    <col min="10243" max="10243" width="60.88671875" style="670" customWidth="1"/>
    <col min="10244" max="10244" width="16.6640625" style="670" customWidth="1"/>
    <col min="10245" max="10245" width="9.5546875" style="670" customWidth="1"/>
    <col min="10246" max="10246" width="17.44140625" style="670" customWidth="1"/>
    <col min="10247" max="10256" width="0" style="670" hidden="1" customWidth="1"/>
    <col min="10257" max="10257" width="19.44140625" style="670" bestFit="1" customWidth="1"/>
    <col min="10258" max="10258" width="21.109375" style="670" bestFit="1" customWidth="1"/>
    <col min="10259" max="10259" width="15.88671875" style="670" bestFit="1" customWidth="1"/>
    <col min="10260" max="10260" width="8.88671875" style="670"/>
    <col min="10261" max="10261" width="13.44140625" style="670" bestFit="1" customWidth="1"/>
    <col min="10262" max="10262" width="8.88671875" style="670"/>
    <col min="10263" max="10263" width="11.77734375" style="670" bestFit="1" customWidth="1"/>
    <col min="10264" max="10265" width="8.88671875" style="670"/>
    <col min="10266" max="10266" width="11.6640625" style="670" bestFit="1" customWidth="1"/>
    <col min="10267" max="10496" width="8.88671875" style="670"/>
    <col min="10497" max="10497" width="10" style="670" customWidth="1"/>
    <col min="10498" max="10498" width="13.77734375" style="670" customWidth="1"/>
    <col min="10499" max="10499" width="60.88671875" style="670" customWidth="1"/>
    <col min="10500" max="10500" width="16.6640625" style="670" customWidth="1"/>
    <col min="10501" max="10501" width="9.5546875" style="670" customWidth="1"/>
    <col min="10502" max="10502" width="17.44140625" style="670" customWidth="1"/>
    <col min="10503" max="10512" width="0" style="670" hidden="1" customWidth="1"/>
    <col min="10513" max="10513" width="19.44140625" style="670" bestFit="1" customWidth="1"/>
    <col min="10514" max="10514" width="21.109375" style="670" bestFit="1" customWidth="1"/>
    <col min="10515" max="10515" width="15.88671875" style="670" bestFit="1" customWidth="1"/>
    <col min="10516" max="10516" width="8.88671875" style="670"/>
    <col min="10517" max="10517" width="13.44140625" style="670" bestFit="1" customWidth="1"/>
    <col min="10518" max="10518" width="8.88671875" style="670"/>
    <col min="10519" max="10519" width="11.77734375" style="670" bestFit="1" customWidth="1"/>
    <col min="10520" max="10521" width="8.88671875" style="670"/>
    <col min="10522" max="10522" width="11.6640625" style="670" bestFit="1" customWidth="1"/>
    <col min="10523" max="10752" width="8.88671875" style="670"/>
    <col min="10753" max="10753" width="10" style="670" customWidth="1"/>
    <col min="10754" max="10754" width="13.77734375" style="670" customWidth="1"/>
    <col min="10755" max="10755" width="60.88671875" style="670" customWidth="1"/>
    <col min="10756" max="10756" width="16.6640625" style="670" customWidth="1"/>
    <col min="10757" max="10757" width="9.5546875" style="670" customWidth="1"/>
    <col min="10758" max="10758" width="17.44140625" style="670" customWidth="1"/>
    <col min="10759" max="10768" width="0" style="670" hidden="1" customWidth="1"/>
    <col min="10769" max="10769" width="19.44140625" style="670" bestFit="1" customWidth="1"/>
    <col min="10770" max="10770" width="21.109375" style="670" bestFit="1" customWidth="1"/>
    <col min="10771" max="10771" width="15.88671875" style="670" bestFit="1" customWidth="1"/>
    <col min="10772" max="10772" width="8.88671875" style="670"/>
    <col min="10773" max="10773" width="13.44140625" style="670" bestFit="1" customWidth="1"/>
    <col min="10774" max="10774" width="8.88671875" style="670"/>
    <col min="10775" max="10775" width="11.77734375" style="670" bestFit="1" customWidth="1"/>
    <col min="10776" max="10777" width="8.88671875" style="670"/>
    <col min="10778" max="10778" width="11.6640625" style="670" bestFit="1" customWidth="1"/>
    <col min="10779" max="11008" width="8.88671875" style="670"/>
    <col min="11009" max="11009" width="10" style="670" customWidth="1"/>
    <col min="11010" max="11010" width="13.77734375" style="670" customWidth="1"/>
    <col min="11011" max="11011" width="60.88671875" style="670" customWidth="1"/>
    <col min="11012" max="11012" width="16.6640625" style="670" customWidth="1"/>
    <col min="11013" max="11013" width="9.5546875" style="670" customWidth="1"/>
    <col min="11014" max="11014" width="17.44140625" style="670" customWidth="1"/>
    <col min="11015" max="11024" width="0" style="670" hidden="1" customWidth="1"/>
    <col min="11025" max="11025" width="19.44140625" style="670" bestFit="1" customWidth="1"/>
    <col min="11026" max="11026" width="21.109375" style="670" bestFit="1" customWidth="1"/>
    <col min="11027" max="11027" width="15.88671875" style="670" bestFit="1" customWidth="1"/>
    <col min="11028" max="11028" width="8.88671875" style="670"/>
    <col min="11029" max="11029" width="13.44140625" style="670" bestFit="1" customWidth="1"/>
    <col min="11030" max="11030" width="8.88671875" style="670"/>
    <col min="11031" max="11031" width="11.77734375" style="670" bestFit="1" customWidth="1"/>
    <col min="11032" max="11033" width="8.88671875" style="670"/>
    <col min="11034" max="11034" width="11.6640625" style="670" bestFit="1" customWidth="1"/>
    <col min="11035" max="11264" width="8.88671875" style="670"/>
    <col min="11265" max="11265" width="10" style="670" customWidth="1"/>
    <col min="11266" max="11266" width="13.77734375" style="670" customWidth="1"/>
    <col min="11267" max="11267" width="60.88671875" style="670" customWidth="1"/>
    <col min="11268" max="11268" width="16.6640625" style="670" customWidth="1"/>
    <col min="11269" max="11269" width="9.5546875" style="670" customWidth="1"/>
    <col min="11270" max="11270" width="17.44140625" style="670" customWidth="1"/>
    <col min="11271" max="11280" width="0" style="670" hidden="1" customWidth="1"/>
    <col min="11281" max="11281" width="19.44140625" style="670" bestFit="1" customWidth="1"/>
    <col min="11282" max="11282" width="21.109375" style="670" bestFit="1" customWidth="1"/>
    <col min="11283" max="11283" width="15.88671875" style="670" bestFit="1" customWidth="1"/>
    <col min="11284" max="11284" width="8.88671875" style="670"/>
    <col min="11285" max="11285" width="13.44140625" style="670" bestFit="1" customWidth="1"/>
    <col min="11286" max="11286" width="8.88671875" style="670"/>
    <col min="11287" max="11287" width="11.77734375" style="670" bestFit="1" customWidth="1"/>
    <col min="11288" max="11289" width="8.88671875" style="670"/>
    <col min="11290" max="11290" width="11.6640625" style="670" bestFit="1" customWidth="1"/>
    <col min="11291" max="11520" width="8.88671875" style="670"/>
    <col min="11521" max="11521" width="10" style="670" customWidth="1"/>
    <col min="11522" max="11522" width="13.77734375" style="670" customWidth="1"/>
    <col min="11523" max="11523" width="60.88671875" style="670" customWidth="1"/>
    <col min="11524" max="11524" width="16.6640625" style="670" customWidth="1"/>
    <col min="11525" max="11525" width="9.5546875" style="670" customWidth="1"/>
    <col min="11526" max="11526" width="17.44140625" style="670" customWidth="1"/>
    <col min="11527" max="11536" width="0" style="670" hidden="1" customWidth="1"/>
    <col min="11537" max="11537" width="19.44140625" style="670" bestFit="1" customWidth="1"/>
    <col min="11538" max="11538" width="21.109375" style="670" bestFit="1" customWidth="1"/>
    <col min="11539" max="11539" width="15.88671875" style="670" bestFit="1" customWidth="1"/>
    <col min="11540" max="11540" width="8.88671875" style="670"/>
    <col min="11541" max="11541" width="13.44140625" style="670" bestFit="1" customWidth="1"/>
    <col min="11542" max="11542" width="8.88671875" style="670"/>
    <col min="11543" max="11543" width="11.77734375" style="670" bestFit="1" customWidth="1"/>
    <col min="11544" max="11545" width="8.88671875" style="670"/>
    <col min="11546" max="11546" width="11.6640625" style="670" bestFit="1" customWidth="1"/>
    <col min="11547" max="11776" width="8.88671875" style="670"/>
    <col min="11777" max="11777" width="10" style="670" customWidth="1"/>
    <col min="11778" max="11778" width="13.77734375" style="670" customWidth="1"/>
    <col min="11779" max="11779" width="60.88671875" style="670" customWidth="1"/>
    <col min="11780" max="11780" width="16.6640625" style="670" customWidth="1"/>
    <col min="11781" max="11781" width="9.5546875" style="670" customWidth="1"/>
    <col min="11782" max="11782" width="17.44140625" style="670" customWidth="1"/>
    <col min="11783" max="11792" width="0" style="670" hidden="1" customWidth="1"/>
    <col min="11793" max="11793" width="19.44140625" style="670" bestFit="1" customWidth="1"/>
    <col min="11794" max="11794" width="21.109375" style="670" bestFit="1" customWidth="1"/>
    <col min="11795" max="11795" width="15.88671875" style="670" bestFit="1" customWidth="1"/>
    <col min="11796" max="11796" width="8.88671875" style="670"/>
    <col min="11797" max="11797" width="13.44140625" style="670" bestFit="1" customWidth="1"/>
    <col min="11798" max="11798" width="8.88671875" style="670"/>
    <col min="11799" max="11799" width="11.77734375" style="670" bestFit="1" customWidth="1"/>
    <col min="11800" max="11801" width="8.88671875" style="670"/>
    <col min="11802" max="11802" width="11.6640625" style="670" bestFit="1" customWidth="1"/>
    <col min="11803" max="12032" width="8.88671875" style="670"/>
    <col min="12033" max="12033" width="10" style="670" customWidth="1"/>
    <col min="12034" max="12034" width="13.77734375" style="670" customWidth="1"/>
    <col min="12035" max="12035" width="60.88671875" style="670" customWidth="1"/>
    <col min="12036" max="12036" width="16.6640625" style="670" customWidth="1"/>
    <col min="12037" max="12037" width="9.5546875" style="670" customWidth="1"/>
    <col min="12038" max="12038" width="17.44140625" style="670" customWidth="1"/>
    <col min="12039" max="12048" width="0" style="670" hidden="1" customWidth="1"/>
    <col min="12049" max="12049" width="19.44140625" style="670" bestFit="1" customWidth="1"/>
    <col min="12050" max="12050" width="21.109375" style="670" bestFit="1" customWidth="1"/>
    <col min="12051" max="12051" width="15.88671875" style="670" bestFit="1" customWidth="1"/>
    <col min="12052" max="12052" width="8.88671875" style="670"/>
    <col min="12053" max="12053" width="13.44140625" style="670" bestFit="1" customWidth="1"/>
    <col min="12054" max="12054" width="8.88671875" style="670"/>
    <col min="12055" max="12055" width="11.77734375" style="670" bestFit="1" customWidth="1"/>
    <col min="12056" max="12057" width="8.88671875" style="670"/>
    <col min="12058" max="12058" width="11.6640625" style="670" bestFit="1" customWidth="1"/>
    <col min="12059" max="12288" width="8.88671875" style="670"/>
    <col min="12289" max="12289" width="10" style="670" customWidth="1"/>
    <col min="12290" max="12290" width="13.77734375" style="670" customWidth="1"/>
    <col min="12291" max="12291" width="60.88671875" style="670" customWidth="1"/>
    <col min="12292" max="12292" width="16.6640625" style="670" customWidth="1"/>
    <col min="12293" max="12293" width="9.5546875" style="670" customWidth="1"/>
    <col min="12294" max="12294" width="17.44140625" style="670" customWidth="1"/>
    <col min="12295" max="12304" width="0" style="670" hidden="1" customWidth="1"/>
    <col min="12305" max="12305" width="19.44140625" style="670" bestFit="1" customWidth="1"/>
    <col min="12306" max="12306" width="21.109375" style="670" bestFit="1" customWidth="1"/>
    <col min="12307" max="12307" width="15.88671875" style="670" bestFit="1" customWidth="1"/>
    <col min="12308" max="12308" width="8.88671875" style="670"/>
    <col min="12309" max="12309" width="13.44140625" style="670" bestFit="1" customWidth="1"/>
    <col min="12310" max="12310" width="8.88671875" style="670"/>
    <col min="12311" max="12311" width="11.77734375" style="670" bestFit="1" customWidth="1"/>
    <col min="12312" max="12313" width="8.88671875" style="670"/>
    <col min="12314" max="12314" width="11.6640625" style="670" bestFit="1" customWidth="1"/>
    <col min="12315" max="12544" width="8.88671875" style="670"/>
    <col min="12545" max="12545" width="10" style="670" customWidth="1"/>
    <col min="12546" max="12546" width="13.77734375" style="670" customWidth="1"/>
    <col min="12547" max="12547" width="60.88671875" style="670" customWidth="1"/>
    <col min="12548" max="12548" width="16.6640625" style="670" customWidth="1"/>
    <col min="12549" max="12549" width="9.5546875" style="670" customWidth="1"/>
    <col min="12550" max="12550" width="17.44140625" style="670" customWidth="1"/>
    <col min="12551" max="12560" width="0" style="670" hidden="1" customWidth="1"/>
    <col min="12561" max="12561" width="19.44140625" style="670" bestFit="1" customWidth="1"/>
    <col min="12562" max="12562" width="21.109375" style="670" bestFit="1" customWidth="1"/>
    <col min="12563" max="12563" width="15.88671875" style="670" bestFit="1" customWidth="1"/>
    <col min="12564" max="12564" width="8.88671875" style="670"/>
    <col min="12565" max="12565" width="13.44140625" style="670" bestFit="1" customWidth="1"/>
    <col min="12566" max="12566" width="8.88671875" style="670"/>
    <col min="12567" max="12567" width="11.77734375" style="670" bestFit="1" customWidth="1"/>
    <col min="12568" max="12569" width="8.88671875" style="670"/>
    <col min="12570" max="12570" width="11.6640625" style="670" bestFit="1" customWidth="1"/>
    <col min="12571" max="12800" width="8.88671875" style="670"/>
    <col min="12801" max="12801" width="10" style="670" customWidth="1"/>
    <col min="12802" max="12802" width="13.77734375" style="670" customWidth="1"/>
    <col min="12803" max="12803" width="60.88671875" style="670" customWidth="1"/>
    <col min="12804" max="12804" width="16.6640625" style="670" customWidth="1"/>
    <col min="12805" max="12805" width="9.5546875" style="670" customWidth="1"/>
    <col min="12806" max="12806" width="17.44140625" style="670" customWidth="1"/>
    <col min="12807" max="12816" width="0" style="670" hidden="1" customWidth="1"/>
    <col min="12817" max="12817" width="19.44140625" style="670" bestFit="1" customWidth="1"/>
    <col min="12818" max="12818" width="21.109375" style="670" bestFit="1" customWidth="1"/>
    <col min="12819" max="12819" width="15.88671875" style="670" bestFit="1" customWidth="1"/>
    <col min="12820" max="12820" width="8.88671875" style="670"/>
    <col min="12821" max="12821" width="13.44140625" style="670" bestFit="1" customWidth="1"/>
    <col min="12822" max="12822" width="8.88671875" style="670"/>
    <col min="12823" max="12823" width="11.77734375" style="670" bestFit="1" customWidth="1"/>
    <col min="12824" max="12825" width="8.88671875" style="670"/>
    <col min="12826" max="12826" width="11.6640625" style="670" bestFit="1" customWidth="1"/>
    <col min="12827" max="13056" width="8.88671875" style="670"/>
    <col min="13057" max="13057" width="10" style="670" customWidth="1"/>
    <col min="13058" max="13058" width="13.77734375" style="670" customWidth="1"/>
    <col min="13059" max="13059" width="60.88671875" style="670" customWidth="1"/>
    <col min="13060" max="13060" width="16.6640625" style="670" customWidth="1"/>
    <col min="13061" max="13061" width="9.5546875" style="670" customWidth="1"/>
    <col min="13062" max="13062" width="17.44140625" style="670" customWidth="1"/>
    <col min="13063" max="13072" width="0" style="670" hidden="1" customWidth="1"/>
    <col min="13073" max="13073" width="19.44140625" style="670" bestFit="1" customWidth="1"/>
    <col min="13074" max="13074" width="21.109375" style="670" bestFit="1" customWidth="1"/>
    <col min="13075" max="13075" width="15.88671875" style="670" bestFit="1" customWidth="1"/>
    <col min="13076" max="13076" width="8.88671875" style="670"/>
    <col min="13077" max="13077" width="13.44140625" style="670" bestFit="1" customWidth="1"/>
    <col min="13078" max="13078" width="8.88671875" style="670"/>
    <col min="13079" max="13079" width="11.77734375" style="670" bestFit="1" customWidth="1"/>
    <col min="13080" max="13081" width="8.88671875" style="670"/>
    <col min="13082" max="13082" width="11.6640625" style="670" bestFit="1" customWidth="1"/>
    <col min="13083" max="13312" width="8.88671875" style="670"/>
    <col min="13313" max="13313" width="10" style="670" customWidth="1"/>
    <col min="13314" max="13314" width="13.77734375" style="670" customWidth="1"/>
    <col min="13315" max="13315" width="60.88671875" style="670" customWidth="1"/>
    <col min="13316" max="13316" width="16.6640625" style="670" customWidth="1"/>
    <col min="13317" max="13317" width="9.5546875" style="670" customWidth="1"/>
    <col min="13318" max="13318" width="17.44140625" style="670" customWidth="1"/>
    <col min="13319" max="13328" width="0" style="670" hidden="1" customWidth="1"/>
    <col min="13329" max="13329" width="19.44140625" style="670" bestFit="1" customWidth="1"/>
    <col min="13330" max="13330" width="21.109375" style="670" bestFit="1" customWidth="1"/>
    <col min="13331" max="13331" width="15.88671875" style="670" bestFit="1" customWidth="1"/>
    <col min="13332" max="13332" width="8.88671875" style="670"/>
    <col min="13333" max="13333" width="13.44140625" style="670" bestFit="1" customWidth="1"/>
    <col min="13334" max="13334" width="8.88671875" style="670"/>
    <col min="13335" max="13335" width="11.77734375" style="670" bestFit="1" customWidth="1"/>
    <col min="13336" max="13337" width="8.88671875" style="670"/>
    <col min="13338" max="13338" width="11.6640625" style="670" bestFit="1" customWidth="1"/>
    <col min="13339" max="13568" width="8.88671875" style="670"/>
    <col min="13569" max="13569" width="10" style="670" customWidth="1"/>
    <col min="13570" max="13570" width="13.77734375" style="670" customWidth="1"/>
    <col min="13571" max="13571" width="60.88671875" style="670" customWidth="1"/>
    <col min="13572" max="13572" width="16.6640625" style="670" customWidth="1"/>
    <col min="13573" max="13573" width="9.5546875" style="670" customWidth="1"/>
    <col min="13574" max="13574" width="17.44140625" style="670" customWidth="1"/>
    <col min="13575" max="13584" width="0" style="670" hidden="1" customWidth="1"/>
    <col min="13585" max="13585" width="19.44140625" style="670" bestFit="1" customWidth="1"/>
    <col min="13586" max="13586" width="21.109375" style="670" bestFit="1" customWidth="1"/>
    <col min="13587" max="13587" width="15.88671875" style="670" bestFit="1" customWidth="1"/>
    <col min="13588" max="13588" width="8.88671875" style="670"/>
    <col min="13589" max="13589" width="13.44140625" style="670" bestFit="1" customWidth="1"/>
    <col min="13590" max="13590" width="8.88671875" style="670"/>
    <col min="13591" max="13591" width="11.77734375" style="670" bestFit="1" customWidth="1"/>
    <col min="13592" max="13593" width="8.88671875" style="670"/>
    <col min="13594" max="13594" width="11.6640625" style="670" bestFit="1" customWidth="1"/>
    <col min="13595" max="13824" width="8.88671875" style="670"/>
    <col min="13825" max="13825" width="10" style="670" customWidth="1"/>
    <col min="13826" max="13826" width="13.77734375" style="670" customWidth="1"/>
    <col min="13827" max="13827" width="60.88671875" style="670" customWidth="1"/>
    <col min="13828" max="13828" width="16.6640625" style="670" customWidth="1"/>
    <col min="13829" max="13829" width="9.5546875" style="670" customWidth="1"/>
    <col min="13830" max="13830" width="17.44140625" style="670" customWidth="1"/>
    <col min="13831" max="13840" width="0" style="670" hidden="1" customWidth="1"/>
    <col min="13841" max="13841" width="19.44140625" style="670" bestFit="1" customWidth="1"/>
    <col min="13842" max="13842" width="21.109375" style="670" bestFit="1" customWidth="1"/>
    <col min="13843" max="13843" width="15.88671875" style="670" bestFit="1" customWidth="1"/>
    <col min="13844" max="13844" width="8.88671875" style="670"/>
    <col min="13845" max="13845" width="13.44140625" style="670" bestFit="1" customWidth="1"/>
    <col min="13846" max="13846" width="8.88671875" style="670"/>
    <col min="13847" max="13847" width="11.77734375" style="670" bestFit="1" customWidth="1"/>
    <col min="13848" max="13849" width="8.88671875" style="670"/>
    <col min="13850" max="13850" width="11.6640625" style="670" bestFit="1" customWidth="1"/>
    <col min="13851" max="14080" width="8.88671875" style="670"/>
    <col min="14081" max="14081" width="10" style="670" customWidth="1"/>
    <col min="14082" max="14082" width="13.77734375" style="670" customWidth="1"/>
    <col min="14083" max="14083" width="60.88671875" style="670" customWidth="1"/>
    <col min="14084" max="14084" width="16.6640625" style="670" customWidth="1"/>
    <col min="14085" max="14085" width="9.5546875" style="670" customWidth="1"/>
    <col min="14086" max="14086" width="17.44140625" style="670" customWidth="1"/>
    <col min="14087" max="14096" width="0" style="670" hidden="1" customWidth="1"/>
    <col min="14097" max="14097" width="19.44140625" style="670" bestFit="1" customWidth="1"/>
    <col min="14098" max="14098" width="21.109375" style="670" bestFit="1" customWidth="1"/>
    <col min="14099" max="14099" width="15.88671875" style="670" bestFit="1" customWidth="1"/>
    <col min="14100" max="14100" width="8.88671875" style="670"/>
    <col min="14101" max="14101" width="13.44140625" style="670" bestFit="1" customWidth="1"/>
    <col min="14102" max="14102" width="8.88671875" style="670"/>
    <col min="14103" max="14103" width="11.77734375" style="670" bestFit="1" customWidth="1"/>
    <col min="14104" max="14105" width="8.88671875" style="670"/>
    <col min="14106" max="14106" width="11.6640625" style="670" bestFit="1" customWidth="1"/>
    <col min="14107" max="14336" width="8.88671875" style="670"/>
    <col min="14337" max="14337" width="10" style="670" customWidth="1"/>
    <col min="14338" max="14338" width="13.77734375" style="670" customWidth="1"/>
    <col min="14339" max="14339" width="60.88671875" style="670" customWidth="1"/>
    <col min="14340" max="14340" width="16.6640625" style="670" customWidth="1"/>
    <col min="14341" max="14341" width="9.5546875" style="670" customWidth="1"/>
    <col min="14342" max="14342" width="17.44140625" style="670" customWidth="1"/>
    <col min="14343" max="14352" width="0" style="670" hidden="1" customWidth="1"/>
    <col min="14353" max="14353" width="19.44140625" style="670" bestFit="1" customWidth="1"/>
    <col min="14354" max="14354" width="21.109375" style="670" bestFit="1" customWidth="1"/>
    <col min="14355" max="14355" width="15.88671875" style="670" bestFit="1" customWidth="1"/>
    <col min="14356" max="14356" width="8.88671875" style="670"/>
    <col min="14357" max="14357" width="13.44140625" style="670" bestFit="1" customWidth="1"/>
    <col min="14358" max="14358" width="8.88671875" style="670"/>
    <col min="14359" max="14359" width="11.77734375" style="670" bestFit="1" customWidth="1"/>
    <col min="14360" max="14361" width="8.88671875" style="670"/>
    <col min="14362" max="14362" width="11.6640625" style="670" bestFit="1" customWidth="1"/>
    <col min="14363" max="14592" width="8.88671875" style="670"/>
    <col min="14593" max="14593" width="10" style="670" customWidth="1"/>
    <col min="14594" max="14594" width="13.77734375" style="670" customWidth="1"/>
    <col min="14595" max="14595" width="60.88671875" style="670" customWidth="1"/>
    <col min="14596" max="14596" width="16.6640625" style="670" customWidth="1"/>
    <col min="14597" max="14597" width="9.5546875" style="670" customWidth="1"/>
    <col min="14598" max="14598" width="17.44140625" style="670" customWidth="1"/>
    <col min="14599" max="14608" width="0" style="670" hidden="1" customWidth="1"/>
    <col min="14609" max="14609" width="19.44140625" style="670" bestFit="1" customWidth="1"/>
    <col min="14610" max="14610" width="21.109375" style="670" bestFit="1" customWidth="1"/>
    <col min="14611" max="14611" width="15.88671875" style="670" bestFit="1" customWidth="1"/>
    <col min="14612" max="14612" width="8.88671875" style="670"/>
    <col min="14613" max="14613" width="13.44140625" style="670" bestFit="1" customWidth="1"/>
    <col min="14614" max="14614" width="8.88671875" style="670"/>
    <col min="14615" max="14615" width="11.77734375" style="670" bestFit="1" customWidth="1"/>
    <col min="14616" max="14617" width="8.88671875" style="670"/>
    <col min="14618" max="14618" width="11.6640625" style="670" bestFit="1" customWidth="1"/>
    <col min="14619" max="14848" width="8.88671875" style="670"/>
    <col min="14849" max="14849" width="10" style="670" customWidth="1"/>
    <col min="14850" max="14850" width="13.77734375" style="670" customWidth="1"/>
    <col min="14851" max="14851" width="60.88671875" style="670" customWidth="1"/>
    <col min="14852" max="14852" width="16.6640625" style="670" customWidth="1"/>
    <col min="14853" max="14853" width="9.5546875" style="670" customWidth="1"/>
    <col min="14854" max="14854" width="17.44140625" style="670" customWidth="1"/>
    <col min="14855" max="14864" width="0" style="670" hidden="1" customWidth="1"/>
    <col min="14865" max="14865" width="19.44140625" style="670" bestFit="1" customWidth="1"/>
    <col min="14866" max="14866" width="21.109375" style="670" bestFit="1" customWidth="1"/>
    <col min="14867" max="14867" width="15.88671875" style="670" bestFit="1" customWidth="1"/>
    <col min="14868" max="14868" width="8.88671875" style="670"/>
    <col min="14869" max="14869" width="13.44140625" style="670" bestFit="1" customWidth="1"/>
    <col min="14870" max="14870" width="8.88671875" style="670"/>
    <col min="14871" max="14871" width="11.77734375" style="670" bestFit="1" customWidth="1"/>
    <col min="14872" max="14873" width="8.88671875" style="670"/>
    <col min="14874" max="14874" width="11.6640625" style="670" bestFit="1" customWidth="1"/>
    <col min="14875" max="15104" width="8.88671875" style="670"/>
    <col min="15105" max="15105" width="10" style="670" customWidth="1"/>
    <col min="15106" max="15106" width="13.77734375" style="670" customWidth="1"/>
    <col min="15107" max="15107" width="60.88671875" style="670" customWidth="1"/>
    <col min="15108" max="15108" width="16.6640625" style="670" customWidth="1"/>
    <col min="15109" max="15109" width="9.5546875" style="670" customWidth="1"/>
    <col min="15110" max="15110" width="17.44140625" style="670" customWidth="1"/>
    <col min="15111" max="15120" width="0" style="670" hidden="1" customWidth="1"/>
    <col min="15121" max="15121" width="19.44140625" style="670" bestFit="1" customWidth="1"/>
    <col min="15122" max="15122" width="21.109375" style="670" bestFit="1" customWidth="1"/>
    <col min="15123" max="15123" width="15.88671875" style="670" bestFit="1" customWidth="1"/>
    <col min="15124" max="15124" width="8.88671875" style="670"/>
    <col min="15125" max="15125" width="13.44140625" style="670" bestFit="1" customWidth="1"/>
    <col min="15126" max="15126" width="8.88671875" style="670"/>
    <col min="15127" max="15127" width="11.77734375" style="670" bestFit="1" customWidth="1"/>
    <col min="15128" max="15129" width="8.88671875" style="670"/>
    <col min="15130" max="15130" width="11.6640625" style="670" bestFit="1" customWidth="1"/>
    <col min="15131" max="15360" width="8.88671875" style="670"/>
    <col min="15361" max="15361" width="10" style="670" customWidth="1"/>
    <col min="15362" max="15362" width="13.77734375" style="670" customWidth="1"/>
    <col min="15363" max="15363" width="60.88671875" style="670" customWidth="1"/>
    <col min="15364" max="15364" width="16.6640625" style="670" customWidth="1"/>
    <col min="15365" max="15365" width="9.5546875" style="670" customWidth="1"/>
    <col min="15366" max="15366" width="17.44140625" style="670" customWidth="1"/>
    <col min="15367" max="15376" width="0" style="670" hidden="1" customWidth="1"/>
    <col min="15377" max="15377" width="19.44140625" style="670" bestFit="1" customWidth="1"/>
    <col min="15378" max="15378" width="21.109375" style="670" bestFit="1" customWidth="1"/>
    <col min="15379" max="15379" width="15.88671875" style="670" bestFit="1" customWidth="1"/>
    <col min="15380" max="15380" width="8.88671875" style="670"/>
    <col min="15381" max="15381" width="13.44140625" style="670" bestFit="1" customWidth="1"/>
    <col min="15382" max="15382" width="8.88671875" style="670"/>
    <col min="15383" max="15383" width="11.77734375" style="670" bestFit="1" customWidth="1"/>
    <col min="15384" max="15385" width="8.88671875" style="670"/>
    <col min="15386" max="15386" width="11.6640625" style="670" bestFit="1" customWidth="1"/>
    <col min="15387" max="15616" width="8.88671875" style="670"/>
    <col min="15617" max="15617" width="10" style="670" customWidth="1"/>
    <col min="15618" max="15618" width="13.77734375" style="670" customWidth="1"/>
    <col min="15619" max="15619" width="60.88671875" style="670" customWidth="1"/>
    <col min="15620" max="15620" width="16.6640625" style="670" customWidth="1"/>
    <col min="15621" max="15621" width="9.5546875" style="670" customWidth="1"/>
    <col min="15622" max="15622" width="17.44140625" style="670" customWidth="1"/>
    <col min="15623" max="15632" width="0" style="670" hidden="1" customWidth="1"/>
    <col min="15633" max="15633" width="19.44140625" style="670" bestFit="1" customWidth="1"/>
    <col min="15634" max="15634" width="21.109375" style="670" bestFit="1" customWidth="1"/>
    <col min="15635" max="15635" width="15.88671875" style="670" bestFit="1" customWidth="1"/>
    <col min="15636" max="15636" width="8.88671875" style="670"/>
    <col min="15637" max="15637" width="13.44140625" style="670" bestFit="1" customWidth="1"/>
    <col min="15638" max="15638" width="8.88671875" style="670"/>
    <col min="15639" max="15639" width="11.77734375" style="670" bestFit="1" customWidth="1"/>
    <col min="15640" max="15641" width="8.88671875" style="670"/>
    <col min="15642" max="15642" width="11.6640625" style="670" bestFit="1" customWidth="1"/>
    <col min="15643" max="15872" width="8.88671875" style="670"/>
    <col min="15873" max="15873" width="10" style="670" customWidth="1"/>
    <col min="15874" max="15874" width="13.77734375" style="670" customWidth="1"/>
    <col min="15875" max="15875" width="60.88671875" style="670" customWidth="1"/>
    <col min="15876" max="15876" width="16.6640625" style="670" customWidth="1"/>
    <col min="15877" max="15877" width="9.5546875" style="670" customWidth="1"/>
    <col min="15878" max="15878" width="17.44140625" style="670" customWidth="1"/>
    <col min="15879" max="15888" width="0" style="670" hidden="1" customWidth="1"/>
    <col min="15889" max="15889" width="19.44140625" style="670" bestFit="1" customWidth="1"/>
    <col min="15890" max="15890" width="21.109375" style="670" bestFit="1" customWidth="1"/>
    <col min="15891" max="15891" width="15.88671875" style="670" bestFit="1" customWidth="1"/>
    <col min="15892" max="15892" width="8.88671875" style="670"/>
    <col min="15893" max="15893" width="13.44140625" style="670" bestFit="1" customWidth="1"/>
    <col min="15894" max="15894" width="8.88671875" style="670"/>
    <col min="15895" max="15895" width="11.77734375" style="670" bestFit="1" customWidth="1"/>
    <col min="15896" max="15897" width="8.88671875" style="670"/>
    <col min="15898" max="15898" width="11.6640625" style="670" bestFit="1" customWidth="1"/>
    <col min="15899" max="16128" width="8.88671875" style="670"/>
    <col min="16129" max="16129" width="10" style="670" customWidth="1"/>
    <col min="16130" max="16130" width="13.77734375" style="670" customWidth="1"/>
    <col min="16131" max="16131" width="60.88671875" style="670" customWidth="1"/>
    <col min="16132" max="16132" width="16.6640625" style="670" customWidth="1"/>
    <col min="16133" max="16133" width="9.5546875" style="670" customWidth="1"/>
    <col min="16134" max="16134" width="17.44140625" style="670" customWidth="1"/>
    <col min="16135" max="16144" width="0" style="670" hidden="1" customWidth="1"/>
    <col min="16145" max="16145" width="19.44140625" style="670" bestFit="1" customWidth="1"/>
    <col min="16146" max="16146" width="21.109375" style="670" bestFit="1" customWidth="1"/>
    <col min="16147" max="16147" width="15.88671875" style="670" bestFit="1" customWidth="1"/>
    <col min="16148" max="16148" width="8.88671875" style="670"/>
    <col min="16149" max="16149" width="13.44140625" style="670" bestFit="1" customWidth="1"/>
    <col min="16150" max="16150" width="8.88671875" style="670"/>
    <col min="16151" max="16151" width="11.77734375" style="670" bestFit="1" customWidth="1"/>
    <col min="16152" max="16153" width="8.88671875" style="670"/>
    <col min="16154" max="16154" width="11.6640625" style="670" bestFit="1" customWidth="1"/>
    <col min="16155" max="16384" width="8.88671875" style="670"/>
  </cols>
  <sheetData>
    <row r="1" spans="1:18" s="651" customFormat="1" ht="72.75" customHeight="1">
      <c r="A1" s="1484" t="str">
        <f>Detailed!A4</f>
        <v>CONSTRUCTION OF RURAL POLICE STATION BUILDING WITH DEVELOPMENT WORK AT REGUNATHAPURAM IN PUDUKKOTTAI DISRICT.</v>
      </c>
      <c r="B1" s="1485"/>
      <c r="C1" s="1485"/>
      <c r="D1" s="1485"/>
      <c r="E1" s="1485"/>
      <c r="F1" s="1485"/>
      <c r="G1" s="807"/>
      <c r="H1" s="807"/>
      <c r="I1" s="807"/>
      <c r="J1" s="807"/>
      <c r="K1" s="807"/>
      <c r="L1" s="807"/>
      <c r="M1" s="807"/>
      <c r="N1" s="807"/>
      <c r="O1" s="648"/>
      <c r="P1" s="649"/>
      <c r="Q1" s="650"/>
      <c r="R1" s="650"/>
    </row>
    <row r="2" spans="1:18" s="651" customFormat="1" ht="72.75" customHeight="1">
      <c r="A2" s="980"/>
      <c r="B2" s="980"/>
      <c r="C2" s="980" t="s">
        <v>2751</v>
      </c>
      <c r="D2" s="980"/>
      <c r="E2" s="980"/>
      <c r="F2" s="980"/>
      <c r="G2" s="858"/>
      <c r="H2" s="858"/>
      <c r="I2" s="858"/>
      <c r="J2" s="858"/>
      <c r="K2" s="858"/>
      <c r="L2" s="858"/>
      <c r="M2" s="858"/>
      <c r="N2" s="858"/>
      <c r="O2" s="648"/>
      <c r="P2" s="649"/>
      <c r="Q2" s="650"/>
      <c r="R2" s="650"/>
    </row>
    <row r="3" spans="1:18" s="653" customFormat="1" ht="75" customHeight="1">
      <c r="A3" s="1486" t="s">
        <v>544</v>
      </c>
      <c r="B3" s="1486" t="s">
        <v>8</v>
      </c>
      <c r="C3" s="1486" t="s">
        <v>1231</v>
      </c>
      <c r="D3" s="1486" t="s">
        <v>1339</v>
      </c>
      <c r="E3" s="1486" t="s">
        <v>215</v>
      </c>
      <c r="F3" s="1486" t="s">
        <v>1340</v>
      </c>
      <c r="G3" s="1453" t="s">
        <v>2752</v>
      </c>
      <c r="H3" s="1452"/>
      <c r="I3" s="1451" t="s">
        <v>424</v>
      </c>
      <c r="J3" s="1453"/>
      <c r="K3" s="1451" t="s">
        <v>1360</v>
      </c>
      <c r="L3" s="1452"/>
      <c r="M3" s="1454" t="s">
        <v>1361</v>
      </c>
      <c r="N3" s="1452"/>
      <c r="O3" s="1448" t="s">
        <v>1361</v>
      </c>
      <c r="P3" s="1448"/>
      <c r="Q3" s="652"/>
      <c r="R3" s="652"/>
    </row>
    <row r="4" spans="1:18" s="653" customFormat="1" ht="57.75" customHeight="1">
      <c r="A4" s="1486"/>
      <c r="B4" s="1486"/>
      <c r="C4" s="1486"/>
      <c r="D4" s="1486"/>
      <c r="E4" s="1486"/>
      <c r="F4" s="1486"/>
      <c r="G4" s="981" t="s">
        <v>214</v>
      </c>
      <c r="H4" s="859" t="s">
        <v>1340</v>
      </c>
      <c r="I4" s="654" t="s">
        <v>214</v>
      </c>
      <c r="J4" s="859" t="s">
        <v>1340</v>
      </c>
      <c r="K4" s="654" t="s">
        <v>8</v>
      </c>
      <c r="L4" s="859" t="s">
        <v>1340</v>
      </c>
      <c r="M4" s="654" t="s">
        <v>8</v>
      </c>
      <c r="N4" s="859" t="s">
        <v>1340</v>
      </c>
      <c r="O4" s="859" t="s">
        <v>8</v>
      </c>
      <c r="P4" s="859" t="s">
        <v>1340</v>
      </c>
      <c r="Q4" s="652"/>
      <c r="R4" s="652"/>
    </row>
    <row r="5" spans="1:18" s="653" customFormat="1" ht="26.25">
      <c r="A5" s="982"/>
      <c r="B5" s="982"/>
      <c r="C5" s="983"/>
      <c r="D5" s="982"/>
      <c r="E5" s="983"/>
      <c r="F5" s="983"/>
      <c r="G5" s="984"/>
      <c r="H5" s="657"/>
      <c r="I5" s="657"/>
      <c r="J5" s="657"/>
      <c r="K5" s="657"/>
      <c r="L5" s="657"/>
      <c r="M5" s="659"/>
      <c r="N5" s="660"/>
      <c r="O5" s="860"/>
      <c r="P5" s="860"/>
      <c r="Q5" s="652"/>
      <c r="R5" s="652"/>
    </row>
    <row r="6" spans="1:18" ht="50.25" customHeight="1">
      <c r="A6" s="985">
        <v>1.1000000000000001</v>
      </c>
      <c r="B6" s="986" t="str">
        <f>M6</f>
        <v>*</v>
      </c>
      <c r="C6" s="987" t="s">
        <v>1362</v>
      </c>
      <c r="D6" s="988"/>
      <c r="E6" s="987" t="s">
        <v>220</v>
      </c>
      <c r="F6" s="987"/>
      <c r="G6" s="989"/>
      <c r="H6" s="666"/>
      <c r="I6" s="666"/>
      <c r="J6" s="666"/>
      <c r="K6" s="666"/>
      <c r="L6" s="666"/>
      <c r="M6" s="665" t="s">
        <v>1363</v>
      </c>
      <c r="N6" s="666"/>
      <c r="O6" s="668" t="s">
        <v>1363</v>
      </c>
      <c r="P6" s="668"/>
    </row>
    <row r="7" spans="1:18" ht="48.75" customHeight="1">
      <c r="A7" s="985"/>
      <c r="B7" s="986">
        <f t="shared" ref="B7:B70" si="0">M7</f>
        <v>116.69999999999999</v>
      </c>
      <c r="C7" s="987" t="s">
        <v>63</v>
      </c>
      <c r="D7" s="990">
        <f>ROUND(Data!K88,2)</f>
        <v>204.4</v>
      </c>
      <c r="E7" s="987" t="s">
        <v>235</v>
      </c>
      <c r="F7" s="987">
        <f>B7*D7</f>
        <v>23853.48</v>
      </c>
      <c r="G7" s="989">
        <f>Detailed!H27</f>
        <v>116.69999999999999</v>
      </c>
      <c r="H7" s="666">
        <f>G7*D7</f>
        <v>23853.48</v>
      </c>
      <c r="I7" s="666"/>
      <c r="J7" s="666"/>
      <c r="K7" s="666">
        <f>I7</f>
        <v>0</v>
      </c>
      <c r="L7" s="666"/>
      <c r="M7" s="665">
        <f>G7</f>
        <v>116.69999999999999</v>
      </c>
      <c r="N7" s="666">
        <f t="shared" ref="N7:N70" si="1">M7*D7</f>
        <v>23853.48</v>
      </c>
      <c r="O7" s="672">
        <v>149.80000000000001</v>
      </c>
      <c r="P7" s="668">
        <f>M7-O7</f>
        <v>-33.100000000000023</v>
      </c>
    </row>
    <row r="8" spans="1:18" ht="38.25" hidden="1" customHeight="1">
      <c r="A8" s="991"/>
      <c r="B8" s="986">
        <f t="shared" si="0"/>
        <v>0</v>
      </c>
      <c r="C8" s="992" t="s">
        <v>1364</v>
      </c>
      <c r="D8" s="993">
        <f>ROUND(Data!K119,2)</f>
        <v>105.9</v>
      </c>
      <c r="E8" s="992" t="s">
        <v>235</v>
      </c>
      <c r="F8" s="987">
        <f t="shared" ref="F8:F71" si="2">B8*D8</f>
        <v>0</v>
      </c>
      <c r="G8" s="994"/>
      <c r="H8" s="666">
        <f t="shared" ref="H8:H71" si="3">G8*D8</f>
        <v>0</v>
      </c>
      <c r="I8" s="666"/>
      <c r="J8" s="666"/>
      <c r="K8" s="666">
        <f t="shared" ref="K8:K71" si="4">I8</f>
        <v>0</v>
      </c>
      <c r="L8" s="666"/>
      <c r="M8" s="665">
        <f t="shared" ref="M8:M71" si="5">G8</f>
        <v>0</v>
      </c>
      <c r="N8" s="666">
        <f t="shared" si="1"/>
        <v>0</v>
      </c>
      <c r="O8" s="672">
        <v>0</v>
      </c>
      <c r="P8" s="668">
        <f t="shared" ref="P8:P71" si="6">M8-O8</f>
        <v>0</v>
      </c>
    </row>
    <row r="9" spans="1:18" s="677" customFormat="1" ht="25.5" hidden="1" customHeight="1">
      <c r="A9" s="985"/>
      <c r="B9" s="986">
        <f t="shared" si="0"/>
        <v>0</v>
      </c>
      <c r="C9" s="987" t="s">
        <v>1369</v>
      </c>
      <c r="D9" s="993">
        <f>ROUND(Data!K120,2)</f>
        <v>115.2</v>
      </c>
      <c r="E9" s="992" t="s">
        <v>235</v>
      </c>
      <c r="F9" s="987">
        <f t="shared" si="2"/>
        <v>0</v>
      </c>
      <c r="G9" s="994"/>
      <c r="H9" s="666">
        <f t="shared" si="3"/>
        <v>0</v>
      </c>
      <c r="I9" s="666"/>
      <c r="J9" s="666"/>
      <c r="K9" s="666">
        <f t="shared" si="4"/>
        <v>0</v>
      </c>
      <c r="L9" s="666"/>
      <c r="M9" s="665">
        <f t="shared" si="5"/>
        <v>0</v>
      </c>
      <c r="N9" s="666">
        <f t="shared" si="1"/>
        <v>0</v>
      </c>
      <c r="O9" s="672">
        <v>0</v>
      </c>
      <c r="P9" s="668">
        <f t="shared" si="6"/>
        <v>0</v>
      </c>
      <c r="Q9" s="676"/>
      <c r="R9" s="676"/>
    </row>
    <row r="10" spans="1:18" s="677" customFormat="1" ht="25.5" hidden="1" customHeight="1">
      <c r="A10" s="985"/>
      <c r="B10" s="986">
        <f t="shared" si="0"/>
        <v>0</v>
      </c>
      <c r="C10" s="987" t="s">
        <v>1370</v>
      </c>
      <c r="D10" s="993">
        <f>ROUND(Data!K121,2)</f>
        <v>124.5</v>
      </c>
      <c r="E10" s="992" t="s">
        <v>235</v>
      </c>
      <c r="F10" s="987">
        <f t="shared" si="2"/>
        <v>0</v>
      </c>
      <c r="G10" s="994"/>
      <c r="H10" s="666">
        <f t="shared" si="3"/>
        <v>0</v>
      </c>
      <c r="I10" s="666"/>
      <c r="J10" s="666"/>
      <c r="K10" s="666">
        <f t="shared" si="4"/>
        <v>0</v>
      </c>
      <c r="L10" s="666"/>
      <c r="M10" s="665">
        <f t="shared" si="5"/>
        <v>0</v>
      </c>
      <c r="N10" s="666">
        <f t="shared" si="1"/>
        <v>0</v>
      </c>
      <c r="O10" s="672">
        <v>0</v>
      </c>
      <c r="P10" s="668">
        <f t="shared" si="6"/>
        <v>0</v>
      </c>
      <c r="Q10" s="676"/>
      <c r="R10" s="676"/>
    </row>
    <row r="11" spans="1:18" s="677" customFormat="1" ht="51" hidden="1" customHeight="1">
      <c r="A11" s="985">
        <v>1.6</v>
      </c>
      <c r="B11" s="986">
        <f t="shared" si="0"/>
        <v>0</v>
      </c>
      <c r="C11" s="987" t="s">
        <v>1371</v>
      </c>
      <c r="D11" s="990"/>
      <c r="E11" s="987"/>
      <c r="F11" s="987">
        <f t="shared" si="2"/>
        <v>0</v>
      </c>
      <c r="G11" s="989"/>
      <c r="H11" s="666">
        <f t="shared" si="3"/>
        <v>0</v>
      </c>
      <c r="I11" s="666"/>
      <c r="J11" s="666"/>
      <c r="K11" s="666">
        <f t="shared" si="4"/>
        <v>0</v>
      </c>
      <c r="L11" s="666"/>
      <c r="M11" s="665">
        <f t="shared" si="5"/>
        <v>0</v>
      </c>
      <c r="N11" s="666">
        <f t="shared" si="1"/>
        <v>0</v>
      </c>
      <c r="O11" s="672">
        <v>0</v>
      </c>
      <c r="P11" s="668">
        <f t="shared" si="6"/>
        <v>0</v>
      </c>
      <c r="Q11" s="676"/>
      <c r="R11" s="676"/>
    </row>
    <row r="12" spans="1:18" s="677" customFormat="1" ht="43.5" hidden="1" customHeight="1">
      <c r="A12" s="985"/>
      <c r="B12" s="986">
        <f t="shared" si="0"/>
        <v>0</v>
      </c>
      <c r="C12" s="987" t="s">
        <v>63</v>
      </c>
      <c r="D12" s="993">
        <f>ROUND(Data!K133,2)</f>
        <v>144.9</v>
      </c>
      <c r="E12" s="992" t="s">
        <v>235</v>
      </c>
      <c r="F12" s="987">
        <f t="shared" si="2"/>
        <v>0</v>
      </c>
      <c r="G12" s="994"/>
      <c r="H12" s="666">
        <f t="shared" si="3"/>
        <v>0</v>
      </c>
      <c r="I12" s="666"/>
      <c r="J12" s="666"/>
      <c r="K12" s="666">
        <f t="shared" si="4"/>
        <v>0</v>
      </c>
      <c r="L12" s="666"/>
      <c r="M12" s="665">
        <f t="shared" si="5"/>
        <v>0</v>
      </c>
      <c r="N12" s="666">
        <f t="shared" si="1"/>
        <v>0</v>
      </c>
      <c r="O12" s="672">
        <v>0</v>
      </c>
      <c r="P12" s="668">
        <f t="shared" si="6"/>
        <v>0</v>
      </c>
      <c r="Q12" s="676"/>
      <c r="R12" s="676"/>
    </row>
    <row r="13" spans="1:18" s="677" customFormat="1" ht="25.5" hidden="1" customHeight="1">
      <c r="A13" s="985"/>
      <c r="B13" s="986">
        <f t="shared" si="0"/>
        <v>0</v>
      </c>
      <c r="C13" s="987" t="s">
        <v>1364</v>
      </c>
      <c r="D13" s="993">
        <f>ROUND(Data!K134,2)</f>
        <v>154.19999999999999</v>
      </c>
      <c r="E13" s="992" t="s">
        <v>235</v>
      </c>
      <c r="F13" s="987">
        <f t="shared" si="2"/>
        <v>0</v>
      </c>
      <c r="G13" s="994"/>
      <c r="H13" s="666">
        <f t="shared" si="3"/>
        <v>0</v>
      </c>
      <c r="I13" s="666"/>
      <c r="J13" s="666"/>
      <c r="K13" s="666">
        <f t="shared" si="4"/>
        <v>0</v>
      </c>
      <c r="L13" s="666"/>
      <c r="M13" s="665">
        <f t="shared" si="5"/>
        <v>0</v>
      </c>
      <c r="N13" s="666">
        <f t="shared" si="1"/>
        <v>0</v>
      </c>
      <c r="O13" s="672">
        <v>0</v>
      </c>
      <c r="P13" s="668">
        <f t="shared" si="6"/>
        <v>0</v>
      </c>
      <c r="Q13" s="676"/>
      <c r="R13" s="676"/>
    </row>
    <row r="14" spans="1:18" s="677" customFormat="1" ht="46.5" hidden="1" customHeight="1">
      <c r="A14" s="985">
        <v>1.7</v>
      </c>
      <c r="B14" s="986">
        <f t="shared" si="0"/>
        <v>0</v>
      </c>
      <c r="C14" s="987" t="s">
        <v>1372</v>
      </c>
      <c r="D14" s="993"/>
      <c r="E14" s="992" t="s">
        <v>220</v>
      </c>
      <c r="F14" s="987">
        <f t="shared" si="2"/>
        <v>0</v>
      </c>
      <c r="G14" s="994"/>
      <c r="H14" s="666">
        <f t="shared" si="3"/>
        <v>0</v>
      </c>
      <c r="I14" s="666"/>
      <c r="J14" s="666"/>
      <c r="K14" s="666">
        <f t="shared" si="4"/>
        <v>0</v>
      </c>
      <c r="L14" s="666"/>
      <c r="M14" s="665">
        <f t="shared" si="5"/>
        <v>0</v>
      </c>
      <c r="N14" s="666">
        <f t="shared" si="1"/>
        <v>0</v>
      </c>
      <c r="O14" s="672">
        <v>0</v>
      </c>
      <c r="P14" s="668">
        <f t="shared" si="6"/>
        <v>0</v>
      </c>
      <c r="Q14" s="676"/>
      <c r="R14" s="676"/>
    </row>
    <row r="15" spans="1:18" s="677" customFormat="1" ht="25.5" hidden="1" customHeight="1">
      <c r="A15" s="985"/>
      <c r="B15" s="986">
        <f t="shared" si="0"/>
        <v>0</v>
      </c>
      <c r="C15" s="987" t="s">
        <v>63</v>
      </c>
      <c r="D15" s="993">
        <f>ROUND(Data!K104,2)</f>
        <v>287.8</v>
      </c>
      <c r="E15" s="992" t="s">
        <v>235</v>
      </c>
      <c r="F15" s="987">
        <f t="shared" si="2"/>
        <v>0</v>
      </c>
      <c r="G15" s="994"/>
      <c r="H15" s="666">
        <f t="shared" si="3"/>
        <v>0</v>
      </c>
      <c r="I15" s="666"/>
      <c r="J15" s="666"/>
      <c r="K15" s="666">
        <f t="shared" si="4"/>
        <v>0</v>
      </c>
      <c r="L15" s="666"/>
      <c r="M15" s="665">
        <f t="shared" si="5"/>
        <v>0</v>
      </c>
      <c r="N15" s="666">
        <f t="shared" si="1"/>
        <v>0</v>
      </c>
      <c r="O15" s="672">
        <v>0</v>
      </c>
      <c r="P15" s="668">
        <f t="shared" si="6"/>
        <v>0</v>
      </c>
      <c r="Q15" s="676"/>
      <c r="R15" s="676"/>
    </row>
    <row r="16" spans="1:18" s="677" customFormat="1" ht="25.5" hidden="1" customHeight="1">
      <c r="A16" s="985"/>
      <c r="B16" s="986">
        <f t="shared" si="0"/>
        <v>0</v>
      </c>
      <c r="C16" s="987" t="s">
        <v>1364</v>
      </c>
      <c r="D16" s="993">
        <f>ROUND(Data!K105,2)</f>
        <v>297.10000000000002</v>
      </c>
      <c r="E16" s="992" t="s">
        <v>235</v>
      </c>
      <c r="F16" s="987">
        <f t="shared" si="2"/>
        <v>0</v>
      </c>
      <c r="G16" s="994"/>
      <c r="H16" s="666">
        <f t="shared" si="3"/>
        <v>0</v>
      </c>
      <c r="I16" s="666"/>
      <c r="J16" s="666"/>
      <c r="K16" s="666">
        <f t="shared" si="4"/>
        <v>0</v>
      </c>
      <c r="L16" s="666"/>
      <c r="M16" s="665">
        <f t="shared" si="5"/>
        <v>0</v>
      </c>
      <c r="N16" s="666">
        <f t="shared" si="1"/>
        <v>0</v>
      </c>
      <c r="O16" s="672">
        <v>0</v>
      </c>
      <c r="P16" s="668">
        <f t="shared" si="6"/>
        <v>0</v>
      </c>
      <c r="Q16" s="676"/>
      <c r="R16" s="676"/>
    </row>
    <row r="17" spans="1:18" s="677" customFormat="1" ht="46.5" hidden="1" customHeight="1">
      <c r="A17" s="985">
        <v>1.8</v>
      </c>
      <c r="B17" s="986">
        <f t="shared" si="0"/>
        <v>0</v>
      </c>
      <c r="C17" s="987" t="s">
        <v>1373</v>
      </c>
      <c r="D17" s="993"/>
      <c r="E17" s="992" t="s">
        <v>220</v>
      </c>
      <c r="F17" s="987">
        <f t="shared" si="2"/>
        <v>0</v>
      </c>
      <c r="G17" s="994"/>
      <c r="H17" s="666">
        <f t="shared" si="3"/>
        <v>0</v>
      </c>
      <c r="I17" s="666"/>
      <c r="J17" s="666"/>
      <c r="K17" s="666">
        <f t="shared" si="4"/>
        <v>0</v>
      </c>
      <c r="L17" s="666"/>
      <c r="M17" s="665">
        <f t="shared" si="5"/>
        <v>0</v>
      </c>
      <c r="N17" s="666">
        <f t="shared" si="1"/>
        <v>0</v>
      </c>
      <c r="O17" s="672">
        <v>0</v>
      </c>
      <c r="P17" s="668">
        <f t="shared" si="6"/>
        <v>0</v>
      </c>
      <c r="Q17" s="676"/>
      <c r="R17" s="676"/>
    </row>
    <row r="18" spans="1:18" s="682" customFormat="1" ht="25.5" hidden="1" customHeight="1">
      <c r="A18" s="985"/>
      <c r="B18" s="986">
        <f t="shared" si="0"/>
        <v>0</v>
      </c>
      <c r="C18" s="987" t="s">
        <v>63</v>
      </c>
      <c r="D18" s="993">
        <f>ROUND(Data!K129,2)</f>
        <v>143.9</v>
      </c>
      <c r="E18" s="992" t="s">
        <v>235</v>
      </c>
      <c r="F18" s="987">
        <f t="shared" si="2"/>
        <v>0</v>
      </c>
      <c r="G18" s="994"/>
      <c r="H18" s="666">
        <f t="shared" si="3"/>
        <v>0</v>
      </c>
      <c r="I18" s="666"/>
      <c r="J18" s="666"/>
      <c r="K18" s="666">
        <f t="shared" si="4"/>
        <v>0</v>
      </c>
      <c r="L18" s="666"/>
      <c r="M18" s="665">
        <f t="shared" si="5"/>
        <v>0</v>
      </c>
      <c r="N18" s="666">
        <f t="shared" si="1"/>
        <v>0</v>
      </c>
      <c r="O18" s="672">
        <v>0</v>
      </c>
      <c r="P18" s="668">
        <f t="shared" si="6"/>
        <v>0</v>
      </c>
      <c r="Q18" s="680"/>
      <c r="R18" s="681"/>
    </row>
    <row r="19" spans="1:18" s="677" customFormat="1" ht="25.5" hidden="1" customHeight="1">
      <c r="A19" s="985"/>
      <c r="B19" s="986">
        <f t="shared" si="0"/>
        <v>0</v>
      </c>
      <c r="C19" s="987" t="s">
        <v>1364</v>
      </c>
      <c r="D19" s="993">
        <f>ROUND(Data!K130,2)</f>
        <v>153.19999999999999</v>
      </c>
      <c r="E19" s="992" t="s">
        <v>235</v>
      </c>
      <c r="F19" s="987">
        <f t="shared" si="2"/>
        <v>0</v>
      </c>
      <c r="G19" s="994"/>
      <c r="H19" s="666">
        <f t="shared" si="3"/>
        <v>0</v>
      </c>
      <c r="I19" s="666"/>
      <c r="J19" s="666"/>
      <c r="K19" s="666">
        <f t="shared" si="4"/>
        <v>0</v>
      </c>
      <c r="L19" s="666"/>
      <c r="M19" s="665">
        <f t="shared" si="5"/>
        <v>0</v>
      </c>
      <c r="N19" s="666">
        <f t="shared" si="1"/>
        <v>0</v>
      </c>
      <c r="O19" s="672">
        <v>0</v>
      </c>
      <c r="P19" s="668">
        <f t="shared" si="6"/>
        <v>0</v>
      </c>
      <c r="Q19" s="676"/>
      <c r="R19" s="676"/>
    </row>
    <row r="20" spans="1:18" s="677" customFormat="1" ht="25.5" hidden="1" customHeight="1">
      <c r="A20" s="985">
        <v>1.9</v>
      </c>
      <c r="B20" s="986">
        <f t="shared" si="0"/>
        <v>0</v>
      </c>
      <c r="C20" s="987" t="s">
        <v>1374</v>
      </c>
      <c r="D20" s="993"/>
      <c r="E20" s="992"/>
      <c r="F20" s="987">
        <f t="shared" si="2"/>
        <v>0</v>
      </c>
      <c r="G20" s="994"/>
      <c r="H20" s="666">
        <f t="shared" si="3"/>
        <v>0</v>
      </c>
      <c r="I20" s="666"/>
      <c r="J20" s="666"/>
      <c r="K20" s="666">
        <f t="shared" si="4"/>
        <v>0</v>
      </c>
      <c r="L20" s="666"/>
      <c r="M20" s="665">
        <f t="shared" si="5"/>
        <v>0</v>
      </c>
      <c r="N20" s="666">
        <f t="shared" si="1"/>
        <v>0</v>
      </c>
      <c r="O20" s="672">
        <v>0</v>
      </c>
      <c r="P20" s="668">
        <f t="shared" si="6"/>
        <v>0</v>
      </c>
      <c r="Q20" s="676"/>
      <c r="R20" s="676"/>
    </row>
    <row r="21" spans="1:18" s="677" customFormat="1" ht="26.25" hidden="1" customHeight="1">
      <c r="A21" s="985"/>
      <c r="B21" s="986">
        <f t="shared" si="0"/>
        <v>0</v>
      </c>
      <c r="C21" s="987" t="s">
        <v>1375</v>
      </c>
      <c r="D21" s="993"/>
      <c r="E21" s="992" t="s">
        <v>61</v>
      </c>
      <c r="F21" s="987">
        <f t="shared" si="2"/>
        <v>0</v>
      </c>
      <c r="G21" s="994"/>
      <c r="H21" s="666">
        <f t="shared" si="3"/>
        <v>0</v>
      </c>
      <c r="I21" s="666"/>
      <c r="J21" s="666"/>
      <c r="K21" s="666">
        <f t="shared" si="4"/>
        <v>0</v>
      </c>
      <c r="L21" s="666"/>
      <c r="M21" s="665">
        <f t="shared" si="5"/>
        <v>0</v>
      </c>
      <c r="N21" s="666">
        <f t="shared" si="1"/>
        <v>0</v>
      </c>
      <c r="O21" s="672">
        <v>0</v>
      </c>
      <c r="P21" s="668">
        <f t="shared" si="6"/>
        <v>0</v>
      </c>
      <c r="Q21" s="676"/>
      <c r="R21" s="676"/>
    </row>
    <row r="22" spans="1:18" s="677" customFormat="1" ht="25.5" hidden="1" customHeight="1">
      <c r="A22" s="985"/>
      <c r="B22" s="986">
        <f t="shared" si="0"/>
        <v>0</v>
      </c>
      <c r="C22" s="987" t="s">
        <v>1376</v>
      </c>
      <c r="D22" s="993"/>
      <c r="E22" s="992" t="s">
        <v>61</v>
      </c>
      <c r="F22" s="987">
        <f t="shared" si="2"/>
        <v>0</v>
      </c>
      <c r="G22" s="994"/>
      <c r="H22" s="666">
        <f t="shared" si="3"/>
        <v>0</v>
      </c>
      <c r="I22" s="666"/>
      <c r="J22" s="666"/>
      <c r="K22" s="666">
        <f t="shared" si="4"/>
        <v>0</v>
      </c>
      <c r="L22" s="666"/>
      <c r="M22" s="665">
        <f t="shared" si="5"/>
        <v>0</v>
      </c>
      <c r="N22" s="666">
        <f t="shared" si="1"/>
        <v>0</v>
      </c>
      <c r="O22" s="672">
        <v>0</v>
      </c>
      <c r="P22" s="668">
        <f t="shared" si="6"/>
        <v>0</v>
      </c>
      <c r="Q22" s="676"/>
      <c r="R22" s="676"/>
    </row>
    <row r="23" spans="1:18" s="677" customFormat="1" ht="25.5" hidden="1" customHeight="1">
      <c r="A23" s="985"/>
      <c r="B23" s="986">
        <f t="shared" si="0"/>
        <v>0</v>
      </c>
      <c r="C23" s="987" t="s">
        <v>1377</v>
      </c>
      <c r="D23" s="993"/>
      <c r="E23" s="992" t="s">
        <v>61</v>
      </c>
      <c r="F23" s="987">
        <f t="shared" si="2"/>
        <v>0</v>
      </c>
      <c r="G23" s="994"/>
      <c r="H23" s="666">
        <f t="shared" si="3"/>
        <v>0</v>
      </c>
      <c r="I23" s="666"/>
      <c r="J23" s="666"/>
      <c r="K23" s="666">
        <f t="shared" si="4"/>
        <v>0</v>
      </c>
      <c r="L23" s="666"/>
      <c r="M23" s="665">
        <f t="shared" si="5"/>
        <v>0</v>
      </c>
      <c r="N23" s="666">
        <f t="shared" si="1"/>
        <v>0</v>
      </c>
      <c r="O23" s="672">
        <v>0</v>
      </c>
      <c r="P23" s="668">
        <f t="shared" si="6"/>
        <v>0</v>
      </c>
      <c r="Q23" s="676"/>
      <c r="R23" s="676"/>
    </row>
    <row r="24" spans="1:18" s="677" customFormat="1" ht="25.5" hidden="1" customHeight="1">
      <c r="A24" s="985"/>
      <c r="B24" s="986">
        <f t="shared" si="0"/>
        <v>0</v>
      </c>
      <c r="C24" s="987" t="s">
        <v>1378</v>
      </c>
      <c r="D24" s="993"/>
      <c r="E24" s="992" t="s">
        <v>61</v>
      </c>
      <c r="F24" s="987">
        <f t="shared" si="2"/>
        <v>0</v>
      </c>
      <c r="G24" s="994"/>
      <c r="H24" s="666">
        <f t="shared" si="3"/>
        <v>0</v>
      </c>
      <c r="I24" s="666"/>
      <c r="J24" s="666"/>
      <c r="K24" s="666">
        <f t="shared" si="4"/>
        <v>0</v>
      </c>
      <c r="L24" s="666"/>
      <c r="M24" s="665">
        <f t="shared" si="5"/>
        <v>0</v>
      </c>
      <c r="N24" s="666">
        <f t="shared" si="1"/>
        <v>0</v>
      </c>
      <c r="O24" s="672">
        <v>0</v>
      </c>
      <c r="P24" s="668">
        <f t="shared" si="6"/>
        <v>0</v>
      </c>
      <c r="Q24" s="676"/>
      <c r="R24" s="676"/>
    </row>
    <row r="25" spans="1:18" s="677" customFormat="1" ht="25.5" hidden="1" customHeight="1">
      <c r="A25" s="985"/>
      <c r="B25" s="986">
        <f t="shared" si="0"/>
        <v>0</v>
      </c>
      <c r="C25" s="987" t="s">
        <v>1379</v>
      </c>
      <c r="D25" s="993"/>
      <c r="E25" s="992" t="s">
        <v>61</v>
      </c>
      <c r="F25" s="987">
        <f t="shared" si="2"/>
        <v>0</v>
      </c>
      <c r="G25" s="994"/>
      <c r="H25" s="666">
        <f t="shared" si="3"/>
        <v>0</v>
      </c>
      <c r="I25" s="666"/>
      <c r="J25" s="666"/>
      <c r="K25" s="666">
        <f t="shared" si="4"/>
        <v>0</v>
      </c>
      <c r="L25" s="666"/>
      <c r="M25" s="665">
        <f t="shared" si="5"/>
        <v>0</v>
      </c>
      <c r="N25" s="666">
        <f t="shared" si="1"/>
        <v>0</v>
      </c>
      <c r="O25" s="672">
        <v>0</v>
      </c>
      <c r="P25" s="668">
        <f t="shared" si="6"/>
        <v>0</v>
      </c>
      <c r="Q25" s="676"/>
      <c r="R25" s="676"/>
    </row>
    <row r="26" spans="1:18" s="677" customFormat="1" ht="18.75" hidden="1" customHeight="1">
      <c r="A26" s="985"/>
      <c r="B26" s="986">
        <f t="shared" si="0"/>
        <v>0</v>
      </c>
      <c r="C26" s="987" t="s">
        <v>1380</v>
      </c>
      <c r="D26" s="993"/>
      <c r="E26" s="992" t="s">
        <v>61</v>
      </c>
      <c r="F26" s="987">
        <f t="shared" si="2"/>
        <v>0</v>
      </c>
      <c r="G26" s="994"/>
      <c r="H26" s="666">
        <f t="shared" si="3"/>
        <v>0</v>
      </c>
      <c r="I26" s="666"/>
      <c r="J26" s="666"/>
      <c r="K26" s="666">
        <f t="shared" si="4"/>
        <v>0</v>
      </c>
      <c r="L26" s="666"/>
      <c r="M26" s="665">
        <f t="shared" si="5"/>
        <v>0</v>
      </c>
      <c r="N26" s="666">
        <f t="shared" si="1"/>
        <v>0</v>
      </c>
      <c r="O26" s="672">
        <v>0</v>
      </c>
      <c r="P26" s="668">
        <f t="shared" si="6"/>
        <v>0</v>
      </c>
      <c r="Q26" s="676"/>
      <c r="R26" s="676"/>
    </row>
    <row r="27" spans="1:18" s="683" customFormat="1" ht="43.5" customHeight="1">
      <c r="A27" s="985">
        <v>2.1</v>
      </c>
      <c r="B27" s="986">
        <f t="shared" si="0"/>
        <v>24.200000000000003</v>
      </c>
      <c r="C27" s="987" t="s">
        <v>509</v>
      </c>
      <c r="D27" s="990">
        <f>ROUND(Data!K144,2)</f>
        <v>1864.56</v>
      </c>
      <c r="E27" s="987" t="s">
        <v>235</v>
      </c>
      <c r="F27" s="987">
        <f t="shared" si="2"/>
        <v>45122.352000000006</v>
      </c>
      <c r="G27" s="989">
        <f>Detailed!H56</f>
        <v>24.200000000000003</v>
      </c>
      <c r="H27" s="666">
        <f t="shared" si="3"/>
        <v>45122.352000000006</v>
      </c>
      <c r="I27" s="666"/>
      <c r="J27" s="666"/>
      <c r="K27" s="666">
        <f t="shared" si="4"/>
        <v>0</v>
      </c>
      <c r="L27" s="666"/>
      <c r="M27" s="665">
        <f t="shared" si="5"/>
        <v>24.200000000000003</v>
      </c>
      <c r="N27" s="666">
        <f t="shared" si="1"/>
        <v>45122.352000000006</v>
      </c>
      <c r="O27" s="672">
        <v>24.2</v>
      </c>
      <c r="P27" s="668">
        <f t="shared" si="6"/>
        <v>0</v>
      </c>
      <c r="Q27" s="669"/>
      <c r="R27" s="669"/>
    </row>
    <row r="28" spans="1:18" s="677" customFormat="1" ht="60" customHeight="1">
      <c r="A28" s="985">
        <v>2.2000000000000002</v>
      </c>
      <c r="B28" s="986">
        <f t="shared" si="0"/>
        <v>2.2000000000000002</v>
      </c>
      <c r="C28" s="987" t="str">
        <f>Detailed!B28</f>
        <v>Supplying and Filling in Foundation and Basement with Filling LIME.</v>
      </c>
      <c r="D28" s="993">
        <f>[8]A.DATA!F596</f>
        <v>1156.68</v>
      </c>
      <c r="E28" s="992" t="s">
        <v>235</v>
      </c>
      <c r="F28" s="987">
        <f t="shared" si="2"/>
        <v>2544.6960000000004</v>
      </c>
      <c r="G28" s="994">
        <f>Detailed!H34</f>
        <v>2.2000000000000002</v>
      </c>
      <c r="H28" s="666">
        <f t="shared" si="3"/>
        <v>2544.6960000000004</v>
      </c>
      <c r="I28" s="666"/>
      <c r="J28" s="666"/>
      <c r="K28" s="666">
        <f t="shared" si="4"/>
        <v>0</v>
      </c>
      <c r="L28" s="666"/>
      <c r="M28" s="665">
        <f t="shared" si="5"/>
        <v>2.2000000000000002</v>
      </c>
      <c r="N28" s="666">
        <f t="shared" si="1"/>
        <v>2544.6960000000004</v>
      </c>
      <c r="O28" s="672">
        <v>3</v>
      </c>
      <c r="P28" s="668">
        <f t="shared" si="6"/>
        <v>-0.79999999999999982</v>
      </c>
      <c r="Q28" s="676"/>
      <c r="R28" s="676"/>
    </row>
    <row r="29" spans="1:18" ht="46.5" hidden="1" customHeight="1">
      <c r="A29" s="991">
        <v>2.2999999999999998</v>
      </c>
      <c r="B29" s="986">
        <f t="shared" si="0"/>
        <v>0</v>
      </c>
      <c r="C29" s="992" t="s">
        <v>19</v>
      </c>
      <c r="D29" s="993">
        <f>ROUND(Data!C165,2)</f>
        <v>919.9</v>
      </c>
      <c r="E29" s="992" t="s">
        <v>235</v>
      </c>
      <c r="F29" s="987">
        <f t="shared" si="2"/>
        <v>0</v>
      </c>
      <c r="G29" s="994"/>
      <c r="H29" s="666">
        <f t="shared" si="3"/>
        <v>0</v>
      </c>
      <c r="I29" s="666"/>
      <c r="J29" s="666"/>
      <c r="K29" s="666">
        <f t="shared" si="4"/>
        <v>0</v>
      </c>
      <c r="L29" s="666"/>
      <c r="M29" s="665">
        <f t="shared" si="5"/>
        <v>0</v>
      </c>
      <c r="N29" s="666">
        <f t="shared" si="1"/>
        <v>0</v>
      </c>
      <c r="O29" s="672">
        <v>0</v>
      </c>
      <c r="P29" s="668">
        <f t="shared" si="6"/>
        <v>0</v>
      </c>
    </row>
    <row r="30" spans="1:18" ht="46.5" hidden="1" customHeight="1">
      <c r="A30" s="991">
        <v>2.4</v>
      </c>
      <c r="B30" s="986">
        <f t="shared" si="0"/>
        <v>0</v>
      </c>
      <c r="C30" s="992" t="s">
        <v>20</v>
      </c>
      <c r="D30" s="993">
        <f>ROUND(Data!C166,2)</f>
        <v>998.9</v>
      </c>
      <c r="E30" s="992" t="s">
        <v>235</v>
      </c>
      <c r="F30" s="987">
        <f t="shared" si="2"/>
        <v>0</v>
      </c>
      <c r="G30" s="994"/>
      <c r="H30" s="666">
        <f t="shared" si="3"/>
        <v>0</v>
      </c>
      <c r="I30" s="666"/>
      <c r="J30" s="666"/>
      <c r="K30" s="666">
        <f t="shared" si="4"/>
        <v>0</v>
      </c>
      <c r="L30" s="666"/>
      <c r="M30" s="665">
        <f t="shared" si="5"/>
        <v>0</v>
      </c>
      <c r="N30" s="666">
        <f t="shared" si="1"/>
        <v>0</v>
      </c>
      <c r="O30" s="672">
        <v>0</v>
      </c>
      <c r="P30" s="668">
        <f t="shared" si="6"/>
        <v>0</v>
      </c>
    </row>
    <row r="31" spans="1:18" s="677" customFormat="1" ht="22.5" hidden="1" customHeight="1">
      <c r="A31" s="985">
        <v>2.5</v>
      </c>
      <c r="B31" s="986">
        <f t="shared" si="0"/>
        <v>0</v>
      </c>
      <c r="C31" s="987" t="s">
        <v>1382</v>
      </c>
      <c r="D31" s="993">
        <f>ROUND(Data!K189,2)</f>
        <v>531.65</v>
      </c>
      <c r="E31" s="992" t="s">
        <v>235</v>
      </c>
      <c r="F31" s="987">
        <f t="shared" si="2"/>
        <v>0</v>
      </c>
      <c r="G31" s="994"/>
      <c r="H31" s="666">
        <f t="shared" si="3"/>
        <v>0</v>
      </c>
      <c r="I31" s="666"/>
      <c r="J31" s="666"/>
      <c r="K31" s="666">
        <f t="shared" si="4"/>
        <v>0</v>
      </c>
      <c r="L31" s="666"/>
      <c r="M31" s="665">
        <f t="shared" si="5"/>
        <v>0</v>
      </c>
      <c r="N31" s="666">
        <f t="shared" si="1"/>
        <v>0</v>
      </c>
      <c r="O31" s="672">
        <v>0</v>
      </c>
      <c r="P31" s="668">
        <f t="shared" si="6"/>
        <v>0</v>
      </c>
      <c r="Q31" s="676"/>
      <c r="R31" s="676"/>
    </row>
    <row r="32" spans="1:18" s="683" customFormat="1" ht="48" customHeight="1">
      <c r="A32" s="985">
        <v>3.1</v>
      </c>
      <c r="B32" s="986">
        <f t="shared" si="0"/>
        <v>8.9</v>
      </c>
      <c r="C32" s="987" t="s">
        <v>1385</v>
      </c>
      <c r="D32" s="990">
        <f>ROUND(Data!K204,2)</f>
        <v>4858.32</v>
      </c>
      <c r="E32" s="987" t="s">
        <v>235</v>
      </c>
      <c r="F32" s="987">
        <f t="shared" si="2"/>
        <v>43239.048000000003</v>
      </c>
      <c r="G32" s="989">
        <f>Detailed!H75</f>
        <v>8.9</v>
      </c>
      <c r="H32" s="666">
        <f t="shared" si="3"/>
        <v>43239.048000000003</v>
      </c>
      <c r="I32" s="666"/>
      <c r="J32" s="666"/>
      <c r="K32" s="666">
        <f t="shared" si="4"/>
        <v>0</v>
      </c>
      <c r="L32" s="666"/>
      <c r="M32" s="665">
        <f t="shared" si="5"/>
        <v>8.9</v>
      </c>
      <c r="N32" s="666">
        <f t="shared" si="1"/>
        <v>43239.048000000003</v>
      </c>
      <c r="O32" s="672">
        <v>10.5</v>
      </c>
      <c r="P32" s="668">
        <f t="shared" si="6"/>
        <v>-1.5999999999999996</v>
      </c>
      <c r="Q32" s="669"/>
      <c r="R32" s="669"/>
    </row>
    <row r="33" spans="1:23" s="677" customFormat="1" ht="56.25" hidden="1" customHeight="1">
      <c r="A33" s="985">
        <v>3.3</v>
      </c>
      <c r="B33" s="986">
        <f t="shared" si="0"/>
        <v>0</v>
      </c>
      <c r="C33" s="987" t="s">
        <v>1387</v>
      </c>
      <c r="D33" s="993">
        <f>ROUND(Data!K234,2)</f>
        <v>4011.78</v>
      </c>
      <c r="E33" s="992" t="s">
        <v>235</v>
      </c>
      <c r="F33" s="987">
        <f t="shared" si="2"/>
        <v>0</v>
      </c>
      <c r="G33" s="994"/>
      <c r="H33" s="666">
        <f t="shared" si="3"/>
        <v>0</v>
      </c>
      <c r="I33" s="666"/>
      <c r="J33" s="666"/>
      <c r="K33" s="666">
        <f t="shared" si="4"/>
        <v>0</v>
      </c>
      <c r="L33" s="666"/>
      <c r="M33" s="665">
        <f t="shared" si="5"/>
        <v>0</v>
      </c>
      <c r="N33" s="666">
        <f t="shared" si="1"/>
        <v>0</v>
      </c>
      <c r="O33" s="672">
        <v>0</v>
      </c>
      <c r="P33" s="668">
        <f t="shared" si="6"/>
        <v>0</v>
      </c>
      <c r="Q33" s="676"/>
      <c r="R33" s="676"/>
      <c r="W33" s="677">
        <f>4360-145</f>
        <v>4215</v>
      </c>
    </row>
    <row r="34" spans="1:23" s="677" customFormat="1" ht="46.5" hidden="1" customHeight="1">
      <c r="A34" s="985">
        <v>3.4</v>
      </c>
      <c r="B34" s="986">
        <f t="shared" si="0"/>
        <v>0</v>
      </c>
      <c r="C34" s="987" t="s">
        <v>1388</v>
      </c>
      <c r="D34" s="993"/>
      <c r="E34" s="992" t="s">
        <v>264</v>
      </c>
      <c r="F34" s="987">
        <f t="shared" si="2"/>
        <v>0</v>
      </c>
      <c r="G34" s="994"/>
      <c r="H34" s="666">
        <f t="shared" si="3"/>
        <v>0</v>
      </c>
      <c r="I34" s="666"/>
      <c r="J34" s="666"/>
      <c r="K34" s="666">
        <f t="shared" si="4"/>
        <v>0</v>
      </c>
      <c r="L34" s="666"/>
      <c r="M34" s="665">
        <f t="shared" si="5"/>
        <v>0</v>
      </c>
      <c r="N34" s="666">
        <f t="shared" si="1"/>
        <v>0</v>
      </c>
      <c r="O34" s="672">
        <v>0</v>
      </c>
      <c r="P34" s="668">
        <f t="shared" si="6"/>
        <v>0</v>
      </c>
      <c r="Q34" s="676"/>
      <c r="R34" s="676"/>
    </row>
    <row r="35" spans="1:23" s="677" customFormat="1" ht="25.5" hidden="1" customHeight="1">
      <c r="A35" s="985">
        <v>3.5</v>
      </c>
      <c r="B35" s="986">
        <f t="shared" si="0"/>
        <v>0</v>
      </c>
      <c r="C35" s="987" t="s">
        <v>1389</v>
      </c>
      <c r="D35" s="993"/>
      <c r="E35" s="992" t="s">
        <v>264</v>
      </c>
      <c r="F35" s="987">
        <f t="shared" si="2"/>
        <v>0</v>
      </c>
      <c r="G35" s="994"/>
      <c r="H35" s="666">
        <f t="shared" si="3"/>
        <v>0</v>
      </c>
      <c r="I35" s="666"/>
      <c r="J35" s="666"/>
      <c r="K35" s="666">
        <f t="shared" si="4"/>
        <v>0</v>
      </c>
      <c r="L35" s="666"/>
      <c r="M35" s="665">
        <f t="shared" si="5"/>
        <v>0</v>
      </c>
      <c r="N35" s="666">
        <f t="shared" si="1"/>
        <v>0</v>
      </c>
      <c r="O35" s="672">
        <v>0</v>
      </c>
      <c r="P35" s="668">
        <f t="shared" si="6"/>
        <v>0</v>
      </c>
      <c r="Q35" s="676"/>
      <c r="R35" s="676"/>
    </row>
    <row r="36" spans="1:23" s="677" customFormat="1" ht="93" hidden="1" customHeight="1">
      <c r="A36" s="985">
        <v>3.6</v>
      </c>
      <c r="B36" s="986">
        <f t="shared" si="0"/>
        <v>0</v>
      </c>
      <c r="C36" s="987" t="s">
        <v>1390</v>
      </c>
      <c r="D36" s="993">
        <f>ROUND(Data!K249,2)</f>
        <v>228.78</v>
      </c>
      <c r="E36" s="992" t="s">
        <v>264</v>
      </c>
      <c r="F36" s="987">
        <f t="shared" si="2"/>
        <v>0</v>
      </c>
      <c r="G36" s="994"/>
      <c r="H36" s="666">
        <f t="shared" si="3"/>
        <v>0</v>
      </c>
      <c r="I36" s="666"/>
      <c r="J36" s="666"/>
      <c r="K36" s="666">
        <f t="shared" si="4"/>
        <v>0</v>
      </c>
      <c r="L36" s="666"/>
      <c r="M36" s="665">
        <f t="shared" si="5"/>
        <v>0</v>
      </c>
      <c r="N36" s="666">
        <f t="shared" si="1"/>
        <v>0</v>
      </c>
      <c r="O36" s="672">
        <v>0</v>
      </c>
      <c r="P36" s="668">
        <f t="shared" si="6"/>
        <v>0</v>
      </c>
      <c r="Q36" s="676"/>
      <c r="R36" s="676"/>
    </row>
    <row r="37" spans="1:23" s="677" customFormat="1" ht="46.5" hidden="1" customHeight="1">
      <c r="A37" s="985">
        <v>3.7</v>
      </c>
      <c r="B37" s="986">
        <f t="shared" si="0"/>
        <v>0</v>
      </c>
      <c r="C37" s="987" t="s">
        <v>1391</v>
      </c>
      <c r="D37" s="993">
        <f>ROUND(Data!K261,2)</f>
        <v>152.21</v>
      </c>
      <c r="E37" s="992" t="s">
        <v>264</v>
      </c>
      <c r="F37" s="987">
        <f t="shared" si="2"/>
        <v>0</v>
      </c>
      <c r="G37" s="994"/>
      <c r="H37" s="666">
        <f t="shared" si="3"/>
        <v>0</v>
      </c>
      <c r="I37" s="666"/>
      <c r="J37" s="666"/>
      <c r="K37" s="666">
        <f t="shared" si="4"/>
        <v>0</v>
      </c>
      <c r="L37" s="666"/>
      <c r="M37" s="665">
        <f t="shared" si="5"/>
        <v>0</v>
      </c>
      <c r="N37" s="666">
        <f t="shared" si="1"/>
        <v>0</v>
      </c>
      <c r="O37" s="672">
        <v>0</v>
      </c>
      <c r="P37" s="668">
        <f t="shared" si="6"/>
        <v>0</v>
      </c>
      <c r="Q37" s="676"/>
      <c r="R37" s="676"/>
    </row>
    <row r="38" spans="1:23" s="677" customFormat="1" ht="25.5" hidden="1" customHeight="1">
      <c r="A38" s="985">
        <v>4.0999999999999996</v>
      </c>
      <c r="B38" s="986">
        <f t="shared" si="0"/>
        <v>0</v>
      </c>
      <c r="C38" s="995" t="s">
        <v>1392</v>
      </c>
      <c r="D38" s="993">
        <f>ROUND(Data!K285,2)</f>
        <v>7721.28</v>
      </c>
      <c r="E38" s="992" t="s">
        <v>235</v>
      </c>
      <c r="F38" s="987">
        <f t="shared" si="2"/>
        <v>0</v>
      </c>
      <c r="G38" s="994"/>
      <c r="H38" s="666">
        <f t="shared" si="3"/>
        <v>0</v>
      </c>
      <c r="I38" s="666"/>
      <c r="J38" s="666"/>
      <c r="K38" s="666">
        <f t="shared" si="4"/>
        <v>0</v>
      </c>
      <c r="L38" s="666"/>
      <c r="M38" s="665">
        <f t="shared" si="5"/>
        <v>0</v>
      </c>
      <c r="N38" s="666">
        <f t="shared" si="1"/>
        <v>0</v>
      </c>
      <c r="O38" s="672">
        <v>0</v>
      </c>
      <c r="P38" s="668">
        <f t="shared" si="6"/>
        <v>0</v>
      </c>
      <c r="Q38" s="676"/>
      <c r="R38" s="676"/>
    </row>
    <row r="39" spans="1:23" s="677" customFormat="1" ht="18.75" hidden="1" customHeight="1">
      <c r="A39" s="985">
        <v>4.2</v>
      </c>
      <c r="B39" s="986">
        <f t="shared" si="0"/>
        <v>0</v>
      </c>
      <c r="C39" s="995" t="s">
        <v>1393</v>
      </c>
      <c r="D39" s="993">
        <f>Data!K821</f>
        <v>8363.1689999999999</v>
      </c>
      <c r="E39" s="992" t="s">
        <v>235</v>
      </c>
      <c r="F39" s="987">
        <f t="shared" si="2"/>
        <v>0</v>
      </c>
      <c r="G39" s="994"/>
      <c r="H39" s="666">
        <f t="shared" si="3"/>
        <v>0</v>
      </c>
      <c r="I39" s="666"/>
      <c r="J39" s="666"/>
      <c r="K39" s="666">
        <f t="shared" si="4"/>
        <v>0</v>
      </c>
      <c r="L39" s="666"/>
      <c r="M39" s="665">
        <f t="shared" si="5"/>
        <v>0</v>
      </c>
      <c r="N39" s="666">
        <f t="shared" si="1"/>
        <v>0</v>
      </c>
      <c r="O39" s="672">
        <v>0</v>
      </c>
      <c r="P39" s="668">
        <f t="shared" si="6"/>
        <v>0</v>
      </c>
      <c r="Q39" s="676"/>
      <c r="R39" s="676"/>
    </row>
    <row r="40" spans="1:23" ht="71.25" hidden="1" customHeight="1">
      <c r="A40" s="991">
        <v>5</v>
      </c>
      <c r="B40" s="986">
        <f t="shared" si="0"/>
        <v>0</v>
      </c>
      <c r="C40" s="992" t="s">
        <v>1394</v>
      </c>
      <c r="D40" s="993">
        <f>ROUND(Data!K306,2)</f>
        <v>5267.27</v>
      </c>
      <c r="E40" s="992" t="s">
        <v>235</v>
      </c>
      <c r="F40" s="987">
        <f t="shared" si="2"/>
        <v>0</v>
      </c>
      <c r="G40" s="994"/>
      <c r="H40" s="666">
        <f t="shared" si="3"/>
        <v>0</v>
      </c>
      <c r="I40" s="666"/>
      <c r="J40" s="666"/>
      <c r="K40" s="666">
        <f t="shared" si="4"/>
        <v>0</v>
      </c>
      <c r="L40" s="666"/>
      <c r="M40" s="665">
        <f t="shared" si="5"/>
        <v>0</v>
      </c>
      <c r="N40" s="666">
        <f t="shared" si="1"/>
        <v>0</v>
      </c>
      <c r="O40" s="672">
        <v>0</v>
      </c>
      <c r="P40" s="668">
        <f t="shared" si="6"/>
        <v>0</v>
      </c>
    </row>
    <row r="41" spans="1:23" s="677" customFormat="1" ht="69.75" hidden="1" customHeight="1">
      <c r="A41" s="985">
        <v>6.1</v>
      </c>
      <c r="B41" s="986">
        <f t="shared" si="0"/>
        <v>0</v>
      </c>
      <c r="C41" s="995" t="s">
        <v>1395</v>
      </c>
      <c r="D41" s="993">
        <f>Data!X321</f>
        <v>6402.9149999999991</v>
      </c>
      <c r="E41" s="992" t="s">
        <v>235</v>
      </c>
      <c r="F41" s="987">
        <f t="shared" si="2"/>
        <v>0</v>
      </c>
      <c r="G41" s="994"/>
      <c r="H41" s="666">
        <f t="shared" si="3"/>
        <v>0</v>
      </c>
      <c r="I41" s="666"/>
      <c r="J41" s="666"/>
      <c r="K41" s="666">
        <f t="shared" si="4"/>
        <v>0</v>
      </c>
      <c r="L41" s="666"/>
      <c r="M41" s="665">
        <f t="shared" si="5"/>
        <v>0</v>
      </c>
      <c r="N41" s="666">
        <f t="shared" si="1"/>
        <v>0</v>
      </c>
      <c r="O41" s="672">
        <v>0</v>
      </c>
      <c r="P41" s="668">
        <f t="shared" si="6"/>
        <v>0</v>
      </c>
      <c r="Q41" s="676"/>
      <c r="R41" s="676"/>
    </row>
    <row r="42" spans="1:23" s="677" customFormat="1" ht="69.75" hidden="1" customHeight="1">
      <c r="A42" s="985">
        <v>6.2</v>
      </c>
      <c r="B42" s="986">
        <f t="shared" si="0"/>
        <v>0</v>
      </c>
      <c r="C42" s="995" t="s">
        <v>1396</v>
      </c>
      <c r="D42" s="993">
        <f>ROUND(Data!AG321,2)</f>
        <v>6071.36</v>
      </c>
      <c r="E42" s="992" t="s">
        <v>235</v>
      </c>
      <c r="F42" s="987">
        <f t="shared" si="2"/>
        <v>0</v>
      </c>
      <c r="G42" s="994"/>
      <c r="H42" s="666">
        <f t="shared" si="3"/>
        <v>0</v>
      </c>
      <c r="I42" s="666"/>
      <c r="J42" s="666"/>
      <c r="K42" s="666">
        <f t="shared" si="4"/>
        <v>0</v>
      </c>
      <c r="L42" s="666"/>
      <c r="M42" s="665">
        <f t="shared" si="5"/>
        <v>0</v>
      </c>
      <c r="N42" s="666">
        <f t="shared" si="1"/>
        <v>0</v>
      </c>
      <c r="O42" s="672">
        <v>0</v>
      </c>
      <c r="P42" s="668">
        <f t="shared" si="6"/>
        <v>0</v>
      </c>
      <c r="Q42" s="676"/>
      <c r="R42" s="676"/>
    </row>
    <row r="43" spans="1:23" s="677" customFormat="1" ht="69.75" hidden="1" customHeight="1">
      <c r="A43" s="985">
        <v>6.3</v>
      </c>
      <c r="B43" s="986">
        <f t="shared" si="0"/>
        <v>0</v>
      </c>
      <c r="C43" s="995" t="s">
        <v>1397</v>
      </c>
      <c r="D43" s="993"/>
      <c r="E43" s="992" t="s">
        <v>235</v>
      </c>
      <c r="F43" s="987">
        <f t="shared" si="2"/>
        <v>0</v>
      </c>
      <c r="G43" s="994"/>
      <c r="H43" s="666">
        <f t="shared" si="3"/>
        <v>0</v>
      </c>
      <c r="I43" s="666"/>
      <c r="J43" s="666"/>
      <c r="K43" s="666">
        <f t="shared" si="4"/>
        <v>0</v>
      </c>
      <c r="L43" s="666"/>
      <c r="M43" s="665">
        <f t="shared" si="5"/>
        <v>0</v>
      </c>
      <c r="N43" s="666">
        <f t="shared" si="1"/>
        <v>0</v>
      </c>
      <c r="O43" s="672">
        <v>0</v>
      </c>
      <c r="P43" s="668">
        <f t="shared" si="6"/>
        <v>0</v>
      </c>
      <c r="Q43" s="676"/>
      <c r="R43" s="676"/>
    </row>
    <row r="44" spans="1:23" s="677" customFormat="1" ht="13.5" hidden="1" customHeight="1">
      <c r="A44" s="985">
        <v>6.4</v>
      </c>
      <c r="B44" s="986">
        <f t="shared" si="0"/>
        <v>0</v>
      </c>
      <c r="C44" s="995" t="s">
        <v>1398</v>
      </c>
      <c r="D44" s="993"/>
      <c r="E44" s="992" t="s">
        <v>235</v>
      </c>
      <c r="F44" s="987">
        <f t="shared" si="2"/>
        <v>0</v>
      </c>
      <c r="G44" s="994"/>
      <c r="H44" s="666">
        <f t="shared" si="3"/>
        <v>0</v>
      </c>
      <c r="I44" s="666"/>
      <c r="J44" s="666"/>
      <c r="K44" s="666">
        <f t="shared" si="4"/>
        <v>0</v>
      </c>
      <c r="L44" s="666"/>
      <c r="M44" s="665">
        <f t="shared" si="5"/>
        <v>0</v>
      </c>
      <c r="N44" s="666">
        <f t="shared" si="1"/>
        <v>0</v>
      </c>
      <c r="O44" s="672">
        <v>0</v>
      </c>
      <c r="P44" s="668">
        <f t="shared" si="6"/>
        <v>0</v>
      </c>
      <c r="Q44" s="676"/>
      <c r="R44" s="676"/>
    </row>
    <row r="45" spans="1:23" ht="80.25" customHeight="1">
      <c r="A45" s="985">
        <v>6.5</v>
      </c>
      <c r="B45" s="986">
        <f t="shared" si="0"/>
        <v>27.3</v>
      </c>
      <c r="C45" s="995" t="s">
        <v>1399</v>
      </c>
      <c r="D45" s="990">
        <f>Data!K321</f>
        <v>6233.1989999999996</v>
      </c>
      <c r="E45" s="987" t="s">
        <v>235</v>
      </c>
      <c r="F45" s="987">
        <f t="shared" si="2"/>
        <v>170166.3327</v>
      </c>
      <c r="G45" s="989">
        <f>Detailed!H143</f>
        <v>27.3</v>
      </c>
      <c r="H45" s="666">
        <f t="shared" si="3"/>
        <v>170166.3327</v>
      </c>
      <c r="I45" s="666"/>
      <c r="J45" s="666"/>
      <c r="K45" s="666">
        <f t="shared" si="4"/>
        <v>0</v>
      </c>
      <c r="L45" s="666"/>
      <c r="M45" s="665">
        <f t="shared" si="5"/>
        <v>27.3</v>
      </c>
      <c r="N45" s="666">
        <f t="shared" si="1"/>
        <v>170166.3327</v>
      </c>
      <c r="O45" s="672">
        <v>26.1</v>
      </c>
      <c r="P45" s="668">
        <f t="shared" si="6"/>
        <v>1.1999999999999993</v>
      </c>
    </row>
    <row r="46" spans="1:23" ht="84.75" customHeight="1">
      <c r="A46" s="985">
        <v>9.5</v>
      </c>
      <c r="B46" s="986">
        <f t="shared" si="0"/>
        <v>0</v>
      </c>
      <c r="C46" s="995" t="s">
        <v>1430</v>
      </c>
      <c r="D46" s="990"/>
      <c r="E46" s="987"/>
      <c r="F46" s="987">
        <f t="shared" si="2"/>
        <v>0</v>
      </c>
      <c r="G46" s="989"/>
      <c r="H46" s="666">
        <f t="shared" si="3"/>
        <v>0</v>
      </c>
      <c r="I46" s="666"/>
      <c r="J46" s="666"/>
      <c r="K46" s="666">
        <f t="shared" si="4"/>
        <v>0</v>
      </c>
      <c r="L46" s="666"/>
      <c r="M46" s="665">
        <f t="shared" si="5"/>
        <v>0</v>
      </c>
      <c r="N46" s="666">
        <f t="shared" si="1"/>
        <v>0</v>
      </c>
      <c r="O46" s="668">
        <v>0</v>
      </c>
      <c r="P46" s="668">
        <f t="shared" si="6"/>
        <v>0</v>
      </c>
      <c r="Q46" s="678"/>
      <c r="S46" s="679"/>
    </row>
    <row r="47" spans="1:23" ht="45.75" customHeight="1">
      <c r="A47" s="985"/>
      <c r="B47" s="986">
        <f t="shared" si="0"/>
        <v>40.700000000000003</v>
      </c>
      <c r="C47" s="987" t="s">
        <v>1420</v>
      </c>
      <c r="D47" s="990">
        <f>ROUND(Data!K347,2)</f>
        <v>6229.68</v>
      </c>
      <c r="E47" s="987" t="s">
        <v>235</v>
      </c>
      <c r="F47" s="987">
        <f t="shared" si="2"/>
        <v>253547.97600000002</v>
      </c>
      <c r="G47" s="996">
        <f>Detailed!H286</f>
        <v>40.700000000000003</v>
      </c>
      <c r="H47" s="666">
        <f t="shared" si="3"/>
        <v>253547.97600000002</v>
      </c>
      <c r="I47" s="666"/>
      <c r="J47" s="666"/>
      <c r="K47" s="666">
        <f t="shared" si="4"/>
        <v>0</v>
      </c>
      <c r="L47" s="666"/>
      <c r="M47" s="665">
        <f t="shared" si="5"/>
        <v>40.700000000000003</v>
      </c>
      <c r="N47" s="666">
        <f t="shared" si="1"/>
        <v>253547.97600000002</v>
      </c>
      <c r="O47" s="672">
        <v>40.700000000000003</v>
      </c>
      <c r="P47" s="668">
        <f t="shared" si="6"/>
        <v>0</v>
      </c>
    </row>
    <row r="48" spans="1:23" ht="45.75" customHeight="1">
      <c r="A48" s="985"/>
      <c r="B48" s="986">
        <f t="shared" si="0"/>
        <v>40.200000000000003</v>
      </c>
      <c r="C48" s="987" t="s">
        <v>1421</v>
      </c>
      <c r="D48" s="990">
        <f>ROUND(Data!K348,2)</f>
        <v>6366.88</v>
      </c>
      <c r="E48" s="987" t="s">
        <v>235</v>
      </c>
      <c r="F48" s="987">
        <f t="shared" si="2"/>
        <v>255948.57600000003</v>
      </c>
      <c r="G48" s="996">
        <f>Detailed!H324</f>
        <v>40.200000000000003</v>
      </c>
      <c r="H48" s="666">
        <f t="shared" si="3"/>
        <v>255948.57600000003</v>
      </c>
      <c r="I48" s="666"/>
      <c r="J48" s="666"/>
      <c r="K48" s="666">
        <f t="shared" si="4"/>
        <v>0</v>
      </c>
      <c r="L48" s="666"/>
      <c r="M48" s="665">
        <f t="shared" si="5"/>
        <v>40.200000000000003</v>
      </c>
      <c r="N48" s="666">
        <f t="shared" si="1"/>
        <v>255948.57600000003</v>
      </c>
      <c r="O48" s="672">
        <v>40.200000000000003</v>
      </c>
      <c r="P48" s="668">
        <f t="shared" si="6"/>
        <v>0</v>
      </c>
    </row>
    <row r="49" spans="1:18" ht="45.75" customHeight="1">
      <c r="A49" s="985"/>
      <c r="B49" s="986">
        <f t="shared" si="0"/>
        <v>8.1</v>
      </c>
      <c r="C49" s="987" t="s">
        <v>1422</v>
      </c>
      <c r="D49" s="990">
        <f>ROUND(Data!K349,2)</f>
        <v>6504.08</v>
      </c>
      <c r="E49" s="987" t="s">
        <v>235</v>
      </c>
      <c r="F49" s="987">
        <f t="shared" si="2"/>
        <v>52683.047999999995</v>
      </c>
      <c r="G49" s="996">
        <f>Detailed!H337</f>
        <v>8.1</v>
      </c>
      <c r="H49" s="666">
        <f t="shared" si="3"/>
        <v>52683.047999999995</v>
      </c>
      <c r="I49" s="666"/>
      <c r="J49" s="666"/>
      <c r="K49" s="666">
        <f t="shared" si="4"/>
        <v>0</v>
      </c>
      <c r="L49" s="666"/>
      <c r="M49" s="665">
        <f t="shared" si="5"/>
        <v>8.1</v>
      </c>
      <c r="N49" s="666">
        <f t="shared" si="1"/>
        <v>52683.047999999995</v>
      </c>
      <c r="O49" s="672">
        <v>8.1</v>
      </c>
      <c r="P49" s="668">
        <f t="shared" si="6"/>
        <v>0</v>
      </c>
    </row>
    <row r="50" spans="1:18" ht="45.75" hidden="1" customHeight="1">
      <c r="A50" s="985"/>
      <c r="B50" s="986">
        <f t="shared" si="0"/>
        <v>0</v>
      </c>
      <c r="C50" s="987" t="s">
        <v>1423</v>
      </c>
      <c r="D50" s="990">
        <f>ROUND(Data!K350,2)</f>
        <v>6641.28</v>
      </c>
      <c r="E50" s="987" t="s">
        <v>235</v>
      </c>
      <c r="F50" s="987">
        <f t="shared" si="2"/>
        <v>0</v>
      </c>
      <c r="G50" s="996"/>
      <c r="H50" s="666">
        <f t="shared" si="3"/>
        <v>0</v>
      </c>
      <c r="I50" s="666"/>
      <c r="J50" s="666"/>
      <c r="K50" s="666">
        <f t="shared" si="4"/>
        <v>0</v>
      </c>
      <c r="L50" s="666"/>
      <c r="M50" s="665">
        <f t="shared" si="5"/>
        <v>0</v>
      </c>
      <c r="N50" s="666">
        <f t="shared" si="1"/>
        <v>0</v>
      </c>
      <c r="O50" s="672">
        <v>0</v>
      </c>
      <c r="P50" s="668">
        <f t="shared" si="6"/>
        <v>0</v>
      </c>
    </row>
    <row r="51" spans="1:18" ht="49.5" hidden="1" customHeight="1">
      <c r="A51" s="997"/>
      <c r="B51" s="986">
        <f t="shared" si="0"/>
        <v>0</v>
      </c>
      <c r="C51" s="987" t="s">
        <v>1424</v>
      </c>
      <c r="D51" s="990">
        <f>ROUND(Data!K351,2)</f>
        <v>6778.48</v>
      </c>
      <c r="E51" s="987" t="s">
        <v>235</v>
      </c>
      <c r="F51" s="987">
        <f t="shared" si="2"/>
        <v>0</v>
      </c>
      <c r="G51" s="996"/>
      <c r="H51" s="666">
        <f t="shared" si="3"/>
        <v>0</v>
      </c>
      <c r="I51" s="666"/>
      <c r="J51" s="666"/>
      <c r="K51" s="666">
        <f t="shared" si="4"/>
        <v>0</v>
      </c>
      <c r="L51" s="666"/>
      <c r="M51" s="665">
        <f t="shared" si="5"/>
        <v>0</v>
      </c>
      <c r="N51" s="666">
        <f t="shared" si="1"/>
        <v>0</v>
      </c>
      <c r="O51" s="672">
        <v>0</v>
      </c>
      <c r="P51" s="668">
        <f t="shared" si="6"/>
        <v>0</v>
      </c>
    </row>
    <row r="52" spans="1:18" s="677" customFormat="1" ht="69.75" hidden="1" customHeight="1">
      <c r="A52" s="985">
        <v>9.6</v>
      </c>
      <c r="B52" s="986">
        <f t="shared" si="0"/>
        <v>0</v>
      </c>
      <c r="C52" s="987" t="s">
        <v>1431</v>
      </c>
      <c r="D52" s="993"/>
      <c r="E52" s="992"/>
      <c r="F52" s="987">
        <f t="shared" si="2"/>
        <v>0</v>
      </c>
      <c r="G52" s="994"/>
      <c r="H52" s="666">
        <f t="shared" si="3"/>
        <v>0</v>
      </c>
      <c r="I52" s="666"/>
      <c r="J52" s="666"/>
      <c r="K52" s="666">
        <f t="shared" si="4"/>
        <v>0</v>
      </c>
      <c r="L52" s="666"/>
      <c r="M52" s="665">
        <f t="shared" si="5"/>
        <v>0</v>
      </c>
      <c r="N52" s="666">
        <f t="shared" si="1"/>
        <v>0</v>
      </c>
      <c r="O52" s="672">
        <v>0</v>
      </c>
      <c r="P52" s="668">
        <f t="shared" si="6"/>
        <v>0</v>
      </c>
      <c r="Q52" s="676"/>
      <c r="R52" s="676"/>
    </row>
    <row r="53" spans="1:18" s="677" customFormat="1" ht="25.5" hidden="1" customHeight="1">
      <c r="A53" s="985"/>
      <c r="B53" s="986">
        <f t="shared" si="0"/>
        <v>0</v>
      </c>
      <c r="C53" s="987" t="s">
        <v>1420</v>
      </c>
      <c r="D53" s="993"/>
      <c r="E53" s="992" t="s">
        <v>235</v>
      </c>
      <c r="F53" s="987">
        <f t="shared" si="2"/>
        <v>0</v>
      </c>
      <c r="G53" s="994"/>
      <c r="H53" s="666">
        <f t="shared" si="3"/>
        <v>0</v>
      </c>
      <c r="I53" s="666"/>
      <c r="J53" s="666"/>
      <c r="K53" s="666">
        <f t="shared" si="4"/>
        <v>0</v>
      </c>
      <c r="L53" s="666"/>
      <c r="M53" s="665">
        <f t="shared" si="5"/>
        <v>0</v>
      </c>
      <c r="N53" s="666">
        <f t="shared" si="1"/>
        <v>0</v>
      </c>
      <c r="O53" s="672">
        <v>0</v>
      </c>
      <c r="P53" s="668">
        <f t="shared" si="6"/>
        <v>0</v>
      </c>
      <c r="Q53" s="676"/>
      <c r="R53" s="676"/>
    </row>
    <row r="54" spans="1:18" s="677" customFormat="1" ht="25.5" hidden="1" customHeight="1">
      <c r="A54" s="985"/>
      <c r="B54" s="986">
        <f t="shared" si="0"/>
        <v>0</v>
      </c>
      <c r="C54" s="987" t="s">
        <v>1421</v>
      </c>
      <c r="D54" s="993"/>
      <c r="E54" s="992" t="s">
        <v>235</v>
      </c>
      <c r="F54" s="987">
        <f t="shared" si="2"/>
        <v>0</v>
      </c>
      <c r="G54" s="994"/>
      <c r="H54" s="666">
        <f t="shared" si="3"/>
        <v>0</v>
      </c>
      <c r="I54" s="666"/>
      <c r="J54" s="666"/>
      <c r="K54" s="666">
        <f t="shared" si="4"/>
        <v>0</v>
      </c>
      <c r="L54" s="666"/>
      <c r="M54" s="665">
        <f t="shared" si="5"/>
        <v>0</v>
      </c>
      <c r="N54" s="666">
        <f t="shared" si="1"/>
        <v>0</v>
      </c>
      <c r="O54" s="672">
        <v>0</v>
      </c>
      <c r="P54" s="668">
        <f t="shared" si="6"/>
        <v>0</v>
      </c>
      <c r="Q54" s="676"/>
      <c r="R54" s="676"/>
    </row>
    <row r="55" spans="1:18" s="677" customFormat="1" ht="25.5" hidden="1" customHeight="1">
      <c r="A55" s="985"/>
      <c r="B55" s="986">
        <f t="shared" si="0"/>
        <v>0</v>
      </c>
      <c r="C55" s="987" t="s">
        <v>1422</v>
      </c>
      <c r="D55" s="993"/>
      <c r="E55" s="992" t="s">
        <v>235</v>
      </c>
      <c r="F55" s="987">
        <f t="shared" si="2"/>
        <v>0</v>
      </c>
      <c r="G55" s="994"/>
      <c r="H55" s="666">
        <f t="shared" si="3"/>
        <v>0</v>
      </c>
      <c r="I55" s="666"/>
      <c r="J55" s="666"/>
      <c r="K55" s="666">
        <f t="shared" si="4"/>
        <v>0</v>
      </c>
      <c r="L55" s="666"/>
      <c r="M55" s="665">
        <f t="shared" si="5"/>
        <v>0</v>
      </c>
      <c r="N55" s="666">
        <f t="shared" si="1"/>
        <v>0</v>
      </c>
      <c r="O55" s="672">
        <v>0</v>
      </c>
      <c r="P55" s="668">
        <f t="shared" si="6"/>
        <v>0</v>
      </c>
      <c r="Q55" s="676"/>
      <c r="R55" s="676"/>
    </row>
    <row r="56" spans="1:18" s="677" customFormat="1" ht="25.5" hidden="1" customHeight="1">
      <c r="A56" s="985"/>
      <c r="B56" s="986">
        <f t="shared" si="0"/>
        <v>0</v>
      </c>
      <c r="C56" s="987" t="s">
        <v>1423</v>
      </c>
      <c r="D56" s="993"/>
      <c r="E56" s="992" t="s">
        <v>235</v>
      </c>
      <c r="F56" s="987">
        <f t="shared" si="2"/>
        <v>0</v>
      </c>
      <c r="G56" s="994"/>
      <c r="H56" s="666">
        <f t="shared" si="3"/>
        <v>0</v>
      </c>
      <c r="I56" s="666"/>
      <c r="J56" s="666"/>
      <c r="K56" s="666">
        <f t="shared" si="4"/>
        <v>0</v>
      </c>
      <c r="L56" s="666"/>
      <c r="M56" s="665">
        <f t="shared" si="5"/>
        <v>0</v>
      </c>
      <c r="N56" s="666">
        <f t="shared" si="1"/>
        <v>0</v>
      </c>
      <c r="O56" s="672">
        <v>0</v>
      </c>
      <c r="P56" s="668">
        <f t="shared" si="6"/>
        <v>0</v>
      </c>
      <c r="Q56" s="676"/>
      <c r="R56" s="676"/>
    </row>
    <row r="57" spans="1:18" s="677" customFormat="1" ht="25.5" hidden="1" customHeight="1">
      <c r="A57" s="998"/>
      <c r="B57" s="986">
        <f t="shared" si="0"/>
        <v>0</v>
      </c>
      <c r="C57" s="987" t="s">
        <v>1424</v>
      </c>
      <c r="D57" s="993"/>
      <c r="E57" s="992" t="s">
        <v>235</v>
      </c>
      <c r="F57" s="987">
        <f t="shared" si="2"/>
        <v>0</v>
      </c>
      <c r="G57" s="994"/>
      <c r="H57" s="666">
        <f t="shared" si="3"/>
        <v>0</v>
      </c>
      <c r="I57" s="666"/>
      <c r="J57" s="666"/>
      <c r="K57" s="666">
        <f t="shared" si="4"/>
        <v>0</v>
      </c>
      <c r="L57" s="666"/>
      <c r="M57" s="665">
        <f t="shared" si="5"/>
        <v>0</v>
      </c>
      <c r="N57" s="666">
        <f t="shared" si="1"/>
        <v>0</v>
      </c>
      <c r="O57" s="672">
        <v>0</v>
      </c>
      <c r="P57" s="668">
        <f t="shared" si="6"/>
        <v>0</v>
      </c>
      <c r="Q57" s="676"/>
      <c r="R57" s="676"/>
    </row>
    <row r="58" spans="1:18" s="677" customFormat="1" ht="69.75" hidden="1" customHeight="1">
      <c r="A58" s="985">
        <v>10.1</v>
      </c>
      <c r="B58" s="986">
        <f t="shared" si="0"/>
        <v>0</v>
      </c>
      <c r="C58" s="995" t="s">
        <v>1432</v>
      </c>
      <c r="D58" s="993"/>
      <c r="E58" s="992"/>
      <c r="F58" s="987">
        <f t="shared" si="2"/>
        <v>0</v>
      </c>
      <c r="G58" s="994"/>
      <c r="H58" s="666">
        <f t="shared" si="3"/>
        <v>0</v>
      </c>
      <c r="I58" s="666"/>
      <c r="J58" s="666"/>
      <c r="K58" s="666">
        <f t="shared" si="4"/>
        <v>0</v>
      </c>
      <c r="L58" s="666"/>
      <c r="M58" s="665">
        <f t="shared" si="5"/>
        <v>0</v>
      </c>
      <c r="N58" s="666">
        <f t="shared" si="1"/>
        <v>0</v>
      </c>
      <c r="O58" s="672">
        <v>0</v>
      </c>
      <c r="P58" s="668">
        <f t="shared" si="6"/>
        <v>0</v>
      </c>
      <c r="Q58" s="676"/>
      <c r="R58" s="676"/>
    </row>
    <row r="59" spans="1:18" s="677" customFormat="1" ht="25.5" hidden="1" customHeight="1">
      <c r="A59" s="985"/>
      <c r="B59" s="986">
        <f t="shared" si="0"/>
        <v>0</v>
      </c>
      <c r="C59" s="987" t="s">
        <v>1433</v>
      </c>
      <c r="D59" s="993">
        <f>ROUND(Data!X400,2)</f>
        <v>775.89</v>
      </c>
      <c r="E59" s="992" t="s">
        <v>264</v>
      </c>
      <c r="F59" s="987">
        <f t="shared" si="2"/>
        <v>0</v>
      </c>
      <c r="G59" s="994"/>
      <c r="H59" s="666">
        <f t="shared" si="3"/>
        <v>0</v>
      </c>
      <c r="I59" s="666"/>
      <c r="J59" s="666"/>
      <c r="K59" s="666">
        <f t="shared" si="4"/>
        <v>0</v>
      </c>
      <c r="L59" s="666"/>
      <c r="M59" s="665">
        <f t="shared" si="5"/>
        <v>0</v>
      </c>
      <c r="N59" s="666">
        <f t="shared" si="1"/>
        <v>0</v>
      </c>
      <c r="O59" s="672">
        <v>0</v>
      </c>
      <c r="P59" s="668">
        <f t="shared" si="6"/>
        <v>0</v>
      </c>
      <c r="Q59" s="676"/>
      <c r="R59" s="676"/>
    </row>
    <row r="60" spans="1:18" s="677" customFormat="1" ht="25.5" hidden="1" customHeight="1">
      <c r="A60" s="985"/>
      <c r="B60" s="986">
        <f t="shared" si="0"/>
        <v>0</v>
      </c>
      <c r="C60" s="987" t="s">
        <v>1434</v>
      </c>
      <c r="D60" s="993">
        <f>ROUND(Data!X402,2)</f>
        <v>783.5</v>
      </c>
      <c r="E60" s="992" t="s">
        <v>264</v>
      </c>
      <c r="F60" s="987">
        <f t="shared" si="2"/>
        <v>0</v>
      </c>
      <c r="G60" s="994"/>
      <c r="H60" s="666">
        <f t="shared" si="3"/>
        <v>0</v>
      </c>
      <c r="I60" s="666"/>
      <c r="J60" s="666"/>
      <c r="K60" s="666">
        <f t="shared" si="4"/>
        <v>0</v>
      </c>
      <c r="L60" s="666"/>
      <c r="M60" s="665">
        <f t="shared" si="5"/>
        <v>0</v>
      </c>
      <c r="N60" s="666">
        <f t="shared" si="1"/>
        <v>0</v>
      </c>
      <c r="O60" s="672">
        <v>0</v>
      </c>
      <c r="P60" s="668">
        <f t="shared" si="6"/>
        <v>0</v>
      </c>
      <c r="Q60" s="676"/>
      <c r="R60" s="676"/>
    </row>
    <row r="61" spans="1:18" s="677" customFormat="1" ht="25.5" hidden="1" customHeight="1">
      <c r="A61" s="985"/>
      <c r="B61" s="986">
        <f t="shared" si="0"/>
        <v>0</v>
      </c>
      <c r="C61" s="987" t="s">
        <v>1435</v>
      </c>
      <c r="D61" s="993">
        <f>ROUND(Data!X403,2)</f>
        <v>798.87</v>
      </c>
      <c r="E61" s="992" t="s">
        <v>264</v>
      </c>
      <c r="F61" s="987">
        <f t="shared" si="2"/>
        <v>0</v>
      </c>
      <c r="G61" s="994"/>
      <c r="H61" s="666">
        <f t="shared" si="3"/>
        <v>0</v>
      </c>
      <c r="I61" s="666"/>
      <c r="J61" s="666"/>
      <c r="K61" s="666">
        <f t="shared" si="4"/>
        <v>0</v>
      </c>
      <c r="L61" s="666"/>
      <c r="M61" s="665">
        <f t="shared" si="5"/>
        <v>0</v>
      </c>
      <c r="N61" s="666">
        <f t="shared" si="1"/>
        <v>0</v>
      </c>
      <c r="O61" s="672">
        <v>0</v>
      </c>
      <c r="P61" s="668">
        <f t="shared" si="6"/>
        <v>0</v>
      </c>
      <c r="Q61" s="676"/>
      <c r="R61" s="676"/>
    </row>
    <row r="62" spans="1:18" s="677" customFormat="1" ht="25.5" hidden="1" customHeight="1">
      <c r="A62" s="985"/>
      <c r="B62" s="986">
        <f t="shared" si="0"/>
        <v>0</v>
      </c>
      <c r="C62" s="987" t="s">
        <v>1436</v>
      </c>
      <c r="D62" s="993">
        <f>ROUND(Data!X404,2)</f>
        <v>814.23</v>
      </c>
      <c r="E62" s="992" t="s">
        <v>264</v>
      </c>
      <c r="F62" s="987">
        <f t="shared" si="2"/>
        <v>0</v>
      </c>
      <c r="G62" s="994"/>
      <c r="H62" s="666">
        <f t="shared" si="3"/>
        <v>0</v>
      </c>
      <c r="I62" s="666"/>
      <c r="J62" s="666"/>
      <c r="K62" s="666">
        <f t="shared" si="4"/>
        <v>0</v>
      </c>
      <c r="L62" s="666"/>
      <c r="M62" s="665">
        <f t="shared" si="5"/>
        <v>0</v>
      </c>
      <c r="N62" s="666">
        <f t="shared" si="1"/>
        <v>0</v>
      </c>
      <c r="O62" s="672">
        <v>0</v>
      </c>
      <c r="P62" s="668">
        <f t="shared" si="6"/>
        <v>0</v>
      </c>
      <c r="Q62" s="676"/>
      <c r="R62" s="676"/>
    </row>
    <row r="63" spans="1:18" s="677" customFormat="1" ht="25.5" hidden="1" customHeight="1">
      <c r="A63" s="985"/>
      <c r="B63" s="986">
        <f t="shared" si="0"/>
        <v>0</v>
      </c>
      <c r="C63" s="987" t="s">
        <v>1437</v>
      </c>
      <c r="D63" s="993">
        <f>ROUND(Data!X405,2)</f>
        <v>829.6</v>
      </c>
      <c r="E63" s="992" t="s">
        <v>264</v>
      </c>
      <c r="F63" s="987">
        <f t="shared" si="2"/>
        <v>0</v>
      </c>
      <c r="G63" s="994"/>
      <c r="H63" s="666">
        <f t="shared" si="3"/>
        <v>0</v>
      </c>
      <c r="I63" s="666"/>
      <c r="J63" s="666"/>
      <c r="K63" s="666">
        <f t="shared" si="4"/>
        <v>0</v>
      </c>
      <c r="L63" s="666"/>
      <c r="M63" s="665">
        <f t="shared" si="5"/>
        <v>0</v>
      </c>
      <c r="N63" s="666">
        <f t="shared" si="1"/>
        <v>0</v>
      </c>
      <c r="O63" s="672">
        <v>0</v>
      </c>
      <c r="P63" s="668">
        <f t="shared" si="6"/>
        <v>0</v>
      </c>
      <c r="Q63" s="676"/>
      <c r="R63" s="676"/>
    </row>
    <row r="64" spans="1:18" s="677" customFormat="1" ht="25.5" hidden="1" customHeight="1">
      <c r="A64" s="998"/>
      <c r="B64" s="986">
        <f t="shared" si="0"/>
        <v>0</v>
      </c>
      <c r="C64" s="987" t="s">
        <v>1438</v>
      </c>
      <c r="D64" s="993">
        <f>ROUND(Data!X406,2)</f>
        <v>844.97</v>
      </c>
      <c r="E64" s="992" t="s">
        <v>264</v>
      </c>
      <c r="F64" s="987">
        <f t="shared" si="2"/>
        <v>0</v>
      </c>
      <c r="G64" s="994"/>
      <c r="H64" s="666">
        <f t="shared" si="3"/>
        <v>0</v>
      </c>
      <c r="I64" s="666"/>
      <c r="J64" s="666"/>
      <c r="K64" s="666">
        <f t="shared" si="4"/>
        <v>0</v>
      </c>
      <c r="L64" s="666"/>
      <c r="M64" s="665">
        <f t="shared" si="5"/>
        <v>0</v>
      </c>
      <c r="N64" s="666">
        <f t="shared" si="1"/>
        <v>0</v>
      </c>
      <c r="O64" s="672">
        <v>0</v>
      </c>
      <c r="P64" s="668">
        <f t="shared" si="6"/>
        <v>0</v>
      </c>
      <c r="Q64" s="676"/>
      <c r="R64" s="676"/>
    </row>
    <row r="65" spans="1:18" s="677" customFormat="1" ht="69.75" hidden="1" customHeight="1">
      <c r="A65" s="985">
        <v>10.199999999999999</v>
      </c>
      <c r="B65" s="986">
        <f t="shared" si="0"/>
        <v>0</v>
      </c>
      <c r="C65" s="995" t="s">
        <v>1439</v>
      </c>
      <c r="D65" s="993"/>
      <c r="E65" s="992"/>
      <c r="F65" s="987">
        <f t="shared" si="2"/>
        <v>0</v>
      </c>
      <c r="G65" s="994"/>
      <c r="H65" s="666">
        <f t="shared" si="3"/>
        <v>0</v>
      </c>
      <c r="I65" s="666"/>
      <c r="J65" s="666"/>
      <c r="K65" s="666">
        <f t="shared" si="4"/>
        <v>0</v>
      </c>
      <c r="L65" s="666"/>
      <c r="M65" s="665">
        <f t="shared" si="5"/>
        <v>0</v>
      </c>
      <c r="N65" s="666">
        <f t="shared" si="1"/>
        <v>0</v>
      </c>
      <c r="O65" s="672">
        <v>0</v>
      </c>
      <c r="P65" s="668">
        <f t="shared" si="6"/>
        <v>0</v>
      </c>
      <c r="Q65" s="676"/>
      <c r="R65" s="676"/>
    </row>
    <row r="66" spans="1:18" s="677" customFormat="1" ht="25.5" hidden="1" customHeight="1">
      <c r="A66" s="985"/>
      <c r="B66" s="986">
        <f t="shared" si="0"/>
        <v>0</v>
      </c>
      <c r="C66" s="987" t="s">
        <v>1433</v>
      </c>
      <c r="D66" s="993">
        <f>ROUND(Data!AG409,2)</f>
        <v>756.33</v>
      </c>
      <c r="E66" s="992" t="s">
        <v>264</v>
      </c>
      <c r="F66" s="987">
        <f t="shared" si="2"/>
        <v>0</v>
      </c>
      <c r="G66" s="994"/>
      <c r="H66" s="666">
        <f t="shared" si="3"/>
        <v>0</v>
      </c>
      <c r="I66" s="666"/>
      <c r="J66" s="666"/>
      <c r="K66" s="666">
        <f t="shared" si="4"/>
        <v>0</v>
      </c>
      <c r="L66" s="666"/>
      <c r="M66" s="665">
        <f t="shared" si="5"/>
        <v>0</v>
      </c>
      <c r="N66" s="666">
        <f t="shared" si="1"/>
        <v>0</v>
      </c>
      <c r="O66" s="672">
        <v>0</v>
      </c>
      <c r="P66" s="668">
        <f t="shared" si="6"/>
        <v>0</v>
      </c>
      <c r="Q66" s="676"/>
      <c r="R66" s="676"/>
    </row>
    <row r="67" spans="1:18" s="677" customFormat="1" ht="25.5" hidden="1" customHeight="1">
      <c r="A67" s="985"/>
      <c r="B67" s="986">
        <f t="shared" si="0"/>
        <v>0</v>
      </c>
      <c r="C67" s="987" t="s">
        <v>1440</v>
      </c>
      <c r="D67" s="993">
        <f>ROUND(Data!AG411,2)</f>
        <v>764.09</v>
      </c>
      <c r="E67" s="992" t="s">
        <v>264</v>
      </c>
      <c r="F67" s="987">
        <f t="shared" si="2"/>
        <v>0</v>
      </c>
      <c r="G67" s="994"/>
      <c r="H67" s="666">
        <f t="shared" si="3"/>
        <v>0</v>
      </c>
      <c r="I67" s="666"/>
      <c r="J67" s="666"/>
      <c r="K67" s="666">
        <f t="shared" si="4"/>
        <v>0</v>
      </c>
      <c r="L67" s="666"/>
      <c r="M67" s="665">
        <f t="shared" si="5"/>
        <v>0</v>
      </c>
      <c r="N67" s="666">
        <f t="shared" si="1"/>
        <v>0</v>
      </c>
      <c r="O67" s="672">
        <v>0</v>
      </c>
      <c r="P67" s="668">
        <f t="shared" si="6"/>
        <v>0</v>
      </c>
      <c r="Q67" s="676"/>
      <c r="R67" s="676"/>
    </row>
    <row r="68" spans="1:18" s="677" customFormat="1" ht="25.5" hidden="1" customHeight="1">
      <c r="A68" s="985"/>
      <c r="B68" s="986">
        <f t="shared" si="0"/>
        <v>0</v>
      </c>
      <c r="C68" s="987" t="s">
        <v>1435</v>
      </c>
      <c r="D68" s="993">
        <f>ROUND(Data!AG412,2)</f>
        <v>779.73</v>
      </c>
      <c r="E68" s="992" t="s">
        <v>264</v>
      </c>
      <c r="F68" s="987">
        <f t="shared" si="2"/>
        <v>0</v>
      </c>
      <c r="G68" s="994"/>
      <c r="H68" s="666">
        <f t="shared" si="3"/>
        <v>0</v>
      </c>
      <c r="I68" s="666"/>
      <c r="J68" s="666"/>
      <c r="K68" s="666">
        <f t="shared" si="4"/>
        <v>0</v>
      </c>
      <c r="L68" s="666"/>
      <c r="M68" s="665">
        <f t="shared" si="5"/>
        <v>0</v>
      </c>
      <c r="N68" s="666">
        <f t="shared" si="1"/>
        <v>0</v>
      </c>
      <c r="O68" s="672">
        <v>0</v>
      </c>
      <c r="P68" s="668">
        <f t="shared" si="6"/>
        <v>0</v>
      </c>
      <c r="Q68" s="676"/>
      <c r="R68" s="676"/>
    </row>
    <row r="69" spans="1:18" s="677" customFormat="1" ht="25.5" hidden="1" customHeight="1">
      <c r="A69" s="985"/>
      <c r="B69" s="986">
        <f t="shared" si="0"/>
        <v>0</v>
      </c>
      <c r="C69" s="987" t="s">
        <v>1436</v>
      </c>
      <c r="D69" s="993">
        <f>ROUND(Data!AG413,2)</f>
        <v>795.37</v>
      </c>
      <c r="E69" s="992" t="s">
        <v>264</v>
      </c>
      <c r="F69" s="987">
        <f t="shared" si="2"/>
        <v>0</v>
      </c>
      <c r="G69" s="994"/>
      <c r="H69" s="666">
        <f t="shared" si="3"/>
        <v>0</v>
      </c>
      <c r="I69" s="666"/>
      <c r="J69" s="666"/>
      <c r="K69" s="666">
        <f t="shared" si="4"/>
        <v>0</v>
      </c>
      <c r="L69" s="666"/>
      <c r="M69" s="665">
        <f t="shared" si="5"/>
        <v>0</v>
      </c>
      <c r="N69" s="666">
        <f t="shared" si="1"/>
        <v>0</v>
      </c>
      <c r="O69" s="672">
        <v>0</v>
      </c>
      <c r="P69" s="668">
        <f t="shared" si="6"/>
        <v>0</v>
      </c>
      <c r="Q69" s="676"/>
      <c r="R69" s="676"/>
    </row>
    <row r="70" spans="1:18" s="677" customFormat="1" ht="25.5" hidden="1" customHeight="1">
      <c r="A70" s="985"/>
      <c r="B70" s="986">
        <f t="shared" si="0"/>
        <v>0</v>
      </c>
      <c r="C70" s="987" t="s">
        <v>1437</v>
      </c>
      <c r="D70" s="993">
        <f>ROUND(Data!AG414,2)</f>
        <v>811.01</v>
      </c>
      <c r="E70" s="992" t="s">
        <v>264</v>
      </c>
      <c r="F70" s="987">
        <f t="shared" si="2"/>
        <v>0</v>
      </c>
      <c r="G70" s="994"/>
      <c r="H70" s="666">
        <f t="shared" si="3"/>
        <v>0</v>
      </c>
      <c r="I70" s="666"/>
      <c r="J70" s="666"/>
      <c r="K70" s="666">
        <f t="shared" si="4"/>
        <v>0</v>
      </c>
      <c r="L70" s="666"/>
      <c r="M70" s="665">
        <f t="shared" si="5"/>
        <v>0</v>
      </c>
      <c r="N70" s="666">
        <f t="shared" si="1"/>
        <v>0</v>
      </c>
      <c r="O70" s="672">
        <v>0</v>
      </c>
      <c r="P70" s="668">
        <f t="shared" si="6"/>
        <v>0</v>
      </c>
      <c r="Q70" s="676"/>
      <c r="R70" s="676"/>
    </row>
    <row r="71" spans="1:18" s="677" customFormat="1" ht="25.5" hidden="1" customHeight="1">
      <c r="A71" s="998"/>
      <c r="B71" s="986">
        <f t="shared" ref="B71:B134" si="7">M71</f>
        <v>0</v>
      </c>
      <c r="C71" s="987" t="s">
        <v>1438</v>
      </c>
      <c r="D71" s="993">
        <f>ROUND(Data!AG415,2)</f>
        <v>826.65</v>
      </c>
      <c r="E71" s="992" t="s">
        <v>264</v>
      </c>
      <c r="F71" s="987">
        <f t="shared" si="2"/>
        <v>0</v>
      </c>
      <c r="G71" s="994"/>
      <c r="H71" s="666">
        <f t="shared" si="3"/>
        <v>0</v>
      </c>
      <c r="I71" s="666"/>
      <c r="J71" s="666"/>
      <c r="K71" s="666">
        <f t="shared" si="4"/>
        <v>0</v>
      </c>
      <c r="L71" s="666"/>
      <c r="M71" s="665">
        <f t="shared" si="5"/>
        <v>0</v>
      </c>
      <c r="N71" s="666">
        <f t="shared" ref="N71:N134" si="8">M71*D71</f>
        <v>0</v>
      </c>
      <c r="O71" s="672">
        <v>0</v>
      </c>
      <c r="P71" s="668">
        <f t="shared" si="6"/>
        <v>0</v>
      </c>
      <c r="Q71" s="676"/>
      <c r="R71" s="676"/>
    </row>
    <row r="72" spans="1:18" s="677" customFormat="1" ht="25.5" hidden="1" customHeight="1">
      <c r="A72" s="998"/>
      <c r="B72" s="986">
        <f t="shared" si="7"/>
        <v>0</v>
      </c>
      <c r="C72" s="987" t="s">
        <v>1411</v>
      </c>
      <c r="D72" s="993">
        <f>ROUND(Data!AG416,2)</f>
        <v>842.29</v>
      </c>
      <c r="E72" s="992" t="s">
        <v>264</v>
      </c>
      <c r="F72" s="987">
        <f t="shared" ref="F72:F135" si="9">B72*D72</f>
        <v>0</v>
      </c>
      <c r="G72" s="994"/>
      <c r="H72" s="666">
        <f t="shared" ref="H72:H135" si="10">G72*D72</f>
        <v>0</v>
      </c>
      <c r="I72" s="666"/>
      <c r="J72" s="666"/>
      <c r="K72" s="666">
        <f t="shared" ref="K72:K135" si="11">I72</f>
        <v>0</v>
      </c>
      <c r="L72" s="666"/>
      <c r="M72" s="665">
        <f t="shared" ref="M72:M135" si="12">G72</f>
        <v>0</v>
      </c>
      <c r="N72" s="666">
        <f t="shared" si="8"/>
        <v>0</v>
      </c>
      <c r="O72" s="672">
        <v>0</v>
      </c>
      <c r="P72" s="668">
        <f t="shared" ref="P72:P135" si="13">M72-O72</f>
        <v>0</v>
      </c>
      <c r="Q72" s="676"/>
      <c r="R72" s="676"/>
    </row>
    <row r="73" spans="1:18" s="677" customFormat="1" ht="25.5" hidden="1" customHeight="1">
      <c r="A73" s="998"/>
      <c r="B73" s="986">
        <f t="shared" si="7"/>
        <v>0</v>
      </c>
      <c r="C73" s="987" t="s">
        <v>1412</v>
      </c>
      <c r="D73" s="993">
        <f>ROUND(Data!AG417,2)</f>
        <v>857.93</v>
      </c>
      <c r="E73" s="992" t="s">
        <v>264</v>
      </c>
      <c r="F73" s="987">
        <f t="shared" si="9"/>
        <v>0</v>
      </c>
      <c r="G73" s="994"/>
      <c r="H73" s="666">
        <f t="shared" si="10"/>
        <v>0</v>
      </c>
      <c r="I73" s="666"/>
      <c r="J73" s="666"/>
      <c r="K73" s="666">
        <f t="shared" si="11"/>
        <v>0</v>
      </c>
      <c r="L73" s="666"/>
      <c r="M73" s="665">
        <f t="shared" si="12"/>
        <v>0</v>
      </c>
      <c r="N73" s="666">
        <f t="shared" si="8"/>
        <v>0</v>
      </c>
      <c r="O73" s="672">
        <v>0</v>
      </c>
      <c r="P73" s="668">
        <f t="shared" si="13"/>
        <v>0</v>
      </c>
      <c r="Q73" s="676"/>
      <c r="R73" s="676"/>
    </row>
    <row r="74" spans="1:18" s="677" customFormat="1" ht="25.5" hidden="1" customHeight="1">
      <c r="A74" s="998"/>
      <c r="B74" s="986">
        <f t="shared" si="7"/>
        <v>0</v>
      </c>
      <c r="C74" s="987" t="s">
        <v>1413</v>
      </c>
      <c r="D74" s="993">
        <f>ROUND(Data!AG418,2)</f>
        <v>873.57</v>
      </c>
      <c r="E74" s="992" t="s">
        <v>264</v>
      </c>
      <c r="F74" s="987">
        <f t="shared" si="9"/>
        <v>0</v>
      </c>
      <c r="G74" s="994"/>
      <c r="H74" s="666">
        <f t="shared" si="10"/>
        <v>0</v>
      </c>
      <c r="I74" s="666"/>
      <c r="J74" s="666"/>
      <c r="K74" s="666">
        <f t="shared" si="11"/>
        <v>0</v>
      </c>
      <c r="L74" s="666"/>
      <c r="M74" s="665">
        <f t="shared" si="12"/>
        <v>0</v>
      </c>
      <c r="N74" s="666">
        <f t="shared" si="8"/>
        <v>0</v>
      </c>
      <c r="O74" s="672">
        <v>0</v>
      </c>
      <c r="P74" s="668">
        <f t="shared" si="13"/>
        <v>0</v>
      </c>
      <c r="Q74" s="676"/>
      <c r="R74" s="676"/>
    </row>
    <row r="75" spans="1:18" s="677" customFormat="1" ht="25.5" hidden="1" customHeight="1">
      <c r="A75" s="998"/>
      <c r="B75" s="986">
        <f t="shared" si="7"/>
        <v>0</v>
      </c>
      <c r="C75" s="987" t="s">
        <v>1414</v>
      </c>
      <c r="D75" s="993">
        <f>ROUND(Data!AG419,2)</f>
        <v>889.21</v>
      </c>
      <c r="E75" s="992" t="s">
        <v>264</v>
      </c>
      <c r="F75" s="987">
        <f t="shared" si="9"/>
        <v>0</v>
      </c>
      <c r="G75" s="994"/>
      <c r="H75" s="666">
        <f t="shared" si="10"/>
        <v>0</v>
      </c>
      <c r="I75" s="666"/>
      <c r="J75" s="666"/>
      <c r="K75" s="666">
        <f t="shared" si="11"/>
        <v>0</v>
      </c>
      <c r="L75" s="666"/>
      <c r="M75" s="665">
        <f t="shared" si="12"/>
        <v>0</v>
      </c>
      <c r="N75" s="666">
        <f t="shared" si="8"/>
        <v>0</v>
      </c>
      <c r="O75" s="672">
        <v>0</v>
      </c>
      <c r="P75" s="668">
        <f t="shared" si="13"/>
        <v>0</v>
      </c>
      <c r="Q75" s="676"/>
      <c r="R75" s="676"/>
    </row>
    <row r="76" spans="1:18" s="677" customFormat="1" ht="25.5" hidden="1" customHeight="1">
      <c r="A76" s="998"/>
      <c r="B76" s="986">
        <f t="shared" si="7"/>
        <v>0</v>
      </c>
      <c r="C76" s="987" t="s">
        <v>1415</v>
      </c>
      <c r="D76" s="993">
        <f>ROUND(Data!AG420,2)</f>
        <v>904.85</v>
      </c>
      <c r="E76" s="992" t="s">
        <v>264</v>
      </c>
      <c r="F76" s="987">
        <f t="shared" si="9"/>
        <v>0</v>
      </c>
      <c r="G76" s="994"/>
      <c r="H76" s="666">
        <f t="shared" si="10"/>
        <v>0</v>
      </c>
      <c r="I76" s="666"/>
      <c r="J76" s="666"/>
      <c r="K76" s="666">
        <f t="shared" si="11"/>
        <v>0</v>
      </c>
      <c r="L76" s="666"/>
      <c r="M76" s="665">
        <f t="shared" si="12"/>
        <v>0</v>
      </c>
      <c r="N76" s="666">
        <f t="shared" si="8"/>
        <v>0</v>
      </c>
      <c r="O76" s="672">
        <v>0</v>
      </c>
      <c r="P76" s="668">
        <f t="shared" si="13"/>
        <v>0</v>
      </c>
      <c r="Q76" s="676"/>
      <c r="R76" s="676"/>
    </row>
    <row r="77" spans="1:18" s="677" customFormat="1" ht="26.25" hidden="1" customHeight="1">
      <c r="A77" s="998"/>
      <c r="B77" s="986">
        <f t="shared" si="7"/>
        <v>0</v>
      </c>
      <c r="C77" s="987" t="s">
        <v>1416</v>
      </c>
      <c r="D77" s="993">
        <f>ROUND(Data!AG421,2)</f>
        <v>920.49</v>
      </c>
      <c r="E77" s="992" t="s">
        <v>264</v>
      </c>
      <c r="F77" s="987">
        <f t="shared" si="9"/>
        <v>0</v>
      </c>
      <c r="G77" s="994"/>
      <c r="H77" s="666">
        <f t="shared" si="10"/>
        <v>0</v>
      </c>
      <c r="I77" s="666"/>
      <c r="J77" s="666"/>
      <c r="K77" s="666">
        <f t="shared" si="11"/>
        <v>0</v>
      </c>
      <c r="L77" s="666"/>
      <c r="M77" s="665">
        <f t="shared" si="12"/>
        <v>0</v>
      </c>
      <c r="N77" s="666">
        <f t="shared" si="8"/>
        <v>0</v>
      </c>
      <c r="O77" s="672">
        <v>0</v>
      </c>
      <c r="P77" s="668">
        <f t="shared" si="13"/>
        <v>0</v>
      </c>
      <c r="Q77" s="676"/>
      <c r="R77" s="676"/>
    </row>
    <row r="78" spans="1:18" s="677" customFormat="1" ht="25.5" hidden="1" customHeight="1">
      <c r="A78" s="998"/>
      <c r="B78" s="986">
        <f t="shared" si="7"/>
        <v>0</v>
      </c>
      <c r="C78" s="987" t="s">
        <v>1417</v>
      </c>
      <c r="D78" s="993">
        <f>ROUND(Data!AG422,2)</f>
        <v>936.13</v>
      </c>
      <c r="E78" s="992" t="s">
        <v>264</v>
      </c>
      <c r="F78" s="987">
        <f t="shared" si="9"/>
        <v>0</v>
      </c>
      <c r="G78" s="994"/>
      <c r="H78" s="666">
        <f t="shared" si="10"/>
        <v>0</v>
      </c>
      <c r="I78" s="666"/>
      <c r="J78" s="666"/>
      <c r="K78" s="666">
        <f t="shared" si="11"/>
        <v>0</v>
      </c>
      <c r="L78" s="666"/>
      <c r="M78" s="665">
        <f t="shared" si="12"/>
        <v>0</v>
      </c>
      <c r="N78" s="666">
        <f t="shared" si="8"/>
        <v>0</v>
      </c>
      <c r="O78" s="672">
        <v>0</v>
      </c>
      <c r="P78" s="668">
        <f t="shared" si="13"/>
        <v>0</v>
      </c>
      <c r="Q78" s="676"/>
      <c r="R78" s="676"/>
    </row>
    <row r="79" spans="1:18" s="677" customFormat="1" ht="25.5" hidden="1" customHeight="1">
      <c r="A79" s="998"/>
      <c r="B79" s="986">
        <f t="shared" si="7"/>
        <v>0</v>
      </c>
      <c r="C79" s="987" t="s">
        <v>1418</v>
      </c>
      <c r="D79" s="993">
        <f>Data!AI422</f>
        <v>951.77539548000004</v>
      </c>
      <c r="E79" s="992" t="s">
        <v>264</v>
      </c>
      <c r="F79" s="987">
        <f t="shared" si="9"/>
        <v>0</v>
      </c>
      <c r="G79" s="994"/>
      <c r="H79" s="666">
        <f t="shared" si="10"/>
        <v>0</v>
      </c>
      <c r="I79" s="666"/>
      <c r="J79" s="666"/>
      <c r="K79" s="666">
        <f t="shared" si="11"/>
        <v>0</v>
      </c>
      <c r="L79" s="666"/>
      <c r="M79" s="665">
        <f t="shared" si="12"/>
        <v>0</v>
      </c>
      <c r="N79" s="666">
        <f t="shared" si="8"/>
        <v>0</v>
      </c>
      <c r="O79" s="672">
        <v>0</v>
      </c>
      <c r="P79" s="668">
        <f t="shared" si="13"/>
        <v>0</v>
      </c>
      <c r="Q79" s="676"/>
      <c r="R79" s="676"/>
    </row>
    <row r="80" spans="1:18" s="677" customFormat="1" ht="25.5" hidden="1" customHeight="1">
      <c r="A80" s="998"/>
      <c r="B80" s="986">
        <f t="shared" si="7"/>
        <v>0</v>
      </c>
      <c r="C80" s="987" t="s">
        <v>1427</v>
      </c>
      <c r="D80" s="993">
        <f>Data!AI423</f>
        <v>967.41619548000006</v>
      </c>
      <c r="E80" s="992" t="s">
        <v>264</v>
      </c>
      <c r="F80" s="987">
        <f t="shared" si="9"/>
        <v>0</v>
      </c>
      <c r="G80" s="994"/>
      <c r="H80" s="666">
        <f t="shared" si="10"/>
        <v>0</v>
      </c>
      <c r="I80" s="666"/>
      <c r="J80" s="666"/>
      <c r="K80" s="666">
        <f t="shared" si="11"/>
        <v>0</v>
      </c>
      <c r="L80" s="666"/>
      <c r="M80" s="665">
        <f t="shared" si="12"/>
        <v>0</v>
      </c>
      <c r="N80" s="666">
        <f t="shared" si="8"/>
        <v>0</v>
      </c>
      <c r="O80" s="672">
        <v>0</v>
      </c>
      <c r="P80" s="668">
        <f t="shared" si="13"/>
        <v>0</v>
      </c>
      <c r="Q80" s="676"/>
      <c r="R80" s="676"/>
    </row>
    <row r="81" spans="1:19" s="677" customFormat="1" ht="69.75" hidden="1" customHeight="1">
      <c r="A81" s="985">
        <v>10.3</v>
      </c>
      <c r="B81" s="986">
        <f t="shared" si="7"/>
        <v>0</v>
      </c>
      <c r="C81" s="995" t="s">
        <v>1441</v>
      </c>
      <c r="D81" s="993"/>
      <c r="E81" s="992"/>
      <c r="F81" s="987">
        <f t="shared" si="9"/>
        <v>0</v>
      </c>
      <c r="G81" s="994"/>
      <c r="H81" s="666">
        <f t="shared" si="10"/>
        <v>0</v>
      </c>
      <c r="I81" s="666"/>
      <c r="J81" s="666"/>
      <c r="K81" s="666">
        <f t="shared" si="11"/>
        <v>0</v>
      </c>
      <c r="L81" s="666"/>
      <c r="M81" s="665">
        <f t="shared" si="12"/>
        <v>0</v>
      </c>
      <c r="N81" s="666">
        <f t="shared" si="8"/>
        <v>0</v>
      </c>
      <c r="O81" s="672">
        <v>0</v>
      </c>
      <c r="P81" s="668">
        <f t="shared" si="13"/>
        <v>0</v>
      </c>
      <c r="Q81" s="676"/>
      <c r="R81" s="676"/>
    </row>
    <row r="82" spans="1:19" s="677" customFormat="1" ht="25.5" hidden="1" customHeight="1">
      <c r="A82" s="985"/>
      <c r="B82" s="986">
        <f t="shared" si="7"/>
        <v>0</v>
      </c>
      <c r="C82" s="987" t="s">
        <v>1433</v>
      </c>
      <c r="D82" s="993"/>
      <c r="E82" s="992" t="s">
        <v>264</v>
      </c>
      <c r="F82" s="987">
        <f t="shared" si="9"/>
        <v>0</v>
      </c>
      <c r="G82" s="994"/>
      <c r="H82" s="666">
        <f t="shared" si="10"/>
        <v>0</v>
      </c>
      <c r="I82" s="666"/>
      <c r="J82" s="666"/>
      <c r="K82" s="666">
        <f t="shared" si="11"/>
        <v>0</v>
      </c>
      <c r="L82" s="666"/>
      <c r="M82" s="665">
        <f t="shared" si="12"/>
        <v>0</v>
      </c>
      <c r="N82" s="666">
        <f t="shared" si="8"/>
        <v>0</v>
      </c>
      <c r="O82" s="672">
        <v>0</v>
      </c>
      <c r="P82" s="668">
        <f t="shared" si="13"/>
        <v>0</v>
      </c>
      <c r="Q82" s="676"/>
      <c r="R82" s="676"/>
    </row>
    <row r="83" spans="1:19" s="677" customFormat="1" ht="25.5" hidden="1" customHeight="1">
      <c r="A83" s="985"/>
      <c r="B83" s="986">
        <f t="shared" si="7"/>
        <v>0</v>
      </c>
      <c r="C83" s="987" t="s">
        <v>1434</v>
      </c>
      <c r="D83" s="993"/>
      <c r="E83" s="992" t="s">
        <v>264</v>
      </c>
      <c r="F83" s="987">
        <f t="shared" si="9"/>
        <v>0</v>
      </c>
      <c r="G83" s="994"/>
      <c r="H83" s="666">
        <f t="shared" si="10"/>
        <v>0</v>
      </c>
      <c r="I83" s="666"/>
      <c r="J83" s="666"/>
      <c r="K83" s="666">
        <f t="shared" si="11"/>
        <v>0</v>
      </c>
      <c r="L83" s="666"/>
      <c r="M83" s="665">
        <f t="shared" si="12"/>
        <v>0</v>
      </c>
      <c r="N83" s="666">
        <f t="shared" si="8"/>
        <v>0</v>
      </c>
      <c r="O83" s="672">
        <v>0</v>
      </c>
      <c r="P83" s="668">
        <f t="shared" si="13"/>
        <v>0</v>
      </c>
      <c r="Q83" s="676"/>
      <c r="R83" s="676"/>
    </row>
    <row r="84" spans="1:19" s="677" customFormat="1" ht="25.5" hidden="1" customHeight="1">
      <c r="A84" s="985"/>
      <c r="B84" s="986">
        <f t="shared" si="7"/>
        <v>0</v>
      </c>
      <c r="C84" s="987" t="s">
        <v>1435</v>
      </c>
      <c r="D84" s="993"/>
      <c r="E84" s="992" t="s">
        <v>264</v>
      </c>
      <c r="F84" s="987">
        <f t="shared" si="9"/>
        <v>0</v>
      </c>
      <c r="G84" s="994"/>
      <c r="H84" s="666">
        <f t="shared" si="10"/>
        <v>0</v>
      </c>
      <c r="I84" s="666"/>
      <c r="J84" s="666"/>
      <c r="K84" s="666">
        <f t="shared" si="11"/>
        <v>0</v>
      </c>
      <c r="L84" s="666"/>
      <c r="M84" s="665">
        <f t="shared" si="12"/>
        <v>0</v>
      </c>
      <c r="N84" s="666">
        <f t="shared" si="8"/>
        <v>0</v>
      </c>
      <c r="O84" s="672">
        <v>0</v>
      </c>
      <c r="P84" s="668">
        <f t="shared" si="13"/>
        <v>0</v>
      </c>
      <c r="Q84" s="676"/>
      <c r="R84" s="676"/>
    </row>
    <row r="85" spans="1:19" s="677" customFormat="1" ht="25.5" hidden="1" customHeight="1">
      <c r="A85" s="985"/>
      <c r="B85" s="986">
        <f t="shared" si="7"/>
        <v>0</v>
      </c>
      <c r="C85" s="987" t="s">
        <v>1436</v>
      </c>
      <c r="D85" s="993"/>
      <c r="E85" s="992" t="s">
        <v>264</v>
      </c>
      <c r="F85" s="987">
        <f t="shared" si="9"/>
        <v>0</v>
      </c>
      <c r="G85" s="994"/>
      <c r="H85" s="666">
        <f t="shared" si="10"/>
        <v>0</v>
      </c>
      <c r="I85" s="666"/>
      <c r="J85" s="666"/>
      <c r="K85" s="666">
        <f t="shared" si="11"/>
        <v>0</v>
      </c>
      <c r="L85" s="666"/>
      <c r="M85" s="665">
        <f t="shared" si="12"/>
        <v>0</v>
      </c>
      <c r="N85" s="666">
        <f t="shared" si="8"/>
        <v>0</v>
      </c>
      <c r="O85" s="672">
        <v>0</v>
      </c>
      <c r="P85" s="668">
        <f t="shared" si="13"/>
        <v>0</v>
      </c>
      <c r="Q85" s="676"/>
      <c r="R85" s="676"/>
    </row>
    <row r="86" spans="1:19" s="677" customFormat="1" ht="25.5" hidden="1" customHeight="1">
      <c r="A86" s="985"/>
      <c r="B86" s="986">
        <f t="shared" si="7"/>
        <v>0</v>
      </c>
      <c r="C86" s="987" t="s">
        <v>1437</v>
      </c>
      <c r="D86" s="993"/>
      <c r="E86" s="992" t="s">
        <v>264</v>
      </c>
      <c r="F86" s="987">
        <f t="shared" si="9"/>
        <v>0</v>
      </c>
      <c r="G86" s="994"/>
      <c r="H86" s="666">
        <f t="shared" si="10"/>
        <v>0</v>
      </c>
      <c r="I86" s="666"/>
      <c r="J86" s="666"/>
      <c r="K86" s="666">
        <f t="shared" si="11"/>
        <v>0</v>
      </c>
      <c r="L86" s="666"/>
      <c r="M86" s="665">
        <f t="shared" si="12"/>
        <v>0</v>
      </c>
      <c r="N86" s="666">
        <f t="shared" si="8"/>
        <v>0</v>
      </c>
      <c r="O86" s="672">
        <v>0</v>
      </c>
      <c r="P86" s="668">
        <f t="shared" si="13"/>
        <v>0</v>
      </c>
      <c r="Q86" s="676"/>
      <c r="R86" s="676"/>
    </row>
    <row r="87" spans="1:19" s="677" customFormat="1" ht="25.5" hidden="1" customHeight="1">
      <c r="A87" s="998"/>
      <c r="B87" s="986">
        <f t="shared" si="7"/>
        <v>0</v>
      </c>
      <c r="C87" s="987" t="s">
        <v>1438</v>
      </c>
      <c r="D87" s="993"/>
      <c r="E87" s="992" t="s">
        <v>264</v>
      </c>
      <c r="F87" s="987">
        <f t="shared" si="9"/>
        <v>0</v>
      </c>
      <c r="G87" s="994"/>
      <c r="H87" s="666">
        <f t="shared" si="10"/>
        <v>0</v>
      </c>
      <c r="I87" s="666"/>
      <c r="J87" s="666"/>
      <c r="K87" s="666">
        <f t="shared" si="11"/>
        <v>0</v>
      </c>
      <c r="L87" s="666"/>
      <c r="M87" s="665">
        <f t="shared" si="12"/>
        <v>0</v>
      </c>
      <c r="N87" s="666">
        <f t="shared" si="8"/>
        <v>0</v>
      </c>
      <c r="O87" s="672">
        <v>0</v>
      </c>
      <c r="P87" s="668">
        <f t="shared" si="13"/>
        <v>0</v>
      </c>
      <c r="Q87" s="676"/>
      <c r="R87" s="676"/>
    </row>
    <row r="88" spans="1:19" s="677" customFormat="1" ht="69.75" hidden="1" customHeight="1">
      <c r="A88" s="985">
        <v>10.4</v>
      </c>
      <c r="B88" s="986">
        <f t="shared" si="7"/>
        <v>0</v>
      </c>
      <c r="C88" s="995" t="s">
        <v>1442</v>
      </c>
      <c r="D88" s="993"/>
      <c r="E88" s="992"/>
      <c r="F88" s="987">
        <f t="shared" si="9"/>
        <v>0</v>
      </c>
      <c r="G88" s="994"/>
      <c r="H88" s="666">
        <f t="shared" si="10"/>
        <v>0</v>
      </c>
      <c r="I88" s="666"/>
      <c r="J88" s="666"/>
      <c r="K88" s="666">
        <f t="shared" si="11"/>
        <v>0</v>
      </c>
      <c r="L88" s="666"/>
      <c r="M88" s="665">
        <f t="shared" si="12"/>
        <v>0</v>
      </c>
      <c r="N88" s="666">
        <f t="shared" si="8"/>
        <v>0</v>
      </c>
      <c r="O88" s="672">
        <v>0</v>
      </c>
      <c r="P88" s="668">
        <f t="shared" si="13"/>
        <v>0</v>
      </c>
      <c r="Q88" s="676"/>
      <c r="R88" s="676"/>
    </row>
    <row r="89" spans="1:19" s="677" customFormat="1" ht="25.5" hidden="1" customHeight="1">
      <c r="A89" s="985"/>
      <c r="B89" s="986">
        <f t="shared" si="7"/>
        <v>0</v>
      </c>
      <c r="C89" s="987" t="s">
        <v>1433</v>
      </c>
      <c r="D89" s="993"/>
      <c r="E89" s="992" t="s">
        <v>264</v>
      </c>
      <c r="F89" s="987">
        <f t="shared" si="9"/>
        <v>0</v>
      </c>
      <c r="G89" s="994"/>
      <c r="H89" s="666">
        <f t="shared" si="10"/>
        <v>0</v>
      </c>
      <c r="I89" s="666"/>
      <c r="J89" s="666"/>
      <c r="K89" s="666">
        <f t="shared" si="11"/>
        <v>0</v>
      </c>
      <c r="L89" s="666"/>
      <c r="M89" s="665">
        <f t="shared" si="12"/>
        <v>0</v>
      </c>
      <c r="N89" s="666">
        <f t="shared" si="8"/>
        <v>0</v>
      </c>
      <c r="O89" s="672">
        <v>0</v>
      </c>
      <c r="P89" s="668">
        <f t="shared" si="13"/>
        <v>0</v>
      </c>
      <c r="Q89" s="676"/>
      <c r="R89" s="676"/>
    </row>
    <row r="90" spans="1:19" s="677" customFormat="1" ht="25.5" hidden="1" customHeight="1">
      <c r="A90" s="985"/>
      <c r="B90" s="986">
        <f t="shared" si="7"/>
        <v>0</v>
      </c>
      <c r="C90" s="987" t="s">
        <v>1434</v>
      </c>
      <c r="D90" s="993"/>
      <c r="E90" s="992" t="s">
        <v>264</v>
      </c>
      <c r="F90" s="987">
        <f t="shared" si="9"/>
        <v>0</v>
      </c>
      <c r="G90" s="994"/>
      <c r="H90" s="666">
        <f t="shared" si="10"/>
        <v>0</v>
      </c>
      <c r="I90" s="666"/>
      <c r="J90" s="666"/>
      <c r="K90" s="666">
        <f t="shared" si="11"/>
        <v>0</v>
      </c>
      <c r="L90" s="666"/>
      <c r="M90" s="665">
        <f t="shared" si="12"/>
        <v>0</v>
      </c>
      <c r="N90" s="666">
        <f t="shared" si="8"/>
        <v>0</v>
      </c>
      <c r="O90" s="672">
        <v>0</v>
      </c>
      <c r="P90" s="668">
        <f t="shared" si="13"/>
        <v>0</v>
      </c>
      <c r="Q90" s="676"/>
      <c r="R90" s="676"/>
    </row>
    <row r="91" spans="1:19" s="677" customFormat="1" ht="25.5" hidden="1" customHeight="1">
      <c r="A91" s="985"/>
      <c r="B91" s="986">
        <f t="shared" si="7"/>
        <v>0</v>
      </c>
      <c r="C91" s="987" t="s">
        <v>1435</v>
      </c>
      <c r="D91" s="993"/>
      <c r="E91" s="992" t="s">
        <v>264</v>
      </c>
      <c r="F91" s="987">
        <f t="shared" si="9"/>
        <v>0</v>
      </c>
      <c r="G91" s="994"/>
      <c r="H91" s="666">
        <f t="shared" si="10"/>
        <v>0</v>
      </c>
      <c r="I91" s="666"/>
      <c r="J91" s="666"/>
      <c r="K91" s="666">
        <f t="shared" si="11"/>
        <v>0</v>
      </c>
      <c r="L91" s="666"/>
      <c r="M91" s="665">
        <f t="shared" si="12"/>
        <v>0</v>
      </c>
      <c r="N91" s="666">
        <f t="shared" si="8"/>
        <v>0</v>
      </c>
      <c r="O91" s="672">
        <v>0</v>
      </c>
      <c r="P91" s="668">
        <f t="shared" si="13"/>
        <v>0</v>
      </c>
      <c r="Q91" s="676"/>
      <c r="R91" s="676"/>
    </row>
    <row r="92" spans="1:19" s="677" customFormat="1" ht="25.5" hidden="1" customHeight="1">
      <c r="A92" s="985"/>
      <c r="B92" s="986">
        <f t="shared" si="7"/>
        <v>0</v>
      </c>
      <c r="C92" s="987" t="s">
        <v>1436</v>
      </c>
      <c r="D92" s="993"/>
      <c r="E92" s="992" t="s">
        <v>264</v>
      </c>
      <c r="F92" s="987">
        <f t="shared" si="9"/>
        <v>0</v>
      </c>
      <c r="G92" s="994"/>
      <c r="H92" s="666">
        <f t="shared" si="10"/>
        <v>0</v>
      </c>
      <c r="I92" s="666"/>
      <c r="J92" s="666"/>
      <c r="K92" s="666">
        <f t="shared" si="11"/>
        <v>0</v>
      </c>
      <c r="L92" s="666"/>
      <c r="M92" s="665">
        <f t="shared" si="12"/>
        <v>0</v>
      </c>
      <c r="N92" s="666">
        <f t="shared" si="8"/>
        <v>0</v>
      </c>
      <c r="O92" s="672">
        <v>0</v>
      </c>
      <c r="P92" s="668">
        <f t="shared" si="13"/>
        <v>0</v>
      </c>
      <c r="Q92" s="676"/>
      <c r="R92" s="676"/>
    </row>
    <row r="93" spans="1:19" s="677" customFormat="1" ht="25.5" hidden="1" customHeight="1">
      <c r="A93" s="985"/>
      <c r="B93" s="986">
        <f t="shared" si="7"/>
        <v>0</v>
      </c>
      <c r="C93" s="987" t="s">
        <v>1437</v>
      </c>
      <c r="D93" s="993"/>
      <c r="E93" s="992" t="s">
        <v>264</v>
      </c>
      <c r="F93" s="987">
        <f t="shared" si="9"/>
        <v>0</v>
      </c>
      <c r="G93" s="994"/>
      <c r="H93" s="666">
        <f t="shared" si="10"/>
        <v>0</v>
      </c>
      <c r="I93" s="666"/>
      <c r="J93" s="666"/>
      <c r="K93" s="666">
        <f t="shared" si="11"/>
        <v>0</v>
      </c>
      <c r="L93" s="666"/>
      <c r="M93" s="665">
        <f t="shared" si="12"/>
        <v>0</v>
      </c>
      <c r="N93" s="666">
        <f t="shared" si="8"/>
        <v>0</v>
      </c>
      <c r="O93" s="672">
        <v>0</v>
      </c>
      <c r="P93" s="668">
        <f t="shared" si="13"/>
        <v>0</v>
      </c>
      <c r="Q93" s="676"/>
      <c r="R93" s="676"/>
    </row>
    <row r="94" spans="1:19" s="677" customFormat="1" ht="25.5" hidden="1" customHeight="1">
      <c r="A94" s="998"/>
      <c r="B94" s="986">
        <f t="shared" si="7"/>
        <v>0</v>
      </c>
      <c r="C94" s="987" t="s">
        <v>1438</v>
      </c>
      <c r="D94" s="993"/>
      <c r="E94" s="992" t="s">
        <v>264</v>
      </c>
      <c r="F94" s="987">
        <f t="shared" si="9"/>
        <v>0</v>
      </c>
      <c r="G94" s="994"/>
      <c r="H94" s="666">
        <f t="shared" si="10"/>
        <v>0</v>
      </c>
      <c r="I94" s="666"/>
      <c r="J94" s="666"/>
      <c r="K94" s="666">
        <f t="shared" si="11"/>
        <v>0</v>
      </c>
      <c r="L94" s="666"/>
      <c r="M94" s="665">
        <f t="shared" si="12"/>
        <v>0</v>
      </c>
      <c r="N94" s="666">
        <f t="shared" si="8"/>
        <v>0</v>
      </c>
      <c r="O94" s="672">
        <v>0</v>
      </c>
      <c r="P94" s="668">
        <f t="shared" si="13"/>
        <v>0</v>
      </c>
      <c r="Q94" s="676"/>
      <c r="R94" s="676"/>
    </row>
    <row r="95" spans="1:19" ht="84.75" customHeight="1">
      <c r="A95" s="985">
        <v>10.5</v>
      </c>
      <c r="B95" s="986">
        <f t="shared" si="7"/>
        <v>0</v>
      </c>
      <c r="C95" s="995" t="s">
        <v>1443</v>
      </c>
      <c r="D95" s="990"/>
      <c r="E95" s="987"/>
      <c r="F95" s="987">
        <f t="shared" si="9"/>
        <v>0</v>
      </c>
      <c r="G95" s="989"/>
      <c r="H95" s="666">
        <f t="shared" si="10"/>
        <v>0</v>
      </c>
      <c r="I95" s="666"/>
      <c r="J95" s="666"/>
      <c r="K95" s="666">
        <f t="shared" si="11"/>
        <v>0</v>
      </c>
      <c r="L95" s="666"/>
      <c r="M95" s="665">
        <f t="shared" si="12"/>
        <v>0</v>
      </c>
      <c r="N95" s="666">
        <f t="shared" si="8"/>
        <v>0</v>
      </c>
      <c r="O95" s="668">
        <v>0</v>
      </c>
      <c r="P95" s="668">
        <f t="shared" si="13"/>
        <v>0</v>
      </c>
      <c r="Q95" s="678"/>
      <c r="S95" s="679"/>
    </row>
    <row r="96" spans="1:19" ht="43.5" hidden="1" customHeight="1">
      <c r="A96" s="985"/>
      <c r="B96" s="986">
        <f t="shared" si="7"/>
        <v>0</v>
      </c>
      <c r="C96" s="987" t="s">
        <v>1433</v>
      </c>
      <c r="D96" s="990">
        <f>ROUND(Data!K400,2)</f>
        <v>744.9</v>
      </c>
      <c r="E96" s="987" t="s">
        <v>264</v>
      </c>
      <c r="F96" s="987">
        <f t="shared" si="9"/>
        <v>0</v>
      </c>
      <c r="G96" s="989"/>
      <c r="H96" s="666">
        <f t="shared" si="10"/>
        <v>0</v>
      </c>
      <c r="I96" s="666"/>
      <c r="J96" s="666"/>
      <c r="K96" s="666">
        <f t="shared" si="11"/>
        <v>0</v>
      </c>
      <c r="L96" s="666"/>
      <c r="M96" s="665">
        <f t="shared" si="12"/>
        <v>0</v>
      </c>
      <c r="N96" s="666">
        <f t="shared" si="8"/>
        <v>0</v>
      </c>
      <c r="O96" s="672">
        <v>0</v>
      </c>
      <c r="P96" s="668">
        <f t="shared" si="13"/>
        <v>0</v>
      </c>
    </row>
    <row r="97" spans="1:18" ht="43.5" customHeight="1">
      <c r="A97" s="985"/>
      <c r="B97" s="986">
        <f t="shared" si="7"/>
        <v>19.600000000000001</v>
      </c>
      <c r="C97" s="987" t="s">
        <v>1434</v>
      </c>
      <c r="D97" s="990">
        <f>ROUND(Data!K402,2)</f>
        <v>752.38</v>
      </c>
      <c r="E97" s="987" t="s">
        <v>264</v>
      </c>
      <c r="F97" s="987">
        <f t="shared" si="9"/>
        <v>14746.648000000001</v>
      </c>
      <c r="G97" s="989">
        <f>Detailed!H349</f>
        <v>19.600000000000001</v>
      </c>
      <c r="H97" s="666">
        <f t="shared" si="10"/>
        <v>14746.648000000001</v>
      </c>
      <c r="I97" s="666"/>
      <c r="J97" s="666"/>
      <c r="K97" s="666">
        <f t="shared" si="11"/>
        <v>0</v>
      </c>
      <c r="L97" s="666"/>
      <c r="M97" s="665">
        <f t="shared" si="12"/>
        <v>19.600000000000001</v>
      </c>
      <c r="N97" s="666">
        <f t="shared" si="8"/>
        <v>14746.648000000001</v>
      </c>
      <c r="O97" s="672">
        <v>19.600000000000001</v>
      </c>
      <c r="P97" s="668">
        <f t="shared" si="13"/>
        <v>0</v>
      </c>
    </row>
    <row r="98" spans="1:18" ht="43.5" customHeight="1">
      <c r="A98" s="985"/>
      <c r="B98" s="986">
        <f t="shared" si="7"/>
        <v>46.4</v>
      </c>
      <c r="C98" s="987" t="s">
        <v>1435</v>
      </c>
      <c r="D98" s="990">
        <f>ROUND(Data!K403,2)</f>
        <v>767.47</v>
      </c>
      <c r="E98" s="987" t="s">
        <v>264</v>
      </c>
      <c r="F98" s="987">
        <f t="shared" si="9"/>
        <v>35610.608</v>
      </c>
      <c r="G98" s="989">
        <f>Detailed!H371</f>
        <v>46.4</v>
      </c>
      <c r="H98" s="666">
        <f t="shared" si="10"/>
        <v>35610.608</v>
      </c>
      <c r="I98" s="666"/>
      <c r="J98" s="666"/>
      <c r="K98" s="666">
        <f t="shared" si="11"/>
        <v>0</v>
      </c>
      <c r="L98" s="666"/>
      <c r="M98" s="665">
        <f t="shared" si="12"/>
        <v>46.4</v>
      </c>
      <c r="N98" s="666">
        <f t="shared" si="8"/>
        <v>35610.608</v>
      </c>
      <c r="O98" s="672">
        <v>46.4</v>
      </c>
      <c r="P98" s="668">
        <f t="shared" si="13"/>
        <v>0</v>
      </c>
    </row>
    <row r="99" spans="1:18" ht="43.5" customHeight="1">
      <c r="A99" s="985"/>
      <c r="B99" s="986">
        <f t="shared" si="7"/>
        <v>53.5</v>
      </c>
      <c r="C99" s="987" t="s">
        <v>1436</v>
      </c>
      <c r="D99" s="990">
        <f>ROUND(Data!K404,2)</f>
        <v>782.56</v>
      </c>
      <c r="E99" s="987" t="s">
        <v>264</v>
      </c>
      <c r="F99" s="987">
        <f t="shared" si="9"/>
        <v>41866.959999999999</v>
      </c>
      <c r="G99" s="989">
        <f>Detailed!H380</f>
        <v>53.5</v>
      </c>
      <c r="H99" s="666">
        <f t="shared" si="10"/>
        <v>41866.959999999999</v>
      </c>
      <c r="I99" s="666"/>
      <c r="J99" s="666"/>
      <c r="K99" s="666">
        <f t="shared" si="11"/>
        <v>0</v>
      </c>
      <c r="L99" s="666"/>
      <c r="M99" s="665">
        <f t="shared" si="12"/>
        <v>53.5</v>
      </c>
      <c r="N99" s="666">
        <f t="shared" si="8"/>
        <v>41866.959999999999</v>
      </c>
      <c r="O99" s="672">
        <v>53.5</v>
      </c>
      <c r="P99" s="668">
        <f t="shared" si="13"/>
        <v>0</v>
      </c>
    </row>
    <row r="100" spans="1:18" ht="43.5" hidden="1" customHeight="1">
      <c r="A100" s="985"/>
      <c r="B100" s="986">
        <f t="shared" si="7"/>
        <v>0</v>
      </c>
      <c r="C100" s="987" t="s">
        <v>1437</v>
      </c>
      <c r="D100" s="990">
        <f>ROUND(Data!K405,2)</f>
        <v>797.66</v>
      </c>
      <c r="E100" s="987" t="s">
        <v>264</v>
      </c>
      <c r="F100" s="987">
        <f t="shared" si="9"/>
        <v>0</v>
      </c>
      <c r="G100" s="996"/>
      <c r="H100" s="666">
        <f t="shared" si="10"/>
        <v>0</v>
      </c>
      <c r="I100" s="666"/>
      <c r="J100" s="666"/>
      <c r="K100" s="666">
        <f t="shared" si="11"/>
        <v>0</v>
      </c>
      <c r="L100" s="666"/>
      <c r="M100" s="665">
        <f t="shared" si="12"/>
        <v>0</v>
      </c>
      <c r="N100" s="666">
        <f t="shared" si="8"/>
        <v>0</v>
      </c>
      <c r="O100" s="672">
        <v>0</v>
      </c>
      <c r="P100" s="668">
        <f t="shared" si="13"/>
        <v>0</v>
      </c>
    </row>
    <row r="101" spans="1:18" s="677" customFormat="1" ht="36" hidden="1" customHeight="1">
      <c r="A101" s="997"/>
      <c r="B101" s="986">
        <f t="shared" si="7"/>
        <v>0</v>
      </c>
      <c r="C101" s="987" t="s">
        <v>1438</v>
      </c>
      <c r="D101" s="993">
        <f>ROUND(Data!K406,2)</f>
        <v>812.75</v>
      </c>
      <c r="E101" s="992" t="s">
        <v>264</v>
      </c>
      <c r="F101" s="987">
        <f t="shared" si="9"/>
        <v>0</v>
      </c>
      <c r="G101" s="994"/>
      <c r="H101" s="666">
        <f t="shared" si="10"/>
        <v>0</v>
      </c>
      <c r="I101" s="666"/>
      <c r="J101" s="666"/>
      <c r="K101" s="666">
        <f t="shared" si="11"/>
        <v>0</v>
      </c>
      <c r="L101" s="666"/>
      <c r="M101" s="665">
        <f t="shared" si="12"/>
        <v>0</v>
      </c>
      <c r="N101" s="666">
        <f t="shared" si="8"/>
        <v>0</v>
      </c>
      <c r="O101" s="672">
        <v>0</v>
      </c>
      <c r="P101" s="668">
        <f t="shared" si="13"/>
        <v>0</v>
      </c>
      <c r="Q101" s="676"/>
      <c r="R101" s="676"/>
    </row>
    <row r="102" spans="1:18" s="677" customFormat="1" ht="69.75" hidden="1" customHeight="1">
      <c r="A102" s="985">
        <v>10.6</v>
      </c>
      <c r="B102" s="986">
        <f t="shared" si="7"/>
        <v>0</v>
      </c>
      <c r="C102" s="995" t="s">
        <v>1444</v>
      </c>
      <c r="D102" s="993"/>
      <c r="E102" s="992"/>
      <c r="F102" s="987">
        <f t="shared" si="9"/>
        <v>0</v>
      </c>
      <c r="G102" s="999"/>
      <c r="H102" s="666">
        <f t="shared" si="10"/>
        <v>0</v>
      </c>
      <c r="I102" s="666"/>
      <c r="J102" s="666"/>
      <c r="K102" s="666">
        <f t="shared" si="11"/>
        <v>0</v>
      </c>
      <c r="L102" s="666"/>
      <c r="M102" s="665">
        <f t="shared" si="12"/>
        <v>0</v>
      </c>
      <c r="N102" s="666">
        <f t="shared" si="8"/>
        <v>0</v>
      </c>
      <c r="O102" s="672">
        <v>0</v>
      </c>
      <c r="P102" s="668">
        <f t="shared" si="13"/>
        <v>0</v>
      </c>
      <c r="Q102" s="676"/>
      <c r="R102" s="676"/>
    </row>
    <row r="103" spans="1:18" s="677" customFormat="1" ht="25.5" hidden="1" customHeight="1">
      <c r="A103" s="985"/>
      <c r="B103" s="986">
        <f t="shared" si="7"/>
        <v>0</v>
      </c>
      <c r="C103" s="987" t="s">
        <v>1433</v>
      </c>
      <c r="D103" s="993"/>
      <c r="E103" s="992" t="s">
        <v>264</v>
      </c>
      <c r="F103" s="987">
        <f t="shared" si="9"/>
        <v>0</v>
      </c>
      <c r="G103" s="999"/>
      <c r="H103" s="666">
        <f t="shared" si="10"/>
        <v>0</v>
      </c>
      <c r="I103" s="666"/>
      <c r="J103" s="666"/>
      <c r="K103" s="666">
        <f t="shared" si="11"/>
        <v>0</v>
      </c>
      <c r="L103" s="666"/>
      <c r="M103" s="665">
        <f t="shared" si="12"/>
        <v>0</v>
      </c>
      <c r="N103" s="666">
        <f t="shared" si="8"/>
        <v>0</v>
      </c>
      <c r="O103" s="672">
        <v>0</v>
      </c>
      <c r="P103" s="668">
        <f t="shared" si="13"/>
        <v>0</v>
      </c>
      <c r="Q103" s="676"/>
      <c r="R103" s="676"/>
    </row>
    <row r="104" spans="1:18" s="677" customFormat="1" ht="25.5" hidden="1" customHeight="1">
      <c r="A104" s="985"/>
      <c r="B104" s="986">
        <f t="shared" si="7"/>
        <v>0</v>
      </c>
      <c r="C104" s="987" t="s">
        <v>1434</v>
      </c>
      <c r="D104" s="993"/>
      <c r="E104" s="992" t="s">
        <v>264</v>
      </c>
      <c r="F104" s="987">
        <f t="shared" si="9"/>
        <v>0</v>
      </c>
      <c r="G104" s="999"/>
      <c r="H104" s="666">
        <f t="shared" si="10"/>
        <v>0</v>
      </c>
      <c r="I104" s="666"/>
      <c r="J104" s="666"/>
      <c r="K104" s="666">
        <f t="shared" si="11"/>
        <v>0</v>
      </c>
      <c r="L104" s="666"/>
      <c r="M104" s="665">
        <f t="shared" si="12"/>
        <v>0</v>
      </c>
      <c r="N104" s="666">
        <f t="shared" si="8"/>
        <v>0</v>
      </c>
      <c r="O104" s="672">
        <v>0</v>
      </c>
      <c r="P104" s="668">
        <f t="shared" si="13"/>
        <v>0</v>
      </c>
      <c r="Q104" s="676"/>
      <c r="R104" s="676"/>
    </row>
    <row r="105" spans="1:18" s="677" customFormat="1" ht="25.5" hidden="1" customHeight="1">
      <c r="A105" s="985"/>
      <c r="B105" s="986">
        <f t="shared" si="7"/>
        <v>0</v>
      </c>
      <c r="C105" s="987" t="s">
        <v>1435</v>
      </c>
      <c r="D105" s="993"/>
      <c r="E105" s="992" t="s">
        <v>264</v>
      </c>
      <c r="F105" s="987">
        <f t="shared" si="9"/>
        <v>0</v>
      </c>
      <c r="G105" s="999"/>
      <c r="H105" s="666">
        <f t="shared" si="10"/>
        <v>0</v>
      </c>
      <c r="I105" s="666"/>
      <c r="J105" s="666"/>
      <c r="K105" s="666">
        <f t="shared" si="11"/>
        <v>0</v>
      </c>
      <c r="L105" s="666"/>
      <c r="M105" s="665">
        <f t="shared" si="12"/>
        <v>0</v>
      </c>
      <c r="N105" s="666">
        <f t="shared" si="8"/>
        <v>0</v>
      </c>
      <c r="O105" s="672">
        <v>0</v>
      </c>
      <c r="P105" s="668">
        <f t="shared" si="13"/>
        <v>0</v>
      </c>
      <c r="Q105" s="676"/>
      <c r="R105" s="676"/>
    </row>
    <row r="106" spans="1:18" s="677" customFormat="1" ht="26.25" hidden="1" customHeight="1">
      <c r="A106" s="985"/>
      <c r="B106" s="986">
        <f t="shared" si="7"/>
        <v>0</v>
      </c>
      <c r="C106" s="987" t="s">
        <v>1436</v>
      </c>
      <c r="D106" s="993"/>
      <c r="E106" s="992" t="s">
        <v>264</v>
      </c>
      <c r="F106" s="987">
        <f t="shared" si="9"/>
        <v>0</v>
      </c>
      <c r="G106" s="994"/>
      <c r="H106" s="666">
        <f t="shared" si="10"/>
        <v>0</v>
      </c>
      <c r="I106" s="666"/>
      <c r="J106" s="666"/>
      <c r="K106" s="666">
        <f t="shared" si="11"/>
        <v>0</v>
      </c>
      <c r="L106" s="666"/>
      <c r="M106" s="665">
        <f t="shared" si="12"/>
        <v>0</v>
      </c>
      <c r="N106" s="666">
        <f t="shared" si="8"/>
        <v>0</v>
      </c>
      <c r="O106" s="672">
        <v>0</v>
      </c>
      <c r="P106" s="668">
        <f t="shared" si="13"/>
        <v>0</v>
      </c>
      <c r="Q106" s="676"/>
      <c r="R106" s="676"/>
    </row>
    <row r="107" spans="1:18" s="677" customFormat="1" ht="25.5" hidden="1" customHeight="1">
      <c r="A107" s="985"/>
      <c r="B107" s="986">
        <f t="shared" si="7"/>
        <v>0</v>
      </c>
      <c r="C107" s="987" t="s">
        <v>1437</v>
      </c>
      <c r="D107" s="993"/>
      <c r="E107" s="992" t="s">
        <v>264</v>
      </c>
      <c r="F107" s="987">
        <f t="shared" si="9"/>
        <v>0</v>
      </c>
      <c r="G107" s="994"/>
      <c r="H107" s="666">
        <f t="shared" si="10"/>
        <v>0</v>
      </c>
      <c r="I107" s="666"/>
      <c r="J107" s="666"/>
      <c r="K107" s="666">
        <f t="shared" si="11"/>
        <v>0</v>
      </c>
      <c r="L107" s="666"/>
      <c r="M107" s="665">
        <f t="shared" si="12"/>
        <v>0</v>
      </c>
      <c r="N107" s="666">
        <f t="shared" si="8"/>
        <v>0</v>
      </c>
      <c r="O107" s="672">
        <v>0</v>
      </c>
      <c r="P107" s="668">
        <f t="shared" si="13"/>
        <v>0</v>
      </c>
      <c r="Q107" s="676"/>
      <c r="R107" s="676"/>
    </row>
    <row r="108" spans="1:18" s="677" customFormat="1" ht="25.5" hidden="1" customHeight="1">
      <c r="A108" s="998"/>
      <c r="B108" s="986">
        <f t="shared" si="7"/>
        <v>0</v>
      </c>
      <c r="C108" s="987" t="s">
        <v>1438</v>
      </c>
      <c r="D108" s="993"/>
      <c r="E108" s="992" t="s">
        <v>264</v>
      </c>
      <c r="F108" s="987">
        <f t="shared" si="9"/>
        <v>0</v>
      </c>
      <c r="G108" s="994"/>
      <c r="H108" s="666">
        <f t="shared" si="10"/>
        <v>0</v>
      </c>
      <c r="I108" s="666"/>
      <c r="J108" s="666"/>
      <c r="K108" s="666">
        <f t="shared" si="11"/>
        <v>0</v>
      </c>
      <c r="L108" s="666"/>
      <c r="M108" s="665">
        <f t="shared" si="12"/>
        <v>0</v>
      </c>
      <c r="N108" s="666">
        <f t="shared" si="8"/>
        <v>0</v>
      </c>
      <c r="O108" s="672">
        <v>0</v>
      </c>
      <c r="P108" s="668">
        <f t="shared" si="13"/>
        <v>0</v>
      </c>
      <c r="Q108" s="676"/>
      <c r="R108" s="676"/>
    </row>
    <row r="109" spans="1:18" s="677" customFormat="1" ht="69.75" hidden="1" customHeight="1">
      <c r="A109" s="985">
        <v>11.1</v>
      </c>
      <c r="B109" s="986">
        <f t="shared" si="7"/>
        <v>0</v>
      </c>
      <c r="C109" s="995" t="s">
        <v>1445</v>
      </c>
      <c r="D109" s="993"/>
      <c r="E109" s="992"/>
      <c r="F109" s="987">
        <f t="shared" si="9"/>
        <v>0</v>
      </c>
      <c r="G109" s="994"/>
      <c r="H109" s="666">
        <f t="shared" si="10"/>
        <v>0</v>
      </c>
      <c r="I109" s="666"/>
      <c r="J109" s="666"/>
      <c r="K109" s="666">
        <f t="shared" si="11"/>
        <v>0</v>
      </c>
      <c r="L109" s="666"/>
      <c r="M109" s="665">
        <f t="shared" si="12"/>
        <v>0</v>
      </c>
      <c r="N109" s="666">
        <f t="shared" si="8"/>
        <v>0</v>
      </c>
      <c r="O109" s="672">
        <v>0</v>
      </c>
      <c r="P109" s="668">
        <f t="shared" si="13"/>
        <v>0</v>
      </c>
      <c r="Q109" s="676"/>
      <c r="R109" s="676"/>
    </row>
    <row r="110" spans="1:18" s="677" customFormat="1" ht="25.5" hidden="1" customHeight="1">
      <c r="A110" s="985"/>
      <c r="B110" s="986">
        <f t="shared" si="7"/>
        <v>0</v>
      </c>
      <c r="C110" s="987" t="s">
        <v>1420</v>
      </c>
      <c r="D110" s="993">
        <f>ROUND(Data!X434,2)</f>
        <v>521.98</v>
      </c>
      <c r="E110" s="992" t="s">
        <v>264</v>
      </c>
      <c r="F110" s="987">
        <f t="shared" si="9"/>
        <v>0</v>
      </c>
      <c r="G110" s="994"/>
      <c r="H110" s="666">
        <f t="shared" si="10"/>
        <v>0</v>
      </c>
      <c r="I110" s="666"/>
      <c r="J110" s="666"/>
      <c r="K110" s="666">
        <f t="shared" si="11"/>
        <v>0</v>
      </c>
      <c r="L110" s="666"/>
      <c r="M110" s="665">
        <f t="shared" si="12"/>
        <v>0</v>
      </c>
      <c r="N110" s="666">
        <f t="shared" si="8"/>
        <v>0</v>
      </c>
      <c r="O110" s="672">
        <v>0</v>
      </c>
      <c r="P110" s="668">
        <f t="shared" si="13"/>
        <v>0</v>
      </c>
      <c r="Q110" s="676"/>
      <c r="R110" s="676"/>
    </row>
    <row r="111" spans="1:18" s="677" customFormat="1" ht="25.5" hidden="1" customHeight="1">
      <c r="A111" s="985"/>
      <c r="B111" s="986">
        <f t="shared" si="7"/>
        <v>0</v>
      </c>
      <c r="C111" s="987" t="s">
        <v>1421</v>
      </c>
      <c r="D111" s="993">
        <f>ROUND(Data!X435,2)</f>
        <v>531.58000000000004</v>
      </c>
      <c r="E111" s="992" t="s">
        <v>264</v>
      </c>
      <c r="F111" s="987">
        <f t="shared" si="9"/>
        <v>0</v>
      </c>
      <c r="G111" s="994"/>
      <c r="H111" s="666">
        <f t="shared" si="10"/>
        <v>0</v>
      </c>
      <c r="I111" s="666"/>
      <c r="J111" s="666"/>
      <c r="K111" s="666">
        <f t="shared" si="11"/>
        <v>0</v>
      </c>
      <c r="L111" s="666"/>
      <c r="M111" s="665">
        <f t="shared" si="12"/>
        <v>0</v>
      </c>
      <c r="N111" s="666">
        <f t="shared" si="8"/>
        <v>0</v>
      </c>
      <c r="O111" s="672">
        <v>0</v>
      </c>
      <c r="P111" s="668">
        <f t="shared" si="13"/>
        <v>0</v>
      </c>
      <c r="Q111" s="676"/>
      <c r="R111" s="676"/>
    </row>
    <row r="112" spans="1:18" s="677" customFormat="1" ht="25.5" hidden="1" customHeight="1">
      <c r="A112" s="985"/>
      <c r="B112" s="986">
        <f t="shared" si="7"/>
        <v>0</v>
      </c>
      <c r="C112" s="987" t="s">
        <v>1422</v>
      </c>
      <c r="D112" s="993">
        <f>ROUND(Data!X436,2)</f>
        <v>541.17999999999995</v>
      </c>
      <c r="E112" s="992" t="s">
        <v>264</v>
      </c>
      <c r="F112" s="987">
        <f t="shared" si="9"/>
        <v>0</v>
      </c>
      <c r="G112" s="994"/>
      <c r="H112" s="666">
        <f t="shared" si="10"/>
        <v>0</v>
      </c>
      <c r="I112" s="666"/>
      <c r="J112" s="666"/>
      <c r="K112" s="666">
        <f t="shared" si="11"/>
        <v>0</v>
      </c>
      <c r="L112" s="666"/>
      <c r="M112" s="665">
        <f t="shared" si="12"/>
        <v>0</v>
      </c>
      <c r="N112" s="666">
        <f t="shared" si="8"/>
        <v>0</v>
      </c>
      <c r="O112" s="672">
        <v>0</v>
      </c>
      <c r="P112" s="668">
        <f t="shared" si="13"/>
        <v>0</v>
      </c>
      <c r="Q112" s="676"/>
      <c r="R112" s="676"/>
    </row>
    <row r="113" spans="1:18" s="677" customFormat="1" ht="25.5" hidden="1" customHeight="1">
      <c r="A113" s="985"/>
      <c r="B113" s="986">
        <f t="shared" si="7"/>
        <v>0</v>
      </c>
      <c r="C113" s="987" t="s">
        <v>1423</v>
      </c>
      <c r="D113" s="993">
        <f>ROUND(Data!X437,2)</f>
        <v>550.79</v>
      </c>
      <c r="E113" s="992" t="s">
        <v>264</v>
      </c>
      <c r="F113" s="987">
        <f t="shared" si="9"/>
        <v>0</v>
      </c>
      <c r="G113" s="994"/>
      <c r="H113" s="666">
        <f t="shared" si="10"/>
        <v>0</v>
      </c>
      <c r="I113" s="666"/>
      <c r="J113" s="666"/>
      <c r="K113" s="666">
        <f t="shared" si="11"/>
        <v>0</v>
      </c>
      <c r="L113" s="666"/>
      <c r="M113" s="665">
        <f t="shared" si="12"/>
        <v>0</v>
      </c>
      <c r="N113" s="666">
        <f t="shared" si="8"/>
        <v>0</v>
      </c>
      <c r="O113" s="672">
        <v>0</v>
      </c>
      <c r="P113" s="668">
        <f t="shared" si="13"/>
        <v>0</v>
      </c>
      <c r="Q113" s="676"/>
      <c r="R113" s="676"/>
    </row>
    <row r="114" spans="1:18" s="677" customFormat="1" ht="25.5" hidden="1" customHeight="1">
      <c r="A114" s="998"/>
      <c r="B114" s="986">
        <f t="shared" si="7"/>
        <v>0</v>
      </c>
      <c r="C114" s="987" t="s">
        <v>1424</v>
      </c>
      <c r="D114" s="993">
        <f>ROUND(Data!X438,2)</f>
        <v>560.39</v>
      </c>
      <c r="E114" s="992" t="s">
        <v>264</v>
      </c>
      <c r="F114" s="987">
        <f t="shared" si="9"/>
        <v>0</v>
      </c>
      <c r="G114" s="994"/>
      <c r="H114" s="666">
        <f t="shared" si="10"/>
        <v>0</v>
      </c>
      <c r="I114" s="666"/>
      <c r="J114" s="666"/>
      <c r="K114" s="666">
        <f t="shared" si="11"/>
        <v>0</v>
      </c>
      <c r="L114" s="666"/>
      <c r="M114" s="665">
        <f t="shared" si="12"/>
        <v>0</v>
      </c>
      <c r="N114" s="666">
        <f t="shared" si="8"/>
        <v>0</v>
      </c>
      <c r="O114" s="672">
        <v>0</v>
      </c>
      <c r="P114" s="668">
        <f t="shared" si="13"/>
        <v>0</v>
      </c>
      <c r="Q114" s="676"/>
      <c r="R114" s="676"/>
    </row>
    <row r="115" spans="1:18" s="677" customFormat="1" ht="80.25" hidden="1" customHeight="1">
      <c r="A115" s="985">
        <v>11.2</v>
      </c>
      <c r="B115" s="986">
        <f t="shared" si="7"/>
        <v>0</v>
      </c>
      <c r="C115" s="995" t="s">
        <v>1446</v>
      </c>
      <c r="D115" s="993"/>
      <c r="E115" s="992"/>
      <c r="F115" s="987">
        <f t="shared" si="9"/>
        <v>0</v>
      </c>
      <c r="G115" s="994"/>
      <c r="H115" s="666">
        <f t="shared" si="10"/>
        <v>0</v>
      </c>
      <c r="I115" s="666"/>
      <c r="J115" s="666"/>
      <c r="K115" s="666">
        <f t="shared" si="11"/>
        <v>0</v>
      </c>
      <c r="L115" s="666"/>
      <c r="M115" s="665">
        <f t="shared" si="12"/>
        <v>0</v>
      </c>
      <c r="N115" s="666">
        <f t="shared" si="8"/>
        <v>0</v>
      </c>
      <c r="O115" s="672">
        <v>0</v>
      </c>
      <c r="P115" s="668">
        <f t="shared" si="13"/>
        <v>0</v>
      </c>
      <c r="Q115" s="676"/>
      <c r="R115" s="676"/>
    </row>
    <row r="116" spans="1:18" s="677" customFormat="1" ht="41.25" hidden="1" customHeight="1">
      <c r="A116" s="985"/>
      <c r="B116" s="986">
        <f t="shared" si="7"/>
        <v>0</v>
      </c>
      <c r="C116" s="987" t="s">
        <v>1420</v>
      </c>
      <c r="D116" s="993">
        <f>ROUND(Data!AG448,2)</f>
        <v>532.14</v>
      </c>
      <c r="E116" s="992" t="s">
        <v>264</v>
      </c>
      <c r="F116" s="987">
        <f t="shared" si="9"/>
        <v>0</v>
      </c>
      <c r="G116" s="994"/>
      <c r="H116" s="666">
        <f t="shared" si="10"/>
        <v>0</v>
      </c>
      <c r="I116" s="666"/>
      <c r="J116" s="666"/>
      <c r="K116" s="666">
        <f t="shared" si="11"/>
        <v>0</v>
      </c>
      <c r="L116" s="666"/>
      <c r="M116" s="665">
        <f t="shared" si="12"/>
        <v>0</v>
      </c>
      <c r="N116" s="666">
        <f t="shared" si="8"/>
        <v>0</v>
      </c>
      <c r="O116" s="672">
        <v>0</v>
      </c>
      <c r="P116" s="668">
        <f t="shared" si="13"/>
        <v>0</v>
      </c>
      <c r="Q116" s="676"/>
      <c r="R116" s="676"/>
    </row>
    <row r="117" spans="1:18" s="677" customFormat="1" ht="41.25" hidden="1" customHeight="1">
      <c r="A117" s="985"/>
      <c r="B117" s="986">
        <f t="shared" si="7"/>
        <v>0</v>
      </c>
      <c r="C117" s="987" t="s">
        <v>1421</v>
      </c>
      <c r="D117" s="993">
        <f>ROUND(Data!AG449,2)</f>
        <v>542.42999999999995</v>
      </c>
      <c r="E117" s="992" t="s">
        <v>264</v>
      </c>
      <c r="F117" s="987">
        <f t="shared" si="9"/>
        <v>0</v>
      </c>
      <c r="G117" s="994"/>
      <c r="H117" s="666">
        <f t="shared" si="10"/>
        <v>0</v>
      </c>
      <c r="I117" s="666"/>
      <c r="J117" s="666"/>
      <c r="K117" s="666">
        <f t="shared" si="11"/>
        <v>0</v>
      </c>
      <c r="L117" s="666"/>
      <c r="M117" s="665">
        <f t="shared" si="12"/>
        <v>0</v>
      </c>
      <c r="N117" s="666">
        <f t="shared" si="8"/>
        <v>0</v>
      </c>
      <c r="O117" s="672">
        <v>0</v>
      </c>
      <c r="P117" s="668">
        <f t="shared" si="13"/>
        <v>0</v>
      </c>
      <c r="Q117" s="676"/>
      <c r="R117" s="676"/>
    </row>
    <row r="118" spans="1:18" s="677" customFormat="1" ht="41.25" hidden="1" customHeight="1">
      <c r="A118" s="985"/>
      <c r="B118" s="986">
        <f t="shared" si="7"/>
        <v>0</v>
      </c>
      <c r="C118" s="987" t="s">
        <v>1422</v>
      </c>
      <c r="D118" s="993">
        <f>ROUND(Data!AG450,2)</f>
        <v>552.72</v>
      </c>
      <c r="E118" s="992" t="s">
        <v>264</v>
      </c>
      <c r="F118" s="987">
        <f t="shared" si="9"/>
        <v>0</v>
      </c>
      <c r="G118" s="994"/>
      <c r="H118" s="666">
        <f t="shared" si="10"/>
        <v>0</v>
      </c>
      <c r="I118" s="666"/>
      <c r="J118" s="666"/>
      <c r="K118" s="666">
        <f t="shared" si="11"/>
        <v>0</v>
      </c>
      <c r="L118" s="666"/>
      <c r="M118" s="665">
        <f t="shared" si="12"/>
        <v>0</v>
      </c>
      <c r="N118" s="666">
        <f t="shared" si="8"/>
        <v>0</v>
      </c>
      <c r="O118" s="672">
        <v>0</v>
      </c>
      <c r="P118" s="668">
        <f t="shared" si="13"/>
        <v>0</v>
      </c>
      <c r="Q118" s="676"/>
      <c r="R118" s="676"/>
    </row>
    <row r="119" spans="1:18" s="677" customFormat="1" ht="41.25" hidden="1" customHeight="1">
      <c r="A119" s="985"/>
      <c r="B119" s="986">
        <f t="shared" si="7"/>
        <v>0</v>
      </c>
      <c r="C119" s="987" t="s">
        <v>1423</v>
      </c>
      <c r="D119" s="993">
        <f>ROUND(Data!AG451,2)</f>
        <v>563.01</v>
      </c>
      <c r="E119" s="992" t="s">
        <v>264</v>
      </c>
      <c r="F119" s="987">
        <f t="shared" si="9"/>
        <v>0</v>
      </c>
      <c r="G119" s="994"/>
      <c r="H119" s="666">
        <f t="shared" si="10"/>
        <v>0</v>
      </c>
      <c r="I119" s="666"/>
      <c r="J119" s="666"/>
      <c r="K119" s="666">
        <f t="shared" si="11"/>
        <v>0</v>
      </c>
      <c r="L119" s="666"/>
      <c r="M119" s="665">
        <f t="shared" si="12"/>
        <v>0</v>
      </c>
      <c r="N119" s="666">
        <f t="shared" si="8"/>
        <v>0</v>
      </c>
      <c r="O119" s="672">
        <v>0</v>
      </c>
      <c r="P119" s="668">
        <f t="shared" si="13"/>
        <v>0</v>
      </c>
      <c r="Q119" s="676"/>
      <c r="R119" s="676"/>
    </row>
    <row r="120" spans="1:18" s="677" customFormat="1" ht="41.25" hidden="1" customHeight="1">
      <c r="A120" s="998"/>
      <c r="B120" s="986">
        <f t="shared" si="7"/>
        <v>0</v>
      </c>
      <c r="C120" s="987" t="s">
        <v>1424</v>
      </c>
      <c r="D120" s="993">
        <f>ROUND(Data!AG452,2)</f>
        <v>573.29999999999995</v>
      </c>
      <c r="E120" s="992" t="s">
        <v>264</v>
      </c>
      <c r="F120" s="987">
        <f t="shared" si="9"/>
        <v>0</v>
      </c>
      <c r="G120" s="994"/>
      <c r="H120" s="666">
        <f t="shared" si="10"/>
        <v>0</v>
      </c>
      <c r="I120" s="666"/>
      <c r="J120" s="666"/>
      <c r="K120" s="666">
        <f t="shared" si="11"/>
        <v>0</v>
      </c>
      <c r="L120" s="666"/>
      <c r="M120" s="665">
        <f t="shared" si="12"/>
        <v>0</v>
      </c>
      <c r="N120" s="666">
        <f t="shared" si="8"/>
        <v>0</v>
      </c>
      <c r="O120" s="672">
        <v>0</v>
      </c>
      <c r="P120" s="668">
        <f t="shared" si="13"/>
        <v>0</v>
      </c>
      <c r="Q120" s="676"/>
      <c r="R120" s="676"/>
    </row>
    <row r="121" spans="1:18" s="677" customFormat="1" ht="69.75" hidden="1" customHeight="1">
      <c r="A121" s="985">
        <v>11.3</v>
      </c>
      <c r="B121" s="986">
        <f t="shared" si="7"/>
        <v>0</v>
      </c>
      <c r="C121" s="995" t="s">
        <v>1447</v>
      </c>
      <c r="D121" s="993"/>
      <c r="E121" s="992"/>
      <c r="F121" s="987">
        <f t="shared" si="9"/>
        <v>0</v>
      </c>
      <c r="G121" s="994"/>
      <c r="H121" s="666">
        <f t="shared" si="10"/>
        <v>0</v>
      </c>
      <c r="I121" s="666"/>
      <c r="J121" s="666"/>
      <c r="K121" s="666">
        <f t="shared" si="11"/>
        <v>0</v>
      </c>
      <c r="L121" s="666"/>
      <c r="M121" s="665">
        <f t="shared" si="12"/>
        <v>0</v>
      </c>
      <c r="N121" s="666">
        <f t="shared" si="8"/>
        <v>0</v>
      </c>
      <c r="O121" s="672">
        <v>0</v>
      </c>
      <c r="P121" s="668">
        <f t="shared" si="13"/>
        <v>0</v>
      </c>
      <c r="Q121" s="676"/>
      <c r="R121" s="676"/>
    </row>
    <row r="122" spans="1:18" s="677" customFormat="1" ht="25.5" hidden="1" customHeight="1">
      <c r="A122" s="985"/>
      <c r="B122" s="986">
        <f t="shared" si="7"/>
        <v>0</v>
      </c>
      <c r="C122" s="987" t="s">
        <v>1420</v>
      </c>
      <c r="D122" s="993"/>
      <c r="E122" s="992" t="s">
        <v>264</v>
      </c>
      <c r="F122" s="987">
        <f t="shared" si="9"/>
        <v>0</v>
      </c>
      <c r="G122" s="994"/>
      <c r="H122" s="666">
        <f t="shared" si="10"/>
        <v>0</v>
      </c>
      <c r="I122" s="666"/>
      <c r="J122" s="666"/>
      <c r="K122" s="666">
        <f t="shared" si="11"/>
        <v>0</v>
      </c>
      <c r="L122" s="666"/>
      <c r="M122" s="665">
        <f t="shared" si="12"/>
        <v>0</v>
      </c>
      <c r="N122" s="666">
        <f t="shared" si="8"/>
        <v>0</v>
      </c>
      <c r="O122" s="672">
        <v>0</v>
      </c>
      <c r="P122" s="668">
        <f t="shared" si="13"/>
        <v>0</v>
      </c>
      <c r="Q122" s="676"/>
      <c r="R122" s="676"/>
    </row>
    <row r="123" spans="1:18" s="677" customFormat="1" ht="25.5" hidden="1" customHeight="1">
      <c r="A123" s="985"/>
      <c r="B123" s="986">
        <f t="shared" si="7"/>
        <v>0</v>
      </c>
      <c r="C123" s="987" t="s">
        <v>1421</v>
      </c>
      <c r="D123" s="993"/>
      <c r="E123" s="992" t="s">
        <v>264</v>
      </c>
      <c r="F123" s="987">
        <f t="shared" si="9"/>
        <v>0</v>
      </c>
      <c r="G123" s="994"/>
      <c r="H123" s="666">
        <f t="shared" si="10"/>
        <v>0</v>
      </c>
      <c r="I123" s="666"/>
      <c r="J123" s="666"/>
      <c r="K123" s="666">
        <f t="shared" si="11"/>
        <v>0</v>
      </c>
      <c r="L123" s="666"/>
      <c r="M123" s="665">
        <f t="shared" si="12"/>
        <v>0</v>
      </c>
      <c r="N123" s="666">
        <f t="shared" si="8"/>
        <v>0</v>
      </c>
      <c r="O123" s="672">
        <v>0</v>
      </c>
      <c r="P123" s="668">
        <f t="shared" si="13"/>
        <v>0</v>
      </c>
      <c r="Q123" s="676"/>
      <c r="R123" s="676"/>
    </row>
    <row r="124" spans="1:18" s="677" customFormat="1" ht="25.5" hidden="1" customHeight="1">
      <c r="A124" s="985"/>
      <c r="B124" s="986">
        <f t="shared" si="7"/>
        <v>0</v>
      </c>
      <c r="C124" s="987" t="s">
        <v>1422</v>
      </c>
      <c r="D124" s="993"/>
      <c r="E124" s="992" t="s">
        <v>264</v>
      </c>
      <c r="F124" s="987">
        <f t="shared" si="9"/>
        <v>0</v>
      </c>
      <c r="G124" s="994"/>
      <c r="H124" s="666">
        <f t="shared" si="10"/>
        <v>0</v>
      </c>
      <c r="I124" s="666"/>
      <c r="J124" s="666"/>
      <c r="K124" s="666">
        <f t="shared" si="11"/>
        <v>0</v>
      </c>
      <c r="L124" s="666"/>
      <c r="M124" s="665">
        <f t="shared" si="12"/>
        <v>0</v>
      </c>
      <c r="N124" s="666">
        <f t="shared" si="8"/>
        <v>0</v>
      </c>
      <c r="O124" s="672">
        <v>0</v>
      </c>
      <c r="P124" s="668">
        <f t="shared" si="13"/>
        <v>0</v>
      </c>
      <c r="Q124" s="676"/>
      <c r="R124" s="676"/>
    </row>
    <row r="125" spans="1:18" s="677" customFormat="1" ht="25.5" hidden="1" customHeight="1">
      <c r="A125" s="985"/>
      <c r="B125" s="986">
        <f t="shared" si="7"/>
        <v>0</v>
      </c>
      <c r="C125" s="987" t="s">
        <v>1423</v>
      </c>
      <c r="D125" s="993"/>
      <c r="E125" s="992" t="s">
        <v>264</v>
      </c>
      <c r="F125" s="987">
        <f t="shared" si="9"/>
        <v>0</v>
      </c>
      <c r="G125" s="994"/>
      <c r="H125" s="666">
        <f t="shared" si="10"/>
        <v>0</v>
      </c>
      <c r="I125" s="666"/>
      <c r="J125" s="666"/>
      <c r="K125" s="666">
        <f t="shared" si="11"/>
        <v>0</v>
      </c>
      <c r="L125" s="666"/>
      <c r="M125" s="665">
        <f t="shared" si="12"/>
        <v>0</v>
      </c>
      <c r="N125" s="666">
        <f t="shared" si="8"/>
        <v>0</v>
      </c>
      <c r="O125" s="672">
        <v>0</v>
      </c>
      <c r="P125" s="668">
        <f t="shared" si="13"/>
        <v>0</v>
      </c>
      <c r="Q125" s="676"/>
      <c r="R125" s="676"/>
    </row>
    <row r="126" spans="1:18" s="677" customFormat="1" ht="25.5" hidden="1" customHeight="1">
      <c r="A126" s="998"/>
      <c r="B126" s="986">
        <f t="shared" si="7"/>
        <v>0</v>
      </c>
      <c r="C126" s="987" t="s">
        <v>1424</v>
      </c>
      <c r="D126" s="993"/>
      <c r="E126" s="992" t="s">
        <v>264</v>
      </c>
      <c r="F126" s="987">
        <f t="shared" si="9"/>
        <v>0</v>
      </c>
      <c r="G126" s="994"/>
      <c r="H126" s="666">
        <f t="shared" si="10"/>
        <v>0</v>
      </c>
      <c r="I126" s="666"/>
      <c r="J126" s="666"/>
      <c r="K126" s="666">
        <f t="shared" si="11"/>
        <v>0</v>
      </c>
      <c r="L126" s="666"/>
      <c r="M126" s="665">
        <f t="shared" si="12"/>
        <v>0</v>
      </c>
      <c r="N126" s="666">
        <f t="shared" si="8"/>
        <v>0</v>
      </c>
      <c r="O126" s="672">
        <v>0</v>
      </c>
      <c r="P126" s="668">
        <f t="shared" si="13"/>
        <v>0</v>
      </c>
      <c r="Q126" s="676"/>
      <c r="R126" s="676"/>
    </row>
    <row r="127" spans="1:18" s="677" customFormat="1" ht="69.75" hidden="1" customHeight="1">
      <c r="A127" s="985">
        <v>11.4</v>
      </c>
      <c r="B127" s="986">
        <f t="shared" si="7"/>
        <v>0</v>
      </c>
      <c r="C127" s="995" t="s">
        <v>1448</v>
      </c>
      <c r="D127" s="993"/>
      <c r="E127" s="992"/>
      <c r="F127" s="987">
        <f t="shared" si="9"/>
        <v>0</v>
      </c>
      <c r="G127" s="994"/>
      <c r="H127" s="666">
        <f t="shared" si="10"/>
        <v>0</v>
      </c>
      <c r="I127" s="666"/>
      <c r="J127" s="666"/>
      <c r="K127" s="666">
        <f t="shared" si="11"/>
        <v>0</v>
      </c>
      <c r="L127" s="666"/>
      <c r="M127" s="665">
        <f t="shared" si="12"/>
        <v>0</v>
      </c>
      <c r="N127" s="666">
        <f t="shared" si="8"/>
        <v>0</v>
      </c>
      <c r="O127" s="672">
        <v>0</v>
      </c>
      <c r="P127" s="668">
        <f t="shared" si="13"/>
        <v>0</v>
      </c>
      <c r="Q127" s="676"/>
      <c r="R127" s="676"/>
    </row>
    <row r="128" spans="1:18" s="677" customFormat="1" ht="25.5" hidden="1" customHeight="1">
      <c r="A128" s="986"/>
      <c r="B128" s="986">
        <f t="shared" si="7"/>
        <v>0</v>
      </c>
      <c r="C128" s="987" t="s">
        <v>1420</v>
      </c>
      <c r="D128" s="993"/>
      <c r="E128" s="992" t="s">
        <v>264</v>
      </c>
      <c r="F128" s="987">
        <f t="shared" si="9"/>
        <v>0</v>
      </c>
      <c r="G128" s="994"/>
      <c r="H128" s="666">
        <f t="shared" si="10"/>
        <v>0</v>
      </c>
      <c r="I128" s="666"/>
      <c r="J128" s="666"/>
      <c r="K128" s="666">
        <f t="shared" si="11"/>
        <v>0</v>
      </c>
      <c r="L128" s="666"/>
      <c r="M128" s="665">
        <f t="shared" si="12"/>
        <v>0</v>
      </c>
      <c r="N128" s="666">
        <f t="shared" si="8"/>
        <v>0</v>
      </c>
      <c r="O128" s="672">
        <v>0</v>
      </c>
      <c r="P128" s="668">
        <f t="shared" si="13"/>
        <v>0</v>
      </c>
      <c r="Q128" s="676"/>
      <c r="R128" s="676"/>
    </row>
    <row r="129" spans="1:19" s="677" customFormat="1" ht="25.5" hidden="1" customHeight="1">
      <c r="A129" s="986"/>
      <c r="B129" s="986">
        <f t="shared" si="7"/>
        <v>0</v>
      </c>
      <c r="C129" s="987" t="s">
        <v>1421</v>
      </c>
      <c r="D129" s="993"/>
      <c r="E129" s="992" t="s">
        <v>264</v>
      </c>
      <c r="F129" s="987">
        <f t="shared" si="9"/>
        <v>0</v>
      </c>
      <c r="G129" s="994"/>
      <c r="H129" s="666">
        <f t="shared" si="10"/>
        <v>0</v>
      </c>
      <c r="I129" s="666"/>
      <c r="J129" s="666"/>
      <c r="K129" s="666">
        <f t="shared" si="11"/>
        <v>0</v>
      </c>
      <c r="L129" s="666"/>
      <c r="M129" s="665">
        <f t="shared" si="12"/>
        <v>0</v>
      </c>
      <c r="N129" s="666">
        <f t="shared" si="8"/>
        <v>0</v>
      </c>
      <c r="O129" s="672">
        <v>0</v>
      </c>
      <c r="P129" s="668">
        <f t="shared" si="13"/>
        <v>0</v>
      </c>
      <c r="Q129" s="676"/>
      <c r="R129" s="676"/>
    </row>
    <row r="130" spans="1:19" s="677" customFormat="1" ht="25.5" hidden="1" customHeight="1">
      <c r="A130" s="986"/>
      <c r="B130" s="986">
        <f t="shared" si="7"/>
        <v>0</v>
      </c>
      <c r="C130" s="987" t="s">
        <v>1422</v>
      </c>
      <c r="D130" s="993"/>
      <c r="E130" s="992" t="s">
        <v>264</v>
      </c>
      <c r="F130" s="987">
        <f t="shared" si="9"/>
        <v>0</v>
      </c>
      <c r="G130" s="994"/>
      <c r="H130" s="666">
        <f t="shared" si="10"/>
        <v>0</v>
      </c>
      <c r="I130" s="666"/>
      <c r="J130" s="666"/>
      <c r="K130" s="666">
        <f t="shared" si="11"/>
        <v>0</v>
      </c>
      <c r="L130" s="666"/>
      <c r="M130" s="665">
        <f t="shared" si="12"/>
        <v>0</v>
      </c>
      <c r="N130" s="666">
        <f t="shared" si="8"/>
        <v>0</v>
      </c>
      <c r="O130" s="672">
        <v>0</v>
      </c>
      <c r="P130" s="668">
        <f t="shared" si="13"/>
        <v>0</v>
      </c>
      <c r="Q130" s="676"/>
      <c r="R130" s="676"/>
    </row>
    <row r="131" spans="1:19" s="677" customFormat="1" ht="25.5" hidden="1" customHeight="1">
      <c r="A131" s="986"/>
      <c r="B131" s="986">
        <f t="shared" si="7"/>
        <v>0</v>
      </c>
      <c r="C131" s="987" t="s">
        <v>1423</v>
      </c>
      <c r="D131" s="993"/>
      <c r="E131" s="992" t="s">
        <v>264</v>
      </c>
      <c r="F131" s="987">
        <f t="shared" si="9"/>
        <v>0</v>
      </c>
      <c r="G131" s="994"/>
      <c r="H131" s="666">
        <f t="shared" si="10"/>
        <v>0</v>
      </c>
      <c r="I131" s="666"/>
      <c r="J131" s="666"/>
      <c r="K131" s="666">
        <f t="shared" si="11"/>
        <v>0</v>
      </c>
      <c r="L131" s="666"/>
      <c r="M131" s="665">
        <f t="shared" si="12"/>
        <v>0</v>
      </c>
      <c r="N131" s="666">
        <f t="shared" si="8"/>
        <v>0</v>
      </c>
      <c r="O131" s="672">
        <v>0</v>
      </c>
      <c r="P131" s="668">
        <f t="shared" si="13"/>
        <v>0</v>
      </c>
      <c r="Q131" s="676"/>
      <c r="R131" s="676"/>
    </row>
    <row r="132" spans="1:19" s="677" customFormat="1" ht="25.5" hidden="1" customHeight="1">
      <c r="A132" s="1000"/>
      <c r="B132" s="986">
        <f t="shared" si="7"/>
        <v>0</v>
      </c>
      <c r="C132" s="987" t="s">
        <v>1424</v>
      </c>
      <c r="D132" s="993"/>
      <c r="E132" s="992" t="s">
        <v>264</v>
      </c>
      <c r="F132" s="987">
        <f t="shared" si="9"/>
        <v>0</v>
      </c>
      <c r="G132" s="994"/>
      <c r="H132" s="666">
        <f t="shared" si="10"/>
        <v>0</v>
      </c>
      <c r="I132" s="666"/>
      <c r="J132" s="666"/>
      <c r="K132" s="666">
        <f t="shared" si="11"/>
        <v>0</v>
      </c>
      <c r="L132" s="666"/>
      <c r="M132" s="665">
        <f t="shared" si="12"/>
        <v>0</v>
      </c>
      <c r="N132" s="666">
        <f t="shared" si="8"/>
        <v>0</v>
      </c>
      <c r="O132" s="672">
        <v>0</v>
      </c>
      <c r="P132" s="668">
        <f t="shared" si="13"/>
        <v>0</v>
      </c>
      <c r="Q132" s="676"/>
      <c r="R132" s="676"/>
    </row>
    <row r="133" spans="1:19" ht="87.75" customHeight="1">
      <c r="A133" s="1001">
        <v>11.5</v>
      </c>
      <c r="B133" s="986">
        <f t="shared" si="7"/>
        <v>0</v>
      </c>
      <c r="C133" s="995" t="s">
        <v>1449</v>
      </c>
      <c r="D133" s="990"/>
      <c r="E133" s="987"/>
      <c r="F133" s="987">
        <f t="shared" si="9"/>
        <v>0</v>
      </c>
      <c r="G133" s="989"/>
      <c r="H133" s="666">
        <f t="shared" si="10"/>
        <v>0</v>
      </c>
      <c r="I133" s="666"/>
      <c r="J133" s="666"/>
      <c r="K133" s="666">
        <f t="shared" si="11"/>
        <v>0</v>
      </c>
      <c r="L133" s="666"/>
      <c r="M133" s="665">
        <f t="shared" si="12"/>
        <v>0</v>
      </c>
      <c r="N133" s="666">
        <f t="shared" si="8"/>
        <v>0</v>
      </c>
      <c r="O133" s="668">
        <v>0</v>
      </c>
      <c r="P133" s="668">
        <f t="shared" si="13"/>
        <v>0</v>
      </c>
      <c r="Q133" s="678"/>
      <c r="S133" s="679"/>
    </row>
    <row r="134" spans="1:19" ht="48.75" customHeight="1">
      <c r="A134" s="1001"/>
      <c r="B134" s="986">
        <f t="shared" si="7"/>
        <v>8.6</v>
      </c>
      <c r="C134" s="987" t="s">
        <v>1420</v>
      </c>
      <c r="D134" s="990">
        <f>ROUND(Data!K434,2)</f>
        <v>510.1</v>
      </c>
      <c r="E134" s="987" t="s">
        <v>264</v>
      </c>
      <c r="F134" s="987">
        <f t="shared" si="9"/>
        <v>4386.8599999999997</v>
      </c>
      <c r="G134" s="989">
        <f>Detailed!H389</f>
        <v>8.6</v>
      </c>
      <c r="H134" s="666">
        <f t="shared" si="10"/>
        <v>4386.8599999999997</v>
      </c>
      <c r="I134" s="666"/>
      <c r="J134" s="666"/>
      <c r="K134" s="666">
        <f t="shared" si="11"/>
        <v>0</v>
      </c>
      <c r="L134" s="666"/>
      <c r="M134" s="665">
        <f t="shared" si="12"/>
        <v>8.6</v>
      </c>
      <c r="N134" s="666">
        <f t="shared" si="8"/>
        <v>4386.8599999999997</v>
      </c>
      <c r="O134" s="672">
        <v>8.6</v>
      </c>
      <c r="P134" s="668">
        <f t="shared" si="13"/>
        <v>0</v>
      </c>
    </row>
    <row r="135" spans="1:19" ht="42" customHeight="1">
      <c r="A135" s="1001"/>
      <c r="B135" s="986">
        <f t="shared" ref="B135:B198" si="14">M135</f>
        <v>21.8</v>
      </c>
      <c r="C135" s="987" t="s">
        <v>1421</v>
      </c>
      <c r="D135" s="990">
        <f>ROUND(Data!K435,2)</f>
        <v>519.70000000000005</v>
      </c>
      <c r="E135" s="987" t="s">
        <v>264</v>
      </c>
      <c r="F135" s="987">
        <f t="shared" si="9"/>
        <v>11329.460000000001</v>
      </c>
      <c r="G135" s="989">
        <f>Detailed!H398</f>
        <v>21.8</v>
      </c>
      <c r="H135" s="666">
        <f t="shared" si="10"/>
        <v>11329.460000000001</v>
      </c>
      <c r="I135" s="666"/>
      <c r="J135" s="666"/>
      <c r="K135" s="666">
        <f t="shared" si="11"/>
        <v>0</v>
      </c>
      <c r="L135" s="666"/>
      <c r="M135" s="665">
        <f t="shared" si="12"/>
        <v>21.8</v>
      </c>
      <c r="N135" s="666">
        <f t="shared" ref="N135:N198" si="15">M135*D135</f>
        <v>11329.460000000001</v>
      </c>
      <c r="O135" s="672">
        <v>21.8</v>
      </c>
      <c r="P135" s="668">
        <f t="shared" si="13"/>
        <v>0</v>
      </c>
    </row>
    <row r="136" spans="1:19" ht="42" hidden="1" customHeight="1">
      <c r="A136" s="1001"/>
      <c r="B136" s="986">
        <f t="shared" si="14"/>
        <v>0</v>
      </c>
      <c r="C136" s="987" t="s">
        <v>1422</v>
      </c>
      <c r="D136" s="990">
        <f>ROUND(Data!K436,2)</f>
        <v>529.29999999999995</v>
      </c>
      <c r="E136" s="987" t="s">
        <v>264</v>
      </c>
      <c r="F136" s="987">
        <f t="shared" ref="F136:F199" si="16">B136*D136</f>
        <v>0</v>
      </c>
      <c r="G136" s="1002"/>
      <c r="H136" s="666">
        <f t="shared" ref="H136:H199" si="17">G136*D136</f>
        <v>0</v>
      </c>
      <c r="I136" s="666"/>
      <c r="J136" s="666"/>
      <c r="K136" s="666">
        <f t="shared" ref="K136:K199" si="18">I136</f>
        <v>0</v>
      </c>
      <c r="L136" s="666"/>
      <c r="M136" s="665">
        <f t="shared" ref="M136:M199" si="19">G136</f>
        <v>0</v>
      </c>
      <c r="N136" s="666">
        <f t="shared" si="15"/>
        <v>0</v>
      </c>
      <c r="O136" s="672">
        <v>0</v>
      </c>
      <c r="P136" s="668">
        <f t="shared" ref="P136:P199" si="20">M136-O136</f>
        <v>0</v>
      </c>
    </row>
    <row r="137" spans="1:19" ht="42" hidden="1" customHeight="1">
      <c r="A137" s="1001"/>
      <c r="B137" s="986">
        <f t="shared" si="14"/>
        <v>0</v>
      </c>
      <c r="C137" s="987" t="s">
        <v>1423</v>
      </c>
      <c r="D137" s="990">
        <f>ROUND(Data!K437,2)</f>
        <v>538.91</v>
      </c>
      <c r="E137" s="987" t="s">
        <v>264</v>
      </c>
      <c r="F137" s="987">
        <f t="shared" si="16"/>
        <v>0</v>
      </c>
      <c r="G137" s="989"/>
      <c r="H137" s="666">
        <f t="shared" si="17"/>
        <v>0</v>
      </c>
      <c r="I137" s="666"/>
      <c r="J137" s="666"/>
      <c r="K137" s="666">
        <f t="shared" si="18"/>
        <v>0</v>
      </c>
      <c r="L137" s="666"/>
      <c r="M137" s="665">
        <f t="shared" si="19"/>
        <v>0</v>
      </c>
      <c r="N137" s="666">
        <f t="shared" si="15"/>
        <v>0</v>
      </c>
      <c r="O137" s="672">
        <v>0</v>
      </c>
      <c r="P137" s="668">
        <f t="shared" si="20"/>
        <v>0</v>
      </c>
    </row>
    <row r="138" spans="1:19" s="677" customFormat="1" ht="25.5" hidden="1" customHeight="1">
      <c r="A138" s="1003"/>
      <c r="B138" s="986">
        <f t="shared" si="14"/>
        <v>0</v>
      </c>
      <c r="C138" s="987" t="s">
        <v>1424</v>
      </c>
      <c r="D138" s="993">
        <f>ROUND(Data!K438,2)</f>
        <v>548.51</v>
      </c>
      <c r="E138" s="992" t="s">
        <v>264</v>
      </c>
      <c r="F138" s="987">
        <f t="shared" si="16"/>
        <v>0</v>
      </c>
      <c r="G138" s="994"/>
      <c r="H138" s="666">
        <f t="shared" si="17"/>
        <v>0</v>
      </c>
      <c r="I138" s="666"/>
      <c r="J138" s="666"/>
      <c r="K138" s="666">
        <f t="shared" si="18"/>
        <v>0</v>
      </c>
      <c r="L138" s="666"/>
      <c r="M138" s="665">
        <f t="shared" si="19"/>
        <v>0</v>
      </c>
      <c r="N138" s="666">
        <f t="shared" si="15"/>
        <v>0</v>
      </c>
      <c r="O138" s="672">
        <v>0</v>
      </c>
      <c r="P138" s="668">
        <f t="shared" si="20"/>
        <v>0</v>
      </c>
      <c r="Q138" s="676"/>
      <c r="R138" s="676"/>
    </row>
    <row r="139" spans="1:19" s="677" customFormat="1" ht="69.75" hidden="1" customHeight="1">
      <c r="A139" s="1001">
        <v>11.6</v>
      </c>
      <c r="B139" s="986">
        <f t="shared" si="14"/>
        <v>0</v>
      </c>
      <c r="C139" s="995" t="s">
        <v>1450</v>
      </c>
      <c r="D139" s="993"/>
      <c r="E139" s="992"/>
      <c r="F139" s="987">
        <f t="shared" si="16"/>
        <v>0</v>
      </c>
      <c r="G139" s="994"/>
      <c r="H139" s="666">
        <f t="shared" si="17"/>
        <v>0</v>
      </c>
      <c r="I139" s="666"/>
      <c r="J139" s="666"/>
      <c r="K139" s="666">
        <f t="shared" si="18"/>
        <v>0</v>
      </c>
      <c r="L139" s="666"/>
      <c r="M139" s="665">
        <f t="shared" si="19"/>
        <v>0</v>
      </c>
      <c r="N139" s="666">
        <f t="shared" si="15"/>
        <v>0</v>
      </c>
      <c r="O139" s="672">
        <v>0</v>
      </c>
      <c r="P139" s="668">
        <f t="shared" si="20"/>
        <v>0</v>
      </c>
      <c r="Q139" s="676"/>
      <c r="R139" s="676"/>
    </row>
    <row r="140" spans="1:19" s="677" customFormat="1" ht="25.5" hidden="1" customHeight="1">
      <c r="A140" s="1001"/>
      <c r="B140" s="986">
        <f t="shared" si="14"/>
        <v>0</v>
      </c>
      <c r="C140" s="987" t="s">
        <v>1420</v>
      </c>
      <c r="D140" s="993"/>
      <c r="E140" s="992" t="s">
        <v>264</v>
      </c>
      <c r="F140" s="987">
        <f t="shared" si="16"/>
        <v>0</v>
      </c>
      <c r="G140" s="994"/>
      <c r="H140" s="666">
        <f t="shared" si="17"/>
        <v>0</v>
      </c>
      <c r="I140" s="666"/>
      <c r="J140" s="666"/>
      <c r="K140" s="666">
        <f t="shared" si="18"/>
        <v>0</v>
      </c>
      <c r="L140" s="666"/>
      <c r="M140" s="665">
        <f t="shared" si="19"/>
        <v>0</v>
      </c>
      <c r="N140" s="666">
        <f t="shared" si="15"/>
        <v>0</v>
      </c>
      <c r="O140" s="672">
        <v>0</v>
      </c>
      <c r="P140" s="668">
        <f t="shared" si="20"/>
        <v>0</v>
      </c>
      <c r="Q140" s="676"/>
      <c r="R140" s="676"/>
    </row>
    <row r="141" spans="1:19" s="677" customFormat="1" ht="25.5" hidden="1" customHeight="1">
      <c r="A141" s="1001"/>
      <c r="B141" s="986">
        <f t="shared" si="14"/>
        <v>0</v>
      </c>
      <c r="C141" s="987" t="s">
        <v>1421</v>
      </c>
      <c r="D141" s="993"/>
      <c r="E141" s="992" t="s">
        <v>264</v>
      </c>
      <c r="F141" s="987">
        <f t="shared" si="16"/>
        <v>0</v>
      </c>
      <c r="G141" s="994"/>
      <c r="H141" s="666">
        <f t="shared" si="17"/>
        <v>0</v>
      </c>
      <c r="I141" s="666"/>
      <c r="J141" s="666"/>
      <c r="K141" s="666">
        <f t="shared" si="18"/>
        <v>0</v>
      </c>
      <c r="L141" s="666"/>
      <c r="M141" s="665">
        <f t="shared" si="19"/>
        <v>0</v>
      </c>
      <c r="N141" s="666">
        <f t="shared" si="15"/>
        <v>0</v>
      </c>
      <c r="O141" s="672">
        <v>0</v>
      </c>
      <c r="P141" s="668">
        <f t="shared" si="20"/>
        <v>0</v>
      </c>
      <c r="Q141" s="676"/>
      <c r="R141" s="676"/>
    </row>
    <row r="142" spans="1:19" s="677" customFormat="1" ht="25.5" hidden="1" customHeight="1">
      <c r="A142" s="1001"/>
      <c r="B142" s="986">
        <f t="shared" si="14"/>
        <v>0</v>
      </c>
      <c r="C142" s="987" t="s">
        <v>1422</v>
      </c>
      <c r="D142" s="993"/>
      <c r="E142" s="992" t="s">
        <v>264</v>
      </c>
      <c r="F142" s="987">
        <f t="shared" si="16"/>
        <v>0</v>
      </c>
      <c r="G142" s="994"/>
      <c r="H142" s="666">
        <f t="shared" si="17"/>
        <v>0</v>
      </c>
      <c r="I142" s="666"/>
      <c r="J142" s="666"/>
      <c r="K142" s="666">
        <f t="shared" si="18"/>
        <v>0</v>
      </c>
      <c r="L142" s="666"/>
      <c r="M142" s="665">
        <f t="shared" si="19"/>
        <v>0</v>
      </c>
      <c r="N142" s="666">
        <f t="shared" si="15"/>
        <v>0</v>
      </c>
      <c r="O142" s="672">
        <v>0</v>
      </c>
      <c r="P142" s="668">
        <f t="shared" si="20"/>
        <v>0</v>
      </c>
      <c r="Q142" s="676"/>
      <c r="R142" s="676"/>
    </row>
    <row r="143" spans="1:19" s="677" customFormat="1" ht="25.5" hidden="1" customHeight="1">
      <c r="A143" s="1001"/>
      <c r="B143" s="986">
        <f t="shared" si="14"/>
        <v>0</v>
      </c>
      <c r="C143" s="987" t="s">
        <v>1423</v>
      </c>
      <c r="D143" s="993"/>
      <c r="E143" s="992" t="s">
        <v>264</v>
      </c>
      <c r="F143" s="987">
        <f t="shared" si="16"/>
        <v>0</v>
      </c>
      <c r="G143" s="994"/>
      <c r="H143" s="666">
        <f t="shared" si="17"/>
        <v>0</v>
      </c>
      <c r="I143" s="666"/>
      <c r="J143" s="666"/>
      <c r="K143" s="666">
        <f t="shared" si="18"/>
        <v>0</v>
      </c>
      <c r="L143" s="666"/>
      <c r="M143" s="665">
        <f t="shared" si="19"/>
        <v>0</v>
      </c>
      <c r="N143" s="666">
        <f t="shared" si="15"/>
        <v>0</v>
      </c>
      <c r="O143" s="672">
        <v>0</v>
      </c>
      <c r="P143" s="668">
        <f t="shared" si="20"/>
        <v>0</v>
      </c>
      <c r="Q143" s="676"/>
      <c r="R143" s="676"/>
    </row>
    <row r="144" spans="1:19" s="677" customFormat="1" ht="7.5" hidden="1" customHeight="1">
      <c r="A144" s="1003"/>
      <c r="B144" s="986">
        <f t="shared" si="14"/>
        <v>0</v>
      </c>
      <c r="C144" s="987" t="s">
        <v>1424</v>
      </c>
      <c r="D144" s="993"/>
      <c r="E144" s="992" t="s">
        <v>264</v>
      </c>
      <c r="F144" s="987">
        <f t="shared" si="16"/>
        <v>0</v>
      </c>
      <c r="G144" s="994"/>
      <c r="H144" s="666">
        <f t="shared" si="17"/>
        <v>0</v>
      </c>
      <c r="I144" s="666"/>
      <c r="J144" s="666"/>
      <c r="K144" s="666">
        <f t="shared" si="18"/>
        <v>0</v>
      </c>
      <c r="L144" s="666"/>
      <c r="M144" s="665">
        <f t="shared" si="19"/>
        <v>0</v>
      </c>
      <c r="N144" s="666">
        <f t="shared" si="15"/>
        <v>0</v>
      </c>
      <c r="O144" s="672">
        <v>0</v>
      </c>
      <c r="P144" s="668">
        <f t="shared" si="20"/>
        <v>0</v>
      </c>
      <c r="Q144" s="676"/>
      <c r="R144" s="676"/>
    </row>
    <row r="145" spans="1:19" ht="76.5" customHeight="1">
      <c r="A145" s="985">
        <v>12.1</v>
      </c>
      <c r="B145" s="986">
        <f t="shared" si="14"/>
        <v>0</v>
      </c>
      <c r="C145" s="995" t="s">
        <v>1451</v>
      </c>
      <c r="D145" s="990"/>
      <c r="E145" s="995"/>
      <c r="F145" s="987">
        <f t="shared" si="16"/>
        <v>0</v>
      </c>
      <c r="G145" s="1004"/>
      <c r="H145" s="666">
        <f t="shared" si="17"/>
        <v>0</v>
      </c>
      <c r="I145" s="666"/>
      <c r="J145" s="666"/>
      <c r="K145" s="666">
        <f t="shared" si="18"/>
        <v>0</v>
      </c>
      <c r="L145" s="666"/>
      <c r="M145" s="665">
        <f t="shared" si="19"/>
        <v>0</v>
      </c>
      <c r="N145" s="666">
        <f t="shared" si="15"/>
        <v>0</v>
      </c>
      <c r="O145" s="668">
        <v>0</v>
      </c>
      <c r="P145" s="668">
        <f t="shared" si="20"/>
        <v>0</v>
      </c>
      <c r="Q145" s="678"/>
      <c r="S145" s="679"/>
    </row>
    <row r="146" spans="1:19" s="683" customFormat="1" ht="43.5" customHeight="1">
      <c r="A146" s="986"/>
      <c r="B146" s="986">
        <f t="shared" si="14"/>
        <v>7.4</v>
      </c>
      <c r="C146" s="987" t="s">
        <v>1420</v>
      </c>
      <c r="D146" s="990">
        <f>ROUND(Data!K467,2)</f>
        <v>371.33</v>
      </c>
      <c r="E146" s="987" t="s">
        <v>264</v>
      </c>
      <c r="F146" s="987">
        <f t="shared" si="16"/>
        <v>2747.8420000000001</v>
      </c>
      <c r="G146" s="989">
        <f>Detailed!H403</f>
        <v>7.4</v>
      </c>
      <c r="H146" s="666">
        <f t="shared" si="17"/>
        <v>2747.8420000000001</v>
      </c>
      <c r="I146" s="666"/>
      <c r="J146" s="666"/>
      <c r="K146" s="666">
        <f t="shared" si="18"/>
        <v>0</v>
      </c>
      <c r="L146" s="666"/>
      <c r="M146" s="665">
        <f t="shared" si="19"/>
        <v>7.4</v>
      </c>
      <c r="N146" s="666">
        <f t="shared" si="15"/>
        <v>2747.8420000000001</v>
      </c>
      <c r="O146" s="672">
        <v>7.4</v>
      </c>
      <c r="P146" s="668">
        <f t="shared" si="20"/>
        <v>0</v>
      </c>
      <c r="Q146" s="669"/>
      <c r="R146" s="669"/>
    </row>
    <row r="147" spans="1:19" s="683" customFormat="1" ht="43.5" customHeight="1">
      <c r="A147" s="986"/>
      <c r="B147" s="986">
        <f t="shared" si="14"/>
        <v>9</v>
      </c>
      <c r="C147" s="987" t="s">
        <v>1421</v>
      </c>
      <c r="D147" s="990">
        <f>ROUND(Data!K468,2)</f>
        <v>378.19</v>
      </c>
      <c r="E147" s="987" t="s">
        <v>264</v>
      </c>
      <c r="F147" s="987">
        <f t="shared" si="16"/>
        <v>3403.71</v>
      </c>
      <c r="G147" s="989">
        <f>Detailed!H409</f>
        <v>9</v>
      </c>
      <c r="H147" s="666">
        <f t="shared" si="17"/>
        <v>3403.71</v>
      </c>
      <c r="I147" s="666"/>
      <c r="J147" s="666"/>
      <c r="K147" s="666">
        <f t="shared" si="18"/>
        <v>0</v>
      </c>
      <c r="L147" s="666"/>
      <c r="M147" s="665">
        <f t="shared" si="19"/>
        <v>9</v>
      </c>
      <c r="N147" s="666">
        <f t="shared" si="15"/>
        <v>3403.71</v>
      </c>
      <c r="O147" s="672">
        <v>9</v>
      </c>
      <c r="P147" s="668">
        <f t="shared" si="20"/>
        <v>0</v>
      </c>
      <c r="Q147" s="669"/>
      <c r="R147" s="669"/>
    </row>
    <row r="148" spans="1:19" s="683" customFormat="1" ht="43.5" hidden="1" customHeight="1">
      <c r="A148" s="986"/>
      <c r="B148" s="986">
        <f t="shared" si="14"/>
        <v>0</v>
      </c>
      <c r="C148" s="987" t="s">
        <v>1422</v>
      </c>
      <c r="D148" s="990">
        <f>ROUND(Data!K469,2)</f>
        <v>385.05</v>
      </c>
      <c r="E148" s="987" t="s">
        <v>264</v>
      </c>
      <c r="F148" s="987">
        <f t="shared" si="16"/>
        <v>0</v>
      </c>
      <c r="G148" s="989"/>
      <c r="H148" s="666">
        <f t="shared" si="17"/>
        <v>0</v>
      </c>
      <c r="I148" s="666"/>
      <c r="J148" s="666"/>
      <c r="K148" s="666">
        <f t="shared" si="18"/>
        <v>0</v>
      </c>
      <c r="L148" s="666"/>
      <c r="M148" s="665">
        <f t="shared" si="19"/>
        <v>0</v>
      </c>
      <c r="N148" s="666">
        <f t="shared" si="15"/>
        <v>0</v>
      </c>
      <c r="O148" s="672">
        <v>0</v>
      </c>
      <c r="P148" s="668">
        <f t="shared" si="20"/>
        <v>0</v>
      </c>
      <c r="Q148" s="669"/>
      <c r="R148" s="669"/>
    </row>
    <row r="149" spans="1:19" s="683" customFormat="1" ht="43.5" hidden="1" customHeight="1">
      <c r="A149" s="986"/>
      <c r="B149" s="986">
        <f t="shared" si="14"/>
        <v>0</v>
      </c>
      <c r="C149" s="987" t="s">
        <v>1423</v>
      </c>
      <c r="D149" s="990">
        <f>ROUND(Data!K470,2)</f>
        <v>391.91</v>
      </c>
      <c r="E149" s="987" t="s">
        <v>264</v>
      </c>
      <c r="F149" s="987">
        <f t="shared" si="16"/>
        <v>0</v>
      </c>
      <c r="G149" s="996"/>
      <c r="H149" s="666">
        <f t="shared" si="17"/>
        <v>0</v>
      </c>
      <c r="I149" s="666"/>
      <c r="J149" s="666"/>
      <c r="K149" s="666">
        <f t="shared" si="18"/>
        <v>0</v>
      </c>
      <c r="L149" s="666"/>
      <c r="M149" s="665">
        <f t="shared" si="19"/>
        <v>0</v>
      </c>
      <c r="N149" s="666">
        <f t="shared" si="15"/>
        <v>0</v>
      </c>
      <c r="O149" s="672">
        <v>0</v>
      </c>
      <c r="P149" s="668">
        <f t="shared" si="20"/>
        <v>0</v>
      </c>
      <c r="Q149" s="669"/>
      <c r="R149" s="669"/>
    </row>
    <row r="150" spans="1:19" s="677" customFormat="1" ht="43.5" hidden="1" customHeight="1">
      <c r="A150" s="1000"/>
      <c r="B150" s="986">
        <f t="shared" si="14"/>
        <v>0</v>
      </c>
      <c r="C150" s="987" t="s">
        <v>1424</v>
      </c>
      <c r="D150" s="990">
        <f>ROUND(Data!K471,2)</f>
        <v>398.77</v>
      </c>
      <c r="E150" s="987" t="s">
        <v>264</v>
      </c>
      <c r="F150" s="987">
        <f t="shared" si="16"/>
        <v>0</v>
      </c>
      <c r="G150" s="996"/>
      <c r="H150" s="666">
        <f t="shared" si="17"/>
        <v>0</v>
      </c>
      <c r="I150" s="666"/>
      <c r="J150" s="666"/>
      <c r="K150" s="666">
        <f t="shared" si="18"/>
        <v>0</v>
      </c>
      <c r="L150" s="666"/>
      <c r="M150" s="665">
        <f t="shared" si="19"/>
        <v>0</v>
      </c>
      <c r="N150" s="666">
        <f t="shared" si="15"/>
        <v>0</v>
      </c>
      <c r="O150" s="672">
        <v>0</v>
      </c>
      <c r="P150" s="668">
        <f t="shared" si="20"/>
        <v>0</v>
      </c>
      <c r="Q150" s="676"/>
      <c r="R150" s="676"/>
    </row>
    <row r="151" spans="1:19" s="677" customFormat="1" ht="69.75" hidden="1" customHeight="1">
      <c r="A151" s="985">
        <v>12.2</v>
      </c>
      <c r="B151" s="986">
        <f t="shared" si="14"/>
        <v>0</v>
      </c>
      <c r="C151" s="987" t="s">
        <v>1452</v>
      </c>
      <c r="D151" s="993"/>
      <c r="E151" s="1005"/>
      <c r="F151" s="987">
        <f t="shared" si="16"/>
        <v>0</v>
      </c>
      <c r="G151" s="1006"/>
      <c r="H151" s="666">
        <f t="shared" si="17"/>
        <v>0</v>
      </c>
      <c r="I151" s="666"/>
      <c r="J151" s="666"/>
      <c r="K151" s="666">
        <f t="shared" si="18"/>
        <v>0</v>
      </c>
      <c r="L151" s="666"/>
      <c r="M151" s="665">
        <f t="shared" si="19"/>
        <v>0</v>
      </c>
      <c r="N151" s="666">
        <f t="shared" si="15"/>
        <v>0</v>
      </c>
      <c r="O151" s="672">
        <v>0</v>
      </c>
      <c r="P151" s="668">
        <f t="shared" si="20"/>
        <v>0</v>
      </c>
      <c r="Q151" s="676"/>
      <c r="R151" s="676"/>
    </row>
    <row r="152" spans="1:19" s="677" customFormat="1" ht="25.5" hidden="1" customHeight="1">
      <c r="A152" s="986"/>
      <c r="B152" s="986">
        <f t="shared" si="14"/>
        <v>0</v>
      </c>
      <c r="C152" s="987" t="s">
        <v>1420</v>
      </c>
      <c r="D152" s="993"/>
      <c r="E152" s="992" t="s">
        <v>264</v>
      </c>
      <c r="F152" s="987">
        <f t="shared" si="16"/>
        <v>0</v>
      </c>
      <c r="G152" s="994"/>
      <c r="H152" s="666">
        <f t="shared" si="17"/>
        <v>0</v>
      </c>
      <c r="I152" s="666"/>
      <c r="J152" s="666"/>
      <c r="K152" s="666">
        <f t="shared" si="18"/>
        <v>0</v>
      </c>
      <c r="L152" s="666"/>
      <c r="M152" s="665">
        <f t="shared" si="19"/>
        <v>0</v>
      </c>
      <c r="N152" s="666">
        <f t="shared" si="15"/>
        <v>0</v>
      </c>
      <c r="O152" s="672">
        <v>0</v>
      </c>
      <c r="P152" s="668">
        <f t="shared" si="20"/>
        <v>0</v>
      </c>
      <c r="Q152" s="676"/>
      <c r="R152" s="676"/>
    </row>
    <row r="153" spans="1:19" s="677" customFormat="1" ht="25.5" hidden="1" customHeight="1">
      <c r="A153" s="986"/>
      <c r="B153" s="986">
        <f t="shared" si="14"/>
        <v>0</v>
      </c>
      <c r="C153" s="987" t="s">
        <v>1421</v>
      </c>
      <c r="D153" s="993"/>
      <c r="E153" s="992" t="s">
        <v>264</v>
      </c>
      <c r="F153" s="987">
        <f t="shared" si="16"/>
        <v>0</v>
      </c>
      <c r="G153" s="994"/>
      <c r="H153" s="666">
        <f t="shared" si="17"/>
        <v>0</v>
      </c>
      <c r="I153" s="666"/>
      <c r="J153" s="666"/>
      <c r="K153" s="666">
        <f t="shared" si="18"/>
        <v>0</v>
      </c>
      <c r="L153" s="666"/>
      <c r="M153" s="665">
        <f t="shared" si="19"/>
        <v>0</v>
      </c>
      <c r="N153" s="666">
        <f t="shared" si="15"/>
        <v>0</v>
      </c>
      <c r="O153" s="672">
        <v>0</v>
      </c>
      <c r="P153" s="668">
        <f t="shared" si="20"/>
        <v>0</v>
      </c>
      <c r="Q153" s="676"/>
      <c r="R153" s="676"/>
    </row>
    <row r="154" spans="1:19" s="677" customFormat="1" ht="25.5" hidden="1" customHeight="1">
      <c r="A154" s="986"/>
      <c r="B154" s="986">
        <f t="shared" si="14"/>
        <v>0</v>
      </c>
      <c r="C154" s="987" t="s">
        <v>1422</v>
      </c>
      <c r="D154" s="993"/>
      <c r="E154" s="992" t="s">
        <v>264</v>
      </c>
      <c r="F154" s="987">
        <f t="shared" si="16"/>
        <v>0</v>
      </c>
      <c r="G154" s="994"/>
      <c r="H154" s="666">
        <f t="shared" si="17"/>
        <v>0</v>
      </c>
      <c r="I154" s="666"/>
      <c r="J154" s="666"/>
      <c r="K154" s="666">
        <f t="shared" si="18"/>
        <v>0</v>
      </c>
      <c r="L154" s="666"/>
      <c r="M154" s="665">
        <f t="shared" si="19"/>
        <v>0</v>
      </c>
      <c r="N154" s="666">
        <f t="shared" si="15"/>
        <v>0</v>
      </c>
      <c r="O154" s="672">
        <v>0</v>
      </c>
      <c r="P154" s="668">
        <f t="shared" si="20"/>
        <v>0</v>
      </c>
      <c r="Q154" s="676"/>
      <c r="R154" s="676"/>
    </row>
    <row r="155" spans="1:19" s="677" customFormat="1" ht="25.5" hidden="1" customHeight="1">
      <c r="A155" s="986"/>
      <c r="B155" s="986">
        <f t="shared" si="14"/>
        <v>0</v>
      </c>
      <c r="C155" s="987" t="s">
        <v>1423</v>
      </c>
      <c r="D155" s="993"/>
      <c r="E155" s="992" t="s">
        <v>264</v>
      </c>
      <c r="F155" s="987">
        <f t="shared" si="16"/>
        <v>0</v>
      </c>
      <c r="G155" s="994"/>
      <c r="H155" s="666">
        <f t="shared" si="17"/>
        <v>0</v>
      </c>
      <c r="I155" s="666"/>
      <c r="J155" s="666"/>
      <c r="K155" s="666">
        <f t="shared" si="18"/>
        <v>0</v>
      </c>
      <c r="L155" s="666"/>
      <c r="M155" s="665">
        <f t="shared" si="19"/>
        <v>0</v>
      </c>
      <c r="N155" s="666">
        <f t="shared" si="15"/>
        <v>0</v>
      </c>
      <c r="O155" s="672">
        <v>0</v>
      </c>
      <c r="P155" s="668">
        <f t="shared" si="20"/>
        <v>0</v>
      </c>
      <c r="Q155" s="676"/>
      <c r="R155" s="676"/>
    </row>
    <row r="156" spans="1:19" s="677" customFormat="1" ht="25.5" hidden="1" customHeight="1">
      <c r="A156" s="1000"/>
      <c r="B156" s="986">
        <f t="shared" si="14"/>
        <v>0</v>
      </c>
      <c r="C156" s="987" t="s">
        <v>1424</v>
      </c>
      <c r="D156" s="993"/>
      <c r="E156" s="992" t="s">
        <v>264</v>
      </c>
      <c r="F156" s="987">
        <f t="shared" si="16"/>
        <v>0</v>
      </c>
      <c r="G156" s="994"/>
      <c r="H156" s="666">
        <f t="shared" si="17"/>
        <v>0</v>
      </c>
      <c r="I156" s="666"/>
      <c r="J156" s="666"/>
      <c r="K156" s="666">
        <f t="shared" si="18"/>
        <v>0</v>
      </c>
      <c r="L156" s="666"/>
      <c r="M156" s="665">
        <f t="shared" si="19"/>
        <v>0</v>
      </c>
      <c r="N156" s="666">
        <f t="shared" si="15"/>
        <v>0</v>
      </c>
      <c r="O156" s="672">
        <v>0</v>
      </c>
      <c r="P156" s="668">
        <f t="shared" si="20"/>
        <v>0</v>
      </c>
      <c r="Q156" s="676"/>
      <c r="R156" s="676"/>
    </row>
    <row r="157" spans="1:19" s="677" customFormat="1" ht="25.5" hidden="1" customHeight="1">
      <c r="A157" s="1000"/>
      <c r="B157" s="986">
        <f t="shared" si="14"/>
        <v>0</v>
      </c>
      <c r="C157" s="987"/>
      <c r="D157" s="993"/>
      <c r="E157" s="992"/>
      <c r="F157" s="987">
        <f t="shared" si="16"/>
        <v>0</v>
      </c>
      <c r="G157" s="994"/>
      <c r="H157" s="666">
        <f t="shared" si="17"/>
        <v>0</v>
      </c>
      <c r="I157" s="666"/>
      <c r="J157" s="666"/>
      <c r="K157" s="666">
        <f t="shared" si="18"/>
        <v>0</v>
      </c>
      <c r="L157" s="666"/>
      <c r="M157" s="665">
        <f t="shared" si="19"/>
        <v>0</v>
      </c>
      <c r="N157" s="666">
        <f t="shared" si="15"/>
        <v>0</v>
      </c>
      <c r="O157" s="672">
        <v>0</v>
      </c>
      <c r="P157" s="668">
        <f t="shared" si="20"/>
        <v>0</v>
      </c>
      <c r="Q157" s="676"/>
      <c r="R157" s="676"/>
    </row>
    <row r="158" spans="1:19" s="683" customFormat="1" ht="46.5" customHeight="1">
      <c r="A158" s="985">
        <v>13.1</v>
      </c>
      <c r="B158" s="986">
        <f t="shared" si="14"/>
        <v>39.5</v>
      </c>
      <c r="C158" s="987" t="s">
        <v>809</v>
      </c>
      <c r="D158" s="990">
        <f>ROUND(Data!K482,2)</f>
        <v>33.6</v>
      </c>
      <c r="E158" s="987" t="s">
        <v>235</v>
      </c>
      <c r="F158" s="987">
        <f t="shared" si="16"/>
        <v>1327.2</v>
      </c>
      <c r="G158" s="989">
        <f>Detailed!H415</f>
        <v>39.5</v>
      </c>
      <c r="H158" s="666">
        <f t="shared" si="17"/>
        <v>1327.2</v>
      </c>
      <c r="I158" s="666"/>
      <c r="J158" s="666"/>
      <c r="K158" s="666">
        <f t="shared" si="18"/>
        <v>0</v>
      </c>
      <c r="L158" s="666"/>
      <c r="M158" s="665">
        <f t="shared" si="19"/>
        <v>39.5</v>
      </c>
      <c r="N158" s="666">
        <f t="shared" si="15"/>
        <v>1327.2</v>
      </c>
      <c r="O158" s="672">
        <v>48.9</v>
      </c>
      <c r="P158" s="668">
        <f t="shared" si="20"/>
        <v>-9.3999999999999986</v>
      </c>
      <c r="Q158" s="669"/>
      <c r="R158" s="669"/>
    </row>
    <row r="159" spans="1:19" s="677" customFormat="1" ht="33.75" hidden="1" customHeight="1">
      <c r="A159" s="985">
        <v>13.2</v>
      </c>
      <c r="B159" s="986">
        <f t="shared" si="14"/>
        <v>0</v>
      </c>
      <c r="C159" s="987" t="s">
        <v>1453</v>
      </c>
      <c r="D159" s="993"/>
      <c r="E159" s="992" t="s">
        <v>235</v>
      </c>
      <c r="F159" s="987">
        <f t="shared" si="16"/>
        <v>0</v>
      </c>
      <c r="G159" s="994"/>
      <c r="H159" s="666">
        <f t="shared" si="17"/>
        <v>0</v>
      </c>
      <c r="I159" s="666"/>
      <c r="J159" s="666"/>
      <c r="K159" s="666">
        <f t="shared" si="18"/>
        <v>0</v>
      </c>
      <c r="L159" s="666"/>
      <c r="M159" s="665">
        <f t="shared" si="19"/>
        <v>0</v>
      </c>
      <c r="N159" s="666">
        <f t="shared" si="15"/>
        <v>0</v>
      </c>
      <c r="O159" s="672">
        <v>0</v>
      </c>
      <c r="P159" s="668">
        <f t="shared" si="20"/>
        <v>0</v>
      </c>
      <c r="Q159" s="676"/>
      <c r="R159" s="676"/>
    </row>
    <row r="160" spans="1:19" s="682" customFormat="1" ht="60.75" hidden="1" customHeight="1">
      <c r="A160" s="986" t="s">
        <v>1454</v>
      </c>
      <c r="B160" s="986">
        <f t="shared" si="14"/>
        <v>0</v>
      </c>
      <c r="C160" s="995" t="s">
        <v>1455</v>
      </c>
      <c r="D160" s="993"/>
      <c r="E160" s="992"/>
      <c r="F160" s="987">
        <f t="shared" si="16"/>
        <v>0</v>
      </c>
      <c r="G160" s="994"/>
      <c r="H160" s="666">
        <f t="shared" si="17"/>
        <v>0</v>
      </c>
      <c r="I160" s="666"/>
      <c r="J160" s="666"/>
      <c r="K160" s="666">
        <f t="shared" si="18"/>
        <v>0</v>
      </c>
      <c r="L160" s="666"/>
      <c r="M160" s="665">
        <f t="shared" si="19"/>
        <v>0</v>
      </c>
      <c r="N160" s="666">
        <f t="shared" si="15"/>
        <v>0</v>
      </c>
      <c r="O160" s="672">
        <v>0</v>
      </c>
      <c r="P160" s="668">
        <f t="shared" si="20"/>
        <v>0</v>
      </c>
      <c r="Q160" s="680"/>
      <c r="R160" s="681"/>
    </row>
    <row r="161" spans="1:18" s="682" customFormat="1" ht="50.25" hidden="1" customHeight="1">
      <c r="A161" s="986"/>
      <c r="B161" s="986">
        <f t="shared" si="14"/>
        <v>0</v>
      </c>
      <c r="C161" s="987" t="s">
        <v>1405</v>
      </c>
      <c r="D161" s="993">
        <f>ROUND(Data!K535,2)</f>
        <v>1290.53</v>
      </c>
      <c r="E161" s="992" t="s">
        <v>264</v>
      </c>
      <c r="F161" s="987">
        <f t="shared" si="16"/>
        <v>0</v>
      </c>
      <c r="G161" s="994"/>
      <c r="H161" s="666">
        <f t="shared" si="17"/>
        <v>0</v>
      </c>
      <c r="I161" s="666"/>
      <c r="J161" s="666"/>
      <c r="K161" s="666">
        <f t="shared" si="18"/>
        <v>0</v>
      </c>
      <c r="L161" s="666"/>
      <c r="M161" s="665">
        <f t="shared" si="19"/>
        <v>0</v>
      </c>
      <c r="N161" s="666">
        <f t="shared" si="15"/>
        <v>0</v>
      </c>
      <c r="O161" s="672">
        <v>0</v>
      </c>
      <c r="P161" s="668">
        <f t="shared" si="20"/>
        <v>0</v>
      </c>
      <c r="Q161" s="680"/>
      <c r="R161" s="681"/>
    </row>
    <row r="162" spans="1:18" s="682" customFormat="1" ht="50.25" hidden="1" customHeight="1">
      <c r="A162" s="986"/>
      <c r="B162" s="986">
        <f t="shared" si="14"/>
        <v>0</v>
      </c>
      <c r="C162" s="987" t="s">
        <v>1406</v>
      </c>
      <c r="D162" s="993">
        <f>ROUND(Data!K536,2)</f>
        <v>1294.6400000000001</v>
      </c>
      <c r="E162" s="992" t="s">
        <v>264</v>
      </c>
      <c r="F162" s="987">
        <f t="shared" si="16"/>
        <v>0</v>
      </c>
      <c r="G162" s="994"/>
      <c r="H162" s="666">
        <f t="shared" si="17"/>
        <v>0</v>
      </c>
      <c r="I162" s="666"/>
      <c r="J162" s="666"/>
      <c r="K162" s="666">
        <f t="shared" si="18"/>
        <v>0</v>
      </c>
      <c r="L162" s="666"/>
      <c r="M162" s="665">
        <f t="shared" si="19"/>
        <v>0</v>
      </c>
      <c r="N162" s="666">
        <f t="shared" si="15"/>
        <v>0</v>
      </c>
      <c r="O162" s="672">
        <v>0</v>
      </c>
      <c r="P162" s="668">
        <f t="shared" si="20"/>
        <v>0</v>
      </c>
      <c r="Q162" s="680"/>
      <c r="R162" s="681"/>
    </row>
    <row r="163" spans="1:18" s="682" customFormat="1" ht="50.25" hidden="1" customHeight="1">
      <c r="A163" s="986"/>
      <c r="B163" s="986">
        <f t="shared" si="14"/>
        <v>0</v>
      </c>
      <c r="C163" s="987" t="s">
        <v>1407</v>
      </c>
      <c r="D163" s="993">
        <f>ROUND(Data!K537,2)</f>
        <v>1298.75</v>
      </c>
      <c r="E163" s="992" t="s">
        <v>264</v>
      </c>
      <c r="F163" s="987">
        <f t="shared" si="16"/>
        <v>0</v>
      </c>
      <c r="G163" s="994"/>
      <c r="H163" s="666">
        <f t="shared" si="17"/>
        <v>0</v>
      </c>
      <c r="I163" s="666"/>
      <c r="J163" s="666"/>
      <c r="K163" s="666">
        <f t="shared" si="18"/>
        <v>0</v>
      </c>
      <c r="L163" s="666"/>
      <c r="M163" s="665">
        <f t="shared" si="19"/>
        <v>0</v>
      </c>
      <c r="N163" s="666">
        <f t="shared" si="15"/>
        <v>0</v>
      </c>
      <c r="O163" s="672">
        <v>0</v>
      </c>
      <c r="P163" s="668">
        <f t="shared" si="20"/>
        <v>0</v>
      </c>
      <c r="Q163" s="680"/>
      <c r="R163" s="681"/>
    </row>
    <row r="164" spans="1:18" s="682" customFormat="1" ht="50.25" hidden="1" customHeight="1">
      <c r="A164" s="986"/>
      <c r="B164" s="986">
        <f t="shared" si="14"/>
        <v>0</v>
      </c>
      <c r="C164" s="987" t="s">
        <v>1408</v>
      </c>
      <c r="D164" s="993">
        <f>ROUND(Data!K538,2)</f>
        <v>1302.8599999999999</v>
      </c>
      <c r="E164" s="992" t="s">
        <v>264</v>
      </c>
      <c r="F164" s="987">
        <f t="shared" si="16"/>
        <v>0</v>
      </c>
      <c r="G164" s="994"/>
      <c r="H164" s="666">
        <f t="shared" si="17"/>
        <v>0</v>
      </c>
      <c r="I164" s="666"/>
      <c r="J164" s="666"/>
      <c r="K164" s="666">
        <f t="shared" si="18"/>
        <v>0</v>
      </c>
      <c r="L164" s="666"/>
      <c r="M164" s="665">
        <f t="shared" si="19"/>
        <v>0</v>
      </c>
      <c r="N164" s="666">
        <f t="shared" si="15"/>
        <v>0</v>
      </c>
      <c r="O164" s="672">
        <v>0</v>
      </c>
      <c r="P164" s="668">
        <f t="shared" si="20"/>
        <v>0</v>
      </c>
      <c r="Q164" s="680"/>
      <c r="R164" s="681"/>
    </row>
    <row r="165" spans="1:18" s="677" customFormat="1" ht="41.25" hidden="1" customHeight="1">
      <c r="A165" s="1000"/>
      <c r="B165" s="986">
        <f t="shared" si="14"/>
        <v>0</v>
      </c>
      <c r="C165" s="987" t="s">
        <v>1409</v>
      </c>
      <c r="D165" s="993">
        <f>ROUND(Data!K539,2)</f>
        <v>1306.97</v>
      </c>
      <c r="E165" s="992" t="s">
        <v>264</v>
      </c>
      <c r="F165" s="987">
        <f t="shared" si="16"/>
        <v>0</v>
      </c>
      <c r="G165" s="994"/>
      <c r="H165" s="666">
        <f t="shared" si="17"/>
        <v>0</v>
      </c>
      <c r="I165" s="666"/>
      <c r="J165" s="666"/>
      <c r="K165" s="666">
        <f t="shared" si="18"/>
        <v>0</v>
      </c>
      <c r="L165" s="666"/>
      <c r="M165" s="665">
        <f t="shared" si="19"/>
        <v>0</v>
      </c>
      <c r="N165" s="666">
        <f t="shared" si="15"/>
        <v>0</v>
      </c>
      <c r="O165" s="672">
        <v>0</v>
      </c>
      <c r="P165" s="668">
        <f t="shared" si="20"/>
        <v>0</v>
      </c>
      <c r="Q165" s="676"/>
      <c r="R165" s="676"/>
    </row>
    <row r="166" spans="1:18" s="677" customFormat="1" ht="41.25" hidden="1" customHeight="1">
      <c r="A166" s="1000"/>
      <c r="B166" s="986">
        <f t="shared" si="14"/>
        <v>0</v>
      </c>
      <c r="C166" s="987" t="s">
        <v>1411</v>
      </c>
      <c r="D166" s="993">
        <f>ROUND(Data!K540,2)</f>
        <v>1311.07</v>
      </c>
      <c r="E166" s="992" t="s">
        <v>264</v>
      </c>
      <c r="F166" s="987">
        <f t="shared" si="16"/>
        <v>0</v>
      </c>
      <c r="G166" s="994"/>
      <c r="H166" s="666">
        <f t="shared" si="17"/>
        <v>0</v>
      </c>
      <c r="I166" s="666"/>
      <c r="J166" s="666"/>
      <c r="K166" s="666">
        <f t="shared" si="18"/>
        <v>0</v>
      </c>
      <c r="L166" s="666"/>
      <c r="M166" s="665">
        <f t="shared" si="19"/>
        <v>0</v>
      </c>
      <c r="N166" s="666">
        <f t="shared" si="15"/>
        <v>0</v>
      </c>
      <c r="O166" s="672">
        <v>0</v>
      </c>
      <c r="P166" s="668">
        <f t="shared" si="20"/>
        <v>0</v>
      </c>
      <c r="Q166" s="676"/>
      <c r="R166" s="676"/>
    </row>
    <row r="167" spans="1:18" s="677" customFormat="1" ht="41.25" hidden="1" customHeight="1">
      <c r="A167" s="1000"/>
      <c r="B167" s="986">
        <f t="shared" si="14"/>
        <v>0</v>
      </c>
      <c r="C167" s="987" t="s">
        <v>1412</v>
      </c>
      <c r="D167" s="993">
        <f>ROUND(Data!K541,2)</f>
        <v>1315.18</v>
      </c>
      <c r="E167" s="992" t="s">
        <v>264</v>
      </c>
      <c r="F167" s="987">
        <f t="shared" si="16"/>
        <v>0</v>
      </c>
      <c r="G167" s="994"/>
      <c r="H167" s="666">
        <f t="shared" si="17"/>
        <v>0</v>
      </c>
      <c r="I167" s="666"/>
      <c r="J167" s="666"/>
      <c r="K167" s="666">
        <f t="shared" si="18"/>
        <v>0</v>
      </c>
      <c r="L167" s="666"/>
      <c r="M167" s="665">
        <f t="shared" si="19"/>
        <v>0</v>
      </c>
      <c r="N167" s="666">
        <f t="shared" si="15"/>
        <v>0</v>
      </c>
      <c r="O167" s="672">
        <v>0</v>
      </c>
      <c r="P167" s="668">
        <f t="shared" si="20"/>
        <v>0</v>
      </c>
      <c r="Q167" s="676"/>
      <c r="R167" s="676"/>
    </row>
    <row r="168" spans="1:18" s="677" customFormat="1" ht="41.25" hidden="1" customHeight="1">
      <c r="A168" s="1000"/>
      <c r="B168" s="986">
        <f t="shared" si="14"/>
        <v>0</v>
      </c>
      <c r="C168" s="987" t="s">
        <v>1413</v>
      </c>
      <c r="D168" s="993">
        <f>ROUND(Data!K542,2)</f>
        <v>1319.29</v>
      </c>
      <c r="E168" s="992" t="s">
        <v>264</v>
      </c>
      <c r="F168" s="987">
        <f t="shared" si="16"/>
        <v>0</v>
      </c>
      <c r="G168" s="994"/>
      <c r="H168" s="666">
        <f t="shared" si="17"/>
        <v>0</v>
      </c>
      <c r="I168" s="666"/>
      <c r="J168" s="666"/>
      <c r="K168" s="666">
        <f t="shared" si="18"/>
        <v>0</v>
      </c>
      <c r="L168" s="666"/>
      <c r="M168" s="665">
        <f t="shared" si="19"/>
        <v>0</v>
      </c>
      <c r="N168" s="666">
        <f t="shared" si="15"/>
        <v>0</v>
      </c>
      <c r="O168" s="672">
        <v>0</v>
      </c>
      <c r="P168" s="668">
        <f t="shared" si="20"/>
        <v>0</v>
      </c>
      <c r="Q168" s="676"/>
      <c r="R168" s="676"/>
    </row>
    <row r="169" spans="1:18" s="677" customFormat="1" ht="41.25" hidden="1" customHeight="1">
      <c r="A169" s="1000"/>
      <c r="B169" s="986">
        <f t="shared" si="14"/>
        <v>0</v>
      </c>
      <c r="C169" s="987" t="s">
        <v>1414</v>
      </c>
      <c r="D169" s="993">
        <f>ROUND(Data!K543,2)</f>
        <v>1323.4</v>
      </c>
      <c r="E169" s="992" t="s">
        <v>264</v>
      </c>
      <c r="F169" s="987">
        <f t="shared" si="16"/>
        <v>0</v>
      </c>
      <c r="G169" s="994"/>
      <c r="H169" s="666">
        <f t="shared" si="17"/>
        <v>0</v>
      </c>
      <c r="I169" s="666"/>
      <c r="J169" s="666"/>
      <c r="K169" s="666">
        <f t="shared" si="18"/>
        <v>0</v>
      </c>
      <c r="L169" s="666"/>
      <c r="M169" s="665">
        <f t="shared" si="19"/>
        <v>0</v>
      </c>
      <c r="N169" s="666">
        <f t="shared" si="15"/>
        <v>0</v>
      </c>
      <c r="O169" s="672">
        <v>0</v>
      </c>
      <c r="P169" s="668">
        <f t="shared" si="20"/>
        <v>0</v>
      </c>
      <c r="Q169" s="676"/>
      <c r="R169" s="676"/>
    </row>
    <row r="170" spans="1:18" s="677" customFormat="1" ht="41.25" hidden="1" customHeight="1">
      <c r="A170" s="1000"/>
      <c r="B170" s="986">
        <f t="shared" si="14"/>
        <v>0</v>
      </c>
      <c r="C170" s="987" t="s">
        <v>1415</v>
      </c>
      <c r="D170" s="993">
        <f>ROUND(Data!K544,2)</f>
        <v>1327.51</v>
      </c>
      <c r="E170" s="992" t="s">
        <v>264</v>
      </c>
      <c r="F170" s="987">
        <f t="shared" si="16"/>
        <v>0</v>
      </c>
      <c r="G170" s="994"/>
      <c r="H170" s="666">
        <f t="shared" si="17"/>
        <v>0</v>
      </c>
      <c r="I170" s="666"/>
      <c r="J170" s="666"/>
      <c r="K170" s="666">
        <f t="shared" si="18"/>
        <v>0</v>
      </c>
      <c r="L170" s="666"/>
      <c r="M170" s="665">
        <f t="shared" si="19"/>
        <v>0</v>
      </c>
      <c r="N170" s="666">
        <f t="shared" si="15"/>
        <v>0</v>
      </c>
      <c r="O170" s="672">
        <v>0</v>
      </c>
      <c r="P170" s="668">
        <f t="shared" si="20"/>
        <v>0</v>
      </c>
      <c r="Q170" s="676"/>
      <c r="R170" s="676"/>
    </row>
    <row r="171" spans="1:18" s="677" customFormat="1" ht="41.25" hidden="1" customHeight="1">
      <c r="A171" s="1000"/>
      <c r="B171" s="986">
        <f t="shared" si="14"/>
        <v>0</v>
      </c>
      <c r="C171" s="987" t="s">
        <v>1416</v>
      </c>
      <c r="D171" s="993">
        <f>ROUND(Data!K545,2)</f>
        <v>1331.62</v>
      </c>
      <c r="E171" s="992" t="s">
        <v>264</v>
      </c>
      <c r="F171" s="987">
        <f t="shared" si="16"/>
        <v>0</v>
      </c>
      <c r="G171" s="994"/>
      <c r="H171" s="666">
        <f t="shared" si="17"/>
        <v>0</v>
      </c>
      <c r="I171" s="666"/>
      <c r="J171" s="666"/>
      <c r="K171" s="666">
        <f t="shared" si="18"/>
        <v>0</v>
      </c>
      <c r="L171" s="666"/>
      <c r="M171" s="665">
        <f t="shared" si="19"/>
        <v>0</v>
      </c>
      <c r="N171" s="666">
        <f t="shared" si="15"/>
        <v>0</v>
      </c>
      <c r="O171" s="672">
        <v>0</v>
      </c>
      <c r="P171" s="668">
        <f t="shared" si="20"/>
        <v>0</v>
      </c>
      <c r="Q171" s="676"/>
      <c r="R171" s="676"/>
    </row>
    <row r="172" spans="1:18" s="677" customFormat="1" ht="41.25" hidden="1" customHeight="1">
      <c r="A172" s="1000"/>
      <c r="B172" s="986">
        <f t="shared" si="14"/>
        <v>0</v>
      </c>
      <c r="C172" s="987" t="s">
        <v>1417</v>
      </c>
      <c r="D172" s="993">
        <f>ROUND(Data!K546,2)</f>
        <v>1335.72</v>
      </c>
      <c r="E172" s="992" t="s">
        <v>264</v>
      </c>
      <c r="F172" s="987">
        <f t="shared" si="16"/>
        <v>0</v>
      </c>
      <c r="G172" s="994"/>
      <c r="H172" s="666">
        <f t="shared" si="17"/>
        <v>0</v>
      </c>
      <c r="I172" s="666"/>
      <c r="J172" s="666"/>
      <c r="K172" s="666">
        <f t="shared" si="18"/>
        <v>0</v>
      </c>
      <c r="L172" s="666"/>
      <c r="M172" s="665">
        <f t="shared" si="19"/>
        <v>0</v>
      </c>
      <c r="N172" s="666">
        <f t="shared" si="15"/>
        <v>0</v>
      </c>
      <c r="O172" s="672">
        <v>0</v>
      </c>
      <c r="P172" s="668">
        <f t="shared" si="20"/>
        <v>0</v>
      </c>
      <c r="Q172" s="676"/>
      <c r="R172" s="676"/>
    </row>
    <row r="173" spans="1:18" s="682" customFormat="1" ht="60.75" hidden="1" customHeight="1">
      <c r="A173" s="986" t="s">
        <v>39</v>
      </c>
      <c r="B173" s="986">
        <f t="shared" si="14"/>
        <v>0</v>
      </c>
      <c r="C173" s="995" t="s">
        <v>1456</v>
      </c>
      <c r="D173" s="993"/>
      <c r="E173" s="992"/>
      <c r="F173" s="987">
        <f t="shared" si="16"/>
        <v>0</v>
      </c>
      <c r="G173" s="994"/>
      <c r="H173" s="666">
        <f t="shared" si="17"/>
        <v>0</v>
      </c>
      <c r="I173" s="666"/>
      <c r="J173" s="666"/>
      <c r="K173" s="666">
        <f t="shared" si="18"/>
        <v>0</v>
      </c>
      <c r="L173" s="666"/>
      <c r="M173" s="665">
        <f t="shared" si="19"/>
        <v>0</v>
      </c>
      <c r="N173" s="666">
        <f t="shared" si="15"/>
        <v>0</v>
      </c>
      <c r="O173" s="672">
        <v>0</v>
      </c>
      <c r="P173" s="668">
        <f t="shared" si="20"/>
        <v>0</v>
      </c>
      <c r="Q173" s="680"/>
      <c r="R173" s="681"/>
    </row>
    <row r="174" spans="1:18" s="682" customFormat="1" ht="48.75" hidden="1" customHeight="1">
      <c r="A174" s="986"/>
      <c r="B174" s="986">
        <f t="shared" si="14"/>
        <v>0</v>
      </c>
      <c r="C174" s="987" t="s">
        <v>1457</v>
      </c>
      <c r="D174" s="993">
        <f>ROUND(Data!K557,2)</f>
        <v>1430.19</v>
      </c>
      <c r="E174" s="992" t="s">
        <v>264</v>
      </c>
      <c r="F174" s="987">
        <f t="shared" si="16"/>
        <v>0</v>
      </c>
      <c r="G174" s="994"/>
      <c r="H174" s="666">
        <f t="shared" si="17"/>
        <v>0</v>
      </c>
      <c r="I174" s="666"/>
      <c r="J174" s="666"/>
      <c r="K174" s="666">
        <f t="shared" si="18"/>
        <v>0</v>
      </c>
      <c r="L174" s="666"/>
      <c r="M174" s="665">
        <f t="shared" si="19"/>
        <v>0</v>
      </c>
      <c r="N174" s="666">
        <f t="shared" si="15"/>
        <v>0</v>
      </c>
      <c r="O174" s="672">
        <v>0</v>
      </c>
      <c r="P174" s="668">
        <f t="shared" si="20"/>
        <v>0</v>
      </c>
      <c r="Q174" s="680"/>
      <c r="R174" s="681"/>
    </row>
    <row r="175" spans="1:18" s="682" customFormat="1" ht="50.25" hidden="1" customHeight="1">
      <c r="A175" s="986"/>
      <c r="B175" s="986">
        <f t="shared" si="14"/>
        <v>0</v>
      </c>
      <c r="C175" s="987" t="s">
        <v>1458</v>
      </c>
      <c r="D175" s="993">
        <f>ROUND(Data!K559,2)</f>
        <v>1434.36</v>
      </c>
      <c r="E175" s="992" t="s">
        <v>264</v>
      </c>
      <c r="F175" s="987">
        <f t="shared" si="16"/>
        <v>0</v>
      </c>
      <c r="G175" s="994"/>
      <c r="H175" s="666">
        <f t="shared" si="17"/>
        <v>0</v>
      </c>
      <c r="I175" s="666"/>
      <c r="J175" s="666"/>
      <c r="K175" s="666">
        <f t="shared" si="18"/>
        <v>0</v>
      </c>
      <c r="L175" s="666"/>
      <c r="M175" s="665">
        <f t="shared" si="19"/>
        <v>0</v>
      </c>
      <c r="N175" s="666">
        <f t="shared" si="15"/>
        <v>0</v>
      </c>
      <c r="O175" s="672">
        <v>0</v>
      </c>
      <c r="P175" s="668">
        <f t="shared" si="20"/>
        <v>0</v>
      </c>
      <c r="Q175" s="680"/>
      <c r="R175" s="681"/>
    </row>
    <row r="176" spans="1:18" s="682" customFormat="1" ht="50.25" hidden="1" customHeight="1">
      <c r="A176" s="986"/>
      <c r="B176" s="986">
        <f t="shared" si="14"/>
        <v>0</v>
      </c>
      <c r="C176" s="987" t="s">
        <v>1459</v>
      </c>
      <c r="D176" s="993">
        <f>ROUND(Data!K560,2)</f>
        <v>1442.58</v>
      </c>
      <c r="E176" s="992" t="s">
        <v>264</v>
      </c>
      <c r="F176" s="987">
        <f t="shared" si="16"/>
        <v>0</v>
      </c>
      <c r="G176" s="994"/>
      <c r="H176" s="666">
        <f t="shared" si="17"/>
        <v>0</v>
      </c>
      <c r="I176" s="666"/>
      <c r="J176" s="666"/>
      <c r="K176" s="666">
        <f t="shared" si="18"/>
        <v>0</v>
      </c>
      <c r="L176" s="666"/>
      <c r="M176" s="665">
        <f t="shared" si="19"/>
        <v>0</v>
      </c>
      <c r="N176" s="666">
        <f t="shared" si="15"/>
        <v>0</v>
      </c>
      <c r="O176" s="672">
        <v>0</v>
      </c>
      <c r="P176" s="668">
        <f t="shared" si="20"/>
        <v>0</v>
      </c>
      <c r="Q176" s="680"/>
      <c r="R176" s="681"/>
    </row>
    <row r="177" spans="1:18" s="682" customFormat="1" ht="50.25" hidden="1" customHeight="1">
      <c r="A177" s="986"/>
      <c r="B177" s="986">
        <f t="shared" si="14"/>
        <v>0</v>
      </c>
      <c r="C177" s="987" t="s">
        <v>1460</v>
      </c>
      <c r="D177" s="993">
        <f>ROUND(Data!K561,2)</f>
        <v>1450.8</v>
      </c>
      <c r="E177" s="992" t="s">
        <v>264</v>
      </c>
      <c r="F177" s="987">
        <f t="shared" si="16"/>
        <v>0</v>
      </c>
      <c r="G177" s="994"/>
      <c r="H177" s="666">
        <f t="shared" si="17"/>
        <v>0</v>
      </c>
      <c r="I177" s="666"/>
      <c r="J177" s="666"/>
      <c r="K177" s="666">
        <f t="shared" si="18"/>
        <v>0</v>
      </c>
      <c r="L177" s="666"/>
      <c r="M177" s="665">
        <f t="shared" si="19"/>
        <v>0</v>
      </c>
      <c r="N177" s="666">
        <f t="shared" si="15"/>
        <v>0</v>
      </c>
      <c r="O177" s="672">
        <v>0</v>
      </c>
      <c r="P177" s="668">
        <f t="shared" si="20"/>
        <v>0</v>
      </c>
      <c r="Q177" s="680"/>
      <c r="R177" s="681"/>
    </row>
    <row r="178" spans="1:18" s="682" customFormat="1" ht="50.25" hidden="1" customHeight="1">
      <c r="A178" s="986"/>
      <c r="B178" s="986">
        <f t="shared" si="14"/>
        <v>0</v>
      </c>
      <c r="C178" s="987" t="s">
        <v>1461</v>
      </c>
      <c r="D178" s="993">
        <f>ROUND(Data!K562,2)</f>
        <v>1459.01</v>
      </c>
      <c r="E178" s="992" t="s">
        <v>264</v>
      </c>
      <c r="F178" s="987">
        <f t="shared" si="16"/>
        <v>0</v>
      </c>
      <c r="G178" s="994"/>
      <c r="H178" s="666">
        <f t="shared" si="17"/>
        <v>0</v>
      </c>
      <c r="I178" s="666"/>
      <c r="J178" s="666"/>
      <c r="K178" s="666">
        <f t="shared" si="18"/>
        <v>0</v>
      </c>
      <c r="L178" s="666"/>
      <c r="M178" s="665">
        <f t="shared" si="19"/>
        <v>0</v>
      </c>
      <c r="N178" s="666">
        <f t="shared" si="15"/>
        <v>0</v>
      </c>
      <c r="O178" s="672">
        <v>0</v>
      </c>
      <c r="P178" s="668">
        <f t="shared" si="20"/>
        <v>0</v>
      </c>
      <c r="Q178" s="680"/>
      <c r="R178" s="681"/>
    </row>
    <row r="179" spans="1:18" s="677" customFormat="1" ht="41.25" hidden="1" customHeight="1">
      <c r="A179" s="1000"/>
      <c r="B179" s="986">
        <f t="shared" si="14"/>
        <v>0</v>
      </c>
      <c r="C179" s="987" t="s">
        <v>1462</v>
      </c>
      <c r="D179" s="993">
        <f>ROUND(Data!K563,2)</f>
        <v>1467.23</v>
      </c>
      <c r="E179" s="992" t="s">
        <v>264</v>
      </c>
      <c r="F179" s="987">
        <f t="shared" si="16"/>
        <v>0</v>
      </c>
      <c r="G179" s="994"/>
      <c r="H179" s="666">
        <f t="shared" si="17"/>
        <v>0</v>
      </c>
      <c r="I179" s="666"/>
      <c r="J179" s="666"/>
      <c r="K179" s="666">
        <f t="shared" si="18"/>
        <v>0</v>
      </c>
      <c r="L179" s="666"/>
      <c r="M179" s="665">
        <f t="shared" si="19"/>
        <v>0</v>
      </c>
      <c r="N179" s="666">
        <f t="shared" si="15"/>
        <v>0</v>
      </c>
      <c r="O179" s="672">
        <v>0</v>
      </c>
      <c r="P179" s="668">
        <f t="shared" si="20"/>
        <v>0</v>
      </c>
      <c r="Q179" s="676"/>
      <c r="R179" s="676"/>
    </row>
    <row r="180" spans="1:18" s="677" customFormat="1" ht="25.5" hidden="1" customHeight="1">
      <c r="A180" s="985">
        <v>15.1</v>
      </c>
      <c r="B180" s="986">
        <f t="shared" si="14"/>
        <v>0</v>
      </c>
      <c r="C180" s="995" t="s">
        <v>1463</v>
      </c>
      <c r="D180" s="993"/>
      <c r="E180" s="992"/>
      <c r="F180" s="987">
        <f t="shared" si="16"/>
        <v>0</v>
      </c>
      <c r="G180" s="994"/>
      <c r="H180" s="666">
        <f t="shared" si="17"/>
        <v>0</v>
      </c>
      <c r="I180" s="666"/>
      <c r="J180" s="666"/>
      <c r="K180" s="666">
        <f t="shared" si="18"/>
        <v>0</v>
      </c>
      <c r="L180" s="666"/>
      <c r="M180" s="665">
        <f t="shared" si="19"/>
        <v>0</v>
      </c>
      <c r="N180" s="666">
        <f t="shared" si="15"/>
        <v>0</v>
      </c>
      <c r="O180" s="672">
        <v>0</v>
      </c>
      <c r="P180" s="668">
        <f t="shared" si="20"/>
        <v>0</v>
      </c>
      <c r="Q180" s="676"/>
      <c r="R180" s="676"/>
    </row>
    <row r="181" spans="1:18" s="677" customFormat="1" ht="25.5" hidden="1" customHeight="1">
      <c r="A181" s="985"/>
      <c r="B181" s="986">
        <f t="shared" si="14"/>
        <v>0</v>
      </c>
      <c r="C181" s="987" t="s">
        <v>1405</v>
      </c>
      <c r="D181" s="993">
        <f>ROUND(Data!K590,2)</f>
        <v>529.37</v>
      </c>
      <c r="E181" s="992" t="s">
        <v>264</v>
      </c>
      <c r="F181" s="987">
        <f t="shared" si="16"/>
        <v>0</v>
      </c>
      <c r="G181" s="994"/>
      <c r="H181" s="666">
        <f t="shared" si="17"/>
        <v>0</v>
      </c>
      <c r="I181" s="666"/>
      <c r="J181" s="666"/>
      <c r="K181" s="666">
        <f t="shared" si="18"/>
        <v>0</v>
      </c>
      <c r="L181" s="666"/>
      <c r="M181" s="665">
        <f t="shared" si="19"/>
        <v>0</v>
      </c>
      <c r="N181" s="666">
        <f t="shared" si="15"/>
        <v>0</v>
      </c>
      <c r="O181" s="672">
        <v>0</v>
      </c>
      <c r="P181" s="668">
        <f t="shared" si="20"/>
        <v>0</v>
      </c>
      <c r="Q181" s="676"/>
      <c r="R181" s="676"/>
    </row>
    <row r="182" spans="1:18" s="677" customFormat="1" ht="25.5" hidden="1" customHeight="1">
      <c r="A182" s="985"/>
      <c r="B182" s="986">
        <f t="shared" si="14"/>
        <v>0</v>
      </c>
      <c r="C182" s="987" t="s">
        <v>1406</v>
      </c>
      <c r="D182" s="993">
        <f>ROUND(Data!K591,2)</f>
        <v>533.44000000000005</v>
      </c>
      <c r="E182" s="992" t="s">
        <v>264</v>
      </c>
      <c r="F182" s="987">
        <f t="shared" si="16"/>
        <v>0</v>
      </c>
      <c r="G182" s="994"/>
      <c r="H182" s="666">
        <f t="shared" si="17"/>
        <v>0</v>
      </c>
      <c r="I182" s="666"/>
      <c r="J182" s="666"/>
      <c r="K182" s="666">
        <f t="shared" si="18"/>
        <v>0</v>
      </c>
      <c r="L182" s="666"/>
      <c r="M182" s="665">
        <f t="shared" si="19"/>
        <v>0</v>
      </c>
      <c r="N182" s="666">
        <f t="shared" si="15"/>
        <v>0</v>
      </c>
      <c r="O182" s="672">
        <v>0</v>
      </c>
      <c r="P182" s="668">
        <f t="shared" si="20"/>
        <v>0</v>
      </c>
      <c r="Q182" s="676"/>
      <c r="R182" s="676"/>
    </row>
    <row r="183" spans="1:18" s="677" customFormat="1" ht="25.5" hidden="1" customHeight="1">
      <c r="A183" s="985"/>
      <c r="B183" s="986">
        <f t="shared" si="14"/>
        <v>0</v>
      </c>
      <c r="C183" s="987" t="s">
        <v>1407</v>
      </c>
      <c r="D183" s="993">
        <f>ROUND(Data!K592,2)</f>
        <v>537.51</v>
      </c>
      <c r="E183" s="992" t="s">
        <v>264</v>
      </c>
      <c r="F183" s="987">
        <f t="shared" si="16"/>
        <v>0</v>
      </c>
      <c r="G183" s="994"/>
      <c r="H183" s="666">
        <f t="shared" si="17"/>
        <v>0</v>
      </c>
      <c r="I183" s="666"/>
      <c r="J183" s="666"/>
      <c r="K183" s="666">
        <f t="shared" si="18"/>
        <v>0</v>
      </c>
      <c r="L183" s="666"/>
      <c r="M183" s="665">
        <f t="shared" si="19"/>
        <v>0</v>
      </c>
      <c r="N183" s="666">
        <f t="shared" si="15"/>
        <v>0</v>
      </c>
      <c r="O183" s="672">
        <v>0</v>
      </c>
      <c r="P183" s="668">
        <f t="shared" si="20"/>
        <v>0</v>
      </c>
      <c r="Q183" s="676"/>
      <c r="R183" s="676"/>
    </row>
    <row r="184" spans="1:18" s="677" customFormat="1" ht="25.5" hidden="1" customHeight="1">
      <c r="A184" s="985"/>
      <c r="B184" s="986">
        <f t="shared" si="14"/>
        <v>0</v>
      </c>
      <c r="C184" s="987" t="s">
        <v>1408</v>
      </c>
      <c r="D184" s="993">
        <f>ROUND(Data!K593,2)</f>
        <v>541.58000000000004</v>
      </c>
      <c r="E184" s="992" t="s">
        <v>264</v>
      </c>
      <c r="F184" s="987">
        <f t="shared" si="16"/>
        <v>0</v>
      </c>
      <c r="G184" s="994"/>
      <c r="H184" s="666">
        <f t="shared" si="17"/>
        <v>0</v>
      </c>
      <c r="I184" s="666"/>
      <c r="J184" s="666"/>
      <c r="K184" s="666">
        <f t="shared" si="18"/>
        <v>0</v>
      </c>
      <c r="L184" s="666"/>
      <c r="M184" s="665">
        <f t="shared" si="19"/>
        <v>0</v>
      </c>
      <c r="N184" s="666">
        <f t="shared" si="15"/>
        <v>0</v>
      </c>
      <c r="O184" s="672">
        <v>0</v>
      </c>
      <c r="P184" s="668">
        <f t="shared" si="20"/>
        <v>0</v>
      </c>
      <c r="Q184" s="676"/>
      <c r="R184" s="676"/>
    </row>
    <row r="185" spans="1:18" s="677" customFormat="1" ht="25.5" hidden="1" customHeight="1">
      <c r="A185" s="998"/>
      <c r="B185" s="986">
        <f t="shared" si="14"/>
        <v>0</v>
      </c>
      <c r="C185" s="987" t="s">
        <v>1409</v>
      </c>
      <c r="D185" s="993">
        <f>ROUND(Data!K594,2)</f>
        <v>545.65</v>
      </c>
      <c r="E185" s="992" t="s">
        <v>264</v>
      </c>
      <c r="F185" s="987">
        <f t="shared" si="16"/>
        <v>0</v>
      </c>
      <c r="G185" s="994"/>
      <c r="H185" s="666">
        <f t="shared" si="17"/>
        <v>0</v>
      </c>
      <c r="I185" s="666"/>
      <c r="J185" s="666"/>
      <c r="K185" s="666">
        <f t="shared" si="18"/>
        <v>0</v>
      </c>
      <c r="L185" s="666"/>
      <c r="M185" s="665">
        <f t="shared" si="19"/>
        <v>0</v>
      </c>
      <c r="N185" s="666">
        <f t="shared" si="15"/>
        <v>0</v>
      </c>
      <c r="O185" s="672">
        <v>0</v>
      </c>
      <c r="P185" s="668">
        <f t="shared" si="20"/>
        <v>0</v>
      </c>
      <c r="Q185" s="676"/>
      <c r="R185" s="676"/>
    </row>
    <row r="186" spans="1:18" s="677" customFormat="1" ht="25.5" hidden="1" customHeight="1">
      <c r="A186" s="985">
        <v>15.2</v>
      </c>
      <c r="B186" s="986">
        <f t="shared" si="14"/>
        <v>0</v>
      </c>
      <c r="C186" s="995" t="s">
        <v>1464</v>
      </c>
      <c r="D186" s="993"/>
      <c r="E186" s="992"/>
      <c r="F186" s="987">
        <f t="shared" si="16"/>
        <v>0</v>
      </c>
      <c r="G186" s="994"/>
      <c r="H186" s="666">
        <f t="shared" si="17"/>
        <v>0</v>
      </c>
      <c r="I186" s="666"/>
      <c r="J186" s="666"/>
      <c r="K186" s="666">
        <f t="shared" si="18"/>
        <v>0</v>
      </c>
      <c r="L186" s="666"/>
      <c r="M186" s="665">
        <f t="shared" si="19"/>
        <v>0</v>
      </c>
      <c r="N186" s="666">
        <f t="shared" si="15"/>
        <v>0</v>
      </c>
      <c r="O186" s="672">
        <v>0</v>
      </c>
      <c r="P186" s="668">
        <f t="shared" si="20"/>
        <v>0</v>
      </c>
      <c r="Q186" s="676"/>
      <c r="R186" s="676"/>
    </row>
    <row r="187" spans="1:18" s="677" customFormat="1" ht="25.5" hidden="1" customHeight="1">
      <c r="A187" s="986"/>
      <c r="B187" s="986">
        <f t="shared" si="14"/>
        <v>0</v>
      </c>
      <c r="C187" s="987" t="s">
        <v>1405</v>
      </c>
      <c r="D187" s="993">
        <f>ROUND(Data!K612,2)</f>
        <v>1847.38</v>
      </c>
      <c r="E187" s="992" t="s">
        <v>264</v>
      </c>
      <c r="F187" s="987">
        <f t="shared" si="16"/>
        <v>0</v>
      </c>
      <c r="G187" s="994"/>
      <c r="H187" s="666">
        <f t="shared" si="17"/>
        <v>0</v>
      </c>
      <c r="I187" s="666"/>
      <c r="J187" s="666"/>
      <c r="K187" s="666">
        <f t="shared" si="18"/>
        <v>0</v>
      </c>
      <c r="L187" s="666"/>
      <c r="M187" s="665">
        <f t="shared" si="19"/>
        <v>0</v>
      </c>
      <c r="N187" s="666">
        <f t="shared" si="15"/>
        <v>0</v>
      </c>
      <c r="O187" s="672">
        <v>0</v>
      </c>
      <c r="P187" s="668">
        <f t="shared" si="20"/>
        <v>0</v>
      </c>
      <c r="Q187" s="676"/>
      <c r="R187" s="676"/>
    </row>
    <row r="188" spans="1:18" s="677" customFormat="1" ht="25.5" hidden="1" customHeight="1">
      <c r="A188" s="986"/>
      <c r="B188" s="986">
        <f t="shared" si="14"/>
        <v>0</v>
      </c>
      <c r="C188" s="987" t="s">
        <v>1406</v>
      </c>
      <c r="D188" s="993">
        <f>ROUND(Data!K613,2)</f>
        <v>1855.52</v>
      </c>
      <c r="E188" s="992" t="s">
        <v>264</v>
      </c>
      <c r="F188" s="987">
        <f t="shared" si="16"/>
        <v>0</v>
      </c>
      <c r="G188" s="994"/>
      <c r="H188" s="666">
        <f t="shared" si="17"/>
        <v>0</v>
      </c>
      <c r="I188" s="666"/>
      <c r="J188" s="666"/>
      <c r="K188" s="666">
        <f t="shared" si="18"/>
        <v>0</v>
      </c>
      <c r="L188" s="666"/>
      <c r="M188" s="665">
        <f t="shared" si="19"/>
        <v>0</v>
      </c>
      <c r="N188" s="666">
        <f t="shared" si="15"/>
        <v>0</v>
      </c>
      <c r="O188" s="672">
        <v>0</v>
      </c>
      <c r="P188" s="668">
        <f t="shared" si="20"/>
        <v>0</v>
      </c>
      <c r="Q188" s="676"/>
      <c r="R188" s="676"/>
    </row>
    <row r="189" spans="1:18" s="677" customFormat="1" ht="25.5" hidden="1" customHeight="1">
      <c r="A189" s="986"/>
      <c r="B189" s="986">
        <f t="shared" si="14"/>
        <v>0</v>
      </c>
      <c r="C189" s="987" t="s">
        <v>1407</v>
      </c>
      <c r="D189" s="993">
        <f>ROUND(Data!K614,2)</f>
        <v>1863.66</v>
      </c>
      <c r="E189" s="992" t="s">
        <v>264</v>
      </c>
      <c r="F189" s="987">
        <f t="shared" si="16"/>
        <v>0</v>
      </c>
      <c r="G189" s="994"/>
      <c r="H189" s="666">
        <f t="shared" si="17"/>
        <v>0</v>
      </c>
      <c r="I189" s="666"/>
      <c r="J189" s="666"/>
      <c r="K189" s="666">
        <f t="shared" si="18"/>
        <v>0</v>
      </c>
      <c r="L189" s="666"/>
      <c r="M189" s="665">
        <f t="shared" si="19"/>
        <v>0</v>
      </c>
      <c r="N189" s="666">
        <f t="shared" si="15"/>
        <v>0</v>
      </c>
      <c r="O189" s="672">
        <v>0</v>
      </c>
      <c r="P189" s="668">
        <f t="shared" si="20"/>
        <v>0</v>
      </c>
      <c r="Q189" s="676"/>
      <c r="R189" s="676"/>
    </row>
    <row r="190" spans="1:18" s="677" customFormat="1" ht="25.5" hidden="1" customHeight="1">
      <c r="A190" s="986"/>
      <c r="B190" s="986">
        <f t="shared" si="14"/>
        <v>0</v>
      </c>
      <c r="C190" s="987" t="s">
        <v>1408</v>
      </c>
      <c r="D190" s="993">
        <f>ROUND(Data!K615,2)</f>
        <v>1871.8</v>
      </c>
      <c r="E190" s="992" t="s">
        <v>264</v>
      </c>
      <c r="F190" s="987">
        <f t="shared" si="16"/>
        <v>0</v>
      </c>
      <c r="G190" s="994"/>
      <c r="H190" s="666">
        <f t="shared" si="17"/>
        <v>0</v>
      </c>
      <c r="I190" s="666"/>
      <c r="J190" s="666"/>
      <c r="K190" s="666">
        <f t="shared" si="18"/>
        <v>0</v>
      </c>
      <c r="L190" s="666"/>
      <c r="M190" s="665">
        <f t="shared" si="19"/>
        <v>0</v>
      </c>
      <c r="N190" s="666">
        <f t="shared" si="15"/>
        <v>0</v>
      </c>
      <c r="O190" s="672">
        <v>0</v>
      </c>
      <c r="P190" s="668">
        <f t="shared" si="20"/>
        <v>0</v>
      </c>
      <c r="Q190" s="676"/>
      <c r="R190" s="676"/>
    </row>
    <row r="191" spans="1:18" s="677" customFormat="1" ht="25.5" hidden="1" customHeight="1">
      <c r="A191" s="1000"/>
      <c r="B191" s="986">
        <f t="shared" si="14"/>
        <v>0</v>
      </c>
      <c r="C191" s="987" t="s">
        <v>1409</v>
      </c>
      <c r="D191" s="993">
        <f>ROUND(Data!K616,2)</f>
        <v>1879.94</v>
      </c>
      <c r="E191" s="992" t="s">
        <v>264</v>
      </c>
      <c r="F191" s="987">
        <f t="shared" si="16"/>
        <v>0</v>
      </c>
      <c r="G191" s="994"/>
      <c r="H191" s="666">
        <f t="shared" si="17"/>
        <v>0</v>
      </c>
      <c r="I191" s="666"/>
      <c r="J191" s="666"/>
      <c r="K191" s="666">
        <f t="shared" si="18"/>
        <v>0</v>
      </c>
      <c r="L191" s="666"/>
      <c r="M191" s="665">
        <f t="shared" si="19"/>
        <v>0</v>
      </c>
      <c r="N191" s="666">
        <f t="shared" si="15"/>
        <v>0</v>
      </c>
      <c r="O191" s="672">
        <v>0</v>
      </c>
      <c r="P191" s="668">
        <f t="shared" si="20"/>
        <v>0</v>
      </c>
      <c r="Q191" s="676"/>
      <c r="R191" s="676"/>
    </row>
    <row r="192" spans="1:18" s="682" customFormat="1" ht="50.25" hidden="1" customHeight="1">
      <c r="A192" s="985">
        <v>16.100000000000001</v>
      </c>
      <c r="B192" s="986">
        <f t="shared" si="14"/>
        <v>0</v>
      </c>
      <c r="C192" s="987" t="s">
        <v>1465</v>
      </c>
      <c r="D192" s="993"/>
      <c r="E192" s="992"/>
      <c r="F192" s="987">
        <f t="shared" si="16"/>
        <v>0</v>
      </c>
      <c r="G192" s="994"/>
      <c r="H192" s="666">
        <f t="shared" si="17"/>
        <v>0</v>
      </c>
      <c r="I192" s="666"/>
      <c r="J192" s="666"/>
      <c r="K192" s="666">
        <f t="shared" si="18"/>
        <v>0</v>
      </c>
      <c r="L192" s="666"/>
      <c r="M192" s="665">
        <f t="shared" si="19"/>
        <v>0</v>
      </c>
      <c r="N192" s="666">
        <f t="shared" si="15"/>
        <v>0</v>
      </c>
      <c r="O192" s="672">
        <v>0</v>
      </c>
      <c r="P192" s="668">
        <f t="shared" si="20"/>
        <v>0</v>
      </c>
      <c r="Q192" s="680"/>
      <c r="R192" s="681"/>
    </row>
    <row r="193" spans="1:18" s="682" customFormat="1" ht="50.25" hidden="1" customHeight="1">
      <c r="A193" s="985"/>
      <c r="B193" s="986">
        <f t="shared" si="14"/>
        <v>0</v>
      </c>
      <c r="C193" s="987" t="s">
        <v>1420</v>
      </c>
      <c r="D193" s="993">
        <f>Data!K659</f>
        <v>2586.065053763441</v>
      </c>
      <c r="E193" s="992" t="s">
        <v>264</v>
      </c>
      <c r="F193" s="987">
        <f t="shared" si="16"/>
        <v>0</v>
      </c>
      <c r="G193" s="994"/>
      <c r="H193" s="666">
        <f t="shared" si="17"/>
        <v>0</v>
      </c>
      <c r="I193" s="666"/>
      <c r="J193" s="666"/>
      <c r="K193" s="666">
        <f t="shared" si="18"/>
        <v>0</v>
      </c>
      <c r="L193" s="666"/>
      <c r="M193" s="665">
        <f t="shared" si="19"/>
        <v>0</v>
      </c>
      <c r="N193" s="666">
        <f t="shared" si="15"/>
        <v>0</v>
      </c>
      <c r="O193" s="672">
        <v>0</v>
      </c>
      <c r="P193" s="668">
        <f t="shared" si="20"/>
        <v>0</v>
      </c>
      <c r="Q193" s="680"/>
      <c r="R193" s="681"/>
    </row>
    <row r="194" spans="1:18" s="682" customFormat="1" ht="50.25" hidden="1" customHeight="1">
      <c r="A194" s="985"/>
      <c r="B194" s="986">
        <f t="shared" si="14"/>
        <v>0</v>
      </c>
      <c r="C194" s="987" t="s">
        <v>1406</v>
      </c>
      <c r="D194" s="993">
        <f>ROUND(Data!K660,2)</f>
        <v>2593.7199999999998</v>
      </c>
      <c r="E194" s="992" t="s">
        <v>264</v>
      </c>
      <c r="F194" s="987">
        <f t="shared" si="16"/>
        <v>0</v>
      </c>
      <c r="G194" s="994"/>
      <c r="H194" s="666">
        <f t="shared" si="17"/>
        <v>0</v>
      </c>
      <c r="I194" s="666"/>
      <c r="J194" s="666"/>
      <c r="K194" s="666">
        <f t="shared" si="18"/>
        <v>0</v>
      </c>
      <c r="L194" s="666"/>
      <c r="M194" s="665">
        <f t="shared" si="19"/>
        <v>0</v>
      </c>
      <c r="N194" s="666">
        <f t="shared" si="15"/>
        <v>0</v>
      </c>
      <c r="O194" s="672">
        <v>0</v>
      </c>
      <c r="P194" s="668">
        <f t="shared" si="20"/>
        <v>0</v>
      </c>
      <c r="Q194" s="680"/>
      <c r="R194" s="681"/>
    </row>
    <row r="195" spans="1:18" s="682" customFormat="1" ht="50.25" hidden="1" customHeight="1">
      <c r="A195" s="985"/>
      <c r="B195" s="986">
        <f t="shared" si="14"/>
        <v>0</v>
      </c>
      <c r="C195" s="987" t="s">
        <v>1407</v>
      </c>
      <c r="D195" s="993">
        <f>ROUND(Data!K661,2)</f>
        <v>2601.38</v>
      </c>
      <c r="E195" s="992" t="s">
        <v>264</v>
      </c>
      <c r="F195" s="987">
        <f t="shared" si="16"/>
        <v>0</v>
      </c>
      <c r="G195" s="994"/>
      <c r="H195" s="666">
        <f t="shared" si="17"/>
        <v>0</v>
      </c>
      <c r="I195" s="666"/>
      <c r="J195" s="666"/>
      <c r="K195" s="666">
        <f t="shared" si="18"/>
        <v>0</v>
      </c>
      <c r="L195" s="666"/>
      <c r="M195" s="665">
        <f t="shared" si="19"/>
        <v>0</v>
      </c>
      <c r="N195" s="666">
        <f t="shared" si="15"/>
        <v>0</v>
      </c>
      <c r="O195" s="672">
        <v>0</v>
      </c>
      <c r="P195" s="668">
        <f t="shared" si="20"/>
        <v>0</v>
      </c>
      <c r="Q195" s="680"/>
      <c r="R195" s="681"/>
    </row>
    <row r="196" spans="1:18" s="682" customFormat="1" ht="50.25" hidden="1" customHeight="1">
      <c r="A196" s="985"/>
      <c r="B196" s="986">
        <f t="shared" si="14"/>
        <v>0</v>
      </c>
      <c r="C196" s="987" t="s">
        <v>1408</v>
      </c>
      <c r="D196" s="993">
        <f>ROUND(Data!K662,2)</f>
        <v>2609.04</v>
      </c>
      <c r="E196" s="992" t="s">
        <v>264</v>
      </c>
      <c r="F196" s="987">
        <f t="shared" si="16"/>
        <v>0</v>
      </c>
      <c r="G196" s="994"/>
      <c r="H196" s="666">
        <f t="shared" si="17"/>
        <v>0</v>
      </c>
      <c r="I196" s="666"/>
      <c r="J196" s="666"/>
      <c r="K196" s="666">
        <f t="shared" si="18"/>
        <v>0</v>
      </c>
      <c r="L196" s="666"/>
      <c r="M196" s="665">
        <f t="shared" si="19"/>
        <v>0</v>
      </c>
      <c r="N196" s="666">
        <f t="shared" si="15"/>
        <v>0</v>
      </c>
      <c r="O196" s="672">
        <v>0</v>
      </c>
      <c r="P196" s="668">
        <f t="shared" si="20"/>
        <v>0</v>
      </c>
      <c r="Q196" s="680"/>
      <c r="R196" s="681"/>
    </row>
    <row r="197" spans="1:18" s="682" customFormat="1" ht="50.25" hidden="1" customHeight="1">
      <c r="A197" s="997"/>
      <c r="B197" s="986">
        <f t="shared" si="14"/>
        <v>0</v>
      </c>
      <c r="C197" s="987" t="s">
        <v>1409</v>
      </c>
      <c r="D197" s="993">
        <f>ROUND(Data!K663,2)</f>
        <v>2616.6999999999998</v>
      </c>
      <c r="E197" s="992" t="s">
        <v>264</v>
      </c>
      <c r="F197" s="987">
        <f t="shared" si="16"/>
        <v>0</v>
      </c>
      <c r="G197" s="1007"/>
      <c r="H197" s="666">
        <f t="shared" si="17"/>
        <v>0</v>
      </c>
      <c r="I197" s="666"/>
      <c r="J197" s="666"/>
      <c r="K197" s="666">
        <f t="shared" si="18"/>
        <v>0</v>
      </c>
      <c r="L197" s="666"/>
      <c r="M197" s="665">
        <f t="shared" si="19"/>
        <v>0</v>
      </c>
      <c r="N197" s="666">
        <f t="shared" si="15"/>
        <v>0</v>
      </c>
      <c r="O197" s="672">
        <v>0</v>
      </c>
      <c r="P197" s="668">
        <f t="shared" si="20"/>
        <v>0</v>
      </c>
      <c r="Q197" s="680"/>
      <c r="R197" s="681"/>
    </row>
    <row r="198" spans="1:18" s="677" customFormat="1" ht="46.5" hidden="1" customHeight="1">
      <c r="A198" s="985">
        <v>16.2</v>
      </c>
      <c r="B198" s="986">
        <f t="shared" si="14"/>
        <v>0</v>
      </c>
      <c r="C198" s="987" t="s">
        <v>1466</v>
      </c>
      <c r="D198" s="993"/>
      <c r="E198" s="992"/>
      <c r="F198" s="987">
        <f t="shared" si="16"/>
        <v>0</v>
      </c>
      <c r="G198" s="994"/>
      <c r="H198" s="666">
        <f t="shared" si="17"/>
        <v>0</v>
      </c>
      <c r="I198" s="666"/>
      <c r="J198" s="666"/>
      <c r="K198" s="666">
        <f t="shared" si="18"/>
        <v>0</v>
      </c>
      <c r="L198" s="666"/>
      <c r="M198" s="665">
        <f t="shared" si="19"/>
        <v>0</v>
      </c>
      <c r="N198" s="666">
        <f t="shared" si="15"/>
        <v>0</v>
      </c>
      <c r="O198" s="672">
        <v>0</v>
      </c>
      <c r="P198" s="668">
        <f t="shared" si="20"/>
        <v>0</v>
      </c>
      <c r="Q198" s="676"/>
      <c r="R198" s="676"/>
    </row>
    <row r="199" spans="1:18" s="677" customFormat="1" ht="25.5" hidden="1" customHeight="1">
      <c r="A199" s="986"/>
      <c r="B199" s="986">
        <f t="shared" ref="B199:B262" si="21">M199</f>
        <v>0</v>
      </c>
      <c r="C199" s="987" t="s">
        <v>1420</v>
      </c>
      <c r="D199" s="993">
        <f>ROUND(Data!K686,2)</f>
        <v>483.4</v>
      </c>
      <c r="E199" s="992" t="s">
        <v>264</v>
      </c>
      <c r="F199" s="987">
        <f t="shared" si="16"/>
        <v>0</v>
      </c>
      <c r="G199" s="994"/>
      <c r="H199" s="666">
        <f t="shared" si="17"/>
        <v>0</v>
      </c>
      <c r="I199" s="666"/>
      <c r="J199" s="666"/>
      <c r="K199" s="666">
        <f t="shared" si="18"/>
        <v>0</v>
      </c>
      <c r="L199" s="666"/>
      <c r="M199" s="665">
        <f t="shared" si="19"/>
        <v>0</v>
      </c>
      <c r="N199" s="666">
        <f t="shared" ref="N199:N262" si="22">M199*D199</f>
        <v>0</v>
      </c>
      <c r="O199" s="672">
        <v>0</v>
      </c>
      <c r="P199" s="668">
        <f t="shared" si="20"/>
        <v>0</v>
      </c>
      <c r="Q199" s="676"/>
      <c r="R199" s="676"/>
    </row>
    <row r="200" spans="1:18" s="677" customFormat="1" ht="25.5" hidden="1" customHeight="1">
      <c r="A200" s="986"/>
      <c r="B200" s="986">
        <f t="shared" si="21"/>
        <v>0</v>
      </c>
      <c r="C200" s="987" t="s">
        <v>1421</v>
      </c>
      <c r="D200" s="993">
        <f>ROUND(Data!K687,2)</f>
        <v>490.26</v>
      </c>
      <c r="E200" s="992" t="s">
        <v>264</v>
      </c>
      <c r="F200" s="987">
        <f t="shared" ref="F200:F263" si="23">B200*D200</f>
        <v>0</v>
      </c>
      <c r="G200" s="994"/>
      <c r="H200" s="666">
        <f t="shared" ref="H200:H263" si="24">G200*D200</f>
        <v>0</v>
      </c>
      <c r="I200" s="666"/>
      <c r="J200" s="666"/>
      <c r="K200" s="666">
        <f t="shared" ref="K200:K263" si="25">I200</f>
        <v>0</v>
      </c>
      <c r="L200" s="666"/>
      <c r="M200" s="665">
        <f t="shared" ref="M200:M263" si="26">G200</f>
        <v>0</v>
      </c>
      <c r="N200" s="666">
        <f t="shared" si="22"/>
        <v>0</v>
      </c>
      <c r="O200" s="672">
        <v>0</v>
      </c>
      <c r="P200" s="668">
        <f t="shared" ref="P200:P263" si="27">M200-O200</f>
        <v>0</v>
      </c>
      <c r="Q200" s="676"/>
      <c r="R200" s="676"/>
    </row>
    <row r="201" spans="1:18" s="677" customFormat="1" ht="25.5" hidden="1" customHeight="1">
      <c r="A201" s="986"/>
      <c r="B201" s="986">
        <f t="shared" si="21"/>
        <v>0</v>
      </c>
      <c r="C201" s="987" t="s">
        <v>1422</v>
      </c>
      <c r="D201" s="993">
        <f>ROUND(Data!K688,2)</f>
        <v>497.12</v>
      </c>
      <c r="E201" s="992" t="s">
        <v>264</v>
      </c>
      <c r="F201" s="987">
        <f t="shared" si="23"/>
        <v>0</v>
      </c>
      <c r="G201" s="994"/>
      <c r="H201" s="666">
        <f t="shared" si="24"/>
        <v>0</v>
      </c>
      <c r="I201" s="666"/>
      <c r="J201" s="666"/>
      <c r="K201" s="666">
        <f t="shared" si="25"/>
        <v>0</v>
      </c>
      <c r="L201" s="666"/>
      <c r="M201" s="665">
        <f t="shared" si="26"/>
        <v>0</v>
      </c>
      <c r="N201" s="666">
        <f t="shared" si="22"/>
        <v>0</v>
      </c>
      <c r="O201" s="672">
        <v>0</v>
      </c>
      <c r="P201" s="668">
        <f t="shared" si="27"/>
        <v>0</v>
      </c>
      <c r="Q201" s="676"/>
      <c r="R201" s="676"/>
    </row>
    <row r="202" spans="1:18" s="677" customFormat="1" ht="25.5" hidden="1" customHeight="1">
      <c r="A202" s="986"/>
      <c r="B202" s="986">
        <f t="shared" si="21"/>
        <v>0</v>
      </c>
      <c r="C202" s="987" t="s">
        <v>1423</v>
      </c>
      <c r="D202" s="993">
        <f>ROUND(Data!K689,2)</f>
        <v>503.98</v>
      </c>
      <c r="E202" s="992" t="s">
        <v>264</v>
      </c>
      <c r="F202" s="987">
        <f t="shared" si="23"/>
        <v>0</v>
      </c>
      <c r="G202" s="994"/>
      <c r="H202" s="666">
        <f t="shared" si="24"/>
        <v>0</v>
      </c>
      <c r="I202" s="666"/>
      <c r="J202" s="666"/>
      <c r="K202" s="666">
        <f t="shared" si="25"/>
        <v>0</v>
      </c>
      <c r="L202" s="666"/>
      <c r="M202" s="665">
        <f t="shared" si="26"/>
        <v>0</v>
      </c>
      <c r="N202" s="666">
        <f t="shared" si="22"/>
        <v>0</v>
      </c>
      <c r="O202" s="672">
        <v>0</v>
      </c>
      <c r="P202" s="668">
        <f t="shared" si="27"/>
        <v>0</v>
      </c>
      <c r="Q202" s="676"/>
      <c r="R202" s="676"/>
    </row>
    <row r="203" spans="1:18" s="677" customFormat="1" ht="25.5" hidden="1" customHeight="1">
      <c r="A203" s="1000"/>
      <c r="B203" s="986">
        <f t="shared" si="21"/>
        <v>0</v>
      </c>
      <c r="C203" s="987" t="s">
        <v>1424</v>
      </c>
      <c r="D203" s="993">
        <f>ROUND(Data!K690,2)</f>
        <v>510.84</v>
      </c>
      <c r="E203" s="992" t="s">
        <v>264</v>
      </c>
      <c r="F203" s="987">
        <f t="shared" si="23"/>
        <v>0</v>
      </c>
      <c r="G203" s="994"/>
      <c r="H203" s="666">
        <f t="shared" si="24"/>
        <v>0</v>
      </c>
      <c r="I203" s="666"/>
      <c r="J203" s="666"/>
      <c r="K203" s="666">
        <f t="shared" si="25"/>
        <v>0</v>
      </c>
      <c r="L203" s="666"/>
      <c r="M203" s="665">
        <f t="shared" si="26"/>
        <v>0</v>
      </c>
      <c r="N203" s="666">
        <f t="shared" si="22"/>
        <v>0</v>
      </c>
      <c r="O203" s="672">
        <v>0</v>
      </c>
      <c r="P203" s="668">
        <f t="shared" si="27"/>
        <v>0</v>
      </c>
      <c r="Q203" s="676"/>
      <c r="R203" s="676"/>
    </row>
    <row r="204" spans="1:18" s="677" customFormat="1" ht="46.5" hidden="1" customHeight="1">
      <c r="A204" s="985">
        <v>16.3</v>
      </c>
      <c r="B204" s="986">
        <f t="shared" si="21"/>
        <v>0</v>
      </c>
      <c r="C204" s="987" t="s">
        <v>1467</v>
      </c>
      <c r="D204" s="993"/>
      <c r="E204" s="992"/>
      <c r="F204" s="987">
        <f t="shared" si="23"/>
        <v>0</v>
      </c>
      <c r="G204" s="994"/>
      <c r="H204" s="666">
        <f t="shared" si="24"/>
        <v>0</v>
      </c>
      <c r="I204" s="666"/>
      <c r="J204" s="666"/>
      <c r="K204" s="666">
        <f t="shared" si="25"/>
        <v>0</v>
      </c>
      <c r="L204" s="666"/>
      <c r="M204" s="665">
        <f t="shared" si="26"/>
        <v>0</v>
      </c>
      <c r="N204" s="666">
        <f t="shared" si="22"/>
        <v>0</v>
      </c>
      <c r="O204" s="672">
        <v>0</v>
      </c>
      <c r="P204" s="668">
        <f t="shared" si="27"/>
        <v>0</v>
      </c>
      <c r="Q204" s="676"/>
      <c r="R204" s="676"/>
    </row>
    <row r="205" spans="1:18" s="677" customFormat="1" ht="25.5" hidden="1" customHeight="1">
      <c r="A205" s="985"/>
      <c r="B205" s="986">
        <f t="shared" si="21"/>
        <v>0</v>
      </c>
      <c r="C205" s="987" t="s">
        <v>1420</v>
      </c>
      <c r="D205" s="993">
        <f>ROUND(Data!K706,2)</f>
        <v>657.48</v>
      </c>
      <c r="E205" s="992" t="s">
        <v>264</v>
      </c>
      <c r="F205" s="987">
        <f t="shared" si="23"/>
        <v>0</v>
      </c>
      <c r="G205" s="994"/>
      <c r="H205" s="666">
        <f t="shared" si="24"/>
        <v>0</v>
      </c>
      <c r="I205" s="666"/>
      <c r="J205" s="666"/>
      <c r="K205" s="666">
        <f t="shared" si="25"/>
        <v>0</v>
      </c>
      <c r="L205" s="666"/>
      <c r="M205" s="665">
        <f t="shared" si="26"/>
        <v>0</v>
      </c>
      <c r="N205" s="666">
        <f t="shared" si="22"/>
        <v>0</v>
      </c>
      <c r="O205" s="672">
        <v>0</v>
      </c>
      <c r="P205" s="668">
        <f t="shared" si="27"/>
        <v>0</v>
      </c>
      <c r="Q205" s="676"/>
      <c r="R205" s="676"/>
    </row>
    <row r="206" spans="1:18" s="677" customFormat="1" ht="25.5" hidden="1" customHeight="1">
      <c r="A206" s="985"/>
      <c r="B206" s="986">
        <f t="shared" si="21"/>
        <v>0</v>
      </c>
      <c r="C206" s="987" t="s">
        <v>1421</v>
      </c>
      <c r="D206" s="993">
        <f>ROUND(Data!K707,2)</f>
        <v>672.57</v>
      </c>
      <c r="E206" s="992" t="s">
        <v>264</v>
      </c>
      <c r="F206" s="987">
        <f t="shared" si="23"/>
        <v>0</v>
      </c>
      <c r="G206" s="994"/>
      <c r="H206" s="666">
        <f t="shared" si="24"/>
        <v>0</v>
      </c>
      <c r="I206" s="666"/>
      <c r="J206" s="666"/>
      <c r="K206" s="666">
        <f t="shared" si="25"/>
        <v>0</v>
      </c>
      <c r="L206" s="666"/>
      <c r="M206" s="665">
        <f t="shared" si="26"/>
        <v>0</v>
      </c>
      <c r="N206" s="666">
        <f t="shared" si="22"/>
        <v>0</v>
      </c>
      <c r="O206" s="672">
        <v>0</v>
      </c>
      <c r="P206" s="668">
        <f t="shared" si="27"/>
        <v>0</v>
      </c>
      <c r="Q206" s="676"/>
      <c r="R206" s="676"/>
    </row>
    <row r="207" spans="1:18" s="677" customFormat="1" ht="25.5" hidden="1" customHeight="1">
      <c r="A207" s="985"/>
      <c r="B207" s="986">
        <f t="shared" si="21"/>
        <v>0</v>
      </c>
      <c r="C207" s="987" t="s">
        <v>1422</v>
      </c>
      <c r="D207" s="993">
        <f>ROUND(Data!K708,2)</f>
        <v>687.66</v>
      </c>
      <c r="E207" s="992" t="s">
        <v>264</v>
      </c>
      <c r="F207" s="987">
        <f t="shared" si="23"/>
        <v>0</v>
      </c>
      <c r="G207" s="994"/>
      <c r="H207" s="666">
        <f t="shared" si="24"/>
        <v>0</v>
      </c>
      <c r="I207" s="666"/>
      <c r="J207" s="666"/>
      <c r="K207" s="666">
        <f t="shared" si="25"/>
        <v>0</v>
      </c>
      <c r="L207" s="666"/>
      <c r="M207" s="665">
        <f t="shared" si="26"/>
        <v>0</v>
      </c>
      <c r="N207" s="666">
        <f t="shared" si="22"/>
        <v>0</v>
      </c>
      <c r="O207" s="672">
        <v>0</v>
      </c>
      <c r="P207" s="668">
        <f t="shared" si="27"/>
        <v>0</v>
      </c>
      <c r="Q207" s="676"/>
      <c r="R207" s="676"/>
    </row>
    <row r="208" spans="1:18" s="677" customFormat="1" ht="25.5" hidden="1" customHeight="1">
      <c r="A208" s="986"/>
      <c r="B208" s="986">
        <f t="shared" si="21"/>
        <v>0</v>
      </c>
      <c r="C208" s="987" t="s">
        <v>1423</v>
      </c>
      <c r="D208" s="993">
        <f>ROUND(Data!K709,2)</f>
        <v>702.76</v>
      </c>
      <c r="E208" s="992" t="s">
        <v>264</v>
      </c>
      <c r="F208" s="987">
        <f t="shared" si="23"/>
        <v>0</v>
      </c>
      <c r="G208" s="994"/>
      <c r="H208" s="666">
        <f t="shared" si="24"/>
        <v>0</v>
      </c>
      <c r="I208" s="666"/>
      <c r="J208" s="666"/>
      <c r="K208" s="666">
        <f t="shared" si="25"/>
        <v>0</v>
      </c>
      <c r="L208" s="666"/>
      <c r="M208" s="665">
        <f t="shared" si="26"/>
        <v>0</v>
      </c>
      <c r="N208" s="666">
        <f t="shared" si="22"/>
        <v>0</v>
      </c>
      <c r="O208" s="672">
        <v>0</v>
      </c>
      <c r="P208" s="668">
        <f t="shared" si="27"/>
        <v>0</v>
      </c>
      <c r="Q208" s="676"/>
      <c r="R208" s="676"/>
    </row>
    <row r="209" spans="1:19" s="677" customFormat="1" ht="25.5" hidden="1" customHeight="1">
      <c r="A209" s="1000"/>
      <c r="B209" s="986">
        <f t="shared" si="21"/>
        <v>0</v>
      </c>
      <c r="C209" s="987" t="s">
        <v>1424</v>
      </c>
      <c r="D209" s="993">
        <f>ROUND(Data!K710,2)</f>
        <v>717.85</v>
      </c>
      <c r="E209" s="992" t="s">
        <v>264</v>
      </c>
      <c r="F209" s="987">
        <f t="shared" si="23"/>
        <v>0</v>
      </c>
      <c r="G209" s="994"/>
      <c r="H209" s="666">
        <f t="shared" si="24"/>
        <v>0</v>
      </c>
      <c r="I209" s="666"/>
      <c r="J209" s="666"/>
      <c r="K209" s="666">
        <f t="shared" si="25"/>
        <v>0</v>
      </c>
      <c r="L209" s="666"/>
      <c r="M209" s="665">
        <f t="shared" si="26"/>
        <v>0</v>
      </c>
      <c r="N209" s="666">
        <f t="shared" si="22"/>
        <v>0</v>
      </c>
      <c r="O209" s="672">
        <v>0</v>
      </c>
      <c r="P209" s="668">
        <f t="shared" si="27"/>
        <v>0</v>
      </c>
      <c r="Q209" s="676"/>
      <c r="R209" s="676"/>
    </row>
    <row r="210" spans="1:19" s="677" customFormat="1" ht="25.5" hidden="1" customHeight="1">
      <c r="A210" s="985">
        <v>17</v>
      </c>
      <c r="B210" s="986">
        <f t="shared" si="21"/>
        <v>0</v>
      </c>
      <c r="C210" s="987" t="s">
        <v>1468</v>
      </c>
      <c r="D210" s="993"/>
      <c r="E210" s="992" t="s">
        <v>264</v>
      </c>
      <c r="F210" s="987">
        <f t="shared" si="23"/>
        <v>0</v>
      </c>
      <c r="G210" s="994"/>
      <c r="H210" s="666">
        <f t="shared" si="24"/>
        <v>0</v>
      </c>
      <c r="I210" s="666"/>
      <c r="J210" s="666"/>
      <c r="K210" s="666">
        <f t="shared" si="25"/>
        <v>0</v>
      </c>
      <c r="L210" s="666"/>
      <c r="M210" s="665">
        <f t="shared" si="26"/>
        <v>0</v>
      </c>
      <c r="N210" s="666">
        <f t="shared" si="22"/>
        <v>0</v>
      </c>
      <c r="O210" s="672">
        <v>0</v>
      </c>
      <c r="P210" s="668">
        <f t="shared" si="27"/>
        <v>0</v>
      </c>
      <c r="Q210" s="676"/>
      <c r="R210" s="676"/>
    </row>
    <row r="211" spans="1:19" s="677" customFormat="1" ht="25.5" hidden="1" customHeight="1">
      <c r="A211" s="985">
        <v>18</v>
      </c>
      <c r="B211" s="986">
        <f t="shared" si="21"/>
        <v>0</v>
      </c>
      <c r="C211" s="987" t="s">
        <v>1469</v>
      </c>
      <c r="D211" s="993"/>
      <c r="E211" s="992" t="s">
        <v>264</v>
      </c>
      <c r="F211" s="987">
        <f t="shared" si="23"/>
        <v>0</v>
      </c>
      <c r="G211" s="994"/>
      <c r="H211" s="666">
        <f t="shared" si="24"/>
        <v>0</v>
      </c>
      <c r="I211" s="666"/>
      <c r="J211" s="666"/>
      <c r="K211" s="666">
        <f t="shared" si="25"/>
        <v>0</v>
      </c>
      <c r="L211" s="666"/>
      <c r="M211" s="665">
        <f t="shared" si="26"/>
        <v>0</v>
      </c>
      <c r="N211" s="666">
        <f t="shared" si="22"/>
        <v>0</v>
      </c>
      <c r="O211" s="672">
        <v>0</v>
      </c>
      <c r="P211" s="668">
        <f t="shared" si="27"/>
        <v>0</v>
      </c>
      <c r="Q211" s="676"/>
      <c r="R211" s="676"/>
    </row>
    <row r="212" spans="1:19" s="677" customFormat="1" ht="25.5" hidden="1" customHeight="1">
      <c r="A212" s="985">
        <v>19</v>
      </c>
      <c r="B212" s="986">
        <f t="shared" si="21"/>
        <v>0</v>
      </c>
      <c r="C212" s="987" t="s">
        <v>1470</v>
      </c>
      <c r="D212" s="993"/>
      <c r="E212" s="992" t="s">
        <v>264</v>
      </c>
      <c r="F212" s="987">
        <f t="shared" si="23"/>
        <v>0</v>
      </c>
      <c r="G212" s="994"/>
      <c r="H212" s="666">
        <f t="shared" si="24"/>
        <v>0</v>
      </c>
      <c r="I212" s="666"/>
      <c r="J212" s="666"/>
      <c r="K212" s="666">
        <f t="shared" si="25"/>
        <v>0</v>
      </c>
      <c r="L212" s="666"/>
      <c r="M212" s="665">
        <f t="shared" si="26"/>
        <v>0</v>
      </c>
      <c r="N212" s="666">
        <f t="shared" si="22"/>
        <v>0</v>
      </c>
      <c r="O212" s="672">
        <v>0</v>
      </c>
      <c r="P212" s="668">
        <f t="shared" si="27"/>
        <v>0</v>
      </c>
      <c r="Q212" s="676"/>
      <c r="R212" s="676"/>
    </row>
    <row r="213" spans="1:19" s="677" customFormat="1" ht="25.5" hidden="1" customHeight="1">
      <c r="A213" s="985">
        <v>20</v>
      </c>
      <c r="B213" s="986">
        <f t="shared" si="21"/>
        <v>0</v>
      </c>
      <c r="C213" s="987" t="s">
        <v>1471</v>
      </c>
      <c r="D213" s="993"/>
      <c r="E213" s="992" t="s">
        <v>264</v>
      </c>
      <c r="F213" s="987">
        <f t="shared" si="23"/>
        <v>0</v>
      </c>
      <c r="G213" s="994"/>
      <c r="H213" s="666">
        <f t="shared" si="24"/>
        <v>0</v>
      </c>
      <c r="I213" s="666"/>
      <c r="J213" s="666"/>
      <c r="K213" s="666">
        <f t="shared" si="25"/>
        <v>0</v>
      </c>
      <c r="L213" s="666"/>
      <c r="M213" s="665">
        <f t="shared" si="26"/>
        <v>0</v>
      </c>
      <c r="N213" s="666">
        <f t="shared" si="22"/>
        <v>0</v>
      </c>
      <c r="O213" s="672">
        <v>0</v>
      </c>
      <c r="P213" s="668">
        <f t="shared" si="27"/>
        <v>0</v>
      </c>
      <c r="Q213" s="676"/>
      <c r="R213" s="676"/>
    </row>
    <row r="214" spans="1:19" s="677" customFormat="1" ht="25.5" hidden="1" customHeight="1">
      <c r="A214" s="985">
        <v>21.1</v>
      </c>
      <c r="B214" s="986">
        <f t="shared" si="21"/>
        <v>0</v>
      </c>
      <c r="C214" s="995" t="s">
        <v>1472</v>
      </c>
      <c r="D214" s="993"/>
      <c r="E214" s="992"/>
      <c r="F214" s="987">
        <f t="shared" si="23"/>
        <v>0</v>
      </c>
      <c r="G214" s="994"/>
      <c r="H214" s="666">
        <f t="shared" si="24"/>
        <v>0</v>
      </c>
      <c r="I214" s="666"/>
      <c r="J214" s="666"/>
      <c r="K214" s="666">
        <f t="shared" si="25"/>
        <v>0</v>
      </c>
      <c r="L214" s="666"/>
      <c r="M214" s="665">
        <f t="shared" si="26"/>
        <v>0</v>
      </c>
      <c r="N214" s="666">
        <f t="shared" si="22"/>
        <v>0</v>
      </c>
      <c r="O214" s="672">
        <v>0</v>
      </c>
      <c r="P214" s="668">
        <f t="shared" si="27"/>
        <v>0</v>
      </c>
      <c r="Q214" s="676"/>
      <c r="R214" s="676"/>
    </row>
    <row r="215" spans="1:19" s="677" customFormat="1" ht="25.5" hidden="1" customHeight="1">
      <c r="A215" s="985"/>
      <c r="B215" s="986">
        <f t="shared" si="21"/>
        <v>0</v>
      </c>
      <c r="C215" s="987" t="s">
        <v>1473</v>
      </c>
      <c r="D215" s="993">
        <f>ROUND(Data!K889,2)</f>
        <v>2446.66</v>
      </c>
      <c r="E215" s="992" t="s">
        <v>522</v>
      </c>
      <c r="F215" s="987">
        <f t="shared" si="23"/>
        <v>0</v>
      </c>
      <c r="G215" s="994"/>
      <c r="H215" s="666">
        <f t="shared" si="24"/>
        <v>0</v>
      </c>
      <c r="I215" s="666"/>
      <c r="J215" s="666"/>
      <c r="K215" s="666">
        <f t="shared" si="25"/>
        <v>0</v>
      </c>
      <c r="L215" s="666"/>
      <c r="M215" s="665">
        <f t="shared" si="26"/>
        <v>0</v>
      </c>
      <c r="N215" s="666">
        <f t="shared" si="22"/>
        <v>0</v>
      </c>
      <c r="O215" s="672">
        <v>0</v>
      </c>
      <c r="P215" s="668">
        <f t="shared" si="27"/>
        <v>0</v>
      </c>
      <c r="Q215" s="676"/>
      <c r="R215" s="676"/>
    </row>
    <row r="216" spans="1:19" s="677" customFormat="1" ht="25.5" hidden="1" customHeight="1">
      <c r="A216" s="985"/>
      <c r="B216" s="986">
        <f t="shared" si="21"/>
        <v>0</v>
      </c>
      <c r="C216" s="987" t="s">
        <v>1474</v>
      </c>
      <c r="D216" s="993">
        <f>ROUND(Data!K905,2)</f>
        <v>2412.73</v>
      </c>
      <c r="E216" s="992" t="s">
        <v>522</v>
      </c>
      <c r="F216" s="987">
        <f t="shared" si="23"/>
        <v>0</v>
      </c>
      <c r="G216" s="994"/>
      <c r="H216" s="666">
        <f t="shared" si="24"/>
        <v>0</v>
      </c>
      <c r="I216" s="666"/>
      <c r="J216" s="666"/>
      <c r="K216" s="666">
        <f t="shared" si="25"/>
        <v>0</v>
      </c>
      <c r="L216" s="666"/>
      <c r="M216" s="665">
        <f t="shared" si="26"/>
        <v>0</v>
      </c>
      <c r="N216" s="666">
        <f t="shared" si="22"/>
        <v>0</v>
      </c>
      <c r="O216" s="672">
        <v>0</v>
      </c>
      <c r="P216" s="668">
        <f t="shared" si="27"/>
        <v>0</v>
      </c>
      <c r="Q216" s="676"/>
      <c r="R216" s="676"/>
    </row>
    <row r="217" spans="1:19" s="677" customFormat="1" ht="25.5" hidden="1" customHeight="1">
      <c r="A217" s="998"/>
      <c r="B217" s="986">
        <f t="shared" si="21"/>
        <v>0</v>
      </c>
      <c r="C217" s="987" t="s">
        <v>1475</v>
      </c>
      <c r="D217" s="993">
        <f>ROUND(Data!K871,2)</f>
        <v>2466.66</v>
      </c>
      <c r="E217" s="992" t="s">
        <v>522</v>
      </c>
      <c r="F217" s="987">
        <f t="shared" si="23"/>
        <v>0</v>
      </c>
      <c r="G217" s="994"/>
      <c r="H217" s="666">
        <f t="shared" si="24"/>
        <v>0</v>
      </c>
      <c r="I217" s="666"/>
      <c r="J217" s="666"/>
      <c r="K217" s="666">
        <f t="shared" si="25"/>
        <v>0</v>
      </c>
      <c r="L217" s="666"/>
      <c r="M217" s="665">
        <f t="shared" si="26"/>
        <v>0</v>
      </c>
      <c r="N217" s="666">
        <f t="shared" si="22"/>
        <v>0</v>
      </c>
      <c r="O217" s="672">
        <v>0</v>
      </c>
      <c r="P217" s="668">
        <f t="shared" si="27"/>
        <v>0</v>
      </c>
      <c r="Q217" s="676"/>
      <c r="R217" s="676"/>
    </row>
    <row r="218" spans="1:19" ht="46.5" customHeight="1">
      <c r="A218" s="985">
        <v>21.2</v>
      </c>
      <c r="B218" s="986">
        <f t="shared" si="21"/>
        <v>0</v>
      </c>
      <c r="C218" s="995" t="s">
        <v>1476</v>
      </c>
      <c r="D218" s="990"/>
      <c r="E218" s="987"/>
      <c r="F218" s="987">
        <f t="shared" si="23"/>
        <v>0</v>
      </c>
      <c r="G218" s="989"/>
      <c r="H218" s="666">
        <f t="shared" si="24"/>
        <v>0</v>
      </c>
      <c r="I218" s="666"/>
      <c r="J218" s="666"/>
      <c r="K218" s="666">
        <f t="shared" si="25"/>
        <v>0</v>
      </c>
      <c r="L218" s="666"/>
      <c r="M218" s="665">
        <f t="shared" si="26"/>
        <v>0</v>
      </c>
      <c r="N218" s="666">
        <f t="shared" si="22"/>
        <v>0</v>
      </c>
      <c r="O218" s="668">
        <v>0</v>
      </c>
      <c r="P218" s="668">
        <f t="shared" si="27"/>
        <v>0</v>
      </c>
      <c r="Q218" s="678"/>
      <c r="S218" s="679"/>
    </row>
    <row r="219" spans="1:19" ht="46.5" customHeight="1">
      <c r="A219" s="985"/>
      <c r="B219" s="1008">
        <f t="shared" si="21"/>
        <v>0.126</v>
      </c>
      <c r="C219" s="987" t="s">
        <v>1477</v>
      </c>
      <c r="D219" s="990">
        <f>ROUND(Data!K923,2)</f>
        <v>123400</v>
      </c>
      <c r="E219" s="987" t="s">
        <v>235</v>
      </c>
      <c r="F219" s="987">
        <f t="shared" si="23"/>
        <v>15548.4</v>
      </c>
      <c r="G219" s="1009">
        <f>Detailed!H456</f>
        <v>0.126</v>
      </c>
      <c r="H219" s="666">
        <f t="shared" si="24"/>
        <v>15548.4</v>
      </c>
      <c r="I219" s="666"/>
      <c r="J219" s="666"/>
      <c r="K219" s="666">
        <f t="shared" si="25"/>
        <v>0</v>
      </c>
      <c r="L219" s="666"/>
      <c r="M219" s="744">
        <f t="shared" si="26"/>
        <v>0.126</v>
      </c>
      <c r="N219" s="666">
        <f t="shared" si="22"/>
        <v>15548.4</v>
      </c>
      <c r="O219" s="672">
        <v>0.126</v>
      </c>
      <c r="P219" s="668">
        <f t="shared" si="27"/>
        <v>0</v>
      </c>
    </row>
    <row r="220" spans="1:19" ht="46.5" customHeight="1">
      <c r="A220" s="997"/>
      <c r="B220" s="1008">
        <f t="shared" si="21"/>
        <v>6.0750000000000005E-2</v>
      </c>
      <c r="C220" s="987" t="s">
        <v>1478</v>
      </c>
      <c r="D220" s="990">
        <f>ROUND(Data!K930,2)</f>
        <v>111200</v>
      </c>
      <c r="E220" s="987" t="s">
        <v>235</v>
      </c>
      <c r="F220" s="987">
        <f t="shared" si="23"/>
        <v>6755.4000000000005</v>
      </c>
      <c r="G220" s="1009">
        <f>Detailed!H463</f>
        <v>6.0750000000000005E-2</v>
      </c>
      <c r="H220" s="666">
        <f t="shared" si="24"/>
        <v>6755.4000000000005</v>
      </c>
      <c r="I220" s="666"/>
      <c r="J220" s="666"/>
      <c r="K220" s="666">
        <f t="shared" si="25"/>
        <v>0</v>
      </c>
      <c r="L220" s="666"/>
      <c r="M220" s="744">
        <f t="shared" si="26"/>
        <v>6.0750000000000005E-2</v>
      </c>
      <c r="N220" s="666">
        <f t="shared" si="22"/>
        <v>6755.4000000000005</v>
      </c>
      <c r="O220" s="672">
        <v>6.0999999999999999E-2</v>
      </c>
      <c r="P220" s="668">
        <f t="shared" si="27"/>
        <v>-2.4999999999999328E-4</v>
      </c>
    </row>
    <row r="221" spans="1:19" s="677" customFormat="1" ht="37.5" hidden="1" customHeight="1">
      <c r="A221" s="985">
        <v>21.3</v>
      </c>
      <c r="B221" s="986">
        <f t="shared" si="21"/>
        <v>0</v>
      </c>
      <c r="C221" s="987" t="s">
        <v>1479</v>
      </c>
      <c r="D221" s="993">
        <f>ROUND(Data!K912,2)</f>
        <v>2034</v>
      </c>
      <c r="E221" s="992" t="s">
        <v>264</v>
      </c>
      <c r="F221" s="987">
        <f t="shared" si="23"/>
        <v>0</v>
      </c>
      <c r="G221" s="994"/>
      <c r="H221" s="666">
        <f t="shared" si="24"/>
        <v>0</v>
      </c>
      <c r="I221" s="666"/>
      <c r="J221" s="666"/>
      <c r="K221" s="666">
        <f t="shared" si="25"/>
        <v>0</v>
      </c>
      <c r="L221" s="666"/>
      <c r="M221" s="665">
        <f t="shared" si="26"/>
        <v>0</v>
      </c>
      <c r="N221" s="666">
        <f t="shared" si="22"/>
        <v>0</v>
      </c>
      <c r="O221" s="672">
        <v>0</v>
      </c>
      <c r="P221" s="668">
        <f t="shared" si="27"/>
        <v>0</v>
      </c>
      <c r="Q221" s="676"/>
      <c r="R221" s="676"/>
    </row>
    <row r="222" spans="1:19" s="677" customFormat="1" ht="25.5" hidden="1" customHeight="1">
      <c r="A222" s="985">
        <v>22.1</v>
      </c>
      <c r="B222" s="986">
        <f t="shared" si="21"/>
        <v>0</v>
      </c>
      <c r="C222" s="987" t="s">
        <v>1480</v>
      </c>
      <c r="D222" s="993"/>
      <c r="E222" s="992"/>
      <c r="F222" s="987">
        <f t="shared" si="23"/>
        <v>0</v>
      </c>
      <c r="G222" s="994"/>
      <c r="H222" s="666">
        <f t="shared" si="24"/>
        <v>0</v>
      </c>
      <c r="I222" s="666"/>
      <c r="J222" s="666"/>
      <c r="K222" s="666">
        <f t="shared" si="25"/>
        <v>0</v>
      </c>
      <c r="L222" s="666"/>
      <c r="M222" s="665">
        <f t="shared" si="26"/>
        <v>0</v>
      </c>
      <c r="N222" s="666">
        <f t="shared" si="22"/>
        <v>0</v>
      </c>
      <c r="O222" s="672">
        <v>0</v>
      </c>
      <c r="P222" s="668">
        <f t="shared" si="27"/>
        <v>0</v>
      </c>
      <c r="Q222" s="676"/>
      <c r="R222" s="676"/>
    </row>
    <row r="223" spans="1:19" s="677" customFormat="1" ht="25.5" hidden="1" customHeight="1">
      <c r="A223" s="986"/>
      <c r="B223" s="986">
        <f t="shared" si="21"/>
        <v>0</v>
      </c>
      <c r="C223" s="987" t="s">
        <v>1481</v>
      </c>
      <c r="D223" s="993">
        <f>ROUND(Data!K964,2)</f>
        <v>4719.55</v>
      </c>
      <c r="E223" s="992" t="s">
        <v>264</v>
      </c>
      <c r="F223" s="987">
        <f t="shared" si="23"/>
        <v>0</v>
      </c>
      <c r="G223" s="994"/>
      <c r="H223" s="666">
        <f t="shared" si="24"/>
        <v>0</v>
      </c>
      <c r="I223" s="666"/>
      <c r="J223" s="666"/>
      <c r="K223" s="666">
        <f t="shared" si="25"/>
        <v>0</v>
      </c>
      <c r="L223" s="666"/>
      <c r="M223" s="665">
        <f t="shared" si="26"/>
        <v>0</v>
      </c>
      <c r="N223" s="666">
        <f t="shared" si="22"/>
        <v>0</v>
      </c>
      <c r="O223" s="672">
        <v>0</v>
      </c>
      <c r="P223" s="668">
        <f t="shared" si="27"/>
        <v>0</v>
      </c>
      <c r="Q223" s="676"/>
      <c r="R223" s="676"/>
    </row>
    <row r="224" spans="1:19" s="677" customFormat="1" ht="25.5" hidden="1" customHeight="1">
      <c r="A224" s="986"/>
      <c r="B224" s="986">
        <f t="shared" si="21"/>
        <v>0</v>
      </c>
      <c r="C224" s="987" t="s">
        <v>1482</v>
      </c>
      <c r="D224" s="993">
        <f>ROUND(Data!K1000,2)</f>
        <v>4803.54</v>
      </c>
      <c r="E224" s="992" t="s">
        <v>264</v>
      </c>
      <c r="F224" s="987">
        <f t="shared" si="23"/>
        <v>0</v>
      </c>
      <c r="G224" s="994"/>
      <c r="H224" s="666">
        <f t="shared" si="24"/>
        <v>0</v>
      </c>
      <c r="I224" s="666"/>
      <c r="J224" s="666"/>
      <c r="K224" s="666">
        <f t="shared" si="25"/>
        <v>0</v>
      </c>
      <c r="L224" s="666"/>
      <c r="M224" s="665">
        <f t="shared" si="26"/>
        <v>0</v>
      </c>
      <c r="N224" s="666">
        <f t="shared" si="22"/>
        <v>0</v>
      </c>
      <c r="O224" s="672">
        <v>0</v>
      </c>
      <c r="P224" s="668">
        <f t="shared" si="27"/>
        <v>0</v>
      </c>
      <c r="Q224" s="676"/>
      <c r="R224" s="676"/>
    </row>
    <row r="225" spans="1:18" s="677" customFormat="1" ht="25.5" hidden="1" customHeight="1">
      <c r="A225" s="1000"/>
      <c r="B225" s="986">
        <f t="shared" si="21"/>
        <v>0</v>
      </c>
      <c r="C225" s="987" t="s">
        <v>1483</v>
      </c>
      <c r="D225" s="993">
        <f>ROUND(Data!K1030,2)</f>
        <v>4817.3500000000004</v>
      </c>
      <c r="E225" s="992" t="s">
        <v>264</v>
      </c>
      <c r="F225" s="987">
        <f t="shared" si="23"/>
        <v>0</v>
      </c>
      <c r="G225" s="994"/>
      <c r="H225" s="666">
        <f t="shared" si="24"/>
        <v>0</v>
      </c>
      <c r="I225" s="666"/>
      <c r="J225" s="666"/>
      <c r="K225" s="666">
        <f t="shared" si="25"/>
        <v>0</v>
      </c>
      <c r="L225" s="666"/>
      <c r="M225" s="665">
        <f t="shared" si="26"/>
        <v>0</v>
      </c>
      <c r="N225" s="666">
        <f t="shared" si="22"/>
        <v>0</v>
      </c>
      <c r="O225" s="672">
        <v>0</v>
      </c>
      <c r="P225" s="668">
        <f t="shared" si="27"/>
        <v>0</v>
      </c>
      <c r="Q225" s="676"/>
      <c r="R225" s="676"/>
    </row>
    <row r="226" spans="1:18" s="677" customFormat="1" ht="25.5" hidden="1" customHeight="1">
      <c r="A226" s="1000"/>
      <c r="B226" s="986">
        <f t="shared" si="21"/>
        <v>0</v>
      </c>
      <c r="C226" s="987" t="s">
        <v>1484</v>
      </c>
      <c r="D226" s="993">
        <f>Data!R2834</f>
        <v>5284.7279461279459</v>
      </c>
      <c r="E226" s="992" t="s">
        <v>264</v>
      </c>
      <c r="F226" s="987">
        <f t="shared" si="23"/>
        <v>0</v>
      </c>
      <c r="G226" s="994"/>
      <c r="H226" s="666">
        <f t="shared" si="24"/>
        <v>0</v>
      </c>
      <c r="I226" s="666"/>
      <c r="J226" s="666"/>
      <c r="K226" s="666">
        <f t="shared" si="25"/>
        <v>0</v>
      </c>
      <c r="L226" s="666"/>
      <c r="M226" s="665">
        <f t="shared" si="26"/>
        <v>0</v>
      </c>
      <c r="N226" s="666">
        <f t="shared" si="22"/>
        <v>0</v>
      </c>
      <c r="O226" s="672">
        <v>0</v>
      </c>
      <c r="P226" s="668">
        <f t="shared" si="27"/>
        <v>0</v>
      </c>
      <c r="Q226" s="676"/>
      <c r="R226" s="676"/>
    </row>
    <row r="227" spans="1:18" s="677" customFormat="1" ht="25.5" hidden="1" customHeight="1">
      <c r="A227" s="985">
        <v>22.2</v>
      </c>
      <c r="B227" s="986">
        <f t="shared" si="21"/>
        <v>0</v>
      </c>
      <c r="C227" s="995" t="s">
        <v>1485</v>
      </c>
      <c r="D227" s="993"/>
      <c r="E227" s="992"/>
      <c r="F227" s="987">
        <f t="shared" si="23"/>
        <v>0</v>
      </c>
      <c r="G227" s="994"/>
      <c r="H227" s="666">
        <f t="shared" si="24"/>
        <v>0</v>
      </c>
      <c r="I227" s="666"/>
      <c r="J227" s="666"/>
      <c r="K227" s="666">
        <f t="shared" si="25"/>
        <v>0</v>
      </c>
      <c r="L227" s="666"/>
      <c r="M227" s="665">
        <f t="shared" si="26"/>
        <v>0</v>
      </c>
      <c r="N227" s="666">
        <f t="shared" si="22"/>
        <v>0</v>
      </c>
      <c r="O227" s="672">
        <v>0</v>
      </c>
      <c r="P227" s="668">
        <f t="shared" si="27"/>
        <v>0</v>
      </c>
      <c r="Q227" s="676"/>
      <c r="R227" s="676"/>
    </row>
    <row r="228" spans="1:18" s="677" customFormat="1" ht="25.5" hidden="1" customHeight="1">
      <c r="A228" s="986"/>
      <c r="B228" s="986">
        <f t="shared" si="21"/>
        <v>0</v>
      </c>
      <c r="C228" s="987" t="s">
        <v>1486</v>
      </c>
      <c r="D228" s="993">
        <f>ROUND(Data!K1081,2)</f>
        <v>3364.07</v>
      </c>
      <c r="E228" s="992" t="s">
        <v>264</v>
      </c>
      <c r="F228" s="987">
        <f t="shared" si="23"/>
        <v>0</v>
      </c>
      <c r="G228" s="994"/>
      <c r="H228" s="666">
        <f t="shared" si="24"/>
        <v>0</v>
      </c>
      <c r="I228" s="666"/>
      <c r="J228" s="666"/>
      <c r="K228" s="666">
        <f t="shared" si="25"/>
        <v>0</v>
      </c>
      <c r="L228" s="666"/>
      <c r="M228" s="665">
        <f t="shared" si="26"/>
        <v>0</v>
      </c>
      <c r="N228" s="666">
        <f t="shared" si="22"/>
        <v>0</v>
      </c>
      <c r="O228" s="672">
        <v>0</v>
      </c>
      <c r="P228" s="668">
        <f t="shared" si="27"/>
        <v>0</v>
      </c>
      <c r="Q228" s="676"/>
      <c r="R228" s="676"/>
    </row>
    <row r="229" spans="1:18" s="677" customFormat="1" ht="25.5" hidden="1" customHeight="1">
      <c r="A229" s="986"/>
      <c r="B229" s="986">
        <f t="shared" si="21"/>
        <v>0</v>
      </c>
      <c r="C229" s="987" t="s">
        <v>1487</v>
      </c>
      <c r="D229" s="993"/>
      <c r="E229" s="992" t="s">
        <v>264</v>
      </c>
      <c r="F229" s="987">
        <f t="shared" si="23"/>
        <v>0</v>
      </c>
      <c r="G229" s="994"/>
      <c r="H229" s="666">
        <f t="shared" si="24"/>
        <v>0</v>
      </c>
      <c r="I229" s="666"/>
      <c r="J229" s="666"/>
      <c r="K229" s="666">
        <f t="shared" si="25"/>
        <v>0</v>
      </c>
      <c r="L229" s="666"/>
      <c r="M229" s="665">
        <f t="shared" si="26"/>
        <v>0</v>
      </c>
      <c r="N229" s="666">
        <f t="shared" si="22"/>
        <v>0</v>
      </c>
      <c r="O229" s="672">
        <v>0</v>
      </c>
      <c r="P229" s="668">
        <f t="shared" si="27"/>
        <v>0</v>
      </c>
      <c r="Q229" s="676"/>
      <c r="R229" s="676"/>
    </row>
    <row r="230" spans="1:18" s="677" customFormat="1" ht="25.5" hidden="1" customHeight="1">
      <c r="A230" s="986"/>
      <c r="B230" s="986">
        <f t="shared" si="21"/>
        <v>0</v>
      </c>
      <c r="C230" s="987" t="s">
        <v>1488</v>
      </c>
      <c r="D230" s="993">
        <f>ROUND(Data!K1097,2)</f>
        <v>3552.27</v>
      </c>
      <c r="E230" s="992" t="s">
        <v>264</v>
      </c>
      <c r="F230" s="987">
        <f t="shared" si="23"/>
        <v>0</v>
      </c>
      <c r="G230" s="994"/>
      <c r="H230" s="666">
        <f t="shared" si="24"/>
        <v>0</v>
      </c>
      <c r="I230" s="666"/>
      <c r="J230" s="666"/>
      <c r="K230" s="666">
        <f t="shared" si="25"/>
        <v>0</v>
      </c>
      <c r="L230" s="666"/>
      <c r="M230" s="665">
        <f t="shared" si="26"/>
        <v>0</v>
      </c>
      <c r="N230" s="666">
        <f t="shared" si="22"/>
        <v>0</v>
      </c>
      <c r="O230" s="672">
        <v>0</v>
      </c>
      <c r="P230" s="668">
        <f t="shared" si="27"/>
        <v>0</v>
      </c>
      <c r="Q230" s="676"/>
      <c r="R230" s="676"/>
    </row>
    <row r="231" spans="1:18" s="677" customFormat="1" ht="25.5" hidden="1" customHeight="1">
      <c r="A231" s="1000"/>
      <c r="B231" s="986">
        <f t="shared" si="21"/>
        <v>0</v>
      </c>
      <c r="C231" s="987" t="s">
        <v>1489</v>
      </c>
      <c r="D231" s="993">
        <f>ROUND(Data!K1112,2)</f>
        <v>2642.34</v>
      </c>
      <c r="E231" s="992" t="s">
        <v>264</v>
      </c>
      <c r="F231" s="987">
        <f t="shared" si="23"/>
        <v>0</v>
      </c>
      <c r="G231" s="994"/>
      <c r="H231" s="666">
        <f t="shared" si="24"/>
        <v>0</v>
      </c>
      <c r="I231" s="666"/>
      <c r="J231" s="666"/>
      <c r="K231" s="666">
        <f t="shared" si="25"/>
        <v>0</v>
      </c>
      <c r="L231" s="666"/>
      <c r="M231" s="665">
        <f t="shared" si="26"/>
        <v>0</v>
      </c>
      <c r="N231" s="666">
        <f t="shared" si="22"/>
        <v>0</v>
      </c>
      <c r="O231" s="672">
        <v>0</v>
      </c>
      <c r="P231" s="668">
        <f t="shared" si="27"/>
        <v>0</v>
      </c>
      <c r="Q231" s="676"/>
      <c r="R231" s="676"/>
    </row>
    <row r="232" spans="1:18" s="677" customFormat="1" ht="37.5" hidden="1" customHeight="1">
      <c r="A232" s="985">
        <v>22.3</v>
      </c>
      <c r="B232" s="986">
        <f t="shared" si="21"/>
        <v>0</v>
      </c>
      <c r="C232" s="987" t="s">
        <v>1490</v>
      </c>
      <c r="D232" s="993"/>
      <c r="E232" s="992" t="s">
        <v>264</v>
      </c>
      <c r="F232" s="987">
        <f t="shared" si="23"/>
        <v>0</v>
      </c>
      <c r="G232" s="994"/>
      <c r="H232" s="666">
        <f t="shared" si="24"/>
        <v>0</v>
      </c>
      <c r="I232" s="666"/>
      <c r="J232" s="666"/>
      <c r="K232" s="666">
        <f t="shared" si="25"/>
        <v>0</v>
      </c>
      <c r="L232" s="666"/>
      <c r="M232" s="665">
        <f t="shared" si="26"/>
        <v>0</v>
      </c>
      <c r="N232" s="666">
        <f t="shared" si="22"/>
        <v>0</v>
      </c>
      <c r="O232" s="672">
        <v>0</v>
      </c>
      <c r="P232" s="668">
        <f t="shared" si="27"/>
        <v>0</v>
      </c>
      <c r="Q232" s="676"/>
      <c r="R232" s="676"/>
    </row>
    <row r="233" spans="1:18" s="677" customFormat="1" ht="43.5" hidden="1" customHeight="1">
      <c r="A233" s="985">
        <v>23.1</v>
      </c>
      <c r="B233" s="986">
        <f t="shared" si="21"/>
        <v>0</v>
      </c>
      <c r="C233" s="987" t="s">
        <v>1491</v>
      </c>
      <c r="D233" s="993"/>
      <c r="E233" s="992" t="s">
        <v>264</v>
      </c>
      <c r="F233" s="987">
        <f t="shared" si="23"/>
        <v>0</v>
      </c>
      <c r="G233" s="994"/>
      <c r="H233" s="666">
        <f t="shared" si="24"/>
        <v>0</v>
      </c>
      <c r="I233" s="666"/>
      <c r="J233" s="666"/>
      <c r="K233" s="666">
        <f t="shared" si="25"/>
        <v>0</v>
      </c>
      <c r="L233" s="666"/>
      <c r="M233" s="665">
        <f t="shared" si="26"/>
        <v>0</v>
      </c>
      <c r="N233" s="666">
        <f t="shared" si="22"/>
        <v>0</v>
      </c>
      <c r="O233" s="672">
        <v>0</v>
      </c>
      <c r="P233" s="668">
        <f t="shared" si="27"/>
        <v>0</v>
      </c>
      <c r="Q233" s="676"/>
      <c r="R233" s="676"/>
    </row>
    <row r="234" spans="1:18" s="677" customFormat="1" ht="25.5" hidden="1" customHeight="1">
      <c r="A234" s="1000"/>
      <c r="B234" s="986">
        <f t="shared" si="21"/>
        <v>0</v>
      </c>
      <c r="C234" s="987" t="s">
        <v>1473</v>
      </c>
      <c r="D234" s="993">
        <f>ROUND(Data!K1066,2)</f>
        <v>3424.55</v>
      </c>
      <c r="E234" s="992" t="s">
        <v>264</v>
      </c>
      <c r="F234" s="987">
        <f t="shared" si="23"/>
        <v>0</v>
      </c>
      <c r="G234" s="994"/>
      <c r="H234" s="666">
        <f t="shared" si="24"/>
        <v>0</v>
      </c>
      <c r="I234" s="666"/>
      <c r="J234" s="666"/>
      <c r="K234" s="666">
        <f t="shared" si="25"/>
        <v>0</v>
      </c>
      <c r="L234" s="666"/>
      <c r="M234" s="665">
        <f t="shared" si="26"/>
        <v>0</v>
      </c>
      <c r="N234" s="666">
        <f t="shared" si="22"/>
        <v>0</v>
      </c>
      <c r="O234" s="672">
        <v>0</v>
      </c>
      <c r="P234" s="668">
        <f t="shared" si="27"/>
        <v>0</v>
      </c>
      <c r="Q234" s="676"/>
      <c r="R234" s="676"/>
    </row>
    <row r="235" spans="1:18" s="677" customFormat="1" ht="25.5" hidden="1" customHeight="1">
      <c r="A235" s="985">
        <v>23.2</v>
      </c>
      <c r="B235" s="986">
        <f t="shared" si="21"/>
        <v>0</v>
      </c>
      <c r="C235" s="987" t="s">
        <v>1492</v>
      </c>
      <c r="D235" s="993">
        <f>ROUND(Data!K1185,2)</f>
        <v>708.1</v>
      </c>
      <c r="E235" s="992" t="s">
        <v>264</v>
      </c>
      <c r="F235" s="987">
        <f t="shared" si="23"/>
        <v>0</v>
      </c>
      <c r="G235" s="994"/>
      <c r="H235" s="666">
        <f t="shared" si="24"/>
        <v>0</v>
      </c>
      <c r="I235" s="666"/>
      <c r="J235" s="666"/>
      <c r="K235" s="666">
        <f t="shared" si="25"/>
        <v>0</v>
      </c>
      <c r="L235" s="666"/>
      <c r="M235" s="665">
        <f t="shared" si="26"/>
        <v>0</v>
      </c>
      <c r="N235" s="666">
        <f t="shared" si="22"/>
        <v>0</v>
      </c>
      <c r="O235" s="672">
        <v>0</v>
      </c>
      <c r="P235" s="668">
        <f t="shared" si="27"/>
        <v>0</v>
      </c>
      <c r="Q235" s="676"/>
      <c r="R235" s="676"/>
    </row>
    <row r="236" spans="1:18" s="683" customFormat="1" ht="51" customHeight="1">
      <c r="A236" s="985">
        <v>23.3</v>
      </c>
      <c r="B236" s="986">
        <f t="shared" si="21"/>
        <v>12</v>
      </c>
      <c r="C236" s="987" t="s">
        <v>1493</v>
      </c>
      <c r="D236" s="990">
        <f>Data!K1170</f>
        <v>52</v>
      </c>
      <c r="E236" s="987" t="s">
        <v>522</v>
      </c>
      <c r="F236" s="987">
        <f t="shared" si="23"/>
        <v>624</v>
      </c>
      <c r="G236" s="989">
        <f>Detailed!H471</f>
        <v>12</v>
      </c>
      <c r="H236" s="666">
        <f t="shared" si="24"/>
        <v>624</v>
      </c>
      <c r="I236" s="666"/>
      <c r="J236" s="666"/>
      <c r="K236" s="666">
        <f t="shared" si="25"/>
        <v>0</v>
      </c>
      <c r="L236" s="666"/>
      <c r="M236" s="665">
        <f t="shared" si="26"/>
        <v>12</v>
      </c>
      <c r="N236" s="666">
        <f t="shared" si="22"/>
        <v>624</v>
      </c>
      <c r="O236" s="672">
        <v>12</v>
      </c>
      <c r="P236" s="668">
        <f t="shared" si="27"/>
        <v>0</v>
      </c>
      <c r="Q236" s="669"/>
      <c r="R236" s="669"/>
    </row>
    <row r="237" spans="1:18" s="677" customFormat="1" ht="46.5" hidden="1" customHeight="1">
      <c r="A237" s="985">
        <v>23.4</v>
      </c>
      <c r="B237" s="986">
        <f t="shared" si="21"/>
        <v>0</v>
      </c>
      <c r="C237" s="987" t="s">
        <v>1494</v>
      </c>
      <c r="D237" s="993"/>
      <c r="E237" s="992"/>
      <c r="F237" s="987">
        <f t="shared" si="23"/>
        <v>0</v>
      </c>
      <c r="G237" s="994"/>
      <c r="H237" s="666">
        <f t="shared" si="24"/>
        <v>0</v>
      </c>
      <c r="I237" s="666"/>
      <c r="J237" s="666"/>
      <c r="K237" s="666">
        <f t="shared" si="25"/>
        <v>0</v>
      </c>
      <c r="L237" s="666"/>
      <c r="M237" s="665">
        <f t="shared" si="26"/>
        <v>0</v>
      </c>
      <c r="N237" s="666">
        <f t="shared" si="22"/>
        <v>0</v>
      </c>
      <c r="O237" s="672">
        <v>0</v>
      </c>
      <c r="P237" s="668">
        <f t="shared" si="27"/>
        <v>0</v>
      </c>
      <c r="Q237" s="676"/>
      <c r="R237" s="676"/>
    </row>
    <row r="238" spans="1:18" s="677" customFormat="1" ht="33" hidden="1" customHeight="1">
      <c r="A238" s="986"/>
      <c r="B238" s="986">
        <f t="shared" si="21"/>
        <v>0</v>
      </c>
      <c r="C238" s="987" t="s">
        <v>1495</v>
      </c>
      <c r="D238" s="993">
        <f>Data!X1399</f>
        <v>14549.639200000001</v>
      </c>
      <c r="E238" s="992" t="s">
        <v>522</v>
      </c>
      <c r="F238" s="987">
        <f t="shared" si="23"/>
        <v>0</v>
      </c>
      <c r="G238" s="994"/>
      <c r="H238" s="666">
        <f t="shared" si="24"/>
        <v>0</v>
      </c>
      <c r="I238" s="666"/>
      <c r="J238" s="666"/>
      <c r="K238" s="666">
        <f t="shared" si="25"/>
        <v>0</v>
      </c>
      <c r="L238" s="666"/>
      <c r="M238" s="665">
        <f t="shared" si="26"/>
        <v>0</v>
      </c>
      <c r="N238" s="666">
        <f t="shared" si="22"/>
        <v>0</v>
      </c>
      <c r="O238" s="672">
        <v>0</v>
      </c>
      <c r="P238" s="668">
        <f t="shared" si="27"/>
        <v>0</v>
      </c>
      <c r="Q238" s="676"/>
      <c r="R238" s="676"/>
    </row>
    <row r="239" spans="1:18" s="677" customFormat="1" ht="33" hidden="1" customHeight="1">
      <c r="A239" s="986"/>
      <c r="B239" s="986">
        <f t="shared" si="21"/>
        <v>0</v>
      </c>
      <c r="C239" s="987" t="s">
        <v>1496</v>
      </c>
      <c r="D239" s="993">
        <f>Data!R1404</f>
        <v>10968.379799999999</v>
      </c>
      <c r="E239" s="992" t="s">
        <v>522</v>
      </c>
      <c r="F239" s="987">
        <f t="shared" si="23"/>
        <v>0</v>
      </c>
      <c r="G239" s="994"/>
      <c r="H239" s="666">
        <f t="shared" si="24"/>
        <v>0</v>
      </c>
      <c r="I239" s="666"/>
      <c r="J239" s="666"/>
      <c r="K239" s="666">
        <f t="shared" si="25"/>
        <v>0</v>
      </c>
      <c r="L239" s="666"/>
      <c r="M239" s="665">
        <f t="shared" si="26"/>
        <v>0</v>
      </c>
      <c r="N239" s="666">
        <f t="shared" si="22"/>
        <v>0</v>
      </c>
      <c r="O239" s="672">
        <v>0</v>
      </c>
      <c r="P239" s="668">
        <f t="shared" si="27"/>
        <v>0</v>
      </c>
      <c r="Q239" s="676"/>
      <c r="R239" s="676"/>
    </row>
    <row r="240" spans="1:18" s="677" customFormat="1" ht="33" hidden="1" customHeight="1">
      <c r="A240" s="986"/>
      <c r="B240" s="986">
        <f t="shared" si="21"/>
        <v>0</v>
      </c>
      <c r="C240" s="987" t="s">
        <v>1497</v>
      </c>
      <c r="D240" s="993">
        <f>Data!X1365</f>
        <v>9368.6107999999986</v>
      </c>
      <c r="E240" s="992" t="s">
        <v>522</v>
      </c>
      <c r="F240" s="987">
        <f t="shared" si="23"/>
        <v>0</v>
      </c>
      <c r="G240" s="994"/>
      <c r="H240" s="666">
        <f t="shared" si="24"/>
        <v>0</v>
      </c>
      <c r="I240" s="666"/>
      <c r="J240" s="666"/>
      <c r="K240" s="666">
        <f t="shared" si="25"/>
        <v>0</v>
      </c>
      <c r="L240" s="666"/>
      <c r="M240" s="665">
        <f t="shared" si="26"/>
        <v>0</v>
      </c>
      <c r="N240" s="666">
        <f t="shared" si="22"/>
        <v>0</v>
      </c>
      <c r="O240" s="672">
        <v>0</v>
      </c>
      <c r="P240" s="668">
        <f t="shared" si="27"/>
        <v>0</v>
      </c>
      <c r="Q240" s="676"/>
      <c r="R240" s="676"/>
    </row>
    <row r="241" spans="1:18" s="677" customFormat="1" ht="33" hidden="1" customHeight="1">
      <c r="A241" s="986"/>
      <c r="B241" s="986">
        <f t="shared" si="21"/>
        <v>0</v>
      </c>
      <c r="C241" s="987" t="s">
        <v>1498</v>
      </c>
      <c r="D241" s="993">
        <f>Data!R1421</f>
        <v>8713.4480000000003</v>
      </c>
      <c r="E241" s="992" t="s">
        <v>522</v>
      </c>
      <c r="F241" s="987">
        <f t="shared" si="23"/>
        <v>0</v>
      </c>
      <c r="G241" s="994"/>
      <c r="H241" s="666">
        <f t="shared" si="24"/>
        <v>0</v>
      </c>
      <c r="I241" s="666"/>
      <c r="J241" s="666"/>
      <c r="K241" s="666">
        <f t="shared" si="25"/>
        <v>0</v>
      </c>
      <c r="L241" s="666"/>
      <c r="M241" s="665">
        <f t="shared" si="26"/>
        <v>0</v>
      </c>
      <c r="N241" s="666">
        <f t="shared" si="22"/>
        <v>0</v>
      </c>
      <c r="O241" s="672">
        <v>0</v>
      </c>
      <c r="P241" s="668">
        <f t="shared" si="27"/>
        <v>0</v>
      </c>
      <c r="Q241" s="676"/>
      <c r="R241" s="676"/>
    </row>
    <row r="242" spans="1:18" s="677" customFormat="1" ht="33" hidden="1" customHeight="1">
      <c r="A242" s="986"/>
      <c r="B242" s="986">
        <f t="shared" si="21"/>
        <v>0</v>
      </c>
      <c r="C242" s="987" t="s">
        <v>1499</v>
      </c>
      <c r="D242" s="993">
        <f>Data!X1463</f>
        <v>7235.6616000000004</v>
      </c>
      <c r="E242" s="992" t="s">
        <v>522</v>
      </c>
      <c r="F242" s="987">
        <f t="shared" si="23"/>
        <v>0</v>
      </c>
      <c r="G242" s="994"/>
      <c r="H242" s="666">
        <f t="shared" si="24"/>
        <v>0</v>
      </c>
      <c r="I242" s="666"/>
      <c r="J242" s="666"/>
      <c r="K242" s="666">
        <f t="shared" si="25"/>
        <v>0</v>
      </c>
      <c r="L242" s="666"/>
      <c r="M242" s="665">
        <f t="shared" si="26"/>
        <v>0</v>
      </c>
      <c r="N242" s="666">
        <f t="shared" si="22"/>
        <v>0</v>
      </c>
      <c r="O242" s="672">
        <v>0</v>
      </c>
      <c r="P242" s="668">
        <f t="shared" si="27"/>
        <v>0</v>
      </c>
      <c r="Q242" s="676"/>
      <c r="R242" s="676"/>
    </row>
    <row r="243" spans="1:18" s="677" customFormat="1" ht="33" hidden="1" customHeight="1">
      <c r="A243" s="986"/>
      <c r="B243" s="986">
        <f t="shared" si="21"/>
        <v>0</v>
      </c>
      <c r="C243" s="987" t="s">
        <v>1500</v>
      </c>
      <c r="D243" s="993">
        <f>Data!AD1380</f>
        <v>8048.4600000000009</v>
      </c>
      <c r="E243" s="992" t="s">
        <v>522</v>
      </c>
      <c r="F243" s="987">
        <f t="shared" si="23"/>
        <v>0</v>
      </c>
      <c r="G243" s="994"/>
      <c r="H243" s="666">
        <f t="shared" si="24"/>
        <v>0</v>
      </c>
      <c r="I243" s="666"/>
      <c r="J243" s="666"/>
      <c r="K243" s="666">
        <f t="shared" si="25"/>
        <v>0</v>
      </c>
      <c r="L243" s="666"/>
      <c r="M243" s="665">
        <f t="shared" si="26"/>
        <v>0</v>
      </c>
      <c r="N243" s="666">
        <f t="shared" si="22"/>
        <v>0</v>
      </c>
      <c r="O243" s="672">
        <v>0</v>
      </c>
      <c r="P243" s="668">
        <f t="shared" si="27"/>
        <v>0</v>
      </c>
      <c r="Q243" s="676"/>
      <c r="R243" s="676"/>
    </row>
    <row r="244" spans="1:18" s="677" customFormat="1" ht="33" hidden="1" customHeight="1">
      <c r="A244" s="986"/>
      <c r="B244" s="986">
        <f t="shared" si="21"/>
        <v>0</v>
      </c>
      <c r="C244" s="987" t="s">
        <v>1501</v>
      </c>
      <c r="D244" s="993">
        <f>Data!X1382</f>
        <v>7379.4431999999997</v>
      </c>
      <c r="E244" s="992" t="s">
        <v>522</v>
      </c>
      <c r="F244" s="987">
        <f t="shared" si="23"/>
        <v>0</v>
      </c>
      <c r="G244" s="994"/>
      <c r="H244" s="666">
        <f t="shared" si="24"/>
        <v>0</v>
      </c>
      <c r="I244" s="666"/>
      <c r="J244" s="666"/>
      <c r="K244" s="666">
        <f t="shared" si="25"/>
        <v>0</v>
      </c>
      <c r="L244" s="666"/>
      <c r="M244" s="665">
        <f t="shared" si="26"/>
        <v>0</v>
      </c>
      <c r="N244" s="666">
        <f t="shared" si="22"/>
        <v>0</v>
      </c>
      <c r="O244" s="672">
        <v>0</v>
      </c>
      <c r="P244" s="668">
        <f t="shared" si="27"/>
        <v>0</v>
      </c>
      <c r="Q244" s="676"/>
      <c r="R244" s="676"/>
    </row>
    <row r="245" spans="1:18" s="677" customFormat="1" ht="33" hidden="1" customHeight="1">
      <c r="A245" s="986"/>
      <c r="B245" s="986">
        <f t="shared" si="21"/>
        <v>0</v>
      </c>
      <c r="C245" s="987" t="s">
        <v>1502</v>
      </c>
      <c r="D245" s="993">
        <f>Data!AD1363</f>
        <v>6304.1652000000004</v>
      </c>
      <c r="E245" s="992" t="s">
        <v>522</v>
      </c>
      <c r="F245" s="987">
        <f t="shared" si="23"/>
        <v>0</v>
      </c>
      <c r="G245" s="994"/>
      <c r="H245" s="666">
        <f t="shared" si="24"/>
        <v>0</v>
      </c>
      <c r="I245" s="666"/>
      <c r="J245" s="666"/>
      <c r="K245" s="666">
        <f t="shared" si="25"/>
        <v>0</v>
      </c>
      <c r="L245" s="666"/>
      <c r="M245" s="665">
        <f t="shared" si="26"/>
        <v>0</v>
      </c>
      <c r="N245" s="666">
        <f t="shared" si="22"/>
        <v>0</v>
      </c>
      <c r="O245" s="672">
        <v>0</v>
      </c>
      <c r="P245" s="668">
        <f t="shared" si="27"/>
        <v>0</v>
      </c>
      <c r="Q245" s="676"/>
      <c r="R245" s="676"/>
    </row>
    <row r="246" spans="1:18" s="677" customFormat="1" ht="33" hidden="1" customHeight="1">
      <c r="A246" s="986"/>
      <c r="B246" s="986">
        <f t="shared" si="21"/>
        <v>0</v>
      </c>
      <c r="C246" s="987" t="s">
        <v>1503</v>
      </c>
      <c r="D246" s="993">
        <f>Data!AD1397</f>
        <v>4015.3552000000004</v>
      </c>
      <c r="E246" s="992" t="s">
        <v>522</v>
      </c>
      <c r="F246" s="987">
        <f t="shared" si="23"/>
        <v>0</v>
      </c>
      <c r="G246" s="994"/>
      <c r="H246" s="666">
        <f t="shared" si="24"/>
        <v>0</v>
      </c>
      <c r="I246" s="666"/>
      <c r="J246" s="666"/>
      <c r="K246" s="666">
        <f t="shared" si="25"/>
        <v>0</v>
      </c>
      <c r="L246" s="666"/>
      <c r="M246" s="665">
        <f t="shared" si="26"/>
        <v>0</v>
      </c>
      <c r="N246" s="666">
        <f t="shared" si="22"/>
        <v>0</v>
      </c>
      <c r="O246" s="672">
        <v>0</v>
      </c>
      <c r="P246" s="668">
        <f t="shared" si="27"/>
        <v>0</v>
      </c>
      <c r="Q246" s="676"/>
      <c r="R246" s="676"/>
    </row>
    <row r="247" spans="1:18" s="677" customFormat="1" ht="33" hidden="1" customHeight="1">
      <c r="A247" s="986"/>
      <c r="B247" s="986">
        <f t="shared" si="21"/>
        <v>0</v>
      </c>
      <c r="C247" s="987" t="s">
        <v>1504</v>
      </c>
      <c r="D247" s="993">
        <f>Data!R1438</f>
        <v>3794.0416</v>
      </c>
      <c r="E247" s="992" t="s">
        <v>522</v>
      </c>
      <c r="F247" s="987">
        <f t="shared" si="23"/>
        <v>0</v>
      </c>
      <c r="G247" s="994"/>
      <c r="H247" s="666">
        <f t="shared" si="24"/>
        <v>0</v>
      </c>
      <c r="I247" s="666"/>
      <c r="J247" s="666"/>
      <c r="K247" s="666">
        <f t="shared" si="25"/>
        <v>0</v>
      </c>
      <c r="L247" s="666"/>
      <c r="M247" s="665">
        <f t="shared" si="26"/>
        <v>0</v>
      </c>
      <c r="N247" s="666">
        <f t="shared" si="22"/>
        <v>0</v>
      </c>
      <c r="O247" s="672">
        <v>0</v>
      </c>
      <c r="P247" s="668">
        <f t="shared" si="27"/>
        <v>0</v>
      </c>
      <c r="Q247" s="676"/>
      <c r="R247" s="676"/>
    </row>
    <row r="248" spans="1:18" s="677" customFormat="1" ht="33" hidden="1" customHeight="1">
      <c r="A248" s="986"/>
      <c r="B248" s="986">
        <f t="shared" si="21"/>
        <v>0</v>
      </c>
      <c r="C248" s="987" t="s">
        <v>1505</v>
      </c>
      <c r="D248" s="993">
        <f>Data!R1479</f>
        <v>4535.8925925925923</v>
      </c>
      <c r="E248" s="992" t="s">
        <v>522</v>
      </c>
      <c r="F248" s="987">
        <f t="shared" si="23"/>
        <v>0</v>
      </c>
      <c r="G248" s="994"/>
      <c r="H248" s="666">
        <f t="shared" si="24"/>
        <v>0</v>
      </c>
      <c r="I248" s="666"/>
      <c r="J248" s="666"/>
      <c r="K248" s="666">
        <f t="shared" si="25"/>
        <v>0</v>
      </c>
      <c r="L248" s="666"/>
      <c r="M248" s="665">
        <f t="shared" si="26"/>
        <v>0</v>
      </c>
      <c r="N248" s="666">
        <f t="shared" si="22"/>
        <v>0</v>
      </c>
      <c r="O248" s="672">
        <v>0</v>
      </c>
      <c r="P248" s="668">
        <f t="shared" si="27"/>
        <v>0</v>
      </c>
      <c r="Q248" s="676"/>
      <c r="R248" s="676"/>
    </row>
    <row r="249" spans="1:18" s="677" customFormat="1" ht="18" hidden="1" customHeight="1">
      <c r="A249" s="1000"/>
      <c r="B249" s="986">
        <f t="shared" si="21"/>
        <v>0</v>
      </c>
      <c r="C249" s="987" t="s">
        <v>1506</v>
      </c>
      <c r="D249" s="993">
        <f>Data!X1440</f>
        <v>5059.0194444444442</v>
      </c>
      <c r="E249" s="992" t="s">
        <v>522</v>
      </c>
      <c r="F249" s="987">
        <f t="shared" si="23"/>
        <v>0</v>
      </c>
      <c r="G249" s="994"/>
      <c r="H249" s="666">
        <f t="shared" si="24"/>
        <v>0</v>
      </c>
      <c r="I249" s="666"/>
      <c r="J249" s="666"/>
      <c r="K249" s="666">
        <f t="shared" si="25"/>
        <v>0</v>
      </c>
      <c r="L249" s="666"/>
      <c r="M249" s="665">
        <f t="shared" si="26"/>
        <v>0</v>
      </c>
      <c r="N249" s="666">
        <f t="shared" si="22"/>
        <v>0</v>
      </c>
      <c r="O249" s="672">
        <v>0</v>
      </c>
      <c r="P249" s="668">
        <f t="shared" si="27"/>
        <v>0</v>
      </c>
      <c r="Q249" s="676"/>
      <c r="R249" s="676"/>
    </row>
    <row r="250" spans="1:18" ht="56.25" customHeight="1">
      <c r="A250" s="985">
        <v>24</v>
      </c>
      <c r="B250" s="986">
        <f t="shared" si="21"/>
        <v>1436.925</v>
      </c>
      <c r="C250" s="987" t="s">
        <v>1507</v>
      </c>
      <c r="D250" s="990">
        <f>Data!K1191</f>
        <v>62.1</v>
      </c>
      <c r="E250" s="987" t="s">
        <v>271</v>
      </c>
      <c r="F250" s="987">
        <f t="shared" si="23"/>
        <v>89233.042499999996</v>
      </c>
      <c r="G250" s="989">
        <f>Detailed!H485</f>
        <v>1436.925</v>
      </c>
      <c r="H250" s="666">
        <f t="shared" si="24"/>
        <v>89233.042499999996</v>
      </c>
      <c r="I250" s="666"/>
      <c r="J250" s="666"/>
      <c r="K250" s="666">
        <f t="shared" si="25"/>
        <v>0</v>
      </c>
      <c r="L250" s="666"/>
      <c r="M250" s="665">
        <f t="shared" si="26"/>
        <v>1436.925</v>
      </c>
      <c r="N250" s="666">
        <f t="shared" si="22"/>
        <v>89233.042499999996</v>
      </c>
      <c r="O250" s="672">
        <v>1522</v>
      </c>
      <c r="P250" s="668">
        <f t="shared" si="27"/>
        <v>-85.075000000000045</v>
      </c>
    </row>
    <row r="251" spans="1:18" ht="45.75" customHeight="1">
      <c r="A251" s="985">
        <v>25</v>
      </c>
      <c r="B251" s="986">
        <f t="shared" si="21"/>
        <v>66</v>
      </c>
      <c r="C251" s="987" t="s">
        <v>1508</v>
      </c>
      <c r="D251" s="990">
        <f>ROUND(Data!K1194,2)</f>
        <v>9.6</v>
      </c>
      <c r="E251" s="987" t="s">
        <v>522</v>
      </c>
      <c r="F251" s="987">
        <f t="shared" si="23"/>
        <v>633.6</v>
      </c>
      <c r="G251" s="989">
        <f>Detailed!H493</f>
        <v>66</v>
      </c>
      <c r="H251" s="666">
        <f t="shared" si="24"/>
        <v>633.6</v>
      </c>
      <c r="I251" s="666"/>
      <c r="J251" s="666"/>
      <c r="K251" s="666">
        <f t="shared" si="25"/>
        <v>0</v>
      </c>
      <c r="L251" s="666"/>
      <c r="M251" s="665">
        <f t="shared" si="26"/>
        <v>66</v>
      </c>
      <c r="N251" s="666">
        <f t="shared" si="22"/>
        <v>633.6</v>
      </c>
      <c r="O251" s="672">
        <v>66</v>
      </c>
      <c r="P251" s="668">
        <f t="shared" si="27"/>
        <v>0</v>
      </c>
    </row>
    <row r="252" spans="1:18" ht="45.75" customHeight="1">
      <c r="A252" s="985">
        <v>26</v>
      </c>
      <c r="B252" s="986">
        <f t="shared" si="21"/>
        <v>11.1</v>
      </c>
      <c r="C252" s="987" t="s">
        <v>1509</v>
      </c>
      <c r="D252" s="990">
        <f>ROUND(Data!K204,2)</f>
        <v>4858.32</v>
      </c>
      <c r="E252" s="987" t="s">
        <v>235</v>
      </c>
      <c r="F252" s="987">
        <f t="shared" si="23"/>
        <v>53927.351999999992</v>
      </c>
      <c r="G252" s="989">
        <f>Detailed!H505</f>
        <v>11.1</v>
      </c>
      <c r="H252" s="666">
        <f t="shared" si="24"/>
        <v>53927.351999999992</v>
      </c>
      <c r="I252" s="666"/>
      <c r="J252" s="666"/>
      <c r="K252" s="666">
        <f t="shared" si="25"/>
        <v>0</v>
      </c>
      <c r="L252" s="666"/>
      <c r="M252" s="665">
        <f t="shared" si="26"/>
        <v>11.1</v>
      </c>
      <c r="N252" s="666">
        <f t="shared" si="22"/>
        <v>53927.351999999992</v>
      </c>
      <c r="O252" s="672">
        <v>11.1</v>
      </c>
      <c r="P252" s="668">
        <f t="shared" si="27"/>
        <v>0</v>
      </c>
    </row>
    <row r="253" spans="1:18" s="677" customFormat="1" ht="39.950000000000003" hidden="1" customHeight="1">
      <c r="A253" s="985">
        <v>27.1</v>
      </c>
      <c r="B253" s="986">
        <f t="shared" si="21"/>
        <v>0</v>
      </c>
      <c r="C253" s="987" t="s">
        <v>1510</v>
      </c>
      <c r="D253" s="993">
        <f>ROUND(Data!Y368,2)</f>
        <v>6646.8</v>
      </c>
      <c r="E253" s="992" t="s">
        <v>235</v>
      </c>
      <c r="F253" s="987">
        <f t="shared" si="23"/>
        <v>0</v>
      </c>
      <c r="G253" s="994"/>
      <c r="H253" s="666">
        <f t="shared" si="24"/>
        <v>0</v>
      </c>
      <c r="I253" s="666"/>
      <c r="J253" s="666"/>
      <c r="K253" s="666">
        <f t="shared" si="25"/>
        <v>0</v>
      </c>
      <c r="L253" s="666"/>
      <c r="M253" s="665">
        <f t="shared" si="26"/>
        <v>0</v>
      </c>
      <c r="N253" s="666">
        <f t="shared" si="22"/>
        <v>0</v>
      </c>
      <c r="O253" s="672">
        <v>0</v>
      </c>
      <c r="P253" s="668">
        <f t="shared" si="27"/>
        <v>0</v>
      </c>
      <c r="Q253" s="676"/>
      <c r="R253" s="676"/>
    </row>
    <row r="254" spans="1:18" s="677" customFormat="1" ht="45.75" hidden="1" customHeight="1">
      <c r="A254" s="985">
        <v>27.2</v>
      </c>
      <c r="B254" s="986">
        <f t="shared" si="21"/>
        <v>0</v>
      </c>
      <c r="C254" s="987" t="s">
        <v>1511</v>
      </c>
      <c r="D254" s="993">
        <f>ROUND(Data!AG381,2)</f>
        <v>6430.98</v>
      </c>
      <c r="E254" s="992" t="s">
        <v>235</v>
      </c>
      <c r="F254" s="987">
        <f t="shared" si="23"/>
        <v>0</v>
      </c>
      <c r="G254" s="994"/>
      <c r="H254" s="666">
        <f t="shared" si="24"/>
        <v>0</v>
      </c>
      <c r="I254" s="666"/>
      <c r="J254" s="666"/>
      <c r="K254" s="666">
        <f t="shared" si="25"/>
        <v>0</v>
      </c>
      <c r="L254" s="666"/>
      <c r="M254" s="665">
        <f t="shared" si="26"/>
        <v>0</v>
      </c>
      <c r="N254" s="666">
        <f t="shared" si="22"/>
        <v>0</v>
      </c>
      <c r="O254" s="672">
        <v>0</v>
      </c>
      <c r="P254" s="668">
        <f t="shared" si="27"/>
        <v>0</v>
      </c>
      <c r="Q254" s="676"/>
      <c r="R254" s="676"/>
    </row>
    <row r="255" spans="1:18" s="677" customFormat="1" ht="39.950000000000003" hidden="1" customHeight="1">
      <c r="A255" s="985">
        <v>27.3</v>
      </c>
      <c r="B255" s="986">
        <f t="shared" si="21"/>
        <v>0</v>
      </c>
      <c r="C255" s="987" t="s">
        <v>1512</v>
      </c>
      <c r="D255" s="993"/>
      <c r="E255" s="992" t="s">
        <v>235</v>
      </c>
      <c r="F255" s="987">
        <f t="shared" si="23"/>
        <v>0</v>
      </c>
      <c r="G255" s="994"/>
      <c r="H255" s="666">
        <f t="shared" si="24"/>
        <v>0</v>
      </c>
      <c r="I255" s="666"/>
      <c r="J255" s="666"/>
      <c r="K255" s="666">
        <f t="shared" si="25"/>
        <v>0</v>
      </c>
      <c r="L255" s="666"/>
      <c r="M255" s="665">
        <f t="shared" si="26"/>
        <v>0</v>
      </c>
      <c r="N255" s="666">
        <f t="shared" si="22"/>
        <v>0</v>
      </c>
      <c r="O255" s="672">
        <v>0</v>
      </c>
      <c r="P255" s="668">
        <f t="shared" si="27"/>
        <v>0</v>
      </c>
      <c r="Q255" s="676"/>
      <c r="R255" s="676"/>
    </row>
    <row r="256" spans="1:18" s="677" customFormat="1" ht="39.950000000000003" hidden="1" customHeight="1">
      <c r="A256" s="985">
        <v>27.4</v>
      </c>
      <c r="B256" s="986">
        <f t="shared" si="21"/>
        <v>0</v>
      </c>
      <c r="C256" s="987" t="s">
        <v>1513</v>
      </c>
      <c r="D256" s="993"/>
      <c r="E256" s="992" t="s">
        <v>235</v>
      </c>
      <c r="F256" s="987">
        <f t="shared" si="23"/>
        <v>0</v>
      </c>
      <c r="G256" s="994"/>
      <c r="H256" s="666">
        <f t="shared" si="24"/>
        <v>0</v>
      </c>
      <c r="I256" s="666"/>
      <c r="J256" s="666"/>
      <c r="K256" s="666">
        <f t="shared" si="25"/>
        <v>0</v>
      </c>
      <c r="L256" s="666"/>
      <c r="M256" s="665">
        <f t="shared" si="26"/>
        <v>0</v>
      </c>
      <c r="N256" s="666">
        <f t="shared" si="22"/>
        <v>0</v>
      </c>
      <c r="O256" s="672">
        <v>0</v>
      </c>
      <c r="P256" s="668">
        <f t="shared" si="27"/>
        <v>0</v>
      </c>
      <c r="Q256" s="676"/>
      <c r="R256" s="676"/>
    </row>
    <row r="257" spans="1:26" s="677" customFormat="1" ht="39.950000000000003" hidden="1" customHeight="1">
      <c r="A257" s="985">
        <v>27.5</v>
      </c>
      <c r="B257" s="986">
        <f t="shared" si="21"/>
        <v>0</v>
      </c>
      <c r="C257" s="987" t="s">
        <v>1514</v>
      </c>
      <c r="D257" s="993">
        <f>ROUND(Data!K372,2)</f>
        <v>6614.28</v>
      </c>
      <c r="E257" s="992" t="s">
        <v>235</v>
      </c>
      <c r="F257" s="987">
        <f t="shared" si="23"/>
        <v>0</v>
      </c>
      <c r="G257" s="994"/>
      <c r="H257" s="666">
        <f t="shared" si="24"/>
        <v>0</v>
      </c>
      <c r="I257" s="666"/>
      <c r="J257" s="666"/>
      <c r="K257" s="666">
        <f t="shared" si="25"/>
        <v>0</v>
      </c>
      <c r="L257" s="666"/>
      <c r="M257" s="665">
        <f t="shared" si="26"/>
        <v>0</v>
      </c>
      <c r="N257" s="666">
        <f t="shared" si="22"/>
        <v>0</v>
      </c>
      <c r="O257" s="672">
        <v>0</v>
      </c>
      <c r="P257" s="668">
        <f t="shared" si="27"/>
        <v>0</v>
      </c>
      <c r="Q257" s="676"/>
      <c r="R257" s="676"/>
    </row>
    <row r="258" spans="1:26" s="677" customFormat="1" ht="39.950000000000003" hidden="1" customHeight="1">
      <c r="A258" s="985">
        <v>27.6</v>
      </c>
      <c r="B258" s="986">
        <f t="shared" si="21"/>
        <v>0</v>
      </c>
      <c r="C258" s="987" t="s">
        <v>1515</v>
      </c>
      <c r="D258" s="993"/>
      <c r="E258" s="992" t="s">
        <v>235</v>
      </c>
      <c r="F258" s="987">
        <f t="shared" si="23"/>
        <v>0</v>
      </c>
      <c r="G258" s="994"/>
      <c r="H258" s="666">
        <f t="shared" si="24"/>
        <v>0</v>
      </c>
      <c r="I258" s="666"/>
      <c r="J258" s="666"/>
      <c r="K258" s="666">
        <f t="shared" si="25"/>
        <v>0</v>
      </c>
      <c r="L258" s="666"/>
      <c r="M258" s="665">
        <f t="shared" si="26"/>
        <v>0</v>
      </c>
      <c r="N258" s="666">
        <f t="shared" si="22"/>
        <v>0</v>
      </c>
      <c r="O258" s="672">
        <v>0</v>
      </c>
      <c r="P258" s="668">
        <f t="shared" si="27"/>
        <v>0</v>
      </c>
      <c r="Q258" s="676"/>
      <c r="R258" s="676"/>
    </row>
    <row r="259" spans="1:26" ht="45.75" customHeight="1">
      <c r="A259" s="985">
        <v>28</v>
      </c>
      <c r="B259" s="986">
        <f t="shared" si="21"/>
        <v>23.3</v>
      </c>
      <c r="C259" s="995" t="s">
        <v>1516</v>
      </c>
      <c r="D259" s="990">
        <f>ROUND(Data!K1213,2)</f>
        <v>455.31</v>
      </c>
      <c r="E259" s="987" t="s">
        <v>264</v>
      </c>
      <c r="F259" s="987">
        <f t="shared" si="23"/>
        <v>10608.723</v>
      </c>
      <c r="G259" s="989">
        <f>Detailed!H522</f>
        <v>23.3</v>
      </c>
      <c r="H259" s="666">
        <f t="shared" si="24"/>
        <v>10608.723</v>
      </c>
      <c r="I259" s="666"/>
      <c r="J259" s="666"/>
      <c r="K259" s="666">
        <f t="shared" si="25"/>
        <v>0</v>
      </c>
      <c r="L259" s="666"/>
      <c r="M259" s="665">
        <f t="shared" si="26"/>
        <v>23.3</v>
      </c>
      <c r="N259" s="666">
        <f t="shared" si="22"/>
        <v>10608.723</v>
      </c>
      <c r="O259" s="672">
        <v>23.3</v>
      </c>
      <c r="P259" s="668">
        <f t="shared" si="27"/>
        <v>0</v>
      </c>
    </row>
    <row r="260" spans="1:26" s="677" customFormat="1" ht="25.5" hidden="1" customHeight="1">
      <c r="A260" s="985">
        <v>29.1</v>
      </c>
      <c r="B260" s="986">
        <f t="shared" si="21"/>
        <v>0</v>
      </c>
      <c r="C260" s="995" t="s">
        <v>1517</v>
      </c>
      <c r="D260" s="993"/>
      <c r="E260" s="992" t="s">
        <v>264</v>
      </c>
      <c r="F260" s="987">
        <f t="shared" si="23"/>
        <v>0</v>
      </c>
      <c r="G260" s="994"/>
      <c r="H260" s="666">
        <f t="shared" si="24"/>
        <v>0</v>
      </c>
      <c r="I260" s="666"/>
      <c r="J260" s="666"/>
      <c r="K260" s="666">
        <f t="shared" si="25"/>
        <v>0</v>
      </c>
      <c r="L260" s="666"/>
      <c r="M260" s="665">
        <f t="shared" si="26"/>
        <v>0</v>
      </c>
      <c r="N260" s="666">
        <f t="shared" si="22"/>
        <v>0</v>
      </c>
      <c r="O260" s="672">
        <v>0</v>
      </c>
      <c r="P260" s="668">
        <f t="shared" si="27"/>
        <v>0</v>
      </c>
      <c r="Q260" s="676"/>
      <c r="R260" s="676"/>
    </row>
    <row r="261" spans="1:26" s="677" customFormat="1" ht="25.5" hidden="1" customHeight="1">
      <c r="A261" s="985">
        <v>29.2</v>
      </c>
      <c r="B261" s="986">
        <f t="shared" si="21"/>
        <v>0</v>
      </c>
      <c r="C261" s="995" t="s">
        <v>1518</v>
      </c>
      <c r="D261" s="993">
        <f>ROUND(Data!K1241,2)</f>
        <v>1106.04</v>
      </c>
      <c r="E261" s="992" t="s">
        <v>264</v>
      </c>
      <c r="F261" s="987">
        <f t="shared" si="23"/>
        <v>0</v>
      </c>
      <c r="G261" s="994"/>
      <c r="H261" s="666">
        <f t="shared" si="24"/>
        <v>0</v>
      </c>
      <c r="I261" s="666"/>
      <c r="J261" s="666"/>
      <c r="K261" s="666">
        <f t="shared" si="25"/>
        <v>0</v>
      </c>
      <c r="L261" s="666"/>
      <c r="M261" s="665">
        <f t="shared" si="26"/>
        <v>0</v>
      </c>
      <c r="N261" s="666">
        <f t="shared" si="22"/>
        <v>0</v>
      </c>
      <c r="O261" s="672">
        <v>0</v>
      </c>
      <c r="P261" s="668">
        <f t="shared" si="27"/>
        <v>0</v>
      </c>
      <c r="Q261" s="676"/>
      <c r="R261" s="676"/>
    </row>
    <row r="262" spans="1:26" s="677" customFormat="1" ht="25.5" hidden="1" customHeight="1">
      <c r="A262" s="985">
        <v>29.3</v>
      </c>
      <c r="B262" s="986">
        <f t="shared" si="21"/>
        <v>0</v>
      </c>
      <c r="C262" s="987" t="s">
        <v>1519</v>
      </c>
      <c r="D262" s="993">
        <f>ROUND(Data!K1264,2)</f>
        <v>1098.8499999999999</v>
      </c>
      <c r="E262" s="992" t="s">
        <v>264</v>
      </c>
      <c r="F262" s="987">
        <f t="shared" si="23"/>
        <v>0</v>
      </c>
      <c r="G262" s="994"/>
      <c r="H262" s="666">
        <f t="shared" si="24"/>
        <v>0</v>
      </c>
      <c r="I262" s="666"/>
      <c r="J262" s="666"/>
      <c r="K262" s="666">
        <f t="shared" si="25"/>
        <v>0</v>
      </c>
      <c r="L262" s="666"/>
      <c r="M262" s="665">
        <f t="shared" si="26"/>
        <v>0</v>
      </c>
      <c r="N262" s="666">
        <f t="shared" si="22"/>
        <v>0</v>
      </c>
      <c r="O262" s="672">
        <v>0</v>
      </c>
      <c r="P262" s="668">
        <f t="shared" si="27"/>
        <v>0</v>
      </c>
      <c r="Q262" s="676"/>
      <c r="R262" s="676"/>
    </row>
    <row r="263" spans="1:26" s="677" customFormat="1" ht="25.5" hidden="1" customHeight="1">
      <c r="A263" s="985">
        <v>29.4</v>
      </c>
      <c r="B263" s="986">
        <f t="shared" ref="B263:B326" si="28">M263</f>
        <v>0</v>
      </c>
      <c r="C263" s="987" t="s">
        <v>1520</v>
      </c>
      <c r="D263" s="993">
        <f>ROUND(Data!K1278,2)</f>
        <v>1239.77</v>
      </c>
      <c r="E263" s="992" t="s">
        <v>264</v>
      </c>
      <c r="F263" s="987">
        <f t="shared" si="23"/>
        <v>0</v>
      </c>
      <c r="G263" s="994"/>
      <c r="H263" s="666">
        <f t="shared" si="24"/>
        <v>0</v>
      </c>
      <c r="I263" s="666"/>
      <c r="J263" s="666"/>
      <c r="K263" s="666">
        <f t="shared" si="25"/>
        <v>0</v>
      </c>
      <c r="L263" s="666"/>
      <c r="M263" s="665">
        <f t="shared" si="26"/>
        <v>0</v>
      </c>
      <c r="N263" s="666">
        <f t="shared" ref="N263:N326" si="29">M263*D263</f>
        <v>0</v>
      </c>
      <c r="O263" s="672">
        <v>0</v>
      </c>
      <c r="P263" s="668">
        <f t="shared" si="27"/>
        <v>0</v>
      </c>
      <c r="Q263" s="676"/>
      <c r="R263" s="676"/>
    </row>
    <row r="264" spans="1:26" s="677" customFormat="1" ht="25.5" hidden="1" customHeight="1">
      <c r="A264" s="985">
        <v>29.5</v>
      </c>
      <c r="B264" s="986">
        <f t="shared" si="28"/>
        <v>0</v>
      </c>
      <c r="C264" s="987" t="s">
        <v>1521</v>
      </c>
      <c r="D264" s="993">
        <f>D262</f>
        <v>1098.8499999999999</v>
      </c>
      <c r="E264" s="992" t="s">
        <v>264</v>
      </c>
      <c r="F264" s="987">
        <f t="shared" ref="F264:F327" si="30">B264*D264</f>
        <v>0</v>
      </c>
      <c r="G264" s="994"/>
      <c r="H264" s="666">
        <f t="shared" ref="H264:H327" si="31">G264*D264</f>
        <v>0</v>
      </c>
      <c r="I264" s="666"/>
      <c r="J264" s="666"/>
      <c r="K264" s="666">
        <f t="shared" ref="K264:K327" si="32">I264</f>
        <v>0</v>
      </c>
      <c r="L264" s="666"/>
      <c r="M264" s="665">
        <f t="shared" ref="M264:M327" si="33">G264</f>
        <v>0</v>
      </c>
      <c r="N264" s="666">
        <f t="shared" si="29"/>
        <v>0</v>
      </c>
      <c r="O264" s="672">
        <v>0</v>
      </c>
      <c r="P264" s="668">
        <f t="shared" ref="P264:P327" si="34">M264-O264</f>
        <v>0</v>
      </c>
      <c r="Q264" s="676"/>
      <c r="R264" s="676"/>
    </row>
    <row r="265" spans="1:26" ht="45.75" customHeight="1">
      <c r="A265" s="985">
        <v>30</v>
      </c>
      <c r="B265" s="986">
        <f t="shared" si="28"/>
        <v>17.600000000000001</v>
      </c>
      <c r="C265" s="987" t="s">
        <v>834</v>
      </c>
      <c r="D265" s="990">
        <f>ROUND(Data!K1312,2)</f>
        <v>404.02</v>
      </c>
      <c r="E265" s="987" t="s">
        <v>264</v>
      </c>
      <c r="F265" s="987">
        <f t="shared" si="30"/>
        <v>7110.7520000000004</v>
      </c>
      <c r="G265" s="989">
        <f>Detailed!H532</f>
        <v>17.600000000000001</v>
      </c>
      <c r="H265" s="666">
        <f t="shared" si="31"/>
        <v>7110.7520000000004</v>
      </c>
      <c r="I265" s="666"/>
      <c r="J265" s="666"/>
      <c r="K265" s="666">
        <f t="shared" si="32"/>
        <v>0</v>
      </c>
      <c r="L265" s="666"/>
      <c r="M265" s="665">
        <f t="shared" si="33"/>
        <v>17.600000000000001</v>
      </c>
      <c r="N265" s="666">
        <f t="shared" si="29"/>
        <v>7110.7520000000004</v>
      </c>
      <c r="O265" s="672">
        <v>24.4</v>
      </c>
      <c r="P265" s="668">
        <f t="shared" si="34"/>
        <v>-6.7999999999999972</v>
      </c>
      <c r="Z265" s="670">
        <f>146-34.2</f>
        <v>111.8</v>
      </c>
    </row>
    <row r="266" spans="1:26" ht="45.75" customHeight="1">
      <c r="A266" s="985">
        <v>31</v>
      </c>
      <c r="B266" s="986">
        <f t="shared" si="28"/>
        <v>15.2</v>
      </c>
      <c r="C266" s="987" t="s">
        <v>1522</v>
      </c>
      <c r="D266" s="990">
        <f>ROUND(Data!K1330,2)</f>
        <v>3598.9</v>
      </c>
      <c r="E266" s="987" t="s">
        <v>235</v>
      </c>
      <c r="F266" s="987">
        <f t="shared" si="30"/>
        <v>54703.28</v>
      </c>
      <c r="G266" s="989">
        <f>Detailed!H543</f>
        <v>15.2</v>
      </c>
      <c r="H266" s="666">
        <f t="shared" si="31"/>
        <v>54703.28</v>
      </c>
      <c r="I266" s="666"/>
      <c r="J266" s="666"/>
      <c r="K266" s="666">
        <f t="shared" si="32"/>
        <v>0</v>
      </c>
      <c r="L266" s="666"/>
      <c r="M266" s="665">
        <f t="shared" si="33"/>
        <v>15.2</v>
      </c>
      <c r="N266" s="666">
        <f t="shared" si="29"/>
        <v>54703.28</v>
      </c>
      <c r="O266" s="672">
        <v>15.2</v>
      </c>
      <c r="P266" s="668">
        <f t="shared" si="34"/>
        <v>0</v>
      </c>
    </row>
    <row r="267" spans="1:26" s="677" customFormat="1" ht="46.5" hidden="1" customHeight="1">
      <c r="A267" s="985">
        <v>32</v>
      </c>
      <c r="B267" s="986">
        <f t="shared" si="28"/>
        <v>0</v>
      </c>
      <c r="C267" s="987" t="s">
        <v>1523</v>
      </c>
      <c r="D267" s="993"/>
      <c r="E267" s="992" t="s">
        <v>264</v>
      </c>
      <c r="F267" s="987">
        <f t="shared" si="30"/>
        <v>0</v>
      </c>
      <c r="G267" s="994"/>
      <c r="H267" s="666">
        <f t="shared" si="31"/>
        <v>0</v>
      </c>
      <c r="I267" s="666"/>
      <c r="J267" s="666"/>
      <c r="K267" s="666">
        <f t="shared" si="32"/>
        <v>0</v>
      </c>
      <c r="L267" s="666"/>
      <c r="M267" s="665">
        <f t="shared" si="33"/>
        <v>0</v>
      </c>
      <c r="N267" s="666">
        <f t="shared" si="29"/>
        <v>0</v>
      </c>
      <c r="O267" s="672">
        <v>0</v>
      </c>
      <c r="P267" s="668">
        <f t="shared" si="34"/>
        <v>0</v>
      </c>
      <c r="Q267" s="676"/>
      <c r="R267" s="676"/>
    </row>
    <row r="268" spans="1:26" s="677" customFormat="1" ht="46.5" hidden="1" customHeight="1">
      <c r="A268" s="985">
        <v>32.1</v>
      </c>
      <c r="B268" s="986">
        <f t="shared" si="28"/>
        <v>0</v>
      </c>
      <c r="C268" s="987" t="s">
        <v>1524</v>
      </c>
      <c r="D268" s="993">
        <f>ROUND(Data!K1365,2)</f>
        <v>1082.8499999999999</v>
      </c>
      <c r="E268" s="992" t="s">
        <v>264</v>
      </c>
      <c r="F268" s="987">
        <f t="shared" si="30"/>
        <v>0</v>
      </c>
      <c r="G268" s="994"/>
      <c r="H268" s="666">
        <f t="shared" si="31"/>
        <v>0</v>
      </c>
      <c r="I268" s="666"/>
      <c r="J268" s="666"/>
      <c r="K268" s="666">
        <f t="shared" si="32"/>
        <v>0</v>
      </c>
      <c r="L268" s="666"/>
      <c r="M268" s="665">
        <f t="shared" si="33"/>
        <v>0</v>
      </c>
      <c r="N268" s="666">
        <f t="shared" si="29"/>
        <v>0</v>
      </c>
      <c r="O268" s="672">
        <v>0</v>
      </c>
      <c r="P268" s="668">
        <f t="shared" si="34"/>
        <v>0</v>
      </c>
      <c r="Q268" s="676"/>
      <c r="R268" s="676"/>
    </row>
    <row r="269" spans="1:26" s="677" customFormat="1" ht="46.5" hidden="1" customHeight="1">
      <c r="A269" s="985">
        <v>32.200000000000003</v>
      </c>
      <c r="B269" s="986">
        <f t="shared" si="28"/>
        <v>0</v>
      </c>
      <c r="C269" s="987" t="s">
        <v>1525</v>
      </c>
      <c r="D269" s="993"/>
      <c r="E269" s="992" t="s">
        <v>264</v>
      </c>
      <c r="F269" s="987">
        <f t="shared" si="30"/>
        <v>0</v>
      </c>
      <c r="G269" s="994"/>
      <c r="H269" s="666">
        <f t="shared" si="31"/>
        <v>0</v>
      </c>
      <c r="I269" s="666"/>
      <c r="J269" s="666"/>
      <c r="K269" s="666">
        <f t="shared" si="32"/>
        <v>0</v>
      </c>
      <c r="L269" s="666"/>
      <c r="M269" s="665">
        <f t="shared" si="33"/>
        <v>0</v>
      </c>
      <c r="N269" s="666">
        <f t="shared" si="29"/>
        <v>0</v>
      </c>
      <c r="O269" s="672">
        <v>0</v>
      </c>
      <c r="P269" s="668">
        <f t="shared" si="34"/>
        <v>0</v>
      </c>
      <c r="Q269" s="676"/>
      <c r="R269" s="676"/>
    </row>
    <row r="270" spans="1:26" ht="57.75" customHeight="1">
      <c r="A270" s="985">
        <v>33</v>
      </c>
      <c r="B270" s="986">
        <f t="shared" si="28"/>
        <v>1432</v>
      </c>
      <c r="C270" s="987" t="s">
        <v>1526</v>
      </c>
      <c r="D270" s="990">
        <f>ROUND(Data!K1400,2)</f>
        <v>225.14</v>
      </c>
      <c r="E270" s="987" t="s">
        <v>264</v>
      </c>
      <c r="F270" s="987">
        <f t="shared" si="30"/>
        <v>322400.48</v>
      </c>
      <c r="G270" s="989">
        <f>Detailed!H686</f>
        <v>1432</v>
      </c>
      <c r="H270" s="666">
        <f t="shared" si="31"/>
        <v>322400.48</v>
      </c>
      <c r="I270" s="666"/>
      <c r="J270" s="666"/>
      <c r="K270" s="666">
        <f t="shared" si="32"/>
        <v>0</v>
      </c>
      <c r="L270" s="666"/>
      <c r="M270" s="665">
        <f t="shared" si="33"/>
        <v>1432</v>
      </c>
      <c r="N270" s="666">
        <f t="shared" si="29"/>
        <v>322400.48</v>
      </c>
      <c r="O270" s="672">
        <v>1432</v>
      </c>
      <c r="P270" s="668">
        <f t="shared" si="34"/>
        <v>0</v>
      </c>
    </row>
    <row r="271" spans="1:26" ht="66.75" customHeight="1">
      <c r="A271" s="985">
        <v>34</v>
      </c>
      <c r="B271" s="986">
        <f t="shared" si="28"/>
        <v>55</v>
      </c>
      <c r="C271" s="987" t="s">
        <v>1527</v>
      </c>
      <c r="D271" s="990">
        <f>ROUND(Data!K1414,2)</f>
        <v>231.15</v>
      </c>
      <c r="E271" s="987" t="s">
        <v>264</v>
      </c>
      <c r="F271" s="987">
        <f t="shared" si="30"/>
        <v>12713.25</v>
      </c>
      <c r="G271" s="989">
        <f>Detailed!H693</f>
        <v>55</v>
      </c>
      <c r="H271" s="666">
        <f t="shared" si="31"/>
        <v>12713.25</v>
      </c>
      <c r="I271" s="666"/>
      <c r="J271" s="666"/>
      <c r="K271" s="666">
        <f t="shared" si="32"/>
        <v>0</v>
      </c>
      <c r="L271" s="666"/>
      <c r="M271" s="665">
        <f t="shared" si="33"/>
        <v>55</v>
      </c>
      <c r="N271" s="666">
        <f t="shared" si="29"/>
        <v>12713.25</v>
      </c>
      <c r="O271" s="672">
        <v>55</v>
      </c>
      <c r="P271" s="668">
        <f t="shared" si="34"/>
        <v>0</v>
      </c>
    </row>
    <row r="272" spans="1:26" ht="57.75" customHeight="1">
      <c r="A272" s="985">
        <v>35</v>
      </c>
      <c r="B272" s="986">
        <f t="shared" si="28"/>
        <v>276</v>
      </c>
      <c r="C272" s="987" t="s">
        <v>1528</v>
      </c>
      <c r="D272" s="990">
        <f>ROUND(Data!K1426,2)</f>
        <v>255.7</v>
      </c>
      <c r="E272" s="987" t="s">
        <v>264</v>
      </c>
      <c r="F272" s="987">
        <f t="shared" si="30"/>
        <v>70573.2</v>
      </c>
      <c r="G272" s="989">
        <f>Detailed!H736</f>
        <v>276</v>
      </c>
      <c r="H272" s="666">
        <f t="shared" si="31"/>
        <v>70573.2</v>
      </c>
      <c r="I272" s="666"/>
      <c r="J272" s="666"/>
      <c r="K272" s="666">
        <f t="shared" si="32"/>
        <v>0</v>
      </c>
      <c r="L272" s="666"/>
      <c r="M272" s="665">
        <f t="shared" si="33"/>
        <v>276</v>
      </c>
      <c r="N272" s="666">
        <f t="shared" si="29"/>
        <v>70573.2</v>
      </c>
      <c r="O272" s="672">
        <v>276</v>
      </c>
      <c r="P272" s="668">
        <f t="shared" si="34"/>
        <v>0</v>
      </c>
    </row>
    <row r="273" spans="1:23" ht="57.75" customHeight="1">
      <c r="A273" s="985">
        <v>36</v>
      </c>
      <c r="B273" s="986">
        <f t="shared" si="28"/>
        <v>0</v>
      </c>
      <c r="C273" s="995" t="s">
        <v>1529</v>
      </c>
      <c r="D273" s="990"/>
      <c r="E273" s="987"/>
      <c r="F273" s="987">
        <f t="shared" si="30"/>
        <v>0</v>
      </c>
      <c r="G273" s="989"/>
      <c r="H273" s="666">
        <f t="shared" si="31"/>
        <v>0</v>
      </c>
      <c r="I273" s="666"/>
      <c r="J273" s="666"/>
      <c r="K273" s="666">
        <f t="shared" si="32"/>
        <v>0</v>
      </c>
      <c r="L273" s="666"/>
      <c r="M273" s="665">
        <f t="shared" si="33"/>
        <v>0</v>
      </c>
      <c r="N273" s="666">
        <f t="shared" si="29"/>
        <v>0</v>
      </c>
      <c r="O273" s="668">
        <v>0</v>
      </c>
      <c r="P273" s="668">
        <f t="shared" si="34"/>
        <v>0</v>
      </c>
      <c r="Q273" s="678"/>
      <c r="S273" s="679"/>
    </row>
    <row r="274" spans="1:23" ht="43.5" customHeight="1">
      <c r="A274" s="986" t="s">
        <v>220</v>
      </c>
      <c r="B274" s="986">
        <f t="shared" si="28"/>
        <v>81</v>
      </c>
      <c r="C274" s="987" t="s">
        <v>1530</v>
      </c>
      <c r="D274" s="990">
        <f>ROUND(Data!K1460,2)</f>
        <v>70.61</v>
      </c>
      <c r="E274" s="987" t="s">
        <v>61</v>
      </c>
      <c r="F274" s="987">
        <f t="shared" si="30"/>
        <v>5719.41</v>
      </c>
      <c r="G274" s="989">
        <f>Detailed!H744</f>
        <v>81</v>
      </c>
      <c r="H274" s="666">
        <f t="shared" si="31"/>
        <v>5719.41</v>
      </c>
      <c r="I274" s="666"/>
      <c r="J274" s="666"/>
      <c r="K274" s="666">
        <f t="shared" si="32"/>
        <v>0</v>
      </c>
      <c r="L274" s="666"/>
      <c r="M274" s="665">
        <f t="shared" si="33"/>
        <v>81</v>
      </c>
      <c r="N274" s="666">
        <f t="shared" si="29"/>
        <v>5719.41</v>
      </c>
      <c r="O274" s="672">
        <v>81</v>
      </c>
      <c r="P274" s="668">
        <f t="shared" si="34"/>
        <v>0</v>
      </c>
    </row>
    <row r="275" spans="1:23" ht="43.5" customHeight="1">
      <c r="A275" s="986"/>
      <c r="B275" s="986">
        <f t="shared" si="28"/>
        <v>258</v>
      </c>
      <c r="C275" s="987" t="s">
        <v>1531</v>
      </c>
      <c r="D275" s="990">
        <f>ROUND(Data!K1472,2)</f>
        <v>45.81</v>
      </c>
      <c r="E275" s="987" t="s">
        <v>61</v>
      </c>
      <c r="F275" s="987">
        <f t="shared" si="30"/>
        <v>11818.980000000001</v>
      </c>
      <c r="G275" s="989">
        <f>Detailed!H752</f>
        <v>258</v>
      </c>
      <c r="H275" s="666">
        <f t="shared" si="31"/>
        <v>11818.980000000001</v>
      </c>
      <c r="I275" s="666"/>
      <c r="J275" s="666"/>
      <c r="K275" s="666">
        <f t="shared" si="32"/>
        <v>0</v>
      </c>
      <c r="L275" s="666"/>
      <c r="M275" s="665">
        <f t="shared" si="33"/>
        <v>258</v>
      </c>
      <c r="N275" s="666">
        <f t="shared" si="29"/>
        <v>11818.980000000001</v>
      </c>
      <c r="O275" s="672">
        <v>258</v>
      </c>
      <c r="P275" s="668">
        <f t="shared" si="34"/>
        <v>0</v>
      </c>
    </row>
    <row r="276" spans="1:23" ht="43.5" customHeight="1">
      <c r="A276" s="990"/>
      <c r="B276" s="986">
        <f t="shared" si="28"/>
        <v>104</v>
      </c>
      <c r="C276" s="987" t="s">
        <v>1532</v>
      </c>
      <c r="D276" s="990">
        <f>ROUND(Data!K1485,2)</f>
        <v>34.06</v>
      </c>
      <c r="E276" s="987" t="s">
        <v>61</v>
      </c>
      <c r="F276" s="987">
        <f t="shared" si="30"/>
        <v>3542.2400000000002</v>
      </c>
      <c r="G276" s="989">
        <f>Detailed!H760</f>
        <v>104</v>
      </c>
      <c r="H276" s="666">
        <f t="shared" si="31"/>
        <v>3542.2400000000002</v>
      </c>
      <c r="I276" s="666"/>
      <c r="J276" s="666"/>
      <c r="K276" s="666">
        <f t="shared" si="32"/>
        <v>0</v>
      </c>
      <c r="L276" s="666"/>
      <c r="M276" s="665">
        <f t="shared" si="33"/>
        <v>104</v>
      </c>
      <c r="N276" s="666">
        <f t="shared" si="29"/>
        <v>3542.2400000000002</v>
      </c>
      <c r="O276" s="672">
        <v>104</v>
      </c>
      <c r="P276" s="668">
        <f t="shared" si="34"/>
        <v>0</v>
      </c>
    </row>
    <row r="277" spans="1:23" ht="43.5" customHeight="1">
      <c r="A277" s="985">
        <v>37.1</v>
      </c>
      <c r="B277" s="986">
        <f t="shared" si="28"/>
        <v>276</v>
      </c>
      <c r="C277" s="987" t="s">
        <v>1533</v>
      </c>
      <c r="D277" s="990">
        <f>ROUND(Data!K1498,2)</f>
        <v>39.22</v>
      </c>
      <c r="E277" s="987" t="s">
        <v>264</v>
      </c>
      <c r="F277" s="987">
        <f t="shared" si="30"/>
        <v>10824.72</v>
      </c>
      <c r="G277" s="989">
        <f>Detailed!H763</f>
        <v>276</v>
      </c>
      <c r="H277" s="666">
        <f t="shared" si="31"/>
        <v>10824.72</v>
      </c>
      <c r="I277" s="666"/>
      <c r="J277" s="666"/>
      <c r="K277" s="666">
        <f t="shared" si="32"/>
        <v>0</v>
      </c>
      <c r="L277" s="666"/>
      <c r="M277" s="665">
        <f t="shared" si="33"/>
        <v>276</v>
      </c>
      <c r="N277" s="666">
        <f t="shared" si="29"/>
        <v>10824.72</v>
      </c>
      <c r="O277" s="672">
        <v>276</v>
      </c>
      <c r="P277" s="668">
        <f t="shared" si="34"/>
        <v>0</v>
      </c>
    </row>
    <row r="278" spans="1:23" s="677" customFormat="1" ht="25.5" hidden="1" customHeight="1">
      <c r="A278" s="985">
        <v>37.200000000000003</v>
      </c>
      <c r="B278" s="986">
        <f t="shared" si="28"/>
        <v>0</v>
      </c>
      <c r="C278" s="987" t="s">
        <v>1534</v>
      </c>
      <c r="D278" s="993"/>
      <c r="E278" s="992" t="s">
        <v>264</v>
      </c>
      <c r="F278" s="987">
        <f t="shared" si="30"/>
        <v>0</v>
      </c>
      <c r="G278" s="994"/>
      <c r="H278" s="666">
        <f t="shared" si="31"/>
        <v>0</v>
      </c>
      <c r="I278" s="666"/>
      <c r="J278" s="666"/>
      <c r="K278" s="666">
        <f t="shared" si="32"/>
        <v>0</v>
      </c>
      <c r="L278" s="666"/>
      <c r="M278" s="665">
        <f t="shared" si="33"/>
        <v>0</v>
      </c>
      <c r="N278" s="666">
        <f t="shared" si="29"/>
        <v>0</v>
      </c>
      <c r="O278" s="672">
        <v>0</v>
      </c>
      <c r="P278" s="668">
        <f t="shared" si="34"/>
        <v>0</v>
      </c>
      <c r="Q278" s="676"/>
      <c r="R278" s="676"/>
    </row>
    <row r="279" spans="1:23" s="677" customFormat="1" ht="25.5" hidden="1" customHeight="1">
      <c r="A279" s="985">
        <v>38.1</v>
      </c>
      <c r="B279" s="986">
        <f t="shared" si="28"/>
        <v>0</v>
      </c>
      <c r="C279" s="987" t="s">
        <v>1535</v>
      </c>
      <c r="D279" s="993">
        <f>ROUND(Data!K1513,2)</f>
        <v>172.93</v>
      </c>
      <c r="E279" s="992" t="s">
        <v>264</v>
      </c>
      <c r="F279" s="987">
        <f t="shared" si="30"/>
        <v>0</v>
      </c>
      <c r="G279" s="994"/>
      <c r="H279" s="666">
        <f t="shared" si="31"/>
        <v>0</v>
      </c>
      <c r="I279" s="666"/>
      <c r="J279" s="666"/>
      <c r="K279" s="666">
        <f t="shared" si="32"/>
        <v>0</v>
      </c>
      <c r="L279" s="666"/>
      <c r="M279" s="665">
        <f t="shared" si="33"/>
        <v>0</v>
      </c>
      <c r="N279" s="666">
        <f t="shared" si="29"/>
        <v>0</v>
      </c>
      <c r="O279" s="672">
        <v>0</v>
      </c>
      <c r="P279" s="668">
        <f t="shared" si="34"/>
        <v>0</v>
      </c>
      <c r="Q279" s="676"/>
      <c r="R279" s="676"/>
    </row>
    <row r="280" spans="1:23" s="677" customFormat="1" ht="26.25" hidden="1" customHeight="1">
      <c r="A280" s="985">
        <v>38.200000000000003</v>
      </c>
      <c r="B280" s="986">
        <f t="shared" si="28"/>
        <v>0</v>
      </c>
      <c r="C280" s="987" t="s">
        <v>1536</v>
      </c>
      <c r="D280" s="993">
        <f>ROUND(Data!K1526,2)</f>
        <v>147.27000000000001</v>
      </c>
      <c r="E280" s="992" t="s">
        <v>264</v>
      </c>
      <c r="F280" s="987">
        <f t="shared" si="30"/>
        <v>0</v>
      </c>
      <c r="G280" s="994"/>
      <c r="H280" s="666">
        <f t="shared" si="31"/>
        <v>0</v>
      </c>
      <c r="I280" s="666"/>
      <c r="J280" s="666"/>
      <c r="K280" s="666">
        <f t="shared" si="32"/>
        <v>0</v>
      </c>
      <c r="L280" s="666"/>
      <c r="M280" s="665">
        <f t="shared" si="33"/>
        <v>0</v>
      </c>
      <c r="N280" s="666">
        <f t="shared" si="29"/>
        <v>0</v>
      </c>
      <c r="O280" s="672">
        <v>0</v>
      </c>
      <c r="P280" s="668">
        <f t="shared" si="34"/>
        <v>0</v>
      </c>
      <c r="Q280" s="676"/>
      <c r="R280" s="676"/>
    </row>
    <row r="281" spans="1:23" ht="43.5" customHeight="1">
      <c r="A281" s="985">
        <v>39</v>
      </c>
      <c r="B281" s="986">
        <f t="shared" si="28"/>
        <v>667</v>
      </c>
      <c r="C281" s="987" t="s">
        <v>1537</v>
      </c>
      <c r="D281" s="990">
        <f>Data!K1193</f>
        <v>62.6</v>
      </c>
      <c r="E281" s="987" t="s">
        <v>271</v>
      </c>
      <c r="F281" s="987">
        <f t="shared" si="30"/>
        <v>41754.200000000004</v>
      </c>
      <c r="G281" s="989">
        <f>Detailed!H772</f>
        <v>667</v>
      </c>
      <c r="H281" s="666">
        <f t="shared" si="31"/>
        <v>41754.200000000004</v>
      </c>
      <c r="I281" s="666"/>
      <c r="J281" s="666"/>
      <c r="K281" s="666">
        <f t="shared" si="32"/>
        <v>0</v>
      </c>
      <c r="L281" s="666"/>
      <c r="M281" s="665">
        <f t="shared" si="33"/>
        <v>667</v>
      </c>
      <c r="N281" s="666">
        <f t="shared" si="29"/>
        <v>41754.200000000004</v>
      </c>
      <c r="O281" s="672">
        <v>667</v>
      </c>
      <c r="P281" s="668">
        <f t="shared" si="34"/>
        <v>0</v>
      </c>
      <c r="W281" s="670">
        <f>2.1*35</f>
        <v>73.5</v>
      </c>
    </row>
    <row r="282" spans="1:23" ht="43.5" customHeight="1">
      <c r="A282" s="985">
        <v>40</v>
      </c>
      <c r="B282" s="986">
        <f t="shared" si="28"/>
        <v>52.5</v>
      </c>
      <c r="C282" s="987" t="s">
        <v>1538</v>
      </c>
      <c r="D282" s="990">
        <f>ROUND(Data!K1540,2)</f>
        <v>212.24</v>
      </c>
      <c r="E282" s="987" t="s">
        <v>264</v>
      </c>
      <c r="F282" s="987">
        <f t="shared" si="30"/>
        <v>11142.6</v>
      </c>
      <c r="G282" s="989">
        <f>Detailed!H781</f>
        <v>52.5</v>
      </c>
      <c r="H282" s="666">
        <f t="shared" si="31"/>
        <v>11142.6</v>
      </c>
      <c r="I282" s="666"/>
      <c r="J282" s="666"/>
      <c r="K282" s="666">
        <f t="shared" si="32"/>
        <v>0</v>
      </c>
      <c r="L282" s="666"/>
      <c r="M282" s="665">
        <f t="shared" si="33"/>
        <v>52.5</v>
      </c>
      <c r="N282" s="666">
        <f t="shared" si="29"/>
        <v>11142.6</v>
      </c>
      <c r="O282" s="672">
        <v>46.1</v>
      </c>
      <c r="P282" s="668">
        <f t="shared" si="34"/>
        <v>6.3999999999999986</v>
      </c>
    </row>
    <row r="283" spans="1:23" ht="65.25" customHeight="1">
      <c r="A283" s="985">
        <v>41</v>
      </c>
      <c r="B283" s="986">
        <f t="shared" si="28"/>
        <v>146</v>
      </c>
      <c r="C283" s="987" t="s">
        <v>1539</v>
      </c>
      <c r="D283" s="990">
        <f>ROUND(Data!K1553,2)</f>
        <v>125.87</v>
      </c>
      <c r="E283" s="987" t="s">
        <v>264</v>
      </c>
      <c r="F283" s="987">
        <f t="shared" si="30"/>
        <v>18377.02</v>
      </c>
      <c r="G283" s="989">
        <f>Detailed!H807</f>
        <v>146</v>
      </c>
      <c r="H283" s="666">
        <f t="shared" si="31"/>
        <v>18377.02</v>
      </c>
      <c r="I283" s="666"/>
      <c r="J283" s="666"/>
      <c r="K283" s="666">
        <f t="shared" si="32"/>
        <v>0</v>
      </c>
      <c r="L283" s="666"/>
      <c r="M283" s="665">
        <f t="shared" si="33"/>
        <v>146</v>
      </c>
      <c r="N283" s="666">
        <f t="shared" si="29"/>
        <v>18377.02</v>
      </c>
      <c r="O283" s="672">
        <v>128</v>
      </c>
      <c r="P283" s="668">
        <f t="shared" si="34"/>
        <v>18</v>
      </c>
    </row>
    <row r="284" spans="1:23" s="677" customFormat="1" ht="46.5" hidden="1" customHeight="1">
      <c r="A284" s="985">
        <v>42</v>
      </c>
      <c r="B284" s="986">
        <f t="shared" si="28"/>
        <v>0</v>
      </c>
      <c r="C284" s="987" t="s">
        <v>1540</v>
      </c>
      <c r="D284" s="993"/>
      <c r="E284" s="992"/>
      <c r="F284" s="987">
        <f t="shared" si="30"/>
        <v>0</v>
      </c>
      <c r="G284" s="994"/>
      <c r="H284" s="666">
        <f t="shared" si="31"/>
        <v>0</v>
      </c>
      <c r="I284" s="666"/>
      <c r="J284" s="666"/>
      <c r="K284" s="666">
        <f t="shared" si="32"/>
        <v>0</v>
      </c>
      <c r="L284" s="666"/>
      <c r="M284" s="665">
        <f t="shared" si="33"/>
        <v>0</v>
      </c>
      <c r="N284" s="666">
        <f t="shared" si="29"/>
        <v>0</v>
      </c>
      <c r="O284" s="672">
        <v>0</v>
      </c>
      <c r="P284" s="668">
        <f t="shared" si="34"/>
        <v>0</v>
      </c>
      <c r="Q284" s="676"/>
      <c r="R284" s="676"/>
    </row>
    <row r="285" spans="1:23" s="677" customFormat="1" ht="25.5" hidden="1" customHeight="1">
      <c r="A285" s="986"/>
      <c r="B285" s="986">
        <f t="shared" si="28"/>
        <v>0</v>
      </c>
      <c r="C285" s="987" t="s">
        <v>1541</v>
      </c>
      <c r="D285" s="993">
        <f>ROUND(Data!K1582,2)</f>
        <v>80140.479999999996</v>
      </c>
      <c r="E285" s="992" t="s">
        <v>58</v>
      </c>
      <c r="F285" s="987">
        <f t="shared" si="30"/>
        <v>0</v>
      </c>
      <c r="G285" s="994"/>
      <c r="H285" s="666">
        <f t="shared" si="31"/>
        <v>0</v>
      </c>
      <c r="I285" s="666"/>
      <c r="J285" s="666"/>
      <c r="K285" s="666">
        <f t="shared" si="32"/>
        <v>0</v>
      </c>
      <c r="L285" s="666"/>
      <c r="M285" s="665">
        <f t="shared" si="33"/>
        <v>0</v>
      </c>
      <c r="N285" s="666">
        <f t="shared" si="29"/>
        <v>0</v>
      </c>
      <c r="O285" s="672">
        <v>0</v>
      </c>
      <c r="P285" s="668">
        <f t="shared" si="34"/>
        <v>0</v>
      </c>
      <c r="Q285" s="676"/>
      <c r="R285" s="676"/>
    </row>
    <row r="286" spans="1:23" s="677" customFormat="1" ht="25.5" hidden="1" customHeight="1">
      <c r="A286" s="1000"/>
      <c r="B286" s="986">
        <f t="shared" si="28"/>
        <v>0</v>
      </c>
      <c r="C286" s="987" t="s">
        <v>1542</v>
      </c>
      <c r="D286" s="993">
        <f>ROUND(Data!K1595,2)</f>
        <v>80140.479999999996</v>
      </c>
      <c r="E286" s="992" t="s">
        <v>58</v>
      </c>
      <c r="F286" s="987">
        <f t="shared" si="30"/>
        <v>0</v>
      </c>
      <c r="G286" s="994"/>
      <c r="H286" s="666">
        <f t="shared" si="31"/>
        <v>0</v>
      </c>
      <c r="I286" s="666"/>
      <c r="J286" s="666"/>
      <c r="K286" s="666">
        <f t="shared" si="32"/>
        <v>0</v>
      </c>
      <c r="L286" s="666"/>
      <c r="M286" s="665">
        <f t="shared" si="33"/>
        <v>0</v>
      </c>
      <c r="N286" s="666">
        <f t="shared" si="29"/>
        <v>0</v>
      </c>
      <c r="O286" s="672">
        <v>0</v>
      </c>
      <c r="P286" s="668">
        <f t="shared" si="34"/>
        <v>0</v>
      </c>
      <c r="Q286" s="676"/>
      <c r="R286" s="676"/>
    </row>
    <row r="287" spans="1:23" s="677" customFormat="1" ht="46.5" hidden="1" customHeight="1">
      <c r="A287" s="985">
        <v>43</v>
      </c>
      <c r="B287" s="986">
        <f t="shared" si="28"/>
        <v>0</v>
      </c>
      <c r="C287" s="987" t="s">
        <v>1543</v>
      </c>
      <c r="D287" s="993"/>
      <c r="E287" s="992"/>
      <c r="F287" s="987">
        <f t="shared" si="30"/>
        <v>0</v>
      </c>
      <c r="G287" s="994"/>
      <c r="H287" s="666">
        <f t="shared" si="31"/>
        <v>0</v>
      </c>
      <c r="I287" s="666"/>
      <c r="J287" s="666"/>
      <c r="K287" s="666">
        <f t="shared" si="32"/>
        <v>0</v>
      </c>
      <c r="L287" s="666"/>
      <c r="M287" s="665">
        <f t="shared" si="33"/>
        <v>0</v>
      </c>
      <c r="N287" s="666">
        <f t="shared" si="29"/>
        <v>0</v>
      </c>
      <c r="O287" s="672">
        <v>0</v>
      </c>
      <c r="P287" s="668">
        <f t="shared" si="34"/>
        <v>0</v>
      </c>
      <c r="Q287" s="676"/>
      <c r="R287" s="676"/>
    </row>
    <row r="288" spans="1:23" s="677" customFormat="1" ht="25.5" hidden="1" customHeight="1">
      <c r="A288" s="986"/>
      <c r="B288" s="986">
        <f t="shared" si="28"/>
        <v>0</v>
      </c>
      <c r="C288" s="987" t="s">
        <v>1541</v>
      </c>
      <c r="D288" s="993">
        <f>ROUND(Data!K1608,2)</f>
        <v>78398</v>
      </c>
      <c r="E288" s="992" t="s">
        <v>58</v>
      </c>
      <c r="F288" s="987">
        <f t="shared" si="30"/>
        <v>0</v>
      </c>
      <c r="G288" s="994"/>
      <c r="H288" s="666">
        <f t="shared" si="31"/>
        <v>0</v>
      </c>
      <c r="I288" s="666"/>
      <c r="J288" s="666"/>
      <c r="K288" s="666">
        <f t="shared" si="32"/>
        <v>0</v>
      </c>
      <c r="L288" s="666"/>
      <c r="M288" s="665">
        <f t="shared" si="33"/>
        <v>0</v>
      </c>
      <c r="N288" s="666">
        <f t="shared" si="29"/>
        <v>0</v>
      </c>
      <c r="O288" s="672">
        <v>0</v>
      </c>
      <c r="P288" s="668">
        <f t="shared" si="34"/>
        <v>0</v>
      </c>
      <c r="Q288" s="676"/>
      <c r="R288" s="676"/>
    </row>
    <row r="289" spans="1:19" s="677" customFormat="1" ht="25.5" hidden="1" customHeight="1">
      <c r="A289" s="1000"/>
      <c r="B289" s="986">
        <f t="shared" si="28"/>
        <v>0</v>
      </c>
      <c r="C289" s="987" t="s">
        <v>1542</v>
      </c>
      <c r="D289" s="993">
        <f>ROUND(Data!K1620,2)</f>
        <v>78398</v>
      </c>
      <c r="E289" s="992" t="s">
        <v>58</v>
      </c>
      <c r="F289" s="987">
        <f t="shared" si="30"/>
        <v>0</v>
      </c>
      <c r="G289" s="994"/>
      <c r="H289" s="666">
        <f t="shared" si="31"/>
        <v>0</v>
      </c>
      <c r="I289" s="666"/>
      <c r="J289" s="666"/>
      <c r="K289" s="666">
        <f t="shared" si="32"/>
        <v>0</v>
      </c>
      <c r="L289" s="666"/>
      <c r="M289" s="665">
        <f t="shared" si="33"/>
        <v>0</v>
      </c>
      <c r="N289" s="666">
        <f t="shared" si="29"/>
        <v>0</v>
      </c>
      <c r="O289" s="672">
        <v>0</v>
      </c>
      <c r="P289" s="668">
        <f t="shared" si="34"/>
        <v>0</v>
      </c>
      <c r="Q289" s="676"/>
      <c r="R289" s="676"/>
    </row>
    <row r="290" spans="1:19" s="677" customFormat="1" ht="25.5" hidden="1" customHeight="1">
      <c r="A290" s="985">
        <v>44.1</v>
      </c>
      <c r="B290" s="986">
        <f t="shared" si="28"/>
        <v>0</v>
      </c>
      <c r="C290" s="987" t="s">
        <v>1544</v>
      </c>
      <c r="D290" s="993">
        <f>ROUND(Data!K1638,2)</f>
        <v>321.74</v>
      </c>
      <c r="E290" s="992" t="s">
        <v>61</v>
      </c>
      <c r="F290" s="987">
        <f t="shared" si="30"/>
        <v>0</v>
      </c>
      <c r="G290" s="994"/>
      <c r="H290" s="666">
        <f t="shared" si="31"/>
        <v>0</v>
      </c>
      <c r="I290" s="666"/>
      <c r="J290" s="666"/>
      <c r="K290" s="666">
        <f t="shared" si="32"/>
        <v>0</v>
      </c>
      <c r="L290" s="666"/>
      <c r="M290" s="665">
        <f t="shared" si="33"/>
        <v>0</v>
      </c>
      <c r="N290" s="666">
        <f t="shared" si="29"/>
        <v>0</v>
      </c>
      <c r="O290" s="672">
        <v>0</v>
      </c>
      <c r="P290" s="668">
        <f t="shared" si="34"/>
        <v>0</v>
      </c>
      <c r="Q290" s="676"/>
      <c r="R290" s="676"/>
    </row>
    <row r="291" spans="1:19" s="677" customFormat="1" ht="46.5" hidden="1" customHeight="1">
      <c r="A291" s="985">
        <v>44.2</v>
      </c>
      <c r="B291" s="986">
        <f t="shared" si="28"/>
        <v>0</v>
      </c>
      <c r="C291" s="987" t="s">
        <v>1545</v>
      </c>
      <c r="D291" s="993"/>
      <c r="E291" s="992" t="s">
        <v>522</v>
      </c>
      <c r="F291" s="987">
        <f t="shared" si="30"/>
        <v>0</v>
      </c>
      <c r="G291" s="994"/>
      <c r="H291" s="666">
        <f t="shared" si="31"/>
        <v>0</v>
      </c>
      <c r="I291" s="666"/>
      <c r="J291" s="666"/>
      <c r="K291" s="666">
        <f t="shared" si="32"/>
        <v>0</v>
      </c>
      <c r="L291" s="666"/>
      <c r="M291" s="665">
        <f t="shared" si="33"/>
        <v>0</v>
      </c>
      <c r="N291" s="666">
        <f t="shared" si="29"/>
        <v>0</v>
      </c>
      <c r="O291" s="672">
        <v>0</v>
      </c>
      <c r="P291" s="668">
        <f t="shared" si="34"/>
        <v>0</v>
      </c>
      <c r="Q291" s="676"/>
      <c r="R291" s="676"/>
    </row>
    <row r="292" spans="1:19" ht="40.5" customHeight="1">
      <c r="A292" s="991">
        <v>45</v>
      </c>
      <c r="B292" s="986">
        <f t="shared" si="28"/>
        <v>62.399999999999991</v>
      </c>
      <c r="C292" s="1005" t="s">
        <v>1546</v>
      </c>
      <c r="D292" s="993">
        <f>ROUND(Data!K1653,2)</f>
        <v>287.61</v>
      </c>
      <c r="E292" s="992" t="s">
        <v>264</v>
      </c>
      <c r="F292" s="987">
        <f t="shared" si="30"/>
        <v>17946.863999999998</v>
      </c>
      <c r="G292" s="994">
        <f>Detailed!H1723</f>
        <v>62.399999999999991</v>
      </c>
      <c r="H292" s="666">
        <f t="shared" si="31"/>
        <v>17946.863999999998</v>
      </c>
      <c r="I292" s="666"/>
      <c r="J292" s="666"/>
      <c r="K292" s="666">
        <f t="shared" si="32"/>
        <v>0</v>
      </c>
      <c r="L292" s="666"/>
      <c r="M292" s="665">
        <f t="shared" si="33"/>
        <v>62.399999999999991</v>
      </c>
      <c r="N292" s="666">
        <f t="shared" si="29"/>
        <v>17946.863999999998</v>
      </c>
      <c r="O292" s="672">
        <v>62.4</v>
      </c>
      <c r="P292" s="668">
        <f t="shared" si="34"/>
        <v>0</v>
      </c>
    </row>
    <row r="293" spans="1:19" ht="45.75" customHeight="1">
      <c r="A293" s="985">
        <v>46</v>
      </c>
      <c r="B293" s="986">
        <f t="shared" si="28"/>
        <v>6.4</v>
      </c>
      <c r="C293" s="987" t="s">
        <v>1547</v>
      </c>
      <c r="D293" s="990">
        <f>ROUND(Data!K1670,2)</f>
        <v>58</v>
      </c>
      <c r="E293" s="987" t="s">
        <v>61</v>
      </c>
      <c r="F293" s="987">
        <f t="shared" si="30"/>
        <v>371.20000000000005</v>
      </c>
      <c r="G293" s="989">
        <f>Detailed!H812</f>
        <v>6.4</v>
      </c>
      <c r="H293" s="666">
        <f t="shared" si="31"/>
        <v>371.20000000000005</v>
      </c>
      <c r="I293" s="666"/>
      <c r="J293" s="666"/>
      <c r="K293" s="666">
        <f t="shared" si="32"/>
        <v>0</v>
      </c>
      <c r="L293" s="666"/>
      <c r="M293" s="665">
        <f t="shared" si="33"/>
        <v>6.4</v>
      </c>
      <c r="N293" s="666">
        <f t="shared" si="29"/>
        <v>371.20000000000005</v>
      </c>
      <c r="O293" s="672">
        <v>6.4</v>
      </c>
      <c r="P293" s="668">
        <f t="shared" si="34"/>
        <v>0</v>
      </c>
    </row>
    <row r="294" spans="1:19" ht="45.75" customHeight="1">
      <c r="A294" s="985">
        <v>47</v>
      </c>
      <c r="B294" s="986">
        <f t="shared" si="28"/>
        <v>4</v>
      </c>
      <c r="C294" s="987" t="s">
        <v>1548</v>
      </c>
      <c r="D294" s="990">
        <f>ROUND(Data!K1682,2)</f>
        <v>95</v>
      </c>
      <c r="E294" s="987" t="s">
        <v>522</v>
      </c>
      <c r="F294" s="987">
        <f t="shared" si="30"/>
        <v>380</v>
      </c>
      <c r="G294" s="989">
        <f>Detailed!H818</f>
        <v>4</v>
      </c>
      <c r="H294" s="666">
        <f t="shared" si="31"/>
        <v>380</v>
      </c>
      <c r="I294" s="666"/>
      <c r="J294" s="666"/>
      <c r="K294" s="666">
        <f t="shared" si="32"/>
        <v>0</v>
      </c>
      <c r="L294" s="666"/>
      <c r="M294" s="665">
        <f t="shared" si="33"/>
        <v>4</v>
      </c>
      <c r="N294" s="666">
        <f t="shared" si="29"/>
        <v>380</v>
      </c>
      <c r="O294" s="672">
        <v>4</v>
      </c>
      <c r="P294" s="668">
        <f t="shared" si="34"/>
        <v>0</v>
      </c>
    </row>
    <row r="295" spans="1:19" ht="45.75" customHeight="1">
      <c r="A295" s="985">
        <v>48</v>
      </c>
      <c r="B295" s="986">
        <f t="shared" si="28"/>
        <v>8</v>
      </c>
      <c r="C295" s="987" t="s">
        <v>1549</v>
      </c>
      <c r="D295" s="990">
        <f>ROUND(Data!K1690,2)</f>
        <v>55</v>
      </c>
      <c r="E295" s="987" t="s">
        <v>522</v>
      </c>
      <c r="F295" s="987">
        <f t="shared" si="30"/>
        <v>440</v>
      </c>
      <c r="G295" s="989">
        <f>Detailed!H826</f>
        <v>8</v>
      </c>
      <c r="H295" s="666">
        <f t="shared" si="31"/>
        <v>440</v>
      </c>
      <c r="I295" s="666"/>
      <c r="J295" s="666"/>
      <c r="K295" s="666">
        <f t="shared" si="32"/>
        <v>0</v>
      </c>
      <c r="L295" s="666"/>
      <c r="M295" s="665">
        <f t="shared" si="33"/>
        <v>8</v>
      </c>
      <c r="N295" s="666">
        <f t="shared" si="29"/>
        <v>440</v>
      </c>
      <c r="O295" s="672">
        <v>8</v>
      </c>
      <c r="P295" s="668">
        <f t="shared" si="34"/>
        <v>0</v>
      </c>
    </row>
    <row r="296" spans="1:19" ht="45.75" customHeight="1">
      <c r="A296" s="985">
        <v>49</v>
      </c>
      <c r="B296" s="986">
        <f t="shared" si="28"/>
        <v>44</v>
      </c>
      <c r="C296" s="987" t="s">
        <v>1550</v>
      </c>
      <c r="D296" s="990">
        <f>ROUND(Data!K1697,2)</f>
        <v>1.5</v>
      </c>
      <c r="E296" s="987" t="s">
        <v>522</v>
      </c>
      <c r="F296" s="987">
        <f t="shared" si="30"/>
        <v>66</v>
      </c>
      <c r="G296" s="989">
        <f>Detailed!H828</f>
        <v>44</v>
      </c>
      <c r="H296" s="666">
        <f t="shared" si="31"/>
        <v>66</v>
      </c>
      <c r="I296" s="666"/>
      <c r="J296" s="666"/>
      <c r="K296" s="666">
        <f t="shared" si="32"/>
        <v>0</v>
      </c>
      <c r="L296" s="666"/>
      <c r="M296" s="665">
        <f t="shared" si="33"/>
        <v>44</v>
      </c>
      <c r="N296" s="666">
        <f t="shared" si="29"/>
        <v>66</v>
      </c>
      <c r="O296" s="672">
        <v>44</v>
      </c>
      <c r="P296" s="668">
        <f t="shared" si="34"/>
        <v>0</v>
      </c>
    </row>
    <row r="297" spans="1:19" s="677" customFormat="1" ht="25.5" hidden="1" customHeight="1">
      <c r="A297" s="985">
        <v>50.1</v>
      </c>
      <c r="B297" s="986">
        <f t="shared" si="28"/>
        <v>0</v>
      </c>
      <c r="C297" s="987" t="s">
        <v>1551</v>
      </c>
      <c r="D297" s="993"/>
      <c r="E297" s="992" t="s">
        <v>264</v>
      </c>
      <c r="F297" s="987">
        <f t="shared" si="30"/>
        <v>0</v>
      </c>
      <c r="G297" s="994"/>
      <c r="H297" s="666">
        <f t="shared" si="31"/>
        <v>0</v>
      </c>
      <c r="I297" s="666"/>
      <c r="J297" s="666"/>
      <c r="K297" s="666">
        <f t="shared" si="32"/>
        <v>0</v>
      </c>
      <c r="L297" s="666"/>
      <c r="M297" s="665">
        <f t="shared" si="33"/>
        <v>0</v>
      </c>
      <c r="N297" s="666">
        <f t="shared" si="29"/>
        <v>0</v>
      </c>
      <c r="O297" s="672">
        <v>0</v>
      </c>
      <c r="P297" s="668">
        <f t="shared" si="34"/>
        <v>0</v>
      </c>
      <c r="Q297" s="676"/>
      <c r="R297" s="676"/>
    </row>
    <row r="298" spans="1:19" ht="49.5" customHeight="1">
      <c r="A298" s="985">
        <v>50.3</v>
      </c>
      <c r="B298" s="986">
        <f t="shared" si="28"/>
        <v>5</v>
      </c>
      <c r="C298" s="987" t="s">
        <v>1552</v>
      </c>
      <c r="D298" s="990">
        <f>ROUND(Data!K1762,2)</f>
        <v>386.45</v>
      </c>
      <c r="E298" s="987" t="s">
        <v>522</v>
      </c>
      <c r="F298" s="987">
        <f t="shared" si="30"/>
        <v>1932.25</v>
      </c>
      <c r="G298" s="989">
        <f>Detailed!H830</f>
        <v>5</v>
      </c>
      <c r="H298" s="666">
        <f t="shared" si="31"/>
        <v>1932.25</v>
      </c>
      <c r="I298" s="666"/>
      <c r="J298" s="666"/>
      <c r="K298" s="666">
        <f t="shared" si="32"/>
        <v>0</v>
      </c>
      <c r="L298" s="666"/>
      <c r="M298" s="665">
        <f t="shared" si="33"/>
        <v>5</v>
      </c>
      <c r="N298" s="666">
        <f t="shared" si="29"/>
        <v>1932.25</v>
      </c>
      <c r="O298" s="672">
        <v>5</v>
      </c>
      <c r="P298" s="668">
        <f t="shared" si="34"/>
        <v>0</v>
      </c>
    </row>
    <row r="299" spans="1:19" ht="43.5" customHeight="1">
      <c r="A299" s="985">
        <v>50.4</v>
      </c>
      <c r="B299" s="986">
        <f t="shared" si="28"/>
        <v>5</v>
      </c>
      <c r="C299" s="987" t="s">
        <v>1553</v>
      </c>
      <c r="D299" s="990">
        <f>ROUND(Data!K1775,2)</f>
        <v>812.3</v>
      </c>
      <c r="E299" s="987" t="s">
        <v>522</v>
      </c>
      <c r="F299" s="987">
        <f t="shared" si="30"/>
        <v>4061.5</v>
      </c>
      <c r="G299" s="989">
        <f>Detailed!H832</f>
        <v>5</v>
      </c>
      <c r="H299" s="666">
        <f t="shared" si="31"/>
        <v>4061.5</v>
      </c>
      <c r="I299" s="666"/>
      <c r="J299" s="666"/>
      <c r="K299" s="666">
        <f t="shared" si="32"/>
        <v>0</v>
      </c>
      <c r="L299" s="666"/>
      <c r="M299" s="665">
        <f t="shared" si="33"/>
        <v>5</v>
      </c>
      <c r="N299" s="666">
        <f t="shared" si="29"/>
        <v>4061.5</v>
      </c>
      <c r="O299" s="672">
        <v>5</v>
      </c>
      <c r="P299" s="668">
        <f t="shared" si="34"/>
        <v>0</v>
      </c>
    </row>
    <row r="300" spans="1:19" ht="62.25" customHeight="1">
      <c r="A300" s="985">
        <v>50.5</v>
      </c>
      <c r="B300" s="986">
        <f t="shared" si="28"/>
        <v>1</v>
      </c>
      <c r="C300" s="987" t="s">
        <v>967</v>
      </c>
      <c r="D300" s="990">
        <f>ROUND(Data!K1790,2)</f>
        <v>17425.669999999998</v>
      </c>
      <c r="E300" s="987" t="s">
        <v>522</v>
      </c>
      <c r="F300" s="987">
        <f t="shared" si="30"/>
        <v>17425.669999999998</v>
      </c>
      <c r="G300" s="989">
        <f>Detailed!H835</f>
        <v>1</v>
      </c>
      <c r="H300" s="666">
        <f t="shared" si="31"/>
        <v>17425.669999999998</v>
      </c>
      <c r="I300" s="666"/>
      <c r="J300" s="666"/>
      <c r="K300" s="666">
        <f t="shared" si="32"/>
        <v>0</v>
      </c>
      <c r="L300" s="666"/>
      <c r="M300" s="665">
        <f t="shared" si="33"/>
        <v>1</v>
      </c>
      <c r="N300" s="666">
        <f t="shared" si="29"/>
        <v>17425.669999999998</v>
      </c>
      <c r="O300" s="672">
        <v>1</v>
      </c>
      <c r="P300" s="668">
        <f t="shared" si="34"/>
        <v>0</v>
      </c>
    </row>
    <row r="301" spans="1:19" s="677" customFormat="1" ht="53.25" hidden="1" customHeight="1">
      <c r="A301" s="985">
        <v>51</v>
      </c>
      <c r="B301" s="986">
        <f t="shared" si="28"/>
        <v>0</v>
      </c>
      <c r="C301" s="987" t="s">
        <v>1554</v>
      </c>
      <c r="D301" s="993">
        <f>ROUND(Data!K1796,2)</f>
        <v>6720</v>
      </c>
      <c r="E301" s="992" t="s">
        <v>522</v>
      </c>
      <c r="F301" s="987">
        <f t="shared" si="30"/>
        <v>0</v>
      </c>
      <c r="G301" s="994"/>
      <c r="H301" s="666">
        <f t="shared" si="31"/>
        <v>0</v>
      </c>
      <c r="I301" s="666"/>
      <c r="J301" s="666"/>
      <c r="K301" s="666">
        <f t="shared" si="32"/>
        <v>0</v>
      </c>
      <c r="L301" s="666"/>
      <c r="M301" s="665">
        <f t="shared" si="33"/>
        <v>0</v>
      </c>
      <c r="N301" s="666">
        <f t="shared" si="29"/>
        <v>0</v>
      </c>
      <c r="O301" s="672">
        <v>0</v>
      </c>
      <c r="P301" s="668">
        <f t="shared" si="34"/>
        <v>0</v>
      </c>
      <c r="Q301" s="676"/>
      <c r="R301" s="676"/>
    </row>
    <row r="302" spans="1:19" s="683" customFormat="1" ht="43.5" customHeight="1">
      <c r="A302" s="985">
        <v>52</v>
      </c>
      <c r="B302" s="986">
        <f t="shared" si="28"/>
        <v>0</v>
      </c>
      <c r="C302" s="995" t="s">
        <v>1555</v>
      </c>
      <c r="D302" s="990"/>
      <c r="E302" s="987"/>
      <c r="F302" s="987">
        <f t="shared" si="30"/>
        <v>0</v>
      </c>
      <c r="G302" s="989"/>
      <c r="H302" s="666">
        <f t="shared" si="31"/>
        <v>0</v>
      </c>
      <c r="I302" s="666"/>
      <c r="J302" s="666"/>
      <c r="K302" s="666">
        <f t="shared" si="32"/>
        <v>0</v>
      </c>
      <c r="L302" s="666"/>
      <c r="M302" s="665">
        <f t="shared" si="33"/>
        <v>0</v>
      </c>
      <c r="N302" s="666">
        <f t="shared" si="29"/>
        <v>0</v>
      </c>
      <c r="O302" s="668">
        <v>0</v>
      </c>
      <c r="P302" s="668">
        <f t="shared" si="34"/>
        <v>0</v>
      </c>
      <c r="Q302" s="678"/>
      <c r="R302" s="669"/>
      <c r="S302" s="679"/>
    </row>
    <row r="303" spans="1:19" s="683" customFormat="1" ht="43.5" customHeight="1">
      <c r="A303" s="986"/>
      <c r="B303" s="986">
        <f t="shared" si="28"/>
        <v>45</v>
      </c>
      <c r="C303" s="987" t="s">
        <v>1556</v>
      </c>
      <c r="D303" s="990">
        <f>ROUND(Data!K1890,2)</f>
        <v>225.97</v>
      </c>
      <c r="E303" s="987" t="s">
        <v>61</v>
      </c>
      <c r="F303" s="987">
        <f t="shared" si="30"/>
        <v>10168.65</v>
      </c>
      <c r="G303" s="989">
        <f>Detailed!H840</f>
        <v>45</v>
      </c>
      <c r="H303" s="666">
        <f t="shared" si="31"/>
        <v>10168.65</v>
      </c>
      <c r="I303" s="666"/>
      <c r="J303" s="666"/>
      <c r="K303" s="666">
        <f t="shared" si="32"/>
        <v>0</v>
      </c>
      <c r="L303" s="666"/>
      <c r="M303" s="665">
        <f t="shared" si="33"/>
        <v>45</v>
      </c>
      <c r="N303" s="666">
        <f t="shared" si="29"/>
        <v>10168.65</v>
      </c>
      <c r="O303" s="672">
        <v>45</v>
      </c>
      <c r="P303" s="668">
        <f t="shared" si="34"/>
        <v>0</v>
      </c>
      <c r="Q303" s="669"/>
      <c r="R303" s="669"/>
    </row>
    <row r="304" spans="1:19" s="683" customFormat="1" ht="43.5" customHeight="1">
      <c r="A304" s="986"/>
      <c r="B304" s="986">
        <f t="shared" si="28"/>
        <v>149</v>
      </c>
      <c r="C304" s="987" t="s">
        <v>1557</v>
      </c>
      <c r="D304" s="990">
        <f>ROUND(Data!K1882,2)</f>
        <v>208.73</v>
      </c>
      <c r="E304" s="987" t="s">
        <v>61</v>
      </c>
      <c r="F304" s="987">
        <f t="shared" si="30"/>
        <v>31100.769999999997</v>
      </c>
      <c r="G304" s="989">
        <f>Detailed!H847</f>
        <v>149</v>
      </c>
      <c r="H304" s="666">
        <f t="shared" si="31"/>
        <v>31100.769999999997</v>
      </c>
      <c r="I304" s="666"/>
      <c r="J304" s="666"/>
      <c r="K304" s="666">
        <f t="shared" si="32"/>
        <v>0</v>
      </c>
      <c r="L304" s="666"/>
      <c r="M304" s="665">
        <f t="shared" si="33"/>
        <v>149</v>
      </c>
      <c r="N304" s="666">
        <f t="shared" si="29"/>
        <v>31100.769999999997</v>
      </c>
      <c r="O304" s="672">
        <v>149</v>
      </c>
      <c r="P304" s="668">
        <f t="shared" si="34"/>
        <v>0</v>
      </c>
      <c r="Q304" s="669"/>
      <c r="R304" s="669"/>
    </row>
    <row r="305" spans="1:18" s="677" customFormat="1" ht="41.25" hidden="1" customHeight="1">
      <c r="A305" s="1000"/>
      <c r="B305" s="986">
        <f t="shared" si="28"/>
        <v>0</v>
      </c>
      <c r="C305" s="987" t="s">
        <v>1558</v>
      </c>
      <c r="D305" s="993">
        <f>ROUND(Data!K1874,2)</f>
        <v>203.95</v>
      </c>
      <c r="E305" s="992" t="s">
        <v>61</v>
      </c>
      <c r="F305" s="987">
        <f t="shared" si="30"/>
        <v>0</v>
      </c>
      <c r="G305" s="994"/>
      <c r="H305" s="666">
        <f t="shared" si="31"/>
        <v>0</v>
      </c>
      <c r="I305" s="666"/>
      <c r="J305" s="666"/>
      <c r="K305" s="666">
        <f t="shared" si="32"/>
        <v>0</v>
      </c>
      <c r="L305" s="666"/>
      <c r="M305" s="665">
        <f t="shared" si="33"/>
        <v>0</v>
      </c>
      <c r="N305" s="666">
        <f t="shared" si="29"/>
        <v>0</v>
      </c>
      <c r="O305" s="672">
        <v>0</v>
      </c>
      <c r="P305" s="668">
        <f t="shared" si="34"/>
        <v>0</v>
      </c>
      <c r="Q305" s="676"/>
      <c r="R305" s="676"/>
    </row>
    <row r="306" spans="1:18" ht="60" hidden="1" customHeight="1">
      <c r="A306" s="985">
        <v>52.1</v>
      </c>
      <c r="B306" s="986">
        <f t="shared" si="28"/>
        <v>0</v>
      </c>
      <c r="C306" s="987" t="s">
        <v>1559</v>
      </c>
      <c r="D306" s="990">
        <f>ROUND(Data!K1927,2)</f>
        <v>286.08</v>
      </c>
      <c r="E306" s="987" t="s">
        <v>61</v>
      </c>
      <c r="F306" s="987">
        <f t="shared" si="30"/>
        <v>0</v>
      </c>
      <c r="G306" s="989"/>
      <c r="H306" s="666">
        <f t="shared" si="31"/>
        <v>0</v>
      </c>
      <c r="I306" s="666"/>
      <c r="J306" s="666"/>
      <c r="K306" s="666">
        <f t="shared" si="32"/>
        <v>0</v>
      </c>
      <c r="L306" s="666"/>
      <c r="M306" s="665">
        <f t="shared" si="33"/>
        <v>0</v>
      </c>
      <c r="N306" s="666">
        <f t="shared" si="29"/>
        <v>0</v>
      </c>
      <c r="O306" s="672">
        <v>0</v>
      </c>
      <c r="P306" s="668">
        <f t="shared" si="34"/>
        <v>0</v>
      </c>
    </row>
    <row r="307" spans="1:18" s="677" customFormat="1" ht="56.25" hidden="1" customHeight="1">
      <c r="A307" s="985">
        <v>53.1</v>
      </c>
      <c r="B307" s="986">
        <f t="shared" si="28"/>
        <v>0</v>
      </c>
      <c r="C307" s="987" t="s">
        <v>1142</v>
      </c>
      <c r="D307" s="993">
        <f>ROUND(Data!K1948,2)</f>
        <v>3104.82</v>
      </c>
      <c r="E307" s="992" t="s">
        <v>522</v>
      </c>
      <c r="F307" s="987">
        <f t="shared" si="30"/>
        <v>0</v>
      </c>
      <c r="G307" s="994"/>
      <c r="H307" s="666">
        <f t="shared" si="31"/>
        <v>0</v>
      </c>
      <c r="I307" s="666"/>
      <c r="J307" s="666"/>
      <c r="K307" s="666">
        <f t="shared" si="32"/>
        <v>0</v>
      </c>
      <c r="L307" s="666"/>
      <c r="M307" s="665">
        <f t="shared" si="33"/>
        <v>0</v>
      </c>
      <c r="N307" s="666">
        <f t="shared" si="29"/>
        <v>0</v>
      </c>
      <c r="O307" s="672">
        <v>0</v>
      </c>
      <c r="P307" s="668">
        <f t="shared" si="34"/>
        <v>0</v>
      </c>
      <c r="Q307" s="676"/>
      <c r="R307" s="676"/>
    </row>
    <row r="308" spans="1:18" s="677" customFormat="1" ht="43.5" hidden="1" customHeight="1">
      <c r="A308" s="985">
        <v>53.2</v>
      </c>
      <c r="B308" s="986">
        <f t="shared" si="28"/>
        <v>0</v>
      </c>
      <c r="C308" s="987" t="s">
        <v>1560</v>
      </c>
      <c r="D308" s="993"/>
      <c r="E308" s="992" t="s">
        <v>522</v>
      </c>
      <c r="F308" s="987">
        <f t="shared" si="30"/>
        <v>0</v>
      </c>
      <c r="G308" s="994"/>
      <c r="H308" s="666">
        <f t="shared" si="31"/>
        <v>0</v>
      </c>
      <c r="I308" s="666"/>
      <c r="J308" s="666"/>
      <c r="K308" s="666">
        <f t="shared" si="32"/>
        <v>0</v>
      </c>
      <c r="L308" s="666"/>
      <c r="M308" s="665">
        <f t="shared" si="33"/>
        <v>0</v>
      </c>
      <c r="N308" s="666">
        <f t="shared" si="29"/>
        <v>0</v>
      </c>
      <c r="O308" s="672">
        <v>0</v>
      </c>
      <c r="P308" s="668">
        <f t="shared" si="34"/>
        <v>0</v>
      </c>
      <c r="Q308" s="676"/>
      <c r="R308" s="676"/>
    </row>
    <row r="309" spans="1:18" ht="60.75" hidden="1" customHeight="1">
      <c r="A309" s="985">
        <v>53.3</v>
      </c>
      <c r="B309" s="986">
        <f t="shared" si="28"/>
        <v>0</v>
      </c>
      <c r="C309" s="987" t="s">
        <v>1561</v>
      </c>
      <c r="D309" s="990">
        <f>ROUND(Data!K1952,2)</f>
        <v>30</v>
      </c>
      <c r="E309" s="987" t="s">
        <v>522</v>
      </c>
      <c r="F309" s="987">
        <f t="shared" si="30"/>
        <v>0</v>
      </c>
      <c r="G309" s="989"/>
      <c r="H309" s="666">
        <f t="shared" si="31"/>
        <v>0</v>
      </c>
      <c r="I309" s="666"/>
      <c r="J309" s="666"/>
      <c r="K309" s="666">
        <f t="shared" si="32"/>
        <v>0</v>
      </c>
      <c r="L309" s="666"/>
      <c r="M309" s="665">
        <f t="shared" si="33"/>
        <v>0</v>
      </c>
      <c r="N309" s="666">
        <f t="shared" si="29"/>
        <v>0</v>
      </c>
      <c r="O309" s="672">
        <v>0</v>
      </c>
      <c r="P309" s="668">
        <f t="shared" si="34"/>
        <v>0</v>
      </c>
    </row>
    <row r="310" spans="1:18" s="677" customFormat="1" ht="25.5" hidden="1" customHeight="1">
      <c r="A310" s="1010">
        <v>54</v>
      </c>
      <c r="B310" s="986">
        <f t="shared" si="28"/>
        <v>0</v>
      </c>
      <c r="C310" s="987" t="s">
        <v>1562</v>
      </c>
      <c r="D310" s="993">
        <f>ROUND(Data!K1954,2)</f>
        <v>204</v>
      </c>
      <c r="E310" s="992" t="s">
        <v>522</v>
      </c>
      <c r="F310" s="987">
        <f t="shared" si="30"/>
        <v>0</v>
      </c>
      <c r="G310" s="994"/>
      <c r="H310" s="666">
        <f t="shared" si="31"/>
        <v>0</v>
      </c>
      <c r="I310" s="666"/>
      <c r="J310" s="666"/>
      <c r="K310" s="666">
        <f t="shared" si="32"/>
        <v>0</v>
      </c>
      <c r="L310" s="666"/>
      <c r="M310" s="665">
        <f t="shared" si="33"/>
        <v>0</v>
      </c>
      <c r="N310" s="666">
        <f t="shared" si="29"/>
        <v>0</v>
      </c>
      <c r="O310" s="672">
        <v>0</v>
      </c>
      <c r="P310" s="668">
        <f t="shared" si="34"/>
        <v>0</v>
      </c>
      <c r="Q310" s="676"/>
      <c r="R310" s="676"/>
    </row>
    <row r="311" spans="1:18" s="677" customFormat="1" ht="36.75" hidden="1" customHeight="1">
      <c r="A311" s="985">
        <v>54.1</v>
      </c>
      <c r="B311" s="986">
        <f t="shared" si="28"/>
        <v>0</v>
      </c>
      <c r="C311" s="987" t="s">
        <v>1563</v>
      </c>
      <c r="D311" s="993">
        <f>ROUND(Data!K1957,2)</f>
        <v>300</v>
      </c>
      <c r="E311" s="992" t="s">
        <v>522</v>
      </c>
      <c r="F311" s="987">
        <f t="shared" si="30"/>
        <v>0</v>
      </c>
      <c r="G311" s="994"/>
      <c r="H311" s="666">
        <f t="shared" si="31"/>
        <v>0</v>
      </c>
      <c r="I311" s="666"/>
      <c r="J311" s="666"/>
      <c r="K311" s="666">
        <f t="shared" si="32"/>
        <v>0</v>
      </c>
      <c r="L311" s="666"/>
      <c r="M311" s="665">
        <f t="shared" si="33"/>
        <v>0</v>
      </c>
      <c r="N311" s="666">
        <f t="shared" si="29"/>
        <v>0</v>
      </c>
      <c r="O311" s="672">
        <v>0</v>
      </c>
      <c r="P311" s="668">
        <f t="shared" si="34"/>
        <v>0</v>
      </c>
      <c r="Q311" s="676"/>
      <c r="R311" s="676"/>
    </row>
    <row r="312" spans="1:18" s="677" customFormat="1" ht="36.75" hidden="1" customHeight="1">
      <c r="A312" s="985">
        <v>54.2</v>
      </c>
      <c r="B312" s="986">
        <f t="shared" si="28"/>
        <v>0</v>
      </c>
      <c r="C312" s="987" t="s">
        <v>1564</v>
      </c>
      <c r="D312" s="993">
        <f>ROUND(Data!K1960,2)</f>
        <v>250</v>
      </c>
      <c r="E312" s="992" t="s">
        <v>522</v>
      </c>
      <c r="F312" s="987">
        <f t="shared" si="30"/>
        <v>0</v>
      </c>
      <c r="G312" s="994"/>
      <c r="H312" s="666">
        <f t="shared" si="31"/>
        <v>0</v>
      </c>
      <c r="I312" s="666"/>
      <c r="J312" s="666"/>
      <c r="K312" s="666">
        <f t="shared" si="32"/>
        <v>0</v>
      </c>
      <c r="L312" s="666"/>
      <c r="M312" s="665">
        <f t="shared" si="33"/>
        <v>0</v>
      </c>
      <c r="N312" s="666">
        <f t="shared" si="29"/>
        <v>0</v>
      </c>
      <c r="O312" s="672">
        <v>0</v>
      </c>
      <c r="P312" s="668">
        <f t="shared" si="34"/>
        <v>0</v>
      </c>
      <c r="Q312" s="676"/>
      <c r="R312" s="676"/>
    </row>
    <row r="313" spans="1:18" s="677" customFormat="1" ht="25.5" hidden="1" customHeight="1">
      <c r="A313" s="985">
        <v>55.1</v>
      </c>
      <c r="B313" s="986">
        <f t="shared" si="28"/>
        <v>0</v>
      </c>
      <c r="C313" s="987" t="s">
        <v>1565</v>
      </c>
      <c r="D313" s="993">
        <f>Data!K2403</f>
        <v>822.61</v>
      </c>
      <c r="E313" s="992" t="s">
        <v>522</v>
      </c>
      <c r="F313" s="987">
        <f t="shared" si="30"/>
        <v>0</v>
      </c>
      <c r="G313" s="994"/>
      <c r="H313" s="666">
        <f t="shared" si="31"/>
        <v>0</v>
      </c>
      <c r="I313" s="666"/>
      <c r="J313" s="666"/>
      <c r="K313" s="666">
        <f t="shared" si="32"/>
        <v>0</v>
      </c>
      <c r="L313" s="666"/>
      <c r="M313" s="665">
        <f t="shared" si="33"/>
        <v>0</v>
      </c>
      <c r="N313" s="666">
        <f t="shared" si="29"/>
        <v>0</v>
      </c>
      <c r="O313" s="672">
        <v>0</v>
      </c>
      <c r="P313" s="668">
        <f t="shared" si="34"/>
        <v>0</v>
      </c>
      <c r="Q313" s="676"/>
      <c r="R313" s="676"/>
    </row>
    <row r="314" spans="1:18" s="677" customFormat="1" ht="45.75" hidden="1" customHeight="1">
      <c r="A314" s="985">
        <v>55.2</v>
      </c>
      <c r="B314" s="986">
        <f t="shared" si="28"/>
        <v>0</v>
      </c>
      <c r="C314" s="987" t="s">
        <v>1566</v>
      </c>
      <c r="D314" s="993">
        <f>Data!K2415</f>
        <v>2016.25</v>
      </c>
      <c r="E314" s="992" t="s">
        <v>522</v>
      </c>
      <c r="F314" s="987">
        <f t="shared" si="30"/>
        <v>0</v>
      </c>
      <c r="G314" s="994"/>
      <c r="H314" s="666">
        <f t="shared" si="31"/>
        <v>0</v>
      </c>
      <c r="I314" s="666"/>
      <c r="J314" s="666"/>
      <c r="K314" s="666">
        <f t="shared" si="32"/>
        <v>0</v>
      </c>
      <c r="L314" s="666"/>
      <c r="M314" s="665">
        <f t="shared" si="33"/>
        <v>0</v>
      </c>
      <c r="N314" s="666">
        <f t="shared" si="29"/>
        <v>0</v>
      </c>
      <c r="O314" s="672">
        <v>0</v>
      </c>
      <c r="P314" s="668">
        <f t="shared" si="34"/>
        <v>0</v>
      </c>
      <c r="Q314" s="676"/>
      <c r="R314" s="676"/>
    </row>
    <row r="315" spans="1:18" s="677" customFormat="1" ht="25.5" hidden="1" customHeight="1">
      <c r="A315" s="985">
        <v>56.1</v>
      </c>
      <c r="B315" s="986">
        <f t="shared" si="28"/>
        <v>0</v>
      </c>
      <c r="C315" s="987" t="s">
        <v>1567</v>
      </c>
      <c r="D315" s="993">
        <f>ROUND(Data!K1977,2)</f>
        <v>3085.18</v>
      </c>
      <c r="E315" s="992" t="s">
        <v>522</v>
      </c>
      <c r="F315" s="987">
        <f t="shared" si="30"/>
        <v>0</v>
      </c>
      <c r="G315" s="994"/>
      <c r="H315" s="666">
        <f t="shared" si="31"/>
        <v>0</v>
      </c>
      <c r="I315" s="666"/>
      <c r="J315" s="666"/>
      <c r="K315" s="666">
        <f t="shared" si="32"/>
        <v>0</v>
      </c>
      <c r="L315" s="666"/>
      <c r="M315" s="665">
        <f t="shared" si="33"/>
        <v>0</v>
      </c>
      <c r="N315" s="666">
        <f t="shared" si="29"/>
        <v>0</v>
      </c>
      <c r="O315" s="672">
        <v>0</v>
      </c>
      <c r="P315" s="668">
        <f t="shared" si="34"/>
        <v>0</v>
      </c>
      <c r="Q315" s="676"/>
      <c r="R315" s="676"/>
    </row>
    <row r="316" spans="1:18" s="677" customFormat="1" ht="25.5" hidden="1" customHeight="1">
      <c r="A316" s="985">
        <v>56.2</v>
      </c>
      <c r="B316" s="986">
        <f t="shared" si="28"/>
        <v>0</v>
      </c>
      <c r="C316" s="987" t="s">
        <v>1568</v>
      </c>
      <c r="D316" s="993">
        <f>ROUND(Data!K1998,2)</f>
        <v>4869.57</v>
      </c>
      <c r="E316" s="992" t="s">
        <v>522</v>
      </c>
      <c r="F316" s="987">
        <f t="shared" si="30"/>
        <v>0</v>
      </c>
      <c r="G316" s="994"/>
      <c r="H316" s="666">
        <f t="shared" si="31"/>
        <v>0</v>
      </c>
      <c r="I316" s="666"/>
      <c r="J316" s="666"/>
      <c r="K316" s="666">
        <f t="shared" si="32"/>
        <v>0</v>
      </c>
      <c r="L316" s="666"/>
      <c r="M316" s="665">
        <f t="shared" si="33"/>
        <v>0</v>
      </c>
      <c r="N316" s="666">
        <f t="shared" si="29"/>
        <v>0</v>
      </c>
      <c r="O316" s="672">
        <v>0</v>
      </c>
      <c r="P316" s="668">
        <f t="shared" si="34"/>
        <v>0</v>
      </c>
      <c r="Q316" s="676"/>
      <c r="R316" s="676"/>
    </row>
    <row r="317" spans="1:18" s="677" customFormat="1" ht="41.25" hidden="1" customHeight="1">
      <c r="A317" s="1010">
        <v>57</v>
      </c>
      <c r="B317" s="986">
        <f t="shared" si="28"/>
        <v>0</v>
      </c>
      <c r="C317" s="987" t="s">
        <v>1569</v>
      </c>
      <c r="D317" s="993">
        <f>ROUND(Data!K2015,2)</f>
        <v>6531.2</v>
      </c>
      <c r="E317" s="992" t="s">
        <v>522</v>
      </c>
      <c r="F317" s="987">
        <f t="shared" si="30"/>
        <v>0</v>
      </c>
      <c r="G317" s="994"/>
      <c r="H317" s="666">
        <f t="shared" si="31"/>
        <v>0</v>
      </c>
      <c r="I317" s="666"/>
      <c r="J317" s="666"/>
      <c r="K317" s="666">
        <f t="shared" si="32"/>
        <v>0</v>
      </c>
      <c r="L317" s="666"/>
      <c r="M317" s="665">
        <f t="shared" si="33"/>
        <v>0</v>
      </c>
      <c r="N317" s="666">
        <f t="shared" si="29"/>
        <v>0</v>
      </c>
      <c r="O317" s="672">
        <v>0</v>
      </c>
      <c r="P317" s="668">
        <f t="shared" si="34"/>
        <v>0</v>
      </c>
      <c r="Q317" s="676"/>
      <c r="R317" s="676"/>
    </row>
    <row r="318" spans="1:18" s="677" customFormat="1" ht="45.75" hidden="1" customHeight="1">
      <c r="A318" s="985">
        <v>57.1</v>
      </c>
      <c r="B318" s="986">
        <f t="shared" si="28"/>
        <v>0</v>
      </c>
      <c r="C318" s="987" t="s">
        <v>1570</v>
      </c>
      <c r="D318" s="993">
        <f>ROUND(Data!K2034,2)</f>
        <v>6891.2</v>
      </c>
      <c r="E318" s="992" t="s">
        <v>522</v>
      </c>
      <c r="F318" s="987">
        <f t="shared" si="30"/>
        <v>0</v>
      </c>
      <c r="G318" s="994"/>
      <c r="H318" s="666">
        <f t="shared" si="31"/>
        <v>0</v>
      </c>
      <c r="I318" s="666"/>
      <c r="J318" s="666"/>
      <c r="K318" s="666">
        <f t="shared" si="32"/>
        <v>0</v>
      </c>
      <c r="L318" s="666"/>
      <c r="M318" s="665">
        <f t="shared" si="33"/>
        <v>0</v>
      </c>
      <c r="N318" s="666">
        <f t="shared" si="29"/>
        <v>0</v>
      </c>
      <c r="O318" s="672">
        <v>0</v>
      </c>
      <c r="P318" s="668">
        <f t="shared" si="34"/>
        <v>0</v>
      </c>
      <c r="Q318" s="676"/>
      <c r="R318" s="676"/>
    </row>
    <row r="319" spans="1:18" s="677" customFormat="1" ht="20.100000000000001" hidden="1" customHeight="1">
      <c r="A319" s="985">
        <v>58.1</v>
      </c>
      <c r="B319" s="986">
        <f t="shared" si="28"/>
        <v>0</v>
      </c>
      <c r="C319" s="987" t="s">
        <v>1571</v>
      </c>
      <c r="D319" s="993"/>
      <c r="E319" s="992"/>
      <c r="F319" s="987">
        <f t="shared" si="30"/>
        <v>0</v>
      </c>
      <c r="G319" s="994"/>
      <c r="H319" s="666">
        <f t="shared" si="31"/>
        <v>0</v>
      </c>
      <c r="I319" s="666"/>
      <c r="J319" s="666"/>
      <c r="K319" s="666">
        <f t="shared" si="32"/>
        <v>0</v>
      </c>
      <c r="L319" s="666"/>
      <c r="M319" s="665">
        <f t="shared" si="33"/>
        <v>0</v>
      </c>
      <c r="N319" s="666">
        <f t="shared" si="29"/>
        <v>0</v>
      </c>
      <c r="O319" s="672">
        <v>0</v>
      </c>
      <c r="P319" s="668">
        <f t="shared" si="34"/>
        <v>0</v>
      </c>
      <c r="Q319" s="676"/>
      <c r="R319" s="676"/>
    </row>
    <row r="320" spans="1:18" s="677" customFormat="1" ht="20.100000000000001" hidden="1" customHeight="1">
      <c r="A320" s="986"/>
      <c r="B320" s="986">
        <f t="shared" si="28"/>
        <v>0</v>
      </c>
      <c r="C320" s="987" t="s">
        <v>1572</v>
      </c>
      <c r="D320" s="993">
        <f>ROUND(Data!K2063,2)</f>
        <v>657.29</v>
      </c>
      <c r="E320" s="992" t="s">
        <v>61</v>
      </c>
      <c r="F320" s="987">
        <f t="shared" si="30"/>
        <v>0</v>
      </c>
      <c r="G320" s="994"/>
      <c r="H320" s="666">
        <f t="shared" si="31"/>
        <v>0</v>
      </c>
      <c r="I320" s="666"/>
      <c r="J320" s="666"/>
      <c r="K320" s="666">
        <f t="shared" si="32"/>
        <v>0</v>
      </c>
      <c r="L320" s="666"/>
      <c r="M320" s="665">
        <f t="shared" si="33"/>
        <v>0</v>
      </c>
      <c r="N320" s="666">
        <f t="shared" si="29"/>
        <v>0</v>
      </c>
      <c r="O320" s="672">
        <v>0</v>
      </c>
      <c r="P320" s="668">
        <f t="shared" si="34"/>
        <v>0</v>
      </c>
      <c r="Q320" s="676"/>
      <c r="R320" s="676"/>
    </row>
    <row r="321" spans="1:18" s="677" customFormat="1" ht="20.100000000000001" hidden="1" customHeight="1">
      <c r="A321" s="1000"/>
      <c r="B321" s="986">
        <f t="shared" si="28"/>
        <v>0</v>
      </c>
      <c r="C321" s="987" t="s">
        <v>1573</v>
      </c>
      <c r="D321" s="993">
        <f>ROUND(Data!K2087,2)</f>
        <v>541.41999999999996</v>
      </c>
      <c r="E321" s="992" t="s">
        <v>61</v>
      </c>
      <c r="F321" s="987">
        <f t="shared" si="30"/>
        <v>0</v>
      </c>
      <c r="G321" s="994"/>
      <c r="H321" s="666">
        <f t="shared" si="31"/>
        <v>0</v>
      </c>
      <c r="I321" s="666"/>
      <c r="J321" s="666"/>
      <c r="K321" s="666">
        <f t="shared" si="32"/>
        <v>0</v>
      </c>
      <c r="L321" s="666"/>
      <c r="M321" s="665">
        <f t="shared" si="33"/>
        <v>0</v>
      </c>
      <c r="N321" s="666">
        <f t="shared" si="29"/>
        <v>0</v>
      </c>
      <c r="O321" s="672">
        <v>0</v>
      </c>
      <c r="P321" s="668">
        <f t="shared" si="34"/>
        <v>0</v>
      </c>
      <c r="Q321" s="676"/>
      <c r="R321" s="676"/>
    </row>
    <row r="322" spans="1:18" s="677" customFormat="1" ht="20.100000000000001" hidden="1" customHeight="1">
      <c r="A322" s="985">
        <v>58.2</v>
      </c>
      <c r="B322" s="986">
        <f t="shared" si="28"/>
        <v>0</v>
      </c>
      <c r="C322" s="987" t="s">
        <v>1574</v>
      </c>
      <c r="D322" s="993">
        <f>ROUND(Data!K2098,2)</f>
        <v>450.1</v>
      </c>
      <c r="E322" s="992" t="s">
        <v>522</v>
      </c>
      <c r="F322" s="987">
        <f t="shared" si="30"/>
        <v>0</v>
      </c>
      <c r="G322" s="994"/>
      <c r="H322" s="666">
        <f t="shared" si="31"/>
        <v>0</v>
      </c>
      <c r="I322" s="666"/>
      <c r="J322" s="666"/>
      <c r="K322" s="666">
        <f t="shared" si="32"/>
        <v>0</v>
      </c>
      <c r="L322" s="666"/>
      <c r="M322" s="665">
        <f t="shared" si="33"/>
        <v>0</v>
      </c>
      <c r="N322" s="666">
        <f t="shared" si="29"/>
        <v>0</v>
      </c>
      <c r="O322" s="672">
        <v>0</v>
      </c>
      <c r="P322" s="668">
        <f t="shared" si="34"/>
        <v>0</v>
      </c>
      <c r="Q322" s="676"/>
      <c r="R322" s="676"/>
    </row>
    <row r="323" spans="1:18" s="677" customFormat="1" ht="39.950000000000003" hidden="1" customHeight="1">
      <c r="A323" s="985">
        <v>59.1</v>
      </c>
      <c r="B323" s="986">
        <f t="shared" si="28"/>
        <v>0</v>
      </c>
      <c r="C323" s="987" t="s">
        <v>1575</v>
      </c>
      <c r="D323" s="993"/>
      <c r="E323" s="992" t="s">
        <v>522</v>
      </c>
      <c r="F323" s="987">
        <f t="shared" si="30"/>
        <v>0</v>
      </c>
      <c r="G323" s="994"/>
      <c r="H323" s="666">
        <f t="shared" si="31"/>
        <v>0</v>
      </c>
      <c r="I323" s="666"/>
      <c r="J323" s="666"/>
      <c r="K323" s="666">
        <f t="shared" si="32"/>
        <v>0</v>
      </c>
      <c r="L323" s="666"/>
      <c r="M323" s="665">
        <f t="shared" si="33"/>
        <v>0</v>
      </c>
      <c r="N323" s="666">
        <f t="shared" si="29"/>
        <v>0</v>
      </c>
      <c r="O323" s="672">
        <v>0</v>
      </c>
      <c r="P323" s="668">
        <f t="shared" si="34"/>
        <v>0</v>
      </c>
      <c r="Q323" s="676"/>
      <c r="R323" s="676"/>
    </row>
    <row r="324" spans="1:18" s="677" customFormat="1" ht="60.75" hidden="1" customHeight="1">
      <c r="A324" s="985">
        <v>59.2</v>
      </c>
      <c r="B324" s="986">
        <f t="shared" si="28"/>
        <v>0</v>
      </c>
      <c r="C324" s="987" t="s">
        <v>1576</v>
      </c>
      <c r="D324" s="993">
        <f>ROUND(Data!K2111,2)</f>
        <v>1762.77</v>
      </c>
      <c r="E324" s="992" t="s">
        <v>522</v>
      </c>
      <c r="F324" s="987">
        <f t="shared" si="30"/>
        <v>0</v>
      </c>
      <c r="G324" s="994"/>
      <c r="H324" s="666">
        <f t="shared" si="31"/>
        <v>0</v>
      </c>
      <c r="I324" s="666"/>
      <c r="J324" s="666"/>
      <c r="K324" s="666">
        <f t="shared" si="32"/>
        <v>0</v>
      </c>
      <c r="L324" s="666"/>
      <c r="M324" s="665">
        <f t="shared" si="33"/>
        <v>0</v>
      </c>
      <c r="N324" s="666">
        <f t="shared" si="29"/>
        <v>0</v>
      </c>
      <c r="O324" s="672">
        <v>0</v>
      </c>
      <c r="P324" s="668">
        <f t="shared" si="34"/>
        <v>0</v>
      </c>
      <c r="Q324" s="676"/>
      <c r="R324" s="676"/>
    </row>
    <row r="325" spans="1:18" s="677" customFormat="1" ht="39.950000000000003" hidden="1" customHeight="1">
      <c r="A325" s="985">
        <v>59.3</v>
      </c>
      <c r="B325" s="986">
        <f t="shared" si="28"/>
        <v>0</v>
      </c>
      <c r="C325" s="987" t="s">
        <v>1577</v>
      </c>
      <c r="D325" s="993"/>
      <c r="E325" s="992" t="s">
        <v>522</v>
      </c>
      <c r="F325" s="987">
        <f t="shared" si="30"/>
        <v>0</v>
      </c>
      <c r="G325" s="994"/>
      <c r="H325" s="666">
        <f t="shared" si="31"/>
        <v>0</v>
      </c>
      <c r="I325" s="666"/>
      <c r="J325" s="666"/>
      <c r="K325" s="666">
        <f t="shared" si="32"/>
        <v>0</v>
      </c>
      <c r="L325" s="666"/>
      <c r="M325" s="665">
        <f t="shared" si="33"/>
        <v>0</v>
      </c>
      <c r="N325" s="666">
        <f t="shared" si="29"/>
        <v>0</v>
      </c>
      <c r="O325" s="672">
        <v>0</v>
      </c>
      <c r="P325" s="668">
        <f t="shared" si="34"/>
        <v>0</v>
      </c>
      <c r="Q325" s="676"/>
      <c r="R325" s="676"/>
    </row>
    <row r="326" spans="1:18" s="677" customFormat="1" ht="39.950000000000003" hidden="1" customHeight="1">
      <c r="A326" s="985">
        <v>59.4</v>
      </c>
      <c r="B326" s="986">
        <f t="shared" si="28"/>
        <v>0</v>
      </c>
      <c r="C326" s="987" t="s">
        <v>1578</v>
      </c>
      <c r="D326" s="993"/>
      <c r="E326" s="992" t="s">
        <v>522</v>
      </c>
      <c r="F326" s="987">
        <f t="shared" si="30"/>
        <v>0</v>
      </c>
      <c r="G326" s="994"/>
      <c r="H326" s="666">
        <f t="shared" si="31"/>
        <v>0</v>
      </c>
      <c r="I326" s="666"/>
      <c r="J326" s="666"/>
      <c r="K326" s="666">
        <f t="shared" si="32"/>
        <v>0</v>
      </c>
      <c r="L326" s="666"/>
      <c r="M326" s="665">
        <f t="shared" si="33"/>
        <v>0</v>
      </c>
      <c r="N326" s="666">
        <f t="shared" si="29"/>
        <v>0</v>
      </c>
      <c r="O326" s="672">
        <v>0</v>
      </c>
      <c r="P326" s="668">
        <f t="shared" si="34"/>
        <v>0</v>
      </c>
      <c r="Q326" s="676"/>
      <c r="R326" s="676"/>
    </row>
    <row r="327" spans="1:18" ht="60" hidden="1" customHeight="1">
      <c r="A327" s="985">
        <v>59.5</v>
      </c>
      <c r="B327" s="986">
        <f t="shared" ref="B327:B390" si="35">M327</f>
        <v>0</v>
      </c>
      <c r="C327" s="987" t="s">
        <v>1579</v>
      </c>
      <c r="D327" s="990">
        <f>Data!K2111</f>
        <v>1762.77385</v>
      </c>
      <c r="E327" s="987" t="s">
        <v>522</v>
      </c>
      <c r="F327" s="987">
        <f t="shared" si="30"/>
        <v>0</v>
      </c>
      <c r="G327" s="989"/>
      <c r="H327" s="666">
        <f t="shared" si="31"/>
        <v>0</v>
      </c>
      <c r="I327" s="666"/>
      <c r="J327" s="666"/>
      <c r="K327" s="666">
        <f t="shared" si="32"/>
        <v>0</v>
      </c>
      <c r="L327" s="666"/>
      <c r="M327" s="665">
        <f t="shared" si="33"/>
        <v>0</v>
      </c>
      <c r="N327" s="666">
        <f t="shared" ref="N327:N390" si="36">M327*D327</f>
        <v>0</v>
      </c>
      <c r="O327" s="672">
        <v>0</v>
      </c>
      <c r="P327" s="668">
        <f t="shared" si="34"/>
        <v>0</v>
      </c>
    </row>
    <row r="328" spans="1:18" s="677" customFormat="1" ht="61.5" hidden="1" customHeight="1">
      <c r="A328" s="985">
        <v>59.6</v>
      </c>
      <c r="B328" s="986">
        <f t="shared" si="35"/>
        <v>0</v>
      </c>
      <c r="C328" s="987" t="s">
        <v>1580</v>
      </c>
      <c r="D328" s="993"/>
      <c r="E328" s="992" t="s">
        <v>522</v>
      </c>
      <c r="F328" s="987">
        <f t="shared" ref="F328:F391" si="37">B328*D328</f>
        <v>0</v>
      </c>
      <c r="G328" s="994"/>
      <c r="H328" s="666">
        <f t="shared" ref="H328:H391" si="38">G328*D328</f>
        <v>0</v>
      </c>
      <c r="I328" s="666"/>
      <c r="J328" s="666"/>
      <c r="K328" s="666">
        <f t="shared" ref="K328:K391" si="39">I328</f>
        <v>0</v>
      </c>
      <c r="L328" s="666"/>
      <c r="M328" s="665">
        <f t="shared" ref="M328:M391" si="40">G328</f>
        <v>0</v>
      </c>
      <c r="N328" s="666">
        <f t="shared" si="36"/>
        <v>0</v>
      </c>
      <c r="O328" s="672">
        <v>0</v>
      </c>
      <c r="P328" s="668">
        <f t="shared" ref="P328:P391" si="41">M328-O328</f>
        <v>0</v>
      </c>
      <c r="Q328" s="676"/>
      <c r="R328" s="676"/>
    </row>
    <row r="329" spans="1:18" ht="39.75" customHeight="1">
      <c r="A329" s="985">
        <v>60</v>
      </c>
      <c r="B329" s="986">
        <f t="shared" si="35"/>
        <v>11</v>
      </c>
      <c r="C329" s="987" t="s">
        <v>1581</v>
      </c>
      <c r="D329" s="990">
        <f>ROUND(Data!K2119,2)</f>
        <v>152.6</v>
      </c>
      <c r="E329" s="987" t="s">
        <v>522</v>
      </c>
      <c r="F329" s="987">
        <f t="shared" si="37"/>
        <v>1678.6</v>
      </c>
      <c r="G329" s="989">
        <f>Detailed!H868</f>
        <v>11</v>
      </c>
      <c r="H329" s="666">
        <f t="shared" si="38"/>
        <v>1678.6</v>
      </c>
      <c r="I329" s="666"/>
      <c r="J329" s="666"/>
      <c r="K329" s="666">
        <f t="shared" si="39"/>
        <v>0</v>
      </c>
      <c r="L329" s="666"/>
      <c r="M329" s="665">
        <f t="shared" si="40"/>
        <v>11</v>
      </c>
      <c r="N329" s="666">
        <f t="shared" si="36"/>
        <v>1678.6</v>
      </c>
      <c r="O329" s="672">
        <v>11</v>
      </c>
      <c r="P329" s="668">
        <f t="shared" si="41"/>
        <v>0</v>
      </c>
    </row>
    <row r="330" spans="1:18" s="677" customFormat="1" ht="41.25" hidden="1" customHeight="1">
      <c r="A330" s="985">
        <v>61.1</v>
      </c>
      <c r="B330" s="986">
        <f t="shared" si="35"/>
        <v>0</v>
      </c>
      <c r="C330" s="987" t="s">
        <v>1582</v>
      </c>
      <c r="D330" s="993"/>
      <c r="E330" s="992"/>
      <c r="F330" s="987">
        <f t="shared" si="37"/>
        <v>0</v>
      </c>
      <c r="G330" s="994"/>
      <c r="H330" s="666">
        <f t="shared" si="38"/>
        <v>0</v>
      </c>
      <c r="I330" s="666"/>
      <c r="J330" s="666"/>
      <c r="K330" s="666">
        <f t="shared" si="39"/>
        <v>0</v>
      </c>
      <c r="L330" s="666"/>
      <c r="M330" s="665">
        <f t="shared" si="40"/>
        <v>0</v>
      </c>
      <c r="N330" s="666">
        <f t="shared" si="36"/>
        <v>0</v>
      </c>
      <c r="O330" s="672">
        <v>0</v>
      </c>
      <c r="P330" s="668">
        <f t="shared" si="41"/>
        <v>0</v>
      </c>
      <c r="Q330" s="676"/>
      <c r="R330" s="676"/>
    </row>
    <row r="331" spans="1:18" s="677" customFormat="1" ht="41.25" hidden="1" customHeight="1">
      <c r="A331" s="986"/>
      <c r="B331" s="986">
        <f t="shared" si="35"/>
        <v>0</v>
      </c>
      <c r="C331" s="987" t="s">
        <v>1583</v>
      </c>
      <c r="D331" s="993">
        <f>ROUND(Data!K2138,2)</f>
        <v>507.54</v>
      </c>
      <c r="E331" s="992" t="s">
        <v>61</v>
      </c>
      <c r="F331" s="987">
        <f t="shared" si="37"/>
        <v>0</v>
      </c>
      <c r="G331" s="994"/>
      <c r="H331" s="666">
        <f t="shared" si="38"/>
        <v>0</v>
      </c>
      <c r="I331" s="666"/>
      <c r="J331" s="666"/>
      <c r="K331" s="666">
        <f t="shared" si="39"/>
        <v>0</v>
      </c>
      <c r="L331" s="666"/>
      <c r="M331" s="665">
        <f t="shared" si="40"/>
        <v>0</v>
      </c>
      <c r="N331" s="666">
        <f t="shared" si="36"/>
        <v>0</v>
      </c>
      <c r="O331" s="672">
        <v>0</v>
      </c>
      <c r="P331" s="668">
        <f t="shared" si="41"/>
        <v>0</v>
      </c>
      <c r="Q331" s="676"/>
      <c r="R331" s="676"/>
    </row>
    <row r="332" spans="1:18" s="677" customFormat="1" ht="41.25" hidden="1" customHeight="1">
      <c r="A332" s="1000"/>
      <c r="B332" s="986">
        <f t="shared" si="35"/>
        <v>0</v>
      </c>
      <c r="C332" s="987" t="s">
        <v>1584</v>
      </c>
      <c r="D332" s="993">
        <f>ROUND(Data!K2158,2)</f>
        <v>673.86</v>
      </c>
      <c r="E332" s="992" t="s">
        <v>61</v>
      </c>
      <c r="F332" s="987">
        <f t="shared" si="37"/>
        <v>0</v>
      </c>
      <c r="G332" s="994"/>
      <c r="H332" s="666">
        <f t="shared" si="38"/>
        <v>0</v>
      </c>
      <c r="I332" s="666"/>
      <c r="J332" s="666"/>
      <c r="K332" s="666">
        <f t="shared" si="39"/>
        <v>0</v>
      </c>
      <c r="L332" s="666"/>
      <c r="M332" s="665">
        <f t="shared" si="40"/>
        <v>0</v>
      </c>
      <c r="N332" s="666">
        <f t="shared" si="36"/>
        <v>0</v>
      </c>
      <c r="O332" s="672">
        <v>0</v>
      </c>
      <c r="P332" s="668">
        <f t="shared" si="41"/>
        <v>0</v>
      </c>
      <c r="Q332" s="676"/>
      <c r="R332" s="676"/>
    </row>
    <row r="333" spans="1:18" s="677" customFormat="1" ht="45.75" hidden="1" customHeight="1">
      <c r="A333" s="985">
        <v>61.2</v>
      </c>
      <c r="B333" s="986">
        <f t="shared" si="35"/>
        <v>0</v>
      </c>
      <c r="C333" s="995" t="s">
        <v>1585</v>
      </c>
      <c r="D333" s="990"/>
      <c r="E333" s="987"/>
      <c r="F333" s="987">
        <f t="shared" si="37"/>
        <v>0</v>
      </c>
      <c r="G333" s="989"/>
      <c r="H333" s="666">
        <f t="shared" si="38"/>
        <v>0</v>
      </c>
      <c r="I333" s="666"/>
      <c r="J333" s="666"/>
      <c r="K333" s="666">
        <f t="shared" si="39"/>
        <v>0</v>
      </c>
      <c r="L333" s="666"/>
      <c r="M333" s="665">
        <f t="shared" si="40"/>
        <v>0</v>
      </c>
      <c r="N333" s="666">
        <f t="shared" si="36"/>
        <v>0</v>
      </c>
      <c r="O333" s="672">
        <v>0</v>
      </c>
      <c r="P333" s="668">
        <f t="shared" si="41"/>
        <v>0</v>
      </c>
      <c r="Q333" s="676"/>
      <c r="R333" s="676"/>
    </row>
    <row r="334" spans="1:18" s="677" customFormat="1" ht="45.75" hidden="1" customHeight="1">
      <c r="A334" s="986"/>
      <c r="B334" s="986">
        <f t="shared" si="35"/>
        <v>0</v>
      </c>
      <c r="C334" s="987" t="s">
        <v>1586</v>
      </c>
      <c r="D334" s="993">
        <f>ROUND(Data!K2169,2)</f>
        <v>222.53</v>
      </c>
      <c r="E334" s="992" t="s">
        <v>61</v>
      </c>
      <c r="F334" s="987">
        <f t="shared" si="37"/>
        <v>0</v>
      </c>
      <c r="G334" s="994"/>
      <c r="H334" s="666">
        <f t="shared" si="38"/>
        <v>0</v>
      </c>
      <c r="I334" s="666"/>
      <c r="J334" s="666"/>
      <c r="K334" s="666">
        <f t="shared" si="39"/>
        <v>0</v>
      </c>
      <c r="L334" s="666"/>
      <c r="M334" s="665">
        <f t="shared" si="40"/>
        <v>0</v>
      </c>
      <c r="N334" s="666">
        <f t="shared" si="36"/>
        <v>0</v>
      </c>
      <c r="O334" s="672">
        <v>0</v>
      </c>
      <c r="P334" s="668">
        <f t="shared" si="41"/>
        <v>0</v>
      </c>
      <c r="Q334" s="676"/>
      <c r="R334" s="676"/>
    </row>
    <row r="335" spans="1:18" s="677" customFormat="1" ht="55.5" hidden="1" customHeight="1">
      <c r="A335" s="1000"/>
      <c r="B335" s="986">
        <f t="shared" si="35"/>
        <v>0</v>
      </c>
      <c r="C335" s="987" t="s">
        <v>1587</v>
      </c>
      <c r="D335" s="993">
        <f>ROUND(Data!K2184,2)</f>
        <v>329.02</v>
      </c>
      <c r="E335" s="992" t="s">
        <v>61</v>
      </c>
      <c r="F335" s="987">
        <f t="shared" si="37"/>
        <v>0</v>
      </c>
      <c r="G335" s="994"/>
      <c r="H335" s="666">
        <f t="shared" si="38"/>
        <v>0</v>
      </c>
      <c r="I335" s="666"/>
      <c r="J335" s="666"/>
      <c r="K335" s="666">
        <f t="shared" si="39"/>
        <v>0</v>
      </c>
      <c r="L335" s="666"/>
      <c r="M335" s="665">
        <f t="shared" si="40"/>
        <v>0</v>
      </c>
      <c r="N335" s="666">
        <f t="shared" si="36"/>
        <v>0</v>
      </c>
      <c r="O335" s="672">
        <v>0</v>
      </c>
      <c r="P335" s="668">
        <f t="shared" si="41"/>
        <v>0</v>
      </c>
      <c r="Q335" s="676"/>
      <c r="R335" s="676"/>
    </row>
    <row r="336" spans="1:18" s="677" customFormat="1" ht="41.25" hidden="1" customHeight="1">
      <c r="A336" s="985">
        <v>62.1</v>
      </c>
      <c r="B336" s="986">
        <f t="shared" si="35"/>
        <v>0</v>
      </c>
      <c r="C336" s="987" t="s">
        <v>1588</v>
      </c>
      <c r="D336" s="993"/>
      <c r="E336" s="992"/>
      <c r="F336" s="987">
        <f t="shared" si="37"/>
        <v>0</v>
      </c>
      <c r="G336" s="994"/>
      <c r="H336" s="666">
        <f t="shared" si="38"/>
        <v>0</v>
      </c>
      <c r="I336" s="666"/>
      <c r="J336" s="666"/>
      <c r="K336" s="666">
        <f t="shared" si="39"/>
        <v>0</v>
      </c>
      <c r="L336" s="666"/>
      <c r="M336" s="665">
        <f t="shared" si="40"/>
        <v>0</v>
      </c>
      <c r="N336" s="666">
        <f t="shared" si="36"/>
        <v>0</v>
      </c>
      <c r="O336" s="672">
        <v>0</v>
      </c>
      <c r="P336" s="668">
        <f t="shared" si="41"/>
        <v>0</v>
      </c>
      <c r="Q336" s="676"/>
      <c r="R336" s="676"/>
    </row>
    <row r="337" spans="1:19" s="677" customFormat="1" ht="41.25" hidden="1" customHeight="1">
      <c r="A337" s="986"/>
      <c r="B337" s="986">
        <f t="shared" si="35"/>
        <v>0</v>
      </c>
      <c r="C337" s="987" t="s">
        <v>1586</v>
      </c>
      <c r="D337" s="993">
        <f>ROUND(Data!K2193,2)</f>
        <v>103.1</v>
      </c>
      <c r="E337" s="992" t="s">
        <v>522</v>
      </c>
      <c r="F337" s="987">
        <f t="shared" si="37"/>
        <v>0</v>
      </c>
      <c r="G337" s="994"/>
      <c r="H337" s="666">
        <f t="shared" si="38"/>
        <v>0</v>
      </c>
      <c r="I337" s="666"/>
      <c r="J337" s="666"/>
      <c r="K337" s="666">
        <f t="shared" si="39"/>
        <v>0</v>
      </c>
      <c r="L337" s="666"/>
      <c r="M337" s="665">
        <f t="shared" si="40"/>
        <v>0</v>
      </c>
      <c r="N337" s="666">
        <f t="shared" si="36"/>
        <v>0</v>
      </c>
      <c r="O337" s="672">
        <v>0</v>
      </c>
      <c r="P337" s="668">
        <f t="shared" si="41"/>
        <v>0</v>
      </c>
      <c r="Q337" s="676"/>
      <c r="R337" s="676"/>
    </row>
    <row r="338" spans="1:19" s="677" customFormat="1" ht="49.5" hidden="1" customHeight="1">
      <c r="A338" s="1000"/>
      <c r="B338" s="986">
        <f t="shared" si="35"/>
        <v>0</v>
      </c>
      <c r="C338" s="987" t="s">
        <v>1587</v>
      </c>
      <c r="D338" s="993">
        <f>ROUND(Data!K2200,2)</f>
        <v>141.80000000000001</v>
      </c>
      <c r="E338" s="992" t="s">
        <v>522</v>
      </c>
      <c r="F338" s="987">
        <f t="shared" si="37"/>
        <v>0</v>
      </c>
      <c r="G338" s="994"/>
      <c r="H338" s="666">
        <f t="shared" si="38"/>
        <v>0</v>
      </c>
      <c r="I338" s="666"/>
      <c r="J338" s="666"/>
      <c r="K338" s="666">
        <f t="shared" si="39"/>
        <v>0</v>
      </c>
      <c r="L338" s="666"/>
      <c r="M338" s="665">
        <f t="shared" si="40"/>
        <v>0</v>
      </c>
      <c r="N338" s="666">
        <f t="shared" si="36"/>
        <v>0</v>
      </c>
      <c r="O338" s="672">
        <v>0</v>
      </c>
      <c r="P338" s="668">
        <f t="shared" si="41"/>
        <v>0</v>
      </c>
      <c r="Q338" s="676"/>
      <c r="R338" s="676"/>
    </row>
    <row r="339" spans="1:19" s="677" customFormat="1" ht="41.25" hidden="1" customHeight="1">
      <c r="A339" s="985">
        <v>62.2</v>
      </c>
      <c r="B339" s="986">
        <f t="shared" si="35"/>
        <v>0</v>
      </c>
      <c r="C339" s="995" t="s">
        <v>1589</v>
      </c>
      <c r="D339" s="990"/>
      <c r="E339" s="987"/>
      <c r="F339" s="987">
        <f t="shared" si="37"/>
        <v>0</v>
      </c>
      <c r="G339" s="989"/>
      <c r="H339" s="666">
        <f t="shared" si="38"/>
        <v>0</v>
      </c>
      <c r="I339" s="666"/>
      <c r="J339" s="666"/>
      <c r="K339" s="666">
        <f t="shared" si="39"/>
        <v>0</v>
      </c>
      <c r="L339" s="666"/>
      <c r="M339" s="665">
        <f t="shared" si="40"/>
        <v>0</v>
      </c>
      <c r="N339" s="666">
        <f t="shared" si="36"/>
        <v>0</v>
      </c>
      <c r="O339" s="668">
        <v>0</v>
      </c>
      <c r="P339" s="668">
        <f t="shared" si="41"/>
        <v>0</v>
      </c>
      <c r="Q339" s="676"/>
      <c r="R339" s="676"/>
    </row>
    <row r="340" spans="1:19" s="677" customFormat="1" ht="41.25" hidden="1" customHeight="1">
      <c r="A340" s="986"/>
      <c r="B340" s="986">
        <f t="shared" si="35"/>
        <v>0</v>
      </c>
      <c r="C340" s="987" t="s">
        <v>1586</v>
      </c>
      <c r="D340" s="990">
        <f>ROUND(Data!K2206,2)</f>
        <v>129.80000000000001</v>
      </c>
      <c r="E340" s="987" t="s">
        <v>522</v>
      </c>
      <c r="F340" s="987">
        <f t="shared" si="37"/>
        <v>0</v>
      </c>
      <c r="G340" s="989"/>
      <c r="H340" s="666">
        <f t="shared" si="38"/>
        <v>0</v>
      </c>
      <c r="I340" s="666"/>
      <c r="J340" s="666"/>
      <c r="K340" s="666">
        <f t="shared" si="39"/>
        <v>0</v>
      </c>
      <c r="L340" s="666"/>
      <c r="M340" s="665">
        <f t="shared" si="40"/>
        <v>0</v>
      </c>
      <c r="N340" s="666">
        <f t="shared" si="36"/>
        <v>0</v>
      </c>
      <c r="O340" s="672">
        <v>0</v>
      </c>
      <c r="P340" s="668">
        <f t="shared" si="41"/>
        <v>0</v>
      </c>
      <c r="Q340" s="676"/>
      <c r="R340" s="676"/>
    </row>
    <row r="341" spans="1:19" s="677" customFormat="1" ht="55.5" hidden="1" customHeight="1">
      <c r="A341" s="1000"/>
      <c r="B341" s="986">
        <f t="shared" si="35"/>
        <v>0</v>
      </c>
      <c r="C341" s="987" t="s">
        <v>1587</v>
      </c>
      <c r="D341" s="993">
        <f>ROUND(Data!K2216,2)</f>
        <v>167.5</v>
      </c>
      <c r="E341" s="992" t="s">
        <v>522</v>
      </c>
      <c r="F341" s="987">
        <f t="shared" si="37"/>
        <v>0</v>
      </c>
      <c r="G341" s="994"/>
      <c r="H341" s="666">
        <f t="shared" si="38"/>
        <v>0</v>
      </c>
      <c r="I341" s="666"/>
      <c r="J341" s="666"/>
      <c r="K341" s="666">
        <f t="shared" si="39"/>
        <v>0</v>
      </c>
      <c r="L341" s="666"/>
      <c r="M341" s="665">
        <f t="shared" si="40"/>
        <v>0</v>
      </c>
      <c r="N341" s="666">
        <f t="shared" si="36"/>
        <v>0</v>
      </c>
      <c r="O341" s="672">
        <v>0</v>
      </c>
      <c r="P341" s="668">
        <f t="shared" si="41"/>
        <v>0</v>
      </c>
      <c r="Q341" s="676"/>
      <c r="R341" s="676"/>
    </row>
    <row r="342" spans="1:19" s="677" customFormat="1" ht="20.100000000000001" hidden="1" customHeight="1">
      <c r="A342" s="985">
        <v>63</v>
      </c>
      <c r="B342" s="986">
        <f t="shared" si="35"/>
        <v>0</v>
      </c>
      <c r="C342" s="987" t="s">
        <v>1590</v>
      </c>
      <c r="D342" s="993">
        <f>ROUND(Data!K2225,2)</f>
        <v>31.87</v>
      </c>
      <c r="E342" s="992" t="s">
        <v>522</v>
      </c>
      <c r="F342" s="987">
        <f t="shared" si="37"/>
        <v>0</v>
      </c>
      <c r="G342" s="994"/>
      <c r="H342" s="666">
        <f t="shared" si="38"/>
        <v>0</v>
      </c>
      <c r="I342" s="666"/>
      <c r="J342" s="666"/>
      <c r="K342" s="666">
        <f t="shared" si="39"/>
        <v>0</v>
      </c>
      <c r="L342" s="666"/>
      <c r="M342" s="665">
        <f t="shared" si="40"/>
        <v>0</v>
      </c>
      <c r="N342" s="666">
        <f t="shared" si="36"/>
        <v>0</v>
      </c>
      <c r="O342" s="672">
        <v>0</v>
      </c>
      <c r="P342" s="668">
        <f t="shared" si="41"/>
        <v>0</v>
      </c>
      <c r="Q342" s="676"/>
      <c r="R342" s="676"/>
    </row>
    <row r="343" spans="1:19" ht="45.75" hidden="1" customHeight="1">
      <c r="A343" s="985"/>
      <c r="B343" s="986">
        <f t="shared" si="35"/>
        <v>0</v>
      </c>
      <c r="C343" s="995" t="s">
        <v>167</v>
      </c>
      <c r="D343" s="990"/>
      <c r="E343" s="987"/>
      <c r="F343" s="987">
        <f t="shared" si="37"/>
        <v>0</v>
      </c>
      <c r="G343" s="989"/>
      <c r="H343" s="666">
        <f t="shared" si="38"/>
        <v>0</v>
      </c>
      <c r="I343" s="666"/>
      <c r="J343" s="666"/>
      <c r="K343" s="666">
        <f t="shared" si="39"/>
        <v>0</v>
      </c>
      <c r="L343" s="666"/>
      <c r="M343" s="665">
        <f t="shared" si="40"/>
        <v>0</v>
      </c>
      <c r="N343" s="666">
        <f t="shared" si="36"/>
        <v>0</v>
      </c>
      <c r="O343" s="668">
        <v>0</v>
      </c>
      <c r="P343" s="668">
        <f t="shared" si="41"/>
        <v>0</v>
      </c>
      <c r="Q343" s="678"/>
      <c r="S343" s="679"/>
    </row>
    <row r="344" spans="1:19" s="677" customFormat="1" ht="20.100000000000001" hidden="1" customHeight="1">
      <c r="A344" s="985">
        <v>64</v>
      </c>
      <c r="B344" s="986">
        <f t="shared" si="35"/>
        <v>0</v>
      </c>
      <c r="C344" s="987" t="s">
        <v>168</v>
      </c>
      <c r="D344" s="993">
        <f>Data!K2261</f>
        <v>1499.29</v>
      </c>
      <c r="E344" s="992" t="s">
        <v>522</v>
      </c>
      <c r="F344" s="987">
        <f t="shared" si="37"/>
        <v>0</v>
      </c>
      <c r="G344" s="994"/>
      <c r="H344" s="666">
        <f t="shared" si="38"/>
        <v>0</v>
      </c>
      <c r="I344" s="666"/>
      <c r="J344" s="666"/>
      <c r="K344" s="666">
        <f t="shared" si="39"/>
        <v>0</v>
      </c>
      <c r="L344" s="666"/>
      <c r="M344" s="665">
        <f t="shared" si="40"/>
        <v>0</v>
      </c>
      <c r="N344" s="666">
        <f t="shared" si="36"/>
        <v>0</v>
      </c>
      <c r="O344" s="672">
        <v>0</v>
      </c>
      <c r="P344" s="668">
        <f t="shared" si="41"/>
        <v>0</v>
      </c>
      <c r="Q344" s="676"/>
      <c r="R344" s="676"/>
    </row>
    <row r="345" spans="1:19" s="677" customFormat="1" ht="30.75" hidden="1" customHeight="1">
      <c r="A345" s="986"/>
      <c r="B345" s="986">
        <f t="shared" si="35"/>
        <v>0</v>
      </c>
      <c r="C345" s="987" t="s">
        <v>170</v>
      </c>
      <c r="D345" s="993"/>
      <c r="E345" s="992" t="s">
        <v>522</v>
      </c>
      <c r="F345" s="987">
        <f t="shared" si="37"/>
        <v>0</v>
      </c>
      <c r="G345" s="994"/>
      <c r="H345" s="666">
        <f t="shared" si="38"/>
        <v>0</v>
      </c>
      <c r="I345" s="666"/>
      <c r="J345" s="666"/>
      <c r="K345" s="666">
        <f t="shared" si="39"/>
        <v>0</v>
      </c>
      <c r="L345" s="666"/>
      <c r="M345" s="665">
        <f t="shared" si="40"/>
        <v>0</v>
      </c>
      <c r="N345" s="666">
        <f t="shared" si="36"/>
        <v>0</v>
      </c>
      <c r="O345" s="672">
        <v>0</v>
      </c>
      <c r="P345" s="668">
        <f t="shared" si="41"/>
        <v>0</v>
      </c>
      <c r="Q345" s="676"/>
      <c r="R345" s="676"/>
    </row>
    <row r="346" spans="1:19" s="677" customFormat="1" ht="20.100000000000001" hidden="1" customHeight="1">
      <c r="A346" s="1000"/>
      <c r="B346" s="986">
        <f t="shared" si="35"/>
        <v>0</v>
      </c>
      <c r="C346" s="987" t="s">
        <v>1591</v>
      </c>
      <c r="D346" s="993">
        <f>Data!K2263</f>
        <v>1531.07</v>
      </c>
      <c r="E346" s="992" t="s">
        <v>522</v>
      </c>
      <c r="F346" s="987">
        <f t="shared" si="37"/>
        <v>0</v>
      </c>
      <c r="G346" s="994"/>
      <c r="H346" s="666">
        <f t="shared" si="38"/>
        <v>0</v>
      </c>
      <c r="I346" s="666"/>
      <c r="J346" s="666"/>
      <c r="K346" s="666">
        <f t="shared" si="39"/>
        <v>0</v>
      </c>
      <c r="L346" s="666"/>
      <c r="M346" s="665">
        <f t="shared" si="40"/>
        <v>0</v>
      </c>
      <c r="N346" s="666">
        <f t="shared" si="36"/>
        <v>0</v>
      </c>
      <c r="O346" s="672">
        <v>0</v>
      </c>
      <c r="P346" s="668">
        <f t="shared" si="41"/>
        <v>0</v>
      </c>
      <c r="Q346" s="676"/>
      <c r="R346" s="676"/>
    </row>
    <row r="347" spans="1:19" s="677" customFormat="1" ht="20.100000000000001" hidden="1" customHeight="1">
      <c r="A347" s="985">
        <v>65</v>
      </c>
      <c r="B347" s="986">
        <f t="shared" si="35"/>
        <v>0</v>
      </c>
      <c r="C347" s="987" t="s">
        <v>1592</v>
      </c>
      <c r="D347" s="993">
        <f>Data!K2264</f>
        <v>1565.5</v>
      </c>
      <c r="E347" s="992" t="s">
        <v>522</v>
      </c>
      <c r="F347" s="987">
        <f t="shared" si="37"/>
        <v>0</v>
      </c>
      <c r="G347" s="994"/>
      <c r="H347" s="666">
        <f t="shared" si="38"/>
        <v>0</v>
      </c>
      <c r="I347" s="666"/>
      <c r="J347" s="666"/>
      <c r="K347" s="666">
        <f t="shared" si="39"/>
        <v>0</v>
      </c>
      <c r="L347" s="666"/>
      <c r="M347" s="665">
        <f t="shared" si="40"/>
        <v>0</v>
      </c>
      <c r="N347" s="666">
        <f t="shared" si="36"/>
        <v>0</v>
      </c>
      <c r="O347" s="672">
        <v>0</v>
      </c>
      <c r="P347" s="668">
        <f t="shared" si="41"/>
        <v>0</v>
      </c>
      <c r="Q347" s="676"/>
      <c r="R347" s="676"/>
    </row>
    <row r="348" spans="1:19" s="677" customFormat="1" ht="20.100000000000001" hidden="1" customHeight="1">
      <c r="A348" s="985">
        <v>66</v>
      </c>
      <c r="B348" s="986">
        <f t="shared" si="35"/>
        <v>0</v>
      </c>
      <c r="C348" s="987" t="s">
        <v>998</v>
      </c>
      <c r="D348" s="993">
        <f>Data!K2265</f>
        <v>2802.19</v>
      </c>
      <c r="E348" s="992" t="s">
        <v>522</v>
      </c>
      <c r="F348" s="987">
        <f t="shared" si="37"/>
        <v>0</v>
      </c>
      <c r="G348" s="994"/>
      <c r="H348" s="666">
        <f t="shared" si="38"/>
        <v>0</v>
      </c>
      <c r="I348" s="666"/>
      <c r="J348" s="666"/>
      <c r="K348" s="666">
        <f t="shared" si="39"/>
        <v>0</v>
      </c>
      <c r="L348" s="666"/>
      <c r="M348" s="665">
        <f t="shared" si="40"/>
        <v>0</v>
      </c>
      <c r="N348" s="666">
        <f t="shared" si="36"/>
        <v>0</v>
      </c>
      <c r="O348" s="672">
        <v>0</v>
      </c>
      <c r="P348" s="668">
        <f t="shared" si="41"/>
        <v>0</v>
      </c>
      <c r="Q348" s="676"/>
      <c r="R348" s="676"/>
    </row>
    <row r="349" spans="1:19" s="677" customFormat="1" ht="20.100000000000001" hidden="1" customHeight="1">
      <c r="A349" s="985">
        <v>67</v>
      </c>
      <c r="B349" s="986">
        <f t="shared" si="35"/>
        <v>0</v>
      </c>
      <c r="C349" s="987" t="s">
        <v>1593</v>
      </c>
      <c r="D349" s="993">
        <f>Data!K2266</f>
        <v>764.91</v>
      </c>
      <c r="E349" s="992" t="s">
        <v>522</v>
      </c>
      <c r="F349" s="987">
        <f t="shared" si="37"/>
        <v>0</v>
      </c>
      <c r="G349" s="994"/>
      <c r="H349" s="666">
        <f t="shared" si="38"/>
        <v>0</v>
      </c>
      <c r="I349" s="666"/>
      <c r="J349" s="666"/>
      <c r="K349" s="666">
        <f t="shared" si="39"/>
        <v>0</v>
      </c>
      <c r="L349" s="666"/>
      <c r="M349" s="665">
        <f t="shared" si="40"/>
        <v>0</v>
      </c>
      <c r="N349" s="666">
        <f t="shared" si="36"/>
        <v>0</v>
      </c>
      <c r="O349" s="672">
        <v>0</v>
      </c>
      <c r="P349" s="668">
        <f t="shared" si="41"/>
        <v>0</v>
      </c>
      <c r="Q349" s="676"/>
      <c r="R349" s="676"/>
    </row>
    <row r="350" spans="1:19" s="677" customFormat="1" ht="20.100000000000001" hidden="1" customHeight="1">
      <c r="A350" s="985">
        <v>68</v>
      </c>
      <c r="B350" s="986">
        <f t="shared" si="35"/>
        <v>0</v>
      </c>
      <c r="C350" s="987" t="s">
        <v>1594</v>
      </c>
      <c r="D350" s="993">
        <f>Data!K2267</f>
        <v>1041.2</v>
      </c>
      <c r="E350" s="992" t="s">
        <v>522</v>
      </c>
      <c r="F350" s="987">
        <f t="shared" si="37"/>
        <v>0</v>
      </c>
      <c r="G350" s="994"/>
      <c r="H350" s="666">
        <f t="shared" si="38"/>
        <v>0</v>
      </c>
      <c r="I350" s="666"/>
      <c r="J350" s="666"/>
      <c r="K350" s="666">
        <f t="shared" si="39"/>
        <v>0</v>
      </c>
      <c r="L350" s="666"/>
      <c r="M350" s="665">
        <f t="shared" si="40"/>
        <v>0</v>
      </c>
      <c r="N350" s="666">
        <f t="shared" si="36"/>
        <v>0</v>
      </c>
      <c r="O350" s="672">
        <v>0</v>
      </c>
      <c r="P350" s="668">
        <f t="shared" si="41"/>
        <v>0</v>
      </c>
      <c r="Q350" s="676"/>
      <c r="R350" s="676"/>
    </row>
    <row r="351" spans="1:19" ht="45.75" customHeight="1">
      <c r="A351" s="985">
        <v>69</v>
      </c>
      <c r="B351" s="986">
        <f t="shared" si="35"/>
        <v>5</v>
      </c>
      <c r="C351" s="987" t="s">
        <v>1595</v>
      </c>
      <c r="D351" s="990">
        <f>Data!K2268</f>
        <v>138.69999999999999</v>
      </c>
      <c r="E351" s="987" t="s">
        <v>522</v>
      </c>
      <c r="F351" s="987">
        <f t="shared" si="37"/>
        <v>693.5</v>
      </c>
      <c r="G351" s="989">
        <f>Detailed!H891</f>
        <v>5</v>
      </c>
      <c r="H351" s="666">
        <f t="shared" si="38"/>
        <v>693.5</v>
      </c>
      <c r="I351" s="666"/>
      <c r="J351" s="666"/>
      <c r="K351" s="666">
        <f t="shared" si="39"/>
        <v>0</v>
      </c>
      <c r="L351" s="666"/>
      <c r="M351" s="665">
        <f t="shared" si="40"/>
        <v>5</v>
      </c>
      <c r="N351" s="666">
        <f t="shared" si="36"/>
        <v>693.5</v>
      </c>
      <c r="O351" s="672">
        <v>5</v>
      </c>
      <c r="P351" s="668">
        <f t="shared" si="41"/>
        <v>0</v>
      </c>
    </row>
    <row r="352" spans="1:19" s="677" customFormat="1" ht="29.25" hidden="1" customHeight="1">
      <c r="A352" s="985">
        <v>70.099999999999994</v>
      </c>
      <c r="B352" s="986">
        <f t="shared" si="35"/>
        <v>0</v>
      </c>
      <c r="C352" s="987" t="s">
        <v>1005</v>
      </c>
      <c r="D352" s="993">
        <f>Data!K2269</f>
        <v>486.5</v>
      </c>
      <c r="E352" s="992" t="s">
        <v>522</v>
      </c>
      <c r="F352" s="987">
        <f t="shared" si="37"/>
        <v>0</v>
      </c>
      <c r="G352" s="994"/>
      <c r="H352" s="666">
        <f t="shared" si="38"/>
        <v>0</v>
      </c>
      <c r="I352" s="666"/>
      <c r="J352" s="666"/>
      <c r="K352" s="666">
        <f t="shared" si="39"/>
        <v>0</v>
      </c>
      <c r="L352" s="666"/>
      <c r="M352" s="665">
        <f t="shared" si="40"/>
        <v>0</v>
      </c>
      <c r="N352" s="666">
        <f t="shared" si="36"/>
        <v>0</v>
      </c>
      <c r="O352" s="672">
        <v>0</v>
      </c>
      <c r="P352" s="668">
        <f t="shared" si="41"/>
        <v>0</v>
      </c>
      <c r="Q352" s="676"/>
      <c r="R352" s="676"/>
    </row>
    <row r="353" spans="1:18" s="677" customFormat="1" ht="20.100000000000001" hidden="1" customHeight="1">
      <c r="A353" s="985">
        <v>70.2</v>
      </c>
      <c r="B353" s="986">
        <f t="shared" si="35"/>
        <v>0</v>
      </c>
      <c r="C353" s="987" t="s">
        <v>1596</v>
      </c>
      <c r="D353" s="993"/>
      <c r="E353" s="992" t="s">
        <v>522</v>
      </c>
      <c r="F353" s="987">
        <f t="shared" si="37"/>
        <v>0</v>
      </c>
      <c r="G353" s="994"/>
      <c r="H353" s="666">
        <f t="shared" si="38"/>
        <v>0</v>
      </c>
      <c r="I353" s="666"/>
      <c r="J353" s="666"/>
      <c r="K353" s="666">
        <f t="shared" si="39"/>
        <v>0</v>
      </c>
      <c r="L353" s="666"/>
      <c r="M353" s="665">
        <f t="shared" si="40"/>
        <v>0</v>
      </c>
      <c r="N353" s="666">
        <f t="shared" si="36"/>
        <v>0</v>
      </c>
      <c r="O353" s="672">
        <v>0</v>
      </c>
      <c r="P353" s="668">
        <f t="shared" si="41"/>
        <v>0</v>
      </c>
      <c r="Q353" s="676"/>
      <c r="R353" s="676"/>
    </row>
    <row r="354" spans="1:18" s="677" customFormat="1" ht="20.100000000000001" hidden="1" customHeight="1">
      <c r="A354" s="985">
        <v>70.3</v>
      </c>
      <c r="B354" s="986">
        <f t="shared" si="35"/>
        <v>0</v>
      </c>
      <c r="C354" s="987" t="s">
        <v>1597</v>
      </c>
      <c r="D354" s="993">
        <f>Data!K2271</f>
        <v>12</v>
      </c>
      <c r="E354" s="992" t="s">
        <v>522</v>
      </c>
      <c r="F354" s="987">
        <f t="shared" si="37"/>
        <v>0</v>
      </c>
      <c r="G354" s="994"/>
      <c r="H354" s="666">
        <f t="shared" si="38"/>
        <v>0</v>
      </c>
      <c r="I354" s="666"/>
      <c r="J354" s="666"/>
      <c r="K354" s="666">
        <f t="shared" si="39"/>
        <v>0</v>
      </c>
      <c r="L354" s="666"/>
      <c r="M354" s="665">
        <f t="shared" si="40"/>
        <v>0</v>
      </c>
      <c r="N354" s="666">
        <f t="shared" si="36"/>
        <v>0</v>
      </c>
      <c r="O354" s="672">
        <v>0</v>
      </c>
      <c r="P354" s="668">
        <f t="shared" si="41"/>
        <v>0</v>
      </c>
      <c r="Q354" s="676"/>
      <c r="R354" s="676"/>
    </row>
    <row r="355" spans="1:18" s="677" customFormat="1" ht="20.100000000000001" hidden="1" customHeight="1">
      <c r="A355" s="985">
        <v>70.400000000000006</v>
      </c>
      <c r="B355" s="986">
        <f t="shared" si="35"/>
        <v>0</v>
      </c>
      <c r="C355" s="987" t="s">
        <v>1598</v>
      </c>
      <c r="D355" s="993">
        <f>Data!K2272</f>
        <v>10</v>
      </c>
      <c r="E355" s="992" t="s">
        <v>522</v>
      </c>
      <c r="F355" s="987">
        <f t="shared" si="37"/>
        <v>0</v>
      </c>
      <c r="G355" s="994"/>
      <c r="H355" s="666">
        <f t="shared" si="38"/>
        <v>0</v>
      </c>
      <c r="I355" s="666"/>
      <c r="J355" s="666"/>
      <c r="K355" s="666">
        <f t="shared" si="39"/>
        <v>0</v>
      </c>
      <c r="L355" s="666"/>
      <c r="M355" s="665">
        <f t="shared" si="40"/>
        <v>0</v>
      </c>
      <c r="N355" s="666">
        <f t="shared" si="36"/>
        <v>0</v>
      </c>
      <c r="O355" s="672">
        <v>0</v>
      </c>
      <c r="P355" s="668">
        <f t="shared" si="41"/>
        <v>0</v>
      </c>
      <c r="Q355" s="676"/>
      <c r="R355" s="676"/>
    </row>
    <row r="356" spans="1:18" s="677" customFormat="1" ht="45.75" hidden="1" customHeight="1">
      <c r="A356" s="985">
        <v>71</v>
      </c>
      <c r="B356" s="986">
        <f t="shared" si="35"/>
        <v>0</v>
      </c>
      <c r="C356" s="987" t="s">
        <v>1599</v>
      </c>
      <c r="D356" s="993">
        <f>Data!K2273</f>
        <v>1308</v>
      </c>
      <c r="E356" s="992" t="s">
        <v>522</v>
      </c>
      <c r="F356" s="987">
        <f t="shared" si="37"/>
        <v>0</v>
      </c>
      <c r="G356" s="994"/>
      <c r="H356" s="666">
        <f t="shared" si="38"/>
        <v>0</v>
      </c>
      <c r="I356" s="666"/>
      <c r="J356" s="666"/>
      <c r="K356" s="666">
        <f t="shared" si="39"/>
        <v>0</v>
      </c>
      <c r="L356" s="666"/>
      <c r="M356" s="665">
        <f t="shared" si="40"/>
        <v>0</v>
      </c>
      <c r="N356" s="666">
        <f t="shared" si="36"/>
        <v>0</v>
      </c>
      <c r="O356" s="672">
        <v>0</v>
      </c>
      <c r="P356" s="668">
        <f t="shared" si="41"/>
        <v>0</v>
      </c>
      <c r="Q356" s="676"/>
      <c r="R356" s="676"/>
    </row>
    <row r="357" spans="1:18" ht="45.75" customHeight="1">
      <c r="A357" s="985">
        <v>72</v>
      </c>
      <c r="B357" s="986">
        <f t="shared" si="35"/>
        <v>17</v>
      </c>
      <c r="C357" s="987" t="s">
        <v>175</v>
      </c>
      <c r="D357" s="990">
        <f>Data!K2274</f>
        <v>33.9</v>
      </c>
      <c r="E357" s="987" t="s">
        <v>522</v>
      </c>
      <c r="F357" s="987">
        <f t="shared" si="37"/>
        <v>576.29999999999995</v>
      </c>
      <c r="G357" s="989">
        <f>Detailed!H895</f>
        <v>17</v>
      </c>
      <c r="H357" s="666">
        <f t="shared" si="38"/>
        <v>576.29999999999995</v>
      </c>
      <c r="I357" s="666"/>
      <c r="J357" s="666"/>
      <c r="K357" s="666">
        <f t="shared" si="39"/>
        <v>0</v>
      </c>
      <c r="L357" s="666"/>
      <c r="M357" s="665">
        <f t="shared" si="40"/>
        <v>17</v>
      </c>
      <c r="N357" s="666">
        <f t="shared" si="36"/>
        <v>576.29999999999995</v>
      </c>
      <c r="O357" s="672">
        <v>17</v>
      </c>
      <c r="P357" s="668">
        <f t="shared" si="41"/>
        <v>0</v>
      </c>
    </row>
    <row r="358" spans="1:18" ht="45.75" hidden="1" customHeight="1">
      <c r="A358" s="986">
        <v>73.099999999999994</v>
      </c>
      <c r="B358" s="986">
        <f t="shared" si="35"/>
        <v>0</v>
      </c>
      <c r="C358" s="987" t="s">
        <v>1600</v>
      </c>
      <c r="D358" s="990">
        <f>Data!K2275</f>
        <v>4116.8500000000004</v>
      </c>
      <c r="E358" s="987" t="s">
        <v>522</v>
      </c>
      <c r="F358" s="987">
        <f t="shared" si="37"/>
        <v>0</v>
      </c>
      <c r="G358" s="989"/>
      <c r="H358" s="666">
        <f t="shared" si="38"/>
        <v>0</v>
      </c>
      <c r="I358" s="666"/>
      <c r="J358" s="666"/>
      <c r="K358" s="666">
        <f t="shared" si="39"/>
        <v>0</v>
      </c>
      <c r="L358" s="666"/>
      <c r="M358" s="665">
        <f t="shared" si="40"/>
        <v>0</v>
      </c>
      <c r="N358" s="666">
        <f t="shared" si="36"/>
        <v>0</v>
      </c>
      <c r="O358" s="672">
        <v>0</v>
      </c>
      <c r="P358" s="668">
        <f t="shared" si="41"/>
        <v>0</v>
      </c>
    </row>
    <row r="359" spans="1:18" s="677" customFormat="1" ht="45.75" hidden="1" customHeight="1">
      <c r="A359" s="985">
        <v>73.2</v>
      </c>
      <c r="B359" s="986">
        <f t="shared" si="35"/>
        <v>0</v>
      </c>
      <c r="C359" s="987" t="s">
        <v>1601</v>
      </c>
      <c r="D359" s="990">
        <f>Data!K2276</f>
        <v>3342.85</v>
      </c>
      <c r="E359" s="987" t="s">
        <v>522</v>
      </c>
      <c r="F359" s="987">
        <f t="shared" si="37"/>
        <v>0</v>
      </c>
      <c r="G359" s="989"/>
      <c r="H359" s="666">
        <f t="shared" si="38"/>
        <v>0</v>
      </c>
      <c r="I359" s="666"/>
      <c r="J359" s="666"/>
      <c r="K359" s="666">
        <f t="shared" si="39"/>
        <v>0</v>
      </c>
      <c r="L359" s="666"/>
      <c r="M359" s="665">
        <f t="shared" si="40"/>
        <v>0</v>
      </c>
      <c r="N359" s="666">
        <f t="shared" si="36"/>
        <v>0</v>
      </c>
      <c r="O359" s="672">
        <v>0</v>
      </c>
      <c r="P359" s="668">
        <f t="shared" si="41"/>
        <v>0</v>
      </c>
      <c r="Q359" s="676"/>
      <c r="R359" s="676"/>
    </row>
    <row r="360" spans="1:18" ht="45.75" customHeight="1">
      <c r="A360" s="985">
        <v>74</v>
      </c>
      <c r="B360" s="986">
        <f t="shared" si="35"/>
        <v>17</v>
      </c>
      <c r="C360" s="987" t="s">
        <v>176</v>
      </c>
      <c r="D360" s="990">
        <f>Data!K2277</f>
        <v>520.79999999999995</v>
      </c>
      <c r="E360" s="987" t="s">
        <v>522</v>
      </c>
      <c r="F360" s="987">
        <f t="shared" si="37"/>
        <v>8853.5999999999985</v>
      </c>
      <c r="G360" s="989">
        <f>Detailed!H899</f>
        <v>17</v>
      </c>
      <c r="H360" s="666">
        <f t="shared" si="38"/>
        <v>8853.5999999999985</v>
      </c>
      <c r="I360" s="666"/>
      <c r="J360" s="666"/>
      <c r="K360" s="666">
        <f t="shared" si="39"/>
        <v>0</v>
      </c>
      <c r="L360" s="666"/>
      <c r="M360" s="665">
        <f t="shared" si="40"/>
        <v>17</v>
      </c>
      <c r="N360" s="666">
        <f t="shared" si="36"/>
        <v>8853.5999999999985</v>
      </c>
      <c r="O360" s="672">
        <v>17</v>
      </c>
      <c r="P360" s="668">
        <f t="shared" si="41"/>
        <v>0</v>
      </c>
    </row>
    <row r="361" spans="1:18" s="677" customFormat="1" ht="20.100000000000001" hidden="1" customHeight="1">
      <c r="A361" s="985">
        <v>75</v>
      </c>
      <c r="B361" s="986">
        <f t="shared" si="35"/>
        <v>0</v>
      </c>
      <c r="C361" s="995" t="s">
        <v>1602</v>
      </c>
      <c r="D361" s="993"/>
      <c r="E361" s="992"/>
      <c r="F361" s="987">
        <f t="shared" si="37"/>
        <v>0</v>
      </c>
      <c r="G361" s="994"/>
      <c r="H361" s="666">
        <f t="shared" si="38"/>
        <v>0</v>
      </c>
      <c r="I361" s="666"/>
      <c r="J361" s="666"/>
      <c r="K361" s="666">
        <f t="shared" si="39"/>
        <v>0</v>
      </c>
      <c r="L361" s="666"/>
      <c r="M361" s="665">
        <f t="shared" si="40"/>
        <v>0</v>
      </c>
      <c r="N361" s="666">
        <f t="shared" si="36"/>
        <v>0</v>
      </c>
      <c r="O361" s="672">
        <v>0</v>
      </c>
      <c r="P361" s="668">
        <f t="shared" si="41"/>
        <v>0</v>
      </c>
      <c r="Q361" s="676"/>
      <c r="R361" s="676"/>
    </row>
    <row r="362" spans="1:18" s="677" customFormat="1" ht="20.100000000000001" hidden="1" customHeight="1">
      <c r="A362" s="986"/>
      <c r="B362" s="986">
        <f t="shared" si="35"/>
        <v>0</v>
      </c>
      <c r="C362" s="987" t="s">
        <v>1133</v>
      </c>
      <c r="D362" s="993"/>
      <c r="E362" s="992" t="s">
        <v>522</v>
      </c>
      <c r="F362" s="987">
        <f t="shared" si="37"/>
        <v>0</v>
      </c>
      <c r="G362" s="994"/>
      <c r="H362" s="666">
        <f t="shared" si="38"/>
        <v>0</v>
      </c>
      <c r="I362" s="666"/>
      <c r="J362" s="666"/>
      <c r="K362" s="666">
        <f t="shared" si="39"/>
        <v>0</v>
      </c>
      <c r="L362" s="666"/>
      <c r="M362" s="665">
        <f t="shared" si="40"/>
        <v>0</v>
      </c>
      <c r="N362" s="666">
        <f t="shared" si="36"/>
        <v>0</v>
      </c>
      <c r="O362" s="672">
        <v>0</v>
      </c>
      <c r="P362" s="668">
        <f t="shared" si="41"/>
        <v>0</v>
      </c>
      <c r="Q362" s="676"/>
      <c r="R362" s="676"/>
    </row>
    <row r="363" spans="1:18" s="677" customFormat="1" ht="20.100000000000001" hidden="1" customHeight="1">
      <c r="A363" s="1000"/>
      <c r="B363" s="986">
        <f t="shared" si="35"/>
        <v>0</v>
      </c>
      <c r="C363" s="987" t="s">
        <v>1603</v>
      </c>
      <c r="D363" s="993"/>
      <c r="E363" s="992" t="s">
        <v>522</v>
      </c>
      <c r="F363" s="987">
        <f t="shared" si="37"/>
        <v>0</v>
      </c>
      <c r="G363" s="994"/>
      <c r="H363" s="666">
        <f t="shared" si="38"/>
        <v>0</v>
      </c>
      <c r="I363" s="666"/>
      <c r="J363" s="666"/>
      <c r="K363" s="666">
        <f t="shared" si="39"/>
        <v>0</v>
      </c>
      <c r="L363" s="666"/>
      <c r="M363" s="665">
        <f t="shared" si="40"/>
        <v>0</v>
      </c>
      <c r="N363" s="666">
        <f t="shared" si="36"/>
        <v>0</v>
      </c>
      <c r="O363" s="672">
        <v>0</v>
      </c>
      <c r="P363" s="668">
        <f t="shared" si="41"/>
        <v>0</v>
      </c>
      <c r="Q363" s="676"/>
      <c r="R363" s="676"/>
    </row>
    <row r="364" spans="1:18" ht="45.75" customHeight="1">
      <c r="A364" s="985">
        <v>76</v>
      </c>
      <c r="B364" s="986">
        <f t="shared" si="35"/>
        <v>15</v>
      </c>
      <c r="C364" s="987" t="s">
        <v>1604</v>
      </c>
      <c r="D364" s="990">
        <f>[8]Elec.Data!K3294</f>
        <v>23.79</v>
      </c>
      <c r="E364" s="987" t="s">
        <v>61</v>
      </c>
      <c r="F364" s="987">
        <f t="shared" si="37"/>
        <v>356.84999999999997</v>
      </c>
      <c r="G364" s="989">
        <f>Detailed!H903</f>
        <v>15</v>
      </c>
      <c r="H364" s="666">
        <f t="shared" si="38"/>
        <v>356.84999999999997</v>
      </c>
      <c r="I364" s="666"/>
      <c r="J364" s="666"/>
      <c r="K364" s="666">
        <f t="shared" si="39"/>
        <v>0</v>
      </c>
      <c r="L364" s="666"/>
      <c r="M364" s="665">
        <f t="shared" si="40"/>
        <v>15</v>
      </c>
      <c r="N364" s="666">
        <f t="shared" si="36"/>
        <v>356.84999999999997</v>
      </c>
      <c r="O364" s="672">
        <v>15</v>
      </c>
      <c r="P364" s="668">
        <f t="shared" si="41"/>
        <v>0</v>
      </c>
    </row>
    <row r="365" spans="1:18" s="677" customFormat="1" ht="48" hidden="1" customHeight="1">
      <c r="A365" s="985">
        <v>77</v>
      </c>
      <c r="B365" s="986">
        <f t="shared" si="35"/>
        <v>0</v>
      </c>
      <c r="C365" s="987" t="s">
        <v>1605</v>
      </c>
      <c r="D365" s="993">
        <f>ROUND(Data!K2282,2)</f>
        <v>192.58</v>
      </c>
      <c r="E365" s="992" t="s">
        <v>61</v>
      </c>
      <c r="F365" s="987">
        <f t="shared" si="37"/>
        <v>0</v>
      </c>
      <c r="G365" s="994"/>
      <c r="H365" s="666">
        <f t="shared" si="38"/>
        <v>0</v>
      </c>
      <c r="I365" s="666"/>
      <c r="J365" s="666"/>
      <c r="K365" s="666">
        <f t="shared" si="39"/>
        <v>0</v>
      </c>
      <c r="L365" s="666"/>
      <c r="M365" s="665">
        <f t="shared" si="40"/>
        <v>0</v>
      </c>
      <c r="N365" s="666">
        <f t="shared" si="36"/>
        <v>0</v>
      </c>
      <c r="O365" s="672">
        <v>175</v>
      </c>
      <c r="P365" s="668">
        <f t="shared" si="41"/>
        <v>-175</v>
      </c>
      <c r="Q365" s="676"/>
      <c r="R365" s="676"/>
    </row>
    <row r="366" spans="1:18" s="677" customFormat="1" ht="39.950000000000003" hidden="1" customHeight="1">
      <c r="A366" s="985">
        <v>77.099999999999994</v>
      </c>
      <c r="B366" s="986">
        <f t="shared" si="35"/>
        <v>0</v>
      </c>
      <c r="C366" s="987" t="s">
        <v>1606</v>
      </c>
      <c r="D366" s="993">
        <f>ROUND(Data!K2283,2)</f>
        <v>246.68</v>
      </c>
      <c r="E366" s="992" t="s">
        <v>61</v>
      </c>
      <c r="F366" s="987">
        <f t="shared" si="37"/>
        <v>0</v>
      </c>
      <c r="G366" s="994"/>
      <c r="H366" s="666">
        <f t="shared" si="38"/>
        <v>0</v>
      </c>
      <c r="I366" s="666"/>
      <c r="J366" s="666"/>
      <c r="K366" s="666">
        <f t="shared" si="39"/>
        <v>0</v>
      </c>
      <c r="L366" s="666"/>
      <c r="M366" s="665">
        <f t="shared" si="40"/>
        <v>0</v>
      </c>
      <c r="N366" s="666">
        <f t="shared" si="36"/>
        <v>0</v>
      </c>
      <c r="O366" s="672">
        <v>0</v>
      </c>
      <c r="P366" s="668">
        <f t="shared" si="41"/>
        <v>0</v>
      </c>
      <c r="Q366" s="676"/>
      <c r="R366" s="676"/>
    </row>
    <row r="367" spans="1:18" s="677" customFormat="1" ht="25.5" hidden="1" customHeight="1">
      <c r="A367" s="985">
        <v>77.2</v>
      </c>
      <c r="B367" s="986">
        <f t="shared" si="35"/>
        <v>0</v>
      </c>
      <c r="C367" s="987" t="s">
        <v>1607</v>
      </c>
      <c r="D367" s="993">
        <f>Data!K2284</f>
        <v>500</v>
      </c>
      <c r="E367" s="992" t="s">
        <v>522</v>
      </c>
      <c r="F367" s="987">
        <f t="shared" si="37"/>
        <v>0</v>
      </c>
      <c r="G367" s="994"/>
      <c r="H367" s="666">
        <f t="shared" si="38"/>
        <v>0</v>
      </c>
      <c r="I367" s="666"/>
      <c r="J367" s="666"/>
      <c r="K367" s="666">
        <f t="shared" si="39"/>
        <v>0</v>
      </c>
      <c r="L367" s="666"/>
      <c r="M367" s="665">
        <f t="shared" si="40"/>
        <v>0</v>
      </c>
      <c r="N367" s="666">
        <f t="shared" si="36"/>
        <v>0</v>
      </c>
      <c r="O367" s="672">
        <v>0</v>
      </c>
      <c r="P367" s="668">
        <f t="shared" si="41"/>
        <v>0</v>
      </c>
      <c r="Q367" s="676"/>
      <c r="R367" s="676"/>
    </row>
    <row r="368" spans="1:18" ht="45.75" customHeight="1">
      <c r="A368" s="985">
        <v>77.3</v>
      </c>
      <c r="B368" s="986">
        <f t="shared" si="35"/>
        <v>9</v>
      </c>
      <c r="C368" s="987" t="s">
        <v>1608</v>
      </c>
      <c r="D368" s="990">
        <f>Data!K2285</f>
        <v>76.67</v>
      </c>
      <c r="E368" s="987" t="s">
        <v>522</v>
      </c>
      <c r="F368" s="987">
        <f t="shared" si="37"/>
        <v>690.03</v>
      </c>
      <c r="G368" s="989">
        <f>Detailed!H909</f>
        <v>9</v>
      </c>
      <c r="H368" s="666">
        <f t="shared" si="38"/>
        <v>690.03</v>
      </c>
      <c r="I368" s="666"/>
      <c r="J368" s="666"/>
      <c r="K368" s="666">
        <f t="shared" si="39"/>
        <v>0</v>
      </c>
      <c r="L368" s="666"/>
      <c r="M368" s="665">
        <f t="shared" si="40"/>
        <v>9</v>
      </c>
      <c r="N368" s="666">
        <f t="shared" si="36"/>
        <v>690.03</v>
      </c>
      <c r="O368" s="672">
        <v>9</v>
      </c>
      <c r="P368" s="668">
        <f t="shared" si="41"/>
        <v>0</v>
      </c>
    </row>
    <row r="369" spans="1:19" ht="45.75" customHeight="1">
      <c r="A369" s="985">
        <v>77.400000000000006</v>
      </c>
      <c r="B369" s="986">
        <f t="shared" si="35"/>
        <v>55</v>
      </c>
      <c r="C369" s="987" t="s">
        <v>1609</v>
      </c>
      <c r="D369" s="990">
        <f>Data!K2304</f>
        <v>79.650000000000006</v>
      </c>
      <c r="E369" s="987" t="s">
        <v>61</v>
      </c>
      <c r="F369" s="987">
        <f t="shared" si="37"/>
        <v>4380.75</v>
      </c>
      <c r="G369" s="989">
        <f>Detailed!H915</f>
        <v>55</v>
      </c>
      <c r="H369" s="666">
        <f t="shared" si="38"/>
        <v>4380.75</v>
      </c>
      <c r="I369" s="666"/>
      <c r="J369" s="666"/>
      <c r="K369" s="666">
        <f t="shared" si="39"/>
        <v>0</v>
      </c>
      <c r="L369" s="666"/>
      <c r="M369" s="665">
        <f t="shared" si="40"/>
        <v>55</v>
      </c>
      <c r="N369" s="666">
        <f t="shared" si="36"/>
        <v>4380.75</v>
      </c>
      <c r="O369" s="672">
        <v>55</v>
      </c>
      <c r="P369" s="668">
        <f t="shared" si="41"/>
        <v>0</v>
      </c>
    </row>
    <row r="370" spans="1:19" ht="45.75" customHeight="1">
      <c r="A370" s="985">
        <v>78</v>
      </c>
      <c r="B370" s="986">
        <f t="shared" si="35"/>
        <v>1</v>
      </c>
      <c r="C370" s="987" t="s">
        <v>181</v>
      </c>
      <c r="D370" s="990">
        <f>Data!K2286</f>
        <v>2723</v>
      </c>
      <c r="E370" s="987" t="s">
        <v>522</v>
      </c>
      <c r="F370" s="987">
        <f t="shared" si="37"/>
        <v>2723</v>
      </c>
      <c r="G370" s="989">
        <f>Detailed!H918</f>
        <v>1</v>
      </c>
      <c r="H370" s="666">
        <f t="shared" si="38"/>
        <v>2723</v>
      </c>
      <c r="I370" s="666"/>
      <c r="J370" s="666"/>
      <c r="K370" s="666">
        <f t="shared" si="39"/>
        <v>0</v>
      </c>
      <c r="L370" s="666"/>
      <c r="M370" s="665">
        <f t="shared" si="40"/>
        <v>1</v>
      </c>
      <c r="N370" s="666">
        <f t="shared" si="36"/>
        <v>2723</v>
      </c>
      <c r="O370" s="672">
        <v>1</v>
      </c>
      <c r="P370" s="668">
        <f t="shared" si="41"/>
        <v>0</v>
      </c>
    </row>
    <row r="371" spans="1:19" s="677" customFormat="1" ht="25.5" hidden="1" customHeight="1">
      <c r="A371" s="985">
        <v>78.099999999999994</v>
      </c>
      <c r="B371" s="986">
        <f t="shared" si="35"/>
        <v>0</v>
      </c>
      <c r="C371" s="987" t="s">
        <v>1610</v>
      </c>
      <c r="D371" s="993"/>
      <c r="E371" s="992" t="s">
        <v>522</v>
      </c>
      <c r="F371" s="987">
        <f t="shared" si="37"/>
        <v>0</v>
      </c>
      <c r="G371" s="994"/>
      <c r="H371" s="666">
        <f t="shared" si="38"/>
        <v>0</v>
      </c>
      <c r="I371" s="666"/>
      <c r="J371" s="666"/>
      <c r="K371" s="666">
        <f t="shared" si="39"/>
        <v>0</v>
      </c>
      <c r="L371" s="666"/>
      <c r="M371" s="665">
        <f t="shared" si="40"/>
        <v>0</v>
      </c>
      <c r="N371" s="666">
        <f t="shared" si="36"/>
        <v>0</v>
      </c>
      <c r="O371" s="672">
        <v>0</v>
      </c>
      <c r="P371" s="668">
        <f t="shared" si="41"/>
        <v>0</v>
      </c>
      <c r="Q371" s="676"/>
      <c r="R371" s="676"/>
    </row>
    <row r="372" spans="1:19" s="677" customFormat="1" ht="46.5" hidden="1" customHeight="1">
      <c r="A372" s="985">
        <v>79.099999999999994</v>
      </c>
      <c r="B372" s="986">
        <f t="shared" si="35"/>
        <v>0</v>
      </c>
      <c r="C372" s="987" t="s">
        <v>1611</v>
      </c>
      <c r="D372" s="993">
        <f>[8]Elec.Data!K3400</f>
        <v>508.26</v>
      </c>
      <c r="E372" s="992" t="s">
        <v>522</v>
      </c>
      <c r="F372" s="987">
        <f t="shared" si="37"/>
        <v>0</v>
      </c>
      <c r="G372" s="994"/>
      <c r="H372" s="666">
        <f t="shared" si="38"/>
        <v>0</v>
      </c>
      <c r="I372" s="666"/>
      <c r="J372" s="666"/>
      <c r="K372" s="666">
        <f t="shared" si="39"/>
        <v>0</v>
      </c>
      <c r="L372" s="666"/>
      <c r="M372" s="665">
        <f t="shared" si="40"/>
        <v>0</v>
      </c>
      <c r="N372" s="666">
        <f t="shared" si="36"/>
        <v>0</v>
      </c>
      <c r="O372" s="672">
        <v>0</v>
      </c>
      <c r="P372" s="668">
        <f t="shared" si="41"/>
        <v>0</v>
      </c>
      <c r="Q372" s="676"/>
      <c r="R372" s="676"/>
    </row>
    <row r="373" spans="1:19" s="677" customFormat="1" ht="33" hidden="1" customHeight="1">
      <c r="A373" s="985">
        <v>79.2</v>
      </c>
      <c r="B373" s="986">
        <f t="shared" si="35"/>
        <v>0</v>
      </c>
      <c r="C373" s="987" t="s">
        <v>1612</v>
      </c>
      <c r="D373" s="993">
        <f>[8]Elec.Data!K3419</f>
        <v>776.68</v>
      </c>
      <c r="E373" s="992" t="s">
        <v>522</v>
      </c>
      <c r="F373" s="987">
        <f t="shared" si="37"/>
        <v>0</v>
      </c>
      <c r="G373" s="994"/>
      <c r="H373" s="666">
        <f t="shared" si="38"/>
        <v>0</v>
      </c>
      <c r="I373" s="666"/>
      <c r="J373" s="666"/>
      <c r="K373" s="666">
        <f t="shared" si="39"/>
        <v>0</v>
      </c>
      <c r="L373" s="666"/>
      <c r="M373" s="665">
        <f t="shared" si="40"/>
        <v>0</v>
      </c>
      <c r="N373" s="666">
        <f t="shared" si="36"/>
        <v>0</v>
      </c>
      <c r="O373" s="672">
        <v>0</v>
      </c>
      <c r="P373" s="668">
        <f t="shared" si="41"/>
        <v>0</v>
      </c>
      <c r="Q373" s="676"/>
      <c r="R373" s="676"/>
    </row>
    <row r="374" spans="1:19" s="677" customFormat="1" ht="51.75" hidden="1" customHeight="1">
      <c r="A374" s="985">
        <v>80</v>
      </c>
      <c r="B374" s="986">
        <f t="shared" si="35"/>
        <v>0</v>
      </c>
      <c r="C374" s="987" t="s">
        <v>1613</v>
      </c>
      <c r="D374" s="993">
        <f>Data!K2287</f>
        <v>770.34</v>
      </c>
      <c r="E374" s="992" t="s">
        <v>522</v>
      </c>
      <c r="F374" s="987">
        <f t="shared" si="37"/>
        <v>0</v>
      </c>
      <c r="G374" s="994"/>
      <c r="H374" s="666">
        <f t="shared" si="38"/>
        <v>0</v>
      </c>
      <c r="I374" s="666"/>
      <c r="J374" s="666"/>
      <c r="K374" s="666">
        <f t="shared" si="39"/>
        <v>0</v>
      </c>
      <c r="L374" s="666"/>
      <c r="M374" s="665">
        <f t="shared" si="40"/>
        <v>0</v>
      </c>
      <c r="N374" s="666">
        <f t="shared" si="36"/>
        <v>0</v>
      </c>
      <c r="O374" s="672">
        <v>0</v>
      </c>
      <c r="P374" s="668">
        <f t="shared" si="41"/>
        <v>0</v>
      </c>
      <c r="Q374" s="676"/>
      <c r="R374" s="676"/>
    </row>
    <row r="375" spans="1:19" ht="45.75" customHeight="1">
      <c r="A375" s="985">
        <v>81</v>
      </c>
      <c r="B375" s="986">
        <f t="shared" si="35"/>
        <v>0.7</v>
      </c>
      <c r="C375" s="987" t="s">
        <v>1614</v>
      </c>
      <c r="D375" s="990">
        <f>ROUND(Data!K2288,2)</f>
        <v>2363.9699999999998</v>
      </c>
      <c r="E375" s="987" t="s">
        <v>37</v>
      </c>
      <c r="F375" s="987">
        <f t="shared" si="37"/>
        <v>1654.7789999999998</v>
      </c>
      <c r="G375" s="989">
        <f>Detailed!H921</f>
        <v>0.7</v>
      </c>
      <c r="H375" s="666">
        <f t="shared" si="38"/>
        <v>1654.7789999999998</v>
      </c>
      <c r="I375" s="666"/>
      <c r="J375" s="666"/>
      <c r="K375" s="666">
        <f t="shared" si="39"/>
        <v>0</v>
      </c>
      <c r="L375" s="666"/>
      <c r="M375" s="665">
        <f t="shared" si="40"/>
        <v>0.7</v>
      </c>
      <c r="N375" s="666">
        <f t="shared" si="36"/>
        <v>1654.7789999999998</v>
      </c>
      <c r="O375" s="672">
        <v>0.7</v>
      </c>
      <c r="P375" s="668">
        <f t="shared" si="41"/>
        <v>0</v>
      </c>
    </row>
    <row r="376" spans="1:19" s="677" customFormat="1" ht="39" hidden="1" customHeight="1">
      <c r="A376" s="985">
        <v>82</v>
      </c>
      <c r="B376" s="986">
        <f t="shared" si="35"/>
        <v>0</v>
      </c>
      <c r="C376" s="987" t="s">
        <v>1145</v>
      </c>
      <c r="D376" s="993">
        <f>ROUND(Data!K2289,2)</f>
        <v>2774.3</v>
      </c>
      <c r="E376" s="992" t="s">
        <v>522</v>
      </c>
      <c r="F376" s="987">
        <f t="shared" si="37"/>
        <v>0</v>
      </c>
      <c r="G376" s="994"/>
      <c r="H376" s="666">
        <f t="shared" si="38"/>
        <v>0</v>
      </c>
      <c r="I376" s="666"/>
      <c r="J376" s="666"/>
      <c r="K376" s="666">
        <f t="shared" si="39"/>
        <v>0</v>
      </c>
      <c r="L376" s="666"/>
      <c r="M376" s="665">
        <f t="shared" si="40"/>
        <v>0</v>
      </c>
      <c r="N376" s="666">
        <f t="shared" si="36"/>
        <v>0</v>
      </c>
      <c r="O376" s="672">
        <v>0</v>
      </c>
      <c r="P376" s="668">
        <f t="shared" si="41"/>
        <v>0</v>
      </c>
      <c r="Q376" s="676"/>
      <c r="R376" s="676"/>
    </row>
    <row r="377" spans="1:19" s="677" customFormat="1" ht="40.5" customHeight="1">
      <c r="A377" s="985">
        <v>83</v>
      </c>
      <c r="B377" s="986">
        <f t="shared" si="35"/>
        <v>2.1</v>
      </c>
      <c r="C377" s="987" t="s">
        <v>1615</v>
      </c>
      <c r="D377" s="993">
        <f>[8]Elec.Data!K3556</f>
        <v>169.77</v>
      </c>
      <c r="E377" s="992" t="s">
        <v>61</v>
      </c>
      <c r="F377" s="987">
        <f t="shared" si="37"/>
        <v>356.51700000000005</v>
      </c>
      <c r="G377" s="994">
        <f>Detailed!H928</f>
        <v>2.1</v>
      </c>
      <c r="H377" s="666">
        <f t="shared" si="38"/>
        <v>356.51700000000005</v>
      </c>
      <c r="I377" s="666"/>
      <c r="J377" s="666"/>
      <c r="K377" s="666">
        <f t="shared" si="39"/>
        <v>0</v>
      </c>
      <c r="L377" s="666"/>
      <c r="M377" s="665">
        <f t="shared" si="40"/>
        <v>2.1</v>
      </c>
      <c r="N377" s="666">
        <f t="shared" si="36"/>
        <v>356.51700000000005</v>
      </c>
      <c r="O377" s="672">
        <v>2.1</v>
      </c>
      <c r="P377" s="668">
        <f t="shared" si="41"/>
        <v>0</v>
      </c>
      <c r="Q377" s="676"/>
      <c r="R377" s="676"/>
    </row>
    <row r="378" spans="1:19" s="677" customFormat="1" ht="20.100000000000001" hidden="1" customHeight="1">
      <c r="A378" s="985">
        <v>84</v>
      </c>
      <c r="B378" s="986">
        <f t="shared" si="35"/>
        <v>0</v>
      </c>
      <c r="C378" s="987" t="s">
        <v>1616</v>
      </c>
      <c r="D378" s="993"/>
      <c r="E378" s="992" t="s">
        <v>61</v>
      </c>
      <c r="F378" s="987">
        <f t="shared" si="37"/>
        <v>0</v>
      </c>
      <c r="G378" s="994"/>
      <c r="H378" s="666">
        <f t="shared" si="38"/>
        <v>0</v>
      </c>
      <c r="I378" s="666"/>
      <c r="J378" s="666"/>
      <c r="K378" s="666">
        <f t="shared" si="39"/>
        <v>0</v>
      </c>
      <c r="L378" s="666"/>
      <c r="M378" s="665">
        <f t="shared" si="40"/>
        <v>0</v>
      </c>
      <c r="N378" s="666">
        <f t="shared" si="36"/>
        <v>0</v>
      </c>
      <c r="O378" s="672">
        <v>0</v>
      </c>
      <c r="P378" s="668">
        <f t="shared" si="41"/>
        <v>0</v>
      </c>
      <c r="Q378" s="676"/>
      <c r="R378" s="676"/>
    </row>
    <row r="379" spans="1:19" s="677" customFormat="1" ht="20.100000000000001" hidden="1" customHeight="1">
      <c r="A379" s="985">
        <v>85</v>
      </c>
      <c r="B379" s="986">
        <f t="shared" si="35"/>
        <v>0</v>
      </c>
      <c r="C379" s="987" t="s">
        <v>1617</v>
      </c>
      <c r="D379" s="993">
        <f>[8]Elec.Data!K3515</f>
        <v>130</v>
      </c>
      <c r="E379" s="992" t="s">
        <v>61</v>
      </c>
      <c r="F379" s="987">
        <f t="shared" si="37"/>
        <v>0</v>
      </c>
      <c r="G379" s="994"/>
      <c r="H379" s="666">
        <f t="shared" si="38"/>
        <v>0</v>
      </c>
      <c r="I379" s="666"/>
      <c r="J379" s="666"/>
      <c r="K379" s="666">
        <f t="shared" si="39"/>
        <v>0</v>
      </c>
      <c r="L379" s="666"/>
      <c r="M379" s="665">
        <f t="shared" si="40"/>
        <v>0</v>
      </c>
      <c r="N379" s="666">
        <f t="shared" si="36"/>
        <v>0</v>
      </c>
      <c r="O379" s="672">
        <v>0</v>
      </c>
      <c r="P379" s="668">
        <f t="shared" si="41"/>
        <v>0</v>
      </c>
      <c r="Q379" s="676"/>
      <c r="R379" s="676"/>
    </row>
    <row r="380" spans="1:19" ht="45.75" customHeight="1">
      <c r="A380" s="985">
        <v>86</v>
      </c>
      <c r="B380" s="986">
        <f t="shared" si="35"/>
        <v>137</v>
      </c>
      <c r="C380" s="987" t="s">
        <v>1618</v>
      </c>
      <c r="D380" s="990">
        <v>34</v>
      </c>
      <c r="E380" s="987" t="s">
        <v>264</v>
      </c>
      <c r="F380" s="987">
        <f t="shared" si="37"/>
        <v>4658</v>
      </c>
      <c r="G380" s="989">
        <f>Detailed!H935</f>
        <v>137</v>
      </c>
      <c r="H380" s="666">
        <f t="shared" si="38"/>
        <v>4658</v>
      </c>
      <c r="I380" s="666"/>
      <c r="J380" s="666"/>
      <c r="K380" s="666">
        <f t="shared" si="39"/>
        <v>0</v>
      </c>
      <c r="L380" s="666"/>
      <c r="M380" s="665">
        <f t="shared" si="40"/>
        <v>137</v>
      </c>
      <c r="N380" s="666">
        <f t="shared" si="36"/>
        <v>4658</v>
      </c>
      <c r="O380" s="672">
        <v>137</v>
      </c>
      <c r="P380" s="668">
        <f t="shared" si="41"/>
        <v>0</v>
      </c>
    </row>
    <row r="381" spans="1:19" s="677" customFormat="1" ht="51.75" hidden="1" customHeight="1">
      <c r="A381" s="985">
        <v>87</v>
      </c>
      <c r="B381" s="986">
        <f t="shared" si="35"/>
        <v>0</v>
      </c>
      <c r="C381" s="987" t="s">
        <v>1619</v>
      </c>
      <c r="D381" s="993">
        <f>ROUND(Data!K2290,2)</f>
        <v>2602.1</v>
      </c>
      <c r="E381" s="992" t="s">
        <v>522</v>
      </c>
      <c r="F381" s="987">
        <f t="shared" si="37"/>
        <v>0</v>
      </c>
      <c r="G381" s="994"/>
      <c r="H381" s="666">
        <f t="shared" si="38"/>
        <v>0</v>
      </c>
      <c r="I381" s="666"/>
      <c r="J381" s="666"/>
      <c r="K381" s="666">
        <f t="shared" si="39"/>
        <v>0</v>
      </c>
      <c r="L381" s="666"/>
      <c r="M381" s="665">
        <f t="shared" si="40"/>
        <v>0</v>
      </c>
      <c r="N381" s="666">
        <f t="shared" si="36"/>
        <v>0</v>
      </c>
      <c r="O381" s="672">
        <v>0</v>
      </c>
      <c r="P381" s="668">
        <f t="shared" si="41"/>
        <v>0</v>
      </c>
      <c r="Q381" s="676"/>
      <c r="R381" s="676"/>
    </row>
    <row r="382" spans="1:19" s="677" customFormat="1" ht="41.25" hidden="1" customHeight="1">
      <c r="A382" s="985">
        <v>112</v>
      </c>
      <c r="B382" s="986">
        <f t="shared" si="35"/>
        <v>0</v>
      </c>
      <c r="C382" s="987" t="s">
        <v>1620</v>
      </c>
      <c r="D382" s="993">
        <f>ROUND(Data!K2280,2)</f>
        <v>1967.5</v>
      </c>
      <c r="E382" s="992" t="s">
        <v>522</v>
      </c>
      <c r="F382" s="987">
        <f t="shared" si="37"/>
        <v>0</v>
      </c>
      <c r="G382" s="994"/>
      <c r="H382" s="666">
        <f t="shared" si="38"/>
        <v>0</v>
      </c>
      <c r="I382" s="666"/>
      <c r="J382" s="666"/>
      <c r="K382" s="666">
        <f t="shared" si="39"/>
        <v>0</v>
      </c>
      <c r="L382" s="666"/>
      <c r="M382" s="665">
        <f t="shared" si="40"/>
        <v>0</v>
      </c>
      <c r="N382" s="666">
        <f t="shared" si="36"/>
        <v>0</v>
      </c>
      <c r="O382" s="672">
        <v>0</v>
      </c>
      <c r="P382" s="668">
        <f t="shared" si="41"/>
        <v>0</v>
      </c>
      <c r="Q382" s="676"/>
      <c r="R382" s="676"/>
    </row>
    <row r="383" spans="1:19" s="677" customFormat="1" ht="48.75" hidden="1" customHeight="1">
      <c r="A383" s="985">
        <v>238</v>
      </c>
      <c r="B383" s="986">
        <f t="shared" si="35"/>
        <v>0</v>
      </c>
      <c r="C383" s="987" t="s">
        <v>1621</v>
      </c>
      <c r="D383" s="993">
        <f>ROUND(Data!K1567,2)</f>
        <v>4403.5</v>
      </c>
      <c r="E383" s="992" t="s">
        <v>58</v>
      </c>
      <c r="F383" s="987">
        <f t="shared" si="37"/>
        <v>0</v>
      </c>
      <c r="G383" s="994"/>
      <c r="H383" s="666">
        <f t="shared" si="38"/>
        <v>0</v>
      </c>
      <c r="I383" s="666"/>
      <c r="J383" s="666"/>
      <c r="K383" s="666">
        <f t="shared" si="39"/>
        <v>0</v>
      </c>
      <c r="L383" s="666"/>
      <c r="M383" s="665">
        <f t="shared" si="40"/>
        <v>0</v>
      </c>
      <c r="N383" s="666">
        <f t="shared" si="36"/>
        <v>0</v>
      </c>
      <c r="O383" s="672">
        <v>0</v>
      </c>
      <c r="P383" s="668">
        <f t="shared" si="41"/>
        <v>0</v>
      </c>
      <c r="Q383" s="676"/>
      <c r="R383" s="676"/>
    </row>
    <row r="384" spans="1:19" ht="45.75" customHeight="1">
      <c r="A384" s="985"/>
      <c r="B384" s="986">
        <f t="shared" si="35"/>
        <v>0</v>
      </c>
      <c r="C384" s="983" t="s">
        <v>1622</v>
      </c>
      <c r="D384" s="990"/>
      <c r="E384" s="987"/>
      <c r="F384" s="987">
        <f t="shared" si="37"/>
        <v>0</v>
      </c>
      <c r="G384" s="989"/>
      <c r="H384" s="666">
        <f t="shared" si="38"/>
        <v>0</v>
      </c>
      <c r="I384" s="666"/>
      <c r="J384" s="666"/>
      <c r="K384" s="666">
        <f t="shared" si="39"/>
        <v>0</v>
      </c>
      <c r="L384" s="666"/>
      <c r="M384" s="665">
        <f t="shared" si="40"/>
        <v>0</v>
      </c>
      <c r="N384" s="666">
        <f t="shared" si="36"/>
        <v>0</v>
      </c>
      <c r="O384" s="668">
        <v>0</v>
      </c>
      <c r="P384" s="668">
        <f t="shared" si="41"/>
        <v>0</v>
      </c>
      <c r="Q384" s="678"/>
      <c r="S384" s="679"/>
    </row>
    <row r="385" spans="1:22" s="683" customFormat="1" ht="75" customHeight="1">
      <c r="A385" s="986" t="s">
        <v>1454</v>
      </c>
      <c r="B385" s="986">
        <f t="shared" si="35"/>
        <v>0</v>
      </c>
      <c r="C385" s="995" t="s">
        <v>1623</v>
      </c>
      <c r="D385" s="990"/>
      <c r="E385" s="987"/>
      <c r="F385" s="987">
        <f t="shared" si="37"/>
        <v>0</v>
      </c>
      <c r="G385" s="989"/>
      <c r="H385" s="666">
        <f t="shared" si="38"/>
        <v>0</v>
      </c>
      <c r="I385" s="666"/>
      <c r="J385" s="666"/>
      <c r="K385" s="666">
        <f t="shared" si="39"/>
        <v>0</v>
      </c>
      <c r="L385" s="666"/>
      <c r="M385" s="665">
        <f t="shared" si="40"/>
        <v>0</v>
      </c>
      <c r="N385" s="666">
        <f t="shared" si="36"/>
        <v>0</v>
      </c>
      <c r="O385" s="668">
        <v>0</v>
      </c>
      <c r="P385" s="668">
        <f t="shared" si="41"/>
        <v>0</v>
      </c>
      <c r="Q385" s="678"/>
      <c r="R385" s="669"/>
      <c r="S385" s="679"/>
      <c r="T385" s="702"/>
      <c r="U385" s="702"/>
      <c r="V385" s="702"/>
    </row>
    <row r="386" spans="1:22" s="683" customFormat="1" ht="41.25" customHeight="1">
      <c r="A386" s="986"/>
      <c r="B386" s="986">
        <f t="shared" si="35"/>
        <v>9.4</v>
      </c>
      <c r="C386" s="987" t="s">
        <v>1405</v>
      </c>
      <c r="D386" s="990">
        <f>Data!X537</f>
        <v>1292.3985469825036</v>
      </c>
      <c r="E386" s="987" t="s">
        <v>264</v>
      </c>
      <c r="F386" s="987">
        <f t="shared" si="37"/>
        <v>12148.546341635534</v>
      </c>
      <c r="G386" s="989">
        <f>Detailed!H423</f>
        <v>9.4</v>
      </c>
      <c r="H386" s="666">
        <f t="shared" si="38"/>
        <v>12148.546341635534</v>
      </c>
      <c r="I386" s="666"/>
      <c r="J386" s="666"/>
      <c r="K386" s="666">
        <f t="shared" si="39"/>
        <v>0</v>
      </c>
      <c r="L386" s="666"/>
      <c r="M386" s="665">
        <f t="shared" si="40"/>
        <v>9.4</v>
      </c>
      <c r="N386" s="666">
        <f t="shared" si="36"/>
        <v>12148.546341635534</v>
      </c>
      <c r="O386" s="672">
        <v>9.4</v>
      </c>
      <c r="P386" s="668">
        <f t="shared" si="41"/>
        <v>0</v>
      </c>
      <c r="Q386" s="669"/>
      <c r="R386" s="669"/>
      <c r="S386" s="702"/>
      <c r="T386" s="702"/>
      <c r="U386" s="702"/>
      <c r="V386" s="702"/>
    </row>
    <row r="387" spans="1:22" s="683" customFormat="1" ht="41.25" customHeight="1">
      <c r="A387" s="986"/>
      <c r="B387" s="986">
        <f t="shared" si="35"/>
        <v>25.400000000000002</v>
      </c>
      <c r="C387" s="987" t="s">
        <v>1406</v>
      </c>
      <c r="D387" s="990">
        <f>Data!X538</f>
        <v>1296.5068915316288</v>
      </c>
      <c r="E387" s="987" t="s">
        <v>264</v>
      </c>
      <c r="F387" s="987">
        <f t="shared" si="37"/>
        <v>32931.27504490337</v>
      </c>
      <c r="G387" s="989">
        <f>Detailed!H432</f>
        <v>25.400000000000002</v>
      </c>
      <c r="H387" s="666">
        <f t="shared" si="38"/>
        <v>32931.27504490337</v>
      </c>
      <c r="I387" s="666"/>
      <c r="J387" s="666"/>
      <c r="K387" s="666">
        <f t="shared" si="39"/>
        <v>0</v>
      </c>
      <c r="L387" s="666"/>
      <c r="M387" s="665">
        <f t="shared" si="40"/>
        <v>25.400000000000002</v>
      </c>
      <c r="N387" s="666">
        <f t="shared" si="36"/>
        <v>32931.27504490337</v>
      </c>
      <c r="O387" s="672">
        <v>25.4</v>
      </c>
      <c r="P387" s="668">
        <f t="shared" si="41"/>
        <v>0</v>
      </c>
      <c r="Q387" s="669"/>
      <c r="R387" s="669"/>
      <c r="S387" s="702"/>
      <c r="T387" s="702"/>
      <c r="U387" s="702"/>
      <c r="V387" s="702"/>
    </row>
    <row r="388" spans="1:22" s="683" customFormat="1" ht="37.5" hidden="1" customHeight="1">
      <c r="A388" s="986"/>
      <c r="B388" s="986">
        <f t="shared" si="35"/>
        <v>0</v>
      </c>
      <c r="C388" s="987" t="s">
        <v>1407</v>
      </c>
      <c r="D388" s="990">
        <f>Data!X539</f>
        <v>1300.6152360807539</v>
      </c>
      <c r="E388" s="987" t="s">
        <v>264</v>
      </c>
      <c r="F388" s="987">
        <f t="shared" si="37"/>
        <v>0</v>
      </c>
      <c r="G388" s="989"/>
      <c r="H388" s="666">
        <f t="shared" si="38"/>
        <v>0</v>
      </c>
      <c r="I388" s="666"/>
      <c r="J388" s="666"/>
      <c r="K388" s="666">
        <f t="shared" si="39"/>
        <v>0</v>
      </c>
      <c r="L388" s="666"/>
      <c r="M388" s="665">
        <f t="shared" si="40"/>
        <v>0</v>
      </c>
      <c r="N388" s="666">
        <f t="shared" si="36"/>
        <v>0</v>
      </c>
      <c r="O388" s="672">
        <v>0</v>
      </c>
      <c r="P388" s="668">
        <f t="shared" si="41"/>
        <v>0</v>
      </c>
      <c r="Q388" s="669"/>
      <c r="R388" s="669"/>
      <c r="S388" s="702"/>
      <c r="T388" s="702"/>
      <c r="U388" s="702"/>
      <c r="V388" s="702"/>
    </row>
    <row r="389" spans="1:22" s="683" customFormat="1" ht="47.25" hidden="1" customHeight="1">
      <c r="A389" s="986"/>
      <c r="B389" s="986">
        <f t="shared" si="35"/>
        <v>0</v>
      </c>
      <c r="C389" s="987" t="s">
        <v>1408</v>
      </c>
      <c r="D389" s="990">
        <f>Data!X540</f>
        <v>1304.7235806298791</v>
      </c>
      <c r="E389" s="987" t="s">
        <v>264</v>
      </c>
      <c r="F389" s="987">
        <f t="shared" si="37"/>
        <v>0</v>
      </c>
      <c r="G389" s="996"/>
      <c r="H389" s="666">
        <f t="shared" si="38"/>
        <v>0</v>
      </c>
      <c r="I389" s="666"/>
      <c r="J389" s="666"/>
      <c r="K389" s="666">
        <f t="shared" si="39"/>
        <v>0</v>
      </c>
      <c r="L389" s="666"/>
      <c r="M389" s="665">
        <f t="shared" si="40"/>
        <v>0</v>
      </c>
      <c r="N389" s="666">
        <f t="shared" si="36"/>
        <v>0</v>
      </c>
      <c r="O389" s="672">
        <v>0</v>
      </c>
      <c r="P389" s="668">
        <f t="shared" si="41"/>
        <v>0</v>
      </c>
      <c r="Q389" s="669"/>
      <c r="R389" s="669"/>
      <c r="S389" s="702"/>
      <c r="T389" s="702"/>
      <c r="U389" s="702"/>
      <c r="V389" s="702"/>
    </row>
    <row r="390" spans="1:22" s="677" customFormat="1" ht="56.25" hidden="1" customHeight="1">
      <c r="A390" s="1000"/>
      <c r="B390" s="986">
        <f t="shared" si="35"/>
        <v>0</v>
      </c>
      <c r="C390" s="987" t="s">
        <v>1409</v>
      </c>
      <c r="D390" s="990">
        <f>Data!X541</f>
        <v>1308.8319251790042</v>
      </c>
      <c r="E390" s="987" t="s">
        <v>264</v>
      </c>
      <c r="F390" s="987">
        <f t="shared" si="37"/>
        <v>0</v>
      </c>
      <c r="G390" s="1011"/>
      <c r="H390" s="666">
        <f t="shared" si="38"/>
        <v>0</v>
      </c>
      <c r="I390" s="666"/>
      <c r="J390" s="666"/>
      <c r="K390" s="666">
        <f t="shared" si="39"/>
        <v>0</v>
      </c>
      <c r="L390" s="666"/>
      <c r="M390" s="665">
        <f t="shared" si="40"/>
        <v>0</v>
      </c>
      <c r="N390" s="666">
        <f t="shared" si="36"/>
        <v>0</v>
      </c>
      <c r="O390" s="672">
        <v>0</v>
      </c>
      <c r="P390" s="668">
        <f t="shared" si="41"/>
        <v>0</v>
      </c>
      <c r="Q390" s="676"/>
      <c r="R390" s="676"/>
      <c r="S390" s="676"/>
      <c r="T390" s="676"/>
      <c r="U390" s="676"/>
      <c r="V390" s="676"/>
    </row>
    <row r="391" spans="1:22" s="683" customFormat="1" ht="68.25" customHeight="1">
      <c r="A391" s="986" t="s">
        <v>39</v>
      </c>
      <c r="B391" s="986">
        <f t="shared" ref="B391:B454" si="42">M391</f>
        <v>0</v>
      </c>
      <c r="C391" s="995" t="s">
        <v>1624</v>
      </c>
      <c r="D391" s="990"/>
      <c r="E391" s="987"/>
      <c r="F391" s="987">
        <f t="shared" si="37"/>
        <v>0</v>
      </c>
      <c r="G391" s="989"/>
      <c r="H391" s="666">
        <f t="shared" si="38"/>
        <v>0</v>
      </c>
      <c r="I391" s="666"/>
      <c r="J391" s="666"/>
      <c r="K391" s="666">
        <f t="shared" si="39"/>
        <v>0</v>
      </c>
      <c r="L391" s="666"/>
      <c r="M391" s="665">
        <f t="shared" si="40"/>
        <v>0</v>
      </c>
      <c r="N391" s="666">
        <f t="shared" ref="N391:N454" si="43">M391*D391</f>
        <v>0</v>
      </c>
      <c r="O391" s="668">
        <v>0</v>
      </c>
      <c r="P391" s="668">
        <f t="shared" si="41"/>
        <v>0</v>
      </c>
      <c r="Q391" s="669"/>
      <c r="R391" s="669"/>
      <c r="S391" s="702"/>
      <c r="T391" s="702"/>
      <c r="U391" s="702"/>
      <c r="V391" s="702"/>
    </row>
    <row r="392" spans="1:22" s="683" customFormat="1" ht="49.5" customHeight="1">
      <c r="A392" s="986"/>
      <c r="B392" s="986">
        <f t="shared" si="42"/>
        <v>4.5</v>
      </c>
      <c r="C392" s="987" t="s">
        <v>1457</v>
      </c>
      <c r="D392" s="990">
        <f>Data!X559</f>
        <v>1433.9236080969044</v>
      </c>
      <c r="E392" s="987" t="s">
        <v>264</v>
      </c>
      <c r="F392" s="987">
        <f t="shared" ref="F392:F455" si="44">B392*D392</f>
        <v>6452.6562364360698</v>
      </c>
      <c r="G392" s="989">
        <f>Detailed!H437</f>
        <v>4.5</v>
      </c>
      <c r="H392" s="666">
        <f t="shared" ref="H392:H455" si="45">G392*D392</f>
        <v>6452.6562364360698</v>
      </c>
      <c r="I392" s="666"/>
      <c r="J392" s="666"/>
      <c r="K392" s="666">
        <f t="shared" ref="K392:K455" si="46">I392</f>
        <v>0</v>
      </c>
      <c r="L392" s="666"/>
      <c r="M392" s="665">
        <f t="shared" ref="M392:M455" si="47">G392</f>
        <v>4.5</v>
      </c>
      <c r="N392" s="666">
        <f t="shared" si="43"/>
        <v>6452.6562364360698</v>
      </c>
      <c r="O392" s="672">
        <v>4.5</v>
      </c>
      <c r="P392" s="668">
        <f t="shared" ref="P392:P455" si="48">M392-O392</f>
        <v>0</v>
      </c>
      <c r="Q392" s="669"/>
      <c r="R392" s="669"/>
      <c r="S392" s="702"/>
      <c r="T392" s="702"/>
      <c r="U392" s="702"/>
      <c r="V392" s="702"/>
    </row>
    <row r="393" spans="1:22" s="683" customFormat="1" ht="49.5" customHeight="1">
      <c r="A393" s="986"/>
      <c r="B393" s="986">
        <f t="shared" si="42"/>
        <v>1</v>
      </c>
      <c r="C393" s="987" t="s">
        <v>1458</v>
      </c>
      <c r="D393" s="990">
        <f>Data!X561</f>
        <v>1438.0945367644683</v>
      </c>
      <c r="E393" s="987" t="s">
        <v>264</v>
      </c>
      <c r="F393" s="987">
        <f t="shared" si="44"/>
        <v>1438.0945367644683</v>
      </c>
      <c r="G393" s="989">
        <f>Detailed!H443</f>
        <v>1</v>
      </c>
      <c r="H393" s="666">
        <f t="shared" si="45"/>
        <v>1438.0945367644683</v>
      </c>
      <c r="I393" s="666"/>
      <c r="J393" s="666"/>
      <c r="K393" s="666">
        <f t="shared" si="46"/>
        <v>0</v>
      </c>
      <c r="L393" s="666"/>
      <c r="M393" s="665">
        <f t="shared" si="47"/>
        <v>1</v>
      </c>
      <c r="N393" s="666">
        <f t="shared" si="43"/>
        <v>1438.0945367644683</v>
      </c>
      <c r="O393" s="672">
        <v>1</v>
      </c>
      <c r="P393" s="668">
        <f t="shared" si="48"/>
        <v>0</v>
      </c>
      <c r="Q393" s="669"/>
      <c r="R393" s="669"/>
      <c r="S393" s="702"/>
      <c r="T393" s="702"/>
      <c r="U393" s="702"/>
      <c r="V393" s="702"/>
    </row>
    <row r="394" spans="1:22" s="683" customFormat="1" ht="49.5" customHeight="1">
      <c r="A394" s="986"/>
      <c r="B394" s="986">
        <f t="shared" si="42"/>
        <v>12.4</v>
      </c>
      <c r="C394" s="987" t="s">
        <v>1459</v>
      </c>
      <c r="D394" s="990">
        <f>Data!X562</f>
        <v>1446.3112258627186</v>
      </c>
      <c r="E394" s="987" t="s">
        <v>264</v>
      </c>
      <c r="F394" s="987">
        <f t="shared" si="44"/>
        <v>17934.25920069771</v>
      </c>
      <c r="G394" s="989">
        <f>Detailed!H451</f>
        <v>12.4</v>
      </c>
      <c r="H394" s="666">
        <f t="shared" si="45"/>
        <v>17934.25920069771</v>
      </c>
      <c r="I394" s="666"/>
      <c r="J394" s="666"/>
      <c r="K394" s="666">
        <f t="shared" si="46"/>
        <v>0</v>
      </c>
      <c r="L394" s="666"/>
      <c r="M394" s="665">
        <f t="shared" si="47"/>
        <v>12.4</v>
      </c>
      <c r="N394" s="666">
        <f t="shared" si="43"/>
        <v>17934.25920069771</v>
      </c>
      <c r="O394" s="672">
        <v>12.4</v>
      </c>
      <c r="P394" s="668">
        <f t="shared" si="48"/>
        <v>0</v>
      </c>
      <c r="Q394" s="669"/>
      <c r="R394" s="669"/>
      <c r="S394" s="702"/>
      <c r="T394" s="702"/>
      <c r="U394" s="702"/>
      <c r="V394" s="702"/>
    </row>
    <row r="395" spans="1:22" s="683" customFormat="1" ht="49.5" hidden="1" customHeight="1">
      <c r="A395" s="986"/>
      <c r="B395" s="986">
        <f t="shared" si="42"/>
        <v>0</v>
      </c>
      <c r="C395" s="987" t="s">
        <v>1460</v>
      </c>
      <c r="D395" s="990">
        <f>Data!X563</f>
        <v>1454.5279149609689</v>
      </c>
      <c r="E395" s="987" t="s">
        <v>264</v>
      </c>
      <c r="F395" s="987">
        <f t="shared" si="44"/>
        <v>0</v>
      </c>
      <c r="G395" s="996"/>
      <c r="H395" s="666">
        <f t="shared" si="45"/>
        <v>0</v>
      </c>
      <c r="I395" s="666"/>
      <c r="J395" s="666"/>
      <c r="K395" s="666">
        <f t="shared" si="46"/>
        <v>0</v>
      </c>
      <c r="L395" s="666"/>
      <c r="M395" s="665">
        <f t="shared" si="47"/>
        <v>0</v>
      </c>
      <c r="N395" s="666">
        <f t="shared" si="43"/>
        <v>0</v>
      </c>
      <c r="O395" s="672">
        <v>0</v>
      </c>
      <c r="P395" s="668">
        <f t="shared" si="48"/>
        <v>0</v>
      </c>
      <c r="Q395" s="669"/>
      <c r="R395" s="669"/>
      <c r="S395" s="702"/>
      <c r="T395" s="702"/>
      <c r="U395" s="702"/>
      <c r="V395" s="702"/>
    </row>
    <row r="396" spans="1:22" s="683" customFormat="1" ht="49.5" hidden="1" customHeight="1">
      <c r="A396" s="986"/>
      <c r="B396" s="986">
        <f t="shared" si="42"/>
        <v>0</v>
      </c>
      <c r="C396" s="987" t="s">
        <v>1461</v>
      </c>
      <c r="D396" s="990">
        <f>Data!X564</f>
        <v>1462.7446040592192</v>
      </c>
      <c r="E396" s="987" t="s">
        <v>264</v>
      </c>
      <c r="F396" s="987">
        <f t="shared" si="44"/>
        <v>0</v>
      </c>
      <c r="G396" s="989"/>
      <c r="H396" s="666">
        <f t="shared" si="45"/>
        <v>0</v>
      </c>
      <c r="I396" s="666"/>
      <c r="J396" s="666"/>
      <c r="K396" s="666">
        <f t="shared" si="46"/>
        <v>0</v>
      </c>
      <c r="L396" s="666"/>
      <c r="M396" s="665">
        <f t="shared" si="47"/>
        <v>0</v>
      </c>
      <c r="N396" s="666">
        <f t="shared" si="43"/>
        <v>0</v>
      </c>
      <c r="O396" s="672">
        <v>0</v>
      </c>
      <c r="P396" s="668">
        <f t="shared" si="48"/>
        <v>0</v>
      </c>
      <c r="Q396" s="669"/>
      <c r="R396" s="669"/>
      <c r="S396" s="702"/>
      <c r="T396" s="702"/>
      <c r="U396" s="702"/>
      <c r="V396" s="702"/>
    </row>
    <row r="397" spans="1:22" s="677" customFormat="1" ht="25.5" hidden="1" customHeight="1">
      <c r="A397" s="1012"/>
      <c r="B397" s="986">
        <f t="shared" si="42"/>
        <v>0</v>
      </c>
      <c r="C397" s="1013" t="s">
        <v>1462</v>
      </c>
      <c r="D397" s="993">
        <f>Data!X565</f>
        <v>1470.9612931574695</v>
      </c>
      <c r="E397" s="992" t="s">
        <v>264</v>
      </c>
      <c r="F397" s="987">
        <f t="shared" si="44"/>
        <v>0</v>
      </c>
      <c r="G397" s="994"/>
      <c r="H397" s="666">
        <f t="shared" si="45"/>
        <v>0</v>
      </c>
      <c r="I397" s="666"/>
      <c r="J397" s="666"/>
      <c r="K397" s="666">
        <f t="shared" si="46"/>
        <v>0</v>
      </c>
      <c r="L397" s="666"/>
      <c r="M397" s="665">
        <f t="shared" si="47"/>
        <v>0</v>
      </c>
      <c r="N397" s="666">
        <f t="shared" si="43"/>
        <v>0</v>
      </c>
      <c r="O397" s="672">
        <v>0</v>
      </c>
      <c r="P397" s="668">
        <f t="shared" si="48"/>
        <v>0</v>
      </c>
      <c r="Q397" s="676"/>
      <c r="R397" s="676"/>
      <c r="S397" s="676"/>
      <c r="T397" s="676"/>
      <c r="U397" s="676"/>
      <c r="V397" s="676"/>
    </row>
    <row r="398" spans="1:22" s="677" customFormat="1" ht="43.5" hidden="1" customHeight="1">
      <c r="A398" s="1014" t="s">
        <v>1454</v>
      </c>
      <c r="B398" s="986">
        <f t="shared" si="42"/>
        <v>0</v>
      </c>
      <c r="C398" s="1015" t="s">
        <v>1625</v>
      </c>
      <c r="D398" s="993"/>
      <c r="E398" s="992"/>
      <c r="F398" s="987">
        <f t="shared" si="44"/>
        <v>0</v>
      </c>
      <c r="G398" s="994"/>
      <c r="H398" s="666">
        <f t="shared" si="45"/>
        <v>0</v>
      </c>
      <c r="I398" s="666"/>
      <c r="J398" s="666"/>
      <c r="K398" s="666">
        <f t="shared" si="46"/>
        <v>0</v>
      </c>
      <c r="L398" s="666"/>
      <c r="M398" s="665">
        <f t="shared" si="47"/>
        <v>0</v>
      </c>
      <c r="N398" s="666">
        <f t="shared" si="43"/>
        <v>0</v>
      </c>
      <c r="O398" s="672">
        <v>0</v>
      </c>
      <c r="P398" s="668">
        <f t="shared" si="48"/>
        <v>0</v>
      </c>
      <c r="Q398" s="676"/>
      <c r="R398" s="676"/>
      <c r="S398" s="676"/>
      <c r="T398" s="676"/>
      <c r="U398" s="676"/>
      <c r="V398" s="676"/>
    </row>
    <row r="399" spans="1:22" s="677" customFormat="1" ht="25.5" hidden="1" customHeight="1">
      <c r="A399" s="1014"/>
      <c r="B399" s="986">
        <f t="shared" si="42"/>
        <v>0</v>
      </c>
      <c r="C399" s="1013" t="s">
        <v>1405</v>
      </c>
      <c r="D399" s="993">
        <f>Data!AD537</f>
        <v>1303.2480833216689</v>
      </c>
      <c r="E399" s="992" t="s">
        <v>264</v>
      </c>
      <c r="F399" s="987">
        <f t="shared" si="44"/>
        <v>0</v>
      </c>
      <c r="G399" s="994"/>
      <c r="H399" s="666">
        <f t="shared" si="45"/>
        <v>0</v>
      </c>
      <c r="I399" s="666"/>
      <c r="J399" s="666"/>
      <c r="K399" s="666">
        <f t="shared" si="46"/>
        <v>0</v>
      </c>
      <c r="L399" s="666"/>
      <c r="M399" s="665">
        <f t="shared" si="47"/>
        <v>0</v>
      </c>
      <c r="N399" s="666">
        <f t="shared" si="43"/>
        <v>0</v>
      </c>
      <c r="O399" s="672">
        <v>0</v>
      </c>
      <c r="P399" s="668">
        <f t="shared" si="48"/>
        <v>0</v>
      </c>
      <c r="Q399" s="676"/>
      <c r="R399" s="676"/>
      <c r="S399" s="676"/>
      <c r="T399" s="676"/>
      <c r="U399" s="676"/>
      <c r="V399" s="676"/>
    </row>
    <row r="400" spans="1:22" s="677" customFormat="1" ht="25.5" hidden="1" customHeight="1">
      <c r="A400" s="1014"/>
      <c r="B400" s="986">
        <f t="shared" si="42"/>
        <v>0</v>
      </c>
      <c r="C400" s="1013" t="s">
        <v>1406</v>
      </c>
      <c r="D400" s="993">
        <f>Data!AD538</f>
        <v>1307.3564278707941</v>
      </c>
      <c r="E400" s="992" t="s">
        <v>264</v>
      </c>
      <c r="F400" s="987">
        <f t="shared" si="44"/>
        <v>0</v>
      </c>
      <c r="G400" s="994"/>
      <c r="H400" s="666">
        <f t="shared" si="45"/>
        <v>0</v>
      </c>
      <c r="I400" s="666"/>
      <c r="J400" s="666"/>
      <c r="K400" s="666">
        <f t="shared" si="46"/>
        <v>0</v>
      </c>
      <c r="L400" s="666"/>
      <c r="M400" s="665">
        <f t="shared" si="47"/>
        <v>0</v>
      </c>
      <c r="N400" s="666">
        <f t="shared" si="43"/>
        <v>0</v>
      </c>
      <c r="O400" s="672">
        <v>0</v>
      </c>
      <c r="P400" s="668">
        <f t="shared" si="48"/>
        <v>0</v>
      </c>
      <c r="Q400" s="676"/>
      <c r="R400" s="676"/>
      <c r="S400" s="676"/>
      <c r="T400" s="676"/>
      <c r="U400" s="676"/>
      <c r="V400" s="676"/>
    </row>
    <row r="401" spans="1:22" s="677" customFormat="1" ht="25.5" hidden="1" customHeight="1">
      <c r="A401" s="1014"/>
      <c r="B401" s="986">
        <f t="shared" si="42"/>
        <v>0</v>
      </c>
      <c r="C401" s="1013" t="s">
        <v>1407</v>
      </c>
      <c r="D401" s="993">
        <f>Data!AD539</f>
        <v>1311.4647724199192</v>
      </c>
      <c r="E401" s="992" t="s">
        <v>264</v>
      </c>
      <c r="F401" s="987">
        <f t="shared" si="44"/>
        <v>0</v>
      </c>
      <c r="G401" s="994"/>
      <c r="H401" s="666">
        <f t="shared" si="45"/>
        <v>0</v>
      </c>
      <c r="I401" s="666"/>
      <c r="J401" s="666"/>
      <c r="K401" s="666">
        <f t="shared" si="46"/>
        <v>0</v>
      </c>
      <c r="L401" s="666"/>
      <c r="M401" s="665">
        <f t="shared" si="47"/>
        <v>0</v>
      </c>
      <c r="N401" s="666">
        <f t="shared" si="43"/>
        <v>0</v>
      </c>
      <c r="O401" s="672">
        <v>0</v>
      </c>
      <c r="P401" s="668">
        <f t="shared" si="48"/>
        <v>0</v>
      </c>
      <c r="Q401" s="676"/>
      <c r="R401" s="676"/>
      <c r="S401" s="676"/>
      <c r="T401" s="676"/>
      <c r="U401" s="676"/>
      <c r="V401" s="676"/>
    </row>
    <row r="402" spans="1:22" s="677" customFormat="1" ht="25.5" hidden="1" customHeight="1">
      <c r="A402" s="1014"/>
      <c r="B402" s="986">
        <f t="shared" si="42"/>
        <v>0</v>
      </c>
      <c r="C402" s="1013" t="s">
        <v>1408</v>
      </c>
      <c r="D402" s="993">
        <f>Data!AD540</f>
        <v>1315.5731169690443</v>
      </c>
      <c r="E402" s="992" t="s">
        <v>264</v>
      </c>
      <c r="F402" s="987">
        <f t="shared" si="44"/>
        <v>0</v>
      </c>
      <c r="G402" s="1016"/>
      <c r="H402" s="666">
        <f t="shared" si="45"/>
        <v>0</v>
      </c>
      <c r="I402" s="666"/>
      <c r="J402" s="666"/>
      <c r="K402" s="666">
        <f t="shared" si="46"/>
        <v>0</v>
      </c>
      <c r="L402" s="666"/>
      <c r="M402" s="665">
        <f t="shared" si="47"/>
        <v>0</v>
      </c>
      <c r="N402" s="666">
        <f t="shared" si="43"/>
        <v>0</v>
      </c>
      <c r="O402" s="672">
        <v>0</v>
      </c>
      <c r="P402" s="668">
        <f t="shared" si="48"/>
        <v>0</v>
      </c>
      <c r="Q402" s="676"/>
      <c r="R402" s="676"/>
      <c r="S402" s="676"/>
      <c r="T402" s="676"/>
      <c r="U402" s="676"/>
      <c r="V402" s="676"/>
    </row>
    <row r="403" spans="1:22" s="677" customFormat="1" ht="25.5" hidden="1" customHeight="1">
      <c r="A403" s="1012"/>
      <c r="B403" s="986">
        <f t="shared" si="42"/>
        <v>0</v>
      </c>
      <c r="C403" s="1013" t="s">
        <v>1409</v>
      </c>
      <c r="D403" s="993">
        <f>Data!AD541</f>
        <v>1319.6814615181695</v>
      </c>
      <c r="E403" s="992" t="s">
        <v>264</v>
      </c>
      <c r="F403" s="987">
        <f t="shared" si="44"/>
        <v>0</v>
      </c>
      <c r="G403" s="1007"/>
      <c r="H403" s="666">
        <f t="shared" si="45"/>
        <v>0</v>
      </c>
      <c r="I403" s="666"/>
      <c r="J403" s="666"/>
      <c r="K403" s="666">
        <f t="shared" si="46"/>
        <v>0</v>
      </c>
      <c r="L403" s="666"/>
      <c r="M403" s="665">
        <f t="shared" si="47"/>
        <v>0</v>
      </c>
      <c r="N403" s="666">
        <f t="shared" si="43"/>
        <v>0</v>
      </c>
      <c r="O403" s="672">
        <v>0</v>
      </c>
      <c r="P403" s="668">
        <f t="shared" si="48"/>
        <v>0</v>
      </c>
      <c r="Q403" s="676"/>
      <c r="R403" s="676"/>
      <c r="S403" s="676"/>
      <c r="T403" s="676"/>
      <c r="U403" s="676"/>
      <c r="V403" s="676"/>
    </row>
    <row r="404" spans="1:22" s="677" customFormat="1" ht="61.5" hidden="1" customHeight="1">
      <c r="A404" s="1014" t="s">
        <v>39</v>
      </c>
      <c r="B404" s="986">
        <f t="shared" si="42"/>
        <v>0</v>
      </c>
      <c r="C404" s="1015" t="s">
        <v>1626</v>
      </c>
      <c r="D404" s="993"/>
      <c r="E404" s="992"/>
      <c r="F404" s="987">
        <f t="shared" si="44"/>
        <v>0</v>
      </c>
      <c r="G404" s="994"/>
      <c r="H404" s="666">
        <f t="shared" si="45"/>
        <v>0</v>
      </c>
      <c r="I404" s="666"/>
      <c r="J404" s="666"/>
      <c r="K404" s="666">
        <f t="shared" si="46"/>
        <v>0</v>
      </c>
      <c r="L404" s="666"/>
      <c r="M404" s="665">
        <f t="shared" si="47"/>
        <v>0</v>
      </c>
      <c r="N404" s="666">
        <f t="shared" si="43"/>
        <v>0</v>
      </c>
      <c r="O404" s="672">
        <v>0</v>
      </c>
      <c r="P404" s="668">
        <f t="shared" si="48"/>
        <v>0</v>
      </c>
      <c r="Q404" s="676"/>
      <c r="R404" s="676"/>
      <c r="S404" s="676"/>
      <c r="T404" s="676"/>
      <c r="U404" s="676"/>
      <c r="V404" s="676"/>
    </row>
    <row r="405" spans="1:22" s="677" customFormat="1" ht="39" hidden="1" customHeight="1">
      <c r="A405" s="1014"/>
      <c r="B405" s="986">
        <f t="shared" si="42"/>
        <v>0</v>
      </c>
      <c r="C405" s="992" t="s">
        <v>1457</v>
      </c>
      <c r="D405" s="993">
        <f>Data!AD559</f>
        <v>1455.6226807752355</v>
      </c>
      <c r="E405" s="992" t="s">
        <v>264</v>
      </c>
      <c r="F405" s="987">
        <f t="shared" si="44"/>
        <v>0</v>
      </c>
      <c r="G405" s="994"/>
      <c r="H405" s="666">
        <f t="shared" si="45"/>
        <v>0</v>
      </c>
      <c r="I405" s="666"/>
      <c r="J405" s="666"/>
      <c r="K405" s="666">
        <f t="shared" si="46"/>
        <v>0</v>
      </c>
      <c r="L405" s="666"/>
      <c r="M405" s="665">
        <f t="shared" si="47"/>
        <v>0</v>
      </c>
      <c r="N405" s="666">
        <f t="shared" si="43"/>
        <v>0</v>
      </c>
      <c r="O405" s="672">
        <v>0</v>
      </c>
      <c r="P405" s="668">
        <f t="shared" si="48"/>
        <v>0</v>
      </c>
      <c r="Q405" s="676"/>
      <c r="R405" s="676"/>
      <c r="S405" s="676"/>
      <c r="T405" s="676"/>
      <c r="U405" s="676"/>
      <c r="V405" s="676"/>
    </row>
    <row r="406" spans="1:22" s="677" customFormat="1" ht="25.5" hidden="1" customHeight="1">
      <c r="A406" s="1014"/>
      <c r="B406" s="986">
        <f t="shared" si="42"/>
        <v>0</v>
      </c>
      <c r="C406" s="1013" t="s">
        <v>1458</v>
      </c>
      <c r="D406" s="993">
        <f>Data!AD561</f>
        <v>1459.7936094427994</v>
      </c>
      <c r="E406" s="992" t="s">
        <v>264</v>
      </c>
      <c r="F406" s="987">
        <f t="shared" si="44"/>
        <v>0</v>
      </c>
      <c r="G406" s="994"/>
      <c r="H406" s="666">
        <f t="shared" si="45"/>
        <v>0</v>
      </c>
      <c r="I406" s="666"/>
      <c r="J406" s="666"/>
      <c r="K406" s="666">
        <f t="shared" si="46"/>
        <v>0</v>
      </c>
      <c r="L406" s="666"/>
      <c r="M406" s="665">
        <f t="shared" si="47"/>
        <v>0</v>
      </c>
      <c r="N406" s="666">
        <f t="shared" si="43"/>
        <v>0</v>
      </c>
      <c r="O406" s="672">
        <v>0</v>
      </c>
      <c r="P406" s="668">
        <f t="shared" si="48"/>
        <v>0</v>
      </c>
      <c r="Q406" s="676"/>
      <c r="R406" s="676"/>
      <c r="S406" s="676"/>
      <c r="T406" s="676"/>
      <c r="U406" s="676"/>
      <c r="V406" s="676"/>
    </row>
    <row r="407" spans="1:22" s="677" customFormat="1" ht="25.5" hidden="1" customHeight="1">
      <c r="A407" s="1014"/>
      <c r="B407" s="986">
        <f t="shared" si="42"/>
        <v>0</v>
      </c>
      <c r="C407" s="1013" t="s">
        <v>1459</v>
      </c>
      <c r="D407" s="993">
        <f>Data!AD562</f>
        <v>1468.0102985410497</v>
      </c>
      <c r="E407" s="992" t="s">
        <v>264</v>
      </c>
      <c r="F407" s="987">
        <f t="shared" si="44"/>
        <v>0</v>
      </c>
      <c r="G407" s="994"/>
      <c r="H407" s="666">
        <f t="shared" si="45"/>
        <v>0</v>
      </c>
      <c r="I407" s="666"/>
      <c r="J407" s="666"/>
      <c r="K407" s="666">
        <f t="shared" si="46"/>
        <v>0</v>
      </c>
      <c r="L407" s="666"/>
      <c r="M407" s="665">
        <f t="shared" si="47"/>
        <v>0</v>
      </c>
      <c r="N407" s="666">
        <f t="shared" si="43"/>
        <v>0</v>
      </c>
      <c r="O407" s="672">
        <v>0</v>
      </c>
      <c r="P407" s="668">
        <f t="shared" si="48"/>
        <v>0</v>
      </c>
      <c r="Q407" s="676"/>
      <c r="R407" s="676"/>
      <c r="S407" s="676"/>
      <c r="T407" s="676"/>
      <c r="U407" s="676"/>
      <c r="V407" s="676"/>
    </row>
    <row r="408" spans="1:22" s="677" customFormat="1" ht="25.5" hidden="1" customHeight="1">
      <c r="A408" s="1014"/>
      <c r="B408" s="986">
        <f t="shared" si="42"/>
        <v>0</v>
      </c>
      <c r="C408" s="1013" t="s">
        <v>1460</v>
      </c>
      <c r="D408" s="993">
        <f>Data!AD563</f>
        <v>1476.2269876393</v>
      </c>
      <c r="E408" s="992" t="s">
        <v>264</v>
      </c>
      <c r="F408" s="987">
        <f t="shared" si="44"/>
        <v>0</v>
      </c>
      <c r="G408" s="1016"/>
      <c r="H408" s="666">
        <f t="shared" si="45"/>
        <v>0</v>
      </c>
      <c r="I408" s="666"/>
      <c r="J408" s="666"/>
      <c r="K408" s="666">
        <f t="shared" si="46"/>
        <v>0</v>
      </c>
      <c r="L408" s="666"/>
      <c r="M408" s="665">
        <f t="shared" si="47"/>
        <v>0</v>
      </c>
      <c r="N408" s="666">
        <f t="shared" si="43"/>
        <v>0</v>
      </c>
      <c r="O408" s="672">
        <v>0</v>
      </c>
      <c r="P408" s="668">
        <f t="shared" si="48"/>
        <v>0</v>
      </c>
      <c r="Q408" s="676"/>
      <c r="R408" s="676"/>
      <c r="S408" s="676"/>
      <c r="T408" s="676"/>
      <c r="U408" s="676"/>
      <c r="V408" s="676"/>
    </row>
    <row r="409" spans="1:22" s="677" customFormat="1" ht="25.5" hidden="1" customHeight="1">
      <c r="A409" s="1014"/>
      <c r="B409" s="986">
        <f t="shared" si="42"/>
        <v>0</v>
      </c>
      <c r="C409" s="1013" t="s">
        <v>1461</v>
      </c>
      <c r="D409" s="993">
        <f>Data!AD564</f>
        <v>1484.4436767375503</v>
      </c>
      <c r="E409" s="992" t="s">
        <v>264</v>
      </c>
      <c r="F409" s="987">
        <f t="shared" si="44"/>
        <v>0</v>
      </c>
      <c r="G409" s="994"/>
      <c r="H409" s="666">
        <f t="shared" si="45"/>
        <v>0</v>
      </c>
      <c r="I409" s="666"/>
      <c r="J409" s="666"/>
      <c r="K409" s="666">
        <f t="shared" si="46"/>
        <v>0</v>
      </c>
      <c r="L409" s="666"/>
      <c r="M409" s="665">
        <f t="shared" si="47"/>
        <v>0</v>
      </c>
      <c r="N409" s="666">
        <f t="shared" si="43"/>
        <v>0</v>
      </c>
      <c r="O409" s="672">
        <v>0</v>
      </c>
      <c r="P409" s="668">
        <f t="shared" si="48"/>
        <v>0</v>
      </c>
      <c r="Q409" s="676"/>
      <c r="R409" s="676"/>
      <c r="S409" s="676"/>
      <c r="T409" s="676"/>
      <c r="U409" s="676"/>
      <c r="V409" s="676"/>
    </row>
    <row r="410" spans="1:22" s="677" customFormat="1" ht="25.5" hidden="1" customHeight="1">
      <c r="A410" s="1012"/>
      <c r="B410" s="986">
        <f t="shared" si="42"/>
        <v>0</v>
      </c>
      <c r="C410" s="1013" t="s">
        <v>1462</v>
      </c>
      <c r="D410" s="993">
        <f>Data!AD565</f>
        <v>1492.6603658358006</v>
      </c>
      <c r="E410" s="992" t="s">
        <v>264</v>
      </c>
      <c r="F410" s="987">
        <f t="shared" si="44"/>
        <v>0</v>
      </c>
      <c r="G410" s="994"/>
      <c r="H410" s="666">
        <f t="shared" si="45"/>
        <v>0</v>
      </c>
      <c r="I410" s="666"/>
      <c r="J410" s="666"/>
      <c r="K410" s="666">
        <f t="shared" si="46"/>
        <v>0</v>
      </c>
      <c r="L410" s="666"/>
      <c r="M410" s="665">
        <f t="shared" si="47"/>
        <v>0</v>
      </c>
      <c r="N410" s="666">
        <f t="shared" si="43"/>
        <v>0</v>
      </c>
      <c r="O410" s="672">
        <v>0</v>
      </c>
      <c r="P410" s="668">
        <f t="shared" si="48"/>
        <v>0</v>
      </c>
      <c r="Q410" s="676"/>
      <c r="R410" s="676"/>
      <c r="S410" s="676"/>
      <c r="T410" s="676"/>
      <c r="U410" s="676"/>
      <c r="V410" s="676"/>
    </row>
    <row r="411" spans="1:22" s="677" customFormat="1" ht="40.5" hidden="1" customHeight="1">
      <c r="A411" s="1012"/>
      <c r="B411" s="986">
        <f t="shared" si="42"/>
        <v>0</v>
      </c>
      <c r="C411" s="1017" t="s">
        <v>1627</v>
      </c>
      <c r="D411" s="993"/>
      <c r="E411" s="992"/>
      <c r="F411" s="987">
        <f t="shared" si="44"/>
        <v>0</v>
      </c>
      <c r="G411" s="1016"/>
      <c r="H411" s="666">
        <f t="shared" si="45"/>
        <v>0</v>
      </c>
      <c r="I411" s="666"/>
      <c r="J411" s="666"/>
      <c r="K411" s="666">
        <f t="shared" si="46"/>
        <v>0</v>
      </c>
      <c r="L411" s="666"/>
      <c r="M411" s="665">
        <f t="shared" si="47"/>
        <v>0</v>
      </c>
      <c r="N411" s="666">
        <f t="shared" si="43"/>
        <v>0</v>
      </c>
      <c r="O411" s="672">
        <v>0</v>
      </c>
      <c r="P411" s="668">
        <f t="shared" si="48"/>
        <v>0</v>
      </c>
      <c r="Q411" s="676"/>
      <c r="R411" s="676"/>
      <c r="S411" s="676"/>
      <c r="T411" s="676"/>
      <c r="U411" s="676"/>
      <c r="V411" s="676"/>
    </row>
    <row r="412" spans="1:22" s="677" customFormat="1" ht="25.5" hidden="1" customHeight="1">
      <c r="A412" s="1012"/>
      <c r="B412" s="986">
        <f t="shared" si="42"/>
        <v>0</v>
      </c>
      <c r="C412" s="1018" t="s">
        <v>1628</v>
      </c>
      <c r="D412" s="1019">
        <f>Data!AD486</f>
        <v>2604.5811827956986</v>
      </c>
      <c r="E412" s="1018" t="s">
        <v>264</v>
      </c>
      <c r="F412" s="987">
        <f t="shared" si="44"/>
        <v>0</v>
      </c>
      <c r="G412" s="1020"/>
      <c r="H412" s="666">
        <f t="shared" si="45"/>
        <v>0</v>
      </c>
      <c r="I412" s="666"/>
      <c r="J412" s="666"/>
      <c r="K412" s="666">
        <f t="shared" si="46"/>
        <v>0</v>
      </c>
      <c r="L412" s="666"/>
      <c r="M412" s="665">
        <f t="shared" si="47"/>
        <v>0</v>
      </c>
      <c r="N412" s="666">
        <f t="shared" si="43"/>
        <v>0</v>
      </c>
      <c r="O412" s="672">
        <v>0</v>
      </c>
      <c r="P412" s="668">
        <f t="shared" si="48"/>
        <v>0</v>
      </c>
      <c r="Q412" s="676"/>
      <c r="R412" s="676"/>
      <c r="S412" s="676"/>
      <c r="T412" s="676"/>
      <c r="U412" s="676"/>
      <c r="V412" s="676"/>
    </row>
    <row r="413" spans="1:22" s="677" customFormat="1" ht="25.5" hidden="1" customHeight="1">
      <c r="A413" s="1012"/>
      <c r="B413" s="986">
        <f t="shared" si="42"/>
        <v>0</v>
      </c>
      <c r="C413" s="1018" t="s">
        <v>1406</v>
      </c>
      <c r="D413" s="1019">
        <f>Data!AD487</f>
        <v>2612.2397849462363</v>
      </c>
      <c r="E413" s="1018" t="s">
        <v>264</v>
      </c>
      <c r="F413" s="987">
        <f t="shared" si="44"/>
        <v>0</v>
      </c>
      <c r="G413" s="1021"/>
      <c r="H413" s="666">
        <f t="shared" si="45"/>
        <v>0</v>
      </c>
      <c r="I413" s="666"/>
      <c r="J413" s="666"/>
      <c r="K413" s="666">
        <f t="shared" si="46"/>
        <v>0</v>
      </c>
      <c r="L413" s="666"/>
      <c r="M413" s="665">
        <f t="shared" si="47"/>
        <v>0</v>
      </c>
      <c r="N413" s="666">
        <f t="shared" si="43"/>
        <v>0</v>
      </c>
      <c r="O413" s="672">
        <v>0</v>
      </c>
      <c r="P413" s="668">
        <f t="shared" si="48"/>
        <v>0</v>
      </c>
      <c r="Q413" s="676"/>
      <c r="R413" s="676"/>
      <c r="S413" s="676"/>
      <c r="T413" s="676"/>
      <c r="U413" s="676"/>
      <c r="V413" s="676"/>
    </row>
    <row r="414" spans="1:22" s="677" customFormat="1" ht="25.5" hidden="1" customHeight="1">
      <c r="A414" s="1012"/>
      <c r="B414" s="986">
        <f t="shared" si="42"/>
        <v>0</v>
      </c>
      <c r="C414" s="1013" t="s">
        <v>1407</v>
      </c>
      <c r="D414" s="1019">
        <f>Data!AD488</f>
        <v>2619.8983870967741</v>
      </c>
      <c r="E414" s="992" t="s">
        <v>264</v>
      </c>
      <c r="F414" s="987">
        <f t="shared" si="44"/>
        <v>0</v>
      </c>
      <c r="G414" s="994"/>
      <c r="H414" s="666">
        <f t="shared" si="45"/>
        <v>0</v>
      </c>
      <c r="I414" s="666"/>
      <c r="J414" s="666"/>
      <c r="K414" s="666">
        <f t="shared" si="46"/>
        <v>0</v>
      </c>
      <c r="L414" s="666"/>
      <c r="M414" s="665">
        <f t="shared" si="47"/>
        <v>0</v>
      </c>
      <c r="N414" s="666">
        <f t="shared" si="43"/>
        <v>0</v>
      </c>
      <c r="O414" s="672">
        <v>0</v>
      </c>
      <c r="P414" s="668">
        <f t="shared" si="48"/>
        <v>0</v>
      </c>
      <c r="Q414" s="676"/>
      <c r="R414" s="676"/>
      <c r="S414" s="676"/>
      <c r="T414" s="676"/>
      <c r="U414" s="676"/>
      <c r="V414" s="676"/>
    </row>
    <row r="415" spans="1:22" s="677" customFormat="1" ht="25.5" hidden="1" customHeight="1">
      <c r="A415" s="1012"/>
      <c r="B415" s="986">
        <f t="shared" si="42"/>
        <v>0</v>
      </c>
      <c r="C415" s="1013" t="s">
        <v>1408</v>
      </c>
      <c r="D415" s="1019">
        <f>Data!AD489</f>
        <v>2627.5569892473118</v>
      </c>
      <c r="E415" s="992" t="s">
        <v>264</v>
      </c>
      <c r="F415" s="987">
        <f t="shared" si="44"/>
        <v>0</v>
      </c>
      <c r="G415" s="1016"/>
      <c r="H415" s="666">
        <f t="shared" si="45"/>
        <v>0</v>
      </c>
      <c r="I415" s="666"/>
      <c r="J415" s="666"/>
      <c r="K415" s="666">
        <f t="shared" si="46"/>
        <v>0</v>
      </c>
      <c r="L415" s="666"/>
      <c r="M415" s="665">
        <f t="shared" si="47"/>
        <v>0</v>
      </c>
      <c r="N415" s="666">
        <f t="shared" si="43"/>
        <v>0</v>
      </c>
      <c r="O415" s="672">
        <v>0</v>
      </c>
      <c r="P415" s="668">
        <f t="shared" si="48"/>
        <v>0</v>
      </c>
      <c r="Q415" s="676"/>
      <c r="R415" s="676"/>
      <c r="S415" s="676"/>
      <c r="T415" s="676"/>
      <c r="U415" s="676"/>
      <c r="V415" s="676"/>
    </row>
    <row r="416" spans="1:22" s="677" customFormat="1" ht="5.25" hidden="1" customHeight="1">
      <c r="A416" s="1012"/>
      <c r="B416" s="986">
        <f t="shared" si="42"/>
        <v>0</v>
      </c>
      <c r="C416" s="1013" t="s">
        <v>1409</v>
      </c>
      <c r="D416" s="1019">
        <f>Data!AD490</f>
        <v>2635.2155913978495</v>
      </c>
      <c r="E416" s="992" t="s">
        <v>264</v>
      </c>
      <c r="F416" s="987">
        <f t="shared" si="44"/>
        <v>0</v>
      </c>
      <c r="G416" s="1007"/>
      <c r="H416" s="666">
        <f t="shared" si="45"/>
        <v>0</v>
      </c>
      <c r="I416" s="666"/>
      <c r="J416" s="666"/>
      <c r="K416" s="666">
        <f t="shared" si="46"/>
        <v>0</v>
      </c>
      <c r="L416" s="666"/>
      <c r="M416" s="665">
        <f t="shared" si="47"/>
        <v>0</v>
      </c>
      <c r="N416" s="666">
        <f t="shared" si="43"/>
        <v>0</v>
      </c>
      <c r="O416" s="672">
        <v>0</v>
      </c>
      <c r="P416" s="668">
        <f t="shared" si="48"/>
        <v>0</v>
      </c>
      <c r="Q416" s="676"/>
      <c r="R416" s="676"/>
      <c r="S416" s="676"/>
      <c r="T416" s="676"/>
      <c r="U416" s="676"/>
      <c r="V416" s="676"/>
    </row>
    <row r="417" spans="1:22" s="683" customFormat="1" ht="90.75" hidden="1" customHeight="1">
      <c r="A417" s="1022"/>
      <c r="B417" s="986">
        <f t="shared" si="42"/>
        <v>0</v>
      </c>
      <c r="C417" s="987" t="s">
        <v>1629</v>
      </c>
      <c r="D417" s="990"/>
      <c r="E417" s="987"/>
      <c r="F417" s="987">
        <f t="shared" si="44"/>
        <v>0</v>
      </c>
      <c r="G417" s="989"/>
      <c r="H417" s="666">
        <f t="shared" si="45"/>
        <v>0</v>
      </c>
      <c r="I417" s="666"/>
      <c r="J417" s="666"/>
      <c r="K417" s="666">
        <f t="shared" si="46"/>
        <v>0</v>
      </c>
      <c r="L417" s="666"/>
      <c r="M417" s="665">
        <f t="shared" si="47"/>
        <v>0</v>
      </c>
      <c r="N417" s="666">
        <f t="shared" si="43"/>
        <v>0</v>
      </c>
      <c r="O417" s="668">
        <v>0</v>
      </c>
      <c r="P417" s="668">
        <f t="shared" si="48"/>
        <v>0</v>
      </c>
      <c r="Q417" s="678"/>
      <c r="R417" s="669"/>
      <c r="S417" s="679"/>
      <c r="T417" s="702"/>
      <c r="U417" s="702"/>
      <c r="V417" s="702"/>
    </row>
    <row r="418" spans="1:22" s="683" customFormat="1" ht="48.75" hidden="1" customHeight="1">
      <c r="A418" s="985"/>
      <c r="B418" s="986">
        <f t="shared" si="42"/>
        <v>0</v>
      </c>
      <c r="C418" s="987" t="s">
        <v>1420</v>
      </c>
      <c r="D418" s="990">
        <f>Data!X486</f>
        <v>2584.371505376344</v>
      </c>
      <c r="E418" s="987" t="s">
        <v>264</v>
      </c>
      <c r="F418" s="987">
        <f t="shared" si="44"/>
        <v>0</v>
      </c>
      <c r="G418" s="1011"/>
      <c r="H418" s="666">
        <f t="shared" si="45"/>
        <v>0</v>
      </c>
      <c r="I418" s="666"/>
      <c r="J418" s="666"/>
      <c r="K418" s="666">
        <f t="shared" si="46"/>
        <v>0</v>
      </c>
      <c r="L418" s="666"/>
      <c r="M418" s="665">
        <f t="shared" si="47"/>
        <v>0</v>
      </c>
      <c r="N418" s="666">
        <f t="shared" si="43"/>
        <v>0</v>
      </c>
      <c r="O418" s="672">
        <v>0</v>
      </c>
      <c r="P418" s="668">
        <f t="shared" si="48"/>
        <v>0</v>
      </c>
      <c r="Q418" s="669"/>
      <c r="R418" s="669"/>
      <c r="S418" s="702"/>
      <c r="T418" s="702"/>
      <c r="U418" s="702"/>
      <c r="V418" s="702"/>
    </row>
    <row r="419" spans="1:22" s="683" customFormat="1" ht="48.75" hidden="1" customHeight="1">
      <c r="A419" s="985"/>
      <c r="B419" s="986">
        <f t="shared" si="42"/>
        <v>0</v>
      </c>
      <c r="C419" s="987" t="s">
        <v>1406</v>
      </c>
      <c r="D419" s="990">
        <f>Data!X487</f>
        <v>2592.0301075268817</v>
      </c>
      <c r="E419" s="987" t="s">
        <v>264</v>
      </c>
      <c r="F419" s="987">
        <f t="shared" si="44"/>
        <v>0</v>
      </c>
      <c r="G419" s="1011"/>
      <c r="H419" s="666">
        <f t="shared" si="45"/>
        <v>0</v>
      </c>
      <c r="I419" s="666"/>
      <c r="J419" s="666"/>
      <c r="K419" s="666">
        <f t="shared" si="46"/>
        <v>0</v>
      </c>
      <c r="L419" s="666"/>
      <c r="M419" s="665">
        <f t="shared" si="47"/>
        <v>0</v>
      </c>
      <c r="N419" s="666">
        <f t="shared" si="43"/>
        <v>0</v>
      </c>
      <c r="O419" s="672">
        <v>0</v>
      </c>
      <c r="P419" s="668">
        <f t="shared" si="48"/>
        <v>0</v>
      </c>
      <c r="Q419" s="669"/>
      <c r="R419" s="669"/>
      <c r="S419" s="702"/>
      <c r="T419" s="702"/>
      <c r="U419" s="702"/>
      <c r="V419" s="702"/>
    </row>
    <row r="420" spans="1:22" s="683" customFormat="1" ht="48.75" hidden="1" customHeight="1">
      <c r="A420" s="985"/>
      <c r="B420" s="986">
        <f t="shared" si="42"/>
        <v>0</v>
      </c>
      <c r="C420" s="987" t="s">
        <v>1407</v>
      </c>
      <c r="D420" s="990">
        <f>Data!X488</f>
        <v>2599.6887096774194</v>
      </c>
      <c r="E420" s="987" t="s">
        <v>264</v>
      </c>
      <c r="F420" s="987">
        <f t="shared" si="44"/>
        <v>0</v>
      </c>
      <c r="G420" s="1011"/>
      <c r="H420" s="666">
        <f t="shared" si="45"/>
        <v>0</v>
      </c>
      <c r="I420" s="666"/>
      <c r="J420" s="666"/>
      <c r="K420" s="666">
        <f t="shared" si="46"/>
        <v>0</v>
      </c>
      <c r="L420" s="666"/>
      <c r="M420" s="665">
        <f t="shared" si="47"/>
        <v>0</v>
      </c>
      <c r="N420" s="666">
        <f t="shared" si="43"/>
        <v>0</v>
      </c>
      <c r="O420" s="672">
        <v>0</v>
      </c>
      <c r="P420" s="668">
        <f t="shared" si="48"/>
        <v>0</v>
      </c>
      <c r="Q420" s="669"/>
      <c r="R420" s="669"/>
      <c r="S420" s="702"/>
      <c r="T420" s="702"/>
      <c r="U420" s="702"/>
      <c r="V420" s="702"/>
    </row>
    <row r="421" spans="1:22" s="683" customFormat="1" ht="48.75" hidden="1" customHeight="1">
      <c r="A421" s="985"/>
      <c r="B421" s="986">
        <f t="shared" si="42"/>
        <v>0</v>
      </c>
      <c r="C421" s="987" t="s">
        <v>1408</v>
      </c>
      <c r="D421" s="990">
        <f>Data!X489</f>
        <v>2607.3473118279571</v>
      </c>
      <c r="E421" s="987" t="s">
        <v>264</v>
      </c>
      <c r="F421" s="987">
        <f t="shared" si="44"/>
        <v>0</v>
      </c>
      <c r="G421" s="1011"/>
      <c r="H421" s="666">
        <f t="shared" si="45"/>
        <v>0</v>
      </c>
      <c r="I421" s="666"/>
      <c r="J421" s="666"/>
      <c r="K421" s="666">
        <f t="shared" si="46"/>
        <v>0</v>
      </c>
      <c r="L421" s="666"/>
      <c r="M421" s="665">
        <f t="shared" si="47"/>
        <v>0</v>
      </c>
      <c r="N421" s="666">
        <f t="shared" si="43"/>
        <v>0</v>
      </c>
      <c r="O421" s="672">
        <v>0</v>
      </c>
      <c r="P421" s="668">
        <f t="shared" si="48"/>
        <v>0</v>
      </c>
      <c r="Q421" s="669"/>
      <c r="R421" s="669"/>
      <c r="S421" s="702"/>
      <c r="T421" s="702"/>
      <c r="U421" s="702"/>
      <c r="V421" s="702"/>
    </row>
    <row r="422" spans="1:22" s="683" customFormat="1" ht="44.25" hidden="1" customHeight="1">
      <c r="A422" s="998"/>
      <c r="B422" s="986">
        <f t="shared" si="42"/>
        <v>0</v>
      </c>
      <c r="C422" s="987" t="s">
        <v>1409</v>
      </c>
      <c r="D422" s="990">
        <f>Data!X490</f>
        <v>2615.0059139784948</v>
      </c>
      <c r="E422" s="987" t="s">
        <v>264</v>
      </c>
      <c r="F422" s="987">
        <f t="shared" si="44"/>
        <v>0</v>
      </c>
      <c r="G422" s="1011"/>
      <c r="H422" s="666">
        <f t="shared" si="45"/>
        <v>0</v>
      </c>
      <c r="I422" s="666"/>
      <c r="J422" s="666"/>
      <c r="K422" s="666">
        <f t="shared" si="46"/>
        <v>0</v>
      </c>
      <c r="L422" s="666"/>
      <c r="M422" s="665">
        <f t="shared" si="47"/>
        <v>0</v>
      </c>
      <c r="N422" s="666">
        <f t="shared" si="43"/>
        <v>0</v>
      </c>
      <c r="O422" s="672">
        <v>0</v>
      </c>
      <c r="P422" s="668">
        <f t="shared" si="48"/>
        <v>0</v>
      </c>
      <c r="Q422" s="669"/>
      <c r="R422" s="669"/>
      <c r="S422" s="702"/>
      <c r="T422" s="702"/>
      <c r="U422" s="702"/>
      <c r="V422" s="702"/>
    </row>
    <row r="423" spans="1:22" s="726" customFormat="1" ht="25.5" hidden="1" customHeight="1">
      <c r="A423" s="1023"/>
      <c r="B423" s="986">
        <f t="shared" si="42"/>
        <v>0</v>
      </c>
      <c r="C423" s="1024" t="s">
        <v>1411</v>
      </c>
      <c r="D423" s="993">
        <f>Data!X491</f>
        <v>0</v>
      </c>
      <c r="E423" s="992" t="s">
        <v>264</v>
      </c>
      <c r="F423" s="987">
        <f t="shared" si="44"/>
        <v>0</v>
      </c>
      <c r="G423" s="994"/>
      <c r="H423" s="666">
        <f t="shared" si="45"/>
        <v>0</v>
      </c>
      <c r="I423" s="666"/>
      <c r="J423" s="666"/>
      <c r="K423" s="666">
        <f t="shared" si="46"/>
        <v>0</v>
      </c>
      <c r="L423" s="666"/>
      <c r="M423" s="665">
        <f t="shared" si="47"/>
        <v>0</v>
      </c>
      <c r="N423" s="666">
        <f t="shared" si="43"/>
        <v>0</v>
      </c>
      <c r="O423" s="672">
        <v>0</v>
      </c>
      <c r="P423" s="668">
        <f t="shared" si="48"/>
        <v>0</v>
      </c>
      <c r="Q423" s="725"/>
      <c r="R423" s="725"/>
      <c r="S423" s="725"/>
      <c r="T423" s="725"/>
      <c r="U423" s="725"/>
      <c r="V423" s="725"/>
    </row>
    <row r="424" spans="1:22" ht="44.25" customHeight="1">
      <c r="A424" s="985">
        <v>4.0999999999999996</v>
      </c>
      <c r="B424" s="986">
        <f t="shared" si="42"/>
        <v>0</v>
      </c>
      <c r="C424" s="1025" t="s">
        <v>547</v>
      </c>
      <c r="D424" s="990"/>
      <c r="E424" s="987"/>
      <c r="F424" s="987">
        <f t="shared" si="44"/>
        <v>0</v>
      </c>
      <c r="G424" s="996"/>
      <c r="H424" s="666">
        <f t="shared" si="45"/>
        <v>0</v>
      </c>
      <c r="I424" s="666"/>
      <c r="J424" s="666"/>
      <c r="K424" s="666">
        <f t="shared" si="46"/>
        <v>0</v>
      </c>
      <c r="L424" s="666"/>
      <c r="M424" s="665">
        <f t="shared" si="47"/>
        <v>0</v>
      </c>
      <c r="N424" s="666">
        <f t="shared" si="43"/>
        <v>0</v>
      </c>
      <c r="O424" s="668">
        <v>0</v>
      </c>
      <c r="P424" s="668">
        <f t="shared" si="48"/>
        <v>0</v>
      </c>
      <c r="Q424" s="678"/>
      <c r="S424" s="679"/>
    </row>
    <row r="425" spans="1:22" ht="50.25" customHeight="1">
      <c r="A425" s="985"/>
      <c r="B425" s="986">
        <f t="shared" si="42"/>
        <v>30.6</v>
      </c>
      <c r="C425" s="987" t="s">
        <v>1433</v>
      </c>
      <c r="D425" s="990">
        <f>Data!X718</f>
        <v>7676.3041077000007</v>
      </c>
      <c r="E425" s="987" t="s">
        <v>16</v>
      </c>
      <c r="F425" s="987">
        <f t="shared" si="44"/>
        <v>234894.90569562002</v>
      </c>
      <c r="G425" s="989">
        <f>Detailed!H121</f>
        <v>30.6</v>
      </c>
      <c r="H425" s="666">
        <f t="shared" si="45"/>
        <v>234894.90569562002</v>
      </c>
      <c r="I425" s="666"/>
      <c r="J425" s="666"/>
      <c r="K425" s="666">
        <f t="shared" si="46"/>
        <v>0</v>
      </c>
      <c r="L425" s="666"/>
      <c r="M425" s="665">
        <f t="shared" si="47"/>
        <v>30.6</v>
      </c>
      <c r="N425" s="666">
        <f t="shared" si="43"/>
        <v>234894.90569562002</v>
      </c>
      <c r="O425" s="672">
        <v>38.4</v>
      </c>
      <c r="P425" s="668">
        <f t="shared" si="48"/>
        <v>-7.7999999999999972</v>
      </c>
    </row>
    <row r="426" spans="1:22" ht="50.25" customHeight="1">
      <c r="A426" s="985">
        <v>8.1</v>
      </c>
      <c r="B426" s="986">
        <f t="shared" si="42"/>
        <v>34.800000000000004</v>
      </c>
      <c r="C426" s="987" t="s">
        <v>1630</v>
      </c>
      <c r="D426" s="990">
        <f>Data!X720</f>
        <v>7779.6041077000009</v>
      </c>
      <c r="E426" s="987" t="s">
        <v>16</v>
      </c>
      <c r="F426" s="987">
        <f t="shared" si="44"/>
        <v>270730.22294796008</v>
      </c>
      <c r="G426" s="989">
        <f>Detailed!H198</f>
        <v>34.800000000000004</v>
      </c>
      <c r="H426" s="666">
        <f t="shared" si="45"/>
        <v>270730.22294796008</v>
      </c>
      <c r="I426" s="666"/>
      <c r="J426" s="666"/>
      <c r="K426" s="666">
        <f t="shared" si="46"/>
        <v>0</v>
      </c>
      <c r="L426" s="666"/>
      <c r="M426" s="665">
        <f t="shared" si="47"/>
        <v>34.800000000000004</v>
      </c>
      <c r="N426" s="666">
        <f t="shared" si="43"/>
        <v>270730.22294796008</v>
      </c>
      <c r="O426" s="672">
        <v>34.799999999999997</v>
      </c>
      <c r="P426" s="668">
        <f t="shared" si="48"/>
        <v>0</v>
      </c>
    </row>
    <row r="427" spans="1:22" ht="50.25" customHeight="1">
      <c r="A427" s="985"/>
      <c r="B427" s="986">
        <f t="shared" si="42"/>
        <v>27.1</v>
      </c>
      <c r="C427" s="987" t="s">
        <v>1435</v>
      </c>
      <c r="D427" s="990">
        <f>Data!X721</f>
        <v>7983.1041077000009</v>
      </c>
      <c r="E427" s="987" t="s">
        <v>16</v>
      </c>
      <c r="F427" s="987">
        <f t="shared" si="44"/>
        <v>216342.12131867005</v>
      </c>
      <c r="G427" s="989">
        <f>Detailed!H241</f>
        <v>27.1</v>
      </c>
      <c r="H427" s="666">
        <f t="shared" si="45"/>
        <v>216342.12131867005</v>
      </c>
      <c r="I427" s="666"/>
      <c r="J427" s="666"/>
      <c r="K427" s="666">
        <f t="shared" si="46"/>
        <v>0</v>
      </c>
      <c r="L427" s="666"/>
      <c r="M427" s="665">
        <f t="shared" si="47"/>
        <v>27.1</v>
      </c>
      <c r="N427" s="666">
        <f t="shared" si="43"/>
        <v>216342.12131867005</v>
      </c>
      <c r="O427" s="672">
        <v>28.2</v>
      </c>
      <c r="P427" s="668">
        <f t="shared" si="48"/>
        <v>-1.0999999999999979</v>
      </c>
      <c r="Q427" s="669">
        <f>P427*123</f>
        <v>-135.29999999999973</v>
      </c>
    </row>
    <row r="428" spans="1:22" ht="50.25" customHeight="1">
      <c r="A428" s="985"/>
      <c r="B428" s="986">
        <f t="shared" si="42"/>
        <v>5.6</v>
      </c>
      <c r="C428" s="987" t="s">
        <v>1436</v>
      </c>
      <c r="D428" s="990">
        <f>Data!X722</f>
        <v>8186.6041077000009</v>
      </c>
      <c r="E428" s="987" t="s">
        <v>16</v>
      </c>
      <c r="F428" s="987">
        <f t="shared" si="44"/>
        <v>45844.983003120004</v>
      </c>
      <c r="G428" s="996">
        <f>Detailed!H251</f>
        <v>5.6</v>
      </c>
      <c r="H428" s="666">
        <f t="shared" si="45"/>
        <v>45844.983003120004</v>
      </c>
      <c r="I428" s="666"/>
      <c r="J428" s="666"/>
      <c r="K428" s="666">
        <f t="shared" si="46"/>
        <v>0</v>
      </c>
      <c r="L428" s="666"/>
      <c r="M428" s="665">
        <f t="shared" si="47"/>
        <v>5.6</v>
      </c>
      <c r="N428" s="666">
        <f t="shared" si="43"/>
        <v>45844.983003120004</v>
      </c>
      <c r="O428" s="672">
        <v>5.6</v>
      </c>
      <c r="P428" s="668">
        <f t="shared" si="48"/>
        <v>0</v>
      </c>
    </row>
    <row r="429" spans="1:22" ht="50.25" hidden="1" customHeight="1">
      <c r="A429" s="985"/>
      <c r="B429" s="986">
        <f t="shared" si="42"/>
        <v>0</v>
      </c>
      <c r="C429" s="987" t="s">
        <v>1461</v>
      </c>
      <c r="D429" s="990">
        <f>Data!X723</f>
        <v>8390.1041077000009</v>
      </c>
      <c r="E429" s="987" t="s">
        <v>16</v>
      </c>
      <c r="F429" s="987">
        <f t="shared" si="44"/>
        <v>0</v>
      </c>
      <c r="G429" s="996"/>
      <c r="H429" s="666">
        <f t="shared" si="45"/>
        <v>0</v>
      </c>
      <c r="I429" s="666"/>
      <c r="J429" s="666"/>
      <c r="K429" s="666">
        <f t="shared" si="46"/>
        <v>0</v>
      </c>
      <c r="L429" s="666"/>
      <c r="M429" s="665">
        <f t="shared" si="47"/>
        <v>0</v>
      </c>
      <c r="N429" s="666">
        <f t="shared" si="43"/>
        <v>0</v>
      </c>
      <c r="O429" s="672">
        <v>0</v>
      </c>
      <c r="P429" s="668">
        <f t="shared" si="48"/>
        <v>0</v>
      </c>
    </row>
    <row r="430" spans="1:22" ht="48.75" hidden="1" customHeight="1">
      <c r="A430" s="985"/>
      <c r="B430" s="986">
        <f t="shared" si="42"/>
        <v>0</v>
      </c>
      <c r="C430" s="987" t="s">
        <v>1631</v>
      </c>
      <c r="D430" s="990">
        <f>Data!X724</f>
        <v>8593.6041077000009</v>
      </c>
      <c r="E430" s="987" t="s">
        <v>16</v>
      </c>
      <c r="F430" s="987">
        <f t="shared" si="44"/>
        <v>0</v>
      </c>
      <c r="G430" s="996"/>
      <c r="H430" s="666">
        <f t="shared" si="45"/>
        <v>0</v>
      </c>
      <c r="I430" s="666"/>
      <c r="J430" s="666"/>
      <c r="K430" s="666">
        <f t="shared" si="46"/>
        <v>0</v>
      </c>
      <c r="L430" s="666"/>
      <c r="M430" s="665">
        <f t="shared" si="47"/>
        <v>0</v>
      </c>
      <c r="N430" s="666">
        <f t="shared" si="43"/>
        <v>0</v>
      </c>
      <c r="O430" s="672">
        <v>0</v>
      </c>
      <c r="P430" s="668">
        <f t="shared" si="48"/>
        <v>0</v>
      </c>
    </row>
    <row r="431" spans="1:22" s="677" customFormat="1" ht="38.25" hidden="1" customHeight="1">
      <c r="A431" s="1026" t="s">
        <v>1632</v>
      </c>
      <c r="B431" s="986">
        <f t="shared" si="42"/>
        <v>0</v>
      </c>
      <c r="C431" s="1027" t="s">
        <v>1633</v>
      </c>
      <c r="D431" s="993"/>
      <c r="E431" s="992"/>
      <c r="F431" s="987">
        <f t="shared" si="44"/>
        <v>0</v>
      </c>
      <c r="G431" s="994"/>
      <c r="H431" s="666">
        <f t="shared" si="45"/>
        <v>0</v>
      </c>
      <c r="I431" s="666"/>
      <c r="J431" s="666"/>
      <c r="K431" s="666">
        <f t="shared" si="46"/>
        <v>0</v>
      </c>
      <c r="L431" s="666"/>
      <c r="M431" s="665">
        <f t="shared" si="47"/>
        <v>0</v>
      </c>
      <c r="N431" s="666">
        <f t="shared" si="43"/>
        <v>0</v>
      </c>
      <c r="O431" s="672">
        <v>0</v>
      </c>
      <c r="P431" s="668">
        <f t="shared" si="48"/>
        <v>0</v>
      </c>
      <c r="Q431" s="676"/>
      <c r="R431" s="676"/>
    </row>
    <row r="432" spans="1:22" s="677" customFormat="1" ht="38.25" hidden="1" customHeight="1">
      <c r="A432" s="1026"/>
      <c r="B432" s="986">
        <f t="shared" si="42"/>
        <v>0</v>
      </c>
      <c r="C432" s="1013" t="s">
        <v>1433</v>
      </c>
      <c r="D432" s="993">
        <f>Data!X688</f>
        <v>8213.717807699999</v>
      </c>
      <c r="E432" s="992" t="s">
        <v>16</v>
      </c>
      <c r="F432" s="987">
        <f t="shared" si="44"/>
        <v>0</v>
      </c>
      <c r="G432" s="999"/>
      <c r="H432" s="666">
        <f t="shared" si="45"/>
        <v>0</v>
      </c>
      <c r="I432" s="666"/>
      <c r="J432" s="666"/>
      <c r="K432" s="666">
        <f t="shared" si="46"/>
        <v>0</v>
      </c>
      <c r="L432" s="666"/>
      <c r="M432" s="665">
        <f t="shared" si="47"/>
        <v>0</v>
      </c>
      <c r="N432" s="666">
        <f t="shared" si="43"/>
        <v>0</v>
      </c>
      <c r="O432" s="672">
        <v>0</v>
      </c>
      <c r="P432" s="668">
        <f t="shared" si="48"/>
        <v>0</v>
      </c>
      <c r="Q432" s="676"/>
      <c r="R432" s="676"/>
    </row>
    <row r="433" spans="1:18" s="677" customFormat="1" ht="38.25" hidden="1" customHeight="1">
      <c r="A433" s="1026"/>
      <c r="B433" s="986">
        <f t="shared" si="42"/>
        <v>0</v>
      </c>
      <c r="C433" s="1013" t="s">
        <v>1434</v>
      </c>
      <c r="D433" s="993">
        <f>Data!X690</f>
        <v>8317.0178076999982</v>
      </c>
      <c r="E433" s="992" t="s">
        <v>16</v>
      </c>
      <c r="F433" s="987">
        <f t="shared" si="44"/>
        <v>0</v>
      </c>
      <c r="G433" s="999"/>
      <c r="H433" s="666">
        <f t="shared" si="45"/>
        <v>0</v>
      </c>
      <c r="I433" s="666"/>
      <c r="J433" s="666"/>
      <c r="K433" s="666">
        <f t="shared" si="46"/>
        <v>0</v>
      </c>
      <c r="L433" s="666"/>
      <c r="M433" s="665">
        <f t="shared" si="47"/>
        <v>0</v>
      </c>
      <c r="N433" s="666">
        <f t="shared" si="43"/>
        <v>0</v>
      </c>
      <c r="O433" s="672">
        <v>0</v>
      </c>
      <c r="P433" s="668">
        <f t="shared" si="48"/>
        <v>0</v>
      </c>
      <c r="Q433" s="676"/>
      <c r="R433" s="676"/>
    </row>
    <row r="434" spans="1:18" s="677" customFormat="1" ht="38.25" hidden="1" customHeight="1">
      <c r="A434" s="1026"/>
      <c r="B434" s="986">
        <f t="shared" si="42"/>
        <v>0</v>
      </c>
      <c r="C434" s="1013" t="s">
        <v>1435</v>
      </c>
      <c r="D434" s="993">
        <f>Data!X691</f>
        <v>8520.5178076999982</v>
      </c>
      <c r="E434" s="992" t="s">
        <v>16</v>
      </c>
      <c r="F434" s="987">
        <f t="shared" si="44"/>
        <v>0</v>
      </c>
      <c r="G434" s="999"/>
      <c r="H434" s="666">
        <f t="shared" si="45"/>
        <v>0</v>
      </c>
      <c r="I434" s="666"/>
      <c r="J434" s="666"/>
      <c r="K434" s="666">
        <f t="shared" si="46"/>
        <v>0</v>
      </c>
      <c r="L434" s="666"/>
      <c r="M434" s="665">
        <f t="shared" si="47"/>
        <v>0</v>
      </c>
      <c r="N434" s="666">
        <f t="shared" si="43"/>
        <v>0</v>
      </c>
      <c r="O434" s="672">
        <v>0</v>
      </c>
      <c r="P434" s="668">
        <f t="shared" si="48"/>
        <v>0</v>
      </c>
      <c r="Q434" s="676"/>
      <c r="R434" s="676"/>
    </row>
    <row r="435" spans="1:18" s="677" customFormat="1" ht="50.25" hidden="1" customHeight="1">
      <c r="A435" s="1026"/>
      <c r="B435" s="986">
        <f t="shared" si="42"/>
        <v>0</v>
      </c>
      <c r="C435" s="1013" t="s">
        <v>1436</v>
      </c>
      <c r="D435" s="993">
        <f>Data!X692</f>
        <v>8724.0178076999982</v>
      </c>
      <c r="E435" s="992" t="s">
        <v>16</v>
      </c>
      <c r="F435" s="987">
        <f t="shared" si="44"/>
        <v>0</v>
      </c>
      <c r="G435" s="994"/>
      <c r="H435" s="666">
        <f t="shared" si="45"/>
        <v>0</v>
      </c>
      <c r="I435" s="666"/>
      <c r="J435" s="666"/>
      <c r="K435" s="666">
        <f t="shared" si="46"/>
        <v>0</v>
      </c>
      <c r="L435" s="666"/>
      <c r="M435" s="665">
        <f t="shared" si="47"/>
        <v>0</v>
      </c>
      <c r="N435" s="666">
        <f t="shared" si="43"/>
        <v>0</v>
      </c>
      <c r="O435" s="672">
        <v>0</v>
      </c>
      <c r="P435" s="668">
        <f t="shared" si="48"/>
        <v>0</v>
      </c>
      <c r="Q435" s="676"/>
      <c r="R435" s="676"/>
    </row>
    <row r="436" spans="1:18" s="677" customFormat="1" ht="50.25" hidden="1" customHeight="1">
      <c r="A436" s="1026"/>
      <c r="B436" s="986">
        <f t="shared" si="42"/>
        <v>0</v>
      </c>
      <c r="C436" s="1013" t="s">
        <v>1461</v>
      </c>
      <c r="D436" s="993">
        <f>Data!X693</f>
        <v>8927.5178076999982</v>
      </c>
      <c r="E436" s="992" t="s">
        <v>16</v>
      </c>
      <c r="F436" s="987">
        <f t="shared" si="44"/>
        <v>0</v>
      </c>
      <c r="G436" s="994"/>
      <c r="H436" s="666">
        <f t="shared" si="45"/>
        <v>0</v>
      </c>
      <c r="I436" s="666"/>
      <c r="J436" s="666"/>
      <c r="K436" s="666">
        <f t="shared" si="46"/>
        <v>0</v>
      </c>
      <c r="L436" s="666"/>
      <c r="M436" s="665">
        <f t="shared" si="47"/>
        <v>0</v>
      </c>
      <c r="N436" s="666">
        <f t="shared" si="43"/>
        <v>0</v>
      </c>
      <c r="O436" s="672">
        <v>0</v>
      </c>
      <c r="P436" s="668">
        <f t="shared" si="48"/>
        <v>0</v>
      </c>
      <c r="Q436" s="676"/>
      <c r="R436" s="676"/>
    </row>
    <row r="437" spans="1:18" s="677" customFormat="1" ht="60" hidden="1" customHeight="1">
      <c r="A437" s="985"/>
      <c r="B437" s="986">
        <f t="shared" si="42"/>
        <v>0</v>
      </c>
      <c r="C437" s="1028" t="s">
        <v>1634</v>
      </c>
      <c r="D437" s="993"/>
      <c r="E437" s="992"/>
      <c r="F437" s="987">
        <f t="shared" si="44"/>
        <v>0</v>
      </c>
      <c r="G437" s="994"/>
      <c r="H437" s="666">
        <f t="shared" si="45"/>
        <v>0</v>
      </c>
      <c r="I437" s="666"/>
      <c r="J437" s="666"/>
      <c r="K437" s="666">
        <f t="shared" si="46"/>
        <v>0</v>
      </c>
      <c r="L437" s="666"/>
      <c r="M437" s="665">
        <f t="shared" si="47"/>
        <v>0</v>
      </c>
      <c r="N437" s="666">
        <f t="shared" si="43"/>
        <v>0</v>
      </c>
      <c r="O437" s="672">
        <v>0</v>
      </c>
      <c r="P437" s="668">
        <f t="shared" si="48"/>
        <v>0</v>
      </c>
      <c r="Q437" s="676"/>
      <c r="R437" s="676"/>
    </row>
    <row r="438" spans="1:18" s="677" customFormat="1" ht="51" hidden="1" customHeight="1">
      <c r="A438" s="985"/>
      <c r="B438" s="986">
        <f t="shared" si="42"/>
        <v>0</v>
      </c>
      <c r="C438" s="1029" t="s">
        <v>1635</v>
      </c>
      <c r="D438" s="993">
        <f>Data!R1183</f>
        <v>8047.621079999999</v>
      </c>
      <c r="E438" s="992" t="s">
        <v>16</v>
      </c>
      <c r="F438" s="987">
        <f t="shared" si="44"/>
        <v>0</v>
      </c>
      <c r="G438" s="994"/>
      <c r="H438" s="666">
        <f t="shared" si="45"/>
        <v>0</v>
      </c>
      <c r="I438" s="666"/>
      <c r="J438" s="666"/>
      <c r="K438" s="666">
        <f t="shared" si="46"/>
        <v>0</v>
      </c>
      <c r="L438" s="666"/>
      <c r="M438" s="665">
        <f t="shared" si="47"/>
        <v>0</v>
      </c>
      <c r="N438" s="666">
        <f t="shared" si="43"/>
        <v>0</v>
      </c>
      <c r="O438" s="672">
        <v>0</v>
      </c>
      <c r="P438" s="668">
        <f t="shared" si="48"/>
        <v>0</v>
      </c>
      <c r="Q438" s="676"/>
      <c r="R438" s="676"/>
    </row>
    <row r="439" spans="1:18" s="677" customFormat="1" ht="33" hidden="1" customHeight="1">
      <c r="A439" s="985"/>
      <c r="B439" s="986">
        <f t="shared" si="42"/>
        <v>0</v>
      </c>
      <c r="C439" s="1029" t="s">
        <v>1636</v>
      </c>
      <c r="D439" s="993">
        <f>Data!R1184</f>
        <v>8150.9210799999992</v>
      </c>
      <c r="E439" s="992" t="s">
        <v>16</v>
      </c>
      <c r="F439" s="987">
        <f t="shared" si="44"/>
        <v>0</v>
      </c>
      <c r="G439" s="994"/>
      <c r="H439" s="666">
        <f t="shared" si="45"/>
        <v>0</v>
      </c>
      <c r="I439" s="666"/>
      <c r="J439" s="666"/>
      <c r="K439" s="666">
        <f t="shared" si="46"/>
        <v>0</v>
      </c>
      <c r="L439" s="666"/>
      <c r="M439" s="665">
        <f t="shared" si="47"/>
        <v>0</v>
      </c>
      <c r="N439" s="666">
        <f t="shared" si="43"/>
        <v>0</v>
      </c>
      <c r="O439" s="672">
        <v>0</v>
      </c>
      <c r="P439" s="668">
        <f t="shared" si="48"/>
        <v>0</v>
      </c>
      <c r="Q439" s="676"/>
      <c r="R439" s="676"/>
    </row>
    <row r="440" spans="1:18" s="677" customFormat="1" ht="58.5" hidden="1" customHeight="1">
      <c r="A440" s="985"/>
      <c r="B440" s="986">
        <f t="shared" si="42"/>
        <v>0</v>
      </c>
      <c r="C440" s="995" t="s">
        <v>1637</v>
      </c>
      <c r="D440" s="993"/>
      <c r="E440" s="992"/>
      <c r="F440" s="987">
        <f t="shared" si="44"/>
        <v>0</v>
      </c>
      <c r="G440" s="994"/>
      <c r="H440" s="666">
        <f t="shared" si="45"/>
        <v>0</v>
      </c>
      <c r="I440" s="666"/>
      <c r="J440" s="666"/>
      <c r="K440" s="666">
        <f t="shared" si="46"/>
        <v>0</v>
      </c>
      <c r="L440" s="666"/>
      <c r="M440" s="665">
        <f t="shared" si="47"/>
        <v>0</v>
      </c>
      <c r="N440" s="666">
        <f t="shared" si="43"/>
        <v>0</v>
      </c>
      <c r="O440" s="672">
        <v>0</v>
      </c>
      <c r="P440" s="668">
        <f t="shared" si="48"/>
        <v>0</v>
      </c>
      <c r="Q440" s="676"/>
      <c r="R440" s="676"/>
    </row>
    <row r="441" spans="1:18" s="677" customFormat="1" ht="45.75" hidden="1" customHeight="1">
      <c r="A441" s="985"/>
      <c r="B441" s="986">
        <f t="shared" si="42"/>
        <v>0</v>
      </c>
      <c r="C441" s="987" t="s">
        <v>1433</v>
      </c>
      <c r="D441" s="993">
        <f>Data!R1156</f>
        <v>7977.266700000001</v>
      </c>
      <c r="E441" s="992" t="s">
        <v>235</v>
      </c>
      <c r="F441" s="987">
        <f t="shared" si="44"/>
        <v>0</v>
      </c>
      <c r="G441" s="994"/>
      <c r="H441" s="666">
        <f t="shared" si="45"/>
        <v>0</v>
      </c>
      <c r="I441" s="666"/>
      <c r="J441" s="666"/>
      <c r="K441" s="666">
        <f t="shared" si="46"/>
        <v>0</v>
      </c>
      <c r="L441" s="666"/>
      <c r="M441" s="665">
        <f t="shared" si="47"/>
        <v>0</v>
      </c>
      <c r="N441" s="666">
        <f t="shared" si="43"/>
        <v>0</v>
      </c>
      <c r="O441" s="672">
        <v>0</v>
      </c>
      <c r="P441" s="668">
        <f t="shared" si="48"/>
        <v>0</v>
      </c>
      <c r="Q441" s="676"/>
      <c r="R441" s="676"/>
    </row>
    <row r="442" spans="1:18" s="677" customFormat="1" ht="45.75" hidden="1" customHeight="1">
      <c r="A442" s="985"/>
      <c r="B442" s="986">
        <f t="shared" si="42"/>
        <v>0</v>
      </c>
      <c r="C442" s="987" t="s">
        <v>1638</v>
      </c>
      <c r="D442" s="993">
        <f>Data!R1158</f>
        <v>8080.5667000000012</v>
      </c>
      <c r="E442" s="992" t="s">
        <v>235</v>
      </c>
      <c r="F442" s="987">
        <f t="shared" si="44"/>
        <v>0</v>
      </c>
      <c r="G442" s="994"/>
      <c r="H442" s="666">
        <f t="shared" si="45"/>
        <v>0</v>
      </c>
      <c r="I442" s="666"/>
      <c r="J442" s="666"/>
      <c r="K442" s="666">
        <f t="shared" si="46"/>
        <v>0</v>
      </c>
      <c r="L442" s="666"/>
      <c r="M442" s="665">
        <f t="shared" si="47"/>
        <v>0</v>
      </c>
      <c r="N442" s="666">
        <f t="shared" si="43"/>
        <v>0</v>
      </c>
      <c r="O442" s="672">
        <v>0</v>
      </c>
      <c r="P442" s="668">
        <f t="shared" si="48"/>
        <v>0</v>
      </c>
      <c r="Q442" s="676"/>
      <c r="R442" s="676"/>
    </row>
    <row r="443" spans="1:18" s="677" customFormat="1" ht="45.75" hidden="1" customHeight="1">
      <c r="A443" s="985"/>
      <c r="B443" s="986">
        <f t="shared" si="42"/>
        <v>0</v>
      </c>
      <c r="C443" s="987" t="s">
        <v>1435</v>
      </c>
      <c r="D443" s="993">
        <f>Data!R1159</f>
        <v>8284.0667000000012</v>
      </c>
      <c r="E443" s="992" t="s">
        <v>235</v>
      </c>
      <c r="F443" s="987">
        <f t="shared" si="44"/>
        <v>0</v>
      </c>
      <c r="G443" s="994"/>
      <c r="H443" s="666">
        <f t="shared" si="45"/>
        <v>0</v>
      </c>
      <c r="I443" s="666"/>
      <c r="J443" s="666"/>
      <c r="K443" s="666">
        <f t="shared" si="46"/>
        <v>0</v>
      </c>
      <c r="L443" s="666"/>
      <c r="M443" s="665">
        <f t="shared" si="47"/>
        <v>0</v>
      </c>
      <c r="N443" s="666">
        <f t="shared" si="43"/>
        <v>0</v>
      </c>
      <c r="O443" s="672">
        <v>0</v>
      </c>
      <c r="P443" s="668">
        <f t="shared" si="48"/>
        <v>0</v>
      </c>
      <c r="Q443" s="676"/>
      <c r="R443" s="676"/>
    </row>
    <row r="444" spans="1:18" s="677" customFormat="1" ht="45.75" hidden="1" customHeight="1">
      <c r="A444" s="985"/>
      <c r="B444" s="986">
        <f t="shared" si="42"/>
        <v>0</v>
      </c>
      <c r="C444" s="987" t="s">
        <v>1436</v>
      </c>
      <c r="D444" s="993">
        <f>Data!R1160</f>
        <v>8487.5667000000012</v>
      </c>
      <c r="E444" s="992" t="s">
        <v>235</v>
      </c>
      <c r="F444" s="987">
        <f t="shared" si="44"/>
        <v>0</v>
      </c>
      <c r="G444" s="994"/>
      <c r="H444" s="666">
        <f t="shared" si="45"/>
        <v>0</v>
      </c>
      <c r="I444" s="666"/>
      <c r="J444" s="666"/>
      <c r="K444" s="666">
        <f t="shared" si="46"/>
        <v>0</v>
      </c>
      <c r="L444" s="666"/>
      <c r="M444" s="665">
        <f t="shared" si="47"/>
        <v>0</v>
      </c>
      <c r="N444" s="666">
        <f t="shared" si="43"/>
        <v>0</v>
      </c>
      <c r="O444" s="672">
        <v>0</v>
      </c>
      <c r="P444" s="668">
        <f t="shared" si="48"/>
        <v>0</v>
      </c>
      <c r="Q444" s="676"/>
      <c r="R444" s="676"/>
    </row>
    <row r="445" spans="1:18" s="677" customFormat="1" ht="45.75" hidden="1" customHeight="1">
      <c r="A445" s="985"/>
      <c r="B445" s="986">
        <f t="shared" si="42"/>
        <v>0</v>
      </c>
      <c r="C445" s="987" t="s">
        <v>1461</v>
      </c>
      <c r="D445" s="993">
        <f>Data!R1161</f>
        <v>8691.0667000000012</v>
      </c>
      <c r="E445" s="992" t="s">
        <v>235</v>
      </c>
      <c r="F445" s="987">
        <f t="shared" si="44"/>
        <v>0</v>
      </c>
      <c r="G445" s="994"/>
      <c r="H445" s="666">
        <f t="shared" si="45"/>
        <v>0</v>
      </c>
      <c r="I445" s="666"/>
      <c r="J445" s="666"/>
      <c r="K445" s="666">
        <f t="shared" si="46"/>
        <v>0</v>
      </c>
      <c r="L445" s="666"/>
      <c r="M445" s="665">
        <f t="shared" si="47"/>
        <v>0</v>
      </c>
      <c r="N445" s="666">
        <f t="shared" si="43"/>
        <v>0</v>
      </c>
      <c r="O445" s="672">
        <v>0</v>
      </c>
      <c r="P445" s="668">
        <f t="shared" si="48"/>
        <v>0</v>
      </c>
      <c r="Q445" s="676"/>
      <c r="R445" s="676"/>
    </row>
    <row r="446" spans="1:18" s="677" customFormat="1" ht="45.75" hidden="1" customHeight="1">
      <c r="A446" s="985"/>
      <c r="B446" s="986">
        <f t="shared" si="42"/>
        <v>0</v>
      </c>
      <c r="C446" s="987" t="s">
        <v>1438</v>
      </c>
      <c r="D446" s="993">
        <f>Data!R1162</f>
        <v>8894.5667000000012</v>
      </c>
      <c r="E446" s="992" t="s">
        <v>235</v>
      </c>
      <c r="F446" s="987">
        <f t="shared" si="44"/>
        <v>0</v>
      </c>
      <c r="G446" s="994"/>
      <c r="H446" s="666">
        <f t="shared" si="45"/>
        <v>0</v>
      </c>
      <c r="I446" s="666"/>
      <c r="J446" s="666"/>
      <c r="K446" s="666">
        <f t="shared" si="46"/>
        <v>0</v>
      </c>
      <c r="L446" s="666"/>
      <c r="M446" s="665">
        <f t="shared" si="47"/>
        <v>0</v>
      </c>
      <c r="N446" s="666">
        <f t="shared" si="43"/>
        <v>0</v>
      </c>
      <c r="O446" s="672">
        <v>0</v>
      </c>
      <c r="P446" s="668">
        <f t="shared" si="48"/>
        <v>0</v>
      </c>
      <c r="Q446" s="676"/>
      <c r="R446" s="676"/>
    </row>
    <row r="447" spans="1:18" s="677" customFormat="1" ht="45.75" hidden="1" customHeight="1">
      <c r="A447" s="985"/>
      <c r="B447" s="986">
        <f t="shared" si="42"/>
        <v>0</v>
      </c>
      <c r="C447" s="987" t="s">
        <v>1639</v>
      </c>
      <c r="D447" s="993">
        <f>Data!R1163</f>
        <v>9098.0667000000012</v>
      </c>
      <c r="E447" s="992" t="s">
        <v>235</v>
      </c>
      <c r="F447" s="987">
        <f t="shared" si="44"/>
        <v>0</v>
      </c>
      <c r="G447" s="994"/>
      <c r="H447" s="666">
        <f t="shared" si="45"/>
        <v>0</v>
      </c>
      <c r="I447" s="666"/>
      <c r="J447" s="666"/>
      <c r="K447" s="666">
        <f t="shared" si="46"/>
        <v>0</v>
      </c>
      <c r="L447" s="666"/>
      <c r="M447" s="665">
        <f t="shared" si="47"/>
        <v>0</v>
      </c>
      <c r="N447" s="666">
        <f t="shared" si="43"/>
        <v>0</v>
      </c>
      <c r="O447" s="672">
        <v>0</v>
      </c>
      <c r="P447" s="668">
        <f t="shared" si="48"/>
        <v>0</v>
      </c>
      <c r="Q447" s="676"/>
      <c r="R447" s="676"/>
    </row>
    <row r="448" spans="1:18" s="677" customFormat="1" ht="45.75" hidden="1" customHeight="1">
      <c r="A448" s="985"/>
      <c r="B448" s="986">
        <f t="shared" si="42"/>
        <v>0</v>
      </c>
      <c r="C448" s="987" t="s">
        <v>1640</v>
      </c>
      <c r="D448" s="993">
        <f>Data!R1164</f>
        <v>9301.5667000000012</v>
      </c>
      <c r="E448" s="992" t="s">
        <v>235</v>
      </c>
      <c r="F448" s="987">
        <f t="shared" si="44"/>
        <v>0</v>
      </c>
      <c r="G448" s="994"/>
      <c r="H448" s="666">
        <f t="shared" si="45"/>
        <v>0</v>
      </c>
      <c r="I448" s="666"/>
      <c r="J448" s="666"/>
      <c r="K448" s="666">
        <f t="shared" si="46"/>
        <v>0</v>
      </c>
      <c r="L448" s="666"/>
      <c r="M448" s="665">
        <f t="shared" si="47"/>
        <v>0</v>
      </c>
      <c r="N448" s="666">
        <f t="shared" si="43"/>
        <v>0</v>
      </c>
      <c r="O448" s="672">
        <v>0</v>
      </c>
      <c r="P448" s="668">
        <f t="shared" si="48"/>
        <v>0</v>
      </c>
      <c r="Q448" s="676"/>
      <c r="R448" s="676"/>
    </row>
    <row r="449" spans="1:18" s="677" customFormat="1" ht="45.75" hidden="1" customHeight="1">
      <c r="A449" s="985"/>
      <c r="B449" s="986">
        <f t="shared" si="42"/>
        <v>0</v>
      </c>
      <c r="C449" s="987" t="s">
        <v>1641</v>
      </c>
      <c r="D449" s="993">
        <f>Data!R1165</f>
        <v>9505.0667000000012</v>
      </c>
      <c r="E449" s="992" t="s">
        <v>235</v>
      </c>
      <c r="F449" s="987">
        <f t="shared" si="44"/>
        <v>0</v>
      </c>
      <c r="G449" s="994"/>
      <c r="H449" s="666">
        <f t="shared" si="45"/>
        <v>0</v>
      </c>
      <c r="I449" s="666"/>
      <c r="J449" s="666"/>
      <c r="K449" s="666">
        <f t="shared" si="46"/>
        <v>0</v>
      </c>
      <c r="L449" s="666"/>
      <c r="M449" s="665">
        <f t="shared" si="47"/>
        <v>0</v>
      </c>
      <c r="N449" s="666">
        <f t="shared" si="43"/>
        <v>0</v>
      </c>
      <c r="O449" s="672">
        <v>0</v>
      </c>
      <c r="P449" s="668">
        <f t="shared" si="48"/>
        <v>0</v>
      </c>
      <c r="Q449" s="676"/>
      <c r="R449" s="676"/>
    </row>
    <row r="450" spans="1:18" s="677" customFormat="1" ht="45.75" hidden="1" customHeight="1">
      <c r="A450" s="985"/>
      <c r="B450" s="986">
        <f t="shared" si="42"/>
        <v>0</v>
      </c>
      <c r="C450" s="1029" t="s">
        <v>1642</v>
      </c>
      <c r="D450" s="993">
        <f>Data!R1166</f>
        <v>9708.5667000000012</v>
      </c>
      <c r="E450" s="992" t="s">
        <v>235</v>
      </c>
      <c r="F450" s="987">
        <f t="shared" si="44"/>
        <v>0</v>
      </c>
      <c r="G450" s="994"/>
      <c r="H450" s="666">
        <f t="shared" si="45"/>
        <v>0</v>
      </c>
      <c r="I450" s="666"/>
      <c r="J450" s="666"/>
      <c r="K450" s="666">
        <f t="shared" si="46"/>
        <v>0</v>
      </c>
      <c r="L450" s="666"/>
      <c r="M450" s="665">
        <f t="shared" si="47"/>
        <v>0</v>
      </c>
      <c r="N450" s="666">
        <f t="shared" si="43"/>
        <v>0</v>
      </c>
      <c r="O450" s="672">
        <v>0</v>
      </c>
      <c r="P450" s="668">
        <f t="shared" si="48"/>
        <v>0</v>
      </c>
      <c r="Q450" s="676"/>
      <c r="R450" s="676"/>
    </row>
    <row r="451" spans="1:18" s="677" customFormat="1" ht="45.75" hidden="1" customHeight="1">
      <c r="A451" s="985"/>
      <c r="B451" s="986">
        <f t="shared" si="42"/>
        <v>0</v>
      </c>
      <c r="C451" s="1029" t="s">
        <v>1643</v>
      </c>
      <c r="D451" s="993">
        <f>Data!R1167</f>
        <v>9912.0667000000012</v>
      </c>
      <c r="E451" s="992" t="s">
        <v>235</v>
      </c>
      <c r="F451" s="987">
        <f t="shared" si="44"/>
        <v>0</v>
      </c>
      <c r="G451" s="994"/>
      <c r="H451" s="666">
        <f t="shared" si="45"/>
        <v>0</v>
      </c>
      <c r="I451" s="666"/>
      <c r="J451" s="666"/>
      <c r="K451" s="666">
        <f t="shared" si="46"/>
        <v>0</v>
      </c>
      <c r="L451" s="666"/>
      <c r="M451" s="665">
        <f t="shared" si="47"/>
        <v>0</v>
      </c>
      <c r="N451" s="666">
        <f t="shared" si="43"/>
        <v>0</v>
      </c>
      <c r="O451" s="672">
        <v>0</v>
      </c>
      <c r="P451" s="668">
        <f t="shared" si="48"/>
        <v>0</v>
      </c>
      <c r="Q451" s="676"/>
      <c r="R451" s="676"/>
    </row>
    <row r="452" spans="1:18" s="677" customFormat="1" ht="45.75" hidden="1" customHeight="1">
      <c r="A452" s="985"/>
      <c r="B452" s="986">
        <f t="shared" si="42"/>
        <v>0</v>
      </c>
      <c r="C452" s="1029" t="s">
        <v>1644</v>
      </c>
      <c r="D452" s="993">
        <f>Data!R1168</f>
        <v>10115.566700000001</v>
      </c>
      <c r="E452" s="992" t="s">
        <v>235</v>
      </c>
      <c r="F452" s="987">
        <f t="shared" si="44"/>
        <v>0</v>
      </c>
      <c r="G452" s="994"/>
      <c r="H452" s="666">
        <f t="shared" si="45"/>
        <v>0</v>
      </c>
      <c r="I452" s="666"/>
      <c r="J452" s="666"/>
      <c r="K452" s="666">
        <f t="shared" si="46"/>
        <v>0</v>
      </c>
      <c r="L452" s="666"/>
      <c r="M452" s="665">
        <f t="shared" si="47"/>
        <v>0</v>
      </c>
      <c r="N452" s="666">
        <f t="shared" si="43"/>
        <v>0</v>
      </c>
      <c r="O452" s="672">
        <v>0</v>
      </c>
      <c r="P452" s="668">
        <f t="shared" si="48"/>
        <v>0</v>
      </c>
      <c r="Q452" s="676"/>
      <c r="R452" s="676"/>
    </row>
    <row r="453" spans="1:18" s="677" customFormat="1" ht="45.75" hidden="1" customHeight="1">
      <c r="A453" s="985"/>
      <c r="B453" s="986">
        <f t="shared" si="42"/>
        <v>0</v>
      </c>
      <c r="C453" s="987" t="s">
        <v>1417</v>
      </c>
      <c r="D453" s="993">
        <f>Data!R1169</f>
        <v>10319.066700000001</v>
      </c>
      <c r="E453" s="992" t="s">
        <v>235</v>
      </c>
      <c r="F453" s="987">
        <f t="shared" si="44"/>
        <v>0</v>
      </c>
      <c r="G453" s="994"/>
      <c r="H453" s="666">
        <f t="shared" si="45"/>
        <v>0</v>
      </c>
      <c r="I453" s="666"/>
      <c r="J453" s="666"/>
      <c r="K453" s="666">
        <f t="shared" si="46"/>
        <v>0</v>
      </c>
      <c r="L453" s="666"/>
      <c r="M453" s="665">
        <f t="shared" si="47"/>
        <v>0</v>
      </c>
      <c r="N453" s="666">
        <f t="shared" si="43"/>
        <v>0</v>
      </c>
      <c r="O453" s="672">
        <v>0</v>
      </c>
      <c r="P453" s="668">
        <f t="shared" si="48"/>
        <v>0</v>
      </c>
      <c r="Q453" s="676"/>
      <c r="R453" s="676"/>
    </row>
    <row r="454" spans="1:18" s="677" customFormat="1" ht="45.75" hidden="1" customHeight="1">
      <c r="A454" s="985"/>
      <c r="B454" s="986">
        <f t="shared" si="42"/>
        <v>0</v>
      </c>
      <c r="C454" s="987" t="s">
        <v>1418</v>
      </c>
      <c r="D454" s="993">
        <f>Data!R1170</f>
        <v>10522.566700000001</v>
      </c>
      <c r="E454" s="992" t="s">
        <v>235</v>
      </c>
      <c r="F454" s="987">
        <f t="shared" si="44"/>
        <v>0</v>
      </c>
      <c r="G454" s="994"/>
      <c r="H454" s="666">
        <f t="shared" si="45"/>
        <v>0</v>
      </c>
      <c r="I454" s="666"/>
      <c r="J454" s="666"/>
      <c r="K454" s="666">
        <f t="shared" si="46"/>
        <v>0</v>
      </c>
      <c r="L454" s="666"/>
      <c r="M454" s="665">
        <f t="shared" si="47"/>
        <v>0</v>
      </c>
      <c r="N454" s="666">
        <f t="shared" si="43"/>
        <v>0</v>
      </c>
      <c r="O454" s="672">
        <v>0</v>
      </c>
      <c r="P454" s="668">
        <f t="shared" si="48"/>
        <v>0</v>
      </c>
      <c r="Q454" s="676"/>
      <c r="R454" s="676"/>
    </row>
    <row r="455" spans="1:18" s="677" customFormat="1" ht="45.75" hidden="1" customHeight="1">
      <c r="A455" s="985"/>
      <c r="B455" s="986">
        <f t="shared" ref="B455:B518" si="49">M455</f>
        <v>0</v>
      </c>
      <c r="C455" s="987" t="s">
        <v>1645</v>
      </c>
      <c r="D455" s="993">
        <f>Data!R1171</f>
        <v>10726.066700000001</v>
      </c>
      <c r="E455" s="992" t="s">
        <v>235</v>
      </c>
      <c r="F455" s="987">
        <f t="shared" si="44"/>
        <v>0</v>
      </c>
      <c r="G455" s="994"/>
      <c r="H455" s="666">
        <f t="shared" si="45"/>
        <v>0</v>
      </c>
      <c r="I455" s="666"/>
      <c r="J455" s="666"/>
      <c r="K455" s="666">
        <f t="shared" si="46"/>
        <v>0</v>
      </c>
      <c r="L455" s="666"/>
      <c r="M455" s="665">
        <f t="shared" si="47"/>
        <v>0</v>
      </c>
      <c r="N455" s="666">
        <f t="shared" ref="N455:N518" si="50">M455*D455</f>
        <v>0</v>
      </c>
      <c r="O455" s="672">
        <v>0</v>
      </c>
      <c r="P455" s="668">
        <f t="shared" si="48"/>
        <v>0</v>
      </c>
      <c r="Q455" s="676"/>
      <c r="R455" s="676"/>
    </row>
    <row r="456" spans="1:18" s="677" customFormat="1" ht="49.5" hidden="1" customHeight="1">
      <c r="A456" s="985">
        <v>9.1999999999999993</v>
      </c>
      <c r="B456" s="986">
        <f t="shared" si="49"/>
        <v>0</v>
      </c>
      <c r="C456" s="995" t="s">
        <v>1425</v>
      </c>
      <c r="D456" s="993"/>
      <c r="E456" s="992"/>
      <c r="F456" s="987">
        <f t="shared" ref="F456:F519" si="51">B456*D456</f>
        <v>0</v>
      </c>
      <c r="G456" s="994"/>
      <c r="H456" s="666">
        <f t="shared" ref="H456:H519" si="52">G456*D456</f>
        <v>0</v>
      </c>
      <c r="I456" s="666"/>
      <c r="J456" s="666"/>
      <c r="K456" s="666">
        <f t="shared" ref="K456:K519" si="53">I456</f>
        <v>0</v>
      </c>
      <c r="L456" s="666"/>
      <c r="M456" s="665">
        <f t="shared" ref="M456:M519" si="54">G456</f>
        <v>0</v>
      </c>
      <c r="N456" s="666">
        <f t="shared" si="50"/>
        <v>0</v>
      </c>
      <c r="O456" s="672">
        <v>0</v>
      </c>
      <c r="P456" s="668">
        <f t="shared" ref="P456:P519" si="55">M456-O456</f>
        <v>0</v>
      </c>
      <c r="Q456" s="676"/>
      <c r="R456" s="676"/>
    </row>
    <row r="457" spans="1:18" s="677" customFormat="1" ht="33" hidden="1" customHeight="1">
      <c r="A457" s="985"/>
      <c r="B457" s="986">
        <f t="shared" si="49"/>
        <v>0</v>
      </c>
      <c r="C457" s="987" t="s">
        <v>1639</v>
      </c>
      <c r="D457" s="993">
        <f>Data!AG352</f>
        <v>6768.1419999999989</v>
      </c>
      <c r="E457" s="992" t="s">
        <v>235</v>
      </c>
      <c r="F457" s="987">
        <f t="shared" si="51"/>
        <v>0</v>
      </c>
      <c r="G457" s="994"/>
      <c r="H457" s="666">
        <f t="shared" si="52"/>
        <v>0</v>
      </c>
      <c r="I457" s="666"/>
      <c r="J457" s="666"/>
      <c r="K457" s="666">
        <f t="shared" si="53"/>
        <v>0</v>
      </c>
      <c r="L457" s="666"/>
      <c r="M457" s="665">
        <f t="shared" si="54"/>
        <v>0</v>
      </c>
      <c r="N457" s="666">
        <f t="shared" si="50"/>
        <v>0</v>
      </c>
      <c r="O457" s="672">
        <v>0</v>
      </c>
      <c r="P457" s="668">
        <f t="shared" si="55"/>
        <v>0</v>
      </c>
      <c r="Q457" s="676"/>
      <c r="R457" s="676"/>
    </row>
    <row r="458" spans="1:18" s="677" customFormat="1" ht="33" hidden="1" customHeight="1">
      <c r="A458" s="985"/>
      <c r="B458" s="986">
        <f t="shared" si="49"/>
        <v>0</v>
      </c>
      <c r="C458" s="987" t="s">
        <v>1640</v>
      </c>
      <c r="D458" s="993">
        <f>Data!AG353</f>
        <v>6905.3419999999987</v>
      </c>
      <c r="E458" s="992" t="s">
        <v>235</v>
      </c>
      <c r="F458" s="987">
        <f t="shared" si="51"/>
        <v>0</v>
      </c>
      <c r="G458" s="994"/>
      <c r="H458" s="666">
        <f t="shared" si="52"/>
        <v>0</v>
      </c>
      <c r="I458" s="666"/>
      <c r="J458" s="666"/>
      <c r="K458" s="666">
        <f t="shared" si="53"/>
        <v>0</v>
      </c>
      <c r="L458" s="666"/>
      <c r="M458" s="665">
        <f t="shared" si="54"/>
        <v>0</v>
      </c>
      <c r="N458" s="666">
        <f t="shared" si="50"/>
        <v>0</v>
      </c>
      <c r="O458" s="672">
        <v>0</v>
      </c>
      <c r="P458" s="668">
        <f t="shared" si="55"/>
        <v>0</v>
      </c>
      <c r="Q458" s="676"/>
      <c r="R458" s="676"/>
    </row>
    <row r="459" spans="1:18" s="677" customFormat="1" ht="33" hidden="1" customHeight="1">
      <c r="A459" s="985"/>
      <c r="B459" s="986">
        <f t="shared" si="49"/>
        <v>0</v>
      </c>
      <c r="C459" s="987" t="s">
        <v>1641</v>
      </c>
      <c r="D459" s="993">
        <f>Data!AG354</f>
        <v>7042.5419999999986</v>
      </c>
      <c r="E459" s="992" t="s">
        <v>235</v>
      </c>
      <c r="F459" s="987">
        <f t="shared" si="51"/>
        <v>0</v>
      </c>
      <c r="G459" s="994"/>
      <c r="H459" s="666">
        <f t="shared" si="52"/>
        <v>0</v>
      </c>
      <c r="I459" s="666"/>
      <c r="J459" s="666"/>
      <c r="K459" s="666">
        <f t="shared" si="53"/>
        <v>0</v>
      </c>
      <c r="L459" s="666"/>
      <c r="M459" s="665">
        <f t="shared" si="54"/>
        <v>0</v>
      </c>
      <c r="N459" s="666">
        <f t="shared" si="50"/>
        <v>0</v>
      </c>
      <c r="O459" s="672">
        <v>0</v>
      </c>
      <c r="P459" s="668">
        <f t="shared" si="55"/>
        <v>0</v>
      </c>
      <c r="Q459" s="676"/>
      <c r="R459" s="676"/>
    </row>
    <row r="460" spans="1:18" s="677" customFormat="1" ht="33" hidden="1" customHeight="1">
      <c r="A460" s="985"/>
      <c r="B460" s="986">
        <f t="shared" si="49"/>
        <v>0</v>
      </c>
      <c r="C460" s="1029" t="s">
        <v>1642</v>
      </c>
      <c r="D460" s="993">
        <f>Data!AG355</f>
        <v>7179.7419999999984</v>
      </c>
      <c r="E460" s="992" t="s">
        <v>235</v>
      </c>
      <c r="F460" s="987">
        <f t="shared" si="51"/>
        <v>0</v>
      </c>
      <c r="G460" s="994"/>
      <c r="H460" s="666">
        <f t="shared" si="52"/>
        <v>0</v>
      </c>
      <c r="I460" s="666"/>
      <c r="J460" s="666"/>
      <c r="K460" s="666">
        <f t="shared" si="53"/>
        <v>0</v>
      </c>
      <c r="L460" s="666"/>
      <c r="M460" s="665">
        <f t="shared" si="54"/>
        <v>0</v>
      </c>
      <c r="N460" s="666">
        <f t="shared" si="50"/>
        <v>0</v>
      </c>
      <c r="O460" s="672">
        <v>0</v>
      </c>
      <c r="P460" s="668">
        <f t="shared" si="55"/>
        <v>0</v>
      </c>
      <c r="Q460" s="676"/>
      <c r="R460" s="676"/>
    </row>
    <row r="461" spans="1:18" s="677" customFormat="1" ht="33" hidden="1" customHeight="1">
      <c r="A461" s="985"/>
      <c r="B461" s="986">
        <f t="shared" si="49"/>
        <v>0</v>
      </c>
      <c r="C461" s="1029" t="s">
        <v>1643</v>
      </c>
      <c r="D461" s="993">
        <f>Data!AG356</f>
        <v>7316.9419999999982</v>
      </c>
      <c r="E461" s="992" t="s">
        <v>235</v>
      </c>
      <c r="F461" s="987">
        <f t="shared" si="51"/>
        <v>0</v>
      </c>
      <c r="G461" s="994"/>
      <c r="H461" s="666">
        <f t="shared" si="52"/>
        <v>0</v>
      </c>
      <c r="I461" s="666"/>
      <c r="J461" s="666"/>
      <c r="K461" s="666">
        <f t="shared" si="53"/>
        <v>0</v>
      </c>
      <c r="L461" s="666"/>
      <c r="M461" s="665">
        <f t="shared" si="54"/>
        <v>0</v>
      </c>
      <c r="N461" s="666">
        <f t="shared" si="50"/>
        <v>0</v>
      </c>
      <c r="O461" s="672">
        <v>0</v>
      </c>
      <c r="P461" s="668">
        <f t="shared" si="55"/>
        <v>0</v>
      </c>
      <c r="Q461" s="676"/>
      <c r="R461" s="676"/>
    </row>
    <row r="462" spans="1:18" s="677" customFormat="1" ht="33" hidden="1" customHeight="1">
      <c r="A462" s="985"/>
      <c r="B462" s="986">
        <f t="shared" si="49"/>
        <v>0</v>
      </c>
      <c r="C462" s="1029" t="s">
        <v>1644</v>
      </c>
      <c r="D462" s="993">
        <f>Data!AG357</f>
        <v>7454.141999999998</v>
      </c>
      <c r="E462" s="992"/>
      <c r="F462" s="987">
        <f t="shared" si="51"/>
        <v>0</v>
      </c>
      <c r="G462" s="994"/>
      <c r="H462" s="666">
        <f t="shared" si="52"/>
        <v>0</v>
      </c>
      <c r="I462" s="666"/>
      <c r="J462" s="666"/>
      <c r="K462" s="666">
        <f t="shared" si="53"/>
        <v>0</v>
      </c>
      <c r="L462" s="666"/>
      <c r="M462" s="665">
        <f t="shared" si="54"/>
        <v>0</v>
      </c>
      <c r="N462" s="666">
        <f t="shared" si="50"/>
        <v>0</v>
      </c>
      <c r="O462" s="672">
        <v>0</v>
      </c>
      <c r="P462" s="668">
        <f t="shared" si="55"/>
        <v>0</v>
      </c>
      <c r="Q462" s="676"/>
      <c r="R462" s="676"/>
    </row>
    <row r="463" spans="1:18" s="677" customFormat="1" ht="68.25" hidden="1" customHeight="1">
      <c r="A463" s="985">
        <v>10.199999999999999</v>
      </c>
      <c r="B463" s="986">
        <f t="shared" si="49"/>
        <v>0</v>
      </c>
      <c r="C463" s="995" t="s">
        <v>1439</v>
      </c>
      <c r="D463" s="993"/>
      <c r="E463" s="992"/>
      <c r="F463" s="987">
        <f t="shared" si="51"/>
        <v>0</v>
      </c>
      <c r="G463" s="994"/>
      <c r="H463" s="666">
        <f t="shared" si="52"/>
        <v>0</v>
      </c>
      <c r="I463" s="666"/>
      <c r="J463" s="666"/>
      <c r="K463" s="666">
        <f t="shared" si="53"/>
        <v>0</v>
      </c>
      <c r="L463" s="666"/>
      <c r="M463" s="665">
        <f t="shared" si="54"/>
        <v>0</v>
      </c>
      <c r="N463" s="666">
        <f t="shared" si="50"/>
        <v>0</v>
      </c>
      <c r="O463" s="672">
        <v>0</v>
      </c>
      <c r="P463" s="668">
        <f t="shared" si="55"/>
        <v>0</v>
      </c>
      <c r="Q463" s="676"/>
      <c r="R463" s="676"/>
    </row>
    <row r="464" spans="1:18" s="677" customFormat="1" ht="33" hidden="1" customHeight="1">
      <c r="A464" s="985"/>
      <c r="B464" s="986">
        <f t="shared" si="49"/>
        <v>0</v>
      </c>
      <c r="C464" s="987" t="s">
        <v>1639</v>
      </c>
      <c r="D464" s="993">
        <f>Data!AG416</f>
        <v>842.28979547999995</v>
      </c>
      <c r="E464" s="992" t="s">
        <v>235</v>
      </c>
      <c r="F464" s="987">
        <f t="shared" si="51"/>
        <v>0</v>
      </c>
      <c r="G464" s="994"/>
      <c r="H464" s="666">
        <f t="shared" si="52"/>
        <v>0</v>
      </c>
      <c r="I464" s="666"/>
      <c r="J464" s="666"/>
      <c r="K464" s="666">
        <f t="shared" si="53"/>
        <v>0</v>
      </c>
      <c r="L464" s="666"/>
      <c r="M464" s="665">
        <f t="shared" si="54"/>
        <v>0</v>
      </c>
      <c r="N464" s="666">
        <f t="shared" si="50"/>
        <v>0</v>
      </c>
      <c r="O464" s="672">
        <v>0</v>
      </c>
      <c r="P464" s="668">
        <f t="shared" si="55"/>
        <v>0</v>
      </c>
      <c r="Q464" s="676"/>
      <c r="R464" s="676"/>
    </row>
    <row r="465" spans="1:18" s="677" customFormat="1" ht="33" hidden="1" customHeight="1">
      <c r="A465" s="985"/>
      <c r="B465" s="986">
        <f t="shared" si="49"/>
        <v>0</v>
      </c>
      <c r="C465" s="987" t="s">
        <v>1640</v>
      </c>
      <c r="D465" s="993">
        <f>Data!AG417</f>
        <v>857.93059547999997</v>
      </c>
      <c r="E465" s="992" t="s">
        <v>235</v>
      </c>
      <c r="F465" s="987">
        <f t="shared" si="51"/>
        <v>0</v>
      </c>
      <c r="G465" s="994"/>
      <c r="H465" s="666">
        <f t="shared" si="52"/>
        <v>0</v>
      </c>
      <c r="I465" s="666"/>
      <c r="J465" s="666"/>
      <c r="K465" s="666">
        <f t="shared" si="53"/>
        <v>0</v>
      </c>
      <c r="L465" s="666"/>
      <c r="M465" s="665">
        <f t="shared" si="54"/>
        <v>0</v>
      </c>
      <c r="N465" s="666">
        <f t="shared" si="50"/>
        <v>0</v>
      </c>
      <c r="O465" s="672">
        <v>0</v>
      </c>
      <c r="P465" s="668">
        <f t="shared" si="55"/>
        <v>0</v>
      </c>
      <c r="Q465" s="676"/>
      <c r="R465" s="676"/>
    </row>
    <row r="466" spans="1:18" ht="35.25" hidden="1" customHeight="1">
      <c r="A466" s="985"/>
      <c r="B466" s="986">
        <f t="shared" si="49"/>
        <v>0</v>
      </c>
      <c r="C466" s="987" t="s">
        <v>1641</v>
      </c>
      <c r="D466" s="990"/>
      <c r="E466" s="987" t="s">
        <v>235</v>
      </c>
      <c r="F466" s="987">
        <f t="shared" si="51"/>
        <v>0</v>
      </c>
      <c r="G466" s="989"/>
      <c r="H466" s="666">
        <f t="shared" si="52"/>
        <v>0</v>
      </c>
      <c r="I466" s="666"/>
      <c r="J466" s="666"/>
      <c r="K466" s="666">
        <f t="shared" si="53"/>
        <v>0</v>
      </c>
      <c r="L466" s="666"/>
      <c r="M466" s="665">
        <f t="shared" si="54"/>
        <v>0</v>
      </c>
      <c r="N466" s="666">
        <f t="shared" si="50"/>
        <v>0</v>
      </c>
      <c r="O466" s="672">
        <v>0</v>
      </c>
      <c r="P466" s="668">
        <f t="shared" si="55"/>
        <v>0</v>
      </c>
    </row>
    <row r="467" spans="1:18" s="677" customFormat="1" ht="33" hidden="1" customHeight="1">
      <c r="A467" s="985"/>
      <c r="B467" s="986">
        <f t="shared" si="49"/>
        <v>0</v>
      </c>
      <c r="C467" s="1029" t="s">
        <v>1642</v>
      </c>
      <c r="D467" s="993">
        <f>Data!AG419</f>
        <v>889.21219547999999</v>
      </c>
      <c r="E467" s="992" t="s">
        <v>235</v>
      </c>
      <c r="F467" s="987">
        <f t="shared" si="51"/>
        <v>0</v>
      </c>
      <c r="G467" s="994"/>
      <c r="H467" s="666">
        <f t="shared" si="52"/>
        <v>0</v>
      </c>
      <c r="I467" s="666"/>
      <c r="J467" s="666"/>
      <c r="K467" s="666">
        <f t="shared" si="53"/>
        <v>0</v>
      </c>
      <c r="L467" s="666"/>
      <c r="M467" s="665">
        <f t="shared" si="54"/>
        <v>0</v>
      </c>
      <c r="N467" s="666">
        <f t="shared" si="50"/>
        <v>0</v>
      </c>
      <c r="O467" s="672">
        <v>0</v>
      </c>
      <c r="P467" s="668">
        <f t="shared" si="55"/>
        <v>0</v>
      </c>
      <c r="Q467" s="676"/>
      <c r="R467" s="676"/>
    </row>
    <row r="468" spans="1:18" s="677" customFormat="1" ht="33" hidden="1" customHeight="1">
      <c r="A468" s="985"/>
      <c r="B468" s="986">
        <f t="shared" si="49"/>
        <v>0</v>
      </c>
      <c r="C468" s="1029" t="s">
        <v>1643</v>
      </c>
      <c r="D468" s="993">
        <f>Data!AG420</f>
        <v>904.85299548</v>
      </c>
      <c r="E468" s="992" t="s">
        <v>235</v>
      </c>
      <c r="F468" s="987">
        <f t="shared" si="51"/>
        <v>0</v>
      </c>
      <c r="G468" s="994"/>
      <c r="H468" s="666">
        <f t="shared" si="52"/>
        <v>0</v>
      </c>
      <c r="I468" s="666"/>
      <c r="J468" s="666"/>
      <c r="K468" s="666">
        <f t="shared" si="53"/>
        <v>0</v>
      </c>
      <c r="L468" s="666"/>
      <c r="M468" s="665">
        <f t="shared" si="54"/>
        <v>0</v>
      </c>
      <c r="N468" s="666">
        <f t="shared" si="50"/>
        <v>0</v>
      </c>
      <c r="O468" s="672">
        <v>0</v>
      </c>
      <c r="P468" s="668">
        <f t="shared" si="55"/>
        <v>0</v>
      </c>
      <c r="Q468" s="676"/>
      <c r="R468" s="676"/>
    </row>
    <row r="469" spans="1:18" s="677" customFormat="1" ht="62.25" hidden="1" customHeight="1">
      <c r="A469" s="985">
        <v>11.2</v>
      </c>
      <c r="B469" s="986">
        <f t="shared" si="49"/>
        <v>0</v>
      </c>
      <c r="C469" s="995" t="s">
        <v>1446</v>
      </c>
      <c r="D469" s="993"/>
      <c r="E469" s="992"/>
      <c r="F469" s="987">
        <f t="shared" si="51"/>
        <v>0</v>
      </c>
      <c r="G469" s="994"/>
      <c r="H469" s="666">
        <f t="shared" si="52"/>
        <v>0</v>
      </c>
      <c r="I469" s="666"/>
      <c r="J469" s="666"/>
      <c r="K469" s="666">
        <f t="shared" si="53"/>
        <v>0</v>
      </c>
      <c r="L469" s="666"/>
      <c r="M469" s="665">
        <f t="shared" si="54"/>
        <v>0</v>
      </c>
      <c r="N469" s="666">
        <f t="shared" si="50"/>
        <v>0</v>
      </c>
      <c r="O469" s="672">
        <v>0</v>
      </c>
      <c r="P469" s="668">
        <f t="shared" si="55"/>
        <v>0</v>
      </c>
      <c r="Q469" s="676"/>
      <c r="R469" s="676"/>
    </row>
    <row r="470" spans="1:18" s="677" customFormat="1" ht="33" hidden="1" customHeight="1">
      <c r="A470" s="985"/>
      <c r="B470" s="986">
        <f t="shared" si="49"/>
        <v>0</v>
      </c>
      <c r="C470" s="987" t="s">
        <v>1639</v>
      </c>
      <c r="D470" s="993">
        <f>Data!AG455</f>
        <v>604.17328649999979</v>
      </c>
      <c r="E470" s="992" t="s">
        <v>37</v>
      </c>
      <c r="F470" s="987">
        <f t="shared" si="51"/>
        <v>0</v>
      </c>
      <c r="G470" s="994"/>
      <c r="H470" s="666">
        <f t="shared" si="52"/>
        <v>0</v>
      </c>
      <c r="I470" s="666"/>
      <c r="J470" s="666"/>
      <c r="K470" s="666">
        <f t="shared" si="53"/>
        <v>0</v>
      </c>
      <c r="L470" s="666"/>
      <c r="M470" s="665">
        <f t="shared" si="54"/>
        <v>0</v>
      </c>
      <c r="N470" s="666">
        <f t="shared" si="50"/>
        <v>0</v>
      </c>
      <c r="O470" s="672">
        <v>0</v>
      </c>
      <c r="P470" s="668">
        <f t="shared" si="55"/>
        <v>0</v>
      </c>
      <c r="Q470" s="676"/>
      <c r="R470" s="676"/>
    </row>
    <row r="471" spans="1:18" s="677" customFormat="1" ht="33" hidden="1" customHeight="1">
      <c r="A471" s="985"/>
      <c r="B471" s="986">
        <f t="shared" si="49"/>
        <v>0</v>
      </c>
      <c r="C471" s="987" t="s">
        <v>1640</v>
      </c>
      <c r="D471" s="993">
        <f>Data!AG456</f>
        <v>614.46328649999975</v>
      </c>
      <c r="E471" s="992" t="s">
        <v>37</v>
      </c>
      <c r="F471" s="987">
        <f t="shared" si="51"/>
        <v>0</v>
      </c>
      <c r="G471" s="994"/>
      <c r="H471" s="666">
        <f t="shared" si="52"/>
        <v>0</v>
      </c>
      <c r="I471" s="666"/>
      <c r="J471" s="666"/>
      <c r="K471" s="666">
        <f t="shared" si="53"/>
        <v>0</v>
      </c>
      <c r="L471" s="666"/>
      <c r="M471" s="665">
        <f t="shared" si="54"/>
        <v>0</v>
      </c>
      <c r="N471" s="666">
        <f t="shared" si="50"/>
        <v>0</v>
      </c>
      <c r="O471" s="672">
        <v>0</v>
      </c>
      <c r="P471" s="668">
        <f t="shared" si="55"/>
        <v>0</v>
      </c>
      <c r="Q471" s="676"/>
      <c r="R471" s="676"/>
    </row>
    <row r="472" spans="1:18" s="677" customFormat="1" ht="33" hidden="1" customHeight="1">
      <c r="A472" s="985"/>
      <c r="B472" s="986">
        <f t="shared" si="49"/>
        <v>0</v>
      </c>
      <c r="C472" s="987" t="s">
        <v>1641</v>
      </c>
      <c r="D472" s="993">
        <f>Data!AG457</f>
        <v>624.75328649999972</v>
      </c>
      <c r="E472" s="992" t="s">
        <v>37</v>
      </c>
      <c r="F472" s="987">
        <f t="shared" si="51"/>
        <v>0</v>
      </c>
      <c r="G472" s="994"/>
      <c r="H472" s="666">
        <f t="shared" si="52"/>
        <v>0</v>
      </c>
      <c r="I472" s="666"/>
      <c r="J472" s="666"/>
      <c r="K472" s="666">
        <f t="shared" si="53"/>
        <v>0</v>
      </c>
      <c r="L472" s="666"/>
      <c r="M472" s="665">
        <f t="shared" si="54"/>
        <v>0</v>
      </c>
      <c r="N472" s="666">
        <f t="shared" si="50"/>
        <v>0</v>
      </c>
      <c r="O472" s="672">
        <v>0</v>
      </c>
      <c r="P472" s="668">
        <f t="shared" si="55"/>
        <v>0</v>
      </c>
      <c r="Q472" s="676"/>
      <c r="R472" s="676"/>
    </row>
    <row r="473" spans="1:18" s="677" customFormat="1" ht="33" hidden="1" customHeight="1">
      <c r="A473" s="985"/>
      <c r="B473" s="986">
        <f t="shared" si="49"/>
        <v>0</v>
      </c>
      <c r="C473" s="1029" t="s">
        <v>1646</v>
      </c>
      <c r="D473" s="993">
        <f>Data!AG458</f>
        <v>635.04328649999968</v>
      </c>
      <c r="E473" s="992" t="s">
        <v>37</v>
      </c>
      <c r="F473" s="987">
        <f t="shared" si="51"/>
        <v>0</v>
      </c>
      <c r="G473" s="994"/>
      <c r="H473" s="666">
        <f t="shared" si="52"/>
        <v>0</v>
      </c>
      <c r="I473" s="666"/>
      <c r="J473" s="666"/>
      <c r="K473" s="666">
        <f t="shared" si="53"/>
        <v>0</v>
      </c>
      <c r="L473" s="666"/>
      <c r="M473" s="665">
        <f t="shared" si="54"/>
        <v>0</v>
      </c>
      <c r="N473" s="666">
        <f t="shared" si="50"/>
        <v>0</v>
      </c>
      <c r="O473" s="672">
        <v>0</v>
      </c>
      <c r="P473" s="668">
        <f t="shared" si="55"/>
        <v>0</v>
      </c>
      <c r="Q473" s="676"/>
      <c r="R473" s="676"/>
    </row>
    <row r="474" spans="1:18" s="677" customFormat="1" ht="33" hidden="1" customHeight="1">
      <c r="A474" s="985"/>
      <c r="B474" s="986">
        <f t="shared" si="49"/>
        <v>0</v>
      </c>
      <c r="C474" s="1029" t="s">
        <v>1643</v>
      </c>
      <c r="D474" s="993">
        <f>Data!AG459</f>
        <v>645.33328649999964</v>
      </c>
      <c r="E474" s="992" t="s">
        <v>37</v>
      </c>
      <c r="F474" s="987">
        <f t="shared" si="51"/>
        <v>0</v>
      </c>
      <c r="G474" s="994"/>
      <c r="H474" s="666">
        <f t="shared" si="52"/>
        <v>0</v>
      </c>
      <c r="I474" s="666"/>
      <c r="J474" s="666"/>
      <c r="K474" s="666">
        <f t="shared" si="53"/>
        <v>0</v>
      </c>
      <c r="L474" s="666"/>
      <c r="M474" s="665">
        <f t="shared" si="54"/>
        <v>0</v>
      </c>
      <c r="N474" s="666">
        <f t="shared" si="50"/>
        <v>0</v>
      </c>
      <c r="O474" s="672">
        <v>0</v>
      </c>
      <c r="P474" s="668">
        <f t="shared" si="55"/>
        <v>0</v>
      </c>
      <c r="Q474" s="676"/>
      <c r="R474" s="676"/>
    </row>
    <row r="475" spans="1:18" s="677" customFormat="1" ht="45" hidden="1" customHeight="1">
      <c r="A475" s="985"/>
      <c r="B475" s="986">
        <f t="shared" si="49"/>
        <v>0</v>
      </c>
      <c r="C475" s="987" t="s">
        <v>1647</v>
      </c>
      <c r="D475" s="993">
        <v>2796.22</v>
      </c>
      <c r="E475" s="992" t="s">
        <v>16</v>
      </c>
      <c r="F475" s="987">
        <f t="shared" si="51"/>
        <v>0</v>
      </c>
      <c r="G475" s="994"/>
      <c r="H475" s="666">
        <f t="shared" si="52"/>
        <v>0</v>
      </c>
      <c r="I475" s="666"/>
      <c r="J475" s="666"/>
      <c r="K475" s="666">
        <f t="shared" si="53"/>
        <v>0</v>
      </c>
      <c r="L475" s="666"/>
      <c r="M475" s="665">
        <f t="shared" si="54"/>
        <v>0</v>
      </c>
      <c r="N475" s="666">
        <f t="shared" si="50"/>
        <v>0</v>
      </c>
      <c r="O475" s="672">
        <v>0</v>
      </c>
      <c r="P475" s="668">
        <f t="shared" si="55"/>
        <v>0</v>
      </c>
      <c r="Q475" s="676"/>
      <c r="R475" s="676"/>
    </row>
    <row r="476" spans="1:18" s="677" customFormat="1" ht="51.75" hidden="1" customHeight="1">
      <c r="A476" s="985"/>
      <c r="B476" s="986">
        <f t="shared" si="49"/>
        <v>0</v>
      </c>
      <c r="C476" s="1029" t="s">
        <v>1648</v>
      </c>
      <c r="D476" s="993">
        <f>Data!R154</f>
        <v>365.68</v>
      </c>
      <c r="E476" s="992" t="s">
        <v>235</v>
      </c>
      <c r="F476" s="987">
        <f t="shared" si="51"/>
        <v>0</v>
      </c>
      <c r="G476" s="994"/>
      <c r="H476" s="666">
        <f t="shared" si="52"/>
        <v>0</v>
      </c>
      <c r="I476" s="666"/>
      <c r="J476" s="666"/>
      <c r="K476" s="666">
        <f t="shared" si="53"/>
        <v>0</v>
      </c>
      <c r="L476" s="666"/>
      <c r="M476" s="665">
        <f t="shared" si="54"/>
        <v>0</v>
      </c>
      <c r="N476" s="666">
        <f t="shared" si="50"/>
        <v>0</v>
      </c>
      <c r="O476" s="672">
        <v>0</v>
      </c>
      <c r="P476" s="668">
        <f t="shared" si="55"/>
        <v>0</v>
      </c>
      <c r="Q476" s="676"/>
      <c r="R476" s="676"/>
    </row>
    <row r="477" spans="1:18" ht="41.25" hidden="1" customHeight="1">
      <c r="A477" s="990"/>
      <c r="B477" s="986">
        <f t="shared" si="49"/>
        <v>0</v>
      </c>
      <c r="C477" s="987" t="s">
        <v>630</v>
      </c>
      <c r="D477" s="990">
        <f>Data!K1442</f>
        <v>249.62203999999997</v>
      </c>
      <c r="E477" s="987" t="s">
        <v>37</v>
      </c>
      <c r="F477" s="987">
        <f t="shared" si="51"/>
        <v>0</v>
      </c>
      <c r="G477" s="989"/>
      <c r="H477" s="666">
        <f t="shared" si="52"/>
        <v>0</v>
      </c>
      <c r="I477" s="666"/>
      <c r="J477" s="666"/>
      <c r="K477" s="666">
        <f t="shared" si="53"/>
        <v>0</v>
      </c>
      <c r="L477" s="666"/>
      <c r="M477" s="665">
        <f t="shared" si="54"/>
        <v>0</v>
      </c>
      <c r="N477" s="666">
        <f t="shared" si="50"/>
        <v>0</v>
      </c>
      <c r="O477" s="672">
        <v>0</v>
      </c>
      <c r="P477" s="668">
        <f t="shared" si="55"/>
        <v>0</v>
      </c>
    </row>
    <row r="478" spans="1:18" ht="42.75" customHeight="1">
      <c r="A478" s="1030"/>
      <c r="B478" s="986">
        <f t="shared" si="49"/>
        <v>88</v>
      </c>
      <c r="C478" s="987" t="s">
        <v>1649</v>
      </c>
      <c r="D478" s="986">
        <f>Data!R144</f>
        <v>546.6</v>
      </c>
      <c r="E478" s="987" t="s">
        <v>16</v>
      </c>
      <c r="F478" s="987">
        <f t="shared" si="51"/>
        <v>48100.800000000003</v>
      </c>
      <c r="G478" s="996">
        <f>Detailed!H951</f>
        <v>88</v>
      </c>
      <c r="H478" s="666">
        <f t="shared" si="52"/>
        <v>48100.800000000003</v>
      </c>
      <c r="I478" s="666"/>
      <c r="J478" s="666"/>
      <c r="K478" s="666">
        <f t="shared" si="53"/>
        <v>0</v>
      </c>
      <c r="L478" s="666"/>
      <c r="M478" s="665">
        <f t="shared" si="54"/>
        <v>88</v>
      </c>
      <c r="N478" s="666">
        <f t="shared" si="50"/>
        <v>48100.800000000003</v>
      </c>
      <c r="O478" s="672">
        <v>79</v>
      </c>
      <c r="P478" s="668">
        <f t="shared" si="55"/>
        <v>9</v>
      </c>
    </row>
    <row r="479" spans="1:18" ht="48.75" hidden="1" customHeight="1">
      <c r="A479" s="982"/>
      <c r="B479" s="986">
        <f t="shared" si="49"/>
        <v>0</v>
      </c>
      <c r="C479" s="987" t="s">
        <v>1650</v>
      </c>
      <c r="D479" s="993">
        <f>Data!K368</f>
        <v>6545.6789999999992</v>
      </c>
      <c r="E479" s="992" t="s">
        <v>16</v>
      </c>
      <c r="F479" s="987">
        <f t="shared" si="51"/>
        <v>0</v>
      </c>
      <c r="G479" s="994"/>
      <c r="H479" s="666">
        <f t="shared" si="52"/>
        <v>0</v>
      </c>
      <c r="I479" s="666"/>
      <c r="J479" s="666"/>
      <c r="K479" s="666">
        <f t="shared" si="53"/>
        <v>0</v>
      </c>
      <c r="L479" s="666"/>
      <c r="M479" s="665">
        <f t="shared" si="54"/>
        <v>0</v>
      </c>
      <c r="N479" s="666">
        <f t="shared" si="50"/>
        <v>0</v>
      </c>
      <c r="O479" s="672">
        <v>0</v>
      </c>
      <c r="P479" s="668">
        <f t="shared" si="55"/>
        <v>0</v>
      </c>
    </row>
    <row r="480" spans="1:18" s="677" customFormat="1" ht="25.5" hidden="1" customHeight="1">
      <c r="A480" s="1031"/>
      <c r="B480" s="986">
        <f t="shared" si="49"/>
        <v>0</v>
      </c>
      <c r="C480" s="987" t="s">
        <v>1651</v>
      </c>
      <c r="D480" s="993">
        <f>Data!K369</f>
        <v>6682.878999999999</v>
      </c>
      <c r="E480" s="992" t="s">
        <v>16</v>
      </c>
      <c r="F480" s="987">
        <f t="shared" si="51"/>
        <v>0</v>
      </c>
      <c r="G480" s="994"/>
      <c r="H480" s="666">
        <f t="shared" si="52"/>
        <v>0</v>
      </c>
      <c r="I480" s="666"/>
      <c r="J480" s="666"/>
      <c r="K480" s="666">
        <f t="shared" si="53"/>
        <v>0</v>
      </c>
      <c r="L480" s="666"/>
      <c r="M480" s="665">
        <f t="shared" si="54"/>
        <v>0</v>
      </c>
      <c r="N480" s="666">
        <f t="shared" si="50"/>
        <v>0</v>
      </c>
      <c r="O480" s="672">
        <v>0</v>
      </c>
      <c r="P480" s="668">
        <f t="shared" si="55"/>
        <v>0</v>
      </c>
      <c r="Q480" s="676"/>
      <c r="R480" s="676"/>
    </row>
    <row r="481" spans="1:18" ht="65.25" hidden="1" customHeight="1">
      <c r="A481" s="982"/>
      <c r="B481" s="986">
        <f t="shared" si="49"/>
        <v>0</v>
      </c>
      <c r="C481" s="987" t="s">
        <v>1652</v>
      </c>
      <c r="D481" s="993">
        <f>Data!$K$370</f>
        <v>6820.0789999999988</v>
      </c>
      <c r="E481" s="992" t="s">
        <v>16</v>
      </c>
      <c r="F481" s="987">
        <f t="shared" si="51"/>
        <v>0</v>
      </c>
      <c r="G481" s="994"/>
      <c r="H481" s="666">
        <f t="shared" si="52"/>
        <v>0</v>
      </c>
      <c r="I481" s="666"/>
      <c r="J481" s="666"/>
      <c r="K481" s="666">
        <f t="shared" si="53"/>
        <v>0</v>
      </c>
      <c r="L481" s="666"/>
      <c r="M481" s="665">
        <f t="shared" si="54"/>
        <v>0</v>
      </c>
      <c r="N481" s="666">
        <f t="shared" si="50"/>
        <v>0</v>
      </c>
      <c r="O481" s="672">
        <v>0</v>
      </c>
      <c r="P481" s="668">
        <f t="shared" si="55"/>
        <v>0</v>
      </c>
    </row>
    <row r="482" spans="1:18" ht="64.5" hidden="1" customHeight="1">
      <c r="A482" s="982"/>
      <c r="B482" s="986">
        <f t="shared" si="49"/>
        <v>0</v>
      </c>
      <c r="C482" s="992" t="s">
        <v>1653</v>
      </c>
      <c r="D482" s="993">
        <f>Data!K371</f>
        <v>6957.2789999999986</v>
      </c>
      <c r="E482" s="992" t="s">
        <v>16</v>
      </c>
      <c r="F482" s="987">
        <f t="shared" si="51"/>
        <v>0</v>
      </c>
      <c r="G482" s="994"/>
      <c r="H482" s="666">
        <f t="shared" si="52"/>
        <v>0</v>
      </c>
      <c r="I482" s="666"/>
      <c r="J482" s="666"/>
      <c r="K482" s="666">
        <f t="shared" si="53"/>
        <v>0</v>
      </c>
      <c r="L482" s="666"/>
      <c r="M482" s="665">
        <f t="shared" si="54"/>
        <v>0</v>
      </c>
      <c r="N482" s="666">
        <f t="shared" si="50"/>
        <v>0</v>
      </c>
      <c r="O482" s="672">
        <v>0</v>
      </c>
      <c r="P482" s="668">
        <f t="shared" si="55"/>
        <v>0</v>
      </c>
    </row>
    <row r="483" spans="1:18" s="677" customFormat="1" ht="46.5" hidden="1" customHeight="1">
      <c r="A483" s="1000"/>
      <c r="B483" s="986">
        <f t="shared" si="49"/>
        <v>0</v>
      </c>
      <c r="C483" s="987" t="s">
        <v>1654</v>
      </c>
      <c r="D483" s="993">
        <f>Data!X88</f>
        <v>138.83333333333331</v>
      </c>
      <c r="E483" s="992"/>
      <c r="F483" s="987">
        <f t="shared" si="51"/>
        <v>0</v>
      </c>
      <c r="G483" s="994"/>
      <c r="H483" s="666">
        <f t="shared" si="52"/>
        <v>0</v>
      </c>
      <c r="I483" s="666"/>
      <c r="J483" s="666"/>
      <c r="K483" s="666">
        <f t="shared" si="53"/>
        <v>0</v>
      </c>
      <c r="L483" s="666"/>
      <c r="M483" s="665">
        <f t="shared" si="54"/>
        <v>0</v>
      </c>
      <c r="N483" s="666">
        <f t="shared" si="50"/>
        <v>0</v>
      </c>
      <c r="O483" s="672">
        <v>0</v>
      </c>
      <c r="P483" s="668">
        <f t="shared" si="55"/>
        <v>0</v>
      </c>
      <c r="Q483" s="676"/>
      <c r="R483" s="676"/>
    </row>
    <row r="484" spans="1:18" s="677" customFormat="1" ht="57" hidden="1" customHeight="1">
      <c r="A484" s="1000"/>
      <c r="B484" s="986">
        <f t="shared" si="49"/>
        <v>0</v>
      </c>
      <c r="C484" s="987" t="s">
        <v>1655</v>
      </c>
      <c r="D484" s="993">
        <f>Data!X118</f>
        <v>64.500000000000014</v>
      </c>
      <c r="E484" s="992"/>
      <c r="F484" s="987">
        <f t="shared" si="51"/>
        <v>0</v>
      </c>
      <c r="G484" s="994"/>
      <c r="H484" s="666">
        <f t="shared" si="52"/>
        <v>0</v>
      </c>
      <c r="I484" s="666"/>
      <c r="J484" s="666"/>
      <c r="K484" s="666">
        <f t="shared" si="53"/>
        <v>0</v>
      </c>
      <c r="L484" s="666"/>
      <c r="M484" s="665">
        <f t="shared" si="54"/>
        <v>0</v>
      </c>
      <c r="N484" s="666">
        <f t="shared" si="50"/>
        <v>0</v>
      </c>
      <c r="O484" s="672">
        <v>0</v>
      </c>
      <c r="P484" s="668">
        <f t="shared" si="55"/>
        <v>0</v>
      </c>
      <c r="Q484" s="676"/>
      <c r="R484" s="676"/>
    </row>
    <row r="485" spans="1:18" s="677" customFormat="1" ht="60" hidden="1" customHeight="1">
      <c r="A485" s="1000"/>
      <c r="B485" s="986">
        <f t="shared" si="49"/>
        <v>0</v>
      </c>
      <c r="C485" s="987" t="s">
        <v>1656</v>
      </c>
      <c r="D485" s="993">
        <f>Data!X133</f>
        <v>96.75</v>
      </c>
      <c r="E485" s="992"/>
      <c r="F485" s="987">
        <f t="shared" si="51"/>
        <v>0</v>
      </c>
      <c r="G485" s="994"/>
      <c r="H485" s="666">
        <f t="shared" si="52"/>
        <v>0</v>
      </c>
      <c r="I485" s="666"/>
      <c r="J485" s="666"/>
      <c r="K485" s="666">
        <f t="shared" si="53"/>
        <v>0</v>
      </c>
      <c r="L485" s="666"/>
      <c r="M485" s="665">
        <f t="shared" si="54"/>
        <v>0</v>
      </c>
      <c r="N485" s="666">
        <f t="shared" si="50"/>
        <v>0</v>
      </c>
      <c r="O485" s="672">
        <v>0</v>
      </c>
      <c r="P485" s="668">
        <f t="shared" si="55"/>
        <v>0</v>
      </c>
      <c r="Q485" s="676"/>
      <c r="R485" s="676"/>
    </row>
    <row r="486" spans="1:18" s="677" customFormat="1" ht="25.5" hidden="1" customHeight="1">
      <c r="A486" s="985">
        <v>8.4</v>
      </c>
      <c r="B486" s="986">
        <f t="shared" si="49"/>
        <v>0</v>
      </c>
      <c r="C486" s="995" t="s">
        <v>1657</v>
      </c>
      <c r="D486" s="993"/>
      <c r="E486" s="992"/>
      <c r="F486" s="987">
        <f t="shared" si="51"/>
        <v>0</v>
      </c>
      <c r="G486" s="994"/>
      <c r="H486" s="666">
        <f t="shared" si="52"/>
        <v>0</v>
      </c>
      <c r="I486" s="666"/>
      <c r="J486" s="666"/>
      <c r="K486" s="666">
        <f t="shared" si="53"/>
        <v>0</v>
      </c>
      <c r="L486" s="666"/>
      <c r="M486" s="665">
        <f t="shared" si="54"/>
        <v>0</v>
      </c>
      <c r="N486" s="666">
        <f t="shared" si="50"/>
        <v>0</v>
      </c>
      <c r="O486" s="672">
        <v>0</v>
      </c>
      <c r="P486" s="668">
        <f t="shared" si="55"/>
        <v>0</v>
      </c>
      <c r="Q486" s="676"/>
      <c r="R486" s="676"/>
    </row>
    <row r="487" spans="1:18" s="677" customFormat="1" ht="25.5" hidden="1" customHeight="1">
      <c r="A487" s="985"/>
      <c r="B487" s="986">
        <f t="shared" si="49"/>
        <v>0</v>
      </c>
      <c r="C487" s="987" t="s">
        <v>1635</v>
      </c>
      <c r="D487" s="993">
        <f>ROUND(Data!K2911,2)</f>
        <v>7021.07</v>
      </c>
      <c r="E487" s="992" t="s">
        <v>16</v>
      </c>
      <c r="F487" s="987">
        <f t="shared" si="51"/>
        <v>0</v>
      </c>
      <c r="G487" s="994"/>
      <c r="H487" s="666">
        <f t="shared" si="52"/>
        <v>0</v>
      </c>
      <c r="I487" s="666"/>
      <c r="J487" s="666"/>
      <c r="K487" s="666">
        <f t="shared" si="53"/>
        <v>0</v>
      </c>
      <c r="L487" s="666"/>
      <c r="M487" s="665">
        <f t="shared" si="54"/>
        <v>0</v>
      </c>
      <c r="N487" s="666">
        <f t="shared" si="50"/>
        <v>0</v>
      </c>
      <c r="O487" s="672">
        <v>0</v>
      </c>
      <c r="P487" s="668">
        <f t="shared" si="55"/>
        <v>0</v>
      </c>
      <c r="Q487" s="676"/>
      <c r="R487" s="676"/>
    </row>
    <row r="488" spans="1:18" s="677" customFormat="1" ht="25.5" hidden="1" customHeight="1">
      <c r="A488" s="985"/>
      <c r="B488" s="986">
        <f t="shared" si="49"/>
        <v>0</v>
      </c>
      <c r="C488" s="987" t="s">
        <v>1630</v>
      </c>
      <c r="D488" s="993">
        <f>ROUND(Data!K2913,2)</f>
        <v>7124.37</v>
      </c>
      <c r="E488" s="992" t="s">
        <v>16</v>
      </c>
      <c r="F488" s="987">
        <f t="shared" si="51"/>
        <v>0</v>
      </c>
      <c r="G488" s="994"/>
      <c r="H488" s="666">
        <f t="shared" si="52"/>
        <v>0</v>
      </c>
      <c r="I488" s="666"/>
      <c r="J488" s="666"/>
      <c r="K488" s="666">
        <f t="shared" si="53"/>
        <v>0</v>
      </c>
      <c r="L488" s="666"/>
      <c r="M488" s="665">
        <f t="shared" si="54"/>
        <v>0</v>
      </c>
      <c r="N488" s="666">
        <f t="shared" si="50"/>
        <v>0</v>
      </c>
      <c r="O488" s="672">
        <v>0</v>
      </c>
      <c r="P488" s="668">
        <f t="shared" si="55"/>
        <v>0</v>
      </c>
      <c r="Q488" s="676"/>
      <c r="R488" s="676"/>
    </row>
    <row r="489" spans="1:18" s="677" customFormat="1" ht="25.5" hidden="1" customHeight="1">
      <c r="A489" s="985"/>
      <c r="B489" s="986">
        <f t="shared" si="49"/>
        <v>0</v>
      </c>
      <c r="C489" s="987" t="s">
        <v>1658</v>
      </c>
      <c r="D489" s="993">
        <f>ROUND(Data!K2914,2)</f>
        <v>7327.87</v>
      </c>
      <c r="E489" s="992" t="s">
        <v>16</v>
      </c>
      <c r="F489" s="987">
        <f t="shared" si="51"/>
        <v>0</v>
      </c>
      <c r="G489" s="994"/>
      <c r="H489" s="666">
        <f t="shared" si="52"/>
        <v>0</v>
      </c>
      <c r="I489" s="666"/>
      <c r="J489" s="666"/>
      <c r="K489" s="666">
        <f t="shared" si="53"/>
        <v>0</v>
      </c>
      <c r="L489" s="666"/>
      <c r="M489" s="665">
        <f t="shared" si="54"/>
        <v>0</v>
      </c>
      <c r="N489" s="666">
        <f t="shared" si="50"/>
        <v>0</v>
      </c>
      <c r="O489" s="672">
        <v>0</v>
      </c>
      <c r="P489" s="668">
        <f t="shared" si="55"/>
        <v>0</v>
      </c>
      <c r="Q489" s="676"/>
      <c r="R489" s="676"/>
    </row>
    <row r="490" spans="1:18" s="677" customFormat="1" ht="25.5" hidden="1" customHeight="1">
      <c r="A490" s="1000"/>
      <c r="B490" s="986">
        <f t="shared" si="49"/>
        <v>0</v>
      </c>
      <c r="C490" s="987" t="s">
        <v>1659</v>
      </c>
      <c r="D490" s="1032">
        <f>ROUND(Data!K2915,2)</f>
        <v>7531.37</v>
      </c>
      <c r="E490" s="992" t="s">
        <v>16</v>
      </c>
      <c r="F490" s="987">
        <f t="shared" si="51"/>
        <v>0</v>
      </c>
      <c r="G490" s="994"/>
      <c r="H490" s="666">
        <f t="shared" si="52"/>
        <v>0</v>
      </c>
      <c r="I490" s="666"/>
      <c r="J490" s="666"/>
      <c r="K490" s="666">
        <f t="shared" si="53"/>
        <v>0</v>
      </c>
      <c r="L490" s="666"/>
      <c r="M490" s="665">
        <f t="shared" si="54"/>
        <v>0</v>
      </c>
      <c r="N490" s="666">
        <f t="shared" si="50"/>
        <v>0</v>
      </c>
      <c r="O490" s="672">
        <v>0</v>
      </c>
      <c r="P490" s="668">
        <f t="shared" si="55"/>
        <v>0</v>
      </c>
      <c r="Q490" s="676"/>
      <c r="R490" s="676"/>
    </row>
    <row r="491" spans="1:18" s="677" customFormat="1" ht="46.5" hidden="1" customHeight="1">
      <c r="A491" s="985">
        <v>8.5</v>
      </c>
      <c r="B491" s="986">
        <f t="shared" si="49"/>
        <v>0</v>
      </c>
      <c r="C491" s="995" t="s">
        <v>1660</v>
      </c>
      <c r="D491" s="993"/>
      <c r="E491" s="992"/>
      <c r="F491" s="987">
        <f t="shared" si="51"/>
        <v>0</v>
      </c>
      <c r="G491" s="994"/>
      <c r="H491" s="666">
        <f t="shared" si="52"/>
        <v>0</v>
      </c>
      <c r="I491" s="666"/>
      <c r="J491" s="666"/>
      <c r="K491" s="666">
        <f t="shared" si="53"/>
        <v>0</v>
      </c>
      <c r="L491" s="666"/>
      <c r="M491" s="665">
        <f t="shared" si="54"/>
        <v>0</v>
      </c>
      <c r="N491" s="666">
        <f t="shared" si="50"/>
        <v>0</v>
      </c>
      <c r="O491" s="672">
        <v>0</v>
      </c>
      <c r="P491" s="668">
        <f t="shared" si="55"/>
        <v>0</v>
      </c>
      <c r="Q491" s="676"/>
      <c r="R491" s="676"/>
    </row>
    <row r="492" spans="1:18" s="677" customFormat="1" ht="25.5" hidden="1" customHeight="1">
      <c r="A492" s="985"/>
      <c r="B492" s="986">
        <f t="shared" si="49"/>
        <v>0</v>
      </c>
      <c r="C492" s="987" t="s">
        <v>1661</v>
      </c>
      <c r="D492" s="993">
        <f>ROUND(Data!K2931,2)</f>
        <v>618.14</v>
      </c>
      <c r="E492" s="992" t="s">
        <v>61</v>
      </c>
      <c r="F492" s="987">
        <f t="shared" si="51"/>
        <v>0</v>
      </c>
      <c r="G492" s="994"/>
      <c r="H492" s="666">
        <f t="shared" si="52"/>
        <v>0</v>
      </c>
      <c r="I492" s="666"/>
      <c r="J492" s="666"/>
      <c r="K492" s="666">
        <f t="shared" si="53"/>
        <v>0</v>
      </c>
      <c r="L492" s="666"/>
      <c r="M492" s="665">
        <f t="shared" si="54"/>
        <v>0</v>
      </c>
      <c r="N492" s="666">
        <f t="shared" si="50"/>
        <v>0</v>
      </c>
      <c r="O492" s="672">
        <v>0</v>
      </c>
      <c r="P492" s="668">
        <f t="shared" si="55"/>
        <v>0</v>
      </c>
      <c r="Q492" s="676"/>
      <c r="R492" s="676"/>
    </row>
    <row r="493" spans="1:18" s="677" customFormat="1" ht="25.5" hidden="1" customHeight="1">
      <c r="A493" s="985"/>
      <c r="B493" s="986">
        <f t="shared" si="49"/>
        <v>0</v>
      </c>
      <c r="C493" s="987" t="s">
        <v>1662</v>
      </c>
      <c r="D493" s="993">
        <f>ROUND(Data!K2940,2)</f>
        <v>621.62</v>
      </c>
      <c r="E493" s="992" t="s">
        <v>61</v>
      </c>
      <c r="F493" s="987">
        <f t="shared" si="51"/>
        <v>0</v>
      </c>
      <c r="G493" s="994"/>
      <c r="H493" s="666">
        <f t="shared" si="52"/>
        <v>0</v>
      </c>
      <c r="I493" s="666"/>
      <c r="J493" s="666"/>
      <c r="K493" s="666">
        <f t="shared" si="53"/>
        <v>0</v>
      </c>
      <c r="L493" s="666"/>
      <c r="M493" s="665">
        <f t="shared" si="54"/>
        <v>0</v>
      </c>
      <c r="N493" s="666">
        <f t="shared" si="50"/>
        <v>0</v>
      </c>
      <c r="O493" s="672">
        <v>0</v>
      </c>
      <c r="P493" s="668">
        <f t="shared" si="55"/>
        <v>0</v>
      </c>
      <c r="Q493" s="676"/>
      <c r="R493" s="676"/>
    </row>
    <row r="494" spans="1:18" s="677" customFormat="1" ht="25.5" hidden="1" customHeight="1">
      <c r="A494" s="985"/>
      <c r="B494" s="986">
        <f t="shared" si="49"/>
        <v>0</v>
      </c>
      <c r="C494" s="987" t="s">
        <v>1663</v>
      </c>
      <c r="D494" s="993">
        <f>ROUND(Data!K2950,2)</f>
        <v>625.11</v>
      </c>
      <c r="E494" s="992" t="s">
        <v>61</v>
      </c>
      <c r="F494" s="987">
        <f t="shared" si="51"/>
        <v>0</v>
      </c>
      <c r="G494" s="994"/>
      <c r="H494" s="666">
        <f t="shared" si="52"/>
        <v>0</v>
      </c>
      <c r="I494" s="666"/>
      <c r="J494" s="666"/>
      <c r="K494" s="666">
        <f t="shared" si="53"/>
        <v>0</v>
      </c>
      <c r="L494" s="666"/>
      <c r="M494" s="665">
        <f t="shared" si="54"/>
        <v>0</v>
      </c>
      <c r="N494" s="666">
        <f t="shared" si="50"/>
        <v>0</v>
      </c>
      <c r="O494" s="672">
        <v>0</v>
      </c>
      <c r="P494" s="668">
        <f t="shared" si="55"/>
        <v>0</v>
      </c>
      <c r="Q494" s="676"/>
      <c r="R494" s="676"/>
    </row>
    <row r="495" spans="1:18" s="677" customFormat="1" ht="51" hidden="1" customHeight="1">
      <c r="A495" s="985" t="s">
        <v>1664</v>
      </c>
      <c r="B495" s="986">
        <f t="shared" si="49"/>
        <v>0</v>
      </c>
      <c r="C495" s="995" t="s">
        <v>1665</v>
      </c>
      <c r="D495" s="993"/>
      <c r="E495" s="992"/>
      <c r="F495" s="987">
        <f t="shared" si="51"/>
        <v>0</v>
      </c>
      <c r="G495" s="994"/>
      <c r="H495" s="666">
        <f t="shared" si="52"/>
        <v>0</v>
      </c>
      <c r="I495" s="666"/>
      <c r="J495" s="666"/>
      <c r="K495" s="666">
        <f t="shared" si="53"/>
        <v>0</v>
      </c>
      <c r="L495" s="666"/>
      <c r="M495" s="665">
        <f t="shared" si="54"/>
        <v>0</v>
      </c>
      <c r="N495" s="666">
        <f t="shared" si="50"/>
        <v>0</v>
      </c>
      <c r="O495" s="672">
        <v>0</v>
      </c>
      <c r="P495" s="668">
        <f t="shared" si="55"/>
        <v>0</v>
      </c>
      <c r="Q495" s="676"/>
      <c r="R495" s="676"/>
    </row>
    <row r="496" spans="1:18" s="677" customFormat="1" ht="25.5" hidden="1" customHeight="1">
      <c r="A496" s="985"/>
      <c r="B496" s="986">
        <f t="shared" si="49"/>
        <v>0</v>
      </c>
      <c r="C496" s="987" t="s">
        <v>1666</v>
      </c>
      <c r="D496" s="993">
        <f>'[8]pile data ( M20 grade)'!F81</f>
        <v>2674.87</v>
      </c>
      <c r="E496" s="992" t="s">
        <v>61</v>
      </c>
      <c r="F496" s="987">
        <f t="shared" si="51"/>
        <v>0</v>
      </c>
      <c r="G496" s="994"/>
      <c r="H496" s="666">
        <f t="shared" si="52"/>
        <v>0</v>
      </c>
      <c r="I496" s="666"/>
      <c r="J496" s="666"/>
      <c r="K496" s="666">
        <f t="shared" si="53"/>
        <v>0</v>
      </c>
      <c r="L496" s="666"/>
      <c r="M496" s="665">
        <f t="shared" si="54"/>
        <v>0</v>
      </c>
      <c r="N496" s="666">
        <f t="shared" si="50"/>
        <v>0</v>
      </c>
      <c r="O496" s="672">
        <v>0</v>
      </c>
      <c r="P496" s="668">
        <f t="shared" si="55"/>
        <v>0</v>
      </c>
      <c r="Q496" s="676"/>
      <c r="R496" s="676"/>
    </row>
    <row r="497" spans="1:19" s="677" customFormat="1" ht="69.75" hidden="1" customHeight="1">
      <c r="A497" s="985"/>
      <c r="B497" s="986">
        <f t="shared" si="49"/>
        <v>0</v>
      </c>
      <c r="C497" s="1033" t="s">
        <v>1667</v>
      </c>
      <c r="D497" s="993"/>
      <c r="E497" s="992"/>
      <c r="F497" s="987">
        <f t="shared" si="51"/>
        <v>0</v>
      </c>
      <c r="G497" s="994"/>
      <c r="H497" s="666">
        <f t="shared" si="52"/>
        <v>0</v>
      </c>
      <c r="I497" s="666"/>
      <c r="J497" s="666"/>
      <c r="K497" s="666">
        <f t="shared" si="53"/>
        <v>0</v>
      </c>
      <c r="L497" s="666"/>
      <c r="M497" s="665">
        <f t="shared" si="54"/>
        <v>0</v>
      </c>
      <c r="N497" s="666">
        <f t="shared" si="50"/>
        <v>0</v>
      </c>
      <c r="O497" s="672">
        <v>0</v>
      </c>
      <c r="P497" s="668">
        <f t="shared" si="55"/>
        <v>0</v>
      </c>
      <c r="Q497" s="676"/>
      <c r="R497" s="676"/>
    </row>
    <row r="498" spans="1:19" s="677" customFormat="1" ht="25.5" hidden="1" customHeight="1">
      <c r="A498" s="985"/>
      <c r="B498" s="986">
        <f t="shared" si="49"/>
        <v>0</v>
      </c>
      <c r="C498" s="1033" t="s">
        <v>1668</v>
      </c>
      <c r="D498" s="1034">
        <f>'[8]pile data ( M20 grade)'!F92</f>
        <v>710.92</v>
      </c>
      <c r="E498" s="1035" t="s">
        <v>61</v>
      </c>
      <c r="F498" s="987">
        <f t="shared" si="51"/>
        <v>0</v>
      </c>
      <c r="G498" s="1036"/>
      <c r="H498" s="666">
        <f t="shared" si="52"/>
        <v>0</v>
      </c>
      <c r="I498" s="666"/>
      <c r="J498" s="666"/>
      <c r="K498" s="666">
        <f t="shared" si="53"/>
        <v>0</v>
      </c>
      <c r="L498" s="666"/>
      <c r="M498" s="665">
        <f t="shared" si="54"/>
        <v>0</v>
      </c>
      <c r="N498" s="666">
        <f t="shared" si="50"/>
        <v>0</v>
      </c>
      <c r="O498" s="672">
        <v>0</v>
      </c>
      <c r="P498" s="668">
        <f t="shared" si="55"/>
        <v>0</v>
      </c>
      <c r="Q498" s="676"/>
      <c r="R498" s="676"/>
    </row>
    <row r="499" spans="1:19" s="677" customFormat="1" ht="46.5" hidden="1" customHeight="1">
      <c r="A499" s="985"/>
      <c r="B499" s="986">
        <f t="shared" si="49"/>
        <v>0</v>
      </c>
      <c r="C499" s="1033" t="s">
        <v>1669</v>
      </c>
      <c r="D499" s="1034">
        <v>70000</v>
      </c>
      <c r="E499" s="1037" t="s">
        <v>4</v>
      </c>
      <c r="F499" s="987">
        <f t="shared" si="51"/>
        <v>0</v>
      </c>
      <c r="G499" s="1038"/>
      <c r="H499" s="666">
        <f t="shared" si="52"/>
        <v>0</v>
      </c>
      <c r="I499" s="666"/>
      <c r="J499" s="666"/>
      <c r="K499" s="666">
        <f t="shared" si="53"/>
        <v>0</v>
      </c>
      <c r="L499" s="666"/>
      <c r="M499" s="665">
        <f t="shared" si="54"/>
        <v>0</v>
      </c>
      <c r="N499" s="666">
        <f t="shared" si="50"/>
        <v>0</v>
      </c>
      <c r="O499" s="672">
        <v>0</v>
      </c>
      <c r="P499" s="668">
        <f t="shared" si="55"/>
        <v>0</v>
      </c>
      <c r="Q499" s="676"/>
      <c r="R499" s="676"/>
    </row>
    <row r="500" spans="1:19" s="677" customFormat="1" ht="27" hidden="1" customHeight="1">
      <c r="A500" s="985"/>
      <c r="B500" s="986">
        <f t="shared" si="49"/>
        <v>0</v>
      </c>
      <c r="C500" s="1033" t="s">
        <v>1670</v>
      </c>
      <c r="D500" s="1034">
        <v>50000</v>
      </c>
      <c r="E500" s="1037" t="s">
        <v>1671</v>
      </c>
      <c r="F500" s="987">
        <f t="shared" si="51"/>
        <v>0</v>
      </c>
      <c r="G500" s="1038"/>
      <c r="H500" s="666">
        <f t="shared" si="52"/>
        <v>0</v>
      </c>
      <c r="I500" s="666"/>
      <c r="J500" s="666"/>
      <c r="K500" s="666">
        <f t="shared" si="53"/>
        <v>0</v>
      </c>
      <c r="L500" s="666"/>
      <c r="M500" s="665">
        <f t="shared" si="54"/>
        <v>0</v>
      </c>
      <c r="N500" s="666">
        <f t="shared" si="50"/>
        <v>0</v>
      </c>
      <c r="O500" s="672">
        <v>0</v>
      </c>
      <c r="P500" s="668">
        <f t="shared" si="55"/>
        <v>0</v>
      </c>
      <c r="Q500" s="676"/>
      <c r="R500" s="676"/>
    </row>
    <row r="501" spans="1:19" s="677" customFormat="1" ht="37.5" hidden="1" customHeight="1">
      <c r="A501" s="985"/>
      <c r="B501" s="986">
        <f t="shared" si="49"/>
        <v>0</v>
      </c>
      <c r="C501" s="1033" t="s">
        <v>1672</v>
      </c>
      <c r="D501" s="1034">
        <f>Data!K2448</f>
        <v>690.96852000000013</v>
      </c>
      <c r="E501" s="1037" t="s">
        <v>37</v>
      </c>
      <c r="F501" s="987">
        <f t="shared" si="51"/>
        <v>0</v>
      </c>
      <c r="G501" s="1038"/>
      <c r="H501" s="666">
        <f t="shared" si="52"/>
        <v>0</v>
      </c>
      <c r="I501" s="666"/>
      <c r="J501" s="666"/>
      <c r="K501" s="666">
        <f t="shared" si="53"/>
        <v>0</v>
      </c>
      <c r="L501" s="666"/>
      <c r="M501" s="665">
        <f t="shared" si="54"/>
        <v>0</v>
      </c>
      <c r="N501" s="666">
        <f t="shared" si="50"/>
        <v>0</v>
      </c>
      <c r="O501" s="672">
        <v>0</v>
      </c>
      <c r="P501" s="668">
        <f t="shared" si="55"/>
        <v>0</v>
      </c>
      <c r="Q501" s="676"/>
      <c r="R501" s="676"/>
    </row>
    <row r="502" spans="1:19" ht="45.75" customHeight="1">
      <c r="A502" s="985">
        <v>18.100000000000001</v>
      </c>
      <c r="B502" s="986">
        <f t="shared" si="49"/>
        <v>0</v>
      </c>
      <c r="C502" s="995" t="s">
        <v>549</v>
      </c>
      <c r="D502" s="990"/>
      <c r="E502" s="987"/>
      <c r="F502" s="987">
        <f t="shared" si="51"/>
        <v>0</v>
      </c>
      <c r="G502" s="989"/>
      <c r="H502" s="666">
        <f t="shared" si="52"/>
        <v>0</v>
      </c>
      <c r="I502" s="666"/>
      <c r="J502" s="666"/>
      <c r="K502" s="666">
        <f t="shared" si="53"/>
        <v>0</v>
      </c>
      <c r="L502" s="666"/>
      <c r="M502" s="665">
        <f t="shared" si="54"/>
        <v>0</v>
      </c>
      <c r="N502" s="666">
        <f t="shared" si="50"/>
        <v>0</v>
      </c>
      <c r="O502" s="668">
        <v>0</v>
      </c>
      <c r="P502" s="668">
        <f t="shared" si="55"/>
        <v>0</v>
      </c>
      <c r="Q502" s="678"/>
      <c r="S502" s="679"/>
    </row>
    <row r="503" spans="1:19" ht="63" customHeight="1">
      <c r="A503" s="985"/>
      <c r="B503" s="986">
        <f t="shared" si="49"/>
        <v>143.79999999999998</v>
      </c>
      <c r="C503" s="987" t="s">
        <v>124</v>
      </c>
      <c r="D503" s="990">
        <f>ROUND(Data!I2354,2)</f>
        <v>739.37</v>
      </c>
      <c r="E503" s="987" t="s">
        <v>37</v>
      </c>
      <c r="F503" s="987">
        <f t="shared" si="51"/>
        <v>106321.40599999999</v>
      </c>
      <c r="G503" s="989">
        <f>Detailed!H982</f>
        <v>143.79999999999998</v>
      </c>
      <c r="H503" s="666">
        <f t="shared" si="52"/>
        <v>106321.40599999999</v>
      </c>
      <c r="I503" s="666"/>
      <c r="J503" s="666"/>
      <c r="K503" s="666">
        <f t="shared" si="53"/>
        <v>0</v>
      </c>
      <c r="L503" s="666"/>
      <c r="M503" s="665">
        <f t="shared" si="54"/>
        <v>143.79999999999998</v>
      </c>
      <c r="N503" s="666">
        <f t="shared" si="50"/>
        <v>106321.40599999999</v>
      </c>
      <c r="O503" s="672">
        <v>160.9</v>
      </c>
      <c r="P503" s="668">
        <f t="shared" si="55"/>
        <v>-17.100000000000023</v>
      </c>
    </row>
    <row r="504" spans="1:19" ht="93.75" customHeight="1">
      <c r="A504" s="985"/>
      <c r="B504" s="986">
        <f t="shared" si="49"/>
        <v>512.4</v>
      </c>
      <c r="C504" s="987" t="s">
        <v>31</v>
      </c>
      <c r="D504" s="990">
        <f>ROUND(Data!I2356,2)</f>
        <v>831.22</v>
      </c>
      <c r="E504" s="987" t="s">
        <v>37</v>
      </c>
      <c r="F504" s="987">
        <f t="shared" si="51"/>
        <v>425917.12799999997</v>
      </c>
      <c r="G504" s="989">
        <f>Detailed!H1100</f>
        <v>512.4</v>
      </c>
      <c r="H504" s="666">
        <f t="shared" si="52"/>
        <v>425917.12799999997</v>
      </c>
      <c r="I504" s="666"/>
      <c r="J504" s="666"/>
      <c r="K504" s="666">
        <f t="shared" si="53"/>
        <v>0</v>
      </c>
      <c r="L504" s="666"/>
      <c r="M504" s="665">
        <f t="shared" si="54"/>
        <v>512.4</v>
      </c>
      <c r="N504" s="666">
        <f t="shared" si="50"/>
        <v>425917.12799999997</v>
      </c>
      <c r="O504" s="672">
        <v>512.4</v>
      </c>
      <c r="P504" s="668">
        <f t="shared" si="55"/>
        <v>0</v>
      </c>
    </row>
    <row r="505" spans="1:19" ht="63" customHeight="1">
      <c r="A505" s="986"/>
      <c r="B505" s="986">
        <f t="shared" si="49"/>
        <v>206.7</v>
      </c>
      <c r="C505" s="987" t="s">
        <v>131</v>
      </c>
      <c r="D505" s="990">
        <f>ROUND(Data!I2358,2)</f>
        <v>997.46</v>
      </c>
      <c r="E505" s="987" t="s">
        <v>37</v>
      </c>
      <c r="F505" s="987">
        <f t="shared" si="51"/>
        <v>206174.98199999999</v>
      </c>
      <c r="G505" s="989">
        <f>Detailed!H1149</f>
        <v>206.7</v>
      </c>
      <c r="H505" s="666">
        <f t="shared" si="52"/>
        <v>206174.98199999999</v>
      </c>
      <c r="I505" s="666"/>
      <c r="J505" s="666"/>
      <c r="K505" s="666">
        <f t="shared" si="53"/>
        <v>0</v>
      </c>
      <c r="L505" s="666"/>
      <c r="M505" s="665">
        <f t="shared" si="54"/>
        <v>206.7</v>
      </c>
      <c r="N505" s="666">
        <f t="shared" si="50"/>
        <v>206174.98199999999</v>
      </c>
      <c r="O505" s="672">
        <v>206.7</v>
      </c>
      <c r="P505" s="668">
        <f t="shared" si="55"/>
        <v>0</v>
      </c>
    </row>
    <row r="506" spans="1:19" ht="48" hidden="1" customHeight="1">
      <c r="A506" s="990"/>
      <c r="B506" s="986">
        <f t="shared" si="49"/>
        <v>0</v>
      </c>
      <c r="C506" s="987" t="s">
        <v>1673</v>
      </c>
      <c r="D506" s="990">
        <f>Data!I2360</f>
        <v>914.34118050000006</v>
      </c>
      <c r="E506" s="987" t="s">
        <v>37</v>
      </c>
      <c r="F506" s="987">
        <f t="shared" si="51"/>
        <v>0</v>
      </c>
      <c r="G506" s="989"/>
      <c r="H506" s="666">
        <f t="shared" si="52"/>
        <v>0</v>
      </c>
      <c r="I506" s="666"/>
      <c r="J506" s="666"/>
      <c r="K506" s="666">
        <f t="shared" si="53"/>
        <v>0</v>
      </c>
      <c r="L506" s="666"/>
      <c r="M506" s="665">
        <f t="shared" si="54"/>
        <v>0</v>
      </c>
      <c r="N506" s="666">
        <f t="shared" si="50"/>
        <v>0</v>
      </c>
      <c r="O506" s="672">
        <v>0</v>
      </c>
      <c r="P506" s="668">
        <f t="shared" si="55"/>
        <v>0</v>
      </c>
    </row>
    <row r="507" spans="1:19" s="677" customFormat="1" ht="64.5" hidden="1" customHeight="1">
      <c r="A507" s="1000"/>
      <c r="B507" s="986">
        <f t="shared" si="49"/>
        <v>0</v>
      </c>
      <c r="C507" s="987" t="s">
        <v>1674</v>
      </c>
      <c r="D507" s="993">
        <f>D505*2</f>
        <v>1994.92</v>
      </c>
      <c r="E507" s="992" t="s">
        <v>37</v>
      </c>
      <c r="F507" s="987">
        <f t="shared" si="51"/>
        <v>0</v>
      </c>
      <c r="G507" s="994"/>
      <c r="H507" s="666">
        <f t="shared" si="52"/>
        <v>0</v>
      </c>
      <c r="I507" s="666"/>
      <c r="J507" s="666"/>
      <c r="K507" s="666">
        <f t="shared" si="53"/>
        <v>0</v>
      </c>
      <c r="L507" s="666"/>
      <c r="M507" s="665">
        <f t="shared" si="54"/>
        <v>0</v>
      </c>
      <c r="N507" s="666">
        <f t="shared" si="50"/>
        <v>0</v>
      </c>
      <c r="O507" s="672">
        <v>0</v>
      </c>
      <c r="P507" s="668">
        <f t="shared" si="55"/>
        <v>0</v>
      </c>
      <c r="Q507" s="676"/>
      <c r="R507" s="676"/>
    </row>
    <row r="508" spans="1:19" ht="48" hidden="1" customHeight="1">
      <c r="A508" s="1000"/>
      <c r="B508" s="986">
        <f t="shared" si="49"/>
        <v>0</v>
      </c>
      <c r="C508" s="987" t="s">
        <v>1675</v>
      </c>
      <c r="D508" s="990">
        <f>D504*1.5</f>
        <v>1246.83</v>
      </c>
      <c r="E508" s="987" t="s">
        <v>37</v>
      </c>
      <c r="F508" s="987">
        <f t="shared" si="51"/>
        <v>0</v>
      </c>
      <c r="G508" s="989"/>
      <c r="H508" s="666">
        <f t="shared" si="52"/>
        <v>0</v>
      </c>
      <c r="I508" s="666"/>
      <c r="J508" s="666"/>
      <c r="K508" s="666">
        <f t="shared" si="53"/>
        <v>0</v>
      </c>
      <c r="L508" s="666"/>
      <c r="M508" s="665">
        <f t="shared" si="54"/>
        <v>0</v>
      </c>
      <c r="N508" s="666">
        <f t="shared" si="50"/>
        <v>0</v>
      </c>
      <c r="O508" s="672">
        <v>0</v>
      </c>
      <c r="P508" s="668">
        <f t="shared" si="55"/>
        <v>0</v>
      </c>
    </row>
    <row r="509" spans="1:19" s="677" customFormat="1" ht="57" hidden="1" customHeight="1">
      <c r="A509" s="1000"/>
      <c r="B509" s="986">
        <f t="shared" si="49"/>
        <v>0</v>
      </c>
      <c r="C509" s="987" t="s">
        <v>1676</v>
      </c>
      <c r="D509" s="993">
        <f>D504*2</f>
        <v>1662.44</v>
      </c>
      <c r="E509" s="992" t="s">
        <v>37</v>
      </c>
      <c r="F509" s="987">
        <f t="shared" si="51"/>
        <v>0</v>
      </c>
      <c r="G509" s="994"/>
      <c r="H509" s="666">
        <f t="shared" si="52"/>
        <v>0</v>
      </c>
      <c r="I509" s="666"/>
      <c r="J509" s="666"/>
      <c r="K509" s="666">
        <f t="shared" si="53"/>
        <v>0</v>
      </c>
      <c r="L509" s="666"/>
      <c r="M509" s="665">
        <f t="shared" si="54"/>
        <v>0</v>
      </c>
      <c r="N509" s="666">
        <f t="shared" si="50"/>
        <v>0</v>
      </c>
      <c r="O509" s="672">
        <v>0</v>
      </c>
      <c r="P509" s="668">
        <f t="shared" si="55"/>
        <v>0</v>
      </c>
      <c r="Q509" s="676"/>
      <c r="R509" s="676"/>
    </row>
    <row r="510" spans="1:19" ht="82.5" customHeight="1">
      <c r="A510" s="985">
        <v>21.6</v>
      </c>
      <c r="B510" s="986">
        <f t="shared" si="49"/>
        <v>0</v>
      </c>
      <c r="C510" s="1015" t="s">
        <v>1677</v>
      </c>
      <c r="D510" s="990"/>
      <c r="E510" s="987"/>
      <c r="F510" s="987">
        <f t="shared" si="51"/>
        <v>0</v>
      </c>
      <c r="G510" s="989"/>
      <c r="H510" s="666">
        <f t="shared" si="52"/>
        <v>0</v>
      </c>
      <c r="I510" s="666"/>
      <c r="J510" s="666"/>
      <c r="K510" s="666">
        <f t="shared" si="53"/>
        <v>0</v>
      </c>
      <c r="L510" s="666"/>
      <c r="M510" s="665">
        <f t="shared" si="54"/>
        <v>0</v>
      </c>
      <c r="N510" s="666">
        <f t="shared" si="50"/>
        <v>0</v>
      </c>
      <c r="O510" s="668">
        <v>0</v>
      </c>
      <c r="P510" s="668">
        <f t="shared" si="55"/>
        <v>0</v>
      </c>
      <c r="Q510" s="678"/>
      <c r="S510" s="679"/>
    </row>
    <row r="511" spans="1:19" ht="45" customHeight="1">
      <c r="A511" s="1010"/>
      <c r="B511" s="986">
        <f t="shared" si="49"/>
        <v>4</v>
      </c>
      <c r="C511" s="987" t="s">
        <v>1473</v>
      </c>
      <c r="D511" s="990">
        <f>ROUND(Data!K889,2)</f>
        <v>2446.66</v>
      </c>
      <c r="E511" s="987" t="s">
        <v>522</v>
      </c>
      <c r="F511" s="987">
        <f t="shared" si="51"/>
        <v>9786.64</v>
      </c>
      <c r="G511" s="989">
        <f>Detailed!H1154</f>
        <v>4</v>
      </c>
      <c r="H511" s="666">
        <f t="shared" si="52"/>
        <v>9786.64</v>
      </c>
      <c r="I511" s="666"/>
      <c r="J511" s="666"/>
      <c r="K511" s="666">
        <f t="shared" si="53"/>
        <v>0</v>
      </c>
      <c r="L511" s="666"/>
      <c r="M511" s="665">
        <f t="shared" si="54"/>
        <v>4</v>
      </c>
      <c r="N511" s="666">
        <f t="shared" si="50"/>
        <v>9786.64</v>
      </c>
      <c r="O511" s="672">
        <v>3</v>
      </c>
      <c r="P511" s="668">
        <f t="shared" si="55"/>
        <v>1</v>
      </c>
    </row>
    <row r="512" spans="1:19" s="677" customFormat="1" ht="25.5" hidden="1" customHeight="1">
      <c r="A512" s="1010"/>
      <c r="B512" s="986">
        <f t="shared" si="49"/>
        <v>0</v>
      </c>
      <c r="C512" s="987" t="s">
        <v>1678</v>
      </c>
      <c r="D512" s="993">
        <f>Data!R864</f>
        <v>2941.6119445005002</v>
      </c>
      <c r="E512" s="992" t="s">
        <v>522</v>
      </c>
      <c r="F512" s="987">
        <f t="shared" si="51"/>
        <v>0</v>
      </c>
      <c r="G512" s="994"/>
      <c r="H512" s="666">
        <f t="shared" si="52"/>
        <v>0</v>
      </c>
      <c r="I512" s="666"/>
      <c r="J512" s="666"/>
      <c r="K512" s="666">
        <f t="shared" si="53"/>
        <v>0</v>
      </c>
      <c r="L512" s="666"/>
      <c r="M512" s="665">
        <f t="shared" si="54"/>
        <v>0</v>
      </c>
      <c r="N512" s="666">
        <f t="shared" si="50"/>
        <v>0</v>
      </c>
      <c r="O512" s="672">
        <v>0</v>
      </c>
      <c r="P512" s="668">
        <f t="shared" si="55"/>
        <v>0</v>
      </c>
      <c r="Q512" s="676"/>
      <c r="R512" s="676"/>
    </row>
    <row r="513" spans="1:18" s="677" customFormat="1" ht="25.5" hidden="1" customHeight="1">
      <c r="A513" s="1010"/>
      <c r="B513" s="986">
        <f t="shared" si="49"/>
        <v>0</v>
      </c>
      <c r="C513" s="987" t="s">
        <v>1679</v>
      </c>
      <c r="D513" s="993">
        <f>Data!K905</f>
        <v>2412.7261155518099</v>
      </c>
      <c r="E513" s="992"/>
      <c r="F513" s="987">
        <f t="shared" si="51"/>
        <v>0</v>
      </c>
      <c r="G513" s="994"/>
      <c r="H513" s="666">
        <f t="shared" si="52"/>
        <v>0</v>
      </c>
      <c r="I513" s="666"/>
      <c r="J513" s="666"/>
      <c r="K513" s="666">
        <f t="shared" si="53"/>
        <v>0</v>
      </c>
      <c r="L513" s="666"/>
      <c r="M513" s="665">
        <f t="shared" si="54"/>
        <v>0</v>
      </c>
      <c r="N513" s="666">
        <f t="shared" si="50"/>
        <v>0</v>
      </c>
      <c r="O513" s="672">
        <v>0</v>
      </c>
      <c r="P513" s="668">
        <f t="shared" si="55"/>
        <v>0</v>
      </c>
      <c r="Q513" s="676"/>
      <c r="R513" s="676"/>
    </row>
    <row r="514" spans="1:18" s="677" customFormat="1" ht="35.25" customHeight="1">
      <c r="A514" s="1000"/>
      <c r="B514" s="986">
        <f t="shared" si="49"/>
        <v>6</v>
      </c>
      <c r="C514" s="987" t="s">
        <v>1475</v>
      </c>
      <c r="D514" s="993">
        <f>ROUND(Data!K871,2)</f>
        <v>2466.66</v>
      </c>
      <c r="E514" s="992" t="s">
        <v>522</v>
      </c>
      <c r="F514" s="987">
        <f t="shared" si="51"/>
        <v>14799.96</v>
      </c>
      <c r="G514" s="994">
        <f>Detailed!H1160</f>
        <v>6</v>
      </c>
      <c r="H514" s="666">
        <f t="shared" si="52"/>
        <v>14799.96</v>
      </c>
      <c r="I514" s="666"/>
      <c r="J514" s="666"/>
      <c r="K514" s="666">
        <f t="shared" si="53"/>
        <v>0</v>
      </c>
      <c r="L514" s="666"/>
      <c r="M514" s="665">
        <f t="shared" si="54"/>
        <v>6</v>
      </c>
      <c r="N514" s="666">
        <f t="shared" si="50"/>
        <v>14799.96</v>
      </c>
      <c r="O514" s="672">
        <v>6</v>
      </c>
      <c r="P514" s="668">
        <f t="shared" si="55"/>
        <v>0</v>
      </c>
      <c r="Q514" s="676"/>
      <c r="R514" s="676"/>
    </row>
    <row r="515" spans="1:18" s="677" customFormat="1" ht="61.5" hidden="1" customHeight="1">
      <c r="A515" s="1000"/>
      <c r="B515" s="986">
        <f t="shared" si="49"/>
        <v>0</v>
      </c>
      <c r="C515" s="995" t="s">
        <v>1680</v>
      </c>
      <c r="D515" s="993"/>
      <c r="E515" s="992"/>
      <c r="F515" s="987">
        <f t="shared" si="51"/>
        <v>0</v>
      </c>
      <c r="G515" s="994"/>
      <c r="H515" s="666">
        <f t="shared" si="52"/>
        <v>0</v>
      </c>
      <c r="I515" s="666"/>
      <c r="J515" s="666"/>
      <c r="K515" s="666">
        <f t="shared" si="53"/>
        <v>0</v>
      </c>
      <c r="L515" s="666"/>
      <c r="M515" s="665">
        <f t="shared" si="54"/>
        <v>0</v>
      </c>
      <c r="N515" s="666">
        <f t="shared" si="50"/>
        <v>0</v>
      </c>
      <c r="O515" s="672">
        <v>0</v>
      </c>
      <c r="P515" s="668">
        <f t="shared" si="55"/>
        <v>0</v>
      </c>
      <c r="Q515" s="676"/>
      <c r="R515" s="676"/>
    </row>
    <row r="516" spans="1:18" s="677" customFormat="1" ht="25.5" hidden="1" customHeight="1">
      <c r="A516" s="1000"/>
      <c r="B516" s="986">
        <f t="shared" si="49"/>
        <v>0</v>
      </c>
      <c r="C516" s="987" t="s">
        <v>1486</v>
      </c>
      <c r="D516" s="993">
        <f>Data!K1081</f>
        <v>3364.0701804448167</v>
      </c>
      <c r="E516" s="992" t="s">
        <v>264</v>
      </c>
      <c r="F516" s="987">
        <f t="shared" si="51"/>
        <v>0</v>
      </c>
      <c r="G516" s="994"/>
      <c r="H516" s="666">
        <f t="shared" si="52"/>
        <v>0</v>
      </c>
      <c r="I516" s="666"/>
      <c r="J516" s="666"/>
      <c r="K516" s="666">
        <f t="shared" si="53"/>
        <v>0</v>
      </c>
      <c r="L516" s="666"/>
      <c r="M516" s="665">
        <f t="shared" si="54"/>
        <v>0</v>
      </c>
      <c r="N516" s="666">
        <f t="shared" si="50"/>
        <v>0</v>
      </c>
      <c r="O516" s="672">
        <v>0</v>
      </c>
      <c r="P516" s="668">
        <f t="shared" si="55"/>
        <v>0</v>
      </c>
      <c r="Q516" s="676"/>
      <c r="R516" s="676"/>
    </row>
    <row r="517" spans="1:18" s="677" customFormat="1" ht="25.5" hidden="1" customHeight="1">
      <c r="A517" s="1000"/>
      <c r="B517" s="986">
        <f t="shared" si="49"/>
        <v>0</v>
      </c>
      <c r="C517" s="987" t="s">
        <v>1487</v>
      </c>
      <c r="D517" s="993"/>
      <c r="E517" s="992" t="s">
        <v>264</v>
      </c>
      <c r="F517" s="987">
        <f t="shared" si="51"/>
        <v>0</v>
      </c>
      <c r="G517" s="994"/>
      <c r="H517" s="666">
        <f t="shared" si="52"/>
        <v>0</v>
      </c>
      <c r="I517" s="666"/>
      <c r="J517" s="666"/>
      <c r="K517" s="666">
        <f t="shared" si="53"/>
        <v>0</v>
      </c>
      <c r="L517" s="666"/>
      <c r="M517" s="665">
        <f t="shared" si="54"/>
        <v>0</v>
      </c>
      <c r="N517" s="666">
        <f t="shared" si="50"/>
        <v>0</v>
      </c>
      <c r="O517" s="672">
        <v>0</v>
      </c>
      <c r="P517" s="668">
        <f t="shared" si="55"/>
        <v>0</v>
      </c>
      <c r="Q517" s="676"/>
      <c r="R517" s="676"/>
    </row>
    <row r="518" spans="1:18" s="677" customFormat="1" ht="31.5" hidden="1" customHeight="1">
      <c r="A518" s="1000"/>
      <c r="B518" s="986">
        <f t="shared" si="49"/>
        <v>0</v>
      </c>
      <c r="C518" s="987" t="s">
        <v>1488</v>
      </c>
      <c r="D518" s="993">
        <f>Data!K1097</f>
        <v>3552.2669834254148</v>
      </c>
      <c r="E518" s="992" t="s">
        <v>264</v>
      </c>
      <c r="F518" s="987">
        <f t="shared" si="51"/>
        <v>0</v>
      </c>
      <c r="G518" s="994"/>
      <c r="H518" s="666">
        <f t="shared" si="52"/>
        <v>0</v>
      </c>
      <c r="I518" s="666"/>
      <c r="J518" s="666"/>
      <c r="K518" s="666">
        <f t="shared" si="53"/>
        <v>0</v>
      </c>
      <c r="L518" s="666"/>
      <c r="M518" s="665">
        <f t="shared" si="54"/>
        <v>0</v>
      </c>
      <c r="N518" s="666">
        <f t="shared" si="50"/>
        <v>0</v>
      </c>
      <c r="O518" s="672">
        <v>0</v>
      </c>
      <c r="P518" s="668">
        <f t="shared" si="55"/>
        <v>0</v>
      </c>
      <c r="Q518" s="676"/>
      <c r="R518" s="676"/>
    </row>
    <row r="519" spans="1:18" s="677" customFormat="1" ht="42" hidden="1" customHeight="1">
      <c r="A519" s="1000"/>
      <c r="B519" s="986">
        <f t="shared" ref="B519:B582" si="56">M519</f>
        <v>0</v>
      </c>
      <c r="C519" s="987" t="s">
        <v>1489</v>
      </c>
      <c r="D519" s="993">
        <f>Data!K1112</f>
        <v>2642.3390000000004</v>
      </c>
      <c r="E519" s="992" t="s">
        <v>264</v>
      </c>
      <c r="F519" s="987">
        <f t="shared" si="51"/>
        <v>0</v>
      </c>
      <c r="G519" s="994"/>
      <c r="H519" s="666">
        <f t="shared" si="52"/>
        <v>0</v>
      </c>
      <c r="I519" s="666"/>
      <c r="J519" s="666"/>
      <c r="K519" s="666">
        <f t="shared" si="53"/>
        <v>0</v>
      </c>
      <c r="L519" s="666"/>
      <c r="M519" s="665">
        <f t="shared" si="54"/>
        <v>0</v>
      </c>
      <c r="N519" s="666">
        <f t="shared" ref="N519:N582" si="57">M519*D519</f>
        <v>0</v>
      </c>
      <c r="O519" s="672">
        <v>0</v>
      </c>
      <c r="P519" s="668">
        <f t="shared" si="55"/>
        <v>0</v>
      </c>
      <c r="Q519" s="676"/>
      <c r="R519" s="676"/>
    </row>
    <row r="520" spans="1:18" s="677" customFormat="1" ht="38.25" hidden="1" customHeight="1">
      <c r="A520" s="1000"/>
      <c r="B520" s="986">
        <f t="shared" si="56"/>
        <v>0</v>
      </c>
      <c r="C520" s="987" t="s">
        <v>1681</v>
      </c>
      <c r="D520" s="993">
        <v>2203.2800000000002</v>
      </c>
      <c r="E520" s="992" t="s">
        <v>264</v>
      </c>
      <c r="F520" s="987">
        <f t="shared" ref="F520:F583" si="58">B520*D520</f>
        <v>0</v>
      </c>
      <c r="G520" s="994"/>
      <c r="H520" s="666">
        <f t="shared" ref="H520:H583" si="59">G520*D520</f>
        <v>0</v>
      </c>
      <c r="I520" s="666"/>
      <c r="J520" s="666"/>
      <c r="K520" s="666">
        <f t="shared" ref="K520:K583" si="60">I520</f>
        <v>0</v>
      </c>
      <c r="L520" s="666"/>
      <c r="M520" s="665">
        <f t="shared" ref="M520:M583" si="61">G520</f>
        <v>0</v>
      </c>
      <c r="N520" s="666">
        <f t="shared" si="57"/>
        <v>0</v>
      </c>
      <c r="O520" s="672">
        <v>0</v>
      </c>
      <c r="P520" s="668">
        <f t="shared" ref="P520:P583" si="62">M520-O520</f>
        <v>0</v>
      </c>
      <c r="Q520" s="676"/>
      <c r="R520" s="676"/>
    </row>
    <row r="521" spans="1:18" s="677" customFormat="1" ht="46.5" hidden="1" customHeight="1">
      <c r="A521" s="985" t="s">
        <v>1682</v>
      </c>
      <c r="B521" s="986">
        <f t="shared" si="56"/>
        <v>0</v>
      </c>
      <c r="C521" s="987" t="s">
        <v>1683</v>
      </c>
      <c r="D521" s="993">
        <f>ROUND(Data!K2877,2)</f>
        <v>2110.4899999999998</v>
      </c>
      <c r="E521" s="992" t="s">
        <v>37</v>
      </c>
      <c r="F521" s="987">
        <f t="shared" si="58"/>
        <v>0</v>
      </c>
      <c r="G521" s="994"/>
      <c r="H521" s="666">
        <f t="shared" si="59"/>
        <v>0</v>
      </c>
      <c r="I521" s="666"/>
      <c r="J521" s="666"/>
      <c r="K521" s="666">
        <f t="shared" si="60"/>
        <v>0</v>
      </c>
      <c r="L521" s="666"/>
      <c r="M521" s="665">
        <f t="shared" si="61"/>
        <v>0</v>
      </c>
      <c r="N521" s="666">
        <f t="shared" si="57"/>
        <v>0</v>
      </c>
      <c r="O521" s="672">
        <v>0</v>
      </c>
      <c r="P521" s="668">
        <f t="shared" si="62"/>
        <v>0</v>
      </c>
      <c r="Q521" s="676"/>
      <c r="R521" s="676"/>
    </row>
    <row r="522" spans="1:18" s="677" customFormat="1" ht="78.599999999999994" hidden="1" customHeight="1">
      <c r="A522" s="985"/>
      <c r="B522" s="986">
        <f t="shared" si="56"/>
        <v>0</v>
      </c>
      <c r="C522" s="987" t="s">
        <v>1684</v>
      </c>
      <c r="D522" s="993">
        <f>Data!R2090</f>
        <v>6981.88</v>
      </c>
      <c r="E522" s="992" t="s">
        <v>37</v>
      </c>
      <c r="F522" s="987">
        <f t="shared" si="58"/>
        <v>0</v>
      </c>
      <c r="G522" s="994"/>
      <c r="H522" s="666">
        <f t="shared" si="59"/>
        <v>0</v>
      </c>
      <c r="I522" s="666"/>
      <c r="J522" s="666"/>
      <c r="K522" s="666">
        <f t="shared" si="60"/>
        <v>0</v>
      </c>
      <c r="L522" s="666"/>
      <c r="M522" s="665">
        <f t="shared" si="61"/>
        <v>0</v>
      </c>
      <c r="N522" s="666">
        <f t="shared" si="57"/>
        <v>0</v>
      </c>
      <c r="O522" s="672">
        <v>0</v>
      </c>
      <c r="P522" s="668">
        <f t="shared" si="62"/>
        <v>0</v>
      </c>
      <c r="Q522" s="676"/>
      <c r="R522" s="676"/>
    </row>
    <row r="523" spans="1:18" ht="84.75" hidden="1" customHeight="1">
      <c r="A523" s="991"/>
      <c r="B523" s="986">
        <f t="shared" si="56"/>
        <v>0</v>
      </c>
      <c r="C523" s="992" t="s">
        <v>1685</v>
      </c>
      <c r="D523" s="993">
        <f>ROUND(Data!K3114,2)</f>
        <v>4024.11</v>
      </c>
      <c r="E523" s="992" t="s">
        <v>37</v>
      </c>
      <c r="F523" s="987">
        <f t="shared" si="58"/>
        <v>0</v>
      </c>
      <c r="G523" s="994"/>
      <c r="H523" s="666">
        <f t="shared" si="59"/>
        <v>0</v>
      </c>
      <c r="I523" s="666"/>
      <c r="J523" s="666"/>
      <c r="K523" s="666">
        <f t="shared" si="60"/>
        <v>0</v>
      </c>
      <c r="L523" s="666"/>
      <c r="M523" s="665">
        <f t="shared" si="61"/>
        <v>0</v>
      </c>
      <c r="N523" s="666">
        <f t="shared" si="57"/>
        <v>0</v>
      </c>
      <c r="O523" s="672">
        <v>0</v>
      </c>
      <c r="P523" s="668">
        <f t="shared" si="62"/>
        <v>0</v>
      </c>
    </row>
    <row r="524" spans="1:18" s="677" customFormat="1" ht="72" hidden="1" customHeight="1">
      <c r="A524" s="985">
        <v>22.8</v>
      </c>
      <c r="B524" s="986">
        <f t="shared" si="56"/>
        <v>0</v>
      </c>
      <c r="C524" s="987" t="s">
        <v>1686</v>
      </c>
      <c r="D524" s="993"/>
      <c r="E524" s="992"/>
      <c r="F524" s="987">
        <f t="shared" si="58"/>
        <v>0</v>
      </c>
      <c r="G524" s="994"/>
      <c r="H524" s="666">
        <f t="shared" si="59"/>
        <v>0</v>
      </c>
      <c r="I524" s="666"/>
      <c r="J524" s="666"/>
      <c r="K524" s="666">
        <f t="shared" si="60"/>
        <v>0</v>
      </c>
      <c r="L524" s="666"/>
      <c r="M524" s="665">
        <f t="shared" si="61"/>
        <v>0</v>
      </c>
      <c r="N524" s="666">
        <f t="shared" si="57"/>
        <v>0</v>
      </c>
      <c r="O524" s="672">
        <v>0</v>
      </c>
      <c r="P524" s="668">
        <f t="shared" si="62"/>
        <v>0</v>
      </c>
      <c r="Q524" s="676"/>
      <c r="R524" s="676"/>
    </row>
    <row r="525" spans="1:18" s="677" customFormat="1" ht="35.1" hidden="1" customHeight="1">
      <c r="A525" s="985"/>
      <c r="B525" s="986">
        <f t="shared" si="56"/>
        <v>0</v>
      </c>
      <c r="C525" s="987" t="s">
        <v>1687</v>
      </c>
      <c r="D525" s="993">
        <f>ROUND(Data!K2845,2)</f>
        <v>2937.58</v>
      </c>
      <c r="E525" s="992" t="s">
        <v>37</v>
      </c>
      <c r="F525" s="987">
        <f t="shared" si="58"/>
        <v>0</v>
      </c>
      <c r="G525" s="994"/>
      <c r="H525" s="666">
        <f t="shared" si="59"/>
        <v>0</v>
      </c>
      <c r="I525" s="666"/>
      <c r="J525" s="666"/>
      <c r="K525" s="666">
        <f t="shared" si="60"/>
        <v>0</v>
      </c>
      <c r="L525" s="666"/>
      <c r="M525" s="665">
        <f t="shared" si="61"/>
        <v>0</v>
      </c>
      <c r="N525" s="666">
        <f t="shared" si="57"/>
        <v>0</v>
      </c>
      <c r="O525" s="672">
        <v>0</v>
      </c>
      <c r="P525" s="668">
        <f t="shared" si="62"/>
        <v>0</v>
      </c>
      <c r="Q525" s="676"/>
      <c r="R525" s="676"/>
    </row>
    <row r="526" spans="1:18" s="677" customFormat="1" ht="35.1" hidden="1" customHeight="1">
      <c r="A526" s="985"/>
      <c r="B526" s="986">
        <f t="shared" si="56"/>
        <v>0</v>
      </c>
      <c r="C526" s="987" t="s">
        <v>1688</v>
      </c>
      <c r="D526" s="993">
        <f>ROUND(Data!K2981,2)</f>
        <v>2980.14</v>
      </c>
      <c r="E526" s="992" t="s">
        <v>37</v>
      </c>
      <c r="F526" s="987">
        <f t="shared" si="58"/>
        <v>0</v>
      </c>
      <c r="G526" s="994"/>
      <c r="H526" s="666">
        <f t="shared" si="59"/>
        <v>0</v>
      </c>
      <c r="I526" s="666"/>
      <c r="J526" s="666"/>
      <c r="K526" s="666">
        <f t="shared" si="60"/>
        <v>0</v>
      </c>
      <c r="L526" s="666"/>
      <c r="M526" s="665">
        <f t="shared" si="61"/>
        <v>0</v>
      </c>
      <c r="N526" s="666">
        <f t="shared" si="57"/>
        <v>0</v>
      </c>
      <c r="O526" s="672">
        <v>0</v>
      </c>
      <c r="P526" s="668">
        <f t="shared" si="62"/>
        <v>0</v>
      </c>
      <c r="Q526" s="676"/>
      <c r="R526" s="676"/>
    </row>
    <row r="527" spans="1:18" s="677" customFormat="1" ht="28.5" hidden="1" customHeight="1">
      <c r="A527" s="1000"/>
      <c r="B527" s="986">
        <f t="shared" si="56"/>
        <v>0</v>
      </c>
      <c r="C527" s="987" t="s">
        <v>1689</v>
      </c>
      <c r="D527" s="993"/>
      <c r="E527" s="992" t="s">
        <v>37</v>
      </c>
      <c r="F527" s="987">
        <f t="shared" si="58"/>
        <v>0</v>
      </c>
      <c r="G527" s="994"/>
      <c r="H527" s="666">
        <f t="shared" si="59"/>
        <v>0</v>
      </c>
      <c r="I527" s="666"/>
      <c r="J527" s="666"/>
      <c r="K527" s="666">
        <f t="shared" si="60"/>
        <v>0</v>
      </c>
      <c r="L527" s="666"/>
      <c r="M527" s="665">
        <f t="shared" si="61"/>
        <v>0</v>
      </c>
      <c r="N527" s="666">
        <f t="shared" si="57"/>
        <v>0</v>
      </c>
      <c r="O527" s="672">
        <v>0</v>
      </c>
      <c r="P527" s="668">
        <f t="shared" si="62"/>
        <v>0</v>
      </c>
      <c r="Q527" s="676"/>
      <c r="R527" s="676"/>
    </row>
    <row r="528" spans="1:18" ht="47.25" customHeight="1">
      <c r="A528" s="990"/>
      <c r="B528" s="986">
        <f t="shared" si="56"/>
        <v>0</v>
      </c>
      <c r="C528" s="995" t="s">
        <v>1092</v>
      </c>
      <c r="D528" s="990"/>
      <c r="E528" s="987"/>
      <c r="F528" s="987">
        <f t="shared" si="58"/>
        <v>0</v>
      </c>
      <c r="G528" s="989"/>
      <c r="H528" s="666">
        <f t="shared" si="59"/>
        <v>0</v>
      </c>
      <c r="I528" s="666"/>
      <c r="J528" s="666"/>
      <c r="K528" s="666">
        <f t="shared" si="60"/>
        <v>0</v>
      </c>
      <c r="L528" s="666"/>
      <c r="M528" s="665">
        <f t="shared" si="61"/>
        <v>0</v>
      </c>
      <c r="N528" s="666">
        <f t="shared" si="57"/>
        <v>0</v>
      </c>
      <c r="O528" s="668">
        <v>0</v>
      </c>
      <c r="P528" s="668">
        <f t="shared" si="62"/>
        <v>0</v>
      </c>
    </row>
    <row r="529" spans="1:18" ht="49.5" hidden="1" customHeight="1">
      <c r="A529" s="990"/>
      <c r="B529" s="986">
        <f t="shared" si="56"/>
        <v>0</v>
      </c>
      <c r="C529" s="987" t="s">
        <v>1690</v>
      </c>
      <c r="D529" s="990">
        <f>ROUND(Data!K2827,2)</f>
        <v>5724.71</v>
      </c>
      <c r="E529" s="987" t="s">
        <v>37</v>
      </c>
      <c r="F529" s="987">
        <f t="shared" si="58"/>
        <v>0</v>
      </c>
      <c r="G529" s="989"/>
      <c r="H529" s="666">
        <f t="shared" si="59"/>
        <v>0</v>
      </c>
      <c r="I529" s="666"/>
      <c r="J529" s="666"/>
      <c r="K529" s="666">
        <f t="shared" si="60"/>
        <v>0</v>
      </c>
      <c r="L529" s="666"/>
      <c r="M529" s="665">
        <f t="shared" si="61"/>
        <v>0</v>
      </c>
      <c r="N529" s="666">
        <f t="shared" si="57"/>
        <v>0</v>
      </c>
      <c r="O529" s="672">
        <v>0</v>
      </c>
      <c r="P529" s="668">
        <f t="shared" si="62"/>
        <v>0</v>
      </c>
    </row>
    <row r="530" spans="1:18" s="677" customFormat="1" ht="33" hidden="1" customHeight="1">
      <c r="A530" s="1000"/>
      <c r="B530" s="986">
        <f t="shared" si="56"/>
        <v>0</v>
      </c>
      <c r="C530" s="987" t="s">
        <v>1691</v>
      </c>
      <c r="D530" s="993"/>
      <c r="E530" s="992"/>
      <c r="F530" s="987">
        <f t="shared" si="58"/>
        <v>0</v>
      </c>
      <c r="G530" s="994"/>
      <c r="H530" s="666">
        <f t="shared" si="59"/>
        <v>0</v>
      </c>
      <c r="I530" s="666"/>
      <c r="J530" s="666"/>
      <c r="K530" s="666">
        <f t="shared" si="60"/>
        <v>0</v>
      </c>
      <c r="L530" s="666"/>
      <c r="M530" s="665">
        <f t="shared" si="61"/>
        <v>0</v>
      </c>
      <c r="N530" s="666">
        <f t="shared" si="57"/>
        <v>0</v>
      </c>
      <c r="O530" s="672">
        <v>0</v>
      </c>
      <c r="P530" s="668">
        <f t="shared" si="62"/>
        <v>0</v>
      </c>
      <c r="Q530" s="676"/>
      <c r="R530" s="676"/>
    </row>
    <row r="531" spans="1:18" s="677" customFormat="1" ht="43.5" hidden="1" customHeight="1">
      <c r="A531" s="1000"/>
      <c r="B531" s="986">
        <f t="shared" si="56"/>
        <v>0</v>
      </c>
      <c r="C531" s="987" t="s">
        <v>1692</v>
      </c>
      <c r="D531" s="993">
        <f>Data!R2867</f>
        <v>4989.0523281596452</v>
      </c>
      <c r="E531" s="992" t="s">
        <v>37</v>
      </c>
      <c r="F531" s="987">
        <f t="shared" si="58"/>
        <v>0</v>
      </c>
      <c r="G531" s="994"/>
      <c r="H531" s="666">
        <f t="shared" si="59"/>
        <v>0</v>
      </c>
      <c r="I531" s="666"/>
      <c r="J531" s="666"/>
      <c r="K531" s="666">
        <f t="shared" si="60"/>
        <v>0</v>
      </c>
      <c r="L531" s="666"/>
      <c r="M531" s="665">
        <f t="shared" si="61"/>
        <v>0</v>
      </c>
      <c r="N531" s="666">
        <f t="shared" si="57"/>
        <v>0</v>
      </c>
      <c r="O531" s="672">
        <v>0</v>
      </c>
      <c r="P531" s="668">
        <f t="shared" si="62"/>
        <v>0</v>
      </c>
      <c r="Q531" s="676"/>
      <c r="R531" s="676"/>
    </row>
    <row r="532" spans="1:18" s="677" customFormat="1" ht="46.5" hidden="1" customHeight="1">
      <c r="A532" s="1000"/>
      <c r="B532" s="986">
        <f t="shared" si="56"/>
        <v>0</v>
      </c>
      <c r="C532" s="987" t="s">
        <v>1693</v>
      </c>
      <c r="D532" s="993">
        <f>Data!K1000</f>
        <v>4803.5365853658532</v>
      </c>
      <c r="E532" s="992"/>
      <c r="F532" s="987">
        <f t="shared" si="58"/>
        <v>0</v>
      </c>
      <c r="G532" s="994"/>
      <c r="H532" s="666">
        <f t="shared" si="59"/>
        <v>0</v>
      </c>
      <c r="I532" s="666"/>
      <c r="J532" s="666"/>
      <c r="K532" s="666">
        <f t="shared" si="60"/>
        <v>0</v>
      </c>
      <c r="L532" s="666"/>
      <c r="M532" s="665">
        <f t="shared" si="61"/>
        <v>0</v>
      </c>
      <c r="N532" s="666">
        <f t="shared" si="57"/>
        <v>0</v>
      </c>
      <c r="O532" s="672">
        <v>0</v>
      </c>
      <c r="P532" s="668">
        <f t="shared" si="62"/>
        <v>0</v>
      </c>
      <c r="Q532" s="676"/>
      <c r="R532" s="676"/>
    </row>
    <row r="533" spans="1:18" s="677" customFormat="1" ht="34.5" hidden="1" customHeight="1">
      <c r="A533" s="1000"/>
      <c r="B533" s="986">
        <f t="shared" si="56"/>
        <v>0</v>
      </c>
      <c r="C533" s="987" t="s">
        <v>1694</v>
      </c>
      <c r="D533" s="993"/>
      <c r="E533" s="992"/>
      <c r="F533" s="987">
        <f t="shared" si="58"/>
        <v>0</v>
      </c>
      <c r="G533" s="994"/>
      <c r="H533" s="666">
        <f t="shared" si="59"/>
        <v>0</v>
      </c>
      <c r="I533" s="666"/>
      <c r="J533" s="666"/>
      <c r="K533" s="666">
        <f t="shared" si="60"/>
        <v>0</v>
      </c>
      <c r="L533" s="666"/>
      <c r="M533" s="665">
        <f t="shared" si="61"/>
        <v>0</v>
      </c>
      <c r="N533" s="666">
        <f t="shared" si="57"/>
        <v>0</v>
      </c>
      <c r="O533" s="672">
        <v>0</v>
      </c>
      <c r="P533" s="668">
        <f t="shared" si="62"/>
        <v>0</v>
      </c>
      <c r="Q533" s="676"/>
      <c r="R533" s="676"/>
    </row>
    <row r="534" spans="1:18" s="677" customFormat="1" ht="59.25" customHeight="1">
      <c r="A534" s="1000"/>
      <c r="B534" s="986">
        <f t="shared" si="56"/>
        <v>3.4</v>
      </c>
      <c r="C534" s="987" t="s">
        <v>1695</v>
      </c>
      <c r="D534" s="993">
        <f>Data!AG2663</f>
        <v>5533.3950617283954</v>
      </c>
      <c r="E534" s="1039" t="s">
        <v>37</v>
      </c>
      <c r="F534" s="987">
        <f t="shared" si="58"/>
        <v>18813.543209876545</v>
      </c>
      <c r="G534" s="1036">
        <f>Detailed!H1171</f>
        <v>3.4</v>
      </c>
      <c r="H534" s="666">
        <f t="shared" si="59"/>
        <v>18813.543209876545</v>
      </c>
      <c r="I534" s="666"/>
      <c r="J534" s="666"/>
      <c r="K534" s="666">
        <f t="shared" si="60"/>
        <v>0</v>
      </c>
      <c r="L534" s="666"/>
      <c r="M534" s="665">
        <f t="shared" si="61"/>
        <v>3.4</v>
      </c>
      <c r="N534" s="666">
        <f t="shared" si="57"/>
        <v>18813.543209876545</v>
      </c>
      <c r="O534" s="672">
        <v>3.4</v>
      </c>
      <c r="P534" s="668">
        <f t="shared" si="62"/>
        <v>0</v>
      </c>
      <c r="Q534" s="676"/>
      <c r="R534" s="676"/>
    </row>
    <row r="535" spans="1:18" s="677" customFormat="1" ht="59.25" hidden="1" customHeight="1">
      <c r="A535" s="1000"/>
      <c r="B535" s="986">
        <f t="shared" si="56"/>
        <v>0</v>
      </c>
      <c r="C535" s="987" t="s">
        <v>1696</v>
      </c>
      <c r="D535" s="993">
        <f>Data!K2647</f>
        <v>5846.3262786596115</v>
      </c>
      <c r="E535" s="992" t="s">
        <v>37</v>
      </c>
      <c r="F535" s="987">
        <f t="shared" si="58"/>
        <v>0</v>
      </c>
      <c r="G535" s="994"/>
      <c r="H535" s="666">
        <f t="shared" si="59"/>
        <v>0</v>
      </c>
      <c r="I535" s="666"/>
      <c r="J535" s="666"/>
      <c r="K535" s="666">
        <f t="shared" si="60"/>
        <v>0</v>
      </c>
      <c r="L535" s="666"/>
      <c r="M535" s="665">
        <f t="shared" si="61"/>
        <v>0</v>
      </c>
      <c r="N535" s="666">
        <f t="shared" si="57"/>
        <v>0</v>
      </c>
      <c r="O535" s="672">
        <v>0</v>
      </c>
      <c r="P535" s="668">
        <f t="shared" si="62"/>
        <v>0</v>
      </c>
      <c r="Q535" s="676"/>
      <c r="R535" s="676"/>
    </row>
    <row r="536" spans="1:18" s="677" customFormat="1" ht="59.25" hidden="1" customHeight="1">
      <c r="A536" s="1000"/>
      <c r="B536" s="986">
        <f t="shared" si="56"/>
        <v>0</v>
      </c>
      <c r="C536" s="987" t="s">
        <v>1697</v>
      </c>
      <c r="D536" s="993">
        <f>Data!K3434</f>
        <v>5049.1539332201464</v>
      </c>
      <c r="E536" s="992" t="s">
        <v>37</v>
      </c>
      <c r="F536" s="987">
        <f t="shared" si="58"/>
        <v>0</v>
      </c>
      <c r="G536" s="994"/>
      <c r="H536" s="666">
        <f t="shared" si="59"/>
        <v>0</v>
      </c>
      <c r="I536" s="666"/>
      <c r="J536" s="666"/>
      <c r="K536" s="666">
        <f t="shared" si="60"/>
        <v>0</v>
      </c>
      <c r="L536" s="666"/>
      <c r="M536" s="665">
        <f t="shared" si="61"/>
        <v>0</v>
      </c>
      <c r="N536" s="666">
        <f t="shared" si="57"/>
        <v>0</v>
      </c>
      <c r="O536" s="672">
        <v>0</v>
      </c>
      <c r="P536" s="668">
        <f t="shared" si="62"/>
        <v>0</v>
      </c>
      <c r="Q536" s="676"/>
      <c r="R536" s="676"/>
    </row>
    <row r="537" spans="1:18" s="677" customFormat="1" ht="59.25" hidden="1" customHeight="1">
      <c r="A537" s="1000"/>
      <c r="B537" s="986">
        <f t="shared" si="56"/>
        <v>0</v>
      </c>
      <c r="C537" s="1040" t="s">
        <v>1698</v>
      </c>
      <c r="D537" s="993">
        <f>Data!R2654</f>
        <v>6199.7713004484303</v>
      </c>
      <c r="E537" s="992" t="s">
        <v>37</v>
      </c>
      <c r="F537" s="987">
        <f t="shared" si="58"/>
        <v>0</v>
      </c>
      <c r="G537" s="994"/>
      <c r="H537" s="666">
        <f t="shared" si="59"/>
        <v>0</v>
      </c>
      <c r="I537" s="666"/>
      <c r="J537" s="666"/>
      <c r="K537" s="666">
        <f t="shared" si="60"/>
        <v>0</v>
      </c>
      <c r="L537" s="666"/>
      <c r="M537" s="665">
        <f t="shared" si="61"/>
        <v>0</v>
      </c>
      <c r="N537" s="666">
        <f t="shared" si="57"/>
        <v>0</v>
      </c>
      <c r="O537" s="672">
        <v>0</v>
      </c>
      <c r="P537" s="668">
        <f t="shared" si="62"/>
        <v>0</v>
      </c>
      <c r="Q537" s="676"/>
      <c r="R537" s="676"/>
    </row>
    <row r="538" spans="1:18" s="677" customFormat="1" ht="59.25" hidden="1" customHeight="1">
      <c r="A538" s="1000"/>
      <c r="B538" s="986">
        <f t="shared" si="56"/>
        <v>0</v>
      </c>
      <c r="C538" s="1040" t="s">
        <v>1699</v>
      </c>
      <c r="D538" s="993">
        <f>Data!AG2629</f>
        <v>5298.179337231968</v>
      </c>
      <c r="E538" s="992" t="s">
        <v>37</v>
      </c>
      <c r="F538" s="987">
        <f t="shared" si="58"/>
        <v>0</v>
      </c>
      <c r="G538" s="994"/>
      <c r="H538" s="666">
        <f t="shared" si="59"/>
        <v>0</v>
      </c>
      <c r="I538" s="666"/>
      <c r="J538" s="666"/>
      <c r="K538" s="666">
        <f t="shared" si="60"/>
        <v>0</v>
      </c>
      <c r="L538" s="666"/>
      <c r="M538" s="665">
        <f t="shared" si="61"/>
        <v>0</v>
      </c>
      <c r="N538" s="666">
        <f t="shared" si="57"/>
        <v>0</v>
      </c>
      <c r="O538" s="672">
        <v>0</v>
      </c>
      <c r="P538" s="668">
        <f t="shared" si="62"/>
        <v>0</v>
      </c>
      <c r="Q538" s="676"/>
      <c r="R538" s="676"/>
    </row>
    <row r="539" spans="1:18" ht="65.25" hidden="1" customHeight="1">
      <c r="A539" s="990"/>
      <c r="B539" s="986">
        <f t="shared" si="56"/>
        <v>0</v>
      </c>
      <c r="C539" s="987" t="s">
        <v>1700</v>
      </c>
      <c r="D539" s="990">
        <f>Data!K1066</f>
        <v>3424.5526829268292</v>
      </c>
      <c r="E539" s="987" t="s">
        <v>37</v>
      </c>
      <c r="F539" s="987">
        <f t="shared" si="58"/>
        <v>0</v>
      </c>
      <c r="G539" s="989"/>
      <c r="H539" s="666">
        <f t="shared" si="59"/>
        <v>0</v>
      </c>
      <c r="I539" s="666"/>
      <c r="J539" s="666"/>
      <c r="K539" s="666">
        <f t="shared" si="60"/>
        <v>0</v>
      </c>
      <c r="L539" s="666"/>
      <c r="M539" s="665">
        <f t="shared" si="61"/>
        <v>0</v>
      </c>
      <c r="N539" s="666">
        <f t="shared" si="57"/>
        <v>0</v>
      </c>
      <c r="O539" s="672">
        <v>0</v>
      </c>
      <c r="P539" s="668">
        <f t="shared" si="62"/>
        <v>0</v>
      </c>
    </row>
    <row r="540" spans="1:18" s="677" customFormat="1" ht="82.5" hidden="1" customHeight="1">
      <c r="A540" s="1000"/>
      <c r="B540" s="986">
        <f t="shared" si="56"/>
        <v>0</v>
      </c>
      <c r="C540" s="987" t="s">
        <v>1701</v>
      </c>
      <c r="D540" s="993">
        <f>Data!R1000</f>
        <v>3850.373756097561</v>
      </c>
      <c r="E540" s="992" t="s">
        <v>37</v>
      </c>
      <c r="F540" s="987">
        <f t="shared" si="58"/>
        <v>0</v>
      </c>
      <c r="G540" s="994"/>
      <c r="H540" s="666">
        <f t="shared" si="59"/>
        <v>0</v>
      </c>
      <c r="I540" s="666"/>
      <c r="J540" s="666"/>
      <c r="K540" s="666">
        <f t="shared" si="60"/>
        <v>0</v>
      </c>
      <c r="L540" s="666"/>
      <c r="M540" s="665">
        <f t="shared" si="61"/>
        <v>0</v>
      </c>
      <c r="N540" s="666">
        <f t="shared" si="57"/>
        <v>0</v>
      </c>
      <c r="O540" s="672">
        <v>0</v>
      </c>
      <c r="P540" s="668">
        <f t="shared" si="62"/>
        <v>0</v>
      </c>
      <c r="Q540" s="676"/>
      <c r="R540" s="676"/>
    </row>
    <row r="541" spans="1:18" s="677" customFormat="1" ht="63.75" hidden="1" customHeight="1">
      <c r="A541" s="1000"/>
      <c r="B541" s="986">
        <f t="shared" si="56"/>
        <v>0</v>
      </c>
      <c r="C541" s="987" t="s">
        <v>1702</v>
      </c>
      <c r="D541" s="990">
        <f>Data!R1077</f>
        <v>3309.6460704607043</v>
      </c>
      <c r="E541" s="987" t="s">
        <v>37</v>
      </c>
      <c r="F541" s="987">
        <f t="shared" si="58"/>
        <v>0</v>
      </c>
      <c r="G541" s="989"/>
      <c r="H541" s="666">
        <f t="shared" si="59"/>
        <v>0</v>
      </c>
      <c r="I541" s="666"/>
      <c r="J541" s="666"/>
      <c r="K541" s="666">
        <f t="shared" si="60"/>
        <v>0</v>
      </c>
      <c r="L541" s="666"/>
      <c r="M541" s="665">
        <f t="shared" si="61"/>
        <v>0</v>
      </c>
      <c r="N541" s="666">
        <f t="shared" si="57"/>
        <v>0</v>
      </c>
      <c r="O541" s="672">
        <v>0</v>
      </c>
      <c r="P541" s="668">
        <f t="shared" si="62"/>
        <v>0</v>
      </c>
      <c r="Q541" s="676"/>
      <c r="R541" s="676"/>
    </row>
    <row r="542" spans="1:18" s="677" customFormat="1" ht="74.25" hidden="1" customHeight="1">
      <c r="A542" s="1000"/>
      <c r="B542" s="986">
        <f t="shared" si="56"/>
        <v>0</v>
      </c>
      <c r="C542" s="987" t="s">
        <v>1703</v>
      </c>
      <c r="D542" s="993"/>
      <c r="E542" s="992" t="s">
        <v>37</v>
      </c>
      <c r="F542" s="987">
        <f t="shared" si="58"/>
        <v>0</v>
      </c>
      <c r="G542" s="994"/>
      <c r="H542" s="666">
        <f t="shared" si="59"/>
        <v>0</v>
      </c>
      <c r="I542" s="666"/>
      <c r="J542" s="666"/>
      <c r="K542" s="666">
        <f t="shared" si="60"/>
        <v>0</v>
      </c>
      <c r="L542" s="666"/>
      <c r="M542" s="665">
        <f t="shared" si="61"/>
        <v>0</v>
      </c>
      <c r="N542" s="666">
        <f t="shared" si="57"/>
        <v>0</v>
      </c>
      <c r="O542" s="672">
        <v>0</v>
      </c>
      <c r="P542" s="668">
        <f t="shared" si="62"/>
        <v>0</v>
      </c>
      <c r="Q542" s="676"/>
      <c r="R542" s="676"/>
    </row>
    <row r="543" spans="1:18" s="677" customFormat="1" ht="74.25" hidden="1" customHeight="1">
      <c r="A543" s="1000"/>
      <c r="B543" s="986">
        <f t="shared" si="56"/>
        <v>0</v>
      </c>
      <c r="C543" s="987" t="s">
        <v>1704</v>
      </c>
      <c r="D543" s="993">
        <f>Data!R3166</f>
        <v>3116.9954545454548</v>
      </c>
      <c r="E543" s="992" t="s">
        <v>37</v>
      </c>
      <c r="F543" s="987">
        <f t="shared" si="58"/>
        <v>0</v>
      </c>
      <c r="G543" s="994"/>
      <c r="H543" s="666">
        <f t="shared" si="59"/>
        <v>0</v>
      </c>
      <c r="I543" s="666"/>
      <c r="J543" s="666"/>
      <c r="K543" s="666">
        <f t="shared" si="60"/>
        <v>0</v>
      </c>
      <c r="L543" s="666"/>
      <c r="M543" s="665">
        <f t="shared" si="61"/>
        <v>0</v>
      </c>
      <c r="N543" s="666">
        <f t="shared" si="57"/>
        <v>0</v>
      </c>
      <c r="O543" s="672">
        <v>0</v>
      </c>
      <c r="P543" s="668">
        <f t="shared" si="62"/>
        <v>0</v>
      </c>
      <c r="Q543" s="676"/>
      <c r="R543" s="676"/>
    </row>
    <row r="544" spans="1:18" ht="48.75" customHeight="1">
      <c r="A544" s="985" t="s">
        <v>1095</v>
      </c>
      <c r="B544" s="986">
        <f t="shared" si="56"/>
        <v>11.5</v>
      </c>
      <c r="C544" s="987" t="s">
        <v>1705</v>
      </c>
      <c r="D544" s="990">
        <f>Data!C704</f>
        <v>3167</v>
      </c>
      <c r="E544" s="987" t="s">
        <v>37</v>
      </c>
      <c r="F544" s="987">
        <f t="shared" si="58"/>
        <v>36420.5</v>
      </c>
      <c r="G544" s="989">
        <f>Detailed!H1189</f>
        <v>11.5</v>
      </c>
      <c r="H544" s="666">
        <f t="shared" si="59"/>
        <v>36420.5</v>
      </c>
      <c r="I544" s="666"/>
      <c r="J544" s="666"/>
      <c r="K544" s="666">
        <f t="shared" si="60"/>
        <v>0</v>
      </c>
      <c r="L544" s="666"/>
      <c r="M544" s="665">
        <f t="shared" si="61"/>
        <v>11.5</v>
      </c>
      <c r="N544" s="666">
        <f t="shared" si="57"/>
        <v>36420.5</v>
      </c>
      <c r="O544" s="672">
        <v>11.5</v>
      </c>
      <c r="P544" s="668">
        <f t="shared" si="62"/>
        <v>0</v>
      </c>
    </row>
    <row r="545" spans="1:19" ht="66.75" customHeight="1">
      <c r="A545" s="1010" t="s">
        <v>1100</v>
      </c>
      <c r="B545" s="986">
        <f t="shared" si="56"/>
        <v>41</v>
      </c>
      <c r="C545" s="987" t="s">
        <v>507</v>
      </c>
      <c r="D545" s="990">
        <f>ROUND(Data!K1185,2)</f>
        <v>708.1</v>
      </c>
      <c r="E545" s="987" t="s">
        <v>37</v>
      </c>
      <c r="F545" s="987">
        <f t="shared" si="58"/>
        <v>29032.100000000002</v>
      </c>
      <c r="G545" s="989">
        <f>Detailed!H1202</f>
        <v>41</v>
      </c>
      <c r="H545" s="666">
        <f t="shared" si="59"/>
        <v>29032.100000000002</v>
      </c>
      <c r="I545" s="666"/>
      <c r="J545" s="666"/>
      <c r="K545" s="666">
        <f t="shared" si="60"/>
        <v>0</v>
      </c>
      <c r="L545" s="666"/>
      <c r="M545" s="665">
        <f t="shared" si="61"/>
        <v>41</v>
      </c>
      <c r="N545" s="666">
        <f t="shared" si="57"/>
        <v>29032.100000000002</v>
      </c>
      <c r="O545" s="672">
        <v>42.3</v>
      </c>
      <c r="P545" s="668">
        <f t="shared" si="62"/>
        <v>-1.2999999999999972</v>
      </c>
    </row>
    <row r="546" spans="1:19" s="677" customFormat="1" ht="45.75" hidden="1" customHeight="1">
      <c r="A546" s="986"/>
      <c r="B546" s="986">
        <f t="shared" si="56"/>
        <v>0</v>
      </c>
      <c r="C546" s="995" t="s">
        <v>1706</v>
      </c>
      <c r="D546" s="993"/>
      <c r="E546" s="992"/>
      <c r="F546" s="987">
        <f t="shared" si="58"/>
        <v>0</v>
      </c>
      <c r="G546" s="994"/>
      <c r="H546" s="666">
        <f t="shared" si="59"/>
        <v>0</v>
      </c>
      <c r="I546" s="666"/>
      <c r="J546" s="666"/>
      <c r="K546" s="666">
        <f t="shared" si="60"/>
        <v>0</v>
      </c>
      <c r="L546" s="666"/>
      <c r="M546" s="665">
        <f t="shared" si="61"/>
        <v>0</v>
      </c>
      <c r="N546" s="666">
        <f t="shared" si="57"/>
        <v>0</v>
      </c>
      <c r="O546" s="672">
        <v>0</v>
      </c>
      <c r="P546" s="668">
        <f t="shared" si="62"/>
        <v>0</v>
      </c>
      <c r="Q546" s="676"/>
      <c r="R546" s="676"/>
    </row>
    <row r="547" spans="1:19" s="677" customFormat="1" ht="39" hidden="1" customHeight="1">
      <c r="A547" s="986"/>
      <c r="B547" s="986">
        <f t="shared" si="56"/>
        <v>0</v>
      </c>
      <c r="C547" s="987" t="s">
        <v>1405</v>
      </c>
      <c r="D547" s="993">
        <f>ROUND(Data!K628,2)</f>
        <v>574.95000000000005</v>
      </c>
      <c r="E547" s="992" t="s">
        <v>264</v>
      </c>
      <c r="F547" s="987">
        <f t="shared" si="58"/>
        <v>0</v>
      </c>
      <c r="G547" s="994"/>
      <c r="H547" s="666">
        <f t="shared" si="59"/>
        <v>0</v>
      </c>
      <c r="I547" s="666"/>
      <c r="J547" s="666"/>
      <c r="K547" s="666">
        <f t="shared" si="60"/>
        <v>0</v>
      </c>
      <c r="L547" s="666"/>
      <c r="M547" s="665">
        <f t="shared" si="61"/>
        <v>0</v>
      </c>
      <c r="N547" s="666">
        <f t="shared" si="57"/>
        <v>0</v>
      </c>
      <c r="O547" s="672">
        <v>0</v>
      </c>
      <c r="P547" s="668">
        <f t="shared" si="62"/>
        <v>0</v>
      </c>
      <c r="Q547" s="676"/>
      <c r="R547" s="676"/>
    </row>
    <row r="548" spans="1:19" s="677" customFormat="1" ht="39" hidden="1" customHeight="1">
      <c r="A548" s="986"/>
      <c r="B548" s="986">
        <f t="shared" si="56"/>
        <v>0</v>
      </c>
      <c r="C548" s="987" t="s">
        <v>1406</v>
      </c>
      <c r="D548" s="993">
        <f>ROUND(Data!K629,2)</f>
        <v>579.02</v>
      </c>
      <c r="E548" s="992" t="s">
        <v>264</v>
      </c>
      <c r="F548" s="987">
        <f t="shared" si="58"/>
        <v>0</v>
      </c>
      <c r="G548" s="994"/>
      <c r="H548" s="666">
        <f t="shared" si="59"/>
        <v>0</v>
      </c>
      <c r="I548" s="666"/>
      <c r="J548" s="666"/>
      <c r="K548" s="666">
        <f t="shared" si="60"/>
        <v>0</v>
      </c>
      <c r="L548" s="666"/>
      <c r="M548" s="665">
        <f t="shared" si="61"/>
        <v>0</v>
      </c>
      <c r="N548" s="666">
        <f t="shared" si="57"/>
        <v>0</v>
      </c>
      <c r="O548" s="672">
        <v>0</v>
      </c>
      <c r="P548" s="668">
        <f t="shared" si="62"/>
        <v>0</v>
      </c>
      <c r="Q548" s="676"/>
      <c r="R548" s="676"/>
    </row>
    <row r="549" spans="1:19" s="677" customFormat="1" ht="39" hidden="1" customHeight="1">
      <c r="A549" s="986"/>
      <c r="B549" s="986">
        <f t="shared" si="56"/>
        <v>0</v>
      </c>
      <c r="C549" s="987" t="s">
        <v>1407</v>
      </c>
      <c r="D549" s="993">
        <f>ROUND(Data!K630,2)</f>
        <v>583.09</v>
      </c>
      <c r="E549" s="992" t="s">
        <v>264</v>
      </c>
      <c r="F549" s="987">
        <f t="shared" si="58"/>
        <v>0</v>
      </c>
      <c r="G549" s="994"/>
      <c r="H549" s="666">
        <f t="shared" si="59"/>
        <v>0</v>
      </c>
      <c r="I549" s="666"/>
      <c r="J549" s="666"/>
      <c r="K549" s="666">
        <f t="shared" si="60"/>
        <v>0</v>
      </c>
      <c r="L549" s="666"/>
      <c r="M549" s="665">
        <f t="shared" si="61"/>
        <v>0</v>
      </c>
      <c r="N549" s="666">
        <f t="shared" si="57"/>
        <v>0</v>
      </c>
      <c r="O549" s="672">
        <v>0</v>
      </c>
      <c r="P549" s="668">
        <f t="shared" si="62"/>
        <v>0</v>
      </c>
      <c r="Q549" s="676"/>
      <c r="R549" s="676"/>
    </row>
    <row r="550" spans="1:19" s="677" customFormat="1" ht="39" hidden="1" customHeight="1">
      <c r="A550" s="986"/>
      <c r="B550" s="986">
        <f t="shared" si="56"/>
        <v>0</v>
      </c>
      <c r="C550" s="987" t="s">
        <v>1408</v>
      </c>
      <c r="D550" s="993">
        <f>ROUND(Data!K631,2)</f>
        <v>587.16</v>
      </c>
      <c r="E550" s="992" t="s">
        <v>264</v>
      </c>
      <c r="F550" s="987">
        <f t="shared" si="58"/>
        <v>0</v>
      </c>
      <c r="G550" s="994"/>
      <c r="H550" s="666">
        <f t="shared" si="59"/>
        <v>0</v>
      </c>
      <c r="I550" s="666"/>
      <c r="J550" s="666"/>
      <c r="K550" s="666">
        <f t="shared" si="60"/>
        <v>0</v>
      </c>
      <c r="L550" s="666"/>
      <c r="M550" s="665">
        <f t="shared" si="61"/>
        <v>0</v>
      </c>
      <c r="N550" s="666">
        <f t="shared" si="57"/>
        <v>0</v>
      </c>
      <c r="O550" s="672">
        <v>0</v>
      </c>
      <c r="P550" s="668">
        <f t="shared" si="62"/>
        <v>0</v>
      </c>
      <c r="Q550" s="676"/>
      <c r="R550" s="676"/>
    </row>
    <row r="551" spans="1:19" s="677" customFormat="1" ht="36" hidden="1" customHeight="1">
      <c r="A551" s="1000"/>
      <c r="B551" s="986">
        <f t="shared" si="56"/>
        <v>0</v>
      </c>
      <c r="C551" s="987" t="s">
        <v>1409</v>
      </c>
      <c r="D551" s="993">
        <f>ROUND(Data!K632,2)</f>
        <v>591.23</v>
      </c>
      <c r="E551" s="992" t="s">
        <v>264</v>
      </c>
      <c r="F551" s="987">
        <f t="shared" si="58"/>
        <v>0</v>
      </c>
      <c r="G551" s="994"/>
      <c r="H551" s="666">
        <f t="shared" si="59"/>
        <v>0</v>
      </c>
      <c r="I551" s="666"/>
      <c r="J551" s="666"/>
      <c r="K551" s="666">
        <f t="shared" si="60"/>
        <v>0</v>
      </c>
      <c r="L551" s="666"/>
      <c r="M551" s="665">
        <f t="shared" si="61"/>
        <v>0</v>
      </c>
      <c r="N551" s="666">
        <f t="shared" si="57"/>
        <v>0</v>
      </c>
      <c r="O551" s="672">
        <v>0</v>
      </c>
      <c r="P551" s="668">
        <f t="shared" si="62"/>
        <v>0</v>
      </c>
      <c r="Q551" s="676"/>
      <c r="R551" s="676"/>
    </row>
    <row r="552" spans="1:19" ht="40.5" hidden="1" customHeight="1">
      <c r="A552" s="1041"/>
      <c r="B552" s="986">
        <f t="shared" si="56"/>
        <v>0</v>
      </c>
      <c r="C552" s="1005" t="s">
        <v>1707</v>
      </c>
      <c r="D552" s="993"/>
      <c r="E552" s="992"/>
      <c r="F552" s="987">
        <f t="shared" si="58"/>
        <v>0</v>
      </c>
      <c r="G552" s="994"/>
      <c r="H552" s="666">
        <f t="shared" si="59"/>
        <v>0</v>
      </c>
      <c r="I552" s="666"/>
      <c r="J552" s="666"/>
      <c r="K552" s="666">
        <f t="shared" si="60"/>
        <v>0</v>
      </c>
      <c r="L552" s="666"/>
      <c r="M552" s="665">
        <f t="shared" si="61"/>
        <v>0</v>
      </c>
      <c r="N552" s="666">
        <f t="shared" si="57"/>
        <v>0</v>
      </c>
      <c r="O552" s="672">
        <v>0</v>
      </c>
      <c r="P552" s="668">
        <f t="shared" si="62"/>
        <v>0</v>
      </c>
      <c r="Q552" s="678"/>
      <c r="S552" s="679"/>
    </row>
    <row r="553" spans="1:19" s="677" customFormat="1" ht="39" hidden="1" customHeight="1">
      <c r="A553" s="1000"/>
      <c r="B553" s="986">
        <f t="shared" si="56"/>
        <v>0</v>
      </c>
      <c r="C553" s="987" t="s">
        <v>1708</v>
      </c>
      <c r="D553" s="993">
        <f>Data!K590</f>
        <v>529.36599999999999</v>
      </c>
      <c r="E553" s="992" t="s">
        <v>264</v>
      </c>
      <c r="F553" s="987">
        <f t="shared" si="58"/>
        <v>0</v>
      </c>
      <c r="G553" s="994"/>
      <c r="H553" s="666">
        <f t="shared" si="59"/>
        <v>0</v>
      </c>
      <c r="I553" s="666"/>
      <c r="J553" s="666"/>
      <c r="K553" s="666">
        <f t="shared" si="60"/>
        <v>0</v>
      </c>
      <c r="L553" s="666"/>
      <c r="M553" s="665">
        <f t="shared" si="61"/>
        <v>0</v>
      </c>
      <c r="N553" s="666">
        <f t="shared" si="57"/>
        <v>0</v>
      </c>
      <c r="O553" s="672">
        <v>0</v>
      </c>
      <c r="P553" s="668">
        <f t="shared" si="62"/>
        <v>0</v>
      </c>
      <c r="Q553" s="676"/>
      <c r="R553" s="676"/>
    </row>
    <row r="554" spans="1:19" s="677" customFormat="1" ht="45.75" hidden="1" customHeight="1">
      <c r="A554" s="1000"/>
      <c r="B554" s="986">
        <f t="shared" si="56"/>
        <v>0</v>
      </c>
      <c r="C554" s="987" t="s">
        <v>1406</v>
      </c>
      <c r="D554" s="993">
        <f>Data!K591</f>
        <v>533.43600000000004</v>
      </c>
      <c r="E554" s="992" t="s">
        <v>264</v>
      </c>
      <c r="F554" s="987">
        <f t="shared" si="58"/>
        <v>0</v>
      </c>
      <c r="G554" s="994"/>
      <c r="H554" s="666">
        <f t="shared" si="59"/>
        <v>0</v>
      </c>
      <c r="I554" s="666"/>
      <c r="J554" s="666"/>
      <c r="K554" s="666">
        <f t="shared" si="60"/>
        <v>0</v>
      </c>
      <c r="L554" s="666"/>
      <c r="M554" s="665">
        <f t="shared" si="61"/>
        <v>0</v>
      </c>
      <c r="N554" s="666">
        <f t="shared" si="57"/>
        <v>0</v>
      </c>
      <c r="O554" s="672">
        <v>0</v>
      </c>
      <c r="P554" s="668">
        <f t="shared" si="62"/>
        <v>0</v>
      </c>
      <c r="Q554" s="676"/>
      <c r="R554" s="676"/>
    </row>
    <row r="555" spans="1:19" s="677" customFormat="1" ht="45.75" hidden="1" customHeight="1">
      <c r="A555" s="1000"/>
      <c r="B555" s="986">
        <f t="shared" si="56"/>
        <v>0</v>
      </c>
      <c r="C555" s="987" t="s">
        <v>1407</v>
      </c>
      <c r="D555" s="993">
        <f>Data!K592</f>
        <v>537.50600000000009</v>
      </c>
      <c r="E555" s="992" t="s">
        <v>264</v>
      </c>
      <c r="F555" s="987">
        <f t="shared" si="58"/>
        <v>0</v>
      </c>
      <c r="G555" s="994"/>
      <c r="H555" s="666">
        <f t="shared" si="59"/>
        <v>0</v>
      </c>
      <c r="I555" s="666"/>
      <c r="J555" s="666"/>
      <c r="K555" s="666">
        <f t="shared" si="60"/>
        <v>0</v>
      </c>
      <c r="L555" s="666"/>
      <c r="M555" s="665">
        <f t="shared" si="61"/>
        <v>0</v>
      </c>
      <c r="N555" s="666">
        <f t="shared" si="57"/>
        <v>0</v>
      </c>
      <c r="O555" s="672">
        <v>0</v>
      </c>
      <c r="P555" s="668">
        <f t="shared" si="62"/>
        <v>0</v>
      </c>
      <c r="Q555" s="676"/>
      <c r="R555" s="676"/>
    </row>
    <row r="556" spans="1:19" s="677" customFormat="1" ht="45.75" hidden="1" customHeight="1">
      <c r="A556" s="1000"/>
      <c r="B556" s="986">
        <f t="shared" si="56"/>
        <v>0</v>
      </c>
      <c r="C556" s="987" t="s">
        <v>1408</v>
      </c>
      <c r="D556" s="993">
        <f>Data!K593</f>
        <v>541.57600000000014</v>
      </c>
      <c r="E556" s="992" t="s">
        <v>264</v>
      </c>
      <c r="F556" s="987">
        <f t="shared" si="58"/>
        <v>0</v>
      </c>
      <c r="G556" s="994"/>
      <c r="H556" s="666">
        <f t="shared" si="59"/>
        <v>0</v>
      </c>
      <c r="I556" s="666"/>
      <c r="J556" s="666"/>
      <c r="K556" s="666">
        <f t="shared" si="60"/>
        <v>0</v>
      </c>
      <c r="L556" s="666"/>
      <c r="M556" s="665">
        <f t="shared" si="61"/>
        <v>0</v>
      </c>
      <c r="N556" s="666">
        <f t="shared" si="57"/>
        <v>0</v>
      </c>
      <c r="O556" s="672">
        <v>0</v>
      </c>
      <c r="P556" s="668">
        <f t="shared" si="62"/>
        <v>0</v>
      </c>
      <c r="Q556" s="676"/>
      <c r="R556" s="676"/>
    </row>
    <row r="557" spans="1:19" s="677" customFormat="1" ht="36" hidden="1" customHeight="1">
      <c r="A557" s="1000"/>
      <c r="B557" s="986">
        <f t="shared" si="56"/>
        <v>0</v>
      </c>
      <c r="C557" s="987" t="s">
        <v>1409</v>
      </c>
      <c r="D557" s="993">
        <f>Data!K594</f>
        <v>545.64600000000019</v>
      </c>
      <c r="E557" s="992" t="s">
        <v>264</v>
      </c>
      <c r="F557" s="987">
        <f t="shared" si="58"/>
        <v>0</v>
      </c>
      <c r="G557" s="994"/>
      <c r="H557" s="666">
        <f t="shared" si="59"/>
        <v>0</v>
      </c>
      <c r="I557" s="666"/>
      <c r="J557" s="666"/>
      <c r="K557" s="666">
        <f t="shared" si="60"/>
        <v>0</v>
      </c>
      <c r="L557" s="666"/>
      <c r="M557" s="665">
        <f t="shared" si="61"/>
        <v>0</v>
      </c>
      <c r="N557" s="666">
        <f t="shared" si="57"/>
        <v>0</v>
      </c>
      <c r="O557" s="672">
        <v>0</v>
      </c>
      <c r="P557" s="668">
        <f t="shared" si="62"/>
        <v>0</v>
      </c>
      <c r="Q557" s="676"/>
      <c r="R557" s="676"/>
    </row>
    <row r="558" spans="1:19" s="677" customFormat="1" ht="43.5" hidden="1" customHeight="1">
      <c r="A558" s="1000"/>
      <c r="B558" s="986">
        <f t="shared" si="56"/>
        <v>0</v>
      </c>
      <c r="C558" s="987" t="s">
        <v>1406</v>
      </c>
      <c r="D558" s="993">
        <f>Data!X590</f>
        <v>562.4319999999999</v>
      </c>
      <c r="E558" s="992" t="s">
        <v>264</v>
      </c>
      <c r="F558" s="987">
        <f t="shared" si="58"/>
        <v>0</v>
      </c>
      <c r="G558" s="994"/>
      <c r="H558" s="666">
        <f t="shared" si="59"/>
        <v>0</v>
      </c>
      <c r="I558" s="666"/>
      <c r="J558" s="666"/>
      <c r="K558" s="666">
        <f t="shared" si="60"/>
        <v>0</v>
      </c>
      <c r="L558" s="666"/>
      <c r="M558" s="665">
        <f t="shared" si="61"/>
        <v>0</v>
      </c>
      <c r="N558" s="666">
        <f t="shared" si="57"/>
        <v>0</v>
      </c>
      <c r="O558" s="672">
        <v>0</v>
      </c>
      <c r="P558" s="668">
        <f t="shared" si="62"/>
        <v>0</v>
      </c>
      <c r="Q558" s="676"/>
      <c r="R558" s="676"/>
    </row>
    <row r="559" spans="1:19" s="677" customFormat="1" ht="36" hidden="1" customHeight="1">
      <c r="A559" s="1000"/>
      <c r="B559" s="986">
        <f t="shared" si="56"/>
        <v>0</v>
      </c>
      <c r="C559" s="987" t="s">
        <v>1407</v>
      </c>
      <c r="D559" s="993">
        <f>Data!X591</f>
        <v>570.57199999999989</v>
      </c>
      <c r="E559" s="992" t="s">
        <v>264</v>
      </c>
      <c r="F559" s="987">
        <f t="shared" si="58"/>
        <v>0</v>
      </c>
      <c r="G559" s="994"/>
      <c r="H559" s="666">
        <f t="shared" si="59"/>
        <v>0</v>
      </c>
      <c r="I559" s="666"/>
      <c r="J559" s="666"/>
      <c r="K559" s="666">
        <f t="shared" si="60"/>
        <v>0</v>
      </c>
      <c r="L559" s="666"/>
      <c r="M559" s="665">
        <f t="shared" si="61"/>
        <v>0</v>
      </c>
      <c r="N559" s="666">
        <f t="shared" si="57"/>
        <v>0</v>
      </c>
      <c r="O559" s="672">
        <v>0</v>
      </c>
      <c r="P559" s="668">
        <f t="shared" si="62"/>
        <v>0</v>
      </c>
      <c r="Q559" s="676"/>
      <c r="R559" s="676"/>
    </row>
    <row r="560" spans="1:19" s="677" customFormat="1" ht="36" hidden="1" customHeight="1">
      <c r="A560" s="1000"/>
      <c r="B560" s="986">
        <f t="shared" si="56"/>
        <v>0</v>
      </c>
      <c r="C560" s="987" t="s">
        <v>1408</v>
      </c>
      <c r="D560" s="993">
        <f>Data!X592</f>
        <v>578.71199999999988</v>
      </c>
      <c r="E560" s="992" t="s">
        <v>264</v>
      </c>
      <c r="F560" s="987">
        <f t="shared" si="58"/>
        <v>0</v>
      </c>
      <c r="G560" s="994"/>
      <c r="H560" s="666">
        <f t="shared" si="59"/>
        <v>0</v>
      </c>
      <c r="I560" s="666"/>
      <c r="J560" s="666"/>
      <c r="K560" s="666">
        <f t="shared" si="60"/>
        <v>0</v>
      </c>
      <c r="L560" s="666"/>
      <c r="M560" s="665">
        <f t="shared" si="61"/>
        <v>0</v>
      </c>
      <c r="N560" s="666">
        <f t="shared" si="57"/>
        <v>0</v>
      </c>
      <c r="O560" s="672">
        <v>0</v>
      </c>
      <c r="P560" s="668">
        <f t="shared" si="62"/>
        <v>0</v>
      </c>
      <c r="Q560" s="676"/>
      <c r="R560" s="676"/>
    </row>
    <row r="561" spans="1:21" s="677" customFormat="1" ht="36" hidden="1" customHeight="1">
      <c r="A561" s="1000"/>
      <c r="B561" s="986">
        <f t="shared" si="56"/>
        <v>0</v>
      </c>
      <c r="C561" s="987" t="s">
        <v>1409</v>
      </c>
      <c r="D561" s="993">
        <f>Data!X593</f>
        <v>586.85199999999986</v>
      </c>
      <c r="E561" s="992"/>
      <c r="F561" s="987">
        <f t="shared" si="58"/>
        <v>0</v>
      </c>
      <c r="G561" s="994"/>
      <c r="H561" s="666">
        <f t="shared" si="59"/>
        <v>0</v>
      </c>
      <c r="I561" s="666"/>
      <c r="J561" s="666"/>
      <c r="K561" s="666">
        <f t="shared" si="60"/>
        <v>0</v>
      </c>
      <c r="L561" s="666"/>
      <c r="M561" s="665">
        <f t="shared" si="61"/>
        <v>0</v>
      </c>
      <c r="N561" s="666">
        <f t="shared" si="57"/>
        <v>0</v>
      </c>
      <c r="O561" s="672">
        <v>0</v>
      </c>
      <c r="P561" s="668">
        <f t="shared" si="62"/>
        <v>0</v>
      </c>
      <c r="Q561" s="676"/>
      <c r="R561" s="676"/>
    </row>
    <row r="562" spans="1:21" s="677" customFormat="1" ht="45.75" hidden="1" customHeight="1">
      <c r="A562" s="1000"/>
      <c r="B562" s="986">
        <f t="shared" si="56"/>
        <v>0</v>
      </c>
      <c r="C562" s="995" t="s">
        <v>1710</v>
      </c>
      <c r="D562" s="993"/>
      <c r="E562" s="992"/>
      <c r="F562" s="987">
        <f t="shared" si="58"/>
        <v>0</v>
      </c>
      <c r="G562" s="994"/>
      <c r="H562" s="666">
        <f t="shared" si="59"/>
        <v>0</v>
      </c>
      <c r="I562" s="666"/>
      <c r="J562" s="666"/>
      <c r="K562" s="666">
        <f t="shared" si="60"/>
        <v>0</v>
      </c>
      <c r="L562" s="666"/>
      <c r="M562" s="665">
        <f t="shared" si="61"/>
        <v>0</v>
      </c>
      <c r="N562" s="666">
        <f t="shared" si="57"/>
        <v>0</v>
      </c>
      <c r="O562" s="672">
        <v>0</v>
      </c>
      <c r="P562" s="668">
        <f t="shared" si="62"/>
        <v>0</v>
      </c>
      <c r="Q562" s="676"/>
      <c r="R562" s="676"/>
    </row>
    <row r="563" spans="1:21" s="677" customFormat="1" ht="25.5" hidden="1" customHeight="1">
      <c r="A563" s="1000"/>
      <c r="B563" s="986">
        <f t="shared" si="56"/>
        <v>0</v>
      </c>
      <c r="C563" s="987" t="s">
        <v>1405</v>
      </c>
      <c r="D563" s="993">
        <f>Data!K612</f>
        <v>1847.3820000000001</v>
      </c>
      <c r="E563" s="992" t="s">
        <v>264</v>
      </c>
      <c r="F563" s="987">
        <f t="shared" si="58"/>
        <v>0</v>
      </c>
      <c r="G563" s="994"/>
      <c r="H563" s="666">
        <f t="shared" si="59"/>
        <v>0</v>
      </c>
      <c r="I563" s="666"/>
      <c r="J563" s="666"/>
      <c r="K563" s="666">
        <f t="shared" si="60"/>
        <v>0</v>
      </c>
      <c r="L563" s="666"/>
      <c r="M563" s="665">
        <f t="shared" si="61"/>
        <v>0</v>
      </c>
      <c r="N563" s="666">
        <f t="shared" si="57"/>
        <v>0</v>
      </c>
      <c r="O563" s="672">
        <v>0</v>
      </c>
      <c r="P563" s="668">
        <f t="shared" si="62"/>
        <v>0</v>
      </c>
      <c r="Q563" s="676"/>
      <c r="R563" s="676"/>
    </row>
    <row r="564" spans="1:21" s="677" customFormat="1" ht="25.5" hidden="1" customHeight="1">
      <c r="A564" s="1000"/>
      <c r="B564" s="986">
        <f t="shared" si="56"/>
        <v>0</v>
      </c>
      <c r="C564" s="987" t="s">
        <v>1406</v>
      </c>
      <c r="D564" s="993">
        <f>Data!K613</f>
        <v>1855.5220000000002</v>
      </c>
      <c r="E564" s="992" t="s">
        <v>264</v>
      </c>
      <c r="F564" s="987">
        <f t="shared" si="58"/>
        <v>0</v>
      </c>
      <c r="G564" s="994"/>
      <c r="H564" s="666">
        <f t="shared" si="59"/>
        <v>0</v>
      </c>
      <c r="I564" s="666"/>
      <c r="J564" s="666"/>
      <c r="K564" s="666">
        <f t="shared" si="60"/>
        <v>0</v>
      </c>
      <c r="L564" s="666"/>
      <c r="M564" s="665">
        <f t="shared" si="61"/>
        <v>0</v>
      </c>
      <c r="N564" s="666">
        <f t="shared" si="57"/>
        <v>0</v>
      </c>
      <c r="O564" s="672">
        <v>0</v>
      </c>
      <c r="P564" s="668">
        <f t="shared" si="62"/>
        <v>0</v>
      </c>
      <c r="Q564" s="676"/>
      <c r="R564" s="676"/>
    </row>
    <row r="565" spans="1:21" s="677" customFormat="1" ht="25.5" hidden="1" customHeight="1">
      <c r="A565" s="1000"/>
      <c r="B565" s="986">
        <f t="shared" si="56"/>
        <v>0</v>
      </c>
      <c r="C565" s="987" t="s">
        <v>1407</v>
      </c>
      <c r="D565" s="993">
        <f>Data!K614</f>
        <v>1863.6620000000003</v>
      </c>
      <c r="E565" s="992" t="s">
        <v>264</v>
      </c>
      <c r="F565" s="987">
        <f t="shared" si="58"/>
        <v>0</v>
      </c>
      <c r="G565" s="994"/>
      <c r="H565" s="666">
        <f t="shared" si="59"/>
        <v>0</v>
      </c>
      <c r="I565" s="666"/>
      <c r="J565" s="666"/>
      <c r="K565" s="666">
        <f t="shared" si="60"/>
        <v>0</v>
      </c>
      <c r="L565" s="666"/>
      <c r="M565" s="665">
        <f t="shared" si="61"/>
        <v>0</v>
      </c>
      <c r="N565" s="666">
        <f t="shared" si="57"/>
        <v>0</v>
      </c>
      <c r="O565" s="672">
        <v>0</v>
      </c>
      <c r="P565" s="668">
        <f t="shared" si="62"/>
        <v>0</v>
      </c>
      <c r="Q565" s="676"/>
      <c r="R565" s="676"/>
    </row>
    <row r="566" spans="1:21" s="677" customFormat="1" ht="25.5" hidden="1" customHeight="1">
      <c r="A566" s="1000"/>
      <c r="B566" s="986">
        <f t="shared" si="56"/>
        <v>0</v>
      </c>
      <c r="C566" s="987" t="s">
        <v>1408</v>
      </c>
      <c r="D566" s="993">
        <f>Data!K615</f>
        <v>1871.8020000000004</v>
      </c>
      <c r="E566" s="992" t="s">
        <v>264</v>
      </c>
      <c r="F566" s="987">
        <f t="shared" si="58"/>
        <v>0</v>
      </c>
      <c r="G566" s="994"/>
      <c r="H566" s="666">
        <f t="shared" si="59"/>
        <v>0</v>
      </c>
      <c r="I566" s="666"/>
      <c r="J566" s="666"/>
      <c r="K566" s="666">
        <f t="shared" si="60"/>
        <v>0</v>
      </c>
      <c r="L566" s="666"/>
      <c r="M566" s="665">
        <f t="shared" si="61"/>
        <v>0</v>
      </c>
      <c r="N566" s="666">
        <f t="shared" si="57"/>
        <v>0</v>
      </c>
      <c r="O566" s="672">
        <v>0</v>
      </c>
      <c r="P566" s="668">
        <f t="shared" si="62"/>
        <v>0</v>
      </c>
      <c r="Q566" s="676"/>
      <c r="R566" s="676"/>
    </row>
    <row r="567" spans="1:21" s="677" customFormat="1" ht="25.5" hidden="1" customHeight="1">
      <c r="A567" s="1000"/>
      <c r="B567" s="986">
        <f t="shared" si="56"/>
        <v>0</v>
      </c>
      <c r="C567" s="987" t="s">
        <v>1409</v>
      </c>
      <c r="D567" s="993">
        <f>Data!K616</f>
        <v>1879.9420000000005</v>
      </c>
      <c r="E567" s="992" t="s">
        <v>264</v>
      </c>
      <c r="F567" s="987">
        <f t="shared" si="58"/>
        <v>0</v>
      </c>
      <c r="G567" s="994"/>
      <c r="H567" s="666">
        <f t="shared" si="59"/>
        <v>0</v>
      </c>
      <c r="I567" s="666"/>
      <c r="J567" s="666"/>
      <c r="K567" s="666">
        <f t="shared" si="60"/>
        <v>0</v>
      </c>
      <c r="L567" s="666"/>
      <c r="M567" s="665">
        <f t="shared" si="61"/>
        <v>0</v>
      </c>
      <c r="N567" s="666">
        <f t="shared" si="57"/>
        <v>0</v>
      </c>
      <c r="O567" s="672">
        <v>0</v>
      </c>
      <c r="P567" s="668">
        <f t="shared" si="62"/>
        <v>0</v>
      </c>
      <c r="Q567" s="676"/>
      <c r="R567" s="676"/>
    </row>
    <row r="568" spans="1:21" ht="46.5" customHeight="1">
      <c r="A568" s="985">
        <v>29.8</v>
      </c>
      <c r="B568" s="986">
        <f t="shared" si="56"/>
        <v>103.39999999999999</v>
      </c>
      <c r="C568" s="987" t="s">
        <v>1711</v>
      </c>
      <c r="D568" s="990">
        <f>ROUND(Data!K1278,2)</f>
        <v>1239.77</v>
      </c>
      <c r="E568" s="987" t="s">
        <v>37</v>
      </c>
      <c r="F568" s="987">
        <f t="shared" si="58"/>
        <v>128192.21799999999</v>
      </c>
      <c r="G568" s="989">
        <f>Detailed!H1250</f>
        <v>103.39999999999999</v>
      </c>
      <c r="H568" s="666">
        <f t="shared" si="59"/>
        <v>128192.21799999999</v>
      </c>
      <c r="I568" s="666"/>
      <c r="J568" s="666"/>
      <c r="K568" s="666">
        <f t="shared" si="60"/>
        <v>0</v>
      </c>
      <c r="L568" s="666"/>
      <c r="M568" s="665">
        <f t="shared" si="61"/>
        <v>103.39999999999999</v>
      </c>
      <c r="N568" s="666">
        <f t="shared" si="57"/>
        <v>128192.21799999999</v>
      </c>
      <c r="O568" s="672">
        <v>103.4</v>
      </c>
      <c r="P568" s="668">
        <f t="shared" si="62"/>
        <v>0</v>
      </c>
      <c r="U568" s="670">
        <f>43.34+32.51+10.84+3.6</f>
        <v>90.289999999999992</v>
      </c>
    </row>
    <row r="569" spans="1:21" s="677" customFormat="1" ht="25.5" hidden="1" customHeight="1">
      <c r="A569" s="985"/>
      <c r="B569" s="986">
        <f t="shared" si="56"/>
        <v>0</v>
      </c>
      <c r="C569" s="987" t="s">
        <v>1712</v>
      </c>
      <c r="D569" s="993">
        <f>ROUND(Data!K1264,2)</f>
        <v>1098.8499999999999</v>
      </c>
      <c r="E569" s="992" t="s">
        <v>37</v>
      </c>
      <c r="F569" s="987">
        <f t="shared" si="58"/>
        <v>0</v>
      </c>
      <c r="G569" s="994"/>
      <c r="H569" s="666">
        <f t="shared" si="59"/>
        <v>0</v>
      </c>
      <c r="I569" s="666"/>
      <c r="J569" s="666"/>
      <c r="K569" s="666">
        <f t="shared" si="60"/>
        <v>0</v>
      </c>
      <c r="L569" s="666"/>
      <c r="M569" s="665">
        <f t="shared" si="61"/>
        <v>0</v>
      </c>
      <c r="N569" s="666">
        <f t="shared" si="57"/>
        <v>0</v>
      </c>
      <c r="O569" s="672">
        <v>0</v>
      </c>
      <c r="P569" s="668">
        <f t="shared" si="62"/>
        <v>0</v>
      </c>
      <c r="Q569" s="676"/>
      <c r="R569" s="676"/>
    </row>
    <row r="570" spans="1:21" ht="56.25" customHeight="1">
      <c r="A570" s="985">
        <v>29.9</v>
      </c>
      <c r="B570" s="986">
        <f t="shared" si="56"/>
        <v>20.100000000000001</v>
      </c>
      <c r="C570" s="987" t="s">
        <v>137</v>
      </c>
      <c r="D570" s="990">
        <f>ROUND(Data!K1264,2)</f>
        <v>1098.8499999999999</v>
      </c>
      <c r="E570" s="987" t="s">
        <v>37</v>
      </c>
      <c r="F570" s="987">
        <f t="shared" si="58"/>
        <v>22086.884999999998</v>
      </c>
      <c r="G570" s="989">
        <f>Detailed!H1266</f>
        <v>20.100000000000001</v>
      </c>
      <c r="H570" s="666">
        <f t="shared" si="59"/>
        <v>22086.884999999998</v>
      </c>
      <c r="I570" s="666"/>
      <c r="J570" s="666"/>
      <c r="K570" s="666">
        <f t="shared" si="60"/>
        <v>0</v>
      </c>
      <c r="L570" s="666"/>
      <c r="M570" s="665">
        <f t="shared" si="61"/>
        <v>20.100000000000001</v>
      </c>
      <c r="N570" s="666">
        <f t="shared" si="57"/>
        <v>22086.884999999998</v>
      </c>
      <c r="O570" s="672">
        <v>20.100000000000001</v>
      </c>
      <c r="P570" s="668">
        <f t="shared" si="62"/>
        <v>0</v>
      </c>
      <c r="U570" s="670">
        <f>U568+1685</f>
        <v>1775.29</v>
      </c>
    </row>
    <row r="571" spans="1:21" ht="72.75" hidden="1" customHeight="1">
      <c r="A571" s="991">
        <v>38.4</v>
      </c>
      <c r="B571" s="986">
        <f t="shared" si="56"/>
        <v>0</v>
      </c>
      <c r="C571" s="992" t="s">
        <v>1713</v>
      </c>
      <c r="D571" s="993">
        <f>Data!K2725</f>
        <v>114.39000000000001</v>
      </c>
      <c r="E571" s="992" t="s">
        <v>37</v>
      </c>
      <c r="F571" s="987">
        <f t="shared" si="58"/>
        <v>0</v>
      </c>
      <c r="G571" s="994"/>
      <c r="H571" s="666">
        <f t="shared" si="59"/>
        <v>0</v>
      </c>
      <c r="I571" s="666"/>
      <c r="J571" s="666"/>
      <c r="K571" s="666">
        <f t="shared" si="60"/>
        <v>0</v>
      </c>
      <c r="L571" s="666"/>
      <c r="M571" s="665">
        <f t="shared" si="61"/>
        <v>0</v>
      </c>
      <c r="N571" s="666">
        <f t="shared" si="57"/>
        <v>0</v>
      </c>
      <c r="O571" s="672">
        <v>0</v>
      </c>
      <c r="P571" s="668">
        <f t="shared" si="62"/>
        <v>0</v>
      </c>
    </row>
    <row r="572" spans="1:21" s="677" customFormat="1" ht="16.5" hidden="1" customHeight="1">
      <c r="A572" s="985">
        <v>38.5</v>
      </c>
      <c r="B572" s="986">
        <f t="shared" si="56"/>
        <v>0</v>
      </c>
      <c r="C572" s="987" t="s">
        <v>1536</v>
      </c>
      <c r="D572" s="993">
        <f>ROUND(Data!K1526,2)</f>
        <v>147.27000000000001</v>
      </c>
      <c r="E572" s="992" t="s">
        <v>37</v>
      </c>
      <c r="F572" s="987">
        <f t="shared" si="58"/>
        <v>0</v>
      </c>
      <c r="G572" s="994"/>
      <c r="H572" s="666">
        <f t="shared" si="59"/>
        <v>0</v>
      </c>
      <c r="I572" s="666"/>
      <c r="J572" s="666"/>
      <c r="K572" s="666">
        <f t="shared" si="60"/>
        <v>0</v>
      </c>
      <c r="L572" s="666"/>
      <c r="M572" s="665">
        <f t="shared" si="61"/>
        <v>0</v>
      </c>
      <c r="N572" s="666">
        <f t="shared" si="57"/>
        <v>0</v>
      </c>
      <c r="O572" s="672">
        <v>0</v>
      </c>
      <c r="P572" s="668">
        <f t="shared" si="62"/>
        <v>0</v>
      </c>
      <c r="Q572" s="676"/>
      <c r="R572" s="676"/>
    </row>
    <row r="573" spans="1:21" ht="63" customHeight="1">
      <c r="A573" s="985">
        <v>38.6</v>
      </c>
      <c r="B573" s="986">
        <f t="shared" si="56"/>
        <v>828</v>
      </c>
      <c r="C573" s="987" t="s">
        <v>160</v>
      </c>
      <c r="D573" s="990">
        <f>ROUND(Data!K2716,2)</f>
        <v>53.72</v>
      </c>
      <c r="E573" s="987" t="s">
        <v>37</v>
      </c>
      <c r="F573" s="987">
        <f t="shared" si="58"/>
        <v>44480.159999999996</v>
      </c>
      <c r="G573" s="989">
        <f>Detailed!H1408</f>
        <v>828</v>
      </c>
      <c r="H573" s="666">
        <f t="shared" si="59"/>
        <v>44480.159999999996</v>
      </c>
      <c r="I573" s="666"/>
      <c r="J573" s="666"/>
      <c r="K573" s="666">
        <f t="shared" si="60"/>
        <v>0</v>
      </c>
      <c r="L573" s="666"/>
      <c r="M573" s="665">
        <f t="shared" si="61"/>
        <v>828</v>
      </c>
      <c r="N573" s="666">
        <f t="shared" si="57"/>
        <v>44480.159999999996</v>
      </c>
      <c r="O573" s="672">
        <v>828</v>
      </c>
      <c r="P573" s="668">
        <f t="shared" si="62"/>
        <v>0</v>
      </c>
    </row>
    <row r="574" spans="1:21" s="677" customFormat="1" ht="73.5" hidden="1" customHeight="1">
      <c r="A574" s="985">
        <v>42</v>
      </c>
      <c r="B574" s="986">
        <f t="shared" si="56"/>
        <v>0</v>
      </c>
      <c r="C574" s="987" t="s">
        <v>1714</v>
      </c>
      <c r="D574" s="993">
        <f>ROUND(Data!K1582,2)</f>
        <v>80140.479999999996</v>
      </c>
      <c r="E574" s="992" t="s">
        <v>58</v>
      </c>
      <c r="F574" s="987">
        <f t="shared" si="58"/>
        <v>0</v>
      </c>
      <c r="G574" s="994"/>
      <c r="H574" s="666">
        <f t="shared" si="59"/>
        <v>0</v>
      </c>
      <c r="I574" s="666"/>
      <c r="J574" s="666"/>
      <c r="K574" s="666">
        <f t="shared" si="60"/>
        <v>0</v>
      </c>
      <c r="L574" s="666"/>
      <c r="M574" s="665">
        <f t="shared" si="61"/>
        <v>0</v>
      </c>
      <c r="N574" s="666">
        <f t="shared" si="57"/>
        <v>0</v>
      </c>
      <c r="O574" s="672">
        <v>0</v>
      </c>
      <c r="P574" s="668">
        <f t="shared" si="62"/>
        <v>0</v>
      </c>
      <c r="Q574" s="676"/>
      <c r="R574" s="676"/>
    </row>
    <row r="575" spans="1:21" ht="66" customHeight="1">
      <c r="A575" s="985">
        <v>43</v>
      </c>
      <c r="B575" s="1008">
        <f t="shared" si="56"/>
        <v>11.941439999999998</v>
      </c>
      <c r="C575" s="987" t="s">
        <v>1715</v>
      </c>
      <c r="D575" s="990">
        <f>ROUND(Data!K1608,2)</f>
        <v>78398</v>
      </c>
      <c r="E575" s="987" t="s">
        <v>58</v>
      </c>
      <c r="F575" s="987">
        <f t="shared" si="58"/>
        <v>936185.0131199999</v>
      </c>
      <c r="G575" s="1009">
        <f>Detailed!H1441</f>
        <v>11.941439999999998</v>
      </c>
      <c r="H575" s="666">
        <f t="shared" si="59"/>
        <v>936185.0131199999</v>
      </c>
      <c r="I575" s="666"/>
      <c r="J575" s="666"/>
      <c r="K575" s="666">
        <f t="shared" si="60"/>
        <v>0</v>
      </c>
      <c r="L575" s="666"/>
      <c r="M575" s="744">
        <f t="shared" si="61"/>
        <v>11.941439999999998</v>
      </c>
      <c r="N575" s="666">
        <f t="shared" si="57"/>
        <v>936185.0131199999</v>
      </c>
      <c r="O575" s="672">
        <v>13.667</v>
      </c>
      <c r="P575" s="668">
        <f t="shared" si="62"/>
        <v>-1.7255600000000015</v>
      </c>
    </row>
    <row r="576" spans="1:21" ht="65.25" customHeight="1">
      <c r="A576" s="985">
        <v>44.6</v>
      </c>
      <c r="B576" s="986">
        <f t="shared" si="56"/>
        <v>57</v>
      </c>
      <c r="C576" s="987" t="s">
        <v>1716</v>
      </c>
      <c r="D576" s="990">
        <f>ROUND(Data!K1638,2)</f>
        <v>321.74</v>
      </c>
      <c r="E576" s="987" t="s">
        <v>61</v>
      </c>
      <c r="F576" s="987">
        <f t="shared" si="58"/>
        <v>18339.18</v>
      </c>
      <c r="G576" s="989">
        <f>Detailed!H1451</f>
        <v>57</v>
      </c>
      <c r="H576" s="666">
        <f t="shared" si="59"/>
        <v>18339.18</v>
      </c>
      <c r="I576" s="666"/>
      <c r="J576" s="666"/>
      <c r="K576" s="666">
        <f t="shared" si="60"/>
        <v>0</v>
      </c>
      <c r="L576" s="666"/>
      <c r="M576" s="665">
        <f t="shared" si="61"/>
        <v>57</v>
      </c>
      <c r="N576" s="666">
        <f t="shared" si="57"/>
        <v>18339.18</v>
      </c>
      <c r="O576" s="672">
        <v>57</v>
      </c>
      <c r="P576" s="668">
        <f t="shared" si="62"/>
        <v>0</v>
      </c>
    </row>
    <row r="577" spans="1:19" ht="47.25" hidden="1" customHeight="1">
      <c r="A577" s="985">
        <v>50.6</v>
      </c>
      <c r="B577" s="986">
        <f t="shared" si="56"/>
        <v>0</v>
      </c>
      <c r="C577" s="1029" t="s">
        <v>71</v>
      </c>
      <c r="D577" s="990">
        <f>ROUND(Data!K2392,2)</f>
        <v>394.54</v>
      </c>
      <c r="E577" s="987" t="s">
        <v>37</v>
      </c>
      <c r="F577" s="987">
        <f t="shared" si="58"/>
        <v>0</v>
      </c>
      <c r="G577" s="989"/>
      <c r="H577" s="666">
        <f t="shared" si="59"/>
        <v>0</v>
      </c>
      <c r="I577" s="666"/>
      <c r="J577" s="666"/>
      <c r="K577" s="666">
        <f t="shared" si="60"/>
        <v>0</v>
      </c>
      <c r="L577" s="666"/>
      <c r="M577" s="665">
        <f t="shared" si="61"/>
        <v>0</v>
      </c>
      <c r="N577" s="666">
        <f t="shared" si="57"/>
        <v>0</v>
      </c>
      <c r="O577" s="672">
        <v>0</v>
      </c>
      <c r="P577" s="668">
        <f t="shared" si="62"/>
        <v>0</v>
      </c>
    </row>
    <row r="578" spans="1:19" ht="63.75" customHeight="1">
      <c r="A578" s="985">
        <v>52.4</v>
      </c>
      <c r="B578" s="986">
        <f t="shared" si="56"/>
        <v>41</v>
      </c>
      <c r="C578" s="987" t="s">
        <v>1717</v>
      </c>
      <c r="D578" s="990">
        <f>ROUND(Data!K2767,2)</f>
        <v>205.94</v>
      </c>
      <c r="E578" s="987" t="s">
        <v>61</v>
      </c>
      <c r="F578" s="987">
        <f t="shared" si="58"/>
        <v>8443.5399999999991</v>
      </c>
      <c r="G578" s="989">
        <f>Detailed!H1457</f>
        <v>41</v>
      </c>
      <c r="H578" s="666">
        <f t="shared" si="59"/>
        <v>8443.5399999999991</v>
      </c>
      <c r="I578" s="666"/>
      <c r="J578" s="666"/>
      <c r="K578" s="666">
        <f t="shared" si="60"/>
        <v>0</v>
      </c>
      <c r="L578" s="666"/>
      <c r="M578" s="665">
        <f t="shared" si="61"/>
        <v>41</v>
      </c>
      <c r="N578" s="666">
        <f t="shared" si="57"/>
        <v>8443.5399999999991</v>
      </c>
      <c r="O578" s="672">
        <v>41</v>
      </c>
      <c r="P578" s="668">
        <f t="shared" si="62"/>
        <v>0</v>
      </c>
    </row>
    <row r="579" spans="1:19" ht="55.5" hidden="1" customHeight="1">
      <c r="A579" s="985">
        <v>53.4</v>
      </c>
      <c r="B579" s="986">
        <f t="shared" si="56"/>
        <v>0</v>
      </c>
      <c r="C579" s="987" t="s">
        <v>38</v>
      </c>
      <c r="D579" s="990">
        <f>Data!K1951</f>
        <v>1846</v>
      </c>
      <c r="E579" s="987" t="s">
        <v>522</v>
      </c>
      <c r="F579" s="987">
        <f t="shared" si="58"/>
        <v>0</v>
      </c>
      <c r="G579" s="989"/>
      <c r="H579" s="666">
        <f t="shared" si="59"/>
        <v>0</v>
      </c>
      <c r="I579" s="666"/>
      <c r="J579" s="666"/>
      <c r="K579" s="666">
        <f t="shared" si="60"/>
        <v>0</v>
      </c>
      <c r="L579" s="666"/>
      <c r="M579" s="665">
        <f t="shared" si="61"/>
        <v>0</v>
      </c>
      <c r="N579" s="666">
        <f t="shared" si="57"/>
        <v>0</v>
      </c>
      <c r="O579" s="672">
        <v>0</v>
      </c>
      <c r="P579" s="668">
        <f t="shared" si="62"/>
        <v>0</v>
      </c>
    </row>
    <row r="580" spans="1:19" ht="45.75" customHeight="1">
      <c r="A580" s="985"/>
      <c r="B580" s="986">
        <f t="shared" si="56"/>
        <v>6</v>
      </c>
      <c r="C580" s="987" t="s">
        <v>1718</v>
      </c>
      <c r="D580" s="990">
        <f>Data!K3569</f>
        <v>3104.82</v>
      </c>
      <c r="E580" s="987" t="s">
        <v>522</v>
      </c>
      <c r="F580" s="987">
        <f t="shared" si="58"/>
        <v>18628.920000000002</v>
      </c>
      <c r="G580" s="989">
        <f>Detailed!H1462</f>
        <v>6</v>
      </c>
      <c r="H580" s="666">
        <f t="shared" si="59"/>
        <v>18628.920000000002</v>
      </c>
      <c r="I580" s="666"/>
      <c r="J580" s="666"/>
      <c r="K580" s="666">
        <f t="shared" si="60"/>
        <v>0</v>
      </c>
      <c r="L580" s="666"/>
      <c r="M580" s="665">
        <f t="shared" si="61"/>
        <v>6</v>
      </c>
      <c r="N580" s="666">
        <f t="shared" si="57"/>
        <v>18628.920000000002</v>
      </c>
      <c r="O580" s="672">
        <v>6</v>
      </c>
      <c r="P580" s="668">
        <f t="shared" si="62"/>
        <v>0</v>
      </c>
    </row>
    <row r="581" spans="1:19" s="677" customFormat="1" ht="88.5" hidden="1" customHeight="1">
      <c r="A581" s="985">
        <v>54.3</v>
      </c>
      <c r="B581" s="986">
        <f t="shared" si="56"/>
        <v>0</v>
      </c>
      <c r="C581" s="987" t="s">
        <v>1719</v>
      </c>
      <c r="D581" s="993">
        <f>ROUND(Data!K1954,2)</f>
        <v>204</v>
      </c>
      <c r="E581" s="992" t="s">
        <v>522</v>
      </c>
      <c r="F581" s="987">
        <f t="shared" si="58"/>
        <v>0</v>
      </c>
      <c r="G581" s="994"/>
      <c r="H581" s="666">
        <f t="shared" si="59"/>
        <v>0</v>
      </c>
      <c r="I581" s="666"/>
      <c r="J581" s="666"/>
      <c r="K581" s="666">
        <f t="shared" si="60"/>
        <v>0</v>
      </c>
      <c r="L581" s="666"/>
      <c r="M581" s="665">
        <f t="shared" si="61"/>
        <v>0</v>
      </c>
      <c r="N581" s="666">
        <f t="shared" si="57"/>
        <v>0</v>
      </c>
      <c r="O581" s="672">
        <v>0</v>
      </c>
      <c r="P581" s="668">
        <f t="shared" si="62"/>
        <v>0</v>
      </c>
      <c r="Q581" s="676"/>
      <c r="R581" s="676"/>
    </row>
    <row r="582" spans="1:19" s="677" customFormat="1" ht="72.75" hidden="1" customHeight="1">
      <c r="A582" s="985">
        <v>56.3</v>
      </c>
      <c r="B582" s="986">
        <f t="shared" si="56"/>
        <v>0</v>
      </c>
      <c r="C582" s="987" t="s">
        <v>1167</v>
      </c>
      <c r="D582" s="993">
        <f>ROUND(Data!K1977,2)</f>
        <v>3085.18</v>
      </c>
      <c r="E582" s="992" t="s">
        <v>522</v>
      </c>
      <c r="F582" s="987">
        <f t="shared" si="58"/>
        <v>0</v>
      </c>
      <c r="G582" s="994"/>
      <c r="H582" s="666">
        <f t="shared" si="59"/>
        <v>0</v>
      </c>
      <c r="I582" s="666"/>
      <c r="J582" s="666"/>
      <c r="K582" s="666">
        <f t="shared" si="60"/>
        <v>0</v>
      </c>
      <c r="L582" s="666"/>
      <c r="M582" s="665">
        <f t="shared" si="61"/>
        <v>0</v>
      </c>
      <c r="N582" s="666">
        <f t="shared" si="57"/>
        <v>0</v>
      </c>
      <c r="O582" s="672">
        <v>0</v>
      </c>
      <c r="P582" s="668">
        <f t="shared" si="62"/>
        <v>0</v>
      </c>
      <c r="Q582" s="676"/>
      <c r="R582" s="676"/>
    </row>
    <row r="583" spans="1:19" s="677" customFormat="1" ht="86.25" hidden="1" customHeight="1">
      <c r="A583" s="985">
        <v>56.4</v>
      </c>
      <c r="B583" s="986">
        <f t="shared" ref="B583:B646" si="63">M583</f>
        <v>0</v>
      </c>
      <c r="C583" s="987" t="s">
        <v>1720</v>
      </c>
      <c r="D583" s="993">
        <f>ROUND(Data!K1998,2)</f>
        <v>4869.57</v>
      </c>
      <c r="E583" s="992" t="s">
        <v>522</v>
      </c>
      <c r="F583" s="987">
        <f t="shared" si="58"/>
        <v>0</v>
      </c>
      <c r="G583" s="994"/>
      <c r="H583" s="666">
        <f t="shared" si="59"/>
        <v>0</v>
      </c>
      <c r="I583" s="666"/>
      <c r="J583" s="666"/>
      <c r="K583" s="666">
        <f t="shared" si="60"/>
        <v>0</v>
      </c>
      <c r="L583" s="666"/>
      <c r="M583" s="665">
        <f t="shared" si="61"/>
        <v>0</v>
      </c>
      <c r="N583" s="666">
        <f t="shared" ref="N583:N646" si="64">M583*D583</f>
        <v>0</v>
      </c>
      <c r="O583" s="672">
        <v>0</v>
      </c>
      <c r="P583" s="668">
        <f t="shared" si="62"/>
        <v>0</v>
      </c>
      <c r="Q583" s="676"/>
      <c r="R583" s="676"/>
    </row>
    <row r="584" spans="1:19" ht="43.5" customHeight="1">
      <c r="A584" s="985">
        <v>58.3</v>
      </c>
      <c r="B584" s="986">
        <f t="shared" si="63"/>
        <v>0</v>
      </c>
      <c r="C584" s="995" t="s">
        <v>1721</v>
      </c>
      <c r="D584" s="990"/>
      <c r="E584" s="1042"/>
      <c r="F584" s="987">
        <f t="shared" ref="F584:F647" si="65">B584*D584</f>
        <v>0</v>
      </c>
      <c r="G584" s="1043"/>
      <c r="H584" s="666">
        <f t="shared" ref="H584:H648" si="66">G584*D584</f>
        <v>0</v>
      </c>
      <c r="I584" s="666"/>
      <c r="J584" s="666"/>
      <c r="K584" s="666">
        <f t="shared" ref="K584:K647" si="67">I584</f>
        <v>0</v>
      </c>
      <c r="L584" s="666"/>
      <c r="M584" s="665">
        <f t="shared" ref="M584:M647" si="68">G584</f>
        <v>0</v>
      </c>
      <c r="N584" s="666">
        <f t="shared" si="64"/>
        <v>0</v>
      </c>
      <c r="O584" s="668">
        <v>0</v>
      </c>
      <c r="P584" s="668">
        <f t="shared" ref="P584:P647" si="69">M584-O584</f>
        <v>0</v>
      </c>
      <c r="Q584" s="678"/>
      <c r="S584" s="679"/>
    </row>
    <row r="585" spans="1:19" ht="48" customHeight="1">
      <c r="A585" s="985"/>
      <c r="B585" s="986">
        <f t="shared" si="63"/>
        <v>75</v>
      </c>
      <c r="C585" s="987" t="s">
        <v>1572</v>
      </c>
      <c r="D585" s="990">
        <f>ROUND(Data!K2063,2)</f>
        <v>657.29</v>
      </c>
      <c r="E585" s="987" t="s">
        <v>61</v>
      </c>
      <c r="F585" s="987">
        <f t="shared" si="65"/>
        <v>49296.75</v>
      </c>
      <c r="G585" s="989">
        <f>Detailed!H1475</f>
        <v>75</v>
      </c>
      <c r="H585" s="666">
        <f t="shared" si="66"/>
        <v>49296.75</v>
      </c>
      <c r="I585" s="666"/>
      <c r="J585" s="666"/>
      <c r="K585" s="666">
        <f t="shared" si="67"/>
        <v>0</v>
      </c>
      <c r="L585" s="666"/>
      <c r="M585" s="665">
        <f t="shared" si="68"/>
        <v>75</v>
      </c>
      <c r="N585" s="666">
        <f t="shared" si="64"/>
        <v>49296.75</v>
      </c>
      <c r="O585" s="672">
        <v>75</v>
      </c>
      <c r="P585" s="668">
        <f t="shared" si="69"/>
        <v>0</v>
      </c>
    </row>
    <row r="586" spans="1:19" ht="48" customHeight="1">
      <c r="A586" s="990"/>
      <c r="B586" s="986">
        <f t="shared" si="63"/>
        <v>66</v>
      </c>
      <c r="C586" s="987" t="s">
        <v>1573</v>
      </c>
      <c r="D586" s="990">
        <f>ROUND(Data!K2087,2)</f>
        <v>541.41999999999996</v>
      </c>
      <c r="E586" s="987" t="s">
        <v>61</v>
      </c>
      <c r="F586" s="987">
        <f t="shared" si="65"/>
        <v>35733.719999999994</v>
      </c>
      <c r="G586" s="989">
        <f>Detailed!H1483</f>
        <v>66</v>
      </c>
      <c r="H586" s="666">
        <f t="shared" si="66"/>
        <v>35733.719999999994</v>
      </c>
      <c r="I586" s="666"/>
      <c r="J586" s="666"/>
      <c r="K586" s="666">
        <f t="shared" si="67"/>
        <v>0</v>
      </c>
      <c r="L586" s="666"/>
      <c r="M586" s="665">
        <f t="shared" si="68"/>
        <v>66</v>
      </c>
      <c r="N586" s="666">
        <f t="shared" si="64"/>
        <v>35733.719999999994</v>
      </c>
      <c r="O586" s="672">
        <v>66</v>
      </c>
      <c r="P586" s="668">
        <f t="shared" si="69"/>
        <v>0</v>
      </c>
    </row>
    <row r="587" spans="1:19" ht="78.75" customHeight="1">
      <c r="A587" s="985">
        <v>58.4</v>
      </c>
      <c r="B587" s="986">
        <f t="shared" si="63"/>
        <v>6</v>
      </c>
      <c r="C587" s="987" t="s">
        <v>1722</v>
      </c>
      <c r="D587" s="990">
        <f>ROUND(Data!K2888,2)</f>
        <v>81.2</v>
      </c>
      <c r="E587" s="1042" t="s">
        <v>61</v>
      </c>
      <c r="F587" s="987">
        <f t="shared" si="65"/>
        <v>487.20000000000005</v>
      </c>
      <c r="G587" s="1043">
        <f>Detailed!H1487</f>
        <v>6</v>
      </c>
      <c r="H587" s="666">
        <f t="shared" si="66"/>
        <v>487.20000000000005</v>
      </c>
      <c r="I587" s="666"/>
      <c r="J587" s="666"/>
      <c r="K587" s="666">
        <f t="shared" si="67"/>
        <v>0</v>
      </c>
      <c r="L587" s="666"/>
      <c r="M587" s="665">
        <f t="shared" si="68"/>
        <v>6</v>
      </c>
      <c r="N587" s="666">
        <f t="shared" si="64"/>
        <v>487.20000000000005</v>
      </c>
      <c r="O587" s="672">
        <v>6</v>
      </c>
      <c r="P587" s="668">
        <f t="shared" si="69"/>
        <v>0</v>
      </c>
    </row>
    <row r="588" spans="1:19" ht="61.5" hidden="1" customHeight="1">
      <c r="A588" s="985">
        <v>58.5</v>
      </c>
      <c r="B588" s="986">
        <f t="shared" si="63"/>
        <v>0</v>
      </c>
      <c r="C588" s="987" t="s">
        <v>1723</v>
      </c>
      <c r="D588" s="990">
        <f>ROUND(Data!K2098,2)</f>
        <v>450.1</v>
      </c>
      <c r="E588" s="1042" t="s">
        <v>522</v>
      </c>
      <c r="F588" s="987">
        <f t="shared" si="65"/>
        <v>0</v>
      </c>
      <c r="G588" s="1043"/>
      <c r="H588" s="666">
        <f t="shared" si="66"/>
        <v>0</v>
      </c>
      <c r="I588" s="666"/>
      <c r="J588" s="666"/>
      <c r="K588" s="666">
        <f t="shared" si="67"/>
        <v>0</v>
      </c>
      <c r="L588" s="666"/>
      <c r="M588" s="665">
        <f t="shared" si="68"/>
        <v>0</v>
      </c>
      <c r="N588" s="666">
        <f t="shared" si="64"/>
        <v>0</v>
      </c>
      <c r="O588" s="672">
        <v>0</v>
      </c>
      <c r="P588" s="668">
        <f t="shared" si="69"/>
        <v>0</v>
      </c>
    </row>
    <row r="589" spans="1:19" ht="92.25" customHeight="1">
      <c r="A589" s="985"/>
      <c r="B589" s="986">
        <f t="shared" si="63"/>
        <v>0</v>
      </c>
      <c r="C589" s="995" t="s">
        <v>1724</v>
      </c>
      <c r="D589" s="990"/>
      <c r="E589" s="1042"/>
      <c r="F589" s="987">
        <f t="shared" si="65"/>
        <v>0</v>
      </c>
      <c r="G589" s="1043"/>
      <c r="H589" s="666">
        <f t="shared" si="66"/>
        <v>0</v>
      </c>
      <c r="I589" s="666"/>
      <c r="J589" s="666"/>
      <c r="K589" s="666">
        <f t="shared" si="67"/>
        <v>0</v>
      </c>
      <c r="L589" s="666"/>
      <c r="M589" s="665">
        <f t="shared" si="68"/>
        <v>0</v>
      </c>
      <c r="N589" s="666">
        <f t="shared" si="64"/>
        <v>0</v>
      </c>
      <c r="O589" s="668">
        <v>0</v>
      </c>
      <c r="P589" s="668">
        <f t="shared" si="69"/>
        <v>0</v>
      </c>
    </row>
    <row r="590" spans="1:19" ht="47.25" customHeight="1">
      <c r="A590" s="985"/>
      <c r="B590" s="986">
        <f t="shared" si="63"/>
        <v>39</v>
      </c>
      <c r="C590" s="987" t="s">
        <v>168</v>
      </c>
      <c r="D590" s="990">
        <f>Data!K2261</f>
        <v>1499.29</v>
      </c>
      <c r="E590" s="1044" t="s">
        <v>522</v>
      </c>
      <c r="F590" s="987">
        <f t="shared" si="65"/>
        <v>58472.31</v>
      </c>
      <c r="G590" s="1043">
        <f>Detailed!H1516</f>
        <v>39</v>
      </c>
      <c r="H590" s="666">
        <f t="shared" si="66"/>
        <v>58472.31</v>
      </c>
      <c r="I590" s="666"/>
      <c r="J590" s="666"/>
      <c r="K590" s="666">
        <f t="shared" si="67"/>
        <v>0</v>
      </c>
      <c r="L590" s="666"/>
      <c r="M590" s="665">
        <f t="shared" si="68"/>
        <v>39</v>
      </c>
      <c r="N590" s="666">
        <f t="shared" si="64"/>
        <v>58472.31</v>
      </c>
      <c r="O590" s="672">
        <v>39</v>
      </c>
      <c r="P590" s="668">
        <f t="shared" si="69"/>
        <v>0</v>
      </c>
    </row>
    <row r="591" spans="1:19" ht="47.25" customHeight="1">
      <c r="A591" s="985"/>
      <c r="B591" s="986">
        <f t="shared" si="63"/>
        <v>23</v>
      </c>
      <c r="C591" s="987" t="s">
        <v>170</v>
      </c>
      <c r="D591" s="990">
        <f>Data!K2262</f>
        <v>1503.34</v>
      </c>
      <c r="E591" s="1044" t="s">
        <v>522</v>
      </c>
      <c r="F591" s="987">
        <f t="shared" si="65"/>
        <v>34576.82</v>
      </c>
      <c r="G591" s="1043">
        <f>Detailed!H1537</f>
        <v>23</v>
      </c>
      <c r="H591" s="666">
        <f t="shared" si="66"/>
        <v>34576.82</v>
      </c>
      <c r="I591" s="666"/>
      <c r="J591" s="666"/>
      <c r="K591" s="666">
        <f t="shared" si="67"/>
        <v>0</v>
      </c>
      <c r="L591" s="666"/>
      <c r="M591" s="665">
        <f t="shared" si="68"/>
        <v>23</v>
      </c>
      <c r="N591" s="666">
        <f t="shared" si="64"/>
        <v>34576.82</v>
      </c>
      <c r="O591" s="672">
        <v>23</v>
      </c>
      <c r="P591" s="668">
        <f t="shared" si="69"/>
        <v>0</v>
      </c>
    </row>
    <row r="592" spans="1:19" ht="47.25" customHeight="1">
      <c r="A592" s="990"/>
      <c r="B592" s="986">
        <f t="shared" si="63"/>
        <v>2</v>
      </c>
      <c r="C592" s="987" t="s">
        <v>1591</v>
      </c>
      <c r="D592" s="990">
        <f>Data!K2263</f>
        <v>1531.07</v>
      </c>
      <c r="E592" s="1044" t="s">
        <v>522</v>
      </c>
      <c r="F592" s="987">
        <f t="shared" si="65"/>
        <v>3062.14</v>
      </c>
      <c r="G592" s="1043">
        <f>Detailed!H1541</f>
        <v>2</v>
      </c>
      <c r="H592" s="666">
        <f t="shared" si="66"/>
        <v>3062.14</v>
      </c>
      <c r="I592" s="666"/>
      <c r="J592" s="666"/>
      <c r="K592" s="666">
        <f t="shared" si="67"/>
        <v>0</v>
      </c>
      <c r="L592" s="666"/>
      <c r="M592" s="665">
        <f t="shared" si="68"/>
        <v>2</v>
      </c>
      <c r="N592" s="666">
        <f t="shared" si="64"/>
        <v>3062.14</v>
      </c>
      <c r="O592" s="672">
        <v>2</v>
      </c>
      <c r="P592" s="668">
        <f t="shared" si="69"/>
        <v>0</v>
      </c>
    </row>
    <row r="593" spans="1:18" ht="90.75" customHeight="1">
      <c r="A593" s="985">
        <v>65.099999999999994</v>
      </c>
      <c r="B593" s="986">
        <f t="shared" si="63"/>
        <v>17</v>
      </c>
      <c r="C593" s="987" t="s">
        <v>1725</v>
      </c>
      <c r="D593" s="990">
        <f>Data!K2264</f>
        <v>1565.5</v>
      </c>
      <c r="E593" s="1044" t="s">
        <v>522</v>
      </c>
      <c r="F593" s="987">
        <f t="shared" si="65"/>
        <v>26613.5</v>
      </c>
      <c r="G593" s="1043">
        <f>Detailed!H1555</f>
        <v>17</v>
      </c>
      <c r="H593" s="666">
        <f t="shared" si="66"/>
        <v>26613.5</v>
      </c>
      <c r="I593" s="666"/>
      <c r="J593" s="666"/>
      <c r="K593" s="666">
        <f t="shared" si="67"/>
        <v>0</v>
      </c>
      <c r="L593" s="666"/>
      <c r="M593" s="665">
        <f t="shared" si="68"/>
        <v>17</v>
      </c>
      <c r="N593" s="666">
        <f t="shared" si="64"/>
        <v>26613.5</v>
      </c>
      <c r="O593" s="672">
        <v>17</v>
      </c>
      <c r="P593" s="668">
        <f t="shared" si="69"/>
        <v>0</v>
      </c>
    </row>
    <row r="594" spans="1:18" ht="93" customHeight="1">
      <c r="A594" s="985">
        <v>66.099999999999994</v>
      </c>
      <c r="B594" s="986">
        <f t="shared" si="63"/>
        <v>2</v>
      </c>
      <c r="C594" s="987" t="s">
        <v>1726</v>
      </c>
      <c r="D594" s="990">
        <f>Data!K2265</f>
        <v>2802.19</v>
      </c>
      <c r="E594" s="1044" t="s">
        <v>522</v>
      </c>
      <c r="F594" s="987">
        <f t="shared" si="65"/>
        <v>5604.38</v>
      </c>
      <c r="G594" s="1043">
        <f>Detailed!H1559</f>
        <v>2</v>
      </c>
      <c r="H594" s="666">
        <f t="shared" si="66"/>
        <v>5604.38</v>
      </c>
      <c r="I594" s="666"/>
      <c r="J594" s="666"/>
      <c r="K594" s="666">
        <f t="shared" si="67"/>
        <v>0</v>
      </c>
      <c r="L594" s="666"/>
      <c r="M594" s="665">
        <f t="shared" si="68"/>
        <v>2</v>
      </c>
      <c r="N594" s="666">
        <f t="shared" si="64"/>
        <v>5604.38</v>
      </c>
      <c r="O594" s="672">
        <v>2</v>
      </c>
      <c r="P594" s="668">
        <f t="shared" si="69"/>
        <v>0</v>
      </c>
    </row>
    <row r="595" spans="1:18" ht="120.75" customHeight="1">
      <c r="A595" s="985">
        <v>67.099999999999994</v>
      </c>
      <c r="B595" s="986">
        <f t="shared" si="63"/>
        <v>14</v>
      </c>
      <c r="C595" s="987" t="s">
        <v>1727</v>
      </c>
      <c r="D595" s="990">
        <f>Data!K2266</f>
        <v>764.91</v>
      </c>
      <c r="E595" s="1044" t="s">
        <v>522</v>
      </c>
      <c r="F595" s="987">
        <f t="shared" si="65"/>
        <v>10708.74</v>
      </c>
      <c r="G595" s="1043">
        <f>Detailed!H1575</f>
        <v>14</v>
      </c>
      <c r="H595" s="666">
        <f t="shared" si="66"/>
        <v>10708.74</v>
      </c>
      <c r="I595" s="666"/>
      <c r="J595" s="666"/>
      <c r="K595" s="666">
        <f t="shared" si="67"/>
        <v>0</v>
      </c>
      <c r="L595" s="666"/>
      <c r="M595" s="665">
        <f t="shared" si="68"/>
        <v>14</v>
      </c>
      <c r="N595" s="666">
        <f t="shared" si="64"/>
        <v>10708.74</v>
      </c>
      <c r="O595" s="672">
        <v>14</v>
      </c>
      <c r="P595" s="668">
        <f t="shared" si="69"/>
        <v>0</v>
      </c>
    </row>
    <row r="596" spans="1:18" ht="114.75" customHeight="1">
      <c r="A596" s="985">
        <v>68.2</v>
      </c>
      <c r="B596" s="986">
        <f t="shared" si="63"/>
        <v>14</v>
      </c>
      <c r="C596" s="987" t="s">
        <v>1728</v>
      </c>
      <c r="D596" s="990">
        <f>Data!K2267</f>
        <v>1041.2</v>
      </c>
      <c r="E596" s="1044" t="s">
        <v>522</v>
      </c>
      <c r="F596" s="987">
        <f t="shared" si="65"/>
        <v>14576.800000000001</v>
      </c>
      <c r="G596" s="1043">
        <f>Detailed!H1587</f>
        <v>14</v>
      </c>
      <c r="H596" s="666">
        <f t="shared" si="66"/>
        <v>14576.800000000001</v>
      </c>
      <c r="I596" s="666"/>
      <c r="J596" s="666"/>
      <c r="K596" s="666">
        <f t="shared" si="67"/>
        <v>0</v>
      </c>
      <c r="L596" s="666"/>
      <c r="M596" s="665">
        <f t="shared" si="68"/>
        <v>14</v>
      </c>
      <c r="N596" s="666">
        <f t="shared" si="64"/>
        <v>14576.800000000001</v>
      </c>
      <c r="O596" s="672">
        <v>14</v>
      </c>
      <c r="P596" s="668">
        <f t="shared" si="69"/>
        <v>0</v>
      </c>
    </row>
    <row r="597" spans="1:18" s="677" customFormat="1" ht="60.75" hidden="1" customHeight="1">
      <c r="A597" s="985">
        <v>70.5</v>
      </c>
      <c r="B597" s="986">
        <f t="shared" si="63"/>
        <v>0</v>
      </c>
      <c r="C597" s="987" t="s">
        <v>1729</v>
      </c>
      <c r="D597" s="993">
        <f>[8]Elec.Data!K3781</f>
        <v>501.49</v>
      </c>
      <c r="E597" s="1039" t="s">
        <v>522</v>
      </c>
      <c r="F597" s="987">
        <f t="shared" si="65"/>
        <v>0</v>
      </c>
      <c r="G597" s="1036"/>
      <c r="H597" s="666">
        <f t="shared" si="66"/>
        <v>0</v>
      </c>
      <c r="I597" s="666"/>
      <c r="J597" s="666"/>
      <c r="K597" s="666">
        <f t="shared" si="67"/>
        <v>0</v>
      </c>
      <c r="L597" s="666"/>
      <c r="M597" s="665">
        <f t="shared" si="68"/>
        <v>0</v>
      </c>
      <c r="N597" s="666">
        <f t="shared" si="64"/>
        <v>0</v>
      </c>
      <c r="O597" s="672">
        <v>0</v>
      </c>
      <c r="P597" s="668">
        <f t="shared" si="69"/>
        <v>0</v>
      </c>
      <c r="Q597" s="676"/>
      <c r="R597" s="676"/>
    </row>
    <row r="598" spans="1:18" ht="63.75" customHeight="1">
      <c r="A598" s="990"/>
      <c r="B598" s="986">
        <f t="shared" si="63"/>
        <v>17</v>
      </c>
      <c r="C598" s="987" t="s">
        <v>1730</v>
      </c>
      <c r="D598" s="990">
        <f>ROUND(Data!K3038,2)</f>
        <v>1437.4</v>
      </c>
      <c r="E598" s="1044" t="s">
        <v>522</v>
      </c>
      <c r="F598" s="987">
        <f t="shared" si="65"/>
        <v>24435.800000000003</v>
      </c>
      <c r="G598" s="1043">
        <f>Detailed!H1592</f>
        <v>17</v>
      </c>
      <c r="H598" s="666">
        <f t="shared" si="66"/>
        <v>24435.800000000003</v>
      </c>
      <c r="I598" s="666"/>
      <c r="J598" s="666"/>
      <c r="K598" s="666">
        <f t="shared" si="67"/>
        <v>0</v>
      </c>
      <c r="L598" s="666"/>
      <c r="M598" s="665">
        <f t="shared" si="68"/>
        <v>17</v>
      </c>
      <c r="N598" s="666">
        <f t="shared" si="64"/>
        <v>24435.800000000003</v>
      </c>
      <c r="O598" s="672">
        <v>17</v>
      </c>
      <c r="P598" s="668">
        <f t="shared" si="69"/>
        <v>0</v>
      </c>
    </row>
    <row r="599" spans="1:18" ht="87" hidden="1" customHeight="1">
      <c r="A599" s="990"/>
      <c r="B599" s="986">
        <f t="shared" si="63"/>
        <v>0</v>
      </c>
      <c r="C599" s="987" t="s">
        <v>1731</v>
      </c>
      <c r="D599" s="990">
        <f>Data!K2283</f>
        <v>246.68</v>
      </c>
      <c r="E599" s="1042" t="s">
        <v>61</v>
      </c>
      <c r="F599" s="987">
        <f t="shared" si="65"/>
        <v>0</v>
      </c>
      <c r="G599" s="1043"/>
      <c r="H599" s="666">
        <f t="shared" si="66"/>
        <v>0</v>
      </c>
      <c r="I599" s="666"/>
      <c r="J599" s="666"/>
      <c r="K599" s="666">
        <f t="shared" si="67"/>
        <v>0</v>
      </c>
      <c r="L599" s="666"/>
      <c r="M599" s="665">
        <f t="shared" si="68"/>
        <v>0</v>
      </c>
      <c r="N599" s="666">
        <f t="shared" si="64"/>
        <v>0</v>
      </c>
      <c r="O599" s="672">
        <v>0</v>
      </c>
      <c r="P599" s="668">
        <f t="shared" si="69"/>
        <v>0</v>
      </c>
    </row>
    <row r="600" spans="1:18" s="677" customFormat="1" ht="84.75" hidden="1" customHeight="1">
      <c r="A600" s="985">
        <v>77.5</v>
      </c>
      <c r="B600" s="986">
        <f t="shared" si="63"/>
        <v>0</v>
      </c>
      <c r="C600" s="987" t="s">
        <v>1732</v>
      </c>
      <c r="D600" s="993">
        <f>ROUND(Data!K2282,2)</f>
        <v>192.58</v>
      </c>
      <c r="E600" s="1045" t="s">
        <v>61</v>
      </c>
      <c r="F600" s="987">
        <f t="shared" si="65"/>
        <v>0</v>
      </c>
      <c r="G600" s="1036"/>
      <c r="H600" s="666">
        <f t="shared" si="66"/>
        <v>0</v>
      </c>
      <c r="I600" s="666"/>
      <c r="J600" s="666"/>
      <c r="K600" s="666">
        <f t="shared" si="67"/>
        <v>0</v>
      </c>
      <c r="L600" s="666"/>
      <c r="M600" s="665">
        <f t="shared" si="68"/>
        <v>0</v>
      </c>
      <c r="N600" s="666">
        <f t="shared" si="64"/>
        <v>0</v>
      </c>
      <c r="O600" s="672">
        <v>0</v>
      </c>
      <c r="P600" s="668">
        <f t="shared" si="69"/>
        <v>0</v>
      </c>
      <c r="Q600" s="676"/>
      <c r="R600" s="676"/>
    </row>
    <row r="601" spans="1:18" ht="102" hidden="1" customHeight="1">
      <c r="A601" s="991"/>
      <c r="B601" s="986">
        <f t="shared" si="63"/>
        <v>0</v>
      </c>
      <c r="C601" s="992" t="s">
        <v>1731</v>
      </c>
      <c r="D601" s="993">
        <f>ROUND(Data!K2283,2)</f>
        <v>246.68</v>
      </c>
      <c r="E601" s="1045" t="s">
        <v>61</v>
      </c>
      <c r="F601" s="987">
        <f t="shared" si="65"/>
        <v>0</v>
      </c>
      <c r="G601" s="1036"/>
      <c r="H601" s="666">
        <f t="shared" si="66"/>
        <v>0</v>
      </c>
      <c r="I601" s="666"/>
      <c r="J601" s="666"/>
      <c r="K601" s="666">
        <f t="shared" si="67"/>
        <v>0</v>
      </c>
      <c r="L601" s="666"/>
      <c r="M601" s="665">
        <f t="shared" si="68"/>
        <v>0</v>
      </c>
      <c r="N601" s="666">
        <f t="shared" si="64"/>
        <v>0</v>
      </c>
      <c r="O601" s="672">
        <v>0</v>
      </c>
      <c r="P601" s="668">
        <f t="shared" si="69"/>
        <v>0</v>
      </c>
    </row>
    <row r="602" spans="1:18" ht="71.25" customHeight="1">
      <c r="A602" s="985"/>
      <c r="B602" s="986">
        <f t="shared" si="63"/>
        <v>30</v>
      </c>
      <c r="C602" s="987" t="s">
        <v>397</v>
      </c>
      <c r="D602" s="990">
        <f>[8]Elec.Data!K3539</f>
        <v>251.18</v>
      </c>
      <c r="E602" s="1042" t="s">
        <v>61</v>
      </c>
      <c r="F602" s="987">
        <f t="shared" si="65"/>
        <v>7535.4000000000005</v>
      </c>
      <c r="G602" s="1043">
        <f>Detailed!H1606</f>
        <v>30</v>
      </c>
      <c r="H602" s="666">
        <f t="shared" si="66"/>
        <v>7535.4000000000005</v>
      </c>
      <c r="I602" s="666"/>
      <c r="J602" s="666"/>
      <c r="K602" s="666">
        <f t="shared" si="67"/>
        <v>0</v>
      </c>
      <c r="L602" s="666"/>
      <c r="M602" s="665">
        <f t="shared" si="68"/>
        <v>30</v>
      </c>
      <c r="N602" s="666">
        <f t="shared" si="64"/>
        <v>7535.4000000000005</v>
      </c>
      <c r="O602" s="672">
        <v>30</v>
      </c>
      <c r="P602" s="668">
        <f t="shared" si="69"/>
        <v>0</v>
      </c>
    </row>
    <row r="603" spans="1:18" s="677" customFormat="1" ht="91.5" customHeight="1">
      <c r="A603" s="985"/>
      <c r="B603" s="986">
        <f t="shared" si="63"/>
        <v>175</v>
      </c>
      <c r="C603" s="987" t="s">
        <v>1134</v>
      </c>
      <c r="D603" s="990">
        <f>D921</f>
        <v>209.78</v>
      </c>
      <c r="E603" s="1046" t="s">
        <v>61</v>
      </c>
      <c r="F603" s="987">
        <f t="shared" si="65"/>
        <v>36711.5</v>
      </c>
      <c r="G603" s="989">
        <f>Detailed!H1602</f>
        <v>175</v>
      </c>
      <c r="H603" s="666">
        <f t="shared" si="66"/>
        <v>36711.5</v>
      </c>
      <c r="I603" s="666"/>
      <c r="J603" s="666"/>
      <c r="K603" s="666">
        <f t="shared" si="67"/>
        <v>0</v>
      </c>
      <c r="L603" s="666"/>
      <c r="M603" s="665">
        <f t="shared" si="68"/>
        <v>175</v>
      </c>
      <c r="N603" s="666">
        <f t="shared" si="64"/>
        <v>36711.5</v>
      </c>
      <c r="O603" s="672">
        <v>0</v>
      </c>
      <c r="P603" s="668">
        <f t="shared" si="69"/>
        <v>175</v>
      </c>
      <c r="Q603" s="676"/>
      <c r="R603" s="676"/>
    </row>
    <row r="604" spans="1:18" s="677" customFormat="1" ht="59.25" hidden="1" customHeight="1">
      <c r="A604" s="985"/>
      <c r="B604" s="986">
        <f t="shared" si="63"/>
        <v>0</v>
      </c>
      <c r="C604" s="1047" t="s">
        <v>1733</v>
      </c>
      <c r="D604" s="993">
        <f>[8]Elec.Data!R3119</f>
        <v>457.07</v>
      </c>
      <c r="E604" s="1048" t="s">
        <v>61</v>
      </c>
      <c r="F604" s="987">
        <f t="shared" si="65"/>
        <v>0</v>
      </c>
      <c r="G604" s="994"/>
      <c r="H604" s="666">
        <f t="shared" si="66"/>
        <v>0</v>
      </c>
      <c r="I604" s="666"/>
      <c r="J604" s="666"/>
      <c r="K604" s="666">
        <f t="shared" si="67"/>
        <v>0</v>
      </c>
      <c r="L604" s="666"/>
      <c r="M604" s="665">
        <f t="shared" si="68"/>
        <v>0</v>
      </c>
      <c r="N604" s="666">
        <f t="shared" si="64"/>
        <v>0</v>
      </c>
      <c r="O604" s="672">
        <v>0</v>
      </c>
      <c r="P604" s="668">
        <f t="shared" si="69"/>
        <v>0</v>
      </c>
      <c r="Q604" s="676"/>
      <c r="R604" s="676"/>
    </row>
    <row r="605" spans="1:18" s="677" customFormat="1" ht="66.75" hidden="1" customHeight="1">
      <c r="A605" s="985"/>
      <c r="B605" s="986">
        <f t="shared" si="63"/>
        <v>0</v>
      </c>
      <c r="C605" s="1047" t="s">
        <v>1734</v>
      </c>
      <c r="D605" s="993">
        <f>[8]Elec.Data!R3133</f>
        <v>589.27</v>
      </c>
      <c r="E605" s="1048" t="s">
        <v>61</v>
      </c>
      <c r="F605" s="987">
        <f t="shared" si="65"/>
        <v>0</v>
      </c>
      <c r="G605" s="994"/>
      <c r="H605" s="666">
        <f t="shared" si="66"/>
        <v>0</v>
      </c>
      <c r="I605" s="666"/>
      <c r="J605" s="666"/>
      <c r="K605" s="666">
        <f t="shared" si="67"/>
        <v>0</v>
      </c>
      <c r="L605" s="666"/>
      <c r="M605" s="665">
        <f t="shared" si="68"/>
        <v>0</v>
      </c>
      <c r="N605" s="666">
        <f t="shared" si="64"/>
        <v>0</v>
      </c>
      <c r="O605" s="672">
        <v>0</v>
      </c>
      <c r="P605" s="668">
        <f t="shared" si="69"/>
        <v>0</v>
      </c>
      <c r="Q605" s="676"/>
      <c r="R605" s="676"/>
    </row>
    <row r="606" spans="1:18" ht="42" customHeight="1">
      <c r="A606" s="985">
        <v>112.1</v>
      </c>
      <c r="B606" s="986">
        <f t="shared" si="63"/>
        <v>5</v>
      </c>
      <c r="C606" s="987" t="s">
        <v>1735</v>
      </c>
      <c r="D606" s="990">
        <f>Data!K3018</f>
        <v>1942.75</v>
      </c>
      <c r="E606" s="1044" t="s">
        <v>522</v>
      </c>
      <c r="F606" s="987">
        <f t="shared" si="65"/>
        <v>9713.75</v>
      </c>
      <c r="G606" s="1043">
        <f>Detailed!H1634</f>
        <v>5</v>
      </c>
      <c r="H606" s="666">
        <f t="shared" si="66"/>
        <v>9713.75</v>
      </c>
      <c r="I606" s="666"/>
      <c r="J606" s="666"/>
      <c r="K606" s="666">
        <f t="shared" si="67"/>
        <v>0</v>
      </c>
      <c r="L606" s="666"/>
      <c r="M606" s="665">
        <f t="shared" si="68"/>
        <v>5</v>
      </c>
      <c r="N606" s="666">
        <f t="shared" si="64"/>
        <v>9713.75</v>
      </c>
      <c r="O606" s="672">
        <v>5</v>
      </c>
      <c r="P606" s="668">
        <f t="shared" si="69"/>
        <v>0</v>
      </c>
    </row>
    <row r="607" spans="1:18" s="677" customFormat="1" ht="46.5" hidden="1" customHeight="1">
      <c r="A607" s="985"/>
      <c r="B607" s="986">
        <f t="shared" si="63"/>
        <v>0</v>
      </c>
      <c r="C607" s="995" t="s">
        <v>1736</v>
      </c>
      <c r="D607" s="993"/>
      <c r="E607" s="1039"/>
      <c r="F607" s="987">
        <f t="shared" si="65"/>
        <v>0</v>
      </c>
      <c r="G607" s="1036"/>
      <c r="H607" s="666">
        <f t="shared" si="66"/>
        <v>0</v>
      </c>
      <c r="I607" s="666"/>
      <c r="J607" s="666"/>
      <c r="K607" s="666">
        <f t="shared" si="67"/>
        <v>0</v>
      </c>
      <c r="L607" s="666"/>
      <c r="M607" s="665">
        <f t="shared" si="68"/>
        <v>0</v>
      </c>
      <c r="N607" s="666">
        <f t="shared" si="64"/>
        <v>0</v>
      </c>
      <c r="O607" s="672">
        <v>0</v>
      </c>
      <c r="P607" s="668">
        <f t="shared" si="69"/>
        <v>0</v>
      </c>
      <c r="Q607" s="676"/>
      <c r="R607" s="676"/>
    </row>
    <row r="608" spans="1:18" s="677" customFormat="1" ht="51.75" hidden="1" customHeight="1">
      <c r="A608" s="985"/>
      <c r="B608" s="986">
        <f t="shared" si="63"/>
        <v>0</v>
      </c>
      <c r="C608" s="987" t="s">
        <v>1737</v>
      </c>
      <c r="D608" s="993">
        <f>ROUND(Data!K3031,2)</f>
        <v>130</v>
      </c>
      <c r="E608" s="1039" t="s">
        <v>522</v>
      </c>
      <c r="F608" s="987">
        <f t="shared" si="65"/>
        <v>0</v>
      </c>
      <c r="G608" s="1036"/>
      <c r="H608" s="666">
        <f t="shared" si="66"/>
        <v>0</v>
      </c>
      <c r="I608" s="666"/>
      <c r="J608" s="666"/>
      <c r="K608" s="666">
        <f t="shared" si="67"/>
        <v>0</v>
      </c>
      <c r="L608" s="666"/>
      <c r="M608" s="665">
        <f t="shared" si="68"/>
        <v>0</v>
      </c>
      <c r="N608" s="666">
        <f t="shared" si="64"/>
        <v>0</v>
      </c>
      <c r="O608" s="672">
        <v>0</v>
      </c>
      <c r="P608" s="668">
        <f t="shared" si="69"/>
        <v>0</v>
      </c>
      <c r="Q608" s="676"/>
      <c r="R608" s="676"/>
    </row>
    <row r="609" spans="1:18" s="677" customFormat="1" ht="51.75" hidden="1" customHeight="1">
      <c r="A609" s="985"/>
      <c r="B609" s="986">
        <f t="shared" si="63"/>
        <v>0</v>
      </c>
      <c r="C609" s="987" t="s">
        <v>1738</v>
      </c>
      <c r="D609" s="993">
        <f>Data!K3033</f>
        <v>170</v>
      </c>
      <c r="E609" s="1039" t="s">
        <v>522</v>
      </c>
      <c r="F609" s="987">
        <f t="shared" si="65"/>
        <v>0</v>
      </c>
      <c r="G609" s="1036"/>
      <c r="H609" s="666">
        <f t="shared" si="66"/>
        <v>0</v>
      </c>
      <c r="I609" s="666"/>
      <c r="J609" s="666"/>
      <c r="K609" s="666">
        <f t="shared" si="67"/>
        <v>0</v>
      </c>
      <c r="L609" s="666"/>
      <c r="M609" s="665">
        <f t="shared" si="68"/>
        <v>0</v>
      </c>
      <c r="N609" s="666">
        <f t="shared" si="64"/>
        <v>0</v>
      </c>
      <c r="O609" s="672">
        <v>0</v>
      </c>
      <c r="P609" s="668">
        <f t="shared" si="69"/>
        <v>0</v>
      </c>
      <c r="Q609" s="676"/>
      <c r="R609" s="676"/>
    </row>
    <row r="610" spans="1:18" s="677" customFormat="1" ht="39" hidden="1" customHeight="1">
      <c r="A610" s="985"/>
      <c r="B610" s="986">
        <f t="shared" si="63"/>
        <v>0</v>
      </c>
      <c r="C610" s="987" t="s">
        <v>1739</v>
      </c>
      <c r="D610" s="993">
        <f>Data!K3036</f>
        <v>443</v>
      </c>
      <c r="E610" s="1039" t="s">
        <v>522</v>
      </c>
      <c r="F610" s="987">
        <f t="shared" si="65"/>
        <v>0</v>
      </c>
      <c r="G610" s="1036"/>
      <c r="H610" s="666">
        <f t="shared" si="66"/>
        <v>0</v>
      </c>
      <c r="I610" s="666"/>
      <c r="J610" s="666"/>
      <c r="K610" s="666">
        <f t="shared" si="67"/>
        <v>0</v>
      </c>
      <c r="L610" s="666"/>
      <c r="M610" s="665">
        <f t="shared" si="68"/>
        <v>0</v>
      </c>
      <c r="N610" s="666">
        <f t="shared" si="64"/>
        <v>0</v>
      </c>
      <c r="O610" s="672">
        <v>0</v>
      </c>
      <c r="P610" s="668">
        <f t="shared" si="69"/>
        <v>0</v>
      </c>
      <c r="Q610" s="676"/>
      <c r="R610" s="676"/>
    </row>
    <row r="611" spans="1:18" s="677" customFormat="1" ht="67.5" customHeight="1">
      <c r="A611" s="985">
        <v>44.2</v>
      </c>
      <c r="B611" s="986">
        <f t="shared" si="63"/>
        <v>0</v>
      </c>
      <c r="C611" s="995" t="s">
        <v>1740</v>
      </c>
      <c r="D611" s="990"/>
      <c r="E611" s="1044"/>
      <c r="F611" s="987">
        <f t="shared" si="65"/>
        <v>0</v>
      </c>
      <c r="G611" s="1043"/>
      <c r="H611" s="666">
        <f t="shared" si="66"/>
        <v>0</v>
      </c>
      <c r="I611" s="666"/>
      <c r="J611" s="666"/>
      <c r="K611" s="666">
        <f t="shared" si="67"/>
        <v>0</v>
      </c>
      <c r="L611" s="666"/>
      <c r="M611" s="665">
        <f t="shared" si="68"/>
        <v>0</v>
      </c>
      <c r="N611" s="666">
        <f t="shared" si="64"/>
        <v>0</v>
      </c>
      <c r="O611" s="668">
        <v>0</v>
      </c>
      <c r="P611" s="668">
        <f t="shared" si="69"/>
        <v>0</v>
      </c>
      <c r="Q611" s="676"/>
      <c r="R611" s="676"/>
    </row>
    <row r="612" spans="1:18" ht="48.75" customHeight="1">
      <c r="A612" s="985"/>
      <c r="B612" s="986">
        <f t="shared" si="63"/>
        <v>4</v>
      </c>
      <c r="C612" s="987" t="s">
        <v>1741</v>
      </c>
      <c r="D612" s="990">
        <f>Data!R2350</f>
        <v>2044.1924503965545</v>
      </c>
      <c r="E612" s="1044" t="s">
        <v>522</v>
      </c>
      <c r="F612" s="987">
        <f t="shared" si="65"/>
        <v>8176.7698015862179</v>
      </c>
      <c r="G612" s="1043">
        <f>Detailed!H1444</f>
        <v>4</v>
      </c>
      <c r="H612" s="666">
        <f t="shared" si="66"/>
        <v>8176.7698015862179</v>
      </c>
      <c r="I612" s="666"/>
      <c r="J612" s="666"/>
      <c r="K612" s="666">
        <f t="shared" si="67"/>
        <v>0</v>
      </c>
      <c r="L612" s="666"/>
      <c r="M612" s="665">
        <f t="shared" si="68"/>
        <v>4</v>
      </c>
      <c r="N612" s="666">
        <f t="shared" si="64"/>
        <v>8176.7698015862179</v>
      </c>
      <c r="O612" s="672">
        <v>4</v>
      </c>
      <c r="P612" s="668">
        <f t="shared" si="69"/>
        <v>0</v>
      </c>
    </row>
    <row r="613" spans="1:18" ht="48.75" customHeight="1">
      <c r="A613" s="985"/>
      <c r="B613" s="986">
        <f t="shared" si="63"/>
        <v>12</v>
      </c>
      <c r="C613" s="987" t="s">
        <v>1742</v>
      </c>
      <c r="D613" s="990">
        <f>Data!R2357</f>
        <v>456.44366983606557</v>
      </c>
      <c r="E613" s="1044" t="s">
        <v>61</v>
      </c>
      <c r="F613" s="987">
        <f t="shared" si="65"/>
        <v>5477.324038032787</v>
      </c>
      <c r="G613" s="1043">
        <f>Detailed!H1445</f>
        <v>12</v>
      </c>
      <c r="H613" s="666">
        <f t="shared" si="66"/>
        <v>5477.324038032787</v>
      </c>
      <c r="I613" s="666"/>
      <c r="J613" s="666"/>
      <c r="K613" s="666">
        <f t="shared" si="67"/>
        <v>0</v>
      </c>
      <c r="L613" s="666"/>
      <c r="M613" s="665">
        <f t="shared" si="68"/>
        <v>12</v>
      </c>
      <c r="N613" s="666">
        <f t="shared" si="64"/>
        <v>5477.324038032787</v>
      </c>
      <c r="O613" s="672">
        <v>12</v>
      </c>
      <c r="P613" s="668">
        <f t="shared" si="69"/>
        <v>0</v>
      </c>
    </row>
    <row r="614" spans="1:18" ht="79.900000000000006" hidden="1" customHeight="1">
      <c r="A614" s="985"/>
      <c r="B614" s="986">
        <f t="shared" si="63"/>
        <v>0</v>
      </c>
      <c r="C614" s="987" t="s">
        <v>1743</v>
      </c>
      <c r="D614" s="990">
        <f>Data!R2044</f>
        <v>1311.9237966545002</v>
      </c>
      <c r="E614" s="1044" t="s">
        <v>522</v>
      </c>
      <c r="F614" s="987">
        <f t="shared" si="65"/>
        <v>0</v>
      </c>
      <c r="G614" s="1043"/>
      <c r="H614" s="666">
        <f t="shared" si="66"/>
        <v>0</v>
      </c>
      <c r="I614" s="666"/>
      <c r="J614" s="666"/>
      <c r="K614" s="666">
        <f t="shared" si="67"/>
        <v>0</v>
      </c>
      <c r="L614" s="666"/>
      <c r="M614" s="665">
        <f t="shared" si="68"/>
        <v>0</v>
      </c>
      <c r="N614" s="666">
        <f t="shared" si="64"/>
        <v>0</v>
      </c>
      <c r="O614" s="672">
        <v>0</v>
      </c>
      <c r="P614" s="668">
        <f t="shared" si="69"/>
        <v>0</v>
      </c>
    </row>
    <row r="615" spans="1:18" s="677" customFormat="1" ht="45.75" hidden="1" customHeight="1">
      <c r="A615" s="985">
        <v>257.10000000000002</v>
      </c>
      <c r="B615" s="986">
        <f t="shared" si="63"/>
        <v>0</v>
      </c>
      <c r="C615" s="987" t="s">
        <v>1744</v>
      </c>
      <c r="D615" s="993">
        <f>ROUND(Data!K2703,2)</f>
        <v>239.99</v>
      </c>
      <c r="E615" s="1039" t="s">
        <v>61</v>
      </c>
      <c r="F615" s="987">
        <f t="shared" si="65"/>
        <v>0</v>
      </c>
      <c r="G615" s="1036"/>
      <c r="H615" s="666">
        <f t="shared" si="66"/>
        <v>0</v>
      </c>
      <c r="I615" s="666"/>
      <c r="J615" s="666"/>
      <c r="K615" s="666">
        <f t="shared" si="67"/>
        <v>0</v>
      </c>
      <c r="L615" s="666"/>
      <c r="M615" s="665">
        <f t="shared" si="68"/>
        <v>0</v>
      </c>
      <c r="N615" s="666">
        <f t="shared" si="64"/>
        <v>0</v>
      </c>
      <c r="O615" s="672">
        <v>0</v>
      </c>
      <c r="P615" s="668">
        <f t="shared" si="69"/>
        <v>0</v>
      </c>
      <c r="Q615" s="676"/>
      <c r="R615" s="676"/>
    </row>
    <row r="616" spans="1:18" ht="48.75" customHeight="1">
      <c r="A616" s="985">
        <v>344.2</v>
      </c>
      <c r="B616" s="986">
        <f t="shared" si="63"/>
        <v>6</v>
      </c>
      <c r="C616" s="987" t="s">
        <v>1139</v>
      </c>
      <c r="D616" s="990">
        <f>ROUND(Data!K3014,2)</f>
        <v>379.4</v>
      </c>
      <c r="E616" s="1044" t="s">
        <v>522</v>
      </c>
      <c r="F616" s="987">
        <f t="shared" si="65"/>
        <v>2276.3999999999996</v>
      </c>
      <c r="G616" s="1043">
        <f>Detailed!H1610</f>
        <v>6</v>
      </c>
      <c r="H616" s="666">
        <f t="shared" si="66"/>
        <v>2276.3999999999996</v>
      </c>
      <c r="I616" s="666"/>
      <c r="J616" s="666"/>
      <c r="K616" s="666">
        <f t="shared" si="67"/>
        <v>0</v>
      </c>
      <c r="L616" s="666"/>
      <c r="M616" s="665">
        <f t="shared" si="68"/>
        <v>6</v>
      </c>
      <c r="N616" s="666">
        <f t="shared" si="64"/>
        <v>2276.3999999999996</v>
      </c>
      <c r="O616" s="672">
        <v>6</v>
      </c>
      <c r="P616" s="668">
        <f t="shared" si="69"/>
        <v>0</v>
      </c>
    </row>
    <row r="617" spans="1:18" ht="48.75" hidden="1" customHeight="1">
      <c r="A617" s="1010">
        <v>383</v>
      </c>
      <c r="B617" s="986">
        <f t="shared" si="63"/>
        <v>0</v>
      </c>
      <c r="C617" s="987" t="s">
        <v>1745</v>
      </c>
      <c r="D617" s="990">
        <f>Data!C764</f>
        <v>1010</v>
      </c>
      <c r="E617" s="987" t="s">
        <v>522</v>
      </c>
      <c r="F617" s="987">
        <f t="shared" si="65"/>
        <v>0</v>
      </c>
      <c r="G617" s="989"/>
      <c r="H617" s="666">
        <f t="shared" si="66"/>
        <v>0</v>
      </c>
      <c r="I617" s="666"/>
      <c r="J617" s="666"/>
      <c r="K617" s="666">
        <f t="shared" si="67"/>
        <v>0</v>
      </c>
      <c r="L617" s="666"/>
      <c r="M617" s="665">
        <f t="shared" si="68"/>
        <v>0</v>
      </c>
      <c r="N617" s="666">
        <f t="shared" si="64"/>
        <v>0</v>
      </c>
      <c r="O617" s="672">
        <v>0</v>
      </c>
      <c r="P617" s="668">
        <f t="shared" si="69"/>
        <v>0</v>
      </c>
    </row>
    <row r="618" spans="1:18" s="677" customFormat="1" ht="44.25" hidden="1" customHeight="1">
      <c r="A618" s="985">
        <v>383.1</v>
      </c>
      <c r="B618" s="986">
        <f t="shared" si="63"/>
        <v>0</v>
      </c>
      <c r="C618" s="987" t="s">
        <v>1746</v>
      </c>
      <c r="D618" s="993">
        <v>235</v>
      </c>
      <c r="E618" s="1039" t="s">
        <v>61</v>
      </c>
      <c r="F618" s="987">
        <f t="shared" si="65"/>
        <v>0</v>
      </c>
      <c r="G618" s="1036"/>
      <c r="H618" s="666">
        <f t="shared" si="66"/>
        <v>0</v>
      </c>
      <c r="I618" s="666"/>
      <c r="J618" s="666"/>
      <c r="K618" s="666">
        <f t="shared" si="67"/>
        <v>0</v>
      </c>
      <c r="L618" s="666"/>
      <c r="M618" s="665">
        <f t="shared" si="68"/>
        <v>0</v>
      </c>
      <c r="N618" s="666">
        <f t="shared" si="64"/>
        <v>0</v>
      </c>
      <c r="O618" s="672">
        <v>0</v>
      </c>
      <c r="P618" s="668">
        <f t="shared" si="69"/>
        <v>0</v>
      </c>
      <c r="Q618" s="676"/>
      <c r="R618" s="676"/>
    </row>
    <row r="619" spans="1:18" s="677" customFormat="1" ht="45" hidden="1" customHeight="1">
      <c r="A619" s="985"/>
      <c r="B619" s="986">
        <f t="shared" si="63"/>
        <v>0</v>
      </c>
      <c r="C619" s="987" t="s">
        <v>1747</v>
      </c>
      <c r="D619" s="993">
        <f>Data!R1912</f>
        <v>273.73666666666668</v>
      </c>
      <c r="E619" s="1039"/>
      <c r="F619" s="987">
        <f t="shared" si="65"/>
        <v>0</v>
      </c>
      <c r="G619" s="1036"/>
      <c r="H619" s="666">
        <f t="shared" si="66"/>
        <v>0</v>
      </c>
      <c r="I619" s="666"/>
      <c r="J619" s="666"/>
      <c r="K619" s="666">
        <f t="shared" si="67"/>
        <v>0</v>
      </c>
      <c r="L619" s="666"/>
      <c r="M619" s="665">
        <f t="shared" si="68"/>
        <v>0</v>
      </c>
      <c r="N619" s="666">
        <f t="shared" si="64"/>
        <v>0</v>
      </c>
      <c r="O619" s="672">
        <v>0</v>
      </c>
      <c r="P619" s="668">
        <f t="shared" si="69"/>
        <v>0</v>
      </c>
      <c r="Q619" s="676"/>
      <c r="R619" s="676"/>
    </row>
    <row r="620" spans="1:18" ht="48.75" hidden="1" customHeight="1">
      <c r="A620" s="1010">
        <v>384</v>
      </c>
      <c r="B620" s="986">
        <f t="shared" si="63"/>
        <v>0</v>
      </c>
      <c r="C620" s="987" t="s">
        <v>1748</v>
      </c>
      <c r="D620" s="990">
        <f>Data!K3046</f>
        <v>1602.5</v>
      </c>
      <c r="E620" s="1046" t="s">
        <v>522</v>
      </c>
      <c r="F620" s="987">
        <f t="shared" si="65"/>
        <v>0</v>
      </c>
      <c r="G620" s="989"/>
      <c r="H620" s="666">
        <f t="shared" si="66"/>
        <v>0</v>
      </c>
      <c r="I620" s="666"/>
      <c r="J620" s="666"/>
      <c r="K620" s="666">
        <f t="shared" si="67"/>
        <v>0</v>
      </c>
      <c r="L620" s="666"/>
      <c r="M620" s="665">
        <f t="shared" si="68"/>
        <v>0</v>
      </c>
      <c r="N620" s="666">
        <f t="shared" si="64"/>
        <v>0</v>
      </c>
      <c r="O620" s="672">
        <v>0</v>
      </c>
      <c r="P620" s="668">
        <f t="shared" si="69"/>
        <v>0</v>
      </c>
    </row>
    <row r="621" spans="1:18" s="677" customFormat="1" ht="33.75" hidden="1" customHeight="1">
      <c r="A621" s="1010">
        <v>385</v>
      </c>
      <c r="B621" s="986">
        <f t="shared" si="63"/>
        <v>0</v>
      </c>
      <c r="C621" s="987" t="s">
        <v>1749</v>
      </c>
      <c r="D621" s="993">
        <f>ROUND(Data!K2690,2)</f>
        <v>762.6</v>
      </c>
      <c r="E621" s="992" t="s">
        <v>522</v>
      </c>
      <c r="F621" s="987">
        <f t="shared" si="65"/>
        <v>0</v>
      </c>
      <c r="G621" s="994"/>
      <c r="H621" s="666">
        <f t="shared" si="66"/>
        <v>0</v>
      </c>
      <c r="I621" s="666"/>
      <c r="J621" s="666"/>
      <c r="K621" s="666">
        <f t="shared" si="67"/>
        <v>0</v>
      </c>
      <c r="L621" s="666"/>
      <c r="M621" s="665">
        <f t="shared" si="68"/>
        <v>0</v>
      </c>
      <c r="N621" s="666">
        <f t="shared" si="64"/>
        <v>0</v>
      </c>
      <c r="O621" s="672">
        <v>0</v>
      </c>
      <c r="P621" s="668">
        <f t="shared" si="69"/>
        <v>0</v>
      </c>
      <c r="Q621" s="676"/>
      <c r="R621" s="676"/>
    </row>
    <row r="622" spans="1:18" s="677" customFormat="1" ht="42" hidden="1" customHeight="1">
      <c r="A622" s="985">
        <v>238.1</v>
      </c>
      <c r="B622" s="986">
        <f t="shared" si="63"/>
        <v>0</v>
      </c>
      <c r="C622" s="987" t="s">
        <v>1750</v>
      </c>
      <c r="D622" s="993">
        <f>ROUND(Data!K2778,2)</f>
        <v>2595.25</v>
      </c>
      <c r="E622" s="1048" t="s">
        <v>58</v>
      </c>
      <c r="F622" s="987">
        <f t="shared" si="65"/>
        <v>0</v>
      </c>
      <c r="G622" s="994"/>
      <c r="H622" s="666">
        <f t="shared" si="66"/>
        <v>0</v>
      </c>
      <c r="I622" s="666"/>
      <c r="J622" s="666"/>
      <c r="K622" s="666">
        <f t="shared" si="67"/>
        <v>0</v>
      </c>
      <c r="L622" s="666"/>
      <c r="M622" s="665">
        <f t="shared" si="68"/>
        <v>0</v>
      </c>
      <c r="N622" s="666">
        <f t="shared" si="64"/>
        <v>0</v>
      </c>
      <c r="O622" s="672">
        <v>0</v>
      </c>
      <c r="P622" s="668">
        <f t="shared" si="69"/>
        <v>0</v>
      </c>
      <c r="Q622" s="676"/>
      <c r="R622" s="676"/>
    </row>
    <row r="623" spans="1:18" ht="58.5" customHeight="1">
      <c r="A623" s="985">
        <v>71.2</v>
      </c>
      <c r="B623" s="986">
        <f t="shared" si="63"/>
        <v>1</v>
      </c>
      <c r="C623" s="987" t="s">
        <v>1181</v>
      </c>
      <c r="D623" s="990">
        <f>[8]Elec.Data!K3210</f>
        <v>2083.67</v>
      </c>
      <c r="E623" s="1046" t="s">
        <v>522</v>
      </c>
      <c r="F623" s="987">
        <f t="shared" si="65"/>
        <v>2083.67</v>
      </c>
      <c r="G623" s="989">
        <f>Detailed!H1614</f>
        <v>1</v>
      </c>
      <c r="H623" s="666">
        <f t="shared" si="66"/>
        <v>2083.67</v>
      </c>
      <c r="I623" s="666"/>
      <c r="J623" s="666"/>
      <c r="K623" s="666">
        <f t="shared" si="67"/>
        <v>0</v>
      </c>
      <c r="L623" s="666"/>
      <c r="M623" s="665">
        <f t="shared" si="68"/>
        <v>1</v>
      </c>
      <c r="N623" s="666">
        <f t="shared" si="64"/>
        <v>2083.67</v>
      </c>
      <c r="O623" s="672">
        <v>1</v>
      </c>
      <c r="P623" s="668">
        <f t="shared" si="69"/>
        <v>0</v>
      </c>
    </row>
    <row r="624" spans="1:18" ht="47.25" customHeight="1">
      <c r="A624" s="985">
        <v>80.099999999999994</v>
      </c>
      <c r="B624" s="986">
        <f t="shared" si="63"/>
        <v>2</v>
      </c>
      <c r="C624" s="987" t="s">
        <v>1751</v>
      </c>
      <c r="D624" s="990">
        <f>D903</f>
        <v>1242.21</v>
      </c>
      <c r="E624" s="1046" t="s">
        <v>522</v>
      </c>
      <c r="F624" s="987">
        <f t="shared" si="65"/>
        <v>2484.42</v>
      </c>
      <c r="G624" s="989">
        <f>Detailed!H1618</f>
        <v>2</v>
      </c>
      <c r="H624" s="666">
        <f t="shared" si="66"/>
        <v>2484.42</v>
      </c>
      <c r="I624" s="666"/>
      <c r="J624" s="666"/>
      <c r="K624" s="666">
        <f t="shared" si="67"/>
        <v>0</v>
      </c>
      <c r="L624" s="666"/>
      <c r="M624" s="665">
        <f t="shared" si="68"/>
        <v>2</v>
      </c>
      <c r="N624" s="666">
        <f t="shared" si="64"/>
        <v>2484.42</v>
      </c>
      <c r="O624" s="672">
        <v>2</v>
      </c>
      <c r="P624" s="668">
        <f t="shared" si="69"/>
        <v>0</v>
      </c>
    </row>
    <row r="625" spans="1:18" s="677" customFormat="1" ht="39.75" customHeight="1">
      <c r="A625" s="985"/>
      <c r="B625" s="986">
        <f t="shared" si="63"/>
        <v>2</v>
      </c>
      <c r="C625" s="987" t="s">
        <v>1752</v>
      </c>
      <c r="D625" s="993">
        <f>[8]Elec.Data!K3419</f>
        <v>776.68</v>
      </c>
      <c r="E625" s="1048" t="s">
        <v>522</v>
      </c>
      <c r="F625" s="987">
        <f t="shared" si="65"/>
        <v>1553.36</v>
      </c>
      <c r="G625" s="994">
        <f>Detailed!H1622</f>
        <v>2</v>
      </c>
      <c r="H625" s="666">
        <f t="shared" si="66"/>
        <v>1553.36</v>
      </c>
      <c r="I625" s="666"/>
      <c r="J625" s="666"/>
      <c r="K625" s="666">
        <f t="shared" si="67"/>
        <v>0</v>
      </c>
      <c r="L625" s="666"/>
      <c r="M625" s="665">
        <f t="shared" si="68"/>
        <v>2</v>
      </c>
      <c r="N625" s="666">
        <f t="shared" si="64"/>
        <v>1553.36</v>
      </c>
      <c r="O625" s="672">
        <v>2</v>
      </c>
      <c r="P625" s="668">
        <f t="shared" si="69"/>
        <v>0</v>
      </c>
      <c r="Q625" s="676"/>
      <c r="R625" s="676"/>
    </row>
    <row r="626" spans="1:18" s="677" customFormat="1" ht="39.75" hidden="1" customHeight="1">
      <c r="A626" s="985"/>
      <c r="B626" s="986">
        <f t="shared" si="63"/>
        <v>0</v>
      </c>
      <c r="C626" s="987" t="s">
        <v>1753</v>
      </c>
      <c r="D626" s="993">
        <f>[8]Elec.Data!K3400</f>
        <v>508.26</v>
      </c>
      <c r="E626" s="1048" t="s">
        <v>522</v>
      </c>
      <c r="F626" s="987">
        <f t="shared" si="65"/>
        <v>0</v>
      </c>
      <c r="G626" s="994"/>
      <c r="H626" s="666">
        <f t="shared" si="66"/>
        <v>0</v>
      </c>
      <c r="I626" s="666"/>
      <c r="J626" s="666"/>
      <c r="K626" s="666">
        <f t="shared" si="67"/>
        <v>0</v>
      </c>
      <c r="L626" s="666"/>
      <c r="M626" s="665">
        <f t="shared" si="68"/>
        <v>0</v>
      </c>
      <c r="N626" s="666">
        <f t="shared" si="64"/>
        <v>0</v>
      </c>
      <c r="O626" s="672">
        <v>0</v>
      </c>
      <c r="P626" s="668">
        <f t="shared" si="69"/>
        <v>0</v>
      </c>
      <c r="Q626" s="676"/>
      <c r="R626" s="676"/>
    </row>
    <row r="627" spans="1:18" ht="45.75" customHeight="1">
      <c r="A627" s="985">
        <v>87.1</v>
      </c>
      <c r="B627" s="986">
        <f t="shared" si="63"/>
        <v>2</v>
      </c>
      <c r="C627" s="987" t="str">
        <f>C937</f>
        <v>Supplying and delivery of Three phase ELCB/RCCB</v>
      </c>
      <c r="D627" s="990">
        <f>[8]Elec.Data!K3468</f>
        <v>2972.1</v>
      </c>
      <c r="E627" s="1046" t="s">
        <v>522</v>
      </c>
      <c r="F627" s="987">
        <f t="shared" si="65"/>
        <v>5944.2</v>
      </c>
      <c r="G627" s="989">
        <f>Detailed!H1626</f>
        <v>2</v>
      </c>
      <c r="H627" s="666">
        <f t="shared" si="66"/>
        <v>5944.2</v>
      </c>
      <c r="I627" s="666"/>
      <c r="J627" s="666"/>
      <c r="K627" s="666">
        <f t="shared" si="67"/>
        <v>0</v>
      </c>
      <c r="L627" s="666"/>
      <c r="M627" s="665">
        <f t="shared" si="68"/>
        <v>2</v>
      </c>
      <c r="N627" s="666">
        <f t="shared" si="64"/>
        <v>5944.2</v>
      </c>
      <c r="O627" s="672">
        <v>2</v>
      </c>
      <c r="P627" s="668">
        <f t="shared" si="69"/>
        <v>0</v>
      </c>
    </row>
    <row r="628" spans="1:18" s="677" customFormat="1" ht="46.5" hidden="1" customHeight="1">
      <c r="A628" s="985"/>
      <c r="B628" s="986">
        <f t="shared" si="63"/>
        <v>0</v>
      </c>
      <c r="C628" s="987" t="s">
        <v>1754</v>
      </c>
      <c r="D628" s="993">
        <f>D940</f>
        <v>165</v>
      </c>
      <c r="E628" s="1048" t="s">
        <v>61</v>
      </c>
      <c r="F628" s="987">
        <f t="shared" si="65"/>
        <v>0</v>
      </c>
      <c r="G628" s="994"/>
      <c r="H628" s="666">
        <f t="shared" si="66"/>
        <v>0</v>
      </c>
      <c r="I628" s="666"/>
      <c r="J628" s="666"/>
      <c r="K628" s="666">
        <f t="shared" si="67"/>
        <v>0</v>
      </c>
      <c r="L628" s="666"/>
      <c r="M628" s="665">
        <f t="shared" si="68"/>
        <v>0</v>
      </c>
      <c r="N628" s="666">
        <f t="shared" si="64"/>
        <v>0</v>
      </c>
      <c r="O628" s="672">
        <v>0</v>
      </c>
      <c r="P628" s="668">
        <f t="shared" si="69"/>
        <v>0</v>
      </c>
      <c r="Q628" s="676"/>
      <c r="R628" s="676"/>
    </row>
    <row r="629" spans="1:18" ht="62.25" customHeight="1">
      <c r="A629" s="985"/>
      <c r="B629" s="986">
        <f t="shared" si="63"/>
        <v>583</v>
      </c>
      <c r="C629" s="987" t="s">
        <v>1755</v>
      </c>
      <c r="D629" s="990">
        <f>Data!R1326</f>
        <v>206.91080000000002</v>
      </c>
      <c r="E629" s="1046" t="s">
        <v>37</v>
      </c>
      <c r="F629" s="987">
        <f t="shared" si="65"/>
        <v>120628.99640000002</v>
      </c>
      <c r="G629" s="989">
        <f>Detailed!H1433</f>
        <v>583</v>
      </c>
      <c r="H629" s="666">
        <f t="shared" si="66"/>
        <v>120628.99640000002</v>
      </c>
      <c r="I629" s="666"/>
      <c r="J629" s="666"/>
      <c r="K629" s="666">
        <f t="shared" si="67"/>
        <v>0</v>
      </c>
      <c r="L629" s="666"/>
      <c r="M629" s="665">
        <f t="shared" si="68"/>
        <v>583</v>
      </c>
      <c r="N629" s="666">
        <f t="shared" si="64"/>
        <v>120628.99640000002</v>
      </c>
      <c r="O629" s="672">
        <v>583</v>
      </c>
      <c r="P629" s="668">
        <f t="shared" si="69"/>
        <v>0</v>
      </c>
    </row>
    <row r="630" spans="1:18" ht="59.25" customHeight="1">
      <c r="A630" s="985" t="s">
        <v>1172</v>
      </c>
      <c r="B630" s="986">
        <f t="shared" si="63"/>
        <v>828</v>
      </c>
      <c r="C630" s="987" t="s">
        <v>1756</v>
      </c>
      <c r="D630" s="990">
        <f>Data!K3348</f>
        <v>109.43539999999999</v>
      </c>
      <c r="E630" s="1046" t="s">
        <v>37</v>
      </c>
      <c r="F630" s="987">
        <f t="shared" si="65"/>
        <v>90612.511199999994</v>
      </c>
      <c r="G630" s="989">
        <f>G573</f>
        <v>828</v>
      </c>
      <c r="H630" s="666">
        <f t="shared" si="66"/>
        <v>90612.511199999994</v>
      </c>
      <c r="I630" s="666"/>
      <c r="J630" s="666"/>
      <c r="K630" s="666">
        <f t="shared" si="67"/>
        <v>0</v>
      </c>
      <c r="L630" s="666"/>
      <c r="M630" s="665">
        <f t="shared" si="68"/>
        <v>828</v>
      </c>
      <c r="N630" s="666">
        <f t="shared" si="64"/>
        <v>90612.511199999994</v>
      </c>
      <c r="O630" s="672">
        <v>828</v>
      </c>
      <c r="P630" s="668">
        <f t="shared" si="69"/>
        <v>0</v>
      </c>
    </row>
    <row r="631" spans="1:18" s="677" customFormat="1" ht="81" hidden="1" customHeight="1">
      <c r="A631" s="985"/>
      <c r="B631" s="986">
        <f t="shared" si="63"/>
        <v>0</v>
      </c>
      <c r="C631" s="987" t="str">
        <f>C938</f>
        <v>2 x 4 Sqmm Copper PVC insulated unsheathed single core 1 KV grade cable for EB service single phase.</v>
      </c>
      <c r="D631" s="993">
        <f>D938</f>
        <v>142.97999999999999</v>
      </c>
      <c r="E631" s="1048" t="s">
        <v>61</v>
      </c>
      <c r="F631" s="987">
        <f t="shared" si="65"/>
        <v>0</v>
      </c>
      <c r="G631" s="994"/>
      <c r="H631" s="666">
        <f t="shared" si="66"/>
        <v>0</v>
      </c>
      <c r="I631" s="666"/>
      <c r="J631" s="666"/>
      <c r="K631" s="666">
        <f t="shared" si="67"/>
        <v>0</v>
      </c>
      <c r="L631" s="666"/>
      <c r="M631" s="665">
        <f t="shared" si="68"/>
        <v>0</v>
      </c>
      <c r="N631" s="666">
        <f t="shared" si="64"/>
        <v>0</v>
      </c>
      <c r="O631" s="672">
        <v>0</v>
      </c>
      <c r="P631" s="668">
        <f t="shared" si="69"/>
        <v>0</v>
      </c>
      <c r="Q631" s="676"/>
      <c r="R631" s="676"/>
    </row>
    <row r="632" spans="1:18" s="677" customFormat="1" ht="42.75" customHeight="1">
      <c r="A632" s="985"/>
      <c r="B632" s="986">
        <f t="shared" si="63"/>
        <v>6</v>
      </c>
      <c r="C632" s="987" t="str">
        <f>C904</f>
        <v>40 mm dia GI pipe "B"class</v>
      </c>
      <c r="D632" s="1032">
        <f>D904</f>
        <v>165</v>
      </c>
      <c r="E632" s="1048" t="s">
        <v>61</v>
      </c>
      <c r="F632" s="987">
        <f t="shared" si="65"/>
        <v>990</v>
      </c>
      <c r="G632" s="994">
        <f>Detailed!H1630</f>
        <v>6</v>
      </c>
      <c r="H632" s="666">
        <f t="shared" si="66"/>
        <v>990</v>
      </c>
      <c r="I632" s="666"/>
      <c r="J632" s="666"/>
      <c r="K632" s="666">
        <f t="shared" si="67"/>
        <v>0</v>
      </c>
      <c r="L632" s="666"/>
      <c r="M632" s="665">
        <f t="shared" si="68"/>
        <v>6</v>
      </c>
      <c r="N632" s="666">
        <f t="shared" si="64"/>
        <v>990</v>
      </c>
      <c r="O632" s="672">
        <v>6</v>
      </c>
      <c r="P632" s="668">
        <f t="shared" si="69"/>
        <v>0</v>
      </c>
      <c r="Q632" s="676"/>
      <c r="R632" s="676"/>
    </row>
    <row r="633" spans="1:18" s="677" customFormat="1" ht="44.25" hidden="1" customHeight="1">
      <c r="A633" s="985"/>
      <c r="B633" s="986">
        <f t="shared" si="63"/>
        <v>0</v>
      </c>
      <c r="C633" s="987" t="s">
        <v>1757</v>
      </c>
      <c r="D633" s="993">
        <f>[8]Elec.Data!K3400</f>
        <v>508.26</v>
      </c>
      <c r="E633" s="992" t="s">
        <v>522</v>
      </c>
      <c r="F633" s="987">
        <f t="shared" si="65"/>
        <v>0</v>
      </c>
      <c r="G633" s="994"/>
      <c r="H633" s="666">
        <f t="shared" si="66"/>
        <v>0</v>
      </c>
      <c r="I633" s="666"/>
      <c r="J633" s="666"/>
      <c r="K633" s="666">
        <f t="shared" si="67"/>
        <v>0</v>
      </c>
      <c r="L633" s="666"/>
      <c r="M633" s="665">
        <f t="shared" si="68"/>
        <v>0</v>
      </c>
      <c r="N633" s="666">
        <f t="shared" si="64"/>
        <v>0</v>
      </c>
      <c r="O633" s="672">
        <v>0</v>
      </c>
      <c r="P633" s="668">
        <f t="shared" si="69"/>
        <v>0</v>
      </c>
      <c r="Q633" s="676"/>
      <c r="R633" s="676"/>
    </row>
    <row r="634" spans="1:18" s="677" customFormat="1" ht="44.25" hidden="1" customHeight="1">
      <c r="A634" s="985"/>
      <c r="B634" s="986">
        <f t="shared" si="63"/>
        <v>0</v>
      </c>
      <c r="C634" s="987" t="s">
        <v>1758</v>
      </c>
      <c r="D634" s="993">
        <f>[8]A.DATA!F602</f>
        <v>211</v>
      </c>
      <c r="E634" s="992" t="s">
        <v>61</v>
      </c>
      <c r="F634" s="987">
        <f t="shared" si="65"/>
        <v>0</v>
      </c>
      <c r="G634" s="994"/>
      <c r="H634" s="666"/>
      <c r="I634" s="666"/>
      <c r="J634" s="666"/>
      <c r="K634" s="666">
        <f t="shared" si="67"/>
        <v>0</v>
      </c>
      <c r="L634" s="666"/>
      <c r="M634" s="665">
        <f t="shared" si="68"/>
        <v>0</v>
      </c>
      <c r="N634" s="666">
        <f t="shared" si="64"/>
        <v>0</v>
      </c>
      <c r="O634" s="672">
        <v>0</v>
      </c>
      <c r="P634" s="668">
        <f t="shared" si="69"/>
        <v>0</v>
      </c>
      <c r="Q634" s="676"/>
      <c r="R634" s="676"/>
    </row>
    <row r="635" spans="1:18" s="677" customFormat="1" ht="60" hidden="1" customHeight="1">
      <c r="A635" s="985"/>
      <c r="B635" s="986">
        <f t="shared" si="63"/>
        <v>0</v>
      </c>
      <c r="C635" s="987" t="s">
        <v>1759</v>
      </c>
      <c r="D635" s="993">
        <f>Data!R204</f>
        <v>5735.9610000000002</v>
      </c>
      <c r="E635" s="992" t="s">
        <v>16</v>
      </c>
      <c r="F635" s="987">
        <f t="shared" si="65"/>
        <v>0</v>
      </c>
      <c r="G635" s="994"/>
      <c r="H635" s="666">
        <f t="shared" si="66"/>
        <v>0</v>
      </c>
      <c r="I635" s="666"/>
      <c r="J635" s="666"/>
      <c r="K635" s="666">
        <f t="shared" si="67"/>
        <v>0</v>
      </c>
      <c r="L635" s="666"/>
      <c r="M635" s="665">
        <f t="shared" si="68"/>
        <v>0</v>
      </c>
      <c r="N635" s="666">
        <f t="shared" si="64"/>
        <v>0</v>
      </c>
      <c r="O635" s="672">
        <v>0</v>
      </c>
      <c r="P635" s="668">
        <f t="shared" si="69"/>
        <v>0</v>
      </c>
      <c r="Q635" s="676"/>
      <c r="R635" s="676"/>
    </row>
    <row r="636" spans="1:18" ht="43.5" customHeight="1">
      <c r="A636" s="985">
        <v>448.2</v>
      </c>
      <c r="B636" s="986">
        <f t="shared" si="63"/>
        <v>6</v>
      </c>
      <c r="C636" s="987" t="s">
        <v>1141</v>
      </c>
      <c r="D636" s="990">
        <f>Data!R3123</f>
        <v>122.245</v>
      </c>
      <c r="E636" s="1046" t="s">
        <v>522</v>
      </c>
      <c r="F636" s="987">
        <f t="shared" si="65"/>
        <v>733.47</v>
      </c>
      <c r="G636" s="989">
        <f>Detailed!H1662</f>
        <v>6</v>
      </c>
      <c r="H636" s="666">
        <f t="shared" si="66"/>
        <v>733.47</v>
      </c>
      <c r="I636" s="666"/>
      <c r="J636" s="666"/>
      <c r="K636" s="666">
        <f t="shared" si="67"/>
        <v>0</v>
      </c>
      <c r="L636" s="666"/>
      <c r="M636" s="665">
        <f t="shared" si="68"/>
        <v>6</v>
      </c>
      <c r="N636" s="666">
        <f t="shared" si="64"/>
        <v>733.47</v>
      </c>
      <c r="O636" s="672">
        <v>6</v>
      </c>
      <c r="P636" s="668">
        <f t="shared" si="69"/>
        <v>0</v>
      </c>
    </row>
    <row r="637" spans="1:18" s="677" customFormat="1" ht="25.5" customHeight="1">
      <c r="A637" s="985"/>
      <c r="B637" s="986">
        <f t="shared" si="63"/>
        <v>59.5</v>
      </c>
      <c r="C637" s="987" t="s">
        <v>1760</v>
      </c>
      <c r="D637" s="993">
        <f>D888</f>
        <v>1498.5130600000002</v>
      </c>
      <c r="E637" s="1039" t="s">
        <v>37</v>
      </c>
      <c r="F637" s="987">
        <f t="shared" si="65"/>
        <v>89161.527070000011</v>
      </c>
      <c r="G637" s="1036">
        <f>Detailed!H1281</f>
        <v>59.5</v>
      </c>
      <c r="H637" s="666">
        <f t="shared" si="66"/>
        <v>89161.527070000011</v>
      </c>
      <c r="I637" s="666"/>
      <c r="J637" s="666"/>
      <c r="K637" s="666">
        <f t="shared" si="67"/>
        <v>0</v>
      </c>
      <c r="L637" s="666"/>
      <c r="M637" s="665">
        <f t="shared" si="68"/>
        <v>59.5</v>
      </c>
      <c r="N637" s="666">
        <f t="shared" si="64"/>
        <v>89161.527070000011</v>
      </c>
      <c r="O637" s="672">
        <v>59.5</v>
      </c>
      <c r="P637" s="668">
        <f t="shared" si="69"/>
        <v>0</v>
      </c>
      <c r="Q637" s="676"/>
      <c r="R637" s="676"/>
    </row>
    <row r="638" spans="1:18" ht="48.75" customHeight="1">
      <c r="A638" s="985"/>
      <c r="B638" s="986">
        <f t="shared" si="63"/>
        <v>8.6</v>
      </c>
      <c r="C638" s="987" t="s">
        <v>1761</v>
      </c>
      <c r="D638" s="990">
        <f>Data!R2416</f>
        <v>1298.5095238095239</v>
      </c>
      <c r="E638" s="1044" t="s">
        <v>37</v>
      </c>
      <c r="F638" s="987">
        <f t="shared" si="65"/>
        <v>11167.181904761905</v>
      </c>
      <c r="G638" s="1043">
        <f>Detailed!H785</f>
        <v>8.6</v>
      </c>
      <c r="H638" s="666">
        <f t="shared" si="66"/>
        <v>11167.181904761905</v>
      </c>
      <c r="I638" s="666"/>
      <c r="J638" s="666"/>
      <c r="K638" s="666">
        <f t="shared" si="67"/>
        <v>0</v>
      </c>
      <c r="L638" s="666"/>
      <c r="M638" s="665">
        <f t="shared" si="68"/>
        <v>8.6</v>
      </c>
      <c r="N638" s="666">
        <f t="shared" si="64"/>
        <v>11167.181904761905</v>
      </c>
      <c r="O638" s="672">
        <v>8.6</v>
      </c>
      <c r="P638" s="668">
        <f t="shared" si="69"/>
        <v>0</v>
      </c>
    </row>
    <row r="639" spans="1:18" s="677" customFormat="1" ht="72" hidden="1" customHeight="1">
      <c r="A639" s="985"/>
      <c r="B639" s="986">
        <f t="shared" si="63"/>
        <v>0</v>
      </c>
      <c r="C639" s="987" t="s">
        <v>1762</v>
      </c>
      <c r="D639" s="993">
        <v>4500</v>
      </c>
      <c r="E639" s="1039" t="s">
        <v>61</v>
      </c>
      <c r="F639" s="987">
        <f t="shared" si="65"/>
        <v>0</v>
      </c>
      <c r="G639" s="1036"/>
      <c r="H639" s="666">
        <f t="shared" si="66"/>
        <v>0</v>
      </c>
      <c r="I639" s="666"/>
      <c r="J639" s="666"/>
      <c r="K639" s="666">
        <f t="shared" si="67"/>
        <v>0</v>
      </c>
      <c r="L639" s="666"/>
      <c r="M639" s="665">
        <f t="shared" si="68"/>
        <v>0</v>
      </c>
      <c r="N639" s="666">
        <f t="shared" si="64"/>
        <v>0</v>
      </c>
      <c r="O639" s="672">
        <v>0</v>
      </c>
      <c r="P639" s="668">
        <f t="shared" si="69"/>
        <v>0</v>
      </c>
      <c r="Q639" s="676"/>
      <c r="R639" s="676"/>
    </row>
    <row r="640" spans="1:18" ht="49.5" customHeight="1">
      <c r="A640" s="985"/>
      <c r="B640" s="986">
        <f t="shared" si="63"/>
        <v>91.199999999999989</v>
      </c>
      <c r="C640" s="987" t="s">
        <v>1763</v>
      </c>
      <c r="D640" s="990">
        <f>Data!R1272</f>
        <v>1156.8130600000002</v>
      </c>
      <c r="E640" s="1044" t="s">
        <v>37</v>
      </c>
      <c r="F640" s="987">
        <f t="shared" si="65"/>
        <v>105501.351072</v>
      </c>
      <c r="G640" s="1043">
        <f>Detailed!H1298</f>
        <v>91.199999999999989</v>
      </c>
      <c r="H640" s="666">
        <f t="shared" si="66"/>
        <v>105501.351072</v>
      </c>
      <c r="I640" s="666"/>
      <c r="J640" s="666"/>
      <c r="K640" s="666">
        <f t="shared" si="67"/>
        <v>0</v>
      </c>
      <c r="L640" s="666"/>
      <c r="M640" s="665">
        <f t="shared" si="68"/>
        <v>91.199999999999989</v>
      </c>
      <c r="N640" s="666">
        <f t="shared" si="64"/>
        <v>105501.351072</v>
      </c>
      <c r="O640" s="672">
        <v>91.2</v>
      </c>
      <c r="P640" s="668">
        <f t="shared" si="69"/>
        <v>0</v>
      </c>
    </row>
    <row r="641" spans="1:18" s="677" customFormat="1" ht="27.75" hidden="1" customHeight="1">
      <c r="A641" s="985"/>
      <c r="B641" s="986">
        <f t="shared" si="63"/>
        <v>0</v>
      </c>
      <c r="C641" s="987" t="s">
        <v>1764</v>
      </c>
      <c r="D641" s="993">
        <f>Data!R1249</f>
        <v>1332.5130600000002</v>
      </c>
      <c r="E641" s="1039" t="s">
        <v>37</v>
      </c>
      <c r="F641" s="987">
        <f t="shared" si="65"/>
        <v>0</v>
      </c>
      <c r="G641" s="1036"/>
      <c r="H641" s="666">
        <f t="shared" si="66"/>
        <v>0</v>
      </c>
      <c r="I641" s="666"/>
      <c r="J641" s="666"/>
      <c r="K641" s="666">
        <f t="shared" si="67"/>
        <v>0</v>
      </c>
      <c r="L641" s="666"/>
      <c r="M641" s="665">
        <f t="shared" si="68"/>
        <v>0</v>
      </c>
      <c r="N641" s="666">
        <f t="shared" si="64"/>
        <v>0</v>
      </c>
      <c r="O641" s="672">
        <v>0</v>
      </c>
      <c r="P641" s="668">
        <f t="shared" si="69"/>
        <v>0</v>
      </c>
      <c r="Q641" s="676"/>
      <c r="R641" s="676"/>
    </row>
    <row r="642" spans="1:18" s="677" customFormat="1" ht="39" hidden="1" customHeight="1">
      <c r="A642" s="985" t="s">
        <v>1765</v>
      </c>
      <c r="B642" s="986">
        <f t="shared" si="63"/>
        <v>0</v>
      </c>
      <c r="C642" s="987" t="s">
        <v>1766</v>
      </c>
      <c r="D642" s="993">
        <f>Data!R1230</f>
        <v>1361.6930600000001</v>
      </c>
      <c r="E642" s="1039" t="s">
        <v>37</v>
      </c>
      <c r="F642" s="987">
        <f t="shared" si="65"/>
        <v>0</v>
      </c>
      <c r="G642" s="1036"/>
      <c r="H642" s="666">
        <f t="shared" si="66"/>
        <v>0</v>
      </c>
      <c r="I642" s="666"/>
      <c r="J642" s="666"/>
      <c r="K642" s="666">
        <f t="shared" si="67"/>
        <v>0</v>
      </c>
      <c r="L642" s="666"/>
      <c r="M642" s="665">
        <f t="shared" si="68"/>
        <v>0</v>
      </c>
      <c r="N642" s="666">
        <f t="shared" si="64"/>
        <v>0</v>
      </c>
      <c r="O642" s="672">
        <v>0</v>
      </c>
      <c r="P642" s="668">
        <f t="shared" si="69"/>
        <v>0</v>
      </c>
      <c r="Q642" s="676"/>
      <c r="R642" s="676"/>
    </row>
    <row r="643" spans="1:18" s="677" customFormat="1" ht="66" customHeight="1">
      <c r="A643" s="985"/>
      <c r="B643" s="986">
        <f t="shared" si="63"/>
        <v>92.199999999999989</v>
      </c>
      <c r="C643" s="987" t="s">
        <v>1767</v>
      </c>
      <c r="D643" s="993">
        <f>Data!R1230</f>
        <v>1361.6930600000001</v>
      </c>
      <c r="E643" s="1039" t="s">
        <v>37</v>
      </c>
      <c r="F643" s="987">
        <f t="shared" si="65"/>
        <v>125548.10013199999</v>
      </c>
      <c r="G643" s="1036">
        <f>Detailed!H1646</f>
        <v>92.199999999999989</v>
      </c>
      <c r="H643" s="666">
        <f t="shared" si="66"/>
        <v>125548.10013199999</v>
      </c>
      <c r="I643" s="666"/>
      <c r="J643" s="666"/>
      <c r="K643" s="666">
        <f t="shared" si="67"/>
        <v>0</v>
      </c>
      <c r="L643" s="666"/>
      <c r="M643" s="665">
        <f t="shared" si="68"/>
        <v>92.199999999999989</v>
      </c>
      <c r="N643" s="666">
        <f t="shared" si="64"/>
        <v>125548.10013199999</v>
      </c>
      <c r="O643" s="672">
        <v>92.2</v>
      </c>
      <c r="P643" s="668">
        <f t="shared" si="69"/>
        <v>0</v>
      </c>
      <c r="Q643" s="676"/>
      <c r="R643" s="676"/>
    </row>
    <row r="644" spans="1:18" s="677" customFormat="1" ht="46.5" hidden="1" customHeight="1">
      <c r="A644" s="985"/>
      <c r="B644" s="986">
        <f t="shared" si="63"/>
        <v>0</v>
      </c>
      <c r="C644" s="1049" t="s">
        <v>1768</v>
      </c>
      <c r="D644" s="993"/>
      <c r="E644" s="1039"/>
      <c r="F644" s="987">
        <f t="shared" si="65"/>
        <v>0</v>
      </c>
      <c r="G644" s="1036"/>
      <c r="H644" s="666">
        <f t="shared" si="66"/>
        <v>0</v>
      </c>
      <c r="I644" s="666"/>
      <c r="J644" s="666"/>
      <c r="K644" s="666">
        <f t="shared" si="67"/>
        <v>0</v>
      </c>
      <c r="L644" s="666"/>
      <c r="M644" s="665">
        <f t="shared" si="68"/>
        <v>0</v>
      </c>
      <c r="N644" s="666">
        <f t="shared" si="64"/>
        <v>0</v>
      </c>
      <c r="O644" s="672">
        <v>0</v>
      </c>
      <c r="P644" s="668">
        <f t="shared" si="69"/>
        <v>0</v>
      </c>
      <c r="Q644" s="676"/>
      <c r="R644" s="676"/>
    </row>
    <row r="645" spans="1:18" s="677" customFormat="1" ht="25.5" hidden="1" customHeight="1">
      <c r="A645" s="985"/>
      <c r="B645" s="986">
        <f t="shared" si="63"/>
        <v>0</v>
      </c>
      <c r="C645" s="1033" t="s">
        <v>1769</v>
      </c>
      <c r="D645" s="993">
        <f>Data!X3711</f>
        <v>3584</v>
      </c>
      <c r="E645" s="1039"/>
      <c r="F645" s="987">
        <f t="shared" si="65"/>
        <v>0</v>
      </c>
      <c r="G645" s="1036"/>
      <c r="H645" s="666">
        <f t="shared" si="66"/>
        <v>0</v>
      </c>
      <c r="I645" s="666"/>
      <c r="J645" s="666"/>
      <c r="K645" s="666">
        <f t="shared" si="67"/>
        <v>0</v>
      </c>
      <c r="L645" s="666"/>
      <c r="M645" s="665">
        <f t="shared" si="68"/>
        <v>0</v>
      </c>
      <c r="N645" s="666">
        <f t="shared" si="64"/>
        <v>0</v>
      </c>
      <c r="O645" s="672">
        <v>0</v>
      </c>
      <c r="P645" s="668">
        <f t="shared" si="69"/>
        <v>0</v>
      </c>
      <c r="Q645" s="676"/>
      <c r="R645" s="676"/>
    </row>
    <row r="646" spans="1:18" s="677" customFormat="1" ht="25.5" hidden="1" customHeight="1">
      <c r="A646" s="985"/>
      <c r="B646" s="986">
        <f t="shared" si="63"/>
        <v>0</v>
      </c>
      <c r="C646" s="1033" t="s">
        <v>1770</v>
      </c>
      <c r="D646" s="993">
        <f>Data!X3725</f>
        <v>3873</v>
      </c>
      <c r="E646" s="1039"/>
      <c r="F646" s="987">
        <f t="shared" si="65"/>
        <v>0</v>
      </c>
      <c r="G646" s="1036"/>
      <c r="H646" s="666">
        <f t="shared" si="66"/>
        <v>0</v>
      </c>
      <c r="I646" s="666"/>
      <c r="J646" s="666"/>
      <c r="K646" s="666">
        <f t="shared" si="67"/>
        <v>0</v>
      </c>
      <c r="L646" s="666"/>
      <c r="M646" s="665">
        <f t="shared" si="68"/>
        <v>0</v>
      </c>
      <c r="N646" s="666">
        <f t="shared" si="64"/>
        <v>0</v>
      </c>
      <c r="O646" s="672">
        <v>0</v>
      </c>
      <c r="P646" s="668">
        <f t="shared" si="69"/>
        <v>0</v>
      </c>
      <c r="Q646" s="676"/>
      <c r="R646" s="676"/>
    </row>
    <row r="647" spans="1:18" s="677" customFormat="1" ht="25.5" hidden="1" customHeight="1">
      <c r="A647" s="985"/>
      <c r="B647" s="986">
        <f t="shared" ref="B647:B710" si="70">M647</f>
        <v>0</v>
      </c>
      <c r="C647" s="1033" t="s">
        <v>1771</v>
      </c>
      <c r="D647" s="993"/>
      <c r="E647" s="1039" t="s">
        <v>37</v>
      </c>
      <c r="F647" s="987">
        <f t="shared" si="65"/>
        <v>0</v>
      </c>
      <c r="G647" s="1036"/>
      <c r="H647" s="666">
        <f t="shared" si="66"/>
        <v>0</v>
      </c>
      <c r="I647" s="666"/>
      <c r="J647" s="666"/>
      <c r="K647" s="666">
        <f t="shared" si="67"/>
        <v>0</v>
      </c>
      <c r="L647" s="666"/>
      <c r="M647" s="665">
        <f t="shared" si="68"/>
        <v>0</v>
      </c>
      <c r="N647" s="666">
        <f t="shared" ref="N647:N710" si="71">M647*D647</f>
        <v>0</v>
      </c>
      <c r="O647" s="672">
        <v>0</v>
      </c>
      <c r="P647" s="668">
        <f t="shared" si="69"/>
        <v>0</v>
      </c>
      <c r="Q647" s="676"/>
      <c r="R647" s="676"/>
    </row>
    <row r="648" spans="1:18" s="677" customFormat="1" ht="25.5" hidden="1" customHeight="1">
      <c r="A648" s="985"/>
      <c r="B648" s="986">
        <f t="shared" si="70"/>
        <v>0</v>
      </c>
      <c r="C648" s="1033" t="s">
        <v>1772</v>
      </c>
      <c r="D648" s="993"/>
      <c r="E648" s="1039" t="s">
        <v>37</v>
      </c>
      <c r="F648" s="987">
        <f t="shared" ref="F648:F711" si="72">B648*D648</f>
        <v>0</v>
      </c>
      <c r="G648" s="1036"/>
      <c r="H648" s="666">
        <f t="shared" si="66"/>
        <v>0</v>
      </c>
      <c r="I648" s="666"/>
      <c r="J648" s="666"/>
      <c r="K648" s="666">
        <f t="shared" ref="K648:K711" si="73">I648</f>
        <v>0</v>
      </c>
      <c r="L648" s="666"/>
      <c r="M648" s="665">
        <f t="shared" ref="M648:M711" si="74">G648</f>
        <v>0</v>
      </c>
      <c r="N648" s="666">
        <f t="shared" si="71"/>
        <v>0</v>
      </c>
      <c r="O648" s="672">
        <v>0</v>
      </c>
      <c r="P648" s="668">
        <f t="shared" ref="P648:P711" si="75">M648-O648</f>
        <v>0</v>
      </c>
      <c r="Q648" s="676"/>
      <c r="R648" s="676"/>
    </row>
    <row r="649" spans="1:18" s="677" customFormat="1" ht="46.5" hidden="1" customHeight="1">
      <c r="A649" s="985"/>
      <c r="B649" s="986">
        <f t="shared" si="70"/>
        <v>0</v>
      </c>
      <c r="C649" s="1033" t="s">
        <v>1773</v>
      </c>
      <c r="D649" s="1034">
        <f>Data!X1293</f>
        <v>1273.7230600000003</v>
      </c>
      <c r="E649" s="1037" t="s">
        <v>264</v>
      </c>
      <c r="F649" s="987">
        <f t="shared" si="72"/>
        <v>0</v>
      </c>
      <c r="G649" s="1038"/>
      <c r="H649" s="666">
        <f t="shared" ref="H649:H712" si="76">G649*D649</f>
        <v>0</v>
      </c>
      <c r="I649" s="666"/>
      <c r="J649" s="666"/>
      <c r="K649" s="666">
        <f t="shared" si="73"/>
        <v>0</v>
      </c>
      <c r="L649" s="666"/>
      <c r="M649" s="665">
        <f t="shared" si="74"/>
        <v>0</v>
      </c>
      <c r="N649" s="666">
        <f t="shared" si="71"/>
        <v>0</v>
      </c>
      <c r="O649" s="672">
        <v>0</v>
      </c>
      <c r="P649" s="668">
        <f t="shared" si="75"/>
        <v>0</v>
      </c>
      <c r="Q649" s="676"/>
      <c r="R649" s="676"/>
    </row>
    <row r="650" spans="1:18" s="677" customFormat="1" ht="46.5" hidden="1" customHeight="1">
      <c r="A650" s="985"/>
      <c r="B650" s="986">
        <f t="shared" si="70"/>
        <v>0</v>
      </c>
      <c r="C650" s="1033" t="s">
        <v>1774</v>
      </c>
      <c r="D650" s="1034">
        <f>Data!K1292</f>
        <v>2813.1232258064515</v>
      </c>
      <c r="E650" s="1037" t="s">
        <v>264</v>
      </c>
      <c r="F650" s="987">
        <f t="shared" si="72"/>
        <v>0</v>
      </c>
      <c r="G650" s="1038"/>
      <c r="H650" s="666">
        <f t="shared" si="76"/>
        <v>0</v>
      </c>
      <c r="I650" s="666"/>
      <c r="J650" s="666"/>
      <c r="K650" s="666">
        <f t="shared" si="73"/>
        <v>0</v>
      </c>
      <c r="L650" s="666"/>
      <c r="M650" s="665">
        <f t="shared" si="74"/>
        <v>0</v>
      </c>
      <c r="N650" s="666">
        <f t="shared" si="71"/>
        <v>0</v>
      </c>
      <c r="O650" s="672">
        <v>0</v>
      </c>
      <c r="P650" s="668">
        <f t="shared" si="75"/>
        <v>0</v>
      </c>
      <c r="Q650" s="676"/>
      <c r="R650" s="676"/>
    </row>
    <row r="651" spans="1:18" s="677" customFormat="1" ht="46.5" hidden="1" customHeight="1">
      <c r="A651" s="985"/>
      <c r="B651" s="986">
        <f t="shared" si="70"/>
        <v>0</v>
      </c>
      <c r="C651" s="987" t="s">
        <v>1775</v>
      </c>
      <c r="D651" s="1034">
        <v>3034.4</v>
      </c>
      <c r="E651" s="992" t="s">
        <v>37</v>
      </c>
      <c r="F651" s="987">
        <f t="shared" si="72"/>
        <v>0</v>
      </c>
      <c r="G651" s="994"/>
      <c r="H651" s="666">
        <f t="shared" si="76"/>
        <v>0</v>
      </c>
      <c r="I651" s="666"/>
      <c r="J651" s="666"/>
      <c r="K651" s="666">
        <f t="shared" si="73"/>
        <v>0</v>
      </c>
      <c r="L651" s="666"/>
      <c r="M651" s="665">
        <f t="shared" si="74"/>
        <v>0</v>
      </c>
      <c r="N651" s="666">
        <f t="shared" si="71"/>
        <v>0</v>
      </c>
      <c r="O651" s="672">
        <v>0</v>
      </c>
      <c r="P651" s="668">
        <f t="shared" si="75"/>
        <v>0</v>
      </c>
      <c r="Q651" s="676"/>
      <c r="R651" s="676"/>
    </row>
    <row r="652" spans="1:18" s="677" customFormat="1" ht="46.5" hidden="1" customHeight="1">
      <c r="A652" s="985">
        <f>11.6-7.25</f>
        <v>4.3499999999999996</v>
      </c>
      <c r="B652" s="986">
        <f t="shared" si="70"/>
        <v>0</v>
      </c>
      <c r="C652" s="987" t="s">
        <v>1776</v>
      </c>
      <c r="D652" s="1034">
        <v>915.02</v>
      </c>
      <c r="E652" s="992" t="s">
        <v>37</v>
      </c>
      <c r="F652" s="987">
        <f t="shared" si="72"/>
        <v>0</v>
      </c>
      <c r="G652" s="994"/>
      <c r="H652" s="666">
        <f t="shared" si="76"/>
        <v>0</v>
      </c>
      <c r="I652" s="666"/>
      <c r="J652" s="666"/>
      <c r="K652" s="666">
        <f t="shared" si="73"/>
        <v>0</v>
      </c>
      <c r="L652" s="666"/>
      <c r="M652" s="665">
        <f t="shared" si="74"/>
        <v>0</v>
      </c>
      <c r="N652" s="666">
        <f t="shared" si="71"/>
        <v>0</v>
      </c>
      <c r="O652" s="672">
        <v>0</v>
      </c>
      <c r="P652" s="668">
        <f t="shared" si="75"/>
        <v>0</v>
      </c>
      <c r="Q652" s="676"/>
      <c r="R652" s="676"/>
    </row>
    <row r="653" spans="1:18" s="677" customFormat="1" ht="69.75" hidden="1" customHeight="1">
      <c r="A653" s="985"/>
      <c r="B653" s="986">
        <f t="shared" si="70"/>
        <v>0</v>
      </c>
      <c r="C653" s="987" t="s">
        <v>1777</v>
      </c>
      <c r="D653" s="1034">
        <v>990</v>
      </c>
      <c r="E653" s="992" t="s">
        <v>37</v>
      </c>
      <c r="F653" s="987">
        <f t="shared" si="72"/>
        <v>0</v>
      </c>
      <c r="G653" s="994"/>
      <c r="H653" s="666">
        <f t="shared" si="76"/>
        <v>0</v>
      </c>
      <c r="I653" s="666"/>
      <c r="J653" s="666"/>
      <c r="K653" s="666">
        <f t="shared" si="73"/>
        <v>0</v>
      </c>
      <c r="L653" s="666"/>
      <c r="M653" s="665">
        <f t="shared" si="74"/>
        <v>0</v>
      </c>
      <c r="N653" s="666">
        <f t="shared" si="71"/>
        <v>0</v>
      </c>
      <c r="O653" s="672">
        <v>0</v>
      </c>
      <c r="P653" s="668">
        <f t="shared" si="75"/>
        <v>0</v>
      </c>
      <c r="Q653" s="676"/>
      <c r="R653" s="676"/>
    </row>
    <row r="654" spans="1:18" s="677" customFormat="1" ht="25.5" hidden="1" customHeight="1">
      <c r="A654" s="985"/>
      <c r="B654" s="986">
        <f t="shared" si="70"/>
        <v>0</v>
      </c>
      <c r="C654" s="987" t="s">
        <v>1778</v>
      </c>
      <c r="D654" s="1034">
        <v>905</v>
      </c>
      <c r="E654" s="992" t="s">
        <v>61</v>
      </c>
      <c r="F654" s="987">
        <f t="shared" si="72"/>
        <v>0</v>
      </c>
      <c r="G654" s="994"/>
      <c r="H654" s="666">
        <f t="shared" si="76"/>
        <v>0</v>
      </c>
      <c r="I654" s="666"/>
      <c r="J654" s="666"/>
      <c r="K654" s="666">
        <f t="shared" si="73"/>
        <v>0</v>
      </c>
      <c r="L654" s="666"/>
      <c r="M654" s="665">
        <f t="shared" si="74"/>
        <v>0</v>
      </c>
      <c r="N654" s="666">
        <f t="shared" si="71"/>
        <v>0</v>
      </c>
      <c r="O654" s="672">
        <v>0</v>
      </c>
      <c r="P654" s="668">
        <f t="shared" si="75"/>
        <v>0</v>
      </c>
      <c r="Q654" s="676"/>
      <c r="R654" s="676"/>
    </row>
    <row r="655" spans="1:18" s="677" customFormat="1" ht="25.5" hidden="1" customHeight="1">
      <c r="A655" s="985"/>
      <c r="B655" s="986">
        <f t="shared" si="70"/>
        <v>0</v>
      </c>
      <c r="C655" s="987" t="s">
        <v>1779</v>
      </c>
      <c r="D655" s="1034">
        <v>8467.2999999999993</v>
      </c>
      <c r="E655" s="992" t="s">
        <v>522</v>
      </c>
      <c r="F655" s="987">
        <f t="shared" si="72"/>
        <v>0</v>
      </c>
      <c r="G655" s="994"/>
      <c r="H655" s="666">
        <f t="shared" si="76"/>
        <v>0</v>
      </c>
      <c r="I655" s="666"/>
      <c r="J655" s="666"/>
      <c r="K655" s="666">
        <f t="shared" si="73"/>
        <v>0</v>
      </c>
      <c r="L655" s="666"/>
      <c r="M655" s="665">
        <f t="shared" si="74"/>
        <v>0</v>
      </c>
      <c r="N655" s="666">
        <f t="shared" si="71"/>
        <v>0</v>
      </c>
      <c r="O655" s="672">
        <v>0</v>
      </c>
      <c r="P655" s="668">
        <f t="shared" si="75"/>
        <v>0</v>
      </c>
      <c r="Q655" s="676"/>
      <c r="R655" s="676"/>
    </row>
    <row r="656" spans="1:18" s="677" customFormat="1" ht="93" hidden="1" customHeight="1">
      <c r="A656" s="985"/>
      <c r="B656" s="986">
        <f t="shared" si="70"/>
        <v>0</v>
      </c>
      <c r="C656" s="987" t="s">
        <v>1780</v>
      </c>
      <c r="D656" s="1034">
        <v>3409</v>
      </c>
      <c r="E656" s="992" t="s">
        <v>522</v>
      </c>
      <c r="F656" s="987">
        <f t="shared" si="72"/>
        <v>0</v>
      </c>
      <c r="G656" s="994"/>
      <c r="H656" s="666">
        <f t="shared" si="76"/>
        <v>0</v>
      </c>
      <c r="I656" s="666"/>
      <c r="J656" s="666"/>
      <c r="K656" s="666">
        <f t="shared" si="73"/>
        <v>0</v>
      </c>
      <c r="L656" s="666"/>
      <c r="M656" s="665">
        <f t="shared" si="74"/>
        <v>0</v>
      </c>
      <c r="N656" s="666">
        <f t="shared" si="71"/>
        <v>0</v>
      </c>
      <c r="O656" s="672">
        <v>0</v>
      </c>
      <c r="P656" s="668">
        <f t="shared" si="75"/>
        <v>0</v>
      </c>
      <c r="Q656" s="676"/>
      <c r="R656" s="676"/>
    </row>
    <row r="657" spans="1:18" s="677" customFormat="1" ht="93" hidden="1" customHeight="1">
      <c r="A657" s="985"/>
      <c r="B657" s="986">
        <f t="shared" si="70"/>
        <v>0</v>
      </c>
      <c r="C657" s="987" t="s">
        <v>1781</v>
      </c>
      <c r="D657" s="1034">
        <v>469.42</v>
      </c>
      <c r="E657" s="992" t="s">
        <v>522</v>
      </c>
      <c r="F657" s="987">
        <f t="shared" si="72"/>
        <v>0</v>
      </c>
      <c r="G657" s="994"/>
      <c r="H657" s="666">
        <f t="shared" si="76"/>
        <v>0</v>
      </c>
      <c r="I657" s="666"/>
      <c r="J657" s="666"/>
      <c r="K657" s="666">
        <f t="shared" si="73"/>
        <v>0</v>
      </c>
      <c r="L657" s="666"/>
      <c r="M657" s="665">
        <f t="shared" si="74"/>
        <v>0</v>
      </c>
      <c r="N657" s="666">
        <f t="shared" si="71"/>
        <v>0</v>
      </c>
      <c r="O657" s="672">
        <v>0</v>
      </c>
      <c r="P657" s="668">
        <f t="shared" si="75"/>
        <v>0</v>
      </c>
      <c r="Q657" s="676"/>
      <c r="R657" s="676"/>
    </row>
    <row r="658" spans="1:18" s="677" customFormat="1" ht="25.5" hidden="1" customHeight="1">
      <c r="A658" s="985"/>
      <c r="B658" s="986">
        <f t="shared" si="70"/>
        <v>0</v>
      </c>
      <c r="C658" s="987" t="s">
        <v>1782</v>
      </c>
      <c r="D658" s="1034"/>
      <c r="E658" s="992"/>
      <c r="F658" s="987">
        <f t="shared" si="72"/>
        <v>0</v>
      </c>
      <c r="G658" s="994"/>
      <c r="H658" s="666">
        <f t="shared" si="76"/>
        <v>0</v>
      </c>
      <c r="I658" s="666"/>
      <c r="J658" s="666"/>
      <c r="K658" s="666">
        <f t="shared" si="73"/>
        <v>0</v>
      </c>
      <c r="L658" s="666"/>
      <c r="M658" s="665">
        <f t="shared" si="74"/>
        <v>0</v>
      </c>
      <c r="N658" s="666">
        <f t="shared" si="71"/>
        <v>0</v>
      </c>
      <c r="O658" s="672">
        <v>0</v>
      </c>
      <c r="P658" s="668">
        <f t="shared" si="75"/>
        <v>0</v>
      </c>
      <c r="Q658" s="676"/>
      <c r="R658" s="676"/>
    </row>
    <row r="659" spans="1:18" s="677" customFormat="1" ht="26.25" hidden="1" customHeight="1">
      <c r="A659" s="985"/>
      <c r="B659" s="986">
        <f t="shared" si="70"/>
        <v>0</v>
      </c>
      <c r="C659" s="987" t="s">
        <v>1783</v>
      </c>
      <c r="D659" s="1034">
        <v>5640</v>
      </c>
      <c r="E659" s="992" t="s">
        <v>522</v>
      </c>
      <c r="F659" s="987">
        <f t="shared" si="72"/>
        <v>0</v>
      </c>
      <c r="G659" s="994"/>
      <c r="H659" s="666">
        <f t="shared" si="76"/>
        <v>0</v>
      </c>
      <c r="I659" s="666"/>
      <c r="J659" s="666"/>
      <c r="K659" s="666">
        <f t="shared" si="73"/>
        <v>0</v>
      </c>
      <c r="L659" s="666"/>
      <c r="M659" s="665">
        <f t="shared" si="74"/>
        <v>0</v>
      </c>
      <c r="N659" s="666">
        <f t="shared" si="71"/>
        <v>0</v>
      </c>
      <c r="O659" s="672">
        <v>0</v>
      </c>
      <c r="P659" s="668">
        <f t="shared" si="75"/>
        <v>0</v>
      </c>
      <c r="Q659" s="676"/>
      <c r="R659" s="676"/>
    </row>
    <row r="660" spans="1:18" s="677" customFormat="1" ht="25.5" hidden="1" customHeight="1">
      <c r="A660" s="985"/>
      <c r="B660" s="986">
        <f t="shared" si="70"/>
        <v>0</v>
      </c>
      <c r="C660" s="987" t="s">
        <v>1784</v>
      </c>
      <c r="D660" s="1034">
        <v>1340</v>
      </c>
      <c r="E660" s="992" t="s">
        <v>522</v>
      </c>
      <c r="F660" s="987">
        <f t="shared" si="72"/>
        <v>0</v>
      </c>
      <c r="G660" s="994"/>
      <c r="H660" s="666">
        <f t="shared" si="76"/>
        <v>0</v>
      </c>
      <c r="I660" s="666"/>
      <c r="J660" s="666"/>
      <c r="K660" s="666">
        <f t="shared" si="73"/>
        <v>0</v>
      </c>
      <c r="L660" s="666"/>
      <c r="M660" s="665">
        <f t="shared" si="74"/>
        <v>0</v>
      </c>
      <c r="N660" s="666">
        <f t="shared" si="71"/>
        <v>0</v>
      </c>
      <c r="O660" s="672">
        <v>0</v>
      </c>
      <c r="P660" s="668">
        <f t="shared" si="75"/>
        <v>0</v>
      </c>
      <c r="Q660" s="676"/>
      <c r="R660" s="676"/>
    </row>
    <row r="661" spans="1:18" s="677" customFormat="1" ht="25.5" hidden="1" customHeight="1">
      <c r="A661" s="985"/>
      <c r="B661" s="986">
        <f t="shared" si="70"/>
        <v>0</v>
      </c>
      <c r="C661" s="987" t="s">
        <v>1785</v>
      </c>
      <c r="D661" s="1034">
        <v>604</v>
      </c>
      <c r="E661" s="992" t="s">
        <v>522</v>
      </c>
      <c r="F661" s="987">
        <f t="shared" si="72"/>
        <v>0</v>
      </c>
      <c r="G661" s="994"/>
      <c r="H661" s="666">
        <f t="shared" si="76"/>
        <v>0</v>
      </c>
      <c r="I661" s="666"/>
      <c r="J661" s="666"/>
      <c r="K661" s="666">
        <f t="shared" si="73"/>
        <v>0</v>
      </c>
      <c r="L661" s="666"/>
      <c r="M661" s="665">
        <f t="shared" si="74"/>
        <v>0</v>
      </c>
      <c r="N661" s="666">
        <f t="shared" si="71"/>
        <v>0</v>
      </c>
      <c r="O661" s="672">
        <v>0</v>
      </c>
      <c r="P661" s="668">
        <f t="shared" si="75"/>
        <v>0</v>
      </c>
      <c r="Q661" s="676"/>
      <c r="R661" s="676"/>
    </row>
    <row r="662" spans="1:18" s="677" customFormat="1" ht="69.75" hidden="1" customHeight="1">
      <c r="A662" s="985"/>
      <c r="B662" s="986">
        <f t="shared" si="70"/>
        <v>0</v>
      </c>
      <c r="C662" s="987" t="s">
        <v>1786</v>
      </c>
      <c r="D662" s="1034"/>
      <c r="E662" s="992"/>
      <c r="F662" s="987">
        <f t="shared" si="72"/>
        <v>0</v>
      </c>
      <c r="G662" s="994"/>
      <c r="H662" s="666">
        <f t="shared" si="76"/>
        <v>0</v>
      </c>
      <c r="I662" s="666"/>
      <c r="J662" s="666"/>
      <c r="K662" s="666">
        <f t="shared" si="73"/>
        <v>0</v>
      </c>
      <c r="L662" s="666"/>
      <c r="M662" s="665">
        <f t="shared" si="74"/>
        <v>0</v>
      </c>
      <c r="N662" s="666">
        <f t="shared" si="71"/>
        <v>0</v>
      </c>
      <c r="O662" s="672">
        <v>0</v>
      </c>
      <c r="P662" s="668">
        <f t="shared" si="75"/>
        <v>0</v>
      </c>
      <c r="Q662" s="676"/>
      <c r="R662" s="676"/>
    </row>
    <row r="663" spans="1:18" s="677" customFormat="1" ht="25.5" hidden="1" customHeight="1">
      <c r="A663" s="985"/>
      <c r="B663" s="986">
        <f t="shared" si="70"/>
        <v>0</v>
      </c>
      <c r="C663" s="987" t="s">
        <v>168</v>
      </c>
      <c r="D663" s="1034">
        <v>1000.51</v>
      </c>
      <c r="E663" s="992" t="s">
        <v>522</v>
      </c>
      <c r="F663" s="987">
        <f t="shared" si="72"/>
        <v>0</v>
      </c>
      <c r="G663" s="994"/>
      <c r="H663" s="666">
        <f t="shared" si="76"/>
        <v>0</v>
      </c>
      <c r="I663" s="666"/>
      <c r="J663" s="666"/>
      <c r="K663" s="666">
        <f t="shared" si="73"/>
        <v>0</v>
      </c>
      <c r="L663" s="666"/>
      <c r="M663" s="665">
        <f t="shared" si="74"/>
        <v>0</v>
      </c>
      <c r="N663" s="666">
        <f t="shared" si="71"/>
        <v>0</v>
      </c>
      <c r="O663" s="672">
        <v>0</v>
      </c>
      <c r="P663" s="668">
        <f t="shared" si="75"/>
        <v>0</v>
      </c>
      <c r="Q663" s="676"/>
      <c r="R663" s="676"/>
    </row>
    <row r="664" spans="1:18" s="677" customFormat="1" ht="25.5" hidden="1" customHeight="1">
      <c r="A664" s="985"/>
      <c r="B664" s="986">
        <f t="shared" si="70"/>
        <v>0</v>
      </c>
      <c r="C664" s="987" t="s">
        <v>170</v>
      </c>
      <c r="D664" s="1034">
        <v>1003.51</v>
      </c>
      <c r="E664" s="992" t="s">
        <v>522</v>
      </c>
      <c r="F664" s="987">
        <f t="shared" si="72"/>
        <v>0</v>
      </c>
      <c r="G664" s="994"/>
      <c r="H664" s="666">
        <f t="shared" si="76"/>
        <v>0</v>
      </c>
      <c r="I664" s="666"/>
      <c r="J664" s="666"/>
      <c r="K664" s="666">
        <f t="shared" si="73"/>
        <v>0</v>
      </c>
      <c r="L664" s="666"/>
      <c r="M664" s="665">
        <f t="shared" si="74"/>
        <v>0</v>
      </c>
      <c r="N664" s="666">
        <f t="shared" si="71"/>
        <v>0</v>
      </c>
      <c r="O664" s="672">
        <v>0</v>
      </c>
      <c r="P664" s="668">
        <f t="shared" si="75"/>
        <v>0</v>
      </c>
      <c r="Q664" s="676"/>
      <c r="R664" s="676"/>
    </row>
    <row r="665" spans="1:18" s="677" customFormat="1" ht="116.25" hidden="1" customHeight="1">
      <c r="A665" s="985"/>
      <c r="B665" s="986">
        <f t="shared" si="70"/>
        <v>0</v>
      </c>
      <c r="C665" s="987" t="s">
        <v>1787</v>
      </c>
      <c r="D665" s="1034">
        <v>769.3</v>
      </c>
      <c r="E665" s="992" t="s">
        <v>522</v>
      </c>
      <c r="F665" s="987">
        <f t="shared" si="72"/>
        <v>0</v>
      </c>
      <c r="G665" s="994"/>
      <c r="H665" s="666">
        <f t="shared" si="76"/>
        <v>0</v>
      </c>
      <c r="I665" s="666"/>
      <c r="J665" s="666"/>
      <c r="K665" s="666">
        <f t="shared" si="73"/>
        <v>0</v>
      </c>
      <c r="L665" s="666"/>
      <c r="M665" s="665">
        <f t="shared" si="74"/>
        <v>0</v>
      </c>
      <c r="N665" s="666">
        <f t="shared" si="71"/>
        <v>0</v>
      </c>
      <c r="O665" s="672">
        <v>0</v>
      </c>
      <c r="P665" s="668">
        <f t="shared" si="75"/>
        <v>0</v>
      </c>
      <c r="Q665" s="676"/>
      <c r="R665" s="676"/>
    </row>
    <row r="666" spans="1:18" s="677" customFormat="1" ht="116.25" hidden="1" customHeight="1">
      <c r="A666" s="985"/>
      <c r="B666" s="986">
        <f t="shared" si="70"/>
        <v>0</v>
      </c>
      <c r="C666" s="987" t="s">
        <v>1788</v>
      </c>
      <c r="D666" s="1034">
        <v>536.54999999999995</v>
      </c>
      <c r="E666" s="992" t="s">
        <v>522</v>
      </c>
      <c r="F666" s="987">
        <f t="shared" si="72"/>
        <v>0</v>
      </c>
      <c r="G666" s="994"/>
      <c r="H666" s="666">
        <f t="shared" si="76"/>
        <v>0</v>
      </c>
      <c r="I666" s="666"/>
      <c r="J666" s="666"/>
      <c r="K666" s="666">
        <f t="shared" si="73"/>
        <v>0</v>
      </c>
      <c r="L666" s="666"/>
      <c r="M666" s="665">
        <f t="shared" si="74"/>
        <v>0</v>
      </c>
      <c r="N666" s="666">
        <f t="shared" si="71"/>
        <v>0</v>
      </c>
      <c r="O666" s="672">
        <v>0</v>
      </c>
      <c r="P666" s="668">
        <f t="shared" si="75"/>
        <v>0</v>
      </c>
      <c r="Q666" s="676"/>
      <c r="R666" s="676"/>
    </row>
    <row r="667" spans="1:18" s="677" customFormat="1" ht="46.5" hidden="1" customHeight="1">
      <c r="A667" s="985"/>
      <c r="B667" s="986">
        <f t="shared" si="70"/>
        <v>0</v>
      </c>
      <c r="C667" s="987" t="s">
        <v>1789</v>
      </c>
      <c r="D667" s="1034">
        <v>627.4</v>
      </c>
      <c r="E667" s="1050" t="s">
        <v>1790</v>
      </c>
      <c r="F667" s="987">
        <f t="shared" si="72"/>
        <v>0</v>
      </c>
      <c r="G667" s="1051"/>
      <c r="H667" s="666">
        <f t="shared" si="76"/>
        <v>0</v>
      </c>
      <c r="I667" s="666"/>
      <c r="J667" s="666"/>
      <c r="K667" s="666">
        <f t="shared" si="73"/>
        <v>0</v>
      </c>
      <c r="L667" s="666"/>
      <c r="M667" s="665">
        <f t="shared" si="74"/>
        <v>0</v>
      </c>
      <c r="N667" s="666">
        <f t="shared" si="71"/>
        <v>0</v>
      </c>
      <c r="O667" s="672">
        <v>0</v>
      </c>
      <c r="P667" s="668">
        <f t="shared" si="75"/>
        <v>0</v>
      </c>
      <c r="Q667" s="676"/>
      <c r="R667" s="676"/>
    </row>
    <row r="668" spans="1:18" s="677" customFormat="1" ht="25.5" hidden="1" customHeight="1">
      <c r="A668" s="985"/>
      <c r="B668" s="986">
        <f t="shared" si="70"/>
        <v>0</v>
      </c>
      <c r="C668" s="987" t="s">
        <v>1791</v>
      </c>
      <c r="D668" s="1034">
        <v>435</v>
      </c>
      <c r="E668" s="1050" t="s">
        <v>1790</v>
      </c>
      <c r="F668" s="987">
        <f t="shared" si="72"/>
        <v>0</v>
      </c>
      <c r="G668" s="1051"/>
      <c r="H668" s="666">
        <f t="shared" si="76"/>
        <v>0</v>
      </c>
      <c r="I668" s="666"/>
      <c r="J668" s="666"/>
      <c r="K668" s="666">
        <f t="shared" si="73"/>
        <v>0</v>
      </c>
      <c r="L668" s="666"/>
      <c r="M668" s="665">
        <f t="shared" si="74"/>
        <v>0</v>
      </c>
      <c r="N668" s="666">
        <f t="shared" si="71"/>
        <v>0</v>
      </c>
      <c r="O668" s="672">
        <v>0</v>
      </c>
      <c r="P668" s="668">
        <f t="shared" si="75"/>
        <v>0</v>
      </c>
      <c r="Q668" s="676"/>
      <c r="R668" s="676"/>
    </row>
    <row r="669" spans="1:18" s="677" customFormat="1" ht="25.5" hidden="1" customHeight="1">
      <c r="A669" s="985"/>
      <c r="B669" s="986">
        <f t="shared" si="70"/>
        <v>0</v>
      </c>
      <c r="C669" s="987" t="s">
        <v>1792</v>
      </c>
      <c r="D669" s="1034">
        <v>356</v>
      </c>
      <c r="E669" s="1050" t="s">
        <v>1790</v>
      </c>
      <c r="F669" s="987">
        <f t="shared" si="72"/>
        <v>0</v>
      </c>
      <c r="G669" s="1051"/>
      <c r="H669" s="666">
        <f t="shared" si="76"/>
        <v>0</v>
      </c>
      <c r="I669" s="666"/>
      <c r="J669" s="666"/>
      <c r="K669" s="666">
        <f t="shared" si="73"/>
        <v>0</v>
      </c>
      <c r="L669" s="666"/>
      <c r="M669" s="665">
        <f t="shared" si="74"/>
        <v>0</v>
      </c>
      <c r="N669" s="666">
        <f t="shared" si="71"/>
        <v>0</v>
      </c>
      <c r="O669" s="672">
        <v>0</v>
      </c>
      <c r="P669" s="668">
        <f t="shared" si="75"/>
        <v>0</v>
      </c>
      <c r="Q669" s="676"/>
      <c r="R669" s="676"/>
    </row>
    <row r="670" spans="1:18" s="677" customFormat="1" ht="25.5" hidden="1" customHeight="1">
      <c r="A670" s="985"/>
      <c r="B670" s="986">
        <f t="shared" si="70"/>
        <v>0</v>
      </c>
      <c r="C670" s="987" t="s">
        <v>1793</v>
      </c>
      <c r="D670" s="1034">
        <v>317</v>
      </c>
      <c r="E670" s="1050" t="s">
        <v>1790</v>
      </c>
      <c r="F670" s="987">
        <f t="shared" si="72"/>
        <v>0</v>
      </c>
      <c r="G670" s="1051"/>
      <c r="H670" s="666">
        <f t="shared" si="76"/>
        <v>0</v>
      </c>
      <c r="I670" s="666"/>
      <c r="J670" s="666"/>
      <c r="K670" s="666">
        <f t="shared" si="73"/>
        <v>0</v>
      </c>
      <c r="L670" s="666"/>
      <c r="M670" s="665">
        <f t="shared" si="74"/>
        <v>0</v>
      </c>
      <c r="N670" s="666">
        <f t="shared" si="71"/>
        <v>0</v>
      </c>
      <c r="O670" s="672">
        <v>0</v>
      </c>
      <c r="P670" s="668">
        <f t="shared" si="75"/>
        <v>0</v>
      </c>
      <c r="Q670" s="676"/>
      <c r="R670" s="676"/>
    </row>
    <row r="671" spans="1:18" s="677" customFormat="1" ht="25.5" hidden="1" customHeight="1">
      <c r="A671" s="985"/>
      <c r="B671" s="986">
        <f t="shared" si="70"/>
        <v>0</v>
      </c>
      <c r="C671" s="987" t="s">
        <v>1794</v>
      </c>
      <c r="D671" s="1034">
        <v>176.84</v>
      </c>
      <c r="E671" s="1050" t="s">
        <v>61</v>
      </c>
      <c r="F671" s="987">
        <f t="shared" si="72"/>
        <v>0</v>
      </c>
      <c r="G671" s="1051"/>
      <c r="H671" s="666">
        <f t="shared" si="76"/>
        <v>0</v>
      </c>
      <c r="I671" s="666"/>
      <c r="J671" s="666"/>
      <c r="K671" s="666">
        <f t="shared" si="73"/>
        <v>0</v>
      </c>
      <c r="L671" s="666"/>
      <c r="M671" s="665">
        <f t="shared" si="74"/>
        <v>0</v>
      </c>
      <c r="N671" s="666">
        <f t="shared" si="71"/>
        <v>0</v>
      </c>
      <c r="O671" s="672">
        <v>0</v>
      </c>
      <c r="P671" s="668">
        <f t="shared" si="75"/>
        <v>0</v>
      </c>
      <c r="Q671" s="676"/>
      <c r="R671" s="676"/>
    </row>
    <row r="672" spans="1:18" s="677" customFormat="1" ht="69.75" hidden="1" customHeight="1">
      <c r="A672" s="985"/>
      <c r="B672" s="986">
        <f t="shared" si="70"/>
        <v>0</v>
      </c>
      <c r="C672" s="987" t="s">
        <v>1795</v>
      </c>
      <c r="D672" s="1034">
        <v>293.25</v>
      </c>
      <c r="E672" s="1050" t="s">
        <v>522</v>
      </c>
      <c r="F672" s="987">
        <f t="shared" si="72"/>
        <v>0</v>
      </c>
      <c r="G672" s="1051"/>
      <c r="H672" s="666">
        <f t="shared" si="76"/>
        <v>0</v>
      </c>
      <c r="I672" s="666"/>
      <c r="J672" s="666"/>
      <c r="K672" s="666">
        <f t="shared" si="73"/>
        <v>0</v>
      </c>
      <c r="L672" s="666"/>
      <c r="M672" s="665">
        <f t="shared" si="74"/>
        <v>0</v>
      </c>
      <c r="N672" s="666">
        <f t="shared" si="71"/>
        <v>0</v>
      </c>
      <c r="O672" s="672">
        <v>0</v>
      </c>
      <c r="P672" s="668">
        <f t="shared" si="75"/>
        <v>0</v>
      </c>
      <c r="Q672" s="676"/>
      <c r="R672" s="676"/>
    </row>
    <row r="673" spans="1:18" s="677" customFormat="1" ht="69.75" hidden="1" customHeight="1">
      <c r="A673" s="985"/>
      <c r="B673" s="986">
        <f t="shared" si="70"/>
        <v>0</v>
      </c>
      <c r="C673" s="1049" t="s">
        <v>1796</v>
      </c>
      <c r="D673" s="1041"/>
      <c r="E673" s="992"/>
      <c r="F673" s="987">
        <f t="shared" si="72"/>
        <v>0</v>
      </c>
      <c r="G673" s="994"/>
      <c r="H673" s="666">
        <f t="shared" si="76"/>
        <v>0</v>
      </c>
      <c r="I673" s="666"/>
      <c r="J673" s="666"/>
      <c r="K673" s="666">
        <f t="shared" si="73"/>
        <v>0</v>
      </c>
      <c r="L673" s="666"/>
      <c r="M673" s="665">
        <f t="shared" si="74"/>
        <v>0</v>
      </c>
      <c r="N673" s="666">
        <f t="shared" si="71"/>
        <v>0</v>
      </c>
      <c r="O673" s="672">
        <v>0</v>
      </c>
      <c r="P673" s="668">
        <f t="shared" si="75"/>
        <v>0</v>
      </c>
      <c r="Q673" s="676"/>
      <c r="R673" s="676"/>
    </row>
    <row r="674" spans="1:18" s="677" customFormat="1" ht="25.5" hidden="1" customHeight="1">
      <c r="A674" s="985"/>
      <c r="B674" s="986">
        <f t="shared" si="70"/>
        <v>0</v>
      </c>
      <c r="C674" s="1033" t="s">
        <v>1797</v>
      </c>
      <c r="D674" s="1041">
        <f>Data!R1455</f>
        <v>5611.103703703704</v>
      </c>
      <c r="E674" s="992" t="s">
        <v>37</v>
      </c>
      <c r="F674" s="987">
        <f t="shared" si="72"/>
        <v>0</v>
      </c>
      <c r="G674" s="994"/>
      <c r="H674" s="666">
        <f t="shared" si="76"/>
        <v>0</v>
      </c>
      <c r="I674" s="666"/>
      <c r="J674" s="666"/>
      <c r="K674" s="666">
        <f t="shared" si="73"/>
        <v>0</v>
      </c>
      <c r="L674" s="666"/>
      <c r="M674" s="665">
        <f t="shared" si="74"/>
        <v>0</v>
      </c>
      <c r="N674" s="666">
        <f t="shared" si="71"/>
        <v>0</v>
      </c>
      <c r="O674" s="672">
        <v>0</v>
      </c>
      <c r="P674" s="668">
        <f t="shared" si="75"/>
        <v>0</v>
      </c>
      <c r="Q674" s="676"/>
      <c r="R674" s="676"/>
    </row>
    <row r="675" spans="1:18" s="677" customFormat="1" ht="25.5" hidden="1" customHeight="1">
      <c r="A675" s="985"/>
      <c r="B675" s="986">
        <f t="shared" si="70"/>
        <v>0</v>
      </c>
      <c r="C675" s="1033" t="s">
        <v>1798</v>
      </c>
      <c r="D675" s="1041">
        <f>'[8]Sliding and french window'!F145</f>
        <v>5107.12</v>
      </c>
      <c r="E675" s="992" t="s">
        <v>37</v>
      </c>
      <c r="F675" s="987">
        <f t="shared" si="72"/>
        <v>0</v>
      </c>
      <c r="G675" s="994"/>
      <c r="H675" s="666">
        <f t="shared" si="76"/>
        <v>0</v>
      </c>
      <c r="I675" s="666"/>
      <c r="J675" s="666"/>
      <c r="K675" s="666">
        <f t="shared" si="73"/>
        <v>0</v>
      </c>
      <c r="L675" s="666"/>
      <c r="M675" s="665">
        <f t="shared" si="74"/>
        <v>0</v>
      </c>
      <c r="N675" s="666">
        <f t="shared" si="71"/>
        <v>0</v>
      </c>
      <c r="O675" s="672">
        <v>0</v>
      </c>
      <c r="P675" s="668">
        <f t="shared" si="75"/>
        <v>0</v>
      </c>
      <c r="Q675" s="676"/>
      <c r="R675" s="676"/>
    </row>
    <row r="676" spans="1:18" s="677" customFormat="1" ht="25.5" hidden="1" customHeight="1">
      <c r="A676" s="985"/>
      <c r="B676" s="986">
        <f t="shared" si="70"/>
        <v>0</v>
      </c>
      <c r="C676" s="1033" t="s">
        <v>1799</v>
      </c>
      <c r="D676" s="1041">
        <f>'[8]Sliding and french window'!F32</f>
        <v>4757.03</v>
      </c>
      <c r="E676" s="992" t="s">
        <v>37</v>
      </c>
      <c r="F676" s="987">
        <f t="shared" si="72"/>
        <v>0</v>
      </c>
      <c r="G676" s="994"/>
      <c r="H676" s="666">
        <f t="shared" si="76"/>
        <v>0</v>
      </c>
      <c r="I676" s="666"/>
      <c r="J676" s="666"/>
      <c r="K676" s="666">
        <f t="shared" si="73"/>
        <v>0</v>
      </c>
      <c r="L676" s="666"/>
      <c r="M676" s="665">
        <f t="shared" si="74"/>
        <v>0</v>
      </c>
      <c r="N676" s="666">
        <f t="shared" si="71"/>
        <v>0</v>
      </c>
      <c r="O676" s="672">
        <v>0</v>
      </c>
      <c r="P676" s="668">
        <f t="shared" si="75"/>
        <v>0</v>
      </c>
      <c r="Q676" s="676"/>
      <c r="R676" s="676"/>
    </row>
    <row r="677" spans="1:18" s="677" customFormat="1" ht="25.5" hidden="1" customHeight="1">
      <c r="A677" s="985"/>
      <c r="B677" s="986">
        <f t="shared" si="70"/>
        <v>0</v>
      </c>
      <c r="C677" s="1033" t="s">
        <v>1800</v>
      </c>
      <c r="D677" s="1041">
        <f>'[8]Sliding and french window'!F310</f>
        <v>5118.9399999999996</v>
      </c>
      <c r="E677" s="992" t="s">
        <v>37</v>
      </c>
      <c r="F677" s="987">
        <f t="shared" si="72"/>
        <v>0</v>
      </c>
      <c r="G677" s="994"/>
      <c r="H677" s="666">
        <f t="shared" si="76"/>
        <v>0</v>
      </c>
      <c r="I677" s="666"/>
      <c r="J677" s="666"/>
      <c r="K677" s="666">
        <f t="shared" si="73"/>
        <v>0</v>
      </c>
      <c r="L677" s="666"/>
      <c r="M677" s="665">
        <f t="shared" si="74"/>
        <v>0</v>
      </c>
      <c r="N677" s="666">
        <f t="shared" si="71"/>
        <v>0</v>
      </c>
      <c r="O677" s="672">
        <v>0</v>
      </c>
      <c r="P677" s="668">
        <f t="shared" si="75"/>
        <v>0</v>
      </c>
      <c r="Q677" s="676"/>
      <c r="R677" s="676"/>
    </row>
    <row r="678" spans="1:18" s="677" customFormat="1" ht="25.5" hidden="1" customHeight="1">
      <c r="A678" s="985"/>
      <c r="B678" s="986">
        <f t="shared" si="70"/>
        <v>0</v>
      </c>
      <c r="C678" s="1033" t="s">
        <v>1801</v>
      </c>
      <c r="D678" s="1041">
        <f>'[8]Sliding and french window'!F167</f>
        <v>4446.5</v>
      </c>
      <c r="E678" s="992" t="s">
        <v>37</v>
      </c>
      <c r="F678" s="987">
        <f t="shared" si="72"/>
        <v>0</v>
      </c>
      <c r="G678" s="994"/>
      <c r="H678" s="666">
        <f t="shared" si="76"/>
        <v>0</v>
      </c>
      <c r="I678" s="666"/>
      <c r="J678" s="666"/>
      <c r="K678" s="666">
        <f t="shared" si="73"/>
        <v>0</v>
      </c>
      <c r="L678" s="666"/>
      <c r="M678" s="665">
        <f t="shared" si="74"/>
        <v>0</v>
      </c>
      <c r="N678" s="666">
        <f t="shared" si="71"/>
        <v>0</v>
      </c>
      <c r="O678" s="672">
        <v>0</v>
      </c>
      <c r="P678" s="668">
        <f t="shared" si="75"/>
        <v>0</v>
      </c>
      <c r="Q678" s="676"/>
      <c r="R678" s="676"/>
    </row>
    <row r="679" spans="1:18" s="677" customFormat="1" ht="25.5" hidden="1" customHeight="1">
      <c r="A679" s="985"/>
      <c r="B679" s="986">
        <f t="shared" si="70"/>
        <v>0</v>
      </c>
      <c r="C679" s="1033" t="s">
        <v>1802</v>
      </c>
      <c r="D679" s="1041">
        <f>'[8]Sliding and french window'!F145</f>
        <v>5107.12</v>
      </c>
      <c r="E679" s="992" t="s">
        <v>37</v>
      </c>
      <c r="F679" s="987">
        <f t="shared" si="72"/>
        <v>0</v>
      </c>
      <c r="G679" s="994"/>
      <c r="H679" s="666">
        <f t="shared" si="76"/>
        <v>0</v>
      </c>
      <c r="I679" s="666"/>
      <c r="J679" s="666"/>
      <c r="K679" s="666">
        <f t="shared" si="73"/>
        <v>0</v>
      </c>
      <c r="L679" s="666"/>
      <c r="M679" s="665">
        <f t="shared" si="74"/>
        <v>0</v>
      </c>
      <c r="N679" s="666">
        <f t="shared" si="71"/>
        <v>0</v>
      </c>
      <c r="O679" s="672">
        <v>0</v>
      </c>
      <c r="P679" s="668">
        <f t="shared" si="75"/>
        <v>0</v>
      </c>
      <c r="Q679" s="676"/>
      <c r="R679" s="676"/>
    </row>
    <row r="680" spans="1:18" s="677" customFormat="1" ht="25.5" hidden="1" customHeight="1">
      <c r="A680" s="985"/>
      <c r="B680" s="986">
        <f t="shared" si="70"/>
        <v>0</v>
      </c>
      <c r="C680" s="1033" t="s">
        <v>1803</v>
      </c>
      <c r="D680" s="1041">
        <f>'[8]Sliding and french window'!F46</f>
        <v>4517.32</v>
      </c>
      <c r="E680" s="992" t="s">
        <v>37</v>
      </c>
      <c r="F680" s="987">
        <f t="shared" si="72"/>
        <v>0</v>
      </c>
      <c r="G680" s="994"/>
      <c r="H680" s="666">
        <f t="shared" si="76"/>
        <v>0</v>
      </c>
      <c r="I680" s="666"/>
      <c r="J680" s="666"/>
      <c r="K680" s="666">
        <f t="shared" si="73"/>
        <v>0</v>
      </c>
      <c r="L680" s="666"/>
      <c r="M680" s="665">
        <f t="shared" si="74"/>
        <v>0</v>
      </c>
      <c r="N680" s="666">
        <f t="shared" si="71"/>
        <v>0</v>
      </c>
      <c r="O680" s="672">
        <v>0</v>
      </c>
      <c r="P680" s="668">
        <f t="shared" si="75"/>
        <v>0</v>
      </c>
      <c r="Q680" s="676"/>
      <c r="R680" s="676"/>
    </row>
    <row r="681" spans="1:18" s="677" customFormat="1" ht="25.5" hidden="1" customHeight="1">
      <c r="A681" s="985"/>
      <c r="B681" s="986">
        <f t="shared" si="70"/>
        <v>0</v>
      </c>
      <c r="C681" s="1033" t="s">
        <v>1804</v>
      </c>
      <c r="D681" s="1041">
        <f>'[8]Sliding and french window'!F32</f>
        <v>4757.03</v>
      </c>
      <c r="E681" s="992" t="s">
        <v>37</v>
      </c>
      <c r="F681" s="987">
        <f t="shared" si="72"/>
        <v>0</v>
      </c>
      <c r="G681" s="994"/>
      <c r="H681" s="666">
        <f t="shared" si="76"/>
        <v>0</v>
      </c>
      <c r="I681" s="666"/>
      <c r="J681" s="666"/>
      <c r="K681" s="666">
        <f t="shared" si="73"/>
        <v>0</v>
      </c>
      <c r="L681" s="666"/>
      <c r="M681" s="665">
        <f t="shared" si="74"/>
        <v>0</v>
      </c>
      <c r="N681" s="666">
        <f t="shared" si="71"/>
        <v>0</v>
      </c>
      <c r="O681" s="672">
        <v>0</v>
      </c>
      <c r="P681" s="668">
        <f t="shared" si="75"/>
        <v>0</v>
      </c>
      <c r="Q681" s="676"/>
      <c r="R681" s="676"/>
    </row>
    <row r="682" spans="1:18" s="677" customFormat="1" ht="25.5" hidden="1" customHeight="1">
      <c r="A682" s="985"/>
      <c r="B682" s="986">
        <f t="shared" si="70"/>
        <v>0</v>
      </c>
      <c r="C682" s="1033" t="s">
        <v>1805</v>
      </c>
      <c r="D682" s="1041">
        <f>'[8]Sliding and french window'!F167</f>
        <v>4446.5</v>
      </c>
      <c r="E682" s="992" t="s">
        <v>37</v>
      </c>
      <c r="F682" s="987">
        <f t="shared" si="72"/>
        <v>0</v>
      </c>
      <c r="G682" s="994"/>
      <c r="H682" s="666">
        <f t="shared" si="76"/>
        <v>0</v>
      </c>
      <c r="I682" s="666"/>
      <c r="J682" s="666"/>
      <c r="K682" s="666">
        <f t="shared" si="73"/>
        <v>0</v>
      </c>
      <c r="L682" s="666"/>
      <c r="M682" s="665">
        <f t="shared" si="74"/>
        <v>0</v>
      </c>
      <c r="N682" s="666">
        <f t="shared" si="71"/>
        <v>0</v>
      </c>
      <c r="O682" s="672">
        <v>0</v>
      </c>
      <c r="P682" s="668">
        <f t="shared" si="75"/>
        <v>0</v>
      </c>
      <c r="Q682" s="676"/>
      <c r="R682" s="676"/>
    </row>
    <row r="683" spans="1:18" s="677" customFormat="1" ht="25.5" hidden="1" customHeight="1">
      <c r="A683" s="985"/>
      <c r="B683" s="986">
        <f t="shared" si="70"/>
        <v>0</v>
      </c>
      <c r="C683" s="1049" t="s">
        <v>1806</v>
      </c>
      <c r="D683" s="1041"/>
      <c r="E683" s="992"/>
      <c r="F683" s="987">
        <f t="shared" si="72"/>
        <v>0</v>
      </c>
      <c r="G683" s="994"/>
      <c r="H683" s="666">
        <f t="shared" si="76"/>
        <v>0</v>
      </c>
      <c r="I683" s="666"/>
      <c r="J683" s="666"/>
      <c r="K683" s="666">
        <f t="shared" si="73"/>
        <v>0</v>
      </c>
      <c r="L683" s="666"/>
      <c r="M683" s="665">
        <f t="shared" si="74"/>
        <v>0</v>
      </c>
      <c r="N683" s="666">
        <f t="shared" si="71"/>
        <v>0</v>
      </c>
      <c r="O683" s="672">
        <v>0</v>
      </c>
      <c r="P683" s="668">
        <f t="shared" si="75"/>
        <v>0</v>
      </c>
      <c r="Q683" s="676"/>
      <c r="R683" s="676"/>
    </row>
    <row r="684" spans="1:18" s="677" customFormat="1" ht="33" hidden="1" customHeight="1">
      <c r="A684" s="985"/>
      <c r="B684" s="986">
        <f t="shared" si="70"/>
        <v>0</v>
      </c>
      <c r="C684" s="1049" t="s">
        <v>1807</v>
      </c>
      <c r="D684" s="1052">
        <f>Data!K3999</f>
        <v>4714.8082304526752</v>
      </c>
      <c r="E684" s="992" t="s">
        <v>37</v>
      </c>
      <c r="F684" s="987">
        <f t="shared" si="72"/>
        <v>0</v>
      </c>
      <c r="G684" s="994"/>
      <c r="H684" s="666">
        <f t="shared" si="76"/>
        <v>0</v>
      </c>
      <c r="I684" s="666"/>
      <c r="J684" s="666"/>
      <c r="K684" s="666">
        <f t="shared" si="73"/>
        <v>0</v>
      </c>
      <c r="L684" s="666"/>
      <c r="M684" s="665">
        <f t="shared" si="74"/>
        <v>0</v>
      </c>
      <c r="N684" s="666">
        <f t="shared" si="71"/>
        <v>0</v>
      </c>
      <c r="O684" s="672">
        <v>0</v>
      </c>
      <c r="P684" s="668">
        <f t="shared" si="75"/>
        <v>0</v>
      </c>
      <c r="Q684" s="676"/>
      <c r="R684" s="676"/>
    </row>
    <row r="685" spans="1:18" s="677" customFormat="1" ht="33" hidden="1" customHeight="1">
      <c r="A685" s="985"/>
      <c r="B685" s="986">
        <f t="shared" si="70"/>
        <v>0</v>
      </c>
      <c r="C685" s="1053" t="s">
        <v>1808</v>
      </c>
      <c r="D685" s="1054">
        <f>Data!K4015</f>
        <v>4530.8032912781127</v>
      </c>
      <c r="E685" s="992" t="s">
        <v>37</v>
      </c>
      <c r="F685" s="987">
        <f t="shared" si="72"/>
        <v>0</v>
      </c>
      <c r="G685" s="994"/>
      <c r="H685" s="666">
        <f t="shared" si="76"/>
        <v>0</v>
      </c>
      <c r="I685" s="666"/>
      <c r="J685" s="666"/>
      <c r="K685" s="666">
        <f t="shared" si="73"/>
        <v>0</v>
      </c>
      <c r="L685" s="666"/>
      <c r="M685" s="665">
        <f t="shared" si="74"/>
        <v>0</v>
      </c>
      <c r="N685" s="666">
        <f t="shared" si="71"/>
        <v>0</v>
      </c>
      <c r="O685" s="672">
        <v>0</v>
      </c>
      <c r="P685" s="668">
        <f t="shared" si="75"/>
        <v>0</v>
      </c>
      <c r="Q685" s="676"/>
      <c r="R685" s="676"/>
    </row>
    <row r="686" spans="1:18" s="677" customFormat="1" ht="33" hidden="1" customHeight="1">
      <c r="A686" s="985"/>
      <c r="B686" s="986">
        <f t="shared" si="70"/>
        <v>0</v>
      </c>
      <c r="C686" s="1053" t="s">
        <v>1809</v>
      </c>
      <c r="D686" s="1055">
        <f>Data!K4030</f>
        <v>4872.8352112676057</v>
      </c>
      <c r="E686" s="992" t="s">
        <v>37</v>
      </c>
      <c r="F686" s="987">
        <f t="shared" si="72"/>
        <v>0</v>
      </c>
      <c r="G686" s="994"/>
      <c r="H686" s="666">
        <f t="shared" si="76"/>
        <v>0</v>
      </c>
      <c r="I686" s="666"/>
      <c r="J686" s="666"/>
      <c r="K686" s="666">
        <f t="shared" si="73"/>
        <v>0</v>
      </c>
      <c r="L686" s="666"/>
      <c r="M686" s="665">
        <f t="shared" si="74"/>
        <v>0</v>
      </c>
      <c r="N686" s="666">
        <f t="shared" si="71"/>
        <v>0</v>
      </c>
      <c r="O686" s="672">
        <v>0</v>
      </c>
      <c r="P686" s="668">
        <f t="shared" si="75"/>
        <v>0</v>
      </c>
      <c r="Q686" s="676"/>
      <c r="R686" s="676"/>
    </row>
    <row r="687" spans="1:18" s="677" customFormat="1" ht="33" hidden="1" customHeight="1">
      <c r="A687" s="985"/>
      <c r="B687" s="986">
        <f t="shared" si="70"/>
        <v>0</v>
      </c>
      <c r="C687" s="1053" t="s">
        <v>1810</v>
      </c>
      <c r="D687" s="1055">
        <f>Data!K4042</f>
        <v>4763.6950617283946</v>
      </c>
      <c r="E687" s="992" t="s">
        <v>37</v>
      </c>
      <c r="F687" s="987">
        <f t="shared" si="72"/>
        <v>0</v>
      </c>
      <c r="G687" s="994"/>
      <c r="H687" s="666">
        <f t="shared" si="76"/>
        <v>0</v>
      </c>
      <c r="I687" s="666"/>
      <c r="J687" s="666"/>
      <c r="K687" s="666">
        <f t="shared" si="73"/>
        <v>0</v>
      </c>
      <c r="L687" s="666"/>
      <c r="M687" s="665">
        <f t="shared" si="74"/>
        <v>0</v>
      </c>
      <c r="N687" s="666">
        <f t="shared" si="71"/>
        <v>0</v>
      </c>
      <c r="O687" s="672">
        <v>0</v>
      </c>
      <c r="P687" s="668">
        <f t="shared" si="75"/>
        <v>0</v>
      </c>
      <c r="Q687" s="676"/>
      <c r="R687" s="676"/>
    </row>
    <row r="688" spans="1:18" s="677" customFormat="1" ht="25.5" hidden="1" customHeight="1">
      <c r="A688" s="985"/>
      <c r="B688" s="986">
        <f t="shared" si="70"/>
        <v>0</v>
      </c>
      <c r="C688" s="1056"/>
      <c r="D688" s="1034"/>
      <c r="E688" s="1050" t="s">
        <v>522</v>
      </c>
      <c r="F688" s="987">
        <f t="shared" si="72"/>
        <v>0</v>
      </c>
      <c r="G688" s="1051"/>
      <c r="H688" s="666">
        <f t="shared" si="76"/>
        <v>0</v>
      </c>
      <c r="I688" s="666"/>
      <c r="J688" s="666"/>
      <c r="K688" s="666">
        <f t="shared" si="73"/>
        <v>0</v>
      </c>
      <c r="L688" s="666"/>
      <c r="M688" s="665">
        <f t="shared" si="74"/>
        <v>0</v>
      </c>
      <c r="N688" s="666">
        <f t="shared" si="71"/>
        <v>0</v>
      </c>
      <c r="O688" s="672">
        <v>0</v>
      </c>
      <c r="P688" s="668">
        <f t="shared" si="75"/>
        <v>0</v>
      </c>
      <c r="Q688" s="676"/>
      <c r="R688" s="676"/>
    </row>
    <row r="689" spans="1:18" s="677" customFormat="1" ht="93" hidden="1" customHeight="1">
      <c r="A689" s="985"/>
      <c r="B689" s="986">
        <f t="shared" si="70"/>
        <v>0</v>
      </c>
      <c r="C689" s="987" t="s">
        <v>1811</v>
      </c>
      <c r="D689" s="1034">
        <v>6950</v>
      </c>
      <c r="E689" s="1050" t="s">
        <v>522</v>
      </c>
      <c r="F689" s="987">
        <f t="shared" si="72"/>
        <v>0</v>
      </c>
      <c r="G689" s="1051"/>
      <c r="H689" s="666">
        <f t="shared" si="76"/>
        <v>0</v>
      </c>
      <c r="I689" s="666"/>
      <c r="J689" s="666"/>
      <c r="K689" s="666">
        <f t="shared" si="73"/>
        <v>0</v>
      </c>
      <c r="L689" s="666"/>
      <c r="M689" s="665">
        <f t="shared" si="74"/>
        <v>0</v>
      </c>
      <c r="N689" s="666">
        <f t="shared" si="71"/>
        <v>0</v>
      </c>
      <c r="O689" s="672">
        <v>0</v>
      </c>
      <c r="P689" s="668">
        <f t="shared" si="75"/>
        <v>0</v>
      </c>
      <c r="Q689" s="676"/>
      <c r="R689" s="676"/>
    </row>
    <row r="690" spans="1:18" s="677" customFormat="1" ht="46.5" hidden="1" customHeight="1">
      <c r="A690" s="985"/>
      <c r="B690" s="986">
        <f t="shared" si="70"/>
        <v>0</v>
      </c>
      <c r="C690" s="987" t="s">
        <v>1812</v>
      </c>
      <c r="D690" s="1034">
        <v>634</v>
      </c>
      <c r="E690" s="1050" t="s">
        <v>522</v>
      </c>
      <c r="F690" s="987">
        <f t="shared" si="72"/>
        <v>0</v>
      </c>
      <c r="G690" s="1051"/>
      <c r="H690" s="666">
        <f t="shared" si="76"/>
        <v>0</v>
      </c>
      <c r="I690" s="666"/>
      <c r="J690" s="666"/>
      <c r="K690" s="666">
        <f t="shared" si="73"/>
        <v>0</v>
      </c>
      <c r="L690" s="666"/>
      <c r="M690" s="665">
        <f t="shared" si="74"/>
        <v>0</v>
      </c>
      <c r="N690" s="666">
        <f t="shared" si="71"/>
        <v>0</v>
      </c>
      <c r="O690" s="672">
        <v>0</v>
      </c>
      <c r="P690" s="668">
        <f t="shared" si="75"/>
        <v>0</v>
      </c>
      <c r="Q690" s="676"/>
      <c r="R690" s="676"/>
    </row>
    <row r="691" spans="1:18" s="677" customFormat="1" ht="69.75" hidden="1" customHeight="1">
      <c r="A691" s="985"/>
      <c r="B691" s="986">
        <f t="shared" si="70"/>
        <v>0</v>
      </c>
      <c r="C691" s="987" t="s">
        <v>1813</v>
      </c>
      <c r="D691" s="1034">
        <v>9470</v>
      </c>
      <c r="E691" s="1050" t="s">
        <v>522</v>
      </c>
      <c r="F691" s="987">
        <f t="shared" si="72"/>
        <v>0</v>
      </c>
      <c r="G691" s="1051"/>
      <c r="H691" s="666">
        <f t="shared" si="76"/>
        <v>0</v>
      </c>
      <c r="I691" s="666"/>
      <c r="J691" s="666"/>
      <c r="K691" s="666">
        <f t="shared" si="73"/>
        <v>0</v>
      </c>
      <c r="L691" s="666"/>
      <c r="M691" s="665">
        <f t="shared" si="74"/>
        <v>0</v>
      </c>
      <c r="N691" s="666">
        <f t="shared" si="71"/>
        <v>0</v>
      </c>
      <c r="O691" s="672">
        <v>0</v>
      </c>
      <c r="P691" s="668">
        <f t="shared" si="75"/>
        <v>0</v>
      </c>
      <c r="Q691" s="676"/>
      <c r="R691" s="676"/>
    </row>
    <row r="692" spans="1:18" s="677" customFormat="1" ht="46.5" hidden="1" customHeight="1">
      <c r="A692" s="985"/>
      <c r="B692" s="986">
        <f t="shared" si="70"/>
        <v>0</v>
      </c>
      <c r="C692" s="987" t="s">
        <v>1814</v>
      </c>
      <c r="D692" s="1034">
        <v>123622</v>
      </c>
      <c r="E692" s="1050" t="s">
        <v>522</v>
      </c>
      <c r="F692" s="987">
        <f t="shared" si="72"/>
        <v>0</v>
      </c>
      <c r="G692" s="1051"/>
      <c r="H692" s="666">
        <f t="shared" si="76"/>
        <v>0</v>
      </c>
      <c r="I692" s="666"/>
      <c r="J692" s="666"/>
      <c r="K692" s="666">
        <f t="shared" si="73"/>
        <v>0</v>
      </c>
      <c r="L692" s="666"/>
      <c r="M692" s="665">
        <f t="shared" si="74"/>
        <v>0</v>
      </c>
      <c r="N692" s="666">
        <f t="shared" si="71"/>
        <v>0</v>
      </c>
      <c r="O692" s="672">
        <v>0</v>
      </c>
      <c r="P692" s="668">
        <f t="shared" si="75"/>
        <v>0</v>
      </c>
      <c r="Q692" s="676"/>
      <c r="R692" s="676"/>
    </row>
    <row r="693" spans="1:18" s="677" customFormat="1" ht="69.75" hidden="1" customHeight="1">
      <c r="A693" s="985"/>
      <c r="B693" s="986">
        <f t="shared" si="70"/>
        <v>0</v>
      </c>
      <c r="C693" s="987" t="s">
        <v>1815</v>
      </c>
      <c r="D693" s="1034">
        <v>704.75</v>
      </c>
      <c r="E693" s="992" t="s">
        <v>522</v>
      </c>
      <c r="F693" s="987">
        <f t="shared" si="72"/>
        <v>0</v>
      </c>
      <c r="G693" s="994"/>
      <c r="H693" s="666">
        <f t="shared" si="76"/>
        <v>0</v>
      </c>
      <c r="I693" s="666"/>
      <c r="J693" s="666"/>
      <c r="K693" s="666">
        <f t="shared" si="73"/>
        <v>0</v>
      </c>
      <c r="L693" s="666"/>
      <c r="M693" s="665">
        <f t="shared" si="74"/>
        <v>0</v>
      </c>
      <c r="N693" s="666">
        <f t="shared" si="71"/>
        <v>0</v>
      </c>
      <c r="O693" s="672">
        <v>0</v>
      </c>
      <c r="P693" s="668">
        <f t="shared" si="75"/>
        <v>0</v>
      </c>
      <c r="Q693" s="676"/>
      <c r="R693" s="676"/>
    </row>
    <row r="694" spans="1:18" s="677" customFormat="1" ht="69.75" hidden="1" customHeight="1">
      <c r="A694" s="985"/>
      <c r="B694" s="986">
        <f t="shared" si="70"/>
        <v>0</v>
      </c>
      <c r="C694" s="987" t="s">
        <v>1816</v>
      </c>
      <c r="D694" s="1034">
        <v>514.85</v>
      </c>
      <c r="E694" s="992" t="s">
        <v>522</v>
      </c>
      <c r="F694" s="987">
        <f t="shared" si="72"/>
        <v>0</v>
      </c>
      <c r="G694" s="994"/>
      <c r="H694" s="666">
        <f t="shared" si="76"/>
        <v>0</v>
      </c>
      <c r="I694" s="666"/>
      <c r="J694" s="666"/>
      <c r="K694" s="666">
        <f t="shared" si="73"/>
        <v>0</v>
      </c>
      <c r="L694" s="666"/>
      <c r="M694" s="665">
        <f t="shared" si="74"/>
        <v>0</v>
      </c>
      <c r="N694" s="666">
        <f t="shared" si="71"/>
        <v>0</v>
      </c>
      <c r="O694" s="672">
        <v>0</v>
      </c>
      <c r="P694" s="668">
        <f t="shared" si="75"/>
        <v>0</v>
      </c>
      <c r="Q694" s="676"/>
      <c r="R694" s="676"/>
    </row>
    <row r="695" spans="1:18" s="677" customFormat="1" ht="25.5" hidden="1" customHeight="1">
      <c r="A695" s="985"/>
      <c r="B695" s="986">
        <f t="shared" si="70"/>
        <v>0</v>
      </c>
      <c r="C695" s="1056" t="s">
        <v>1817</v>
      </c>
      <c r="D695" s="1034">
        <v>473.5</v>
      </c>
      <c r="E695" s="1050" t="s">
        <v>61</v>
      </c>
      <c r="F695" s="987">
        <f t="shared" si="72"/>
        <v>0</v>
      </c>
      <c r="G695" s="1051"/>
      <c r="H695" s="666">
        <f t="shared" si="76"/>
        <v>0</v>
      </c>
      <c r="I695" s="666"/>
      <c r="J695" s="666"/>
      <c r="K695" s="666">
        <f t="shared" si="73"/>
        <v>0</v>
      </c>
      <c r="L695" s="666"/>
      <c r="M695" s="665">
        <f t="shared" si="74"/>
        <v>0</v>
      </c>
      <c r="N695" s="666">
        <f t="shared" si="71"/>
        <v>0</v>
      </c>
      <c r="O695" s="672">
        <v>0</v>
      </c>
      <c r="P695" s="668">
        <f t="shared" si="75"/>
        <v>0</v>
      </c>
      <c r="Q695" s="676"/>
      <c r="R695" s="676"/>
    </row>
    <row r="696" spans="1:18" s="677" customFormat="1" ht="46.5" hidden="1" customHeight="1">
      <c r="A696" s="985"/>
      <c r="B696" s="986">
        <f t="shared" si="70"/>
        <v>0</v>
      </c>
      <c r="C696" s="1056" t="s">
        <v>1818</v>
      </c>
      <c r="D696" s="1034">
        <v>952</v>
      </c>
      <c r="E696" s="1050" t="s">
        <v>522</v>
      </c>
      <c r="F696" s="987">
        <f t="shared" si="72"/>
        <v>0</v>
      </c>
      <c r="G696" s="1051"/>
      <c r="H696" s="666">
        <f t="shared" si="76"/>
        <v>0</v>
      </c>
      <c r="I696" s="666"/>
      <c r="J696" s="666"/>
      <c r="K696" s="666">
        <f t="shared" si="73"/>
        <v>0</v>
      </c>
      <c r="L696" s="666"/>
      <c r="M696" s="665">
        <f t="shared" si="74"/>
        <v>0</v>
      </c>
      <c r="N696" s="666">
        <f t="shared" si="71"/>
        <v>0</v>
      </c>
      <c r="O696" s="672">
        <v>0</v>
      </c>
      <c r="P696" s="668">
        <f t="shared" si="75"/>
        <v>0</v>
      </c>
      <c r="Q696" s="676"/>
      <c r="R696" s="676"/>
    </row>
    <row r="697" spans="1:18" s="677" customFormat="1" ht="25.5" hidden="1" customHeight="1">
      <c r="A697" s="985"/>
      <c r="B697" s="986">
        <f t="shared" si="70"/>
        <v>0</v>
      </c>
      <c r="C697" s="1056" t="s">
        <v>1819</v>
      </c>
      <c r="D697" s="1034">
        <v>11481.8</v>
      </c>
      <c r="E697" s="1050" t="s">
        <v>522</v>
      </c>
      <c r="F697" s="987">
        <f t="shared" si="72"/>
        <v>0</v>
      </c>
      <c r="G697" s="1051"/>
      <c r="H697" s="666">
        <f t="shared" si="76"/>
        <v>0</v>
      </c>
      <c r="I697" s="666"/>
      <c r="J697" s="666"/>
      <c r="K697" s="666">
        <f t="shared" si="73"/>
        <v>0</v>
      </c>
      <c r="L697" s="666"/>
      <c r="M697" s="665">
        <f t="shared" si="74"/>
        <v>0</v>
      </c>
      <c r="N697" s="666">
        <f t="shared" si="71"/>
        <v>0</v>
      </c>
      <c r="O697" s="672">
        <v>0</v>
      </c>
      <c r="P697" s="668">
        <f t="shared" si="75"/>
        <v>0</v>
      </c>
      <c r="Q697" s="676"/>
      <c r="R697" s="676"/>
    </row>
    <row r="698" spans="1:18" s="677" customFormat="1" ht="46.5" hidden="1" customHeight="1">
      <c r="A698" s="985"/>
      <c r="B698" s="986">
        <f t="shared" si="70"/>
        <v>0</v>
      </c>
      <c r="C698" s="1056" t="s">
        <v>1820</v>
      </c>
      <c r="D698" s="1034">
        <v>5325.6</v>
      </c>
      <c r="E698" s="1050" t="s">
        <v>522</v>
      </c>
      <c r="F698" s="987">
        <f t="shared" si="72"/>
        <v>0</v>
      </c>
      <c r="G698" s="1051"/>
      <c r="H698" s="666">
        <f t="shared" si="76"/>
        <v>0</v>
      </c>
      <c r="I698" s="666"/>
      <c r="J698" s="666"/>
      <c r="K698" s="666">
        <f t="shared" si="73"/>
        <v>0</v>
      </c>
      <c r="L698" s="666"/>
      <c r="M698" s="665">
        <f t="shared" si="74"/>
        <v>0</v>
      </c>
      <c r="N698" s="666">
        <f t="shared" si="71"/>
        <v>0</v>
      </c>
      <c r="O698" s="672">
        <v>0</v>
      </c>
      <c r="P698" s="668">
        <f t="shared" si="75"/>
        <v>0</v>
      </c>
      <c r="Q698" s="676"/>
      <c r="R698" s="676"/>
    </row>
    <row r="699" spans="1:18" s="677" customFormat="1" ht="46.5" hidden="1" customHeight="1">
      <c r="A699" s="985"/>
      <c r="B699" s="986">
        <f t="shared" si="70"/>
        <v>0</v>
      </c>
      <c r="C699" s="1056" t="s">
        <v>1821</v>
      </c>
      <c r="D699" s="1034">
        <v>8254.6</v>
      </c>
      <c r="E699" s="1050" t="s">
        <v>522</v>
      </c>
      <c r="F699" s="987">
        <f t="shared" si="72"/>
        <v>0</v>
      </c>
      <c r="G699" s="1051"/>
      <c r="H699" s="666">
        <f t="shared" si="76"/>
        <v>0</v>
      </c>
      <c r="I699" s="666"/>
      <c r="J699" s="666"/>
      <c r="K699" s="666">
        <f t="shared" si="73"/>
        <v>0</v>
      </c>
      <c r="L699" s="666"/>
      <c r="M699" s="665">
        <f t="shared" si="74"/>
        <v>0</v>
      </c>
      <c r="N699" s="666">
        <f t="shared" si="71"/>
        <v>0</v>
      </c>
      <c r="O699" s="672">
        <v>0</v>
      </c>
      <c r="P699" s="668">
        <f t="shared" si="75"/>
        <v>0</v>
      </c>
      <c r="Q699" s="676"/>
      <c r="R699" s="676"/>
    </row>
    <row r="700" spans="1:18" s="677" customFormat="1" ht="46.5" hidden="1" customHeight="1">
      <c r="A700" s="985"/>
      <c r="B700" s="986">
        <f t="shared" si="70"/>
        <v>0</v>
      </c>
      <c r="C700" s="1056" t="s">
        <v>1822</v>
      </c>
      <c r="D700" s="1034">
        <v>6588</v>
      </c>
      <c r="E700" s="1050" t="s">
        <v>522</v>
      </c>
      <c r="F700" s="987">
        <f t="shared" si="72"/>
        <v>0</v>
      </c>
      <c r="G700" s="1051"/>
      <c r="H700" s="666">
        <f t="shared" si="76"/>
        <v>0</v>
      </c>
      <c r="I700" s="666"/>
      <c r="J700" s="666"/>
      <c r="K700" s="666">
        <f t="shared" si="73"/>
        <v>0</v>
      </c>
      <c r="L700" s="666"/>
      <c r="M700" s="665">
        <f t="shared" si="74"/>
        <v>0</v>
      </c>
      <c r="N700" s="666">
        <f t="shared" si="71"/>
        <v>0</v>
      </c>
      <c r="O700" s="672">
        <v>0</v>
      </c>
      <c r="P700" s="668">
        <f t="shared" si="75"/>
        <v>0</v>
      </c>
      <c r="Q700" s="676"/>
      <c r="R700" s="676"/>
    </row>
    <row r="701" spans="1:18" s="677" customFormat="1" ht="46.5" hidden="1" customHeight="1">
      <c r="A701" s="985"/>
      <c r="B701" s="986">
        <f t="shared" si="70"/>
        <v>0</v>
      </c>
      <c r="C701" s="1056" t="s">
        <v>1823</v>
      </c>
      <c r="D701" s="1034">
        <v>593</v>
      </c>
      <c r="E701" s="1057" t="s">
        <v>522</v>
      </c>
      <c r="F701" s="987">
        <f t="shared" si="72"/>
        <v>0</v>
      </c>
      <c r="G701" s="1051"/>
      <c r="H701" s="666">
        <f t="shared" si="76"/>
        <v>0</v>
      </c>
      <c r="I701" s="666"/>
      <c r="J701" s="666"/>
      <c r="K701" s="666">
        <f t="shared" si="73"/>
        <v>0</v>
      </c>
      <c r="L701" s="666"/>
      <c r="M701" s="665">
        <f t="shared" si="74"/>
        <v>0</v>
      </c>
      <c r="N701" s="666">
        <f t="shared" si="71"/>
        <v>0</v>
      </c>
      <c r="O701" s="672">
        <v>0</v>
      </c>
      <c r="P701" s="668">
        <f t="shared" si="75"/>
        <v>0</v>
      </c>
      <c r="Q701" s="676"/>
      <c r="R701" s="676"/>
    </row>
    <row r="702" spans="1:18" s="677" customFormat="1" ht="25.5" hidden="1" customHeight="1">
      <c r="A702" s="985"/>
      <c r="B702" s="986">
        <f t="shared" si="70"/>
        <v>0</v>
      </c>
      <c r="C702" s="1033" t="s">
        <v>1824</v>
      </c>
      <c r="D702" s="1034"/>
      <c r="E702" s="1037"/>
      <c r="F702" s="987">
        <f t="shared" si="72"/>
        <v>0</v>
      </c>
      <c r="G702" s="1038"/>
      <c r="H702" s="666">
        <f t="shared" si="76"/>
        <v>0</v>
      </c>
      <c r="I702" s="666"/>
      <c r="J702" s="666"/>
      <c r="K702" s="666">
        <f t="shared" si="73"/>
        <v>0</v>
      </c>
      <c r="L702" s="666"/>
      <c r="M702" s="665">
        <f t="shared" si="74"/>
        <v>0</v>
      </c>
      <c r="N702" s="666">
        <f t="shared" si="71"/>
        <v>0</v>
      </c>
      <c r="O702" s="672">
        <v>0</v>
      </c>
      <c r="P702" s="668">
        <f t="shared" si="75"/>
        <v>0</v>
      </c>
      <c r="Q702" s="676"/>
      <c r="R702" s="676"/>
    </row>
    <row r="703" spans="1:18" s="677" customFormat="1" ht="25.5" hidden="1" customHeight="1">
      <c r="A703" s="985"/>
      <c r="B703" s="986">
        <f t="shared" si="70"/>
        <v>0</v>
      </c>
      <c r="C703" s="1033" t="s">
        <v>1825</v>
      </c>
      <c r="D703" s="1034">
        <v>6300</v>
      </c>
      <c r="E703" s="1037" t="s">
        <v>37</v>
      </c>
      <c r="F703" s="987">
        <f t="shared" si="72"/>
        <v>0</v>
      </c>
      <c r="G703" s="1038"/>
      <c r="H703" s="666">
        <f t="shared" si="76"/>
        <v>0</v>
      </c>
      <c r="I703" s="666"/>
      <c r="J703" s="666"/>
      <c r="K703" s="666">
        <f t="shared" si="73"/>
        <v>0</v>
      </c>
      <c r="L703" s="666"/>
      <c r="M703" s="665">
        <f t="shared" si="74"/>
        <v>0</v>
      </c>
      <c r="N703" s="666">
        <f t="shared" si="71"/>
        <v>0</v>
      </c>
      <c r="O703" s="672">
        <v>0</v>
      </c>
      <c r="P703" s="668">
        <f t="shared" si="75"/>
        <v>0</v>
      </c>
      <c r="Q703" s="676"/>
      <c r="R703" s="676"/>
    </row>
    <row r="704" spans="1:18" s="677" customFormat="1" ht="25.5" hidden="1" customHeight="1">
      <c r="A704" s="985"/>
      <c r="B704" s="986">
        <f t="shared" si="70"/>
        <v>0</v>
      </c>
      <c r="C704" s="1033" t="s">
        <v>1826</v>
      </c>
      <c r="D704" s="1034">
        <v>6300</v>
      </c>
      <c r="E704" s="1037" t="s">
        <v>37</v>
      </c>
      <c r="F704" s="987">
        <f t="shared" si="72"/>
        <v>0</v>
      </c>
      <c r="G704" s="1038"/>
      <c r="H704" s="666">
        <f t="shared" si="76"/>
        <v>0</v>
      </c>
      <c r="I704" s="666"/>
      <c r="J704" s="666"/>
      <c r="K704" s="666">
        <f t="shared" si="73"/>
        <v>0</v>
      </c>
      <c r="L704" s="666"/>
      <c r="M704" s="665">
        <f t="shared" si="74"/>
        <v>0</v>
      </c>
      <c r="N704" s="666">
        <f t="shared" si="71"/>
        <v>0</v>
      </c>
      <c r="O704" s="672">
        <v>0</v>
      </c>
      <c r="P704" s="668">
        <f t="shared" si="75"/>
        <v>0</v>
      </c>
      <c r="Q704" s="676"/>
      <c r="R704" s="676"/>
    </row>
    <row r="705" spans="1:18" s="677" customFormat="1" ht="25.5" hidden="1" customHeight="1">
      <c r="A705" s="985"/>
      <c r="B705" s="986">
        <f t="shared" si="70"/>
        <v>0</v>
      </c>
      <c r="C705" s="1033" t="s">
        <v>1827</v>
      </c>
      <c r="D705" s="1034">
        <v>6300</v>
      </c>
      <c r="E705" s="1037" t="s">
        <v>37</v>
      </c>
      <c r="F705" s="987">
        <f t="shared" si="72"/>
        <v>0</v>
      </c>
      <c r="G705" s="1038"/>
      <c r="H705" s="666">
        <f t="shared" si="76"/>
        <v>0</v>
      </c>
      <c r="I705" s="666"/>
      <c r="J705" s="666"/>
      <c r="K705" s="666">
        <f t="shared" si="73"/>
        <v>0</v>
      </c>
      <c r="L705" s="666"/>
      <c r="M705" s="665">
        <f t="shared" si="74"/>
        <v>0</v>
      </c>
      <c r="N705" s="666">
        <f t="shared" si="71"/>
        <v>0</v>
      </c>
      <c r="O705" s="672">
        <v>0</v>
      </c>
      <c r="P705" s="668">
        <f t="shared" si="75"/>
        <v>0</v>
      </c>
      <c r="Q705" s="676"/>
      <c r="R705" s="676"/>
    </row>
    <row r="706" spans="1:18" s="677" customFormat="1" ht="25.5" hidden="1" customHeight="1">
      <c r="A706" s="985"/>
      <c r="B706" s="986">
        <f t="shared" si="70"/>
        <v>0</v>
      </c>
      <c r="C706" s="1033" t="s">
        <v>1828</v>
      </c>
      <c r="D706" s="1034">
        <v>6300</v>
      </c>
      <c r="E706" s="1037" t="s">
        <v>37</v>
      </c>
      <c r="F706" s="987">
        <f t="shared" si="72"/>
        <v>0</v>
      </c>
      <c r="G706" s="1038"/>
      <c r="H706" s="666">
        <f t="shared" si="76"/>
        <v>0</v>
      </c>
      <c r="I706" s="666"/>
      <c r="J706" s="666"/>
      <c r="K706" s="666">
        <f t="shared" si="73"/>
        <v>0</v>
      </c>
      <c r="L706" s="666"/>
      <c r="M706" s="665">
        <f t="shared" si="74"/>
        <v>0</v>
      </c>
      <c r="N706" s="666">
        <f t="shared" si="71"/>
        <v>0</v>
      </c>
      <c r="O706" s="672">
        <v>0</v>
      </c>
      <c r="P706" s="668">
        <f t="shared" si="75"/>
        <v>0</v>
      </c>
      <c r="Q706" s="676"/>
      <c r="R706" s="676"/>
    </row>
    <row r="707" spans="1:18" s="677" customFormat="1" ht="25.5" hidden="1" customHeight="1">
      <c r="A707" s="985"/>
      <c r="B707" s="986">
        <f t="shared" si="70"/>
        <v>0</v>
      </c>
      <c r="C707" s="1033" t="s">
        <v>1829</v>
      </c>
      <c r="D707" s="1034">
        <v>6300</v>
      </c>
      <c r="E707" s="1037" t="s">
        <v>37</v>
      </c>
      <c r="F707" s="987">
        <f t="shared" si="72"/>
        <v>0</v>
      </c>
      <c r="G707" s="1038"/>
      <c r="H707" s="666">
        <f t="shared" si="76"/>
        <v>0</v>
      </c>
      <c r="I707" s="666"/>
      <c r="J707" s="666"/>
      <c r="K707" s="666">
        <f t="shared" si="73"/>
        <v>0</v>
      </c>
      <c r="L707" s="666"/>
      <c r="M707" s="665">
        <f t="shared" si="74"/>
        <v>0</v>
      </c>
      <c r="N707" s="666">
        <f t="shared" si="71"/>
        <v>0</v>
      </c>
      <c r="O707" s="672">
        <v>0</v>
      </c>
      <c r="P707" s="668">
        <f t="shared" si="75"/>
        <v>0</v>
      </c>
      <c r="Q707" s="676"/>
      <c r="R707" s="676"/>
    </row>
    <row r="708" spans="1:18" s="677" customFormat="1" ht="25.5" hidden="1" customHeight="1">
      <c r="A708" s="985"/>
      <c r="B708" s="986">
        <f t="shared" si="70"/>
        <v>0</v>
      </c>
      <c r="C708" s="1033" t="s">
        <v>1830</v>
      </c>
      <c r="D708" s="1034">
        <v>6300</v>
      </c>
      <c r="E708" s="1037" t="s">
        <v>37</v>
      </c>
      <c r="F708" s="987">
        <f t="shared" si="72"/>
        <v>0</v>
      </c>
      <c r="G708" s="1038"/>
      <c r="H708" s="666">
        <f t="shared" si="76"/>
        <v>0</v>
      </c>
      <c r="I708" s="666"/>
      <c r="J708" s="666"/>
      <c r="K708" s="666">
        <f t="shared" si="73"/>
        <v>0</v>
      </c>
      <c r="L708" s="666"/>
      <c r="M708" s="665">
        <f t="shared" si="74"/>
        <v>0</v>
      </c>
      <c r="N708" s="666">
        <f t="shared" si="71"/>
        <v>0</v>
      </c>
      <c r="O708" s="672">
        <v>0</v>
      </c>
      <c r="P708" s="668">
        <f t="shared" si="75"/>
        <v>0</v>
      </c>
      <c r="Q708" s="676"/>
      <c r="R708" s="676"/>
    </row>
    <row r="709" spans="1:18" s="677" customFormat="1" ht="25.5" hidden="1" customHeight="1">
      <c r="A709" s="985"/>
      <c r="B709" s="986">
        <f t="shared" si="70"/>
        <v>0</v>
      </c>
      <c r="C709" s="1033" t="s">
        <v>1831</v>
      </c>
      <c r="D709" s="1034">
        <v>6300</v>
      </c>
      <c r="E709" s="1037" t="s">
        <v>37</v>
      </c>
      <c r="F709" s="987">
        <f t="shared" si="72"/>
        <v>0</v>
      </c>
      <c r="G709" s="1038"/>
      <c r="H709" s="666">
        <f t="shared" si="76"/>
        <v>0</v>
      </c>
      <c r="I709" s="666"/>
      <c r="J709" s="666"/>
      <c r="K709" s="666">
        <f t="shared" si="73"/>
        <v>0</v>
      </c>
      <c r="L709" s="666"/>
      <c r="M709" s="665">
        <f t="shared" si="74"/>
        <v>0</v>
      </c>
      <c r="N709" s="666">
        <f t="shared" si="71"/>
        <v>0</v>
      </c>
      <c r="O709" s="672">
        <v>0</v>
      </c>
      <c r="P709" s="668">
        <f t="shared" si="75"/>
        <v>0</v>
      </c>
      <c r="Q709" s="676"/>
      <c r="R709" s="676"/>
    </row>
    <row r="710" spans="1:18" s="677" customFormat="1" ht="25.5" hidden="1" customHeight="1">
      <c r="A710" s="985"/>
      <c r="B710" s="986">
        <f t="shared" si="70"/>
        <v>0</v>
      </c>
      <c r="C710" s="1033" t="s">
        <v>1832</v>
      </c>
      <c r="D710" s="1034">
        <v>6300</v>
      </c>
      <c r="E710" s="1037" t="s">
        <v>37</v>
      </c>
      <c r="F710" s="987">
        <f t="shared" si="72"/>
        <v>0</v>
      </c>
      <c r="G710" s="1038"/>
      <c r="H710" s="666">
        <f t="shared" si="76"/>
        <v>0</v>
      </c>
      <c r="I710" s="666"/>
      <c r="J710" s="666"/>
      <c r="K710" s="666">
        <f t="shared" si="73"/>
        <v>0</v>
      </c>
      <c r="L710" s="666"/>
      <c r="M710" s="665">
        <f t="shared" si="74"/>
        <v>0</v>
      </c>
      <c r="N710" s="666">
        <f t="shared" si="71"/>
        <v>0</v>
      </c>
      <c r="O710" s="672">
        <v>0</v>
      </c>
      <c r="P710" s="668">
        <f t="shared" si="75"/>
        <v>0</v>
      </c>
      <c r="Q710" s="676"/>
      <c r="R710" s="676"/>
    </row>
    <row r="711" spans="1:18" s="677" customFormat="1" ht="26.25" hidden="1" customHeight="1">
      <c r="A711" s="985"/>
      <c r="B711" s="986">
        <f t="shared" ref="B711:B774" si="77">M711</f>
        <v>0</v>
      </c>
      <c r="C711" s="995" t="s">
        <v>1833</v>
      </c>
      <c r="D711" s="1034"/>
      <c r="E711" s="1037"/>
      <c r="F711" s="987">
        <f t="shared" si="72"/>
        <v>0</v>
      </c>
      <c r="G711" s="1038"/>
      <c r="H711" s="666">
        <f t="shared" si="76"/>
        <v>0</v>
      </c>
      <c r="I711" s="666"/>
      <c r="J711" s="666"/>
      <c r="K711" s="666">
        <f t="shared" si="73"/>
        <v>0</v>
      </c>
      <c r="L711" s="666"/>
      <c r="M711" s="665">
        <f t="shared" si="74"/>
        <v>0</v>
      </c>
      <c r="N711" s="666">
        <f t="shared" ref="N711:N774" si="78">M711*D711</f>
        <v>0</v>
      </c>
      <c r="O711" s="672">
        <v>0</v>
      </c>
      <c r="P711" s="668">
        <f t="shared" si="75"/>
        <v>0</v>
      </c>
      <c r="Q711" s="676"/>
      <c r="R711" s="676"/>
    </row>
    <row r="712" spans="1:18" s="677" customFormat="1" ht="25.5" hidden="1" customHeight="1">
      <c r="A712" s="985"/>
      <c r="B712" s="986">
        <f t="shared" si="77"/>
        <v>0</v>
      </c>
      <c r="C712" s="1033" t="s">
        <v>1834</v>
      </c>
      <c r="D712" s="1034">
        <v>8520</v>
      </c>
      <c r="E712" s="1037" t="s">
        <v>522</v>
      </c>
      <c r="F712" s="987">
        <f t="shared" ref="F712:F775" si="79">B712*D712</f>
        <v>0</v>
      </c>
      <c r="G712" s="1038"/>
      <c r="H712" s="666">
        <f t="shared" si="76"/>
        <v>0</v>
      </c>
      <c r="I712" s="666"/>
      <c r="J712" s="666"/>
      <c r="K712" s="666">
        <f t="shared" ref="K712:K775" si="80">I712</f>
        <v>0</v>
      </c>
      <c r="L712" s="666"/>
      <c r="M712" s="665">
        <f t="shared" ref="M712:M775" si="81">G712</f>
        <v>0</v>
      </c>
      <c r="N712" s="666">
        <f t="shared" si="78"/>
        <v>0</v>
      </c>
      <c r="O712" s="672">
        <v>0</v>
      </c>
      <c r="P712" s="668">
        <f t="shared" ref="P712:P775" si="82">M712-O712</f>
        <v>0</v>
      </c>
      <c r="Q712" s="676"/>
      <c r="R712" s="676"/>
    </row>
    <row r="713" spans="1:18" s="677" customFormat="1" ht="46.5" hidden="1" customHeight="1">
      <c r="A713" s="985"/>
      <c r="B713" s="986">
        <f t="shared" si="77"/>
        <v>0</v>
      </c>
      <c r="C713" s="995" t="s">
        <v>1835</v>
      </c>
      <c r="D713" s="1034"/>
      <c r="E713" s="1037"/>
      <c r="F713" s="987">
        <f t="shared" si="79"/>
        <v>0</v>
      </c>
      <c r="G713" s="1038"/>
      <c r="H713" s="666">
        <f t="shared" ref="H713:H776" si="83">G713*D713</f>
        <v>0</v>
      </c>
      <c r="I713" s="666"/>
      <c r="J713" s="666"/>
      <c r="K713" s="666">
        <f t="shared" si="80"/>
        <v>0</v>
      </c>
      <c r="L713" s="666"/>
      <c r="M713" s="665">
        <f t="shared" si="81"/>
        <v>0</v>
      </c>
      <c r="N713" s="666">
        <f t="shared" si="78"/>
        <v>0</v>
      </c>
      <c r="O713" s="672">
        <v>0</v>
      </c>
      <c r="P713" s="668">
        <f t="shared" si="82"/>
        <v>0</v>
      </c>
      <c r="Q713" s="676"/>
      <c r="R713" s="676"/>
    </row>
    <row r="714" spans="1:18" s="677" customFormat="1" ht="25.5" hidden="1" customHeight="1">
      <c r="A714" s="985"/>
      <c r="B714" s="986">
        <f t="shared" si="77"/>
        <v>0</v>
      </c>
      <c r="C714" s="1033" t="s">
        <v>1836</v>
      </c>
      <c r="D714" s="1034">
        <f>Data!K2492</f>
        <v>4353.333333333333</v>
      </c>
      <c r="E714" s="1037" t="s">
        <v>37</v>
      </c>
      <c r="F714" s="987">
        <f t="shared" si="79"/>
        <v>0</v>
      </c>
      <c r="G714" s="1038"/>
      <c r="H714" s="666">
        <f t="shared" si="83"/>
        <v>0</v>
      </c>
      <c r="I714" s="666"/>
      <c r="J714" s="666"/>
      <c r="K714" s="666">
        <f t="shared" si="80"/>
        <v>0</v>
      </c>
      <c r="L714" s="666"/>
      <c r="M714" s="665">
        <f t="shared" si="81"/>
        <v>0</v>
      </c>
      <c r="N714" s="666">
        <f t="shared" si="78"/>
        <v>0</v>
      </c>
      <c r="O714" s="672">
        <v>0</v>
      </c>
      <c r="P714" s="668">
        <f t="shared" si="82"/>
        <v>0</v>
      </c>
      <c r="Q714" s="676"/>
      <c r="R714" s="676"/>
    </row>
    <row r="715" spans="1:18" s="677" customFormat="1" ht="25.5" hidden="1" customHeight="1">
      <c r="A715" s="985"/>
      <c r="B715" s="986">
        <f t="shared" si="77"/>
        <v>0</v>
      </c>
      <c r="C715" s="1033" t="s">
        <v>1837</v>
      </c>
      <c r="D715" s="993">
        <v>5654</v>
      </c>
      <c r="E715" s="1039" t="s">
        <v>1838</v>
      </c>
      <c r="F715" s="987">
        <f t="shared" si="79"/>
        <v>0</v>
      </c>
      <c r="G715" s="1036"/>
      <c r="H715" s="666">
        <f t="shared" si="83"/>
        <v>0</v>
      </c>
      <c r="I715" s="666"/>
      <c r="J715" s="666"/>
      <c r="K715" s="666">
        <f t="shared" si="80"/>
        <v>0</v>
      </c>
      <c r="L715" s="666"/>
      <c r="M715" s="665">
        <f t="shared" si="81"/>
        <v>0</v>
      </c>
      <c r="N715" s="666">
        <f t="shared" si="78"/>
        <v>0</v>
      </c>
      <c r="O715" s="672">
        <v>0</v>
      </c>
      <c r="P715" s="668">
        <f t="shared" si="82"/>
        <v>0</v>
      </c>
      <c r="Q715" s="676"/>
      <c r="R715" s="676"/>
    </row>
    <row r="716" spans="1:18" s="677" customFormat="1" ht="81.75" hidden="1" customHeight="1">
      <c r="A716" s="985"/>
      <c r="B716" s="986">
        <f t="shared" si="77"/>
        <v>0</v>
      </c>
      <c r="C716" s="1058" t="s">
        <v>1839</v>
      </c>
      <c r="D716" s="993">
        <v>6500</v>
      </c>
      <c r="E716" s="1059" t="s">
        <v>37</v>
      </c>
      <c r="F716" s="987">
        <f t="shared" si="79"/>
        <v>0</v>
      </c>
      <c r="G716" s="1060"/>
      <c r="H716" s="666">
        <f t="shared" si="83"/>
        <v>0</v>
      </c>
      <c r="I716" s="666"/>
      <c r="J716" s="666"/>
      <c r="K716" s="666">
        <f t="shared" si="80"/>
        <v>0</v>
      </c>
      <c r="L716" s="666"/>
      <c r="M716" s="665">
        <f t="shared" si="81"/>
        <v>0</v>
      </c>
      <c r="N716" s="666">
        <f t="shared" si="78"/>
        <v>0</v>
      </c>
      <c r="O716" s="672">
        <v>0</v>
      </c>
      <c r="P716" s="668">
        <f t="shared" si="82"/>
        <v>0</v>
      </c>
      <c r="Q716" s="676"/>
      <c r="R716" s="676"/>
    </row>
    <row r="717" spans="1:18" s="677" customFormat="1" ht="65.25" hidden="1" customHeight="1">
      <c r="A717" s="985"/>
      <c r="B717" s="986">
        <f t="shared" si="77"/>
        <v>0</v>
      </c>
      <c r="C717" s="1058" t="s">
        <v>1840</v>
      </c>
      <c r="D717" s="993">
        <v>6000</v>
      </c>
      <c r="E717" s="1059" t="s">
        <v>37</v>
      </c>
      <c r="F717" s="987">
        <f t="shared" si="79"/>
        <v>0</v>
      </c>
      <c r="G717" s="1060"/>
      <c r="H717" s="666">
        <f t="shared" si="83"/>
        <v>0</v>
      </c>
      <c r="I717" s="666"/>
      <c r="J717" s="666"/>
      <c r="K717" s="666">
        <f t="shared" si="80"/>
        <v>0</v>
      </c>
      <c r="L717" s="666"/>
      <c r="M717" s="665">
        <f t="shared" si="81"/>
        <v>0</v>
      </c>
      <c r="N717" s="666">
        <f t="shared" si="78"/>
        <v>0</v>
      </c>
      <c r="O717" s="672">
        <v>0</v>
      </c>
      <c r="P717" s="668">
        <f t="shared" si="82"/>
        <v>0</v>
      </c>
      <c r="Q717" s="676"/>
      <c r="R717" s="676"/>
    </row>
    <row r="718" spans="1:18" s="677" customFormat="1" ht="46.5" hidden="1" customHeight="1">
      <c r="A718" s="985"/>
      <c r="B718" s="986">
        <f t="shared" si="77"/>
        <v>0</v>
      </c>
      <c r="C718" s="1033" t="s">
        <v>1841</v>
      </c>
      <c r="D718" s="1034">
        <v>2286.4499999999998</v>
      </c>
      <c r="E718" s="1037" t="s">
        <v>522</v>
      </c>
      <c r="F718" s="987">
        <f t="shared" si="79"/>
        <v>0</v>
      </c>
      <c r="G718" s="1038"/>
      <c r="H718" s="666">
        <f t="shared" si="83"/>
        <v>0</v>
      </c>
      <c r="I718" s="666"/>
      <c r="J718" s="666"/>
      <c r="K718" s="666">
        <f t="shared" si="80"/>
        <v>0</v>
      </c>
      <c r="L718" s="666"/>
      <c r="M718" s="665">
        <f t="shared" si="81"/>
        <v>0</v>
      </c>
      <c r="N718" s="666">
        <f t="shared" si="78"/>
        <v>0</v>
      </c>
      <c r="O718" s="672">
        <v>0</v>
      </c>
      <c r="P718" s="668">
        <f t="shared" si="82"/>
        <v>0</v>
      </c>
      <c r="Q718" s="676"/>
      <c r="R718" s="676"/>
    </row>
    <row r="719" spans="1:18" s="677" customFormat="1" ht="86.25" hidden="1" customHeight="1">
      <c r="A719" s="985"/>
      <c r="B719" s="986">
        <f t="shared" si="77"/>
        <v>0</v>
      </c>
      <c r="C719" s="1040" t="s">
        <v>1842</v>
      </c>
      <c r="D719" s="1041">
        <v>2240</v>
      </c>
      <c r="E719" s="1061" t="s">
        <v>37</v>
      </c>
      <c r="F719" s="987">
        <f t="shared" si="79"/>
        <v>0</v>
      </c>
      <c r="G719" s="1062"/>
      <c r="H719" s="666">
        <f t="shared" si="83"/>
        <v>0</v>
      </c>
      <c r="I719" s="666"/>
      <c r="J719" s="666"/>
      <c r="K719" s="666">
        <f t="shared" si="80"/>
        <v>0</v>
      </c>
      <c r="L719" s="666"/>
      <c r="M719" s="665">
        <f t="shared" si="81"/>
        <v>0</v>
      </c>
      <c r="N719" s="666">
        <f t="shared" si="78"/>
        <v>0</v>
      </c>
      <c r="O719" s="672">
        <v>0</v>
      </c>
      <c r="P719" s="668">
        <f t="shared" si="82"/>
        <v>0</v>
      </c>
      <c r="Q719" s="676"/>
      <c r="R719" s="676"/>
    </row>
    <row r="720" spans="1:18" s="677" customFormat="1" ht="46.5" customHeight="1">
      <c r="A720" s="985"/>
      <c r="B720" s="986">
        <f t="shared" si="77"/>
        <v>0</v>
      </c>
      <c r="C720" s="995" t="s">
        <v>1843</v>
      </c>
      <c r="D720" s="1034"/>
      <c r="E720" s="1037"/>
      <c r="F720" s="987">
        <f t="shared" si="79"/>
        <v>0</v>
      </c>
      <c r="G720" s="1038"/>
      <c r="H720" s="666">
        <f t="shared" si="83"/>
        <v>0</v>
      </c>
      <c r="I720" s="666"/>
      <c r="J720" s="666"/>
      <c r="K720" s="666">
        <f t="shared" si="80"/>
        <v>0</v>
      </c>
      <c r="L720" s="666"/>
      <c r="M720" s="665">
        <f t="shared" si="81"/>
        <v>0</v>
      </c>
      <c r="N720" s="666">
        <f t="shared" si="78"/>
        <v>0</v>
      </c>
      <c r="O720" s="672">
        <v>0</v>
      </c>
      <c r="P720" s="668">
        <f t="shared" si="82"/>
        <v>0</v>
      </c>
      <c r="Q720" s="676"/>
      <c r="R720" s="676"/>
    </row>
    <row r="721" spans="1:18" s="677" customFormat="1" ht="25.5" hidden="1" customHeight="1">
      <c r="A721" s="985"/>
      <c r="B721" s="986">
        <f t="shared" si="77"/>
        <v>0</v>
      </c>
      <c r="C721" s="987" t="s">
        <v>1844</v>
      </c>
      <c r="D721" s="1034">
        <f>Data!X3628</f>
        <v>2795.9292929292928</v>
      </c>
      <c r="E721" s="1037" t="s">
        <v>37</v>
      </c>
      <c r="F721" s="987">
        <f t="shared" si="79"/>
        <v>0</v>
      </c>
      <c r="G721" s="1038"/>
      <c r="H721" s="666">
        <f t="shared" si="83"/>
        <v>0</v>
      </c>
      <c r="I721" s="666"/>
      <c r="J721" s="666"/>
      <c r="K721" s="666">
        <f t="shared" si="80"/>
        <v>0</v>
      </c>
      <c r="L721" s="666"/>
      <c r="M721" s="665">
        <f t="shared" si="81"/>
        <v>0</v>
      </c>
      <c r="N721" s="666">
        <f t="shared" si="78"/>
        <v>0</v>
      </c>
      <c r="O721" s="672">
        <v>0</v>
      </c>
      <c r="P721" s="668">
        <f t="shared" si="82"/>
        <v>0</v>
      </c>
      <c r="Q721" s="676"/>
      <c r="R721" s="676"/>
    </row>
    <row r="722" spans="1:18" s="677" customFormat="1" ht="25.5" hidden="1" customHeight="1">
      <c r="A722" s="985"/>
      <c r="B722" s="986">
        <f t="shared" si="77"/>
        <v>0</v>
      </c>
      <c r="C722" s="987" t="s">
        <v>1846</v>
      </c>
      <c r="D722" s="1034">
        <f>Data!K3549</f>
        <v>2996.5130315500683</v>
      </c>
      <c r="E722" s="1037" t="s">
        <v>37</v>
      </c>
      <c r="F722" s="987">
        <f t="shared" si="79"/>
        <v>0</v>
      </c>
      <c r="G722" s="1038"/>
      <c r="H722" s="666">
        <f t="shared" si="83"/>
        <v>0</v>
      </c>
      <c r="I722" s="666"/>
      <c r="J722" s="666"/>
      <c r="K722" s="666">
        <f t="shared" si="80"/>
        <v>0</v>
      </c>
      <c r="L722" s="666"/>
      <c r="M722" s="665">
        <f t="shared" si="81"/>
        <v>0</v>
      </c>
      <c r="N722" s="666">
        <f t="shared" si="78"/>
        <v>0</v>
      </c>
      <c r="O722" s="672">
        <v>0</v>
      </c>
      <c r="P722" s="668">
        <f t="shared" si="82"/>
        <v>0</v>
      </c>
      <c r="Q722" s="676"/>
      <c r="R722" s="676"/>
    </row>
    <row r="723" spans="1:18" s="677" customFormat="1" ht="25.5" hidden="1" customHeight="1">
      <c r="A723" s="985"/>
      <c r="B723" s="986">
        <f t="shared" si="77"/>
        <v>0</v>
      </c>
      <c r="C723" s="987" t="s">
        <v>1847</v>
      </c>
      <c r="D723" s="1034">
        <v>2225.27</v>
      </c>
      <c r="E723" s="1037" t="s">
        <v>37</v>
      </c>
      <c r="F723" s="987">
        <f t="shared" si="79"/>
        <v>0</v>
      </c>
      <c r="G723" s="1038"/>
      <c r="H723" s="666">
        <f t="shared" si="83"/>
        <v>0</v>
      </c>
      <c r="I723" s="666"/>
      <c r="J723" s="666"/>
      <c r="K723" s="666">
        <f t="shared" si="80"/>
        <v>0</v>
      </c>
      <c r="L723" s="666"/>
      <c r="M723" s="665">
        <f t="shared" si="81"/>
        <v>0</v>
      </c>
      <c r="N723" s="666">
        <f t="shared" si="78"/>
        <v>0</v>
      </c>
      <c r="O723" s="672">
        <v>0</v>
      </c>
      <c r="P723" s="668">
        <f t="shared" si="82"/>
        <v>0</v>
      </c>
      <c r="Q723" s="676"/>
      <c r="R723" s="676"/>
    </row>
    <row r="724" spans="1:18" s="677" customFormat="1" ht="48" customHeight="1">
      <c r="A724" s="985"/>
      <c r="B724" s="986">
        <f t="shared" si="77"/>
        <v>11.1</v>
      </c>
      <c r="C724" s="987" t="s">
        <v>2753</v>
      </c>
      <c r="D724" s="1034">
        <f>Data!X3549</f>
        <v>2958.4348864994026</v>
      </c>
      <c r="E724" s="1037" t="s">
        <v>37</v>
      </c>
      <c r="F724" s="987">
        <f t="shared" si="79"/>
        <v>32838.627240143367</v>
      </c>
      <c r="G724" s="1038">
        <f>Detailed!H1180</f>
        <v>11.1</v>
      </c>
      <c r="H724" s="666">
        <f t="shared" si="83"/>
        <v>32838.627240143367</v>
      </c>
      <c r="I724" s="666"/>
      <c r="J724" s="666"/>
      <c r="K724" s="666">
        <f t="shared" si="80"/>
        <v>0</v>
      </c>
      <c r="L724" s="666"/>
      <c r="M724" s="665">
        <f t="shared" si="81"/>
        <v>11.1</v>
      </c>
      <c r="N724" s="666">
        <f t="shared" si="78"/>
        <v>32838.627240143367</v>
      </c>
      <c r="O724" s="672">
        <v>13.7</v>
      </c>
      <c r="P724" s="668">
        <f t="shared" si="82"/>
        <v>-2.5999999999999996</v>
      </c>
      <c r="Q724" s="676"/>
      <c r="R724" s="676"/>
    </row>
    <row r="725" spans="1:18" s="677" customFormat="1" ht="25.5" customHeight="1">
      <c r="A725" s="985"/>
      <c r="B725" s="986">
        <f t="shared" si="77"/>
        <v>6.6</v>
      </c>
      <c r="C725" s="987" t="s">
        <v>2754</v>
      </c>
      <c r="D725" s="1034">
        <f>Data!AG3549</f>
        <v>3071.8271604938268</v>
      </c>
      <c r="E725" s="1037" t="s">
        <v>37</v>
      </c>
      <c r="F725" s="987">
        <f t="shared" si="79"/>
        <v>20274.059259259255</v>
      </c>
      <c r="G725" s="1038">
        <f>Detailed!H1184</f>
        <v>6.6</v>
      </c>
      <c r="H725" s="666">
        <f t="shared" si="83"/>
        <v>20274.059259259255</v>
      </c>
      <c r="I725" s="666"/>
      <c r="J725" s="666"/>
      <c r="K725" s="666">
        <f t="shared" si="80"/>
        <v>0</v>
      </c>
      <c r="L725" s="666"/>
      <c r="M725" s="665">
        <f t="shared" si="81"/>
        <v>6.6</v>
      </c>
      <c r="N725" s="666">
        <f t="shared" si="78"/>
        <v>20274.059259259255</v>
      </c>
      <c r="O725" s="672">
        <v>5.3</v>
      </c>
      <c r="P725" s="668">
        <f t="shared" si="82"/>
        <v>1.2999999999999998</v>
      </c>
      <c r="Q725" s="676"/>
      <c r="R725" s="676"/>
    </row>
    <row r="726" spans="1:18" s="677" customFormat="1" ht="25.5" hidden="1" customHeight="1">
      <c r="A726" s="985"/>
      <c r="B726" s="986">
        <f t="shared" si="77"/>
        <v>0</v>
      </c>
      <c r="C726" s="987" t="s">
        <v>1850</v>
      </c>
      <c r="D726" s="1034">
        <f>Data!X3581</f>
        <v>3168.2246457757292</v>
      </c>
      <c r="E726" s="1037" t="s">
        <v>37</v>
      </c>
      <c r="F726" s="987">
        <f t="shared" si="79"/>
        <v>0</v>
      </c>
      <c r="G726" s="1038"/>
      <c r="H726" s="666">
        <f t="shared" si="83"/>
        <v>0</v>
      </c>
      <c r="I726" s="666"/>
      <c r="J726" s="666"/>
      <c r="K726" s="666">
        <f t="shared" si="80"/>
        <v>0</v>
      </c>
      <c r="L726" s="666"/>
      <c r="M726" s="665">
        <f t="shared" si="81"/>
        <v>0</v>
      </c>
      <c r="N726" s="666">
        <f t="shared" si="78"/>
        <v>0</v>
      </c>
      <c r="O726" s="672">
        <v>0</v>
      </c>
      <c r="P726" s="668">
        <f t="shared" si="82"/>
        <v>0</v>
      </c>
      <c r="Q726" s="676"/>
      <c r="R726" s="676"/>
    </row>
    <row r="727" spans="1:18" s="677" customFormat="1" ht="25.5" hidden="1" customHeight="1">
      <c r="A727" s="985"/>
      <c r="B727" s="986">
        <f t="shared" si="77"/>
        <v>0</v>
      </c>
      <c r="C727" s="987" t="s">
        <v>1851</v>
      </c>
      <c r="D727" s="1034">
        <f>Data!X3596</f>
        <v>2939.1454775458569</v>
      </c>
      <c r="E727" s="1037" t="s">
        <v>37</v>
      </c>
      <c r="F727" s="987">
        <f t="shared" si="79"/>
        <v>0</v>
      </c>
      <c r="G727" s="1038"/>
      <c r="H727" s="666">
        <f t="shared" si="83"/>
        <v>0</v>
      </c>
      <c r="I727" s="666"/>
      <c r="J727" s="666"/>
      <c r="K727" s="666">
        <f t="shared" si="80"/>
        <v>0</v>
      </c>
      <c r="L727" s="666"/>
      <c r="M727" s="665">
        <f t="shared" si="81"/>
        <v>0</v>
      </c>
      <c r="N727" s="666">
        <f t="shared" si="78"/>
        <v>0</v>
      </c>
      <c r="O727" s="672">
        <v>0</v>
      </c>
      <c r="P727" s="668">
        <f t="shared" si="82"/>
        <v>0</v>
      </c>
      <c r="Q727" s="676"/>
      <c r="R727" s="676"/>
    </row>
    <row r="728" spans="1:18" s="677" customFormat="1" ht="25.5" hidden="1" customHeight="1">
      <c r="A728" s="985"/>
      <c r="B728" s="986">
        <f t="shared" si="77"/>
        <v>0</v>
      </c>
      <c r="C728" s="987" t="s">
        <v>1852</v>
      </c>
      <c r="D728" s="1034">
        <f>Data!X3613</f>
        <v>3007.018881626725</v>
      </c>
      <c r="E728" s="1037" t="s">
        <v>37</v>
      </c>
      <c r="F728" s="987">
        <f t="shared" si="79"/>
        <v>0</v>
      </c>
      <c r="G728" s="1038"/>
      <c r="H728" s="666">
        <f t="shared" si="83"/>
        <v>0</v>
      </c>
      <c r="I728" s="666"/>
      <c r="J728" s="666"/>
      <c r="K728" s="666">
        <f t="shared" si="80"/>
        <v>0</v>
      </c>
      <c r="L728" s="666"/>
      <c r="M728" s="665">
        <f t="shared" si="81"/>
        <v>0</v>
      </c>
      <c r="N728" s="666">
        <f t="shared" si="78"/>
        <v>0</v>
      </c>
      <c r="O728" s="672">
        <v>0</v>
      </c>
      <c r="P728" s="668">
        <f t="shared" si="82"/>
        <v>0</v>
      </c>
      <c r="Q728" s="676"/>
      <c r="R728" s="676"/>
    </row>
    <row r="729" spans="1:18" s="677" customFormat="1" ht="46.5" hidden="1" customHeight="1">
      <c r="A729" s="985"/>
      <c r="B729" s="986">
        <f t="shared" si="77"/>
        <v>0</v>
      </c>
      <c r="C729" s="987" t="s">
        <v>1853</v>
      </c>
      <c r="D729" s="993">
        <f>Data!K2353</f>
        <v>30.617999999999999</v>
      </c>
      <c r="E729" s="1039" t="s">
        <v>37</v>
      </c>
      <c r="F729" s="987">
        <f t="shared" si="79"/>
        <v>0</v>
      </c>
      <c r="G729" s="1036"/>
      <c r="H729" s="666">
        <f t="shared" si="83"/>
        <v>0</v>
      </c>
      <c r="I729" s="666"/>
      <c r="J729" s="666"/>
      <c r="K729" s="666">
        <f t="shared" si="80"/>
        <v>0</v>
      </c>
      <c r="L729" s="666"/>
      <c r="M729" s="665">
        <f t="shared" si="81"/>
        <v>0</v>
      </c>
      <c r="N729" s="666">
        <f t="shared" si="78"/>
        <v>0</v>
      </c>
      <c r="O729" s="672">
        <v>0</v>
      </c>
      <c r="P729" s="668">
        <f t="shared" si="82"/>
        <v>0</v>
      </c>
      <c r="Q729" s="676"/>
      <c r="R729" s="676"/>
    </row>
    <row r="730" spans="1:18" s="677" customFormat="1" ht="46.5" hidden="1" customHeight="1">
      <c r="A730" s="985"/>
      <c r="B730" s="986">
        <f t="shared" si="77"/>
        <v>0</v>
      </c>
      <c r="C730" s="1049" t="s">
        <v>1854</v>
      </c>
      <c r="D730" s="993"/>
      <c r="E730" s="1039"/>
      <c r="F730" s="987">
        <f t="shared" si="79"/>
        <v>0</v>
      </c>
      <c r="G730" s="1036"/>
      <c r="H730" s="666">
        <f t="shared" si="83"/>
        <v>0</v>
      </c>
      <c r="I730" s="666"/>
      <c r="J730" s="666"/>
      <c r="K730" s="666">
        <f t="shared" si="80"/>
        <v>0</v>
      </c>
      <c r="L730" s="666"/>
      <c r="M730" s="665">
        <f t="shared" si="81"/>
        <v>0</v>
      </c>
      <c r="N730" s="666">
        <f t="shared" si="78"/>
        <v>0</v>
      </c>
      <c r="O730" s="672">
        <v>0</v>
      </c>
      <c r="P730" s="668">
        <f t="shared" si="82"/>
        <v>0</v>
      </c>
      <c r="Q730" s="676"/>
      <c r="R730" s="676"/>
    </row>
    <row r="731" spans="1:18" s="677" customFormat="1" ht="46.5" hidden="1" customHeight="1">
      <c r="A731" s="985"/>
      <c r="B731" s="986">
        <f t="shared" si="77"/>
        <v>0</v>
      </c>
      <c r="C731" s="987" t="s">
        <v>1405</v>
      </c>
      <c r="D731" s="993">
        <f>Data!AD1196</f>
        <v>1919.8833200000001</v>
      </c>
      <c r="E731" s="1039" t="s">
        <v>37</v>
      </c>
      <c r="F731" s="987">
        <f t="shared" si="79"/>
        <v>0</v>
      </c>
      <c r="G731" s="1036"/>
      <c r="H731" s="666">
        <f t="shared" si="83"/>
        <v>0</v>
      </c>
      <c r="I731" s="666"/>
      <c r="J731" s="666"/>
      <c r="K731" s="666">
        <f t="shared" si="80"/>
        <v>0</v>
      </c>
      <c r="L731" s="666"/>
      <c r="M731" s="665">
        <f t="shared" si="81"/>
        <v>0</v>
      </c>
      <c r="N731" s="666">
        <f t="shared" si="78"/>
        <v>0</v>
      </c>
      <c r="O731" s="672">
        <v>0</v>
      </c>
      <c r="P731" s="668">
        <f t="shared" si="82"/>
        <v>0</v>
      </c>
      <c r="Q731" s="676"/>
      <c r="R731" s="676"/>
    </row>
    <row r="732" spans="1:18" s="677" customFormat="1" ht="46.5" hidden="1" customHeight="1">
      <c r="A732" s="985"/>
      <c r="B732" s="986">
        <f t="shared" si="77"/>
        <v>0</v>
      </c>
      <c r="C732" s="987" t="s">
        <v>1406</v>
      </c>
      <c r="D732" s="993">
        <f>Data!AD1198</f>
        <v>1926.0193200000001</v>
      </c>
      <c r="E732" s="1039" t="s">
        <v>37</v>
      </c>
      <c r="F732" s="987">
        <f t="shared" si="79"/>
        <v>0</v>
      </c>
      <c r="G732" s="1036"/>
      <c r="H732" s="666">
        <f t="shared" si="83"/>
        <v>0</v>
      </c>
      <c r="I732" s="666"/>
      <c r="J732" s="666"/>
      <c r="K732" s="666">
        <f t="shared" si="80"/>
        <v>0</v>
      </c>
      <c r="L732" s="666"/>
      <c r="M732" s="665">
        <f t="shared" si="81"/>
        <v>0</v>
      </c>
      <c r="N732" s="666">
        <f t="shared" si="78"/>
        <v>0</v>
      </c>
      <c r="O732" s="672">
        <v>0</v>
      </c>
      <c r="P732" s="668">
        <f t="shared" si="82"/>
        <v>0</v>
      </c>
      <c r="Q732" s="676"/>
      <c r="R732" s="676"/>
    </row>
    <row r="733" spans="1:18" s="677" customFormat="1" ht="46.5" hidden="1" customHeight="1">
      <c r="A733" s="985"/>
      <c r="B733" s="986">
        <f t="shared" si="77"/>
        <v>0</v>
      </c>
      <c r="C733" s="987" t="s">
        <v>1407</v>
      </c>
      <c r="D733" s="993">
        <f>Data!AD1199</f>
        <v>1930.08932</v>
      </c>
      <c r="E733" s="1039" t="s">
        <v>37</v>
      </c>
      <c r="F733" s="987">
        <f t="shared" si="79"/>
        <v>0</v>
      </c>
      <c r="G733" s="1036"/>
      <c r="H733" s="666">
        <f t="shared" si="83"/>
        <v>0</v>
      </c>
      <c r="I733" s="666"/>
      <c r="J733" s="666"/>
      <c r="K733" s="666">
        <f t="shared" si="80"/>
        <v>0</v>
      </c>
      <c r="L733" s="666"/>
      <c r="M733" s="665">
        <f t="shared" si="81"/>
        <v>0</v>
      </c>
      <c r="N733" s="666">
        <f t="shared" si="78"/>
        <v>0</v>
      </c>
      <c r="O733" s="672">
        <v>0</v>
      </c>
      <c r="P733" s="668">
        <f t="shared" si="82"/>
        <v>0</v>
      </c>
      <c r="Q733" s="676"/>
      <c r="R733" s="676"/>
    </row>
    <row r="734" spans="1:18" s="677" customFormat="1" ht="6" hidden="1" customHeight="1">
      <c r="A734" s="985"/>
      <c r="B734" s="986">
        <f t="shared" si="77"/>
        <v>0</v>
      </c>
      <c r="C734" s="987" t="s">
        <v>1408</v>
      </c>
      <c r="D734" s="993">
        <f>Data!AD1200</f>
        <v>1934.15932</v>
      </c>
      <c r="E734" s="1039" t="s">
        <v>37</v>
      </c>
      <c r="F734" s="987">
        <f t="shared" si="79"/>
        <v>0</v>
      </c>
      <c r="G734" s="1036"/>
      <c r="H734" s="666">
        <f t="shared" si="83"/>
        <v>0</v>
      </c>
      <c r="I734" s="666"/>
      <c r="J734" s="666"/>
      <c r="K734" s="666">
        <f t="shared" si="80"/>
        <v>0</v>
      </c>
      <c r="L734" s="666"/>
      <c r="M734" s="665">
        <f t="shared" si="81"/>
        <v>0</v>
      </c>
      <c r="N734" s="666">
        <f t="shared" si="78"/>
        <v>0</v>
      </c>
      <c r="O734" s="672">
        <v>0</v>
      </c>
      <c r="P734" s="668">
        <f t="shared" si="82"/>
        <v>0</v>
      </c>
      <c r="Q734" s="676"/>
      <c r="R734" s="676"/>
    </row>
    <row r="735" spans="1:18" ht="57.75" hidden="1" customHeight="1">
      <c r="A735" s="985"/>
      <c r="B735" s="986">
        <f t="shared" si="77"/>
        <v>0</v>
      </c>
      <c r="C735" s="1049" t="s">
        <v>1855</v>
      </c>
      <c r="D735" s="990"/>
      <c r="E735" s="1044"/>
      <c r="F735" s="987">
        <f t="shared" si="79"/>
        <v>0</v>
      </c>
      <c r="G735" s="1043"/>
      <c r="H735" s="666">
        <f t="shared" si="83"/>
        <v>0</v>
      </c>
      <c r="I735" s="666"/>
      <c r="J735" s="666"/>
      <c r="K735" s="666">
        <f t="shared" si="80"/>
        <v>0</v>
      </c>
      <c r="L735" s="666"/>
      <c r="M735" s="665">
        <f t="shared" si="81"/>
        <v>0</v>
      </c>
      <c r="N735" s="666">
        <f t="shared" si="78"/>
        <v>0</v>
      </c>
      <c r="O735" s="668">
        <v>0</v>
      </c>
      <c r="P735" s="668">
        <f t="shared" si="82"/>
        <v>0</v>
      </c>
    </row>
    <row r="736" spans="1:18" ht="48.75" hidden="1" customHeight="1">
      <c r="A736" s="985"/>
      <c r="B736" s="986">
        <f t="shared" si="77"/>
        <v>0</v>
      </c>
      <c r="C736" s="987" t="s">
        <v>1405</v>
      </c>
      <c r="D736" s="990">
        <f>Data!AK1197</f>
        <v>1052.9163199999998</v>
      </c>
      <c r="E736" s="1044" t="s">
        <v>37</v>
      </c>
      <c r="F736" s="987">
        <f t="shared" si="79"/>
        <v>0</v>
      </c>
      <c r="G736" s="1043"/>
      <c r="H736" s="666">
        <f t="shared" si="83"/>
        <v>0</v>
      </c>
      <c r="I736" s="666"/>
      <c r="J736" s="666"/>
      <c r="K736" s="666">
        <f t="shared" si="80"/>
        <v>0</v>
      </c>
      <c r="L736" s="666"/>
      <c r="M736" s="665">
        <f t="shared" si="81"/>
        <v>0</v>
      </c>
      <c r="N736" s="666">
        <f t="shared" si="78"/>
        <v>0</v>
      </c>
      <c r="O736" s="672">
        <v>0</v>
      </c>
      <c r="P736" s="668">
        <f t="shared" si="82"/>
        <v>0</v>
      </c>
    </row>
    <row r="737" spans="1:18" ht="48.75" hidden="1" customHeight="1">
      <c r="A737" s="985"/>
      <c r="B737" s="986">
        <f t="shared" si="77"/>
        <v>0</v>
      </c>
      <c r="C737" s="987" t="s">
        <v>1406</v>
      </c>
      <c r="D737" s="990">
        <f>Data!AK1198</f>
        <v>1054.9513199999999</v>
      </c>
      <c r="E737" s="1044" t="s">
        <v>37</v>
      </c>
      <c r="F737" s="987">
        <f t="shared" si="79"/>
        <v>0</v>
      </c>
      <c r="G737" s="1043"/>
      <c r="H737" s="666">
        <f t="shared" si="83"/>
        <v>0</v>
      </c>
      <c r="I737" s="666"/>
      <c r="J737" s="666"/>
      <c r="K737" s="666">
        <f t="shared" si="80"/>
        <v>0</v>
      </c>
      <c r="L737" s="666"/>
      <c r="M737" s="665">
        <f t="shared" si="81"/>
        <v>0</v>
      </c>
      <c r="N737" s="666">
        <f t="shared" si="78"/>
        <v>0</v>
      </c>
      <c r="O737" s="672">
        <v>0</v>
      </c>
      <c r="P737" s="668">
        <f t="shared" si="82"/>
        <v>0</v>
      </c>
    </row>
    <row r="738" spans="1:18" ht="48.75" hidden="1" customHeight="1">
      <c r="A738" s="985"/>
      <c r="B738" s="986">
        <f t="shared" si="77"/>
        <v>0</v>
      </c>
      <c r="C738" s="987" t="s">
        <v>1407</v>
      </c>
      <c r="D738" s="990">
        <f>Data!AK1199</f>
        <v>1056.98632</v>
      </c>
      <c r="E738" s="1044" t="s">
        <v>37</v>
      </c>
      <c r="F738" s="987">
        <f t="shared" si="79"/>
        <v>0</v>
      </c>
      <c r="G738" s="1043"/>
      <c r="H738" s="666">
        <f t="shared" si="83"/>
        <v>0</v>
      </c>
      <c r="I738" s="666"/>
      <c r="J738" s="666"/>
      <c r="K738" s="666">
        <f t="shared" si="80"/>
        <v>0</v>
      </c>
      <c r="L738" s="666"/>
      <c r="M738" s="665">
        <f t="shared" si="81"/>
        <v>0</v>
      </c>
      <c r="N738" s="666">
        <f t="shared" si="78"/>
        <v>0</v>
      </c>
      <c r="O738" s="672">
        <v>0</v>
      </c>
      <c r="P738" s="668">
        <f t="shared" si="82"/>
        <v>0</v>
      </c>
    </row>
    <row r="739" spans="1:18" ht="48.75" hidden="1" customHeight="1">
      <c r="A739" s="985"/>
      <c r="B739" s="986">
        <f t="shared" si="77"/>
        <v>0</v>
      </c>
      <c r="C739" s="987" t="s">
        <v>1856</v>
      </c>
      <c r="D739" s="990">
        <f>Data!AK1200</f>
        <v>1058.93632</v>
      </c>
      <c r="E739" s="1044" t="s">
        <v>37</v>
      </c>
      <c r="F739" s="987">
        <f t="shared" si="79"/>
        <v>0</v>
      </c>
      <c r="G739" s="1043"/>
      <c r="H739" s="666">
        <f t="shared" si="83"/>
        <v>0</v>
      </c>
      <c r="I739" s="666"/>
      <c r="J739" s="666"/>
      <c r="K739" s="666">
        <f t="shared" si="80"/>
        <v>0</v>
      </c>
      <c r="L739" s="666"/>
      <c r="M739" s="665">
        <f t="shared" si="81"/>
        <v>0</v>
      </c>
      <c r="N739" s="666">
        <f t="shared" si="78"/>
        <v>0</v>
      </c>
      <c r="O739" s="672">
        <v>0</v>
      </c>
      <c r="P739" s="668">
        <f t="shared" si="82"/>
        <v>0</v>
      </c>
    </row>
    <row r="740" spans="1:18" s="677" customFormat="1" ht="39" hidden="1" customHeight="1">
      <c r="A740" s="985"/>
      <c r="B740" s="986">
        <f t="shared" si="77"/>
        <v>0</v>
      </c>
      <c r="C740" s="995" t="s">
        <v>1857</v>
      </c>
      <c r="D740" s="1034"/>
      <c r="E740" s="1037"/>
      <c r="F740" s="987">
        <f t="shared" si="79"/>
        <v>0</v>
      </c>
      <c r="G740" s="1038"/>
      <c r="H740" s="666">
        <f t="shared" si="83"/>
        <v>0</v>
      </c>
      <c r="I740" s="666"/>
      <c r="J740" s="666"/>
      <c r="K740" s="666">
        <f t="shared" si="80"/>
        <v>0</v>
      </c>
      <c r="L740" s="666"/>
      <c r="M740" s="665">
        <f t="shared" si="81"/>
        <v>0</v>
      </c>
      <c r="N740" s="666">
        <f t="shared" si="78"/>
        <v>0</v>
      </c>
      <c r="O740" s="672">
        <v>0</v>
      </c>
      <c r="P740" s="668">
        <f t="shared" si="82"/>
        <v>0</v>
      </c>
      <c r="Q740" s="676"/>
      <c r="R740" s="676"/>
    </row>
    <row r="741" spans="1:18" s="677" customFormat="1" ht="45" hidden="1" customHeight="1">
      <c r="A741" s="985"/>
      <c r="B741" s="986">
        <f t="shared" si="77"/>
        <v>0</v>
      </c>
      <c r="C741" s="987" t="s">
        <v>1858</v>
      </c>
      <c r="D741" s="993">
        <f>Data!X3126</f>
        <v>3402.3726356589145</v>
      </c>
      <c r="E741" s="1039" t="s">
        <v>264</v>
      </c>
      <c r="F741" s="987">
        <f t="shared" si="79"/>
        <v>0</v>
      </c>
      <c r="G741" s="1036"/>
      <c r="H741" s="666">
        <f t="shared" si="83"/>
        <v>0</v>
      </c>
      <c r="I741" s="666"/>
      <c r="J741" s="666"/>
      <c r="K741" s="666">
        <f t="shared" si="80"/>
        <v>0</v>
      </c>
      <c r="L741" s="666"/>
      <c r="M741" s="665">
        <f t="shared" si="81"/>
        <v>0</v>
      </c>
      <c r="N741" s="666">
        <f t="shared" si="78"/>
        <v>0</v>
      </c>
      <c r="O741" s="672">
        <v>0</v>
      </c>
      <c r="P741" s="668">
        <f t="shared" si="82"/>
        <v>0</v>
      </c>
      <c r="Q741" s="676"/>
      <c r="R741" s="676"/>
    </row>
    <row r="742" spans="1:18" s="677" customFormat="1" ht="49.5" hidden="1" customHeight="1">
      <c r="A742" s="985"/>
      <c r="B742" s="986">
        <f t="shared" si="77"/>
        <v>0</v>
      </c>
      <c r="C742" s="1033" t="s">
        <v>1859</v>
      </c>
      <c r="D742" s="1041">
        <v>3358.02</v>
      </c>
      <c r="E742" s="1037" t="s">
        <v>37</v>
      </c>
      <c r="F742" s="987">
        <f t="shared" si="79"/>
        <v>0</v>
      </c>
      <c r="G742" s="1038"/>
      <c r="H742" s="666">
        <f t="shared" si="83"/>
        <v>0</v>
      </c>
      <c r="I742" s="666"/>
      <c r="J742" s="666"/>
      <c r="K742" s="666">
        <f t="shared" si="80"/>
        <v>0</v>
      </c>
      <c r="L742" s="666"/>
      <c r="M742" s="665">
        <f t="shared" si="81"/>
        <v>0</v>
      </c>
      <c r="N742" s="666">
        <f t="shared" si="78"/>
        <v>0</v>
      </c>
      <c r="O742" s="672">
        <v>0</v>
      </c>
      <c r="P742" s="668">
        <f t="shared" si="82"/>
        <v>0</v>
      </c>
      <c r="Q742" s="676"/>
      <c r="R742" s="676"/>
    </row>
    <row r="743" spans="1:18" s="677" customFormat="1" ht="41.25" hidden="1" customHeight="1">
      <c r="A743" s="985"/>
      <c r="B743" s="986">
        <f t="shared" si="77"/>
        <v>0</v>
      </c>
      <c r="C743" s="1033" t="s">
        <v>1860</v>
      </c>
      <c r="D743" s="1041">
        <v>3828.85</v>
      </c>
      <c r="E743" s="1037" t="s">
        <v>37</v>
      </c>
      <c r="F743" s="987">
        <f t="shared" si="79"/>
        <v>0</v>
      </c>
      <c r="G743" s="1038"/>
      <c r="H743" s="666">
        <f t="shared" si="83"/>
        <v>0</v>
      </c>
      <c r="I743" s="666"/>
      <c r="J743" s="666"/>
      <c r="K743" s="666">
        <f t="shared" si="80"/>
        <v>0</v>
      </c>
      <c r="L743" s="666"/>
      <c r="M743" s="665">
        <f t="shared" si="81"/>
        <v>0</v>
      </c>
      <c r="N743" s="666">
        <f t="shared" si="78"/>
        <v>0</v>
      </c>
      <c r="O743" s="672">
        <v>0</v>
      </c>
      <c r="P743" s="668">
        <f t="shared" si="82"/>
        <v>0</v>
      </c>
      <c r="Q743" s="676"/>
      <c r="R743" s="676"/>
    </row>
    <row r="744" spans="1:18" s="677" customFormat="1" ht="41.25" hidden="1" customHeight="1">
      <c r="A744" s="985"/>
      <c r="B744" s="986">
        <f t="shared" si="77"/>
        <v>0</v>
      </c>
      <c r="C744" s="1049" t="s">
        <v>1861</v>
      </c>
      <c r="D744" s="1041">
        <f>Data!X3168</f>
        <v>3283.9470989761094</v>
      </c>
      <c r="E744" s="1037" t="s">
        <v>37</v>
      </c>
      <c r="F744" s="987">
        <f t="shared" si="79"/>
        <v>0</v>
      </c>
      <c r="G744" s="1038"/>
      <c r="H744" s="666">
        <f t="shared" si="83"/>
        <v>0</v>
      </c>
      <c r="I744" s="666"/>
      <c r="J744" s="666"/>
      <c r="K744" s="666">
        <f t="shared" si="80"/>
        <v>0</v>
      </c>
      <c r="L744" s="666"/>
      <c r="M744" s="665">
        <f t="shared" si="81"/>
        <v>0</v>
      </c>
      <c r="N744" s="666">
        <f t="shared" si="78"/>
        <v>0</v>
      </c>
      <c r="O744" s="672">
        <v>0</v>
      </c>
      <c r="P744" s="668">
        <f t="shared" si="82"/>
        <v>0</v>
      </c>
      <c r="Q744" s="676"/>
      <c r="R744" s="676"/>
    </row>
    <row r="745" spans="1:18" s="677" customFormat="1" ht="42" hidden="1" customHeight="1">
      <c r="A745" s="985"/>
      <c r="B745" s="986">
        <f t="shared" si="77"/>
        <v>0</v>
      </c>
      <c r="C745" s="1049" t="s">
        <v>1862</v>
      </c>
      <c r="D745" s="1034"/>
      <c r="E745" s="1037"/>
      <c r="F745" s="987">
        <f t="shared" si="79"/>
        <v>0</v>
      </c>
      <c r="G745" s="1038"/>
      <c r="H745" s="666">
        <f t="shared" si="83"/>
        <v>0</v>
      </c>
      <c r="I745" s="666"/>
      <c r="J745" s="666"/>
      <c r="K745" s="666">
        <f t="shared" si="80"/>
        <v>0</v>
      </c>
      <c r="L745" s="666"/>
      <c r="M745" s="665">
        <f t="shared" si="81"/>
        <v>0</v>
      </c>
      <c r="N745" s="666">
        <f t="shared" si="78"/>
        <v>0</v>
      </c>
      <c r="O745" s="672">
        <v>0</v>
      </c>
      <c r="P745" s="668">
        <f t="shared" si="82"/>
        <v>0</v>
      </c>
      <c r="Q745" s="676"/>
      <c r="R745" s="676"/>
    </row>
    <row r="746" spans="1:18" s="677" customFormat="1" ht="42" hidden="1" customHeight="1">
      <c r="A746" s="985"/>
      <c r="B746" s="986">
        <f t="shared" si="77"/>
        <v>0</v>
      </c>
      <c r="C746" s="1033" t="s">
        <v>1863</v>
      </c>
      <c r="D746" s="1034">
        <f>Data!R1479</f>
        <v>4535.8925925925923</v>
      </c>
      <c r="E746" s="1037" t="s">
        <v>37</v>
      </c>
      <c r="F746" s="987">
        <f t="shared" si="79"/>
        <v>0</v>
      </c>
      <c r="G746" s="1038"/>
      <c r="H746" s="666">
        <f t="shared" si="83"/>
        <v>0</v>
      </c>
      <c r="I746" s="666"/>
      <c r="J746" s="666"/>
      <c r="K746" s="666">
        <f t="shared" si="80"/>
        <v>0</v>
      </c>
      <c r="L746" s="666"/>
      <c r="M746" s="665">
        <f t="shared" si="81"/>
        <v>0</v>
      </c>
      <c r="N746" s="666">
        <f t="shared" si="78"/>
        <v>0</v>
      </c>
      <c r="O746" s="672">
        <v>0</v>
      </c>
      <c r="P746" s="668">
        <f t="shared" si="82"/>
        <v>0</v>
      </c>
      <c r="Q746" s="676"/>
      <c r="R746" s="676"/>
    </row>
    <row r="747" spans="1:18" s="677" customFormat="1" ht="42" hidden="1" customHeight="1">
      <c r="A747" s="985"/>
      <c r="B747" s="986">
        <f t="shared" si="77"/>
        <v>0</v>
      </c>
      <c r="C747" s="1033" t="s">
        <v>1864</v>
      </c>
      <c r="D747" s="1034">
        <f>Data!X1440</f>
        <v>5059.0194444444442</v>
      </c>
      <c r="E747" s="1037" t="s">
        <v>37</v>
      </c>
      <c r="F747" s="987">
        <f t="shared" si="79"/>
        <v>0</v>
      </c>
      <c r="G747" s="1038"/>
      <c r="H747" s="666">
        <f t="shared" si="83"/>
        <v>0</v>
      </c>
      <c r="I747" s="666"/>
      <c r="J747" s="666"/>
      <c r="K747" s="666">
        <f t="shared" si="80"/>
        <v>0</v>
      </c>
      <c r="L747" s="666"/>
      <c r="M747" s="665">
        <f t="shared" si="81"/>
        <v>0</v>
      </c>
      <c r="N747" s="666">
        <f t="shared" si="78"/>
        <v>0</v>
      </c>
      <c r="O747" s="672">
        <v>0</v>
      </c>
      <c r="P747" s="668">
        <f t="shared" si="82"/>
        <v>0</v>
      </c>
      <c r="Q747" s="676"/>
      <c r="R747" s="676"/>
    </row>
    <row r="748" spans="1:18" s="677" customFormat="1" ht="23.1" hidden="1" customHeight="1">
      <c r="A748" s="985"/>
      <c r="B748" s="986">
        <f t="shared" si="77"/>
        <v>0</v>
      </c>
      <c r="C748" s="1033" t="s">
        <v>1865</v>
      </c>
      <c r="D748" s="1034">
        <f>Data!X1447</f>
        <v>4748.822222222223</v>
      </c>
      <c r="E748" s="1037" t="s">
        <v>37</v>
      </c>
      <c r="F748" s="987">
        <f t="shared" si="79"/>
        <v>0</v>
      </c>
      <c r="G748" s="1038"/>
      <c r="H748" s="666">
        <f t="shared" si="83"/>
        <v>0</v>
      </c>
      <c r="I748" s="666"/>
      <c r="J748" s="666"/>
      <c r="K748" s="666">
        <f t="shared" si="80"/>
        <v>0</v>
      </c>
      <c r="L748" s="666"/>
      <c r="M748" s="665">
        <f t="shared" si="81"/>
        <v>0</v>
      </c>
      <c r="N748" s="666">
        <f t="shared" si="78"/>
        <v>0</v>
      </c>
      <c r="O748" s="672">
        <v>0</v>
      </c>
      <c r="P748" s="668">
        <f t="shared" si="82"/>
        <v>0</v>
      </c>
      <c r="Q748" s="676"/>
      <c r="R748" s="676"/>
    </row>
    <row r="749" spans="1:18" s="677" customFormat="1" ht="23.1" hidden="1" customHeight="1">
      <c r="A749" s="985"/>
      <c r="B749" s="986">
        <f t="shared" si="77"/>
        <v>0</v>
      </c>
      <c r="C749" s="1033" t="s">
        <v>1866</v>
      </c>
      <c r="D749" s="1034">
        <f>Data!R1479</f>
        <v>4535.8925925925923</v>
      </c>
      <c r="E749" s="1037" t="s">
        <v>37</v>
      </c>
      <c r="F749" s="987">
        <f t="shared" si="79"/>
        <v>0</v>
      </c>
      <c r="G749" s="1038"/>
      <c r="H749" s="666">
        <f t="shared" si="83"/>
        <v>0</v>
      </c>
      <c r="I749" s="666"/>
      <c r="J749" s="666"/>
      <c r="K749" s="666">
        <f t="shared" si="80"/>
        <v>0</v>
      </c>
      <c r="L749" s="666"/>
      <c r="M749" s="665">
        <f t="shared" si="81"/>
        <v>0</v>
      </c>
      <c r="N749" s="666">
        <f t="shared" si="78"/>
        <v>0</v>
      </c>
      <c r="O749" s="672">
        <v>0</v>
      </c>
      <c r="P749" s="668">
        <f t="shared" si="82"/>
        <v>0</v>
      </c>
      <c r="Q749" s="676"/>
      <c r="R749" s="676"/>
    </row>
    <row r="750" spans="1:18" s="677" customFormat="1" ht="25.5" customHeight="1">
      <c r="A750" s="985"/>
      <c r="B750" s="986">
        <f t="shared" si="77"/>
        <v>0</v>
      </c>
      <c r="C750" s="1049" t="str">
        <f>'[9]Bldg+Dev'!$B$566</f>
        <v>Supply &amp; Fixing of MS door  (for lockup door )</v>
      </c>
      <c r="D750" s="993"/>
      <c r="E750" s="1039"/>
      <c r="F750" s="987">
        <f t="shared" si="79"/>
        <v>0</v>
      </c>
      <c r="G750" s="1036"/>
      <c r="H750" s="666">
        <f t="shared" si="83"/>
        <v>0</v>
      </c>
      <c r="I750" s="666"/>
      <c r="J750" s="666"/>
      <c r="K750" s="666">
        <f t="shared" si="80"/>
        <v>0</v>
      </c>
      <c r="L750" s="666"/>
      <c r="M750" s="665">
        <f t="shared" si="81"/>
        <v>0</v>
      </c>
      <c r="N750" s="666">
        <f t="shared" si="78"/>
        <v>0</v>
      </c>
      <c r="O750" s="672">
        <v>0</v>
      </c>
      <c r="P750" s="668">
        <f t="shared" si="82"/>
        <v>0</v>
      </c>
      <c r="Q750" s="676"/>
      <c r="R750" s="676"/>
    </row>
    <row r="751" spans="1:18" s="677" customFormat="1" ht="25.5" customHeight="1">
      <c r="A751" s="985"/>
      <c r="B751" s="986">
        <f t="shared" si="77"/>
        <v>2</v>
      </c>
      <c r="C751" s="987" t="s">
        <v>1867</v>
      </c>
      <c r="D751" s="993">
        <f>Data!K2545</f>
        <v>8430.9000000000015</v>
      </c>
      <c r="E751" s="1039" t="s">
        <v>992</v>
      </c>
      <c r="F751" s="987">
        <f t="shared" si="79"/>
        <v>16861.800000000003</v>
      </c>
      <c r="G751" s="1036">
        <f>Detailed!H1650</f>
        <v>2</v>
      </c>
      <c r="H751" s="666">
        <f t="shared" si="83"/>
        <v>16861.800000000003</v>
      </c>
      <c r="I751" s="666"/>
      <c r="J751" s="666"/>
      <c r="K751" s="666">
        <f t="shared" si="80"/>
        <v>0</v>
      </c>
      <c r="L751" s="666"/>
      <c r="M751" s="665">
        <f t="shared" si="81"/>
        <v>2</v>
      </c>
      <c r="N751" s="666">
        <f t="shared" si="78"/>
        <v>16861.800000000003</v>
      </c>
      <c r="O751" s="672">
        <v>2</v>
      </c>
      <c r="P751" s="668">
        <f t="shared" si="82"/>
        <v>0</v>
      </c>
      <c r="Q751" s="676"/>
      <c r="R751" s="676"/>
    </row>
    <row r="752" spans="1:18" s="677" customFormat="1" ht="25.5" hidden="1" customHeight="1">
      <c r="A752" s="985"/>
      <c r="B752" s="986">
        <f t="shared" si="77"/>
        <v>0</v>
      </c>
      <c r="C752" s="987" t="s">
        <v>1868</v>
      </c>
      <c r="D752" s="993">
        <f>D875</f>
        <v>0</v>
      </c>
      <c r="E752" s="1039" t="s">
        <v>522</v>
      </c>
      <c r="F752" s="987">
        <f t="shared" si="79"/>
        <v>0</v>
      </c>
      <c r="G752" s="1036"/>
      <c r="H752" s="666">
        <f t="shared" si="83"/>
        <v>0</v>
      </c>
      <c r="I752" s="666"/>
      <c r="J752" s="666"/>
      <c r="K752" s="666">
        <f t="shared" si="80"/>
        <v>0</v>
      </c>
      <c r="L752" s="666"/>
      <c r="M752" s="665">
        <f t="shared" si="81"/>
        <v>0</v>
      </c>
      <c r="N752" s="666">
        <f t="shared" si="78"/>
        <v>0</v>
      </c>
      <c r="O752" s="672">
        <v>0</v>
      </c>
      <c r="P752" s="668">
        <f t="shared" si="82"/>
        <v>0</v>
      </c>
      <c r="Q752" s="676"/>
      <c r="R752" s="676"/>
    </row>
    <row r="753" spans="1:18" s="677" customFormat="1" ht="69.75" customHeight="1">
      <c r="A753" s="985"/>
      <c r="B753" s="986">
        <f t="shared" si="77"/>
        <v>0</v>
      </c>
      <c r="C753" s="995" t="s">
        <v>1869</v>
      </c>
      <c r="D753" s="993"/>
      <c r="E753" s="1039"/>
      <c r="F753" s="987">
        <f t="shared" si="79"/>
        <v>0</v>
      </c>
      <c r="G753" s="1036"/>
      <c r="H753" s="666">
        <f t="shared" si="83"/>
        <v>0</v>
      </c>
      <c r="I753" s="666"/>
      <c r="J753" s="666"/>
      <c r="K753" s="666">
        <f t="shared" si="80"/>
        <v>0</v>
      </c>
      <c r="L753" s="666"/>
      <c r="M753" s="665">
        <f t="shared" si="81"/>
        <v>0</v>
      </c>
      <c r="N753" s="666">
        <f t="shared" si="78"/>
        <v>0</v>
      </c>
      <c r="O753" s="672">
        <v>0</v>
      </c>
      <c r="P753" s="668">
        <f t="shared" si="82"/>
        <v>0</v>
      </c>
      <c r="Q753" s="676"/>
      <c r="R753" s="676"/>
    </row>
    <row r="754" spans="1:18" s="677" customFormat="1" ht="51" hidden="1" customHeight="1">
      <c r="A754" s="985"/>
      <c r="B754" s="986">
        <f t="shared" si="77"/>
        <v>0</v>
      </c>
      <c r="C754" s="987" t="s">
        <v>1870</v>
      </c>
      <c r="D754" s="993">
        <v>3004.33</v>
      </c>
      <c r="E754" s="1039" t="s">
        <v>37</v>
      </c>
      <c r="F754" s="987">
        <f t="shared" si="79"/>
        <v>0</v>
      </c>
      <c r="G754" s="1036"/>
      <c r="H754" s="666">
        <f t="shared" si="83"/>
        <v>0</v>
      </c>
      <c r="I754" s="666"/>
      <c r="J754" s="666"/>
      <c r="K754" s="666">
        <f t="shared" si="80"/>
        <v>0</v>
      </c>
      <c r="L754" s="666"/>
      <c r="M754" s="665">
        <f t="shared" si="81"/>
        <v>0</v>
      </c>
      <c r="N754" s="666">
        <f t="shared" si="78"/>
        <v>0</v>
      </c>
      <c r="O754" s="672">
        <v>0</v>
      </c>
      <c r="P754" s="668">
        <f t="shared" si="82"/>
        <v>0</v>
      </c>
      <c r="Q754" s="676"/>
      <c r="R754" s="676"/>
    </row>
    <row r="755" spans="1:18" ht="51" hidden="1" customHeight="1">
      <c r="A755" s="985"/>
      <c r="B755" s="986">
        <f t="shared" si="77"/>
        <v>0</v>
      </c>
      <c r="C755" s="987" t="s">
        <v>1871</v>
      </c>
      <c r="D755" s="990">
        <f>D876</f>
        <v>4353.333333333333</v>
      </c>
      <c r="E755" s="1044" t="s">
        <v>37</v>
      </c>
      <c r="F755" s="987">
        <f t="shared" si="79"/>
        <v>0</v>
      </c>
      <c r="G755" s="1043"/>
      <c r="H755" s="666">
        <f t="shared" si="83"/>
        <v>0</v>
      </c>
      <c r="I755" s="666"/>
      <c r="J755" s="666"/>
      <c r="K755" s="666">
        <f t="shared" si="80"/>
        <v>0</v>
      </c>
      <c r="L755" s="666"/>
      <c r="M755" s="665">
        <f t="shared" si="81"/>
        <v>0</v>
      </c>
      <c r="N755" s="666">
        <f t="shared" si="78"/>
        <v>0</v>
      </c>
      <c r="O755" s="672">
        <v>0</v>
      </c>
      <c r="P755" s="668">
        <f t="shared" si="82"/>
        <v>0</v>
      </c>
    </row>
    <row r="756" spans="1:18" s="677" customFormat="1" ht="51" hidden="1" customHeight="1">
      <c r="A756" s="985"/>
      <c r="B756" s="986">
        <f t="shared" si="77"/>
        <v>0</v>
      </c>
      <c r="C756" s="987" t="s">
        <v>1872</v>
      </c>
      <c r="D756" s="993">
        <f>'Abst Main '!D877</f>
        <v>4626.8</v>
      </c>
      <c r="E756" s="1039" t="s">
        <v>37</v>
      </c>
      <c r="F756" s="987">
        <f t="shared" si="79"/>
        <v>0</v>
      </c>
      <c r="G756" s="1036"/>
      <c r="H756" s="666">
        <f t="shared" si="83"/>
        <v>0</v>
      </c>
      <c r="I756" s="666"/>
      <c r="J756" s="666"/>
      <c r="K756" s="666">
        <f t="shared" si="80"/>
        <v>0</v>
      </c>
      <c r="L756" s="666"/>
      <c r="M756" s="665">
        <f t="shared" si="81"/>
        <v>0</v>
      </c>
      <c r="N756" s="666">
        <f t="shared" si="78"/>
        <v>0</v>
      </c>
      <c r="O756" s="672">
        <v>0</v>
      </c>
      <c r="P756" s="668">
        <f t="shared" si="82"/>
        <v>0</v>
      </c>
      <c r="Q756" s="676"/>
      <c r="R756" s="676"/>
    </row>
    <row r="757" spans="1:18" s="677" customFormat="1" ht="42" hidden="1" customHeight="1">
      <c r="A757" s="985"/>
      <c r="B757" s="986">
        <f t="shared" si="77"/>
        <v>0</v>
      </c>
      <c r="C757" s="987" t="s">
        <v>1873</v>
      </c>
      <c r="D757" s="993">
        <f>D878</f>
        <v>3966.4150453955913</v>
      </c>
      <c r="E757" s="1039" t="s">
        <v>37</v>
      </c>
      <c r="F757" s="987">
        <f t="shared" si="79"/>
        <v>0</v>
      </c>
      <c r="G757" s="1036"/>
      <c r="H757" s="666">
        <f t="shared" si="83"/>
        <v>0</v>
      </c>
      <c r="I757" s="666"/>
      <c r="J757" s="666"/>
      <c r="K757" s="666">
        <f t="shared" si="80"/>
        <v>0</v>
      </c>
      <c r="L757" s="666"/>
      <c r="M757" s="665">
        <f t="shared" si="81"/>
        <v>0</v>
      </c>
      <c r="N757" s="666">
        <f t="shared" si="78"/>
        <v>0</v>
      </c>
      <c r="O757" s="672">
        <v>0</v>
      </c>
      <c r="P757" s="668">
        <f t="shared" si="82"/>
        <v>0</v>
      </c>
      <c r="Q757" s="676"/>
      <c r="R757" s="676"/>
    </row>
    <row r="758" spans="1:18" s="677" customFormat="1" ht="81.75" hidden="1" customHeight="1">
      <c r="A758" s="985"/>
      <c r="B758" s="986">
        <f t="shared" si="77"/>
        <v>0</v>
      </c>
      <c r="C758" s="995" t="s">
        <v>1874</v>
      </c>
      <c r="D758" s="1034">
        <f>Data!J3859</f>
        <v>4173.9554166666676</v>
      </c>
      <c r="E758" s="1040" t="s">
        <v>37</v>
      </c>
      <c r="F758" s="987">
        <f t="shared" si="79"/>
        <v>0</v>
      </c>
      <c r="G758" s="1063"/>
      <c r="H758" s="666">
        <f t="shared" si="83"/>
        <v>0</v>
      </c>
      <c r="I758" s="666"/>
      <c r="J758" s="666"/>
      <c r="K758" s="666">
        <f t="shared" si="80"/>
        <v>0</v>
      </c>
      <c r="L758" s="666"/>
      <c r="M758" s="665">
        <f t="shared" si="81"/>
        <v>0</v>
      </c>
      <c r="N758" s="666">
        <f t="shared" si="78"/>
        <v>0</v>
      </c>
      <c r="O758" s="672">
        <v>0</v>
      </c>
      <c r="P758" s="668">
        <f t="shared" si="82"/>
        <v>0</v>
      </c>
      <c r="Q758" s="676"/>
      <c r="R758" s="676"/>
    </row>
    <row r="759" spans="1:18" s="677" customFormat="1" ht="42" customHeight="1">
      <c r="A759" s="985"/>
      <c r="B759" s="986">
        <f t="shared" si="77"/>
        <v>2.1</v>
      </c>
      <c r="C759" s="995" t="s">
        <v>1875</v>
      </c>
      <c r="D759" s="1034">
        <f>Data!J3880</f>
        <v>3464.0149999999994</v>
      </c>
      <c r="E759" s="1040" t="s">
        <v>37</v>
      </c>
      <c r="F759" s="987">
        <f t="shared" si="79"/>
        <v>7274.4314999999988</v>
      </c>
      <c r="G759" s="1063">
        <f>Detailed!H1656</f>
        <v>2.1</v>
      </c>
      <c r="H759" s="666">
        <f t="shared" si="83"/>
        <v>7274.4314999999988</v>
      </c>
      <c r="I759" s="666"/>
      <c r="J759" s="666"/>
      <c r="K759" s="666">
        <f t="shared" si="80"/>
        <v>0</v>
      </c>
      <c r="L759" s="666"/>
      <c r="M759" s="665">
        <f t="shared" si="81"/>
        <v>2.1</v>
      </c>
      <c r="N759" s="666">
        <f t="shared" si="78"/>
        <v>7274.4314999999988</v>
      </c>
      <c r="O759" s="672">
        <v>2.1</v>
      </c>
      <c r="P759" s="668">
        <f t="shared" si="82"/>
        <v>0</v>
      </c>
      <c r="Q759" s="676"/>
      <c r="R759" s="676"/>
    </row>
    <row r="760" spans="1:18" s="677" customFormat="1" ht="52.5" hidden="1" customHeight="1">
      <c r="A760" s="985"/>
      <c r="B760" s="986">
        <f t="shared" si="77"/>
        <v>0</v>
      </c>
      <c r="C760" s="1013" t="s">
        <v>1876</v>
      </c>
      <c r="D760" s="1034">
        <v>61.8</v>
      </c>
      <c r="E760" s="1039" t="s">
        <v>522</v>
      </c>
      <c r="F760" s="987">
        <f t="shared" si="79"/>
        <v>0</v>
      </c>
      <c r="G760" s="1064"/>
      <c r="H760" s="666">
        <f t="shared" si="83"/>
        <v>0</v>
      </c>
      <c r="I760" s="666"/>
      <c r="J760" s="666"/>
      <c r="K760" s="666">
        <f t="shared" si="80"/>
        <v>0</v>
      </c>
      <c r="L760" s="666"/>
      <c r="M760" s="665">
        <f t="shared" si="81"/>
        <v>0</v>
      </c>
      <c r="N760" s="666">
        <f t="shared" si="78"/>
        <v>0</v>
      </c>
      <c r="O760" s="672">
        <v>0</v>
      </c>
      <c r="P760" s="668">
        <f t="shared" si="82"/>
        <v>0</v>
      </c>
      <c r="Q760" s="676"/>
      <c r="R760" s="676"/>
    </row>
    <row r="761" spans="1:18" s="677" customFormat="1" ht="59.25" hidden="1" customHeight="1">
      <c r="A761" s="985"/>
      <c r="B761" s="986">
        <f t="shared" si="77"/>
        <v>0</v>
      </c>
      <c r="C761" s="987" t="s">
        <v>1877</v>
      </c>
      <c r="D761" s="1034">
        <v>405</v>
      </c>
      <c r="E761" s="992" t="s">
        <v>61</v>
      </c>
      <c r="F761" s="987">
        <f t="shared" si="79"/>
        <v>0</v>
      </c>
      <c r="G761" s="994"/>
      <c r="H761" s="666">
        <f t="shared" si="83"/>
        <v>0</v>
      </c>
      <c r="I761" s="666"/>
      <c r="J761" s="666"/>
      <c r="K761" s="666">
        <f t="shared" si="80"/>
        <v>0</v>
      </c>
      <c r="L761" s="666"/>
      <c r="M761" s="665">
        <f t="shared" si="81"/>
        <v>0</v>
      </c>
      <c r="N761" s="666">
        <f t="shared" si="78"/>
        <v>0</v>
      </c>
      <c r="O761" s="672">
        <v>0</v>
      </c>
      <c r="P761" s="668">
        <f t="shared" si="82"/>
        <v>0</v>
      </c>
      <c r="Q761" s="676"/>
      <c r="R761" s="676"/>
    </row>
    <row r="762" spans="1:18" s="677" customFormat="1" ht="45.75" hidden="1" customHeight="1">
      <c r="A762" s="985"/>
      <c r="B762" s="986">
        <f t="shared" si="77"/>
        <v>0</v>
      </c>
      <c r="C762" s="987" t="s">
        <v>1878</v>
      </c>
      <c r="D762" s="1041">
        <v>325</v>
      </c>
      <c r="E762" s="1061" t="s">
        <v>37</v>
      </c>
      <c r="F762" s="987">
        <f t="shared" si="79"/>
        <v>0</v>
      </c>
      <c r="G762" s="1062"/>
      <c r="H762" s="666">
        <f t="shared" si="83"/>
        <v>0</v>
      </c>
      <c r="I762" s="666"/>
      <c r="J762" s="666"/>
      <c r="K762" s="666">
        <f t="shared" si="80"/>
        <v>0</v>
      </c>
      <c r="L762" s="666"/>
      <c r="M762" s="665">
        <f t="shared" si="81"/>
        <v>0</v>
      </c>
      <c r="N762" s="666">
        <f t="shared" si="78"/>
        <v>0</v>
      </c>
      <c r="O762" s="672">
        <v>0</v>
      </c>
      <c r="P762" s="668">
        <f t="shared" si="82"/>
        <v>0</v>
      </c>
      <c r="Q762" s="676"/>
      <c r="R762" s="676"/>
    </row>
    <row r="763" spans="1:18" s="677" customFormat="1" ht="37.5" hidden="1" customHeight="1">
      <c r="A763" s="985"/>
      <c r="B763" s="986">
        <f t="shared" si="77"/>
        <v>0</v>
      </c>
      <c r="C763" s="987" t="s">
        <v>1879</v>
      </c>
      <c r="D763" s="1041">
        <v>35</v>
      </c>
      <c r="E763" s="1061" t="s">
        <v>37</v>
      </c>
      <c r="F763" s="987">
        <f t="shared" si="79"/>
        <v>0</v>
      </c>
      <c r="G763" s="1062"/>
      <c r="H763" s="666">
        <f t="shared" si="83"/>
        <v>0</v>
      </c>
      <c r="I763" s="666"/>
      <c r="J763" s="666"/>
      <c r="K763" s="666">
        <f t="shared" si="80"/>
        <v>0</v>
      </c>
      <c r="L763" s="666"/>
      <c r="M763" s="665">
        <f t="shared" si="81"/>
        <v>0</v>
      </c>
      <c r="N763" s="666">
        <f t="shared" si="78"/>
        <v>0</v>
      </c>
      <c r="O763" s="672">
        <v>0</v>
      </c>
      <c r="P763" s="668">
        <f t="shared" si="82"/>
        <v>0</v>
      </c>
      <c r="Q763" s="676"/>
      <c r="R763" s="676"/>
    </row>
    <row r="764" spans="1:18" s="677" customFormat="1" ht="63.75" hidden="1" customHeight="1">
      <c r="A764" s="985"/>
      <c r="B764" s="986">
        <f t="shared" si="77"/>
        <v>0</v>
      </c>
      <c r="C764" s="1033" t="s">
        <v>1880</v>
      </c>
      <c r="D764" s="1065">
        <f>Data!AQ3116</f>
        <v>231</v>
      </c>
      <c r="E764" s="1037" t="s">
        <v>522</v>
      </c>
      <c r="F764" s="987">
        <f t="shared" si="79"/>
        <v>0</v>
      </c>
      <c r="G764" s="1038"/>
      <c r="H764" s="666">
        <f t="shared" si="83"/>
        <v>0</v>
      </c>
      <c r="I764" s="666"/>
      <c r="J764" s="666"/>
      <c r="K764" s="666">
        <f t="shared" si="80"/>
        <v>0</v>
      </c>
      <c r="L764" s="666"/>
      <c r="M764" s="665">
        <f t="shared" si="81"/>
        <v>0</v>
      </c>
      <c r="N764" s="666">
        <f t="shared" si="78"/>
        <v>0</v>
      </c>
      <c r="O764" s="672">
        <v>0</v>
      </c>
      <c r="P764" s="668">
        <f t="shared" si="82"/>
        <v>0</v>
      </c>
      <c r="Q764" s="676"/>
      <c r="R764" s="676"/>
    </row>
    <row r="765" spans="1:18" s="677" customFormat="1" ht="55.5" hidden="1" customHeight="1">
      <c r="A765" s="985"/>
      <c r="B765" s="986">
        <f t="shared" si="77"/>
        <v>0</v>
      </c>
      <c r="C765" s="1033" t="s">
        <v>1881</v>
      </c>
      <c r="D765" s="1065">
        <f>Data!AR3116</f>
        <v>220</v>
      </c>
      <c r="E765" s="1037" t="s">
        <v>522</v>
      </c>
      <c r="F765" s="987">
        <f t="shared" si="79"/>
        <v>0</v>
      </c>
      <c r="G765" s="1038"/>
      <c r="H765" s="666">
        <f t="shared" si="83"/>
        <v>0</v>
      </c>
      <c r="I765" s="666"/>
      <c r="J765" s="666"/>
      <c r="K765" s="666">
        <f t="shared" si="80"/>
        <v>0</v>
      </c>
      <c r="L765" s="666"/>
      <c r="M765" s="665">
        <f t="shared" si="81"/>
        <v>0</v>
      </c>
      <c r="N765" s="666">
        <f t="shared" si="78"/>
        <v>0</v>
      </c>
      <c r="O765" s="672">
        <v>0</v>
      </c>
      <c r="P765" s="668">
        <f t="shared" si="82"/>
        <v>0</v>
      </c>
      <c r="Q765" s="676"/>
      <c r="R765" s="676"/>
    </row>
    <row r="766" spans="1:18" s="677" customFormat="1" ht="63" hidden="1" customHeight="1">
      <c r="A766" s="985"/>
      <c r="B766" s="986">
        <f t="shared" si="77"/>
        <v>0</v>
      </c>
      <c r="C766" s="1033" t="s">
        <v>1882</v>
      </c>
      <c r="D766" s="1065">
        <f>[8]Elec.Data!R3638</f>
        <v>2808.14</v>
      </c>
      <c r="E766" s="992" t="s">
        <v>522</v>
      </c>
      <c r="F766" s="987">
        <f t="shared" si="79"/>
        <v>0</v>
      </c>
      <c r="G766" s="994"/>
      <c r="H766" s="666">
        <f t="shared" si="83"/>
        <v>0</v>
      </c>
      <c r="I766" s="666"/>
      <c r="J766" s="666"/>
      <c r="K766" s="666">
        <f t="shared" si="80"/>
        <v>0</v>
      </c>
      <c r="L766" s="666"/>
      <c r="M766" s="665">
        <f t="shared" si="81"/>
        <v>0</v>
      </c>
      <c r="N766" s="666">
        <f t="shared" si="78"/>
        <v>0</v>
      </c>
      <c r="O766" s="672">
        <v>0</v>
      </c>
      <c r="P766" s="668">
        <f t="shared" si="82"/>
        <v>0</v>
      </c>
      <c r="Q766" s="676"/>
      <c r="R766" s="676"/>
    </row>
    <row r="767" spans="1:18" s="677" customFormat="1" ht="45.75" hidden="1" customHeight="1">
      <c r="A767" s="985"/>
      <c r="B767" s="986">
        <f t="shared" si="77"/>
        <v>0</v>
      </c>
      <c r="C767" s="987" t="s">
        <v>1883</v>
      </c>
      <c r="D767" s="1032">
        <f>Data!R2365</f>
        <v>343.97540983606558</v>
      </c>
      <c r="E767" s="992" t="s">
        <v>61</v>
      </c>
      <c r="F767" s="987">
        <f t="shared" si="79"/>
        <v>0</v>
      </c>
      <c r="G767" s="994"/>
      <c r="H767" s="666">
        <f t="shared" si="83"/>
        <v>0</v>
      </c>
      <c r="I767" s="666"/>
      <c r="J767" s="666"/>
      <c r="K767" s="666">
        <f t="shared" si="80"/>
        <v>0</v>
      </c>
      <c r="L767" s="666"/>
      <c r="M767" s="665">
        <f t="shared" si="81"/>
        <v>0</v>
      </c>
      <c r="N767" s="666">
        <f t="shared" si="78"/>
        <v>0</v>
      </c>
      <c r="O767" s="672">
        <v>0</v>
      </c>
      <c r="P767" s="668">
        <f t="shared" si="82"/>
        <v>0</v>
      </c>
      <c r="Q767" s="676"/>
      <c r="R767" s="676"/>
    </row>
    <row r="768" spans="1:18" ht="61.15" customHeight="1">
      <c r="A768" s="985"/>
      <c r="B768" s="986">
        <f t="shared" si="77"/>
        <v>140</v>
      </c>
      <c r="C768" s="987" t="str">
        <f>Detailed!B545</f>
        <v>Pressed tiles (23cmx23cmx20mm) mixed with Water proofing compound</v>
      </c>
      <c r="D768" s="1066">
        <f>'[8]Building (2)'!C339</f>
        <v>1082.8499999999999</v>
      </c>
      <c r="E768" s="987" t="s">
        <v>264</v>
      </c>
      <c r="F768" s="987">
        <f t="shared" si="79"/>
        <v>151599</v>
      </c>
      <c r="G768" s="989">
        <f>Detailed!H554</f>
        <v>140</v>
      </c>
      <c r="H768" s="666">
        <f t="shared" si="83"/>
        <v>151599</v>
      </c>
      <c r="I768" s="666"/>
      <c r="J768" s="666"/>
      <c r="K768" s="666">
        <f t="shared" si="80"/>
        <v>0</v>
      </c>
      <c r="L768" s="666"/>
      <c r="M768" s="665">
        <f t="shared" si="81"/>
        <v>140</v>
      </c>
      <c r="N768" s="666">
        <f t="shared" si="78"/>
        <v>151599</v>
      </c>
      <c r="O768" s="672">
        <v>140</v>
      </c>
      <c r="P768" s="668">
        <f t="shared" si="82"/>
        <v>0</v>
      </c>
    </row>
    <row r="769" spans="1:18" s="677" customFormat="1" ht="40.15" hidden="1" customHeight="1">
      <c r="A769" s="985" t="s">
        <v>1885</v>
      </c>
      <c r="B769" s="986">
        <f t="shared" si="77"/>
        <v>0</v>
      </c>
      <c r="C769" s="987" t="s">
        <v>1886</v>
      </c>
      <c r="D769" s="993">
        <f>Data!K1797</f>
        <v>1920</v>
      </c>
      <c r="E769" s="992" t="s">
        <v>522</v>
      </c>
      <c r="F769" s="987">
        <f t="shared" si="79"/>
        <v>0</v>
      </c>
      <c r="G769" s="994"/>
      <c r="H769" s="666">
        <f t="shared" si="83"/>
        <v>0</v>
      </c>
      <c r="I769" s="666"/>
      <c r="J769" s="666"/>
      <c r="K769" s="666">
        <f t="shared" si="80"/>
        <v>0</v>
      </c>
      <c r="L769" s="666"/>
      <c r="M769" s="665">
        <f t="shared" si="81"/>
        <v>0</v>
      </c>
      <c r="N769" s="666">
        <f t="shared" si="78"/>
        <v>0</v>
      </c>
      <c r="O769" s="672">
        <v>0</v>
      </c>
      <c r="P769" s="668">
        <f t="shared" si="82"/>
        <v>0</v>
      </c>
      <c r="Q769" s="676"/>
      <c r="R769" s="676"/>
    </row>
    <row r="770" spans="1:18" ht="60.75" customHeight="1">
      <c r="A770" s="985"/>
      <c r="B770" s="986">
        <f t="shared" si="77"/>
        <v>0</v>
      </c>
      <c r="C770" s="995" t="s">
        <v>1887</v>
      </c>
      <c r="D770" s="990"/>
      <c r="E770" s="987"/>
      <c r="F770" s="987">
        <f t="shared" si="79"/>
        <v>0</v>
      </c>
      <c r="G770" s="989"/>
      <c r="H770" s="666">
        <f t="shared" si="83"/>
        <v>0</v>
      </c>
      <c r="I770" s="666"/>
      <c r="J770" s="666"/>
      <c r="K770" s="666">
        <f t="shared" si="80"/>
        <v>0</v>
      </c>
      <c r="L770" s="666"/>
      <c r="M770" s="665">
        <f t="shared" si="81"/>
        <v>0</v>
      </c>
      <c r="N770" s="666">
        <f t="shared" si="78"/>
        <v>0</v>
      </c>
      <c r="O770" s="668">
        <v>0</v>
      </c>
      <c r="P770" s="668">
        <f t="shared" si="82"/>
        <v>0</v>
      </c>
    </row>
    <row r="771" spans="1:18" ht="50.25" customHeight="1">
      <c r="A771" s="985"/>
      <c r="B771" s="986">
        <f t="shared" si="77"/>
        <v>80</v>
      </c>
      <c r="C771" s="987" t="s">
        <v>1888</v>
      </c>
      <c r="D771" s="1066">
        <f>Data!K3677</f>
        <v>442.95160000000004</v>
      </c>
      <c r="E771" s="987" t="s">
        <v>61</v>
      </c>
      <c r="F771" s="987">
        <f t="shared" si="79"/>
        <v>35436.128000000004</v>
      </c>
      <c r="G771" s="989">
        <f>Detailed!H879</f>
        <v>80</v>
      </c>
      <c r="H771" s="666">
        <f t="shared" si="83"/>
        <v>35436.128000000004</v>
      </c>
      <c r="I771" s="666"/>
      <c r="J771" s="666"/>
      <c r="K771" s="666">
        <f t="shared" si="80"/>
        <v>0</v>
      </c>
      <c r="L771" s="666"/>
      <c r="M771" s="665">
        <f t="shared" si="81"/>
        <v>80</v>
      </c>
      <c r="N771" s="666">
        <f t="shared" si="78"/>
        <v>35436.128000000004</v>
      </c>
      <c r="O771" s="672">
        <v>80</v>
      </c>
      <c r="P771" s="668">
        <f t="shared" si="82"/>
        <v>0</v>
      </c>
    </row>
    <row r="772" spans="1:18" ht="50.25" hidden="1" customHeight="1">
      <c r="A772" s="985"/>
      <c r="B772" s="986">
        <f t="shared" si="77"/>
        <v>0</v>
      </c>
      <c r="C772" s="987" t="s">
        <v>1889</v>
      </c>
      <c r="D772" s="1066">
        <f>Data!K3697</f>
        <v>753.21199999999988</v>
      </c>
      <c r="E772" s="987" t="s">
        <v>61</v>
      </c>
      <c r="F772" s="987">
        <f t="shared" si="79"/>
        <v>0</v>
      </c>
      <c r="G772" s="989"/>
      <c r="H772" s="666">
        <f t="shared" si="83"/>
        <v>0</v>
      </c>
      <c r="I772" s="666"/>
      <c r="J772" s="666"/>
      <c r="K772" s="666">
        <f t="shared" si="80"/>
        <v>0</v>
      </c>
      <c r="L772" s="666"/>
      <c r="M772" s="665">
        <f t="shared" si="81"/>
        <v>0</v>
      </c>
      <c r="N772" s="666">
        <f t="shared" si="78"/>
        <v>0</v>
      </c>
      <c r="O772" s="672">
        <v>0</v>
      </c>
      <c r="P772" s="668">
        <f t="shared" si="82"/>
        <v>0</v>
      </c>
    </row>
    <row r="773" spans="1:18" ht="50.25" customHeight="1">
      <c r="A773" s="985"/>
      <c r="B773" s="986">
        <f t="shared" si="77"/>
        <v>0</v>
      </c>
      <c r="C773" s="995" t="s">
        <v>1890</v>
      </c>
      <c r="D773" s="1066"/>
      <c r="E773" s="987"/>
      <c r="F773" s="987">
        <f t="shared" si="79"/>
        <v>0</v>
      </c>
      <c r="G773" s="989"/>
      <c r="H773" s="666">
        <f t="shared" si="83"/>
        <v>0</v>
      </c>
      <c r="I773" s="666"/>
      <c r="J773" s="666"/>
      <c r="K773" s="666">
        <f t="shared" si="80"/>
        <v>0</v>
      </c>
      <c r="L773" s="666"/>
      <c r="M773" s="665">
        <f t="shared" si="81"/>
        <v>0</v>
      </c>
      <c r="N773" s="666">
        <f t="shared" si="78"/>
        <v>0</v>
      </c>
      <c r="O773" s="668">
        <v>0</v>
      </c>
      <c r="P773" s="668">
        <f t="shared" si="82"/>
        <v>0</v>
      </c>
    </row>
    <row r="774" spans="1:18" ht="57.75" customHeight="1">
      <c r="A774" s="985"/>
      <c r="B774" s="986">
        <f t="shared" si="77"/>
        <v>2</v>
      </c>
      <c r="C774" s="1067" t="s">
        <v>1891</v>
      </c>
      <c r="D774" s="1066">
        <v>248</v>
      </c>
      <c r="E774" s="987" t="s">
        <v>522</v>
      </c>
      <c r="F774" s="987">
        <f t="shared" si="79"/>
        <v>496</v>
      </c>
      <c r="G774" s="989">
        <f>Detailed!H883</f>
        <v>2</v>
      </c>
      <c r="H774" s="666">
        <f t="shared" si="83"/>
        <v>496</v>
      </c>
      <c r="I774" s="666"/>
      <c r="J774" s="666"/>
      <c r="K774" s="666">
        <f t="shared" si="80"/>
        <v>0</v>
      </c>
      <c r="L774" s="666"/>
      <c r="M774" s="665">
        <f t="shared" si="81"/>
        <v>2</v>
      </c>
      <c r="N774" s="666">
        <f t="shared" si="78"/>
        <v>496</v>
      </c>
      <c r="O774" s="672">
        <v>2</v>
      </c>
      <c r="P774" s="668">
        <f t="shared" si="82"/>
        <v>0</v>
      </c>
    </row>
    <row r="775" spans="1:18" ht="63.75" hidden="1" customHeight="1">
      <c r="A775" s="985"/>
      <c r="B775" s="986">
        <f t="shared" ref="B775:B838" si="84">M775</f>
        <v>0</v>
      </c>
      <c r="C775" s="1013" t="s">
        <v>1892</v>
      </c>
      <c r="D775" s="1066">
        <v>1048</v>
      </c>
      <c r="E775" s="987" t="s">
        <v>522</v>
      </c>
      <c r="F775" s="987">
        <f t="shared" si="79"/>
        <v>0</v>
      </c>
      <c r="G775" s="989"/>
      <c r="H775" s="666">
        <f t="shared" si="83"/>
        <v>0</v>
      </c>
      <c r="I775" s="666"/>
      <c r="J775" s="666"/>
      <c r="K775" s="666">
        <f t="shared" si="80"/>
        <v>0</v>
      </c>
      <c r="L775" s="666"/>
      <c r="M775" s="665">
        <f t="shared" si="81"/>
        <v>0</v>
      </c>
      <c r="N775" s="666">
        <f t="shared" ref="N775:N838" si="85">M775*D775</f>
        <v>0</v>
      </c>
      <c r="O775" s="672">
        <v>0</v>
      </c>
      <c r="P775" s="668">
        <f t="shared" si="82"/>
        <v>0</v>
      </c>
    </row>
    <row r="776" spans="1:18" ht="51.75" hidden="1" customHeight="1">
      <c r="A776" s="985"/>
      <c r="B776" s="986">
        <f t="shared" si="84"/>
        <v>0</v>
      </c>
      <c r="C776" s="995" t="s">
        <v>1893</v>
      </c>
      <c r="D776" s="1066"/>
      <c r="E776" s="987"/>
      <c r="F776" s="987">
        <f t="shared" ref="F776:F839" si="86">B776*D776</f>
        <v>0</v>
      </c>
      <c r="G776" s="989"/>
      <c r="H776" s="666">
        <f t="shared" si="83"/>
        <v>0</v>
      </c>
      <c r="I776" s="666"/>
      <c r="J776" s="666"/>
      <c r="K776" s="666">
        <f t="shared" ref="K776:K839" si="87">I776</f>
        <v>0</v>
      </c>
      <c r="L776" s="666"/>
      <c r="M776" s="665">
        <f t="shared" ref="M776:M839" si="88">G776</f>
        <v>0</v>
      </c>
      <c r="N776" s="666">
        <f t="shared" si="85"/>
        <v>0</v>
      </c>
      <c r="O776" s="668">
        <v>0</v>
      </c>
      <c r="P776" s="668">
        <f t="shared" ref="P776:P839" si="89">M776-O776</f>
        <v>0</v>
      </c>
    </row>
    <row r="777" spans="1:18" ht="52.5" hidden="1" customHeight="1">
      <c r="A777" s="985"/>
      <c r="B777" s="986">
        <f t="shared" si="84"/>
        <v>0</v>
      </c>
      <c r="C777" s="987" t="s">
        <v>1894</v>
      </c>
      <c r="D777" s="1066">
        <v>303</v>
      </c>
      <c r="E777" s="987" t="s">
        <v>522</v>
      </c>
      <c r="F777" s="987">
        <f t="shared" si="86"/>
        <v>0</v>
      </c>
      <c r="G777" s="989"/>
      <c r="H777" s="666">
        <f t="shared" ref="H777:H840" si="90">G777*D777</f>
        <v>0</v>
      </c>
      <c r="I777" s="666"/>
      <c r="J777" s="666"/>
      <c r="K777" s="666">
        <f t="shared" si="87"/>
        <v>0</v>
      </c>
      <c r="L777" s="666"/>
      <c r="M777" s="665">
        <f t="shared" si="88"/>
        <v>0</v>
      </c>
      <c r="N777" s="666">
        <f t="shared" si="85"/>
        <v>0</v>
      </c>
      <c r="O777" s="672">
        <v>0</v>
      </c>
      <c r="P777" s="668">
        <f t="shared" si="89"/>
        <v>0</v>
      </c>
    </row>
    <row r="778" spans="1:18" ht="65.25" hidden="1" customHeight="1">
      <c r="A778" s="985"/>
      <c r="B778" s="986">
        <f t="shared" si="84"/>
        <v>0</v>
      </c>
      <c r="C778" s="987" t="s">
        <v>1895</v>
      </c>
      <c r="D778" s="1066">
        <v>827</v>
      </c>
      <c r="E778" s="987" t="s">
        <v>522</v>
      </c>
      <c r="F778" s="987">
        <f t="shared" si="86"/>
        <v>0</v>
      </c>
      <c r="G778" s="989"/>
      <c r="H778" s="666">
        <f t="shared" si="90"/>
        <v>0</v>
      </c>
      <c r="I778" s="666"/>
      <c r="J778" s="666"/>
      <c r="K778" s="666">
        <f t="shared" si="87"/>
        <v>0</v>
      </c>
      <c r="L778" s="666"/>
      <c r="M778" s="665">
        <f t="shared" si="88"/>
        <v>0</v>
      </c>
      <c r="N778" s="666">
        <f t="shared" si="85"/>
        <v>0</v>
      </c>
      <c r="O778" s="672">
        <v>0</v>
      </c>
      <c r="P778" s="668">
        <f t="shared" si="89"/>
        <v>0</v>
      </c>
    </row>
    <row r="779" spans="1:18" ht="86.25" customHeight="1">
      <c r="A779" s="985"/>
      <c r="B779" s="986">
        <f t="shared" si="84"/>
        <v>4</v>
      </c>
      <c r="C779" s="987" t="s">
        <v>1896</v>
      </c>
      <c r="D779" s="1066">
        <f>Data!R1978</f>
        <v>3054.3468370000001</v>
      </c>
      <c r="E779" s="987" t="s">
        <v>522</v>
      </c>
      <c r="F779" s="987">
        <f t="shared" si="86"/>
        <v>12217.387348</v>
      </c>
      <c r="G779" s="989">
        <f>Detailed!H1466</f>
        <v>4</v>
      </c>
      <c r="H779" s="666">
        <f t="shared" si="90"/>
        <v>12217.387348</v>
      </c>
      <c r="I779" s="666"/>
      <c r="J779" s="666"/>
      <c r="K779" s="666">
        <f t="shared" si="87"/>
        <v>0</v>
      </c>
      <c r="L779" s="666"/>
      <c r="M779" s="665">
        <f t="shared" si="88"/>
        <v>4</v>
      </c>
      <c r="N779" s="666">
        <f t="shared" si="85"/>
        <v>12217.387348</v>
      </c>
      <c r="O779" s="672">
        <v>4</v>
      </c>
      <c r="P779" s="668">
        <f t="shared" si="89"/>
        <v>0</v>
      </c>
    </row>
    <row r="780" spans="1:18" ht="84.75" hidden="1" customHeight="1">
      <c r="A780" s="985"/>
      <c r="B780" s="986">
        <f t="shared" si="84"/>
        <v>0</v>
      </c>
      <c r="C780" s="987" t="s">
        <v>1897</v>
      </c>
      <c r="D780" s="1066">
        <f>Data!R1999</f>
        <v>4839.1066126000005</v>
      </c>
      <c r="E780" s="987" t="s">
        <v>522</v>
      </c>
      <c r="F780" s="987">
        <f t="shared" si="86"/>
        <v>0</v>
      </c>
      <c r="G780" s="989"/>
      <c r="H780" s="666">
        <f t="shared" si="90"/>
        <v>0</v>
      </c>
      <c r="I780" s="666"/>
      <c r="J780" s="666"/>
      <c r="K780" s="666">
        <f t="shared" si="87"/>
        <v>0</v>
      </c>
      <c r="L780" s="666"/>
      <c r="M780" s="665">
        <f t="shared" si="88"/>
        <v>0</v>
      </c>
      <c r="N780" s="666">
        <f t="shared" si="85"/>
        <v>0</v>
      </c>
      <c r="O780" s="672">
        <v>0</v>
      </c>
      <c r="P780" s="668">
        <f t="shared" si="89"/>
        <v>0</v>
      </c>
    </row>
    <row r="781" spans="1:18" ht="84.75" customHeight="1">
      <c r="A781" s="985"/>
      <c r="B781" s="986">
        <f t="shared" si="84"/>
        <v>4</v>
      </c>
      <c r="C781" s="987" t="s">
        <v>1898</v>
      </c>
      <c r="D781" s="1066">
        <f>Data!R2018</f>
        <v>6501.3</v>
      </c>
      <c r="E781" s="987" t="s">
        <v>522</v>
      </c>
      <c r="F781" s="987">
        <f t="shared" si="86"/>
        <v>26005.200000000001</v>
      </c>
      <c r="G781" s="989">
        <f>Detailed!H863</f>
        <v>4</v>
      </c>
      <c r="H781" s="666">
        <f t="shared" si="90"/>
        <v>26005.200000000001</v>
      </c>
      <c r="I781" s="666"/>
      <c r="J781" s="666"/>
      <c r="K781" s="666">
        <f t="shared" si="87"/>
        <v>0</v>
      </c>
      <c r="L781" s="666"/>
      <c r="M781" s="665">
        <f t="shared" si="88"/>
        <v>4</v>
      </c>
      <c r="N781" s="666">
        <f t="shared" si="85"/>
        <v>26005.200000000001</v>
      </c>
      <c r="O781" s="672">
        <v>4</v>
      </c>
      <c r="P781" s="668">
        <f t="shared" si="89"/>
        <v>0</v>
      </c>
    </row>
    <row r="782" spans="1:18" ht="61.5" hidden="1" customHeight="1">
      <c r="A782" s="985"/>
      <c r="B782" s="986">
        <f t="shared" si="84"/>
        <v>0</v>
      </c>
      <c r="C782" s="987" t="s">
        <v>1899</v>
      </c>
      <c r="D782" s="1066">
        <f>Data!R2037</f>
        <v>6861.3</v>
      </c>
      <c r="E782" s="987" t="s">
        <v>522</v>
      </c>
      <c r="F782" s="987">
        <f t="shared" si="86"/>
        <v>0</v>
      </c>
      <c r="G782" s="989"/>
      <c r="H782" s="666">
        <f t="shared" si="90"/>
        <v>0</v>
      </c>
      <c r="I782" s="666"/>
      <c r="J782" s="666"/>
      <c r="K782" s="666">
        <f t="shared" si="87"/>
        <v>0</v>
      </c>
      <c r="L782" s="666"/>
      <c r="M782" s="665">
        <f t="shared" si="88"/>
        <v>0</v>
      </c>
      <c r="N782" s="666">
        <f t="shared" si="85"/>
        <v>0</v>
      </c>
      <c r="O782" s="672">
        <v>0</v>
      </c>
      <c r="P782" s="668">
        <f t="shared" si="89"/>
        <v>0</v>
      </c>
    </row>
    <row r="783" spans="1:18" s="677" customFormat="1" ht="38.25" hidden="1" customHeight="1">
      <c r="A783" s="985"/>
      <c r="B783" s="986">
        <f t="shared" si="84"/>
        <v>0</v>
      </c>
      <c r="C783" s="995" t="s">
        <v>1857</v>
      </c>
      <c r="D783" s="1034"/>
      <c r="E783" s="992"/>
      <c r="F783" s="987">
        <f t="shared" si="86"/>
        <v>0</v>
      </c>
      <c r="G783" s="994"/>
      <c r="H783" s="666">
        <f t="shared" si="90"/>
        <v>0</v>
      </c>
      <c r="I783" s="666"/>
      <c r="J783" s="666"/>
      <c r="K783" s="666">
        <f t="shared" si="87"/>
        <v>0</v>
      </c>
      <c r="L783" s="666"/>
      <c r="M783" s="665">
        <f t="shared" si="88"/>
        <v>0</v>
      </c>
      <c r="N783" s="666">
        <f t="shared" si="85"/>
        <v>0</v>
      </c>
      <c r="O783" s="672">
        <v>0</v>
      </c>
      <c r="P783" s="668">
        <f t="shared" si="89"/>
        <v>0</v>
      </c>
      <c r="Q783" s="676"/>
      <c r="R783" s="676"/>
    </row>
    <row r="784" spans="1:18" s="677" customFormat="1" ht="45.75" hidden="1" customHeight="1">
      <c r="A784" s="985"/>
      <c r="B784" s="986">
        <f t="shared" si="84"/>
        <v>0</v>
      </c>
      <c r="C784" s="987" t="s">
        <v>1900</v>
      </c>
      <c r="D784" s="1055">
        <f>'[10]doors &amp; windows'!$F$979</f>
        <v>2729.4446820175435</v>
      </c>
      <c r="E784" s="1061" t="s">
        <v>37</v>
      </c>
      <c r="F784" s="987">
        <f t="shared" si="86"/>
        <v>0</v>
      </c>
      <c r="G784" s="1062"/>
      <c r="H784" s="666">
        <f t="shared" si="90"/>
        <v>0</v>
      </c>
      <c r="I784" s="666"/>
      <c r="J784" s="666"/>
      <c r="K784" s="666">
        <f t="shared" si="87"/>
        <v>0</v>
      </c>
      <c r="L784" s="666"/>
      <c r="M784" s="665">
        <f t="shared" si="88"/>
        <v>0</v>
      </c>
      <c r="N784" s="666">
        <f t="shared" si="85"/>
        <v>0</v>
      </c>
      <c r="O784" s="672">
        <v>0</v>
      </c>
      <c r="P784" s="668">
        <f t="shared" si="89"/>
        <v>0</v>
      </c>
      <c r="Q784" s="676"/>
      <c r="R784" s="676"/>
    </row>
    <row r="785" spans="1:18" s="677" customFormat="1" ht="45.75" hidden="1" customHeight="1">
      <c r="A785" s="985"/>
      <c r="B785" s="986">
        <f t="shared" si="84"/>
        <v>0</v>
      </c>
      <c r="C785" s="987" t="s">
        <v>1901</v>
      </c>
      <c r="D785" s="1034">
        <f>'[10]doors &amp; windows'!$F$942</f>
        <v>3025.6259868421052</v>
      </c>
      <c r="E785" s="1061" t="s">
        <v>37</v>
      </c>
      <c r="F785" s="987">
        <f t="shared" si="86"/>
        <v>0</v>
      </c>
      <c r="G785" s="1062"/>
      <c r="H785" s="666">
        <f t="shared" si="90"/>
        <v>0</v>
      </c>
      <c r="I785" s="666"/>
      <c r="J785" s="666"/>
      <c r="K785" s="666">
        <f t="shared" si="87"/>
        <v>0</v>
      </c>
      <c r="L785" s="666"/>
      <c r="M785" s="665">
        <f t="shared" si="88"/>
        <v>0</v>
      </c>
      <c r="N785" s="666">
        <f t="shared" si="85"/>
        <v>0</v>
      </c>
      <c r="O785" s="672">
        <v>0</v>
      </c>
      <c r="P785" s="668">
        <f t="shared" si="89"/>
        <v>0</v>
      </c>
      <c r="Q785" s="676"/>
      <c r="R785" s="676"/>
    </row>
    <row r="786" spans="1:18" s="677" customFormat="1" ht="45.75" hidden="1" customHeight="1">
      <c r="A786" s="985"/>
      <c r="B786" s="986">
        <f t="shared" si="84"/>
        <v>0</v>
      </c>
      <c r="C786" s="987" t="s">
        <v>1902</v>
      </c>
      <c r="D786" s="1034">
        <f>'[10]doors &amp; windows'!$F$1014</f>
        <v>3025.6259868421048</v>
      </c>
      <c r="E786" s="1061" t="s">
        <v>37</v>
      </c>
      <c r="F786" s="987">
        <f t="shared" si="86"/>
        <v>0</v>
      </c>
      <c r="G786" s="1062"/>
      <c r="H786" s="666">
        <f t="shared" si="90"/>
        <v>0</v>
      </c>
      <c r="I786" s="666"/>
      <c r="J786" s="666"/>
      <c r="K786" s="666">
        <f t="shared" si="87"/>
        <v>0</v>
      </c>
      <c r="L786" s="666"/>
      <c r="M786" s="665">
        <f t="shared" si="88"/>
        <v>0</v>
      </c>
      <c r="N786" s="666">
        <f t="shared" si="85"/>
        <v>0</v>
      </c>
      <c r="O786" s="672">
        <v>0</v>
      </c>
      <c r="P786" s="668">
        <f t="shared" si="89"/>
        <v>0</v>
      </c>
      <c r="Q786" s="676"/>
      <c r="R786" s="676"/>
    </row>
    <row r="787" spans="1:18" s="677" customFormat="1" ht="45.75" hidden="1" customHeight="1">
      <c r="A787" s="985"/>
      <c r="B787" s="986">
        <f t="shared" si="84"/>
        <v>0</v>
      </c>
      <c r="C787" s="987" t="s">
        <v>1903</v>
      </c>
      <c r="D787" s="1034">
        <f>'[10]doors &amp; windows'!$F$1050</f>
        <v>3553.6057186234821</v>
      </c>
      <c r="E787" s="1061" t="s">
        <v>37</v>
      </c>
      <c r="F787" s="987">
        <f t="shared" si="86"/>
        <v>0</v>
      </c>
      <c r="G787" s="1062"/>
      <c r="H787" s="666">
        <f t="shared" si="90"/>
        <v>0</v>
      </c>
      <c r="I787" s="666"/>
      <c r="J787" s="666"/>
      <c r="K787" s="666">
        <f t="shared" si="87"/>
        <v>0</v>
      </c>
      <c r="L787" s="666"/>
      <c r="M787" s="665">
        <f t="shared" si="88"/>
        <v>0</v>
      </c>
      <c r="N787" s="666">
        <f t="shared" si="85"/>
        <v>0</v>
      </c>
      <c r="O787" s="672">
        <v>0</v>
      </c>
      <c r="P787" s="668">
        <f t="shared" si="89"/>
        <v>0</v>
      </c>
      <c r="Q787" s="676"/>
      <c r="R787" s="676"/>
    </row>
    <row r="788" spans="1:18" s="677" customFormat="1" ht="45.75" hidden="1" customHeight="1">
      <c r="A788" s="985"/>
      <c r="B788" s="986">
        <f t="shared" si="84"/>
        <v>0</v>
      </c>
      <c r="C788" s="987" t="s">
        <v>1904</v>
      </c>
      <c r="D788" s="1034">
        <f>Data!X3143</f>
        <v>3717.9000000000005</v>
      </c>
      <c r="E788" s="1061" t="s">
        <v>37</v>
      </c>
      <c r="F788" s="987">
        <f t="shared" si="86"/>
        <v>0</v>
      </c>
      <c r="G788" s="1062"/>
      <c r="H788" s="666">
        <f t="shared" si="90"/>
        <v>0</v>
      </c>
      <c r="I788" s="666"/>
      <c r="J788" s="666"/>
      <c r="K788" s="666">
        <f t="shared" si="87"/>
        <v>0</v>
      </c>
      <c r="L788" s="666"/>
      <c r="M788" s="665">
        <f t="shared" si="88"/>
        <v>0</v>
      </c>
      <c r="N788" s="666">
        <f t="shared" si="85"/>
        <v>0</v>
      </c>
      <c r="O788" s="672">
        <v>0</v>
      </c>
      <c r="P788" s="668">
        <f t="shared" si="89"/>
        <v>0</v>
      </c>
      <c r="Q788" s="676"/>
      <c r="R788" s="676"/>
    </row>
    <row r="789" spans="1:18" s="677" customFormat="1" ht="110.25" hidden="1" customHeight="1">
      <c r="A789" s="985"/>
      <c r="B789" s="986">
        <f t="shared" si="84"/>
        <v>0</v>
      </c>
      <c r="C789" s="995" t="s">
        <v>1905</v>
      </c>
      <c r="D789" s="1034"/>
      <c r="E789" s="1045"/>
      <c r="F789" s="987">
        <f t="shared" si="86"/>
        <v>0</v>
      </c>
      <c r="G789" s="1036"/>
      <c r="H789" s="666">
        <f t="shared" si="90"/>
        <v>0</v>
      </c>
      <c r="I789" s="666"/>
      <c r="J789" s="666"/>
      <c r="K789" s="666">
        <f t="shared" si="87"/>
        <v>0</v>
      </c>
      <c r="L789" s="666"/>
      <c r="M789" s="665">
        <f t="shared" si="88"/>
        <v>0</v>
      </c>
      <c r="N789" s="666">
        <f t="shared" si="85"/>
        <v>0</v>
      </c>
      <c r="O789" s="672">
        <v>0</v>
      </c>
      <c r="P789" s="668">
        <f t="shared" si="89"/>
        <v>0</v>
      </c>
      <c r="Q789" s="676"/>
      <c r="R789" s="676"/>
    </row>
    <row r="790" spans="1:18" s="677" customFormat="1" ht="51" hidden="1" customHeight="1">
      <c r="A790" s="985"/>
      <c r="B790" s="986">
        <f t="shared" si="84"/>
        <v>0</v>
      </c>
      <c r="C790" s="987" t="s">
        <v>168</v>
      </c>
      <c r="D790" s="1034">
        <f>'[8]  Coastal  Elec.Data '!K2860</f>
        <v>1493.27</v>
      </c>
      <c r="E790" s="1039" t="s">
        <v>522</v>
      </c>
      <c r="F790" s="987">
        <f t="shared" si="86"/>
        <v>0</v>
      </c>
      <c r="G790" s="1036"/>
      <c r="H790" s="666">
        <f t="shared" si="90"/>
        <v>0</v>
      </c>
      <c r="I790" s="666"/>
      <c r="J790" s="666"/>
      <c r="K790" s="666">
        <f t="shared" si="87"/>
        <v>0</v>
      </c>
      <c r="L790" s="666"/>
      <c r="M790" s="665">
        <f t="shared" si="88"/>
        <v>0</v>
      </c>
      <c r="N790" s="666">
        <f t="shared" si="85"/>
        <v>0</v>
      </c>
      <c r="O790" s="672">
        <v>0</v>
      </c>
      <c r="P790" s="668">
        <f t="shared" si="89"/>
        <v>0</v>
      </c>
      <c r="Q790" s="676"/>
      <c r="R790" s="676"/>
    </row>
    <row r="791" spans="1:18" s="677" customFormat="1" ht="51" hidden="1" customHeight="1">
      <c r="A791" s="985"/>
      <c r="B791" s="986">
        <f t="shared" si="84"/>
        <v>0</v>
      </c>
      <c r="C791" s="987" t="s">
        <v>170</v>
      </c>
      <c r="D791" s="1034">
        <f>'[8]  Coastal  Elec.Data '!K2884</f>
        <v>1496.32</v>
      </c>
      <c r="E791" s="1039" t="s">
        <v>522</v>
      </c>
      <c r="F791" s="987">
        <f t="shared" si="86"/>
        <v>0</v>
      </c>
      <c r="G791" s="1036"/>
      <c r="H791" s="666">
        <f t="shared" si="90"/>
        <v>0</v>
      </c>
      <c r="I791" s="666"/>
      <c r="J791" s="666"/>
      <c r="K791" s="666">
        <f t="shared" si="87"/>
        <v>0</v>
      </c>
      <c r="L791" s="666"/>
      <c r="M791" s="665">
        <f t="shared" si="88"/>
        <v>0</v>
      </c>
      <c r="N791" s="666">
        <f t="shared" si="85"/>
        <v>0</v>
      </c>
      <c r="O791" s="672">
        <v>0</v>
      </c>
      <c r="P791" s="668">
        <f t="shared" si="89"/>
        <v>0</v>
      </c>
      <c r="Q791" s="676"/>
      <c r="R791" s="676"/>
    </row>
    <row r="792" spans="1:18" s="677" customFormat="1" ht="51" hidden="1" customHeight="1">
      <c r="A792" s="1000"/>
      <c r="B792" s="986">
        <f t="shared" si="84"/>
        <v>0</v>
      </c>
      <c r="C792" s="987" t="s">
        <v>1591</v>
      </c>
      <c r="D792" s="1034">
        <f>'[8]  Coastal  Elec.Data '!K2899</f>
        <v>1526.05</v>
      </c>
      <c r="E792" s="1039" t="s">
        <v>522</v>
      </c>
      <c r="F792" s="987">
        <f t="shared" si="86"/>
        <v>0</v>
      </c>
      <c r="G792" s="1036"/>
      <c r="H792" s="666">
        <f t="shared" si="90"/>
        <v>0</v>
      </c>
      <c r="I792" s="666"/>
      <c r="J792" s="666"/>
      <c r="K792" s="666">
        <f t="shared" si="87"/>
        <v>0</v>
      </c>
      <c r="L792" s="666"/>
      <c r="M792" s="665">
        <f t="shared" si="88"/>
        <v>0</v>
      </c>
      <c r="N792" s="666">
        <f t="shared" si="85"/>
        <v>0</v>
      </c>
      <c r="O792" s="672">
        <v>0</v>
      </c>
      <c r="P792" s="668">
        <f t="shared" si="89"/>
        <v>0</v>
      </c>
      <c r="Q792" s="676"/>
      <c r="R792" s="676"/>
    </row>
    <row r="793" spans="1:18" s="677" customFormat="1" ht="108" hidden="1" customHeight="1">
      <c r="A793" s="985"/>
      <c r="B793" s="986">
        <f t="shared" si="84"/>
        <v>0</v>
      </c>
      <c r="C793" s="987" t="s">
        <v>1906</v>
      </c>
      <c r="D793" s="1034">
        <f>'[8]  Coastal  Elec.Data '!K2921</f>
        <v>1547.28</v>
      </c>
      <c r="E793" s="1039" t="s">
        <v>522</v>
      </c>
      <c r="F793" s="987">
        <f t="shared" si="86"/>
        <v>0</v>
      </c>
      <c r="G793" s="1036"/>
      <c r="H793" s="666">
        <f t="shared" si="90"/>
        <v>0</v>
      </c>
      <c r="I793" s="666"/>
      <c r="J793" s="666"/>
      <c r="K793" s="666">
        <f t="shared" si="87"/>
        <v>0</v>
      </c>
      <c r="L793" s="666"/>
      <c r="M793" s="665">
        <f t="shared" si="88"/>
        <v>0</v>
      </c>
      <c r="N793" s="666">
        <f t="shared" si="85"/>
        <v>0</v>
      </c>
      <c r="O793" s="672">
        <v>0</v>
      </c>
      <c r="P793" s="668">
        <f t="shared" si="89"/>
        <v>0</v>
      </c>
      <c r="Q793" s="676"/>
      <c r="R793" s="676"/>
    </row>
    <row r="794" spans="1:18" s="677" customFormat="1" ht="105" hidden="1" customHeight="1">
      <c r="A794" s="985"/>
      <c r="B794" s="986">
        <f t="shared" si="84"/>
        <v>0</v>
      </c>
      <c r="C794" s="987" t="s">
        <v>1907</v>
      </c>
      <c r="D794" s="1034">
        <f>'[8]  Coastal  Elec.Data '!K2945</f>
        <v>2795.01</v>
      </c>
      <c r="E794" s="1039" t="s">
        <v>522</v>
      </c>
      <c r="F794" s="987">
        <f t="shared" si="86"/>
        <v>0</v>
      </c>
      <c r="G794" s="1036"/>
      <c r="H794" s="666">
        <f t="shared" si="90"/>
        <v>0</v>
      </c>
      <c r="I794" s="666"/>
      <c r="J794" s="666"/>
      <c r="K794" s="666">
        <f t="shared" si="87"/>
        <v>0</v>
      </c>
      <c r="L794" s="666"/>
      <c r="M794" s="665">
        <f t="shared" si="88"/>
        <v>0</v>
      </c>
      <c r="N794" s="666">
        <f t="shared" si="85"/>
        <v>0</v>
      </c>
      <c r="O794" s="672">
        <v>0</v>
      </c>
      <c r="P794" s="668">
        <f t="shared" si="89"/>
        <v>0</v>
      </c>
      <c r="Q794" s="676"/>
      <c r="R794" s="676"/>
    </row>
    <row r="795" spans="1:18" s="677" customFormat="1" ht="113.25" hidden="1" customHeight="1">
      <c r="A795" s="985">
        <v>67.099999999999994</v>
      </c>
      <c r="B795" s="986">
        <f t="shared" si="84"/>
        <v>0</v>
      </c>
      <c r="C795" s="987" t="s">
        <v>1727</v>
      </c>
      <c r="D795" s="1034">
        <f>'[8]  Coastal  Elec.Data '!K2977</f>
        <v>764.91</v>
      </c>
      <c r="E795" s="1039" t="s">
        <v>522</v>
      </c>
      <c r="F795" s="987">
        <f t="shared" si="86"/>
        <v>0</v>
      </c>
      <c r="G795" s="1036"/>
      <c r="H795" s="666">
        <f t="shared" si="90"/>
        <v>0</v>
      </c>
      <c r="I795" s="666"/>
      <c r="J795" s="666"/>
      <c r="K795" s="666">
        <f t="shared" si="87"/>
        <v>0</v>
      </c>
      <c r="L795" s="666"/>
      <c r="M795" s="665">
        <f t="shared" si="88"/>
        <v>0</v>
      </c>
      <c r="N795" s="666">
        <f t="shared" si="85"/>
        <v>0</v>
      </c>
      <c r="O795" s="672">
        <v>0</v>
      </c>
      <c r="P795" s="668">
        <f t="shared" si="89"/>
        <v>0</v>
      </c>
      <c r="Q795" s="676"/>
      <c r="R795" s="676"/>
    </row>
    <row r="796" spans="1:18" s="677" customFormat="1" ht="126" hidden="1" customHeight="1">
      <c r="A796" s="985"/>
      <c r="B796" s="986">
        <f t="shared" si="84"/>
        <v>0</v>
      </c>
      <c r="C796" s="987" t="s">
        <v>1908</v>
      </c>
      <c r="D796" s="1034">
        <f>'[8]  Coastal  Elec.Data '!K2965</f>
        <v>1037.46</v>
      </c>
      <c r="E796" s="1039" t="s">
        <v>522</v>
      </c>
      <c r="F796" s="987">
        <f t="shared" si="86"/>
        <v>0</v>
      </c>
      <c r="G796" s="1036"/>
      <c r="H796" s="666">
        <f t="shared" si="90"/>
        <v>0</v>
      </c>
      <c r="I796" s="666"/>
      <c r="J796" s="666"/>
      <c r="K796" s="666">
        <f t="shared" si="87"/>
        <v>0</v>
      </c>
      <c r="L796" s="666"/>
      <c r="M796" s="665">
        <f t="shared" si="88"/>
        <v>0</v>
      </c>
      <c r="N796" s="666">
        <f t="shared" si="85"/>
        <v>0</v>
      </c>
      <c r="O796" s="672">
        <v>0</v>
      </c>
      <c r="P796" s="668">
        <f t="shared" si="89"/>
        <v>0</v>
      </c>
      <c r="Q796" s="676"/>
      <c r="R796" s="676"/>
    </row>
    <row r="797" spans="1:18" s="677" customFormat="1" ht="59.25" hidden="1" customHeight="1">
      <c r="A797" s="985"/>
      <c r="B797" s="986">
        <f t="shared" si="84"/>
        <v>0</v>
      </c>
      <c r="C797" s="987" t="s">
        <v>1909</v>
      </c>
      <c r="D797" s="1034">
        <f>'[8]  Coastal  Elec.Data '!K2988</f>
        <v>133.5</v>
      </c>
      <c r="E797" s="1039" t="s">
        <v>522</v>
      </c>
      <c r="F797" s="987">
        <f t="shared" si="86"/>
        <v>0</v>
      </c>
      <c r="G797" s="1036"/>
      <c r="H797" s="666">
        <f t="shared" si="90"/>
        <v>0</v>
      </c>
      <c r="I797" s="666"/>
      <c r="J797" s="666"/>
      <c r="K797" s="666">
        <f t="shared" si="87"/>
        <v>0</v>
      </c>
      <c r="L797" s="666"/>
      <c r="M797" s="665">
        <f t="shared" si="88"/>
        <v>0</v>
      </c>
      <c r="N797" s="666">
        <f t="shared" si="85"/>
        <v>0</v>
      </c>
      <c r="O797" s="672">
        <v>0</v>
      </c>
      <c r="P797" s="668">
        <f t="shared" si="89"/>
        <v>0</v>
      </c>
      <c r="Q797" s="676"/>
      <c r="R797" s="676"/>
    </row>
    <row r="798" spans="1:18" s="677" customFormat="1" ht="85.5" hidden="1" customHeight="1">
      <c r="A798" s="985"/>
      <c r="B798" s="986">
        <f t="shared" si="84"/>
        <v>0</v>
      </c>
      <c r="C798" s="987" t="s">
        <v>1910</v>
      </c>
      <c r="D798" s="1034">
        <f>Data!R1609</f>
        <v>78609.28571428571</v>
      </c>
      <c r="E798" s="992" t="s">
        <v>58</v>
      </c>
      <c r="F798" s="987">
        <f t="shared" si="86"/>
        <v>0</v>
      </c>
      <c r="G798" s="994"/>
      <c r="H798" s="666">
        <f t="shared" si="90"/>
        <v>0</v>
      </c>
      <c r="I798" s="666"/>
      <c r="J798" s="666"/>
      <c r="K798" s="666">
        <f t="shared" si="87"/>
        <v>0</v>
      </c>
      <c r="L798" s="666"/>
      <c r="M798" s="665">
        <f t="shared" si="88"/>
        <v>0</v>
      </c>
      <c r="N798" s="666">
        <f t="shared" si="85"/>
        <v>0</v>
      </c>
      <c r="O798" s="672">
        <v>0</v>
      </c>
      <c r="P798" s="668">
        <f t="shared" si="89"/>
        <v>0</v>
      </c>
      <c r="Q798" s="676"/>
      <c r="R798" s="676"/>
    </row>
    <row r="799" spans="1:18" s="677" customFormat="1" ht="75" hidden="1" customHeight="1">
      <c r="A799" s="985"/>
      <c r="B799" s="986">
        <f t="shared" si="84"/>
        <v>0</v>
      </c>
      <c r="C799" s="987" t="s">
        <v>1911</v>
      </c>
      <c r="D799" s="1034">
        <f>Data!R1640</f>
        <v>326.29333333333329</v>
      </c>
      <c r="E799" s="992" t="s">
        <v>61</v>
      </c>
      <c r="F799" s="987">
        <f t="shared" si="86"/>
        <v>0</v>
      </c>
      <c r="G799" s="994"/>
      <c r="H799" s="666">
        <f t="shared" si="90"/>
        <v>0</v>
      </c>
      <c r="I799" s="666"/>
      <c r="J799" s="666"/>
      <c r="K799" s="666">
        <f t="shared" si="87"/>
        <v>0</v>
      </c>
      <c r="L799" s="666"/>
      <c r="M799" s="665">
        <f t="shared" si="88"/>
        <v>0</v>
      </c>
      <c r="N799" s="666">
        <f t="shared" si="85"/>
        <v>0</v>
      </c>
      <c r="O799" s="672">
        <v>0</v>
      </c>
      <c r="P799" s="668">
        <f t="shared" si="89"/>
        <v>0</v>
      </c>
      <c r="Q799" s="676"/>
      <c r="R799" s="676"/>
    </row>
    <row r="800" spans="1:18" s="677" customFormat="1" ht="54" hidden="1" customHeight="1">
      <c r="A800" s="985"/>
      <c r="B800" s="986">
        <f t="shared" si="84"/>
        <v>0</v>
      </c>
      <c r="C800" s="995" t="s">
        <v>1912</v>
      </c>
      <c r="D800" s="1034">
        <f>Data!K2331</f>
        <v>33.232470588235294</v>
      </c>
      <c r="E800" s="992"/>
      <c r="F800" s="987">
        <f t="shared" si="86"/>
        <v>0</v>
      </c>
      <c r="G800" s="994"/>
      <c r="H800" s="666">
        <f t="shared" si="90"/>
        <v>0</v>
      </c>
      <c r="I800" s="666"/>
      <c r="J800" s="666"/>
      <c r="K800" s="666">
        <f t="shared" si="87"/>
        <v>0</v>
      </c>
      <c r="L800" s="666"/>
      <c r="M800" s="665">
        <f t="shared" si="88"/>
        <v>0</v>
      </c>
      <c r="N800" s="666">
        <f t="shared" si="85"/>
        <v>0</v>
      </c>
      <c r="O800" s="672">
        <v>0</v>
      </c>
      <c r="P800" s="668">
        <f t="shared" si="89"/>
        <v>0</v>
      </c>
      <c r="Q800" s="676"/>
      <c r="R800" s="676"/>
    </row>
    <row r="801" spans="1:18" s="677" customFormat="1" ht="54" hidden="1" customHeight="1">
      <c r="A801" s="985"/>
      <c r="B801" s="986">
        <f t="shared" si="84"/>
        <v>0</v>
      </c>
      <c r="C801" s="1049" t="s">
        <v>1913</v>
      </c>
      <c r="D801" s="1034"/>
      <c r="E801" s="992"/>
      <c r="F801" s="987">
        <f t="shared" si="86"/>
        <v>0</v>
      </c>
      <c r="G801" s="994"/>
      <c r="H801" s="666">
        <f t="shared" si="90"/>
        <v>0</v>
      </c>
      <c r="I801" s="666"/>
      <c r="J801" s="666"/>
      <c r="K801" s="666">
        <f t="shared" si="87"/>
        <v>0</v>
      </c>
      <c r="L801" s="666"/>
      <c r="M801" s="665">
        <f t="shared" si="88"/>
        <v>0</v>
      </c>
      <c r="N801" s="666">
        <f t="shared" si="85"/>
        <v>0</v>
      </c>
      <c r="O801" s="672">
        <v>0</v>
      </c>
      <c r="P801" s="668">
        <f t="shared" si="89"/>
        <v>0</v>
      </c>
      <c r="Q801" s="676"/>
      <c r="R801" s="676"/>
    </row>
    <row r="802" spans="1:18" s="677" customFormat="1" ht="45" hidden="1" customHeight="1">
      <c r="A802" s="985"/>
      <c r="B802" s="986">
        <f t="shared" si="84"/>
        <v>0</v>
      </c>
      <c r="C802" s="987" t="s">
        <v>1556</v>
      </c>
      <c r="D802" s="1034">
        <f>Data!K1890</f>
        <v>225.96866666666668</v>
      </c>
      <c r="E802" s="992" t="s">
        <v>61</v>
      </c>
      <c r="F802" s="987">
        <f t="shared" si="86"/>
        <v>0</v>
      </c>
      <c r="G802" s="994"/>
      <c r="H802" s="666">
        <f t="shared" si="90"/>
        <v>0</v>
      </c>
      <c r="I802" s="666"/>
      <c r="J802" s="666"/>
      <c r="K802" s="666">
        <f t="shared" si="87"/>
        <v>0</v>
      </c>
      <c r="L802" s="666"/>
      <c r="M802" s="665">
        <f t="shared" si="88"/>
        <v>0</v>
      </c>
      <c r="N802" s="666">
        <f t="shared" si="85"/>
        <v>0</v>
      </c>
      <c r="O802" s="672">
        <v>0</v>
      </c>
      <c r="P802" s="668">
        <f t="shared" si="89"/>
        <v>0</v>
      </c>
      <c r="Q802" s="676"/>
      <c r="R802" s="676"/>
    </row>
    <row r="803" spans="1:18" s="677" customFormat="1" ht="45" hidden="1" customHeight="1">
      <c r="A803" s="985"/>
      <c r="B803" s="986">
        <f t="shared" si="84"/>
        <v>0</v>
      </c>
      <c r="C803" s="987" t="s">
        <v>1557</v>
      </c>
      <c r="D803" s="1034">
        <f>Data!K1882</f>
        <v>208.73333333333332</v>
      </c>
      <c r="E803" s="992" t="s">
        <v>61</v>
      </c>
      <c r="F803" s="987">
        <f t="shared" si="86"/>
        <v>0</v>
      </c>
      <c r="G803" s="994"/>
      <c r="H803" s="666">
        <f t="shared" si="90"/>
        <v>0</v>
      </c>
      <c r="I803" s="666"/>
      <c r="J803" s="666"/>
      <c r="K803" s="666">
        <f t="shared" si="87"/>
        <v>0</v>
      </c>
      <c r="L803" s="666"/>
      <c r="M803" s="665">
        <f t="shared" si="88"/>
        <v>0</v>
      </c>
      <c r="N803" s="666">
        <f t="shared" si="85"/>
        <v>0</v>
      </c>
      <c r="O803" s="672">
        <v>0</v>
      </c>
      <c r="P803" s="668">
        <f t="shared" si="89"/>
        <v>0</v>
      </c>
      <c r="Q803" s="676"/>
      <c r="R803" s="676"/>
    </row>
    <row r="804" spans="1:18" s="677" customFormat="1" ht="53.25" hidden="1" customHeight="1">
      <c r="A804" s="985"/>
      <c r="B804" s="986">
        <f t="shared" si="84"/>
        <v>0</v>
      </c>
      <c r="C804" s="987" t="s">
        <v>1914</v>
      </c>
      <c r="D804" s="1034">
        <f>Data!K2767</f>
        <v>205.94166666666666</v>
      </c>
      <c r="E804" s="992" t="s">
        <v>61</v>
      </c>
      <c r="F804" s="987">
        <f t="shared" si="86"/>
        <v>0</v>
      </c>
      <c r="G804" s="994"/>
      <c r="H804" s="666">
        <f t="shared" si="90"/>
        <v>0</v>
      </c>
      <c r="I804" s="666"/>
      <c r="J804" s="666"/>
      <c r="K804" s="666">
        <f t="shared" si="87"/>
        <v>0</v>
      </c>
      <c r="L804" s="666"/>
      <c r="M804" s="665">
        <f t="shared" si="88"/>
        <v>0</v>
      </c>
      <c r="N804" s="666">
        <f t="shared" si="85"/>
        <v>0</v>
      </c>
      <c r="O804" s="672">
        <v>0</v>
      </c>
      <c r="P804" s="668">
        <f t="shared" si="89"/>
        <v>0</v>
      </c>
      <c r="Q804" s="676"/>
      <c r="R804" s="676"/>
    </row>
    <row r="805" spans="1:18" s="677" customFormat="1" ht="21" hidden="1" customHeight="1">
      <c r="A805" s="985"/>
      <c r="B805" s="986">
        <f t="shared" si="84"/>
        <v>0</v>
      </c>
      <c r="C805" s="1049" t="s">
        <v>184</v>
      </c>
      <c r="D805" s="1034">
        <f>Data!K3648</f>
        <v>334.21729999999997</v>
      </c>
      <c r="E805" s="1039" t="s">
        <v>37</v>
      </c>
      <c r="F805" s="987">
        <f t="shared" si="86"/>
        <v>0</v>
      </c>
      <c r="G805" s="1036"/>
      <c r="H805" s="666">
        <f t="shared" si="90"/>
        <v>0</v>
      </c>
      <c r="I805" s="666"/>
      <c r="J805" s="666"/>
      <c r="K805" s="666">
        <f t="shared" si="87"/>
        <v>0</v>
      </c>
      <c r="L805" s="666"/>
      <c r="M805" s="665">
        <f t="shared" si="88"/>
        <v>0</v>
      </c>
      <c r="N805" s="666">
        <f t="shared" si="85"/>
        <v>0</v>
      </c>
      <c r="O805" s="672">
        <v>0</v>
      </c>
      <c r="P805" s="668">
        <f t="shared" si="89"/>
        <v>0</v>
      </c>
      <c r="Q805" s="676"/>
      <c r="R805" s="676"/>
    </row>
    <row r="806" spans="1:18" ht="48.75" customHeight="1">
      <c r="A806" s="985"/>
      <c r="B806" s="986">
        <f t="shared" si="84"/>
        <v>6</v>
      </c>
      <c r="C806" s="1033" t="s">
        <v>1915</v>
      </c>
      <c r="D806" s="1066">
        <f>Data!AF3115</f>
        <v>467</v>
      </c>
      <c r="E806" s="1044" t="s">
        <v>522</v>
      </c>
      <c r="F806" s="987">
        <f t="shared" si="86"/>
        <v>2802</v>
      </c>
      <c r="G806" s="1043">
        <f>Detailed!H852</f>
        <v>6</v>
      </c>
      <c r="H806" s="666">
        <f t="shared" si="90"/>
        <v>2802</v>
      </c>
      <c r="I806" s="666"/>
      <c r="J806" s="666"/>
      <c r="K806" s="666">
        <f t="shared" si="87"/>
        <v>0</v>
      </c>
      <c r="L806" s="666"/>
      <c r="M806" s="665">
        <f t="shared" si="88"/>
        <v>6</v>
      </c>
      <c r="N806" s="666">
        <f t="shared" si="85"/>
        <v>2802</v>
      </c>
      <c r="O806" s="672">
        <v>6</v>
      </c>
      <c r="P806" s="668">
        <f t="shared" si="89"/>
        <v>0</v>
      </c>
    </row>
    <row r="807" spans="1:18" ht="48.75" customHeight="1">
      <c r="A807" s="985"/>
      <c r="B807" s="986">
        <f t="shared" si="84"/>
        <v>8</v>
      </c>
      <c r="C807" s="1033" t="s">
        <v>1916</v>
      </c>
      <c r="D807" s="1066">
        <f>Data!AH3115</f>
        <v>419</v>
      </c>
      <c r="E807" s="1044" t="s">
        <v>522</v>
      </c>
      <c r="F807" s="987">
        <f t="shared" si="86"/>
        <v>3352</v>
      </c>
      <c r="G807" s="1043">
        <f>Detailed!H858</f>
        <v>8</v>
      </c>
      <c r="H807" s="666">
        <f t="shared" si="90"/>
        <v>3352</v>
      </c>
      <c r="I807" s="666"/>
      <c r="J807" s="666"/>
      <c r="K807" s="666">
        <f t="shared" si="87"/>
        <v>0</v>
      </c>
      <c r="L807" s="666"/>
      <c r="M807" s="665">
        <f t="shared" si="88"/>
        <v>8</v>
      </c>
      <c r="N807" s="666">
        <f t="shared" si="85"/>
        <v>3352</v>
      </c>
      <c r="O807" s="672">
        <v>8</v>
      </c>
      <c r="P807" s="668">
        <f t="shared" si="89"/>
        <v>0</v>
      </c>
    </row>
    <row r="808" spans="1:18" s="677" customFormat="1" ht="25.5" hidden="1" customHeight="1">
      <c r="A808" s="985"/>
      <c r="B808" s="986">
        <f t="shared" si="84"/>
        <v>0</v>
      </c>
      <c r="C808" s="987" t="s">
        <v>1917</v>
      </c>
      <c r="D808" s="1034">
        <v>51.4</v>
      </c>
      <c r="E808" s="1061" t="s">
        <v>165</v>
      </c>
      <c r="F808" s="987">
        <f t="shared" si="86"/>
        <v>0</v>
      </c>
      <c r="G808" s="1062"/>
      <c r="H808" s="666">
        <f t="shared" si="90"/>
        <v>0</v>
      </c>
      <c r="I808" s="666"/>
      <c r="J808" s="666"/>
      <c r="K808" s="666">
        <f t="shared" si="87"/>
        <v>0</v>
      </c>
      <c r="L808" s="666"/>
      <c r="M808" s="665">
        <f t="shared" si="88"/>
        <v>0</v>
      </c>
      <c r="N808" s="666">
        <f t="shared" si="85"/>
        <v>0</v>
      </c>
      <c r="O808" s="672">
        <v>0</v>
      </c>
      <c r="P808" s="668">
        <f t="shared" si="89"/>
        <v>0</v>
      </c>
      <c r="Q808" s="676"/>
      <c r="R808" s="676"/>
    </row>
    <row r="809" spans="1:18" s="677" customFormat="1" ht="46.5" hidden="1" customHeight="1">
      <c r="A809" s="985"/>
      <c r="B809" s="986">
        <f t="shared" si="84"/>
        <v>0</v>
      </c>
      <c r="C809" s="987" t="s">
        <v>1918</v>
      </c>
      <c r="D809" s="1034">
        <f>Data!AD1229</f>
        <v>1327.1030600000001</v>
      </c>
      <c r="E809" s="1039" t="s">
        <v>37</v>
      </c>
      <c r="F809" s="987">
        <f t="shared" si="86"/>
        <v>0</v>
      </c>
      <c r="G809" s="1036"/>
      <c r="H809" s="666">
        <f t="shared" si="90"/>
        <v>0</v>
      </c>
      <c r="I809" s="666"/>
      <c r="J809" s="666"/>
      <c r="K809" s="666">
        <f t="shared" si="87"/>
        <v>0</v>
      </c>
      <c r="L809" s="666"/>
      <c r="M809" s="665">
        <f t="shared" si="88"/>
        <v>0</v>
      </c>
      <c r="N809" s="666">
        <f t="shared" si="85"/>
        <v>0</v>
      </c>
      <c r="O809" s="672">
        <v>0</v>
      </c>
      <c r="P809" s="668">
        <f t="shared" si="89"/>
        <v>0</v>
      </c>
      <c r="Q809" s="676"/>
      <c r="R809" s="676"/>
    </row>
    <row r="810" spans="1:18" s="677" customFormat="1" ht="104.25" hidden="1" customHeight="1">
      <c r="A810" s="985"/>
      <c r="B810" s="986">
        <f t="shared" si="84"/>
        <v>0</v>
      </c>
      <c r="C810" s="995" t="s">
        <v>1919</v>
      </c>
      <c r="D810" s="1012"/>
      <c r="E810" s="1068"/>
      <c r="F810" s="987">
        <f t="shared" si="86"/>
        <v>0</v>
      </c>
      <c r="G810" s="1069"/>
      <c r="H810" s="666">
        <f t="shared" si="90"/>
        <v>0</v>
      </c>
      <c r="I810" s="666"/>
      <c r="J810" s="666"/>
      <c r="K810" s="666">
        <f t="shared" si="87"/>
        <v>0</v>
      </c>
      <c r="L810" s="666"/>
      <c r="M810" s="665">
        <f t="shared" si="88"/>
        <v>0</v>
      </c>
      <c r="N810" s="666">
        <f t="shared" si="85"/>
        <v>0</v>
      </c>
      <c r="O810" s="672">
        <v>0</v>
      </c>
      <c r="P810" s="668">
        <f t="shared" si="89"/>
        <v>0</v>
      </c>
      <c r="R810" s="676"/>
    </row>
    <row r="811" spans="1:18" s="677" customFormat="1" ht="25.5" hidden="1" customHeight="1">
      <c r="A811" s="985"/>
      <c r="B811" s="986">
        <f t="shared" si="84"/>
        <v>0</v>
      </c>
      <c r="C811" s="995" t="s">
        <v>1920</v>
      </c>
      <c r="D811" s="1032">
        <f>'[8]pile data ( M20 grade)'!F17</f>
        <v>3015.22</v>
      </c>
      <c r="E811" s="992" t="s">
        <v>61</v>
      </c>
      <c r="F811" s="987">
        <f t="shared" si="86"/>
        <v>0</v>
      </c>
      <c r="G811" s="994"/>
      <c r="H811" s="666">
        <f t="shared" si="90"/>
        <v>0</v>
      </c>
      <c r="I811" s="666"/>
      <c r="J811" s="666"/>
      <c r="K811" s="666">
        <f t="shared" si="87"/>
        <v>0</v>
      </c>
      <c r="L811" s="666"/>
      <c r="M811" s="665">
        <f t="shared" si="88"/>
        <v>0</v>
      </c>
      <c r="N811" s="666">
        <f t="shared" si="85"/>
        <v>0</v>
      </c>
      <c r="O811" s="672">
        <v>0</v>
      </c>
      <c r="P811" s="668">
        <f t="shared" si="89"/>
        <v>0</v>
      </c>
      <c r="Q811" s="676"/>
      <c r="R811" s="676"/>
    </row>
    <row r="812" spans="1:18" s="677" customFormat="1" ht="25.5" hidden="1" customHeight="1">
      <c r="A812" s="985"/>
      <c r="B812" s="986">
        <f t="shared" si="84"/>
        <v>0</v>
      </c>
      <c r="C812" s="995" t="s">
        <v>1921</v>
      </c>
      <c r="D812" s="1032">
        <f>'[8]pile data ( M20 grade)'!F81</f>
        <v>2674.87</v>
      </c>
      <c r="E812" s="992" t="s">
        <v>61</v>
      </c>
      <c r="F812" s="987">
        <f t="shared" si="86"/>
        <v>0</v>
      </c>
      <c r="G812" s="994"/>
      <c r="H812" s="666">
        <f t="shared" si="90"/>
        <v>0</v>
      </c>
      <c r="I812" s="666"/>
      <c r="J812" s="666"/>
      <c r="K812" s="666">
        <f t="shared" si="87"/>
        <v>0</v>
      </c>
      <c r="L812" s="666"/>
      <c r="M812" s="665">
        <f t="shared" si="88"/>
        <v>0</v>
      </c>
      <c r="N812" s="666">
        <f t="shared" si="85"/>
        <v>0</v>
      </c>
      <c r="O812" s="672">
        <v>0</v>
      </c>
      <c r="P812" s="668">
        <f t="shared" si="89"/>
        <v>0</v>
      </c>
      <c r="Q812" s="676"/>
      <c r="R812" s="676"/>
    </row>
    <row r="813" spans="1:18" s="677" customFormat="1" ht="25.5" hidden="1" customHeight="1">
      <c r="A813" s="985"/>
      <c r="B813" s="986">
        <f t="shared" si="84"/>
        <v>0</v>
      </c>
      <c r="C813" s="995" t="s">
        <v>1922</v>
      </c>
      <c r="D813" s="1032">
        <f>'[8]pile data ( M20 grade)'!F141</f>
        <v>2369.94</v>
      </c>
      <c r="E813" s="992" t="s">
        <v>61</v>
      </c>
      <c r="F813" s="987">
        <f t="shared" si="86"/>
        <v>0</v>
      </c>
      <c r="G813" s="994"/>
      <c r="H813" s="666">
        <f t="shared" si="90"/>
        <v>0</v>
      </c>
      <c r="I813" s="666"/>
      <c r="J813" s="666"/>
      <c r="K813" s="666">
        <f t="shared" si="87"/>
        <v>0</v>
      </c>
      <c r="L813" s="666"/>
      <c r="M813" s="665">
        <f t="shared" si="88"/>
        <v>0</v>
      </c>
      <c r="N813" s="666">
        <f t="shared" si="85"/>
        <v>0</v>
      </c>
      <c r="O813" s="672">
        <v>0</v>
      </c>
      <c r="P813" s="668">
        <f t="shared" si="89"/>
        <v>0</v>
      </c>
      <c r="Q813" s="676"/>
      <c r="R813" s="676"/>
    </row>
    <row r="814" spans="1:18" s="677" customFormat="1" ht="69.75" hidden="1" customHeight="1">
      <c r="A814" s="985"/>
      <c r="B814" s="986">
        <f t="shared" si="84"/>
        <v>0</v>
      </c>
      <c r="C814" s="995" t="s">
        <v>1923</v>
      </c>
      <c r="D814" s="1032">
        <f>'[11]pile data'!G83</f>
        <v>0</v>
      </c>
      <c r="E814" s="992"/>
      <c r="F814" s="987">
        <f t="shared" si="86"/>
        <v>0</v>
      </c>
      <c r="G814" s="994"/>
      <c r="H814" s="666">
        <f t="shared" si="90"/>
        <v>0</v>
      </c>
      <c r="I814" s="666"/>
      <c r="J814" s="666"/>
      <c r="K814" s="666">
        <f t="shared" si="87"/>
        <v>0</v>
      </c>
      <c r="L814" s="666"/>
      <c r="M814" s="665">
        <f t="shared" si="88"/>
        <v>0</v>
      </c>
      <c r="N814" s="666">
        <f t="shared" si="85"/>
        <v>0</v>
      </c>
      <c r="O814" s="672">
        <v>0</v>
      </c>
      <c r="P814" s="668">
        <f t="shared" si="89"/>
        <v>0</v>
      </c>
      <c r="Q814" s="676"/>
      <c r="R814" s="676"/>
    </row>
    <row r="815" spans="1:18" s="677" customFormat="1" ht="93" hidden="1" customHeight="1">
      <c r="A815" s="985"/>
      <c r="B815" s="986">
        <f t="shared" si="84"/>
        <v>0</v>
      </c>
      <c r="C815" s="995" t="s">
        <v>1924</v>
      </c>
      <c r="D815" s="1012"/>
      <c r="E815" s="1068"/>
      <c r="F815" s="987">
        <f t="shared" si="86"/>
        <v>0</v>
      </c>
      <c r="G815" s="1069"/>
      <c r="H815" s="666">
        <f t="shared" si="90"/>
        <v>0</v>
      </c>
      <c r="I815" s="666"/>
      <c r="J815" s="666"/>
      <c r="K815" s="666">
        <f t="shared" si="87"/>
        <v>0</v>
      </c>
      <c r="L815" s="666"/>
      <c r="M815" s="665">
        <f t="shared" si="88"/>
        <v>0</v>
      </c>
      <c r="N815" s="666">
        <f t="shared" si="85"/>
        <v>0</v>
      </c>
      <c r="O815" s="672">
        <v>0</v>
      </c>
      <c r="P815" s="668">
        <f t="shared" si="89"/>
        <v>0</v>
      </c>
    </row>
    <row r="816" spans="1:18" s="677" customFormat="1" ht="25.5" hidden="1" customHeight="1">
      <c r="A816" s="985"/>
      <c r="B816" s="986">
        <f t="shared" si="84"/>
        <v>0</v>
      </c>
      <c r="C816" s="995" t="s">
        <v>1920</v>
      </c>
      <c r="D816" s="1032">
        <f>'[8]pile data ( M20 grade)'!F28</f>
        <v>876.36</v>
      </c>
      <c r="E816" s="992" t="s">
        <v>61</v>
      </c>
      <c r="F816" s="987">
        <f t="shared" si="86"/>
        <v>0</v>
      </c>
      <c r="G816" s="994"/>
      <c r="H816" s="666">
        <f t="shared" si="90"/>
        <v>0</v>
      </c>
      <c r="I816" s="666"/>
      <c r="J816" s="666"/>
      <c r="K816" s="666">
        <f t="shared" si="87"/>
        <v>0</v>
      </c>
      <c r="L816" s="666"/>
      <c r="M816" s="665">
        <f t="shared" si="88"/>
        <v>0</v>
      </c>
      <c r="N816" s="666">
        <f t="shared" si="85"/>
        <v>0</v>
      </c>
      <c r="O816" s="672">
        <v>0</v>
      </c>
      <c r="P816" s="668">
        <f t="shared" si="89"/>
        <v>0</v>
      </c>
      <c r="Q816" s="676"/>
      <c r="R816" s="676"/>
    </row>
    <row r="817" spans="1:18" s="677" customFormat="1" ht="25.5" hidden="1" customHeight="1">
      <c r="A817" s="985"/>
      <c r="B817" s="986">
        <f t="shared" si="84"/>
        <v>0</v>
      </c>
      <c r="C817" s="995" t="s">
        <v>1921</v>
      </c>
      <c r="D817" s="1032">
        <f>'[8]pile data ( M20 grade)'!F92</f>
        <v>710.92</v>
      </c>
      <c r="E817" s="992" t="s">
        <v>61</v>
      </c>
      <c r="F817" s="987">
        <f t="shared" si="86"/>
        <v>0</v>
      </c>
      <c r="G817" s="994"/>
      <c r="H817" s="666">
        <f t="shared" si="90"/>
        <v>0</v>
      </c>
      <c r="I817" s="666"/>
      <c r="J817" s="666"/>
      <c r="K817" s="666">
        <f t="shared" si="87"/>
        <v>0</v>
      </c>
      <c r="L817" s="666"/>
      <c r="M817" s="665">
        <f t="shared" si="88"/>
        <v>0</v>
      </c>
      <c r="N817" s="666">
        <f t="shared" si="85"/>
        <v>0</v>
      </c>
      <c r="O817" s="672">
        <v>0</v>
      </c>
      <c r="P817" s="668">
        <f t="shared" si="89"/>
        <v>0</v>
      </c>
      <c r="Q817" s="676"/>
      <c r="R817" s="676"/>
    </row>
    <row r="818" spans="1:18" s="677" customFormat="1" ht="25.5" hidden="1" customHeight="1">
      <c r="A818" s="985"/>
      <c r="B818" s="986">
        <f t="shared" si="84"/>
        <v>0</v>
      </c>
      <c r="C818" s="995" t="s">
        <v>1922</v>
      </c>
      <c r="D818" s="1032">
        <f>'[8]pile data ( M20 grade)'!F152</f>
        <v>563.37</v>
      </c>
      <c r="E818" s="992" t="s">
        <v>61</v>
      </c>
      <c r="F818" s="987">
        <f t="shared" si="86"/>
        <v>0</v>
      </c>
      <c r="G818" s="994"/>
      <c r="H818" s="666">
        <f t="shared" si="90"/>
        <v>0</v>
      </c>
      <c r="I818" s="666"/>
      <c r="J818" s="666"/>
      <c r="K818" s="666">
        <f t="shared" si="87"/>
        <v>0</v>
      </c>
      <c r="L818" s="666"/>
      <c r="M818" s="665">
        <f t="shared" si="88"/>
        <v>0</v>
      </c>
      <c r="N818" s="666">
        <f t="shared" si="85"/>
        <v>0</v>
      </c>
      <c r="O818" s="672">
        <v>0</v>
      </c>
      <c r="P818" s="668">
        <f t="shared" si="89"/>
        <v>0</v>
      </c>
      <c r="Q818" s="676"/>
      <c r="R818" s="676"/>
    </row>
    <row r="819" spans="1:18" s="677" customFormat="1" ht="93" hidden="1" customHeight="1">
      <c r="A819" s="985"/>
      <c r="B819" s="986">
        <f t="shared" si="84"/>
        <v>0</v>
      </c>
      <c r="C819" s="995" t="s">
        <v>1925</v>
      </c>
      <c r="D819" s="1032">
        <v>40000</v>
      </c>
      <c r="E819" s="992" t="s">
        <v>54</v>
      </c>
      <c r="F819" s="987">
        <f t="shared" si="86"/>
        <v>0</v>
      </c>
      <c r="G819" s="994"/>
      <c r="H819" s="666">
        <f t="shared" si="90"/>
        <v>0</v>
      </c>
      <c r="I819" s="666"/>
      <c r="J819" s="666"/>
      <c r="K819" s="666">
        <f t="shared" si="87"/>
        <v>0</v>
      </c>
      <c r="L819" s="666"/>
      <c r="M819" s="665">
        <f t="shared" si="88"/>
        <v>0</v>
      </c>
      <c r="N819" s="666">
        <f t="shared" si="85"/>
        <v>0</v>
      </c>
      <c r="O819" s="672">
        <v>0</v>
      </c>
      <c r="P819" s="668">
        <f t="shared" si="89"/>
        <v>0</v>
      </c>
      <c r="Q819" s="676"/>
      <c r="R819" s="676"/>
    </row>
    <row r="820" spans="1:18" s="677" customFormat="1" ht="162.75" hidden="1" customHeight="1">
      <c r="A820" s="985"/>
      <c r="B820" s="986">
        <f t="shared" si="84"/>
        <v>0</v>
      </c>
      <c r="C820" s="995" t="s">
        <v>1926</v>
      </c>
      <c r="D820" s="1032">
        <v>70000</v>
      </c>
      <c r="E820" s="992" t="s">
        <v>54</v>
      </c>
      <c r="F820" s="987">
        <f t="shared" si="86"/>
        <v>0</v>
      </c>
      <c r="G820" s="994"/>
      <c r="H820" s="666">
        <f t="shared" si="90"/>
        <v>0</v>
      </c>
      <c r="I820" s="666"/>
      <c r="J820" s="666"/>
      <c r="K820" s="666">
        <f t="shared" si="87"/>
        <v>0</v>
      </c>
      <c r="L820" s="666"/>
      <c r="M820" s="665">
        <f t="shared" si="88"/>
        <v>0</v>
      </c>
      <c r="N820" s="666">
        <f t="shared" si="85"/>
        <v>0</v>
      </c>
      <c r="O820" s="672">
        <v>0</v>
      </c>
      <c r="P820" s="668">
        <f t="shared" si="89"/>
        <v>0</v>
      </c>
      <c r="Q820" s="676"/>
      <c r="R820" s="676"/>
    </row>
    <row r="821" spans="1:18" s="677" customFormat="1" ht="39.75" hidden="1" customHeight="1">
      <c r="A821" s="985"/>
      <c r="B821" s="986">
        <f t="shared" si="84"/>
        <v>0</v>
      </c>
      <c r="C821" s="987" t="s">
        <v>1927</v>
      </c>
      <c r="D821" s="1034">
        <v>713.54</v>
      </c>
      <c r="E821" s="1013" t="s">
        <v>37</v>
      </c>
      <c r="F821" s="987">
        <f t="shared" si="86"/>
        <v>0</v>
      </c>
      <c r="G821" s="1070"/>
      <c r="H821" s="666">
        <f t="shared" si="90"/>
        <v>0</v>
      </c>
      <c r="I821" s="666"/>
      <c r="J821" s="666"/>
      <c r="K821" s="666">
        <f t="shared" si="87"/>
        <v>0</v>
      </c>
      <c r="L821" s="666"/>
      <c r="M821" s="665">
        <f t="shared" si="88"/>
        <v>0</v>
      </c>
      <c r="N821" s="666">
        <f t="shared" si="85"/>
        <v>0</v>
      </c>
      <c r="O821" s="672">
        <v>0</v>
      </c>
      <c r="P821" s="668">
        <f t="shared" si="89"/>
        <v>0</v>
      </c>
      <c r="Q821" s="676"/>
      <c r="R821" s="676"/>
    </row>
    <row r="822" spans="1:18" s="677" customFormat="1" ht="93" hidden="1" customHeight="1">
      <c r="A822" s="985"/>
      <c r="B822" s="986">
        <f t="shared" si="84"/>
        <v>0</v>
      </c>
      <c r="C822" s="995" t="s">
        <v>1928</v>
      </c>
      <c r="D822" s="1071"/>
      <c r="E822" s="1013"/>
      <c r="F822" s="987">
        <f t="shared" si="86"/>
        <v>0</v>
      </c>
      <c r="G822" s="1070"/>
      <c r="H822" s="666">
        <f t="shared" si="90"/>
        <v>0</v>
      </c>
      <c r="I822" s="666"/>
      <c r="J822" s="666"/>
      <c r="K822" s="666">
        <f t="shared" si="87"/>
        <v>0</v>
      </c>
      <c r="L822" s="666"/>
      <c r="M822" s="665">
        <f t="shared" si="88"/>
        <v>0</v>
      </c>
      <c r="N822" s="666">
        <f t="shared" si="85"/>
        <v>0</v>
      </c>
      <c r="O822" s="672">
        <v>0</v>
      </c>
      <c r="P822" s="668">
        <f t="shared" si="89"/>
        <v>0</v>
      </c>
      <c r="Q822" s="676"/>
      <c r="R822" s="676"/>
    </row>
    <row r="823" spans="1:18" s="677" customFormat="1" ht="25.5" hidden="1" customHeight="1">
      <c r="A823" s="985"/>
      <c r="B823" s="986">
        <f t="shared" si="84"/>
        <v>0</v>
      </c>
      <c r="C823" s="1013" t="s">
        <v>168</v>
      </c>
      <c r="D823" s="1071">
        <f>[8]Elec.Data!K3815</f>
        <v>830.11</v>
      </c>
      <c r="E823" s="1013" t="s">
        <v>522</v>
      </c>
      <c r="F823" s="987">
        <f t="shared" si="86"/>
        <v>0</v>
      </c>
      <c r="G823" s="1070"/>
      <c r="H823" s="666">
        <f t="shared" si="90"/>
        <v>0</v>
      </c>
      <c r="I823" s="666"/>
      <c r="J823" s="666"/>
      <c r="K823" s="666">
        <f t="shared" si="87"/>
        <v>0</v>
      </c>
      <c r="L823" s="666"/>
      <c r="M823" s="665">
        <f t="shared" si="88"/>
        <v>0</v>
      </c>
      <c r="N823" s="666">
        <f t="shared" si="85"/>
        <v>0</v>
      </c>
      <c r="O823" s="672">
        <v>0</v>
      </c>
      <c r="P823" s="668">
        <f t="shared" si="89"/>
        <v>0</v>
      </c>
      <c r="Q823" s="676"/>
      <c r="R823" s="676"/>
    </row>
    <row r="824" spans="1:18" s="677" customFormat="1" ht="25.5" hidden="1" customHeight="1">
      <c r="A824" s="985"/>
      <c r="B824" s="986">
        <f t="shared" si="84"/>
        <v>0</v>
      </c>
      <c r="C824" s="1013" t="s">
        <v>170</v>
      </c>
      <c r="D824" s="1071">
        <f>[8]Elec.Data!K3841</f>
        <v>833.16</v>
      </c>
      <c r="E824" s="1013" t="s">
        <v>522</v>
      </c>
      <c r="F824" s="987">
        <f t="shared" si="86"/>
        <v>0</v>
      </c>
      <c r="G824" s="1070"/>
      <c r="H824" s="666">
        <f t="shared" si="90"/>
        <v>0</v>
      </c>
      <c r="I824" s="666"/>
      <c r="J824" s="666"/>
      <c r="K824" s="666">
        <f t="shared" si="87"/>
        <v>0</v>
      </c>
      <c r="L824" s="666"/>
      <c r="M824" s="665">
        <f t="shared" si="88"/>
        <v>0</v>
      </c>
      <c r="N824" s="666">
        <f t="shared" si="85"/>
        <v>0</v>
      </c>
      <c r="O824" s="672">
        <v>0</v>
      </c>
      <c r="P824" s="668">
        <f t="shared" si="89"/>
        <v>0</v>
      </c>
      <c r="Q824" s="676"/>
      <c r="R824" s="676"/>
    </row>
    <row r="825" spans="1:18" s="677" customFormat="1" ht="87" hidden="1" customHeight="1">
      <c r="A825" s="985"/>
      <c r="B825" s="986">
        <f t="shared" si="84"/>
        <v>0</v>
      </c>
      <c r="C825" s="1013" t="s">
        <v>1929</v>
      </c>
      <c r="D825" s="1071">
        <f>[8]Elec.Data!K3918</f>
        <v>638.45000000000005</v>
      </c>
      <c r="E825" s="1013" t="s">
        <v>522</v>
      </c>
      <c r="F825" s="987">
        <f t="shared" si="86"/>
        <v>0</v>
      </c>
      <c r="G825" s="1070"/>
      <c r="H825" s="666">
        <f t="shared" si="90"/>
        <v>0</v>
      </c>
      <c r="I825" s="666"/>
      <c r="J825" s="666"/>
      <c r="K825" s="666">
        <f t="shared" si="87"/>
        <v>0</v>
      </c>
      <c r="L825" s="666"/>
      <c r="M825" s="665">
        <f t="shared" si="88"/>
        <v>0</v>
      </c>
      <c r="N825" s="666">
        <f t="shared" si="85"/>
        <v>0</v>
      </c>
      <c r="O825" s="672">
        <v>0</v>
      </c>
      <c r="P825" s="668">
        <f t="shared" si="89"/>
        <v>0</v>
      </c>
      <c r="Q825" s="676"/>
      <c r="R825" s="676"/>
    </row>
    <row r="826" spans="1:18" s="677" customFormat="1" ht="87" hidden="1" customHeight="1">
      <c r="A826" s="985"/>
      <c r="B826" s="986">
        <f t="shared" si="84"/>
        <v>0</v>
      </c>
      <c r="C826" s="1013" t="s">
        <v>1930</v>
      </c>
      <c r="D826" s="1071">
        <f>[8]Elec.Data!K2977</f>
        <v>764.91</v>
      </c>
      <c r="E826" s="1013" t="s">
        <v>522</v>
      </c>
      <c r="F826" s="987">
        <f t="shared" si="86"/>
        <v>0</v>
      </c>
      <c r="G826" s="1070"/>
      <c r="H826" s="666">
        <f t="shared" si="90"/>
        <v>0</v>
      </c>
      <c r="I826" s="666"/>
      <c r="J826" s="666"/>
      <c r="K826" s="666">
        <f t="shared" si="87"/>
        <v>0</v>
      </c>
      <c r="L826" s="666"/>
      <c r="M826" s="665">
        <f t="shared" si="88"/>
        <v>0</v>
      </c>
      <c r="N826" s="666">
        <f t="shared" si="85"/>
        <v>0</v>
      </c>
      <c r="O826" s="672">
        <v>0</v>
      </c>
      <c r="P826" s="668">
        <f t="shared" si="89"/>
        <v>0</v>
      </c>
      <c r="Q826" s="676"/>
      <c r="R826" s="676"/>
    </row>
    <row r="827" spans="1:18" s="677" customFormat="1" ht="65.25" hidden="1" customHeight="1">
      <c r="A827" s="985"/>
      <c r="B827" s="986">
        <f t="shared" si="84"/>
        <v>0</v>
      </c>
      <c r="C827" s="1013" t="s">
        <v>1931</v>
      </c>
      <c r="D827" s="1071">
        <f>[8]Elec.Data!K3879</f>
        <v>917.46</v>
      </c>
      <c r="E827" s="1059" t="s">
        <v>1790</v>
      </c>
      <c r="F827" s="987">
        <f t="shared" si="86"/>
        <v>0</v>
      </c>
      <c r="G827" s="1072"/>
      <c r="H827" s="666">
        <f t="shared" si="90"/>
        <v>0</v>
      </c>
      <c r="I827" s="666"/>
      <c r="J827" s="666"/>
      <c r="K827" s="666">
        <f t="shared" si="87"/>
        <v>0</v>
      </c>
      <c r="L827" s="666"/>
      <c r="M827" s="665">
        <f t="shared" si="88"/>
        <v>0</v>
      </c>
      <c r="N827" s="666">
        <f t="shared" si="85"/>
        <v>0</v>
      </c>
      <c r="O827" s="672">
        <v>0</v>
      </c>
      <c r="P827" s="668">
        <f t="shared" si="89"/>
        <v>0</v>
      </c>
      <c r="Q827" s="676"/>
      <c r="R827" s="676"/>
    </row>
    <row r="828" spans="1:18" s="677" customFormat="1" ht="43.5" hidden="1" customHeight="1">
      <c r="A828" s="985"/>
      <c r="B828" s="986">
        <f t="shared" si="84"/>
        <v>0</v>
      </c>
      <c r="C828" s="1013" t="s">
        <v>1932</v>
      </c>
      <c r="D828" s="1071">
        <f>Data!R2654</f>
        <v>6199.7713004484303</v>
      </c>
      <c r="E828" s="1059" t="s">
        <v>37</v>
      </c>
      <c r="F828" s="987">
        <f t="shared" si="86"/>
        <v>0</v>
      </c>
      <c r="G828" s="1072"/>
      <c r="H828" s="666">
        <f t="shared" si="90"/>
        <v>0</v>
      </c>
      <c r="I828" s="666"/>
      <c r="J828" s="666"/>
      <c r="K828" s="666">
        <f t="shared" si="87"/>
        <v>0</v>
      </c>
      <c r="L828" s="666"/>
      <c r="M828" s="665">
        <f t="shared" si="88"/>
        <v>0</v>
      </c>
      <c r="N828" s="666">
        <f t="shared" si="85"/>
        <v>0</v>
      </c>
      <c r="O828" s="672">
        <v>0</v>
      </c>
      <c r="P828" s="668">
        <f t="shared" si="89"/>
        <v>0</v>
      </c>
      <c r="Q828" s="676"/>
      <c r="R828" s="676"/>
    </row>
    <row r="829" spans="1:18" s="677" customFormat="1" ht="26.25" hidden="1" customHeight="1">
      <c r="A829" s="985"/>
      <c r="B829" s="986">
        <f t="shared" si="84"/>
        <v>0</v>
      </c>
      <c r="C829" s="987" t="s">
        <v>1933</v>
      </c>
      <c r="D829" s="1071">
        <f>Data!K3738</f>
        <v>82.53</v>
      </c>
      <c r="E829" s="992" t="s">
        <v>37</v>
      </c>
      <c r="F829" s="987">
        <f t="shared" si="86"/>
        <v>0</v>
      </c>
      <c r="G829" s="994"/>
      <c r="H829" s="666">
        <f t="shared" si="90"/>
        <v>0</v>
      </c>
      <c r="I829" s="666"/>
      <c r="J829" s="666"/>
      <c r="K829" s="666">
        <f t="shared" si="87"/>
        <v>0</v>
      </c>
      <c r="L829" s="666"/>
      <c r="M829" s="665">
        <f t="shared" si="88"/>
        <v>0</v>
      </c>
      <c r="N829" s="666">
        <f t="shared" si="85"/>
        <v>0</v>
      </c>
      <c r="O829" s="672">
        <v>0</v>
      </c>
      <c r="P829" s="668">
        <f t="shared" si="89"/>
        <v>0</v>
      </c>
      <c r="Q829" s="676"/>
      <c r="R829" s="676"/>
    </row>
    <row r="830" spans="1:18" s="677" customFormat="1" ht="54" hidden="1" customHeight="1">
      <c r="A830" s="985"/>
      <c r="B830" s="986">
        <f t="shared" si="84"/>
        <v>0</v>
      </c>
      <c r="C830" s="1015" t="s">
        <v>1934</v>
      </c>
      <c r="D830" s="1071">
        <f>Data!K3792</f>
        <v>3709.5289871504156</v>
      </c>
      <c r="E830" s="1073" t="s">
        <v>37</v>
      </c>
      <c r="F830" s="987">
        <f t="shared" si="86"/>
        <v>0</v>
      </c>
      <c r="G830" s="1074"/>
      <c r="H830" s="666">
        <f t="shared" si="90"/>
        <v>0</v>
      </c>
      <c r="I830" s="666"/>
      <c r="J830" s="666"/>
      <c r="K830" s="666">
        <f t="shared" si="87"/>
        <v>0</v>
      </c>
      <c r="L830" s="666"/>
      <c r="M830" s="665">
        <f t="shared" si="88"/>
        <v>0</v>
      </c>
      <c r="N830" s="666">
        <f t="shared" si="85"/>
        <v>0</v>
      </c>
      <c r="O830" s="672">
        <v>0</v>
      </c>
      <c r="P830" s="668">
        <f t="shared" si="89"/>
        <v>0</v>
      </c>
      <c r="Q830" s="676"/>
      <c r="R830" s="676"/>
    </row>
    <row r="831" spans="1:18" s="677" customFormat="1" ht="72" hidden="1" customHeight="1">
      <c r="A831" s="985"/>
      <c r="B831" s="986">
        <f t="shared" si="84"/>
        <v>0</v>
      </c>
      <c r="C831" s="1015" t="s">
        <v>1935</v>
      </c>
      <c r="D831" s="1071">
        <f>Data!X3668</f>
        <v>5543.7650793650782</v>
      </c>
      <c r="E831" s="1073" t="s">
        <v>37</v>
      </c>
      <c r="F831" s="987">
        <f t="shared" si="86"/>
        <v>0</v>
      </c>
      <c r="G831" s="1074"/>
      <c r="H831" s="666">
        <f t="shared" si="90"/>
        <v>0</v>
      </c>
      <c r="I831" s="666"/>
      <c r="J831" s="666"/>
      <c r="K831" s="666">
        <f t="shared" si="87"/>
        <v>0</v>
      </c>
      <c r="L831" s="666"/>
      <c r="M831" s="665">
        <f t="shared" si="88"/>
        <v>0</v>
      </c>
      <c r="N831" s="666">
        <f t="shared" si="85"/>
        <v>0</v>
      </c>
      <c r="O831" s="672">
        <v>0</v>
      </c>
      <c r="P831" s="668">
        <f t="shared" si="89"/>
        <v>0</v>
      </c>
      <c r="Q831" s="676"/>
      <c r="R831" s="676"/>
    </row>
    <row r="832" spans="1:18" s="677" customFormat="1" ht="69" hidden="1" customHeight="1">
      <c r="A832" s="985"/>
      <c r="B832" s="986">
        <f t="shared" si="84"/>
        <v>0</v>
      </c>
      <c r="C832" s="1015" t="s">
        <v>1936</v>
      </c>
      <c r="D832" s="1071">
        <f>Data!X3696</f>
        <v>7170.6885714285709</v>
      </c>
      <c r="E832" s="1073" t="s">
        <v>37</v>
      </c>
      <c r="F832" s="987">
        <f t="shared" si="86"/>
        <v>0</v>
      </c>
      <c r="G832" s="1074"/>
      <c r="H832" s="666">
        <f t="shared" si="90"/>
        <v>0</v>
      </c>
      <c r="I832" s="666"/>
      <c r="J832" s="666"/>
      <c r="K832" s="666">
        <f t="shared" si="87"/>
        <v>0</v>
      </c>
      <c r="L832" s="666"/>
      <c r="M832" s="665">
        <f t="shared" si="88"/>
        <v>0</v>
      </c>
      <c r="N832" s="666">
        <f t="shared" si="85"/>
        <v>0</v>
      </c>
      <c r="O832" s="672">
        <v>0</v>
      </c>
      <c r="P832" s="668">
        <f t="shared" si="89"/>
        <v>0</v>
      </c>
      <c r="Q832" s="676"/>
      <c r="R832" s="676"/>
    </row>
    <row r="833" spans="1:18" s="677" customFormat="1" ht="66" hidden="1" customHeight="1">
      <c r="A833" s="985"/>
      <c r="B833" s="986">
        <f t="shared" si="84"/>
        <v>0</v>
      </c>
      <c r="C833" s="1015" t="s">
        <v>1937</v>
      </c>
      <c r="D833" s="1071">
        <f>Data!K3837</f>
        <v>1273.7230600000003</v>
      </c>
      <c r="E833" s="1059" t="s">
        <v>37</v>
      </c>
      <c r="F833" s="987">
        <f t="shared" si="86"/>
        <v>0</v>
      </c>
      <c r="G833" s="1072"/>
      <c r="H833" s="666">
        <f t="shared" si="90"/>
        <v>0</v>
      </c>
      <c r="I833" s="666"/>
      <c r="J833" s="666"/>
      <c r="K833" s="666">
        <f t="shared" si="87"/>
        <v>0</v>
      </c>
      <c r="L833" s="666"/>
      <c r="M833" s="665">
        <f t="shared" si="88"/>
        <v>0</v>
      </c>
      <c r="N833" s="666">
        <f t="shared" si="85"/>
        <v>0</v>
      </c>
      <c r="O833" s="672">
        <v>0</v>
      </c>
      <c r="P833" s="668">
        <f t="shared" si="89"/>
        <v>0</v>
      </c>
      <c r="Q833" s="676"/>
      <c r="R833" s="676"/>
    </row>
    <row r="834" spans="1:18" s="677" customFormat="1" ht="76.5" hidden="1" customHeight="1">
      <c r="A834" s="985"/>
      <c r="B834" s="986">
        <f t="shared" si="84"/>
        <v>0</v>
      </c>
      <c r="C834" s="1040" t="s">
        <v>1938</v>
      </c>
      <c r="D834" s="1071">
        <f>Data!K3814</f>
        <v>1539.1662365591399</v>
      </c>
      <c r="E834" s="1059" t="s">
        <v>37</v>
      </c>
      <c r="F834" s="987">
        <f t="shared" si="86"/>
        <v>0</v>
      </c>
      <c r="G834" s="1072"/>
      <c r="H834" s="666">
        <f t="shared" si="90"/>
        <v>0</v>
      </c>
      <c r="I834" s="666"/>
      <c r="J834" s="666"/>
      <c r="K834" s="666">
        <f t="shared" si="87"/>
        <v>0</v>
      </c>
      <c r="L834" s="666"/>
      <c r="M834" s="665">
        <f t="shared" si="88"/>
        <v>0</v>
      </c>
      <c r="N834" s="666">
        <f t="shared" si="85"/>
        <v>0</v>
      </c>
      <c r="O834" s="672">
        <v>0</v>
      </c>
      <c r="P834" s="668">
        <f t="shared" si="89"/>
        <v>0</v>
      </c>
      <c r="Q834" s="676"/>
      <c r="R834" s="676"/>
    </row>
    <row r="835" spans="1:18" s="677" customFormat="1" ht="129" hidden="1" customHeight="1">
      <c r="A835" s="985"/>
      <c r="B835" s="986">
        <f t="shared" si="84"/>
        <v>0</v>
      </c>
      <c r="C835" s="987" t="s">
        <v>1939</v>
      </c>
      <c r="D835" s="1066">
        <v>1692</v>
      </c>
      <c r="E835" s="1033" t="s">
        <v>522</v>
      </c>
      <c r="F835" s="987">
        <f t="shared" si="86"/>
        <v>0</v>
      </c>
      <c r="G835" s="1075"/>
      <c r="H835" s="666">
        <f t="shared" si="90"/>
        <v>0</v>
      </c>
      <c r="I835" s="666"/>
      <c r="J835" s="666"/>
      <c r="K835" s="666">
        <f t="shared" si="87"/>
        <v>0</v>
      </c>
      <c r="L835" s="666"/>
      <c r="M835" s="665">
        <f t="shared" si="88"/>
        <v>0</v>
      </c>
      <c r="N835" s="666">
        <f t="shared" si="85"/>
        <v>0</v>
      </c>
      <c r="O835" s="672">
        <v>0</v>
      </c>
      <c r="P835" s="668">
        <f t="shared" si="89"/>
        <v>0</v>
      </c>
      <c r="Q835" s="676"/>
      <c r="R835" s="676"/>
    </row>
    <row r="836" spans="1:18" s="677" customFormat="1" ht="94.5" hidden="1" customHeight="1">
      <c r="A836" s="985"/>
      <c r="B836" s="986">
        <f t="shared" si="84"/>
        <v>0</v>
      </c>
      <c r="C836" s="1013" t="s">
        <v>1940</v>
      </c>
      <c r="D836" s="1076">
        <f>[8]Elec.Data!K4087</f>
        <v>34310</v>
      </c>
      <c r="E836" s="1013" t="s">
        <v>522</v>
      </c>
      <c r="F836" s="987">
        <f t="shared" si="86"/>
        <v>0</v>
      </c>
      <c r="G836" s="1077"/>
      <c r="H836" s="666">
        <f t="shared" si="90"/>
        <v>0</v>
      </c>
      <c r="I836" s="666"/>
      <c r="J836" s="666"/>
      <c r="K836" s="666">
        <f t="shared" si="87"/>
        <v>0</v>
      </c>
      <c r="L836" s="666"/>
      <c r="M836" s="665">
        <f t="shared" si="88"/>
        <v>0</v>
      </c>
      <c r="N836" s="666">
        <f t="shared" si="85"/>
        <v>0</v>
      </c>
      <c r="O836" s="672">
        <v>0</v>
      </c>
      <c r="P836" s="668">
        <f t="shared" si="89"/>
        <v>0</v>
      </c>
      <c r="Q836" s="676"/>
      <c r="R836" s="676"/>
    </row>
    <row r="837" spans="1:18" s="677" customFormat="1" ht="89.25" hidden="1" customHeight="1">
      <c r="A837" s="985"/>
      <c r="B837" s="986">
        <f t="shared" si="84"/>
        <v>0</v>
      </c>
      <c r="C837" s="992" t="s">
        <v>1941</v>
      </c>
      <c r="D837" s="1076">
        <v>8100</v>
      </c>
      <c r="E837" s="1013" t="s">
        <v>522</v>
      </c>
      <c r="F837" s="987">
        <f t="shared" si="86"/>
        <v>0</v>
      </c>
      <c r="G837" s="1077"/>
      <c r="H837" s="666">
        <f t="shared" si="90"/>
        <v>0</v>
      </c>
      <c r="I837" s="666"/>
      <c r="J837" s="666"/>
      <c r="K837" s="666">
        <f t="shared" si="87"/>
        <v>0</v>
      </c>
      <c r="L837" s="666"/>
      <c r="M837" s="665">
        <f t="shared" si="88"/>
        <v>0</v>
      </c>
      <c r="N837" s="666">
        <f t="shared" si="85"/>
        <v>0</v>
      </c>
      <c r="O837" s="672">
        <v>0</v>
      </c>
      <c r="P837" s="668">
        <f t="shared" si="89"/>
        <v>0</v>
      </c>
      <c r="Q837" s="676"/>
      <c r="R837" s="676"/>
    </row>
    <row r="838" spans="1:18" ht="117.75" hidden="1" customHeight="1">
      <c r="A838" s="991"/>
      <c r="B838" s="986">
        <f t="shared" si="84"/>
        <v>0</v>
      </c>
      <c r="C838" s="992" t="s">
        <v>1942</v>
      </c>
      <c r="D838" s="1032">
        <v>829</v>
      </c>
      <c r="E838" s="1039" t="s">
        <v>522</v>
      </c>
      <c r="F838" s="987">
        <f t="shared" si="86"/>
        <v>0</v>
      </c>
      <c r="G838" s="1036"/>
      <c r="H838" s="666">
        <f t="shared" si="90"/>
        <v>0</v>
      </c>
      <c r="I838" s="666"/>
      <c r="J838" s="666"/>
      <c r="K838" s="666">
        <f t="shared" si="87"/>
        <v>0</v>
      </c>
      <c r="L838" s="666"/>
      <c r="M838" s="665">
        <f t="shared" si="88"/>
        <v>0</v>
      </c>
      <c r="N838" s="666">
        <f t="shared" si="85"/>
        <v>0</v>
      </c>
      <c r="O838" s="672">
        <v>0</v>
      </c>
      <c r="P838" s="668">
        <f t="shared" si="89"/>
        <v>0</v>
      </c>
    </row>
    <row r="839" spans="1:18" s="677" customFormat="1" ht="45" hidden="1" customHeight="1">
      <c r="A839" s="985"/>
      <c r="B839" s="986">
        <f t="shared" ref="B839:B870" si="91">M839</f>
        <v>0</v>
      </c>
      <c r="C839" s="1078" t="s">
        <v>1943</v>
      </c>
      <c r="D839" s="1014">
        <f>[8]Elec.Data!R3646</f>
        <v>8624.34</v>
      </c>
      <c r="E839" s="1013" t="s">
        <v>522</v>
      </c>
      <c r="F839" s="987">
        <f t="shared" si="86"/>
        <v>0</v>
      </c>
      <c r="G839" s="1077"/>
      <c r="H839" s="666">
        <f t="shared" si="90"/>
        <v>0</v>
      </c>
      <c r="I839" s="666"/>
      <c r="J839" s="666"/>
      <c r="K839" s="666">
        <f t="shared" si="87"/>
        <v>0</v>
      </c>
      <c r="L839" s="666"/>
      <c r="M839" s="665">
        <f t="shared" si="88"/>
        <v>0</v>
      </c>
      <c r="N839" s="666">
        <f t="shared" ref="N839:N854" si="92">M839*D839</f>
        <v>0</v>
      </c>
      <c r="O839" s="672">
        <v>0</v>
      </c>
      <c r="P839" s="668">
        <f t="shared" si="89"/>
        <v>0</v>
      </c>
      <c r="Q839" s="676"/>
      <c r="R839" s="676"/>
    </row>
    <row r="840" spans="1:18" s="677" customFormat="1" ht="111" hidden="1" customHeight="1">
      <c r="A840" s="991">
        <v>21.6</v>
      </c>
      <c r="B840" s="986">
        <f t="shared" si="91"/>
        <v>0</v>
      </c>
      <c r="C840" s="1005" t="s">
        <v>1944</v>
      </c>
      <c r="D840" s="993"/>
      <c r="E840" s="992"/>
      <c r="F840" s="987">
        <f t="shared" ref="F840:F870" si="93">B840*D840</f>
        <v>0</v>
      </c>
      <c r="G840" s="994"/>
      <c r="H840" s="666">
        <f t="shared" si="90"/>
        <v>0</v>
      </c>
      <c r="I840" s="666"/>
      <c r="J840" s="666"/>
      <c r="K840" s="666">
        <f t="shared" ref="K840:K870" si="94">I840</f>
        <v>0</v>
      </c>
      <c r="L840" s="666"/>
      <c r="M840" s="665">
        <f t="shared" ref="M840:M850" si="95">G840</f>
        <v>0</v>
      </c>
      <c r="N840" s="666">
        <f t="shared" si="92"/>
        <v>0</v>
      </c>
      <c r="O840" s="672">
        <v>0</v>
      </c>
      <c r="P840" s="668">
        <f t="shared" ref="P840:P881" si="96">M840-O840</f>
        <v>0</v>
      </c>
      <c r="Q840" s="676"/>
      <c r="R840" s="676"/>
    </row>
    <row r="841" spans="1:18" s="677" customFormat="1" ht="45" hidden="1" customHeight="1">
      <c r="A841" s="1079"/>
      <c r="B841" s="986">
        <f t="shared" si="91"/>
        <v>0</v>
      </c>
      <c r="C841" s="992" t="s">
        <v>1473</v>
      </c>
      <c r="D841" s="993">
        <f>Data!K3950</f>
        <v>2474.9428791999999</v>
      </c>
      <c r="E841" s="992" t="s">
        <v>522</v>
      </c>
      <c r="F841" s="987">
        <f t="shared" si="93"/>
        <v>0</v>
      </c>
      <c r="G841" s="994"/>
      <c r="H841" s="666">
        <f t="shared" ref="H841:H854" si="97">G841*D841</f>
        <v>0</v>
      </c>
      <c r="I841" s="666"/>
      <c r="J841" s="666"/>
      <c r="K841" s="666">
        <f t="shared" si="94"/>
        <v>0</v>
      </c>
      <c r="L841" s="666"/>
      <c r="M841" s="665">
        <f t="shared" si="95"/>
        <v>0</v>
      </c>
      <c r="N841" s="666">
        <f t="shared" si="92"/>
        <v>0</v>
      </c>
      <c r="O841" s="672">
        <v>0</v>
      </c>
      <c r="P841" s="668">
        <f t="shared" si="96"/>
        <v>0</v>
      </c>
      <c r="Q841" s="676"/>
      <c r="R841" s="676"/>
    </row>
    <row r="842" spans="1:18" s="677" customFormat="1" ht="45" hidden="1" customHeight="1">
      <c r="A842" s="1010"/>
      <c r="B842" s="986">
        <f t="shared" si="91"/>
        <v>0</v>
      </c>
      <c r="C842" s="987" t="s">
        <v>1678</v>
      </c>
      <c r="D842" s="993">
        <f>Data!K3983</f>
        <v>2991.5690850000001</v>
      </c>
      <c r="E842" s="992" t="s">
        <v>522</v>
      </c>
      <c r="F842" s="987">
        <f t="shared" si="93"/>
        <v>0</v>
      </c>
      <c r="G842" s="994"/>
      <c r="H842" s="666">
        <f t="shared" si="97"/>
        <v>0</v>
      </c>
      <c r="I842" s="666"/>
      <c r="J842" s="666"/>
      <c r="K842" s="666">
        <f t="shared" si="94"/>
        <v>0</v>
      </c>
      <c r="L842" s="666"/>
      <c r="M842" s="665">
        <f t="shared" si="95"/>
        <v>0</v>
      </c>
      <c r="N842" s="666">
        <f t="shared" si="92"/>
        <v>0</v>
      </c>
      <c r="O842" s="672">
        <v>0</v>
      </c>
      <c r="P842" s="668">
        <f t="shared" si="96"/>
        <v>0</v>
      </c>
      <c r="Q842" s="676"/>
      <c r="R842" s="676"/>
    </row>
    <row r="843" spans="1:18" s="677" customFormat="1" ht="45" hidden="1" customHeight="1">
      <c r="A843" s="1010"/>
      <c r="B843" s="986">
        <f t="shared" si="91"/>
        <v>0</v>
      </c>
      <c r="C843" s="987" t="s">
        <v>1679</v>
      </c>
      <c r="D843" s="993">
        <f>Data!K3966</f>
        <v>2439.8566856999996</v>
      </c>
      <c r="E843" s="992"/>
      <c r="F843" s="987">
        <f t="shared" si="93"/>
        <v>0</v>
      </c>
      <c r="G843" s="994"/>
      <c r="H843" s="666">
        <f t="shared" si="97"/>
        <v>0</v>
      </c>
      <c r="I843" s="666"/>
      <c r="J843" s="666"/>
      <c r="K843" s="666">
        <f t="shared" si="94"/>
        <v>0</v>
      </c>
      <c r="L843" s="666"/>
      <c r="M843" s="665">
        <f t="shared" si="95"/>
        <v>0</v>
      </c>
      <c r="N843" s="666">
        <f t="shared" si="92"/>
        <v>0</v>
      </c>
      <c r="O843" s="672">
        <v>0</v>
      </c>
      <c r="P843" s="668">
        <f t="shared" si="96"/>
        <v>0</v>
      </c>
      <c r="Q843" s="676"/>
      <c r="R843" s="676"/>
    </row>
    <row r="844" spans="1:18" s="677" customFormat="1" ht="54.75" hidden="1" customHeight="1">
      <c r="A844" s="1010"/>
      <c r="B844" s="986">
        <f t="shared" si="91"/>
        <v>0</v>
      </c>
      <c r="C844" s="987" t="s">
        <v>1475</v>
      </c>
      <c r="D844" s="993">
        <f>Data!K3932</f>
        <v>2495.9407189000003</v>
      </c>
      <c r="E844" s="992" t="s">
        <v>522</v>
      </c>
      <c r="F844" s="987">
        <f t="shared" si="93"/>
        <v>0</v>
      </c>
      <c r="G844" s="994"/>
      <c r="H844" s="666">
        <f t="shared" si="97"/>
        <v>0</v>
      </c>
      <c r="I844" s="666"/>
      <c r="J844" s="666"/>
      <c r="K844" s="666">
        <f t="shared" si="94"/>
        <v>0</v>
      </c>
      <c r="L844" s="666"/>
      <c r="M844" s="665">
        <f t="shared" si="95"/>
        <v>0</v>
      </c>
      <c r="N844" s="666">
        <f t="shared" si="92"/>
        <v>0</v>
      </c>
      <c r="O844" s="672">
        <v>0</v>
      </c>
      <c r="P844" s="668">
        <f t="shared" si="96"/>
        <v>0</v>
      </c>
      <c r="Q844" s="676"/>
      <c r="R844" s="676"/>
    </row>
    <row r="845" spans="1:18" s="677" customFormat="1" ht="54.75" customHeight="1">
      <c r="A845" s="1010"/>
      <c r="B845" s="986">
        <f t="shared" si="91"/>
        <v>6</v>
      </c>
      <c r="C845" s="987" t="s">
        <v>1945</v>
      </c>
      <c r="D845" s="986">
        <v>134</v>
      </c>
      <c r="E845" s="992" t="s">
        <v>522</v>
      </c>
      <c r="F845" s="987">
        <f t="shared" si="93"/>
        <v>804</v>
      </c>
      <c r="G845" s="994">
        <f>Detailed!H1667</f>
        <v>6</v>
      </c>
      <c r="H845" s="666">
        <f t="shared" si="97"/>
        <v>804</v>
      </c>
      <c r="I845" s="666"/>
      <c r="J845" s="666"/>
      <c r="K845" s="666">
        <f t="shared" si="94"/>
        <v>0</v>
      </c>
      <c r="L845" s="666"/>
      <c r="M845" s="665">
        <f t="shared" si="95"/>
        <v>6</v>
      </c>
      <c r="N845" s="666">
        <f t="shared" si="92"/>
        <v>804</v>
      </c>
      <c r="O845" s="672">
        <v>6</v>
      </c>
      <c r="P845" s="668">
        <f t="shared" si="96"/>
        <v>0</v>
      </c>
      <c r="Q845" s="676"/>
      <c r="R845" s="676"/>
    </row>
    <row r="846" spans="1:18" s="677" customFormat="1" ht="54.75" customHeight="1">
      <c r="A846" s="1010"/>
      <c r="B846" s="986">
        <f t="shared" si="91"/>
        <v>37</v>
      </c>
      <c r="C846" s="987" t="s">
        <v>1946</v>
      </c>
      <c r="D846" s="986">
        <v>170</v>
      </c>
      <c r="E846" s="992" t="s">
        <v>522</v>
      </c>
      <c r="F846" s="987">
        <f t="shared" si="93"/>
        <v>6290</v>
      </c>
      <c r="G846" s="994">
        <f>Detailed!G1718</f>
        <v>37</v>
      </c>
      <c r="H846" s="666">
        <f t="shared" si="97"/>
        <v>6290</v>
      </c>
      <c r="I846" s="666"/>
      <c r="J846" s="666"/>
      <c r="K846" s="666">
        <f t="shared" si="94"/>
        <v>0</v>
      </c>
      <c r="L846" s="666"/>
      <c r="M846" s="665">
        <f t="shared" si="95"/>
        <v>37</v>
      </c>
      <c r="N846" s="666">
        <f t="shared" si="92"/>
        <v>6290</v>
      </c>
      <c r="O846" s="672">
        <v>37</v>
      </c>
      <c r="P846" s="668">
        <f t="shared" si="96"/>
        <v>0</v>
      </c>
      <c r="Q846" s="676"/>
      <c r="R846" s="676"/>
    </row>
    <row r="847" spans="1:18" s="677" customFormat="1" ht="54.75" customHeight="1">
      <c r="A847" s="1010"/>
      <c r="B847" s="986">
        <f t="shared" si="91"/>
        <v>25</v>
      </c>
      <c r="C847" s="987" t="s">
        <v>1947</v>
      </c>
      <c r="D847" s="986">
        <f>[8]Elec.Data!K3787</f>
        <v>663.89</v>
      </c>
      <c r="E847" s="992" t="s">
        <v>522</v>
      </c>
      <c r="F847" s="987">
        <f t="shared" si="93"/>
        <v>16597.25</v>
      </c>
      <c r="G847" s="994">
        <f>Detailed!G1688</f>
        <v>25</v>
      </c>
      <c r="H847" s="666">
        <f t="shared" si="97"/>
        <v>16597.25</v>
      </c>
      <c r="I847" s="666"/>
      <c r="J847" s="666"/>
      <c r="K847" s="666">
        <f t="shared" si="94"/>
        <v>0</v>
      </c>
      <c r="L847" s="666"/>
      <c r="M847" s="665">
        <f t="shared" si="95"/>
        <v>25</v>
      </c>
      <c r="N847" s="666">
        <f t="shared" si="92"/>
        <v>16597.25</v>
      </c>
      <c r="O847" s="672">
        <v>25</v>
      </c>
      <c r="P847" s="668">
        <f t="shared" si="96"/>
        <v>0</v>
      </c>
      <c r="Q847" s="676"/>
      <c r="R847" s="676"/>
    </row>
    <row r="848" spans="1:18" s="677" customFormat="1" ht="54.75" customHeight="1">
      <c r="A848" s="1010"/>
      <c r="B848" s="986">
        <f t="shared" si="91"/>
        <v>7</v>
      </c>
      <c r="C848" s="987" t="s">
        <v>1948</v>
      </c>
      <c r="D848" s="986">
        <v>431</v>
      </c>
      <c r="E848" s="992" t="s">
        <v>522</v>
      </c>
      <c r="F848" s="987">
        <f t="shared" si="93"/>
        <v>3017</v>
      </c>
      <c r="G848" s="994">
        <f>Detailed!G1698</f>
        <v>7</v>
      </c>
      <c r="H848" s="666">
        <f t="shared" si="97"/>
        <v>3017</v>
      </c>
      <c r="I848" s="666"/>
      <c r="J848" s="666"/>
      <c r="K848" s="666">
        <f t="shared" si="94"/>
        <v>0</v>
      </c>
      <c r="L848" s="666"/>
      <c r="M848" s="665">
        <f t="shared" si="95"/>
        <v>7</v>
      </c>
      <c r="N848" s="666">
        <f t="shared" si="92"/>
        <v>3017</v>
      </c>
      <c r="O848" s="672">
        <v>7</v>
      </c>
      <c r="P848" s="668">
        <f t="shared" si="96"/>
        <v>0</v>
      </c>
      <c r="Q848" s="676"/>
      <c r="R848" s="676"/>
    </row>
    <row r="849" spans="1:18" s="677" customFormat="1" ht="54.75" customHeight="1">
      <c r="A849" s="1010"/>
      <c r="B849" s="986">
        <f t="shared" si="91"/>
        <v>2000</v>
      </c>
      <c r="C849" s="987" t="str">
        <f>Detailed!B1724</f>
        <v>HDPE water tank lit capacity with ISI mark</v>
      </c>
      <c r="D849" s="986">
        <v>9.6</v>
      </c>
      <c r="E849" s="992" t="s">
        <v>2750</v>
      </c>
      <c r="F849" s="987">
        <f t="shared" si="93"/>
        <v>19200</v>
      </c>
      <c r="G849" s="994">
        <f>Detailed!H1726</f>
        <v>2000</v>
      </c>
      <c r="H849" s="666">
        <f t="shared" si="97"/>
        <v>19200</v>
      </c>
      <c r="I849" s="666"/>
      <c r="J849" s="666"/>
      <c r="K849" s="666">
        <f t="shared" si="94"/>
        <v>0</v>
      </c>
      <c r="L849" s="666"/>
      <c r="M849" s="665">
        <f t="shared" si="95"/>
        <v>2000</v>
      </c>
      <c r="N849" s="666">
        <f t="shared" si="92"/>
        <v>19200</v>
      </c>
      <c r="O849" s="672">
        <v>2000</v>
      </c>
      <c r="P849" s="668">
        <f t="shared" si="96"/>
        <v>0</v>
      </c>
      <c r="Q849" s="676"/>
      <c r="R849" s="676"/>
    </row>
    <row r="850" spans="1:18" s="677" customFormat="1" ht="54.75" customHeight="1">
      <c r="A850" s="1010"/>
      <c r="B850" s="986">
        <f t="shared" si="91"/>
        <v>4</v>
      </c>
      <c r="C850" s="987" t="s">
        <v>1949</v>
      </c>
      <c r="D850" s="986">
        <f>1182+[8]Elec.Data!K3619</f>
        <v>3274</v>
      </c>
      <c r="E850" s="992" t="s">
        <v>522</v>
      </c>
      <c r="F850" s="987">
        <f t="shared" si="93"/>
        <v>13096</v>
      </c>
      <c r="G850" s="994">
        <f>Detailed!H924</f>
        <v>4</v>
      </c>
      <c r="H850" s="666">
        <f t="shared" si="97"/>
        <v>13096</v>
      </c>
      <c r="I850" s="666"/>
      <c r="J850" s="666"/>
      <c r="K850" s="666">
        <f t="shared" si="94"/>
        <v>0</v>
      </c>
      <c r="L850" s="666"/>
      <c r="M850" s="665">
        <f t="shared" si="95"/>
        <v>4</v>
      </c>
      <c r="N850" s="666">
        <f t="shared" si="92"/>
        <v>13096</v>
      </c>
      <c r="O850" s="672">
        <v>4</v>
      </c>
      <c r="P850" s="668">
        <f t="shared" si="96"/>
        <v>0</v>
      </c>
      <c r="Q850" s="676"/>
      <c r="R850" s="676"/>
    </row>
    <row r="851" spans="1:18" s="677" customFormat="1" ht="60.75" hidden="1" customHeight="1">
      <c r="A851" s="1010"/>
      <c r="B851" s="986" t="e">
        <f t="shared" si="91"/>
        <v>#REF!</v>
      </c>
      <c r="C851" s="987" t="s">
        <v>1950</v>
      </c>
      <c r="D851" s="986">
        <v>5500</v>
      </c>
      <c r="E851" s="992" t="s">
        <v>522</v>
      </c>
      <c r="F851" s="987" t="e">
        <f t="shared" si="93"/>
        <v>#REF!</v>
      </c>
      <c r="G851" s="994"/>
      <c r="H851" s="666">
        <f t="shared" si="97"/>
        <v>0</v>
      </c>
      <c r="I851" s="666"/>
      <c r="J851" s="666"/>
      <c r="K851" s="666">
        <f t="shared" si="94"/>
        <v>0</v>
      </c>
      <c r="L851" s="666"/>
      <c r="M851" s="665" t="e">
        <f>G851+#REF!</f>
        <v>#REF!</v>
      </c>
      <c r="N851" s="666" t="e">
        <f t="shared" si="92"/>
        <v>#REF!</v>
      </c>
      <c r="O851" s="672"/>
      <c r="P851" s="668" t="e">
        <f t="shared" si="96"/>
        <v>#REF!</v>
      </c>
      <c r="Q851" s="676"/>
      <c r="R851" s="676"/>
    </row>
    <row r="852" spans="1:18" s="677" customFormat="1" ht="60.75" hidden="1" customHeight="1">
      <c r="A852" s="1010"/>
      <c r="B852" s="986" t="e">
        <f t="shared" si="91"/>
        <v>#REF!</v>
      </c>
      <c r="C852" s="987" t="s">
        <v>1951</v>
      </c>
      <c r="D852" s="986">
        <v>5800</v>
      </c>
      <c r="E852" s="992" t="s">
        <v>522</v>
      </c>
      <c r="F852" s="987" t="e">
        <f t="shared" si="93"/>
        <v>#REF!</v>
      </c>
      <c r="G852" s="994"/>
      <c r="H852" s="666">
        <f t="shared" si="97"/>
        <v>0</v>
      </c>
      <c r="I852" s="666"/>
      <c r="J852" s="666"/>
      <c r="K852" s="666">
        <f t="shared" si="94"/>
        <v>0</v>
      </c>
      <c r="L852" s="666"/>
      <c r="M852" s="665" t="e">
        <f>G852+#REF!</f>
        <v>#REF!</v>
      </c>
      <c r="N852" s="666" t="e">
        <f t="shared" si="92"/>
        <v>#REF!</v>
      </c>
      <c r="O852" s="672"/>
      <c r="P852" s="668" t="e">
        <f t="shared" si="96"/>
        <v>#REF!</v>
      </c>
      <c r="Q852" s="676"/>
      <c r="R852" s="676"/>
    </row>
    <row r="853" spans="1:18" s="677" customFormat="1" ht="60.75" hidden="1" customHeight="1">
      <c r="A853" s="1010"/>
      <c r="B853" s="986" t="e">
        <f t="shared" si="91"/>
        <v>#REF!</v>
      </c>
      <c r="C853" s="987" t="s">
        <v>1952</v>
      </c>
      <c r="D853" s="986">
        <v>1535.1</v>
      </c>
      <c r="E853" s="992" t="s">
        <v>204</v>
      </c>
      <c r="F853" s="987" t="e">
        <f t="shared" si="93"/>
        <v>#REF!</v>
      </c>
      <c r="G853" s="994"/>
      <c r="H853" s="666">
        <f t="shared" si="97"/>
        <v>0</v>
      </c>
      <c r="I853" s="666"/>
      <c r="J853" s="666"/>
      <c r="K853" s="666">
        <f t="shared" si="94"/>
        <v>0</v>
      </c>
      <c r="L853" s="666"/>
      <c r="M853" s="665" t="e">
        <f>G853+#REF!</f>
        <v>#REF!</v>
      </c>
      <c r="N853" s="666" t="e">
        <f t="shared" si="92"/>
        <v>#REF!</v>
      </c>
      <c r="O853" s="672"/>
      <c r="P853" s="668" t="e">
        <f t="shared" si="96"/>
        <v>#REF!</v>
      </c>
      <c r="Q853" s="676"/>
      <c r="R853" s="676"/>
    </row>
    <row r="854" spans="1:18" s="677" customFormat="1" ht="83.25" hidden="1" customHeight="1">
      <c r="A854" s="1010"/>
      <c r="B854" s="986" t="e">
        <f t="shared" si="91"/>
        <v>#REF!</v>
      </c>
      <c r="C854" s="987" t="s">
        <v>1953</v>
      </c>
      <c r="D854" s="986">
        <v>1938.65</v>
      </c>
      <c r="E854" s="992" t="str">
        <f>E853</f>
        <v>cum</v>
      </c>
      <c r="F854" s="987" t="e">
        <f t="shared" si="93"/>
        <v>#REF!</v>
      </c>
      <c r="G854" s="994"/>
      <c r="H854" s="666">
        <f t="shared" si="97"/>
        <v>0</v>
      </c>
      <c r="I854" s="666"/>
      <c r="J854" s="666"/>
      <c r="K854" s="666">
        <f t="shared" si="94"/>
        <v>0</v>
      </c>
      <c r="L854" s="666"/>
      <c r="M854" s="665" t="e">
        <f>G854+#REF!</f>
        <v>#REF!</v>
      </c>
      <c r="N854" s="666" t="e">
        <f t="shared" si="92"/>
        <v>#REF!</v>
      </c>
      <c r="O854" s="672"/>
      <c r="P854" s="668" t="e">
        <f t="shared" si="96"/>
        <v>#REF!</v>
      </c>
      <c r="Q854" s="676"/>
      <c r="R854" s="676"/>
    </row>
    <row r="855" spans="1:18" s="677" customFormat="1" ht="150.75" customHeight="1">
      <c r="A855" s="1010">
        <v>1</v>
      </c>
      <c r="B855" s="986">
        <f t="shared" si="91"/>
        <v>0</v>
      </c>
      <c r="C855" s="987" t="s">
        <v>216</v>
      </c>
      <c r="D855" s="986"/>
      <c r="E855" s="992"/>
      <c r="F855" s="987">
        <f t="shared" si="93"/>
        <v>0</v>
      </c>
      <c r="G855" s="994"/>
      <c r="H855" s="666"/>
      <c r="I855" s="666"/>
      <c r="J855" s="666"/>
      <c r="K855" s="666">
        <f t="shared" si="94"/>
        <v>0</v>
      </c>
      <c r="L855" s="666"/>
      <c r="M855" s="665"/>
      <c r="N855" s="666"/>
      <c r="O855" s="672"/>
      <c r="P855" s="668"/>
      <c r="Q855" s="676"/>
      <c r="R855" s="676"/>
    </row>
    <row r="856" spans="1:18" s="677" customFormat="1" ht="83.25" customHeight="1">
      <c r="A856" s="1010"/>
      <c r="B856" s="986">
        <f t="shared" si="91"/>
        <v>60</v>
      </c>
      <c r="C856" s="987" t="s">
        <v>217</v>
      </c>
      <c r="D856" s="986">
        <v>1536.1</v>
      </c>
      <c r="E856" s="992" t="s">
        <v>61</v>
      </c>
      <c r="F856" s="987">
        <f t="shared" si="93"/>
        <v>92166</v>
      </c>
      <c r="G856" s="994"/>
      <c r="H856" s="666"/>
      <c r="I856" s="666">
        <v>60</v>
      </c>
      <c r="J856" s="666">
        <f>I856*D856</f>
        <v>92166</v>
      </c>
      <c r="K856" s="666">
        <f t="shared" si="94"/>
        <v>60</v>
      </c>
      <c r="L856" s="666">
        <f>K856*D856</f>
        <v>92166</v>
      </c>
      <c r="M856" s="665">
        <f>K856+G856</f>
        <v>60</v>
      </c>
      <c r="N856" s="666">
        <f>M856*D856</f>
        <v>92166</v>
      </c>
      <c r="O856" s="672"/>
      <c r="P856" s="668"/>
      <c r="Q856" s="676"/>
      <c r="R856" s="676"/>
    </row>
    <row r="857" spans="1:18" s="677" customFormat="1" ht="83.25" customHeight="1">
      <c r="A857" s="1010"/>
      <c r="B857" s="986">
        <f t="shared" si="91"/>
        <v>30</v>
      </c>
      <c r="C857" s="987" t="s">
        <v>219</v>
      </c>
      <c r="D857" s="986">
        <v>1663.6</v>
      </c>
      <c r="E857" s="992" t="s">
        <v>61</v>
      </c>
      <c r="F857" s="987">
        <f t="shared" si="93"/>
        <v>49908</v>
      </c>
      <c r="G857" s="994"/>
      <c r="H857" s="666"/>
      <c r="I857" s="666">
        <v>30</v>
      </c>
      <c r="J857" s="666">
        <f t="shared" ref="J857:J870" si="98">I857*D857</f>
        <v>49908</v>
      </c>
      <c r="K857" s="666">
        <f t="shared" si="94"/>
        <v>30</v>
      </c>
      <c r="L857" s="666">
        <f t="shared" ref="L857:L870" si="99">K857*D857</f>
        <v>49908</v>
      </c>
      <c r="M857" s="665">
        <f t="shared" ref="M857:M870" si="100">K857+G857</f>
        <v>30</v>
      </c>
      <c r="N857" s="666">
        <f t="shared" ref="N857:N870" si="101">M857*D857</f>
        <v>49908</v>
      </c>
      <c r="O857" s="672"/>
      <c r="P857" s="668"/>
      <c r="Q857" s="676"/>
      <c r="R857" s="676"/>
    </row>
    <row r="858" spans="1:18" s="677" customFormat="1" ht="83.25" customHeight="1">
      <c r="A858" s="1010"/>
      <c r="B858" s="986">
        <f t="shared" si="91"/>
        <v>30</v>
      </c>
      <c r="C858" s="987" t="s">
        <v>2755</v>
      </c>
      <c r="D858" s="986">
        <v>1763.8</v>
      </c>
      <c r="E858" s="992" t="s">
        <v>61</v>
      </c>
      <c r="F858" s="987">
        <f t="shared" si="93"/>
        <v>52914</v>
      </c>
      <c r="G858" s="994"/>
      <c r="H858" s="666"/>
      <c r="I858" s="666">
        <v>30</v>
      </c>
      <c r="J858" s="666">
        <f t="shared" si="98"/>
        <v>52914</v>
      </c>
      <c r="K858" s="666">
        <f t="shared" si="94"/>
        <v>30</v>
      </c>
      <c r="L858" s="666">
        <f t="shared" si="99"/>
        <v>52914</v>
      </c>
      <c r="M858" s="665">
        <f t="shared" si="100"/>
        <v>30</v>
      </c>
      <c r="N858" s="666">
        <f t="shared" si="101"/>
        <v>52914</v>
      </c>
      <c r="O858" s="672"/>
      <c r="P858" s="668"/>
      <c r="Q858" s="676"/>
      <c r="R858" s="676"/>
    </row>
    <row r="859" spans="1:18" s="677" customFormat="1" ht="83.25" customHeight="1">
      <c r="A859" s="1010"/>
      <c r="B859" s="986">
        <f t="shared" si="91"/>
        <v>0</v>
      </c>
      <c r="C859" s="987" t="s">
        <v>2756</v>
      </c>
      <c r="D859" s="986">
        <v>1857.3</v>
      </c>
      <c r="E859" s="992" t="s">
        <v>61</v>
      </c>
      <c r="F859" s="987">
        <f t="shared" si="93"/>
        <v>0</v>
      </c>
      <c r="G859" s="994"/>
      <c r="H859" s="666"/>
      <c r="I859" s="666"/>
      <c r="J859" s="666">
        <f t="shared" si="98"/>
        <v>0</v>
      </c>
      <c r="K859" s="666">
        <f t="shared" si="94"/>
        <v>0</v>
      </c>
      <c r="L859" s="666">
        <f t="shared" si="99"/>
        <v>0</v>
      </c>
      <c r="M859" s="665">
        <f t="shared" si="100"/>
        <v>0</v>
      </c>
      <c r="N859" s="666">
        <f t="shared" si="101"/>
        <v>0</v>
      </c>
      <c r="O859" s="672"/>
      <c r="P859" s="668"/>
      <c r="Q859" s="676"/>
      <c r="R859" s="676"/>
    </row>
    <row r="860" spans="1:18" s="677" customFormat="1" ht="83.25" customHeight="1">
      <c r="A860" s="1010">
        <v>2</v>
      </c>
      <c r="B860" s="986">
        <f t="shared" si="91"/>
        <v>0</v>
      </c>
      <c r="C860" s="987" t="s">
        <v>221</v>
      </c>
      <c r="D860" s="986"/>
      <c r="E860" s="992"/>
      <c r="F860" s="987">
        <f t="shared" si="93"/>
        <v>0</v>
      </c>
      <c r="G860" s="994"/>
      <c r="H860" s="666"/>
      <c r="I860" s="666"/>
      <c r="J860" s="666">
        <f t="shared" si="98"/>
        <v>0</v>
      </c>
      <c r="K860" s="666">
        <f t="shared" si="94"/>
        <v>0</v>
      </c>
      <c r="L860" s="666">
        <f t="shared" si="99"/>
        <v>0</v>
      </c>
      <c r="M860" s="665">
        <f t="shared" si="100"/>
        <v>0</v>
      </c>
      <c r="N860" s="666">
        <f t="shared" si="101"/>
        <v>0</v>
      </c>
      <c r="O860" s="672"/>
      <c r="P860" s="668"/>
      <c r="Q860" s="676"/>
      <c r="R860" s="676"/>
    </row>
    <row r="861" spans="1:18" s="677" customFormat="1" ht="83.25" customHeight="1">
      <c r="A861" s="1010"/>
      <c r="B861" s="986">
        <f t="shared" si="91"/>
        <v>60</v>
      </c>
      <c r="C861" s="987" t="s">
        <v>217</v>
      </c>
      <c r="D861" s="986">
        <v>385.7</v>
      </c>
      <c r="E861" s="992" t="s">
        <v>61</v>
      </c>
      <c r="F861" s="987">
        <f t="shared" si="93"/>
        <v>23142</v>
      </c>
      <c r="G861" s="994"/>
      <c r="H861" s="666"/>
      <c r="I861" s="666">
        <v>60</v>
      </c>
      <c r="J861" s="666">
        <f t="shared" si="98"/>
        <v>23142</v>
      </c>
      <c r="K861" s="666">
        <f t="shared" si="94"/>
        <v>60</v>
      </c>
      <c r="L861" s="666">
        <f t="shared" si="99"/>
        <v>23142</v>
      </c>
      <c r="M861" s="665">
        <f t="shared" si="100"/>
        <v>60</v>
      </c>
      <c r="N861" s="666">
        <f t="shared" si="101"/>
        <v>23142</v>
      </c>
      <c r="O861" s="672"/>
      <c r="P861" s="668"/>
      <c r="Q861" s="676"/>
      <c r="R861" s="676"/>
    </row>
    <row r="862" spans="1:18" s="677" customFormat="1" ht="83.25" customHeight="1">
      <c r="A862" s="1010"/>
      <c r="B862" s="986">
        <f t="shared" si="91"/>
        <v>30</v>
      </c>
      <c r="C862" s="987" t="s">
        <v>219</v>
      </c>
      <c r="D862" s="986">
        <v>409.5</v>
      </c>
      <c r="E862" s="992" t="s">
        <v>61</v>
      </c>
      <c r="F862" s="987">
        <f t="shared" si="93"/>
        <v>12285</v>
      </c>
      <c r="G862" s="994"/>
      <c r="H862" s="666"/>
      <c r="I862" s="666">
        <v>30</v>
      </c>
      <c r="J862" s="666">
        <f t="shared" si="98"/>
        <v>12285</v>
      </c>
      <c r="K862" s="666">
        <f t="shared" si="94"/>
        <v>30</v>
      </c>
      <c r="L862" s="666">
        <f t="shared" si="99"/>
        <v>12285</v>
      </c>
      <c r="M862" s="665">
        <f t="shared" si="100"/>
        <v>30</v>
      </c>
      <c r="N862" s="666">
        <f t="shared" si="101"/>
        <v>12285</v>
      </c>
      <c r="O862" s="672"/>
      <c r="P862" s="668"/>
      <c r="Q862" s="676"/>
      <c r="R862" s="676"/>
    </row>
    <row r="863" spans="1:18" s="677" customFormat="1" ht="83.25" customHeight="1">
      <c r="A863" s="1010"/>
      <c r="B863" s="986">
        <f t="shared" si="91"/>
        <v>30</v>
      </c>
      <c r="C863" s="987" t="s">
        <v>2755</v>
      </c>
      <c r="D863" s="986">
        <v>436.7</v>
      </c>
      <c r="E863" s="992" t="s">
        <v>61</v>
      </c>
      <c r="F863" s="987">
        <f t="shared" si="93"/>
        <v>13101</v>
      </c>
      <c r="G863" s="994"/>
      <c r="H863" s="666"/>
      <c r="I863" s="666">
        <v>30</v>
      </c>
      <c r="J863" s="666">
        <f t="shared" si="98"/>
        <v>13101</v>
      </c>
      <c r="K863" s="666">
        <f t="shared" si="94"/>
        <v>30</v>
      </c>
      <c r="L863" s="666">
        <f t="shared" si="99"/>
        <v>13101</v>
      </c>
      <c r="M863" s="665">
        <f t="shared" si="100"/>
        <v>30</v>
      </c>
      <c r="N863" s="666">
        <f t="shared" si="101"/>
        <v>13101</v>
      </c>
      <c r="O863" s="672"/>
      <c r="P863" s="668"/>
      <c r="Q863" s="676"/>
      <c r="R863" s="676"/>
    </row>
    <row r="864" spans="1:18" s="677" customFormat="1" ht="83.25" customHeight="1">
      <c r="A864" s="1010"/>
      <c r="B864" s="986">
        <f t="shared" si="91"/>
        <v>0</v>
      </c>
      <c r="C864" s="987" t="s">
        <v>2756</v>
      </c>
      <c r="D864" s="986">
        <v>443.5</v>
      </c>
      <c r="E864" s="992" t="s">
        <v>61</v>
      </c>
      <c r="F864" s="987">
        <f t="shared" si="93"/>
        <v>0</v>
      </c>
      <c r="G864" s="994"/>
      <c r="H864" s="666"/>
      <c r="I864" s="666"/>
      <c r="J864" s="666">
        <f t="shared" si="98"/>
        <v>0</v>
      </c>
      <c r="K864" s="666">
        <f t="shared" si="94"/>
        <v>0</v>
      </c>
      <c r="L864" s="666">
        <f t="shared" si="99"/>
        <v>0</v>
      </c>
      <c r="M864" s="665">
        <f t="shared" si="100"/>
        <v>0</v>
      </c>
      <c r="N864" s="666">
        <f t="shared" si="101"/>
        <v>0</v>
      </c>
      <c r="O864" s="672"/>
      <c r="P864" s="668"/>
      <c r="Q864" s="676"/>
      <c r="R864" s="676"/>
    </row>
    <row r="865" spans="1:18" s="677" customFormat="1" ht="83.25" customHeight="1">
      <c r="A865" s="1010">
        <v>3</v>
      </c>
      <c r="B865" s="986">
        <f t="shared" si="91"/>
        <v>120</v>
      </c>
      <c r="C865" s="987" t="s">
        <v>222</v>
      </c>
      <c r="D865" s="986">
        <v>346.3</v>
      </c>
      <c r="E865" s="992" t="s">
        <v>61</v>
      </c>
      <c r="F865" s="987">
        <f t="shared" si="93"/>
        <v>41556</v>
      </c>
      <c r="G865" s="994"/>
      <c r="H865" s="666"/>
      <c r="I865" s="666">
        <v>120</v>
      </c>
      <c r="J865" s="666">
        <f t="shared" si="98"/>
        <v>41556</v>
      </c>
      <c r="K865" s="666">
        <f t="shared" si="94"/>
        <v>120</v>
      </c>
      <c r="L865" s="666">
        <f t="shared" si="99"/>
        <v>41556</v>
      </c>
      <c r="M865" s="665">
        <f t="shared" si="100"/>
        <v>120</v>
      </c>
      <c r="N865" s="666">
        <f t="shared" si="101"/>
        <v>41556</v>
      </c>
      <c r="O865" s="672"/>
      <c r="P865" s="668"/>
      <c r="Q865" s="676"/>
      <c r="R865" s="676"/>
    </row>
    <row r="866" spans="1:18" s="677" customFormat="1" ht="107.25" customHeight="1">
      <c r="A866" s="1010">
        <v>4</v>
      </c>
      <c r="B866" s="986">
        <f t="shared" si="91"/>
        <v>60</v>
      </c>
      <c r="C866" s="987" t="s">
        <v>2757</v>
      </c>
      <c r="D866" s="986">
        <v>969</v>
      </c>
      <c r="E866" s="992" t="s">
        <v>61</v>
      </c>
      <c r="F866" s="987">
        <f t="shared" si="93"/>
        <v>58140</v>
      </c>
      <c r="G866" s="994"/>
      <c r="H866" s="666"/>
      <c r="I866" s="666">
        <v>60</v>
      </c>
      <c r="J866" s="666">
        <f t="shared" si="98"/>
        <v>58140</v>
      </c>
      <c r="K866" s="666">
        <f t="shared" si="94"/>
        <v>60</v>
      </c>
      <c r="L866" s="666">
        <f t="shared" si="99"/>
        <v>58140</v>
      </c>
      <c r="M866" s="665">
        <f t="shared" si="100"/>
        <v>60</v>
      </c>
      <c r="N866" s="666">
        <f t="shared" si="101"/>
        <v>58140</v>
      </c>
      <c r="O866" s="672"/>
      <c r="P866" s="668"/>
      <c r="Q866" s="676"/>
      <c r="R866" s="676"/>
    </row>
    <row r="867" spans="1:18" s="677" customFormat="1" ht="111.75" customHeight="1">
      <c r="A867" s="1010" t="s">
        <v>2758</v>
      </c>
      <c r="B867" s="986">
        <f t="shared" si="91"/>
        <v>60</v>
      </c>
      <c r="C867" s="987" t="s">
        <v>2759</v>
      </c>
      <c r="D867" s="986">
        <v>807</v>
      </c>
      <c r="E867" s="992" t="s">
        <v>61</v>
      </c>
      <c r="F867" s="987">
        <f t="shared" si="93"/>
        <v>48420</v>
      </c>
      <c r="G867" s="994"/>
      <c r="H867" s="666"/>
      <c r="I867" s="666">
        <v>60</v>
      </c>
      <c r="J867" s="666">
        <f t="shared" si="98"/>
        <v>48420</v>
      </c>
      <c r="K867" s="666">
        <f t="shared" si="94"/>
        <v>60</v>
      </c>
      <c r="L867" s="666">
        <f t="shared" si="99"/>
        <v>48420</v>
      </c>
      <c r="M867" s="665">
        <f t="shared" si="100"/>
        <v>60</v>
      </c>
      <c r="N867" s="666">
        <f t="shared" si="101"/>
        <v>48420</v>
      </c>
      <c r="O867" s="672"/>
      <c r="P867" s="668"/>
      <c r="Q867" s="676"/>
      <c r="R867" s="676"/>
    </row>
    <row r="868" spans="1:18" s="677" customFormat="1" ht="83.25" customHeight="1">
      <c r="A868" s="1010">
        <v>5</v>
      </c>
      <c r="B868" s="986">
        <f t="shared" si="91"/>
        <v>8</v>
      </c>
      <c r="C868" s="987" t="s">
        <v>226</v>
      </c>
      <c r="D868" s="986">
        <v>2263.9</v>
      </c>
      <c r="E868" s="992" t="s">
        <v>227</v>
      </c>
      <c r="F868" s="987">
        <f t="shared" si="93"/>
        <v>18111.2</v>
      </c>
      <c r="G868" s="994"/>
      <c r="H868" s="666"/>
      <c r="I868" s="666">
        <v>8</v>
      </c>
      <c r="J868" s="666">
        <f t="shared" si="98"/>
        <v>18111.2</v>
      </c>
      <c r="K868" s="666">
        <f t="shared" si="94"/>
        <v>8</v>
      </c>
      <c r="L868" s="666">
        <f t="shared" si="99"/>
        <v>18111.2</v>
      </c>
      <c r="M868" s="665">
        <f t="shared" si="100"/>
        <v>8</v>
      </c>
      <c r="N868" s="666">
        <f t="shared" si="101"/>
        <v>18111.2</v>
      </c>
      <c r="O868" s="672"/>
      <c r="P868" s="668"/>
      <c r="Q868" s="676"/>
      <c r="R868" s="676"/>
    </row>
    <row r="869" spans="1:18" s="677" customFormat="1" ht="83.25" customHeight="1">
      <c r="A869" s="1010">
        <v>6</v>
      </c>
      <c r="B869" s="986">
        <f t="shared" si="91"/>
        <v>1</v>
      </c>
      <c r="C869" s="987" t="s">
        <v>228</v>
      </c>
      <c r="D869" s="986">
        <v>105</v>
      </c>
      <c r="E869" s="992" t="s">
        <v>54</v>
      </c>
      <c r="F869" s="987">
        <f t="shared" si="93"/>
        <v>105</v>
      </c>
      <c r="G869" s="994"/>
      <c r="H869" s="666"/>
      <c r="I869" s="666">
        <v>1</v>
      </c>
      <c r="J869" s="666">
        <f t="shared" si="98"/>
        <v>105</v>
      </c>
      <c r="K869" s="666">
        <f t="shared" si="94"/>
        <v>1</v>
      </c>
      <c r="L869" s="666">
        <f t="shared" si="99"/>
        <v>105</v>
      </c>
      <c r="M869" s="665">
        <f t="shared" si="100"/>
        <v>1</v>
      </c>
      <c r="N869" s="666">
        <f t="shared" si="101"/>
        <v>105</v>
      </c>
      <c r="O869" s="672"/>
      <c r="P869" s="668"/>
      <c r="Q869" s="676"/>
      <c r="R869" s="676"/>
    </row>
    <row r="870" spans="1:18" s="677" customFormat="1" ht="83.25" customHeight="1">
      <c r="A870" s="1010">
        <v>7</v>
      </c>
      <c r="B870" s="986">
        <f t="shared" si="91"/>
        <v>1</v>
      </c>
      <c r="C870" s="987" t="s">
        <v>229</v>
      </c>
      <c r="D870" s="986">
        <v>937</v>
      </c>
      <c r="E870" s="992" t="s">
        <v>54</v>
      </c>
      <c r="F870" s="987">
        <f t="shared" si="93"/>
        <v>937</v>
      </c>
      <c r="G870" s="994"/>
      <c r="H870" s="666"/>
      <c r="I870" s="666">
        <v>1</v>
      </c>
      <c r="J870" s="666">
        <f t="shared" si="98"/>
        <v>937</v>
      </c>
      <c r="K870" s="666">
        <f t="shared" si="94"/>
        <v>1</v>
      </c>
      <c r="L870" s="666">
        <f t="shared" si="99"/>
        <v>937</v>
      </c>
      <c r="M870" s="665">
        <f t="shared" si="100"/>
        <v>1</v>
      </c>
      <c r="N870" s="666">
        <f t="shared" si="101"/>
        <v>937</v>
      </c>
      <c r="O870" s="672"/>
      <c r="P870" s="668"/>
      <c r="Q870" s="676"/>
      <c r="R870" s="676"/>
    </row>
    <row r="871" spans="1:18" ht="75" customHeight="1">
      <c r="A871" s="1000"/>
      <c r="B871" s="1000"/>
      <c r="C871" s="995" t="s">
        <v>57</v>
      </c>
      <c r="D871" s="993">
        <f>ROUND(Data!K1206,2)</f>
        <v>0</v>
      </c>
      <c r="E871" s="992"/>
      <c r="F871" s="1005">
        <f>'[8]Coding sheet'!L870</f>
        <v>6400800.7400000002</v>
      </c>
      <c r="G871" s="994"/>
      <c r="H871" s="736">
        <f>SUM(H7:H854)</f>
        <v>5989519.2908214657</v>
      </c>
      <c r="I871" s="736"/>
      <c r="J871" s="736">
        <f>SUM(J856:J870)</f>
        <v>410785.2</v>
      </c>
      <c r="K871" s="736"/>
      <c r="L871" s="736">
        <f>SUM(L856:L870)</f>
        <v>410785.2</v>
      </c>
      <c r="M871" s="665"/>
      <c r="N871" s="736">
        <f>H871+J871</f>
        <v>6400304.4908214658</v>
      </c>
      <c r="O871" s="672"/>
      <c r="P871" s="668">
        <f t="shared" si="96"/>
        <v>0</v>
      </c>
    </row>
    <row r="872" spans="1:18" ht="75" customHeight="1">
      <c r="A872" s="1080"/>
      <c r="B872" s="1080"/>
      <c r="C872" s="1081"/>
      <c r="D872" s="1082"/>
      <c r="E872" s="1083"/>
      <c r="F872" s="1083"/>
      <c r="G872" s="999"/>
      <c r="H872" s="1084"/>
      <c r="I872" s="1084"/>
      <c r="J872" s="1084"/>
      <c r="K872" s="1084"/>
      <c r="L872" s="1084"/>
      <c r="M872" s="665"/>
      <c r="N872" s="736">
        <f>N871*12%</f>
        <v>768036.53889857582</v>
      </c>
      <c r="O872" s="672"/>
      <c r="P872" s="668">
        <f t="shared" si="96"/>
        <v>0</v>
      </c>
    </row>
    <row r="873" spans="1:18" s="677" customFormat="1" ht="23.25">
      <c r="A873" s="787"/>
      <c r="B873" s="787"/>
      <c r="C873" s="788"/>
      <c r="D873" s="787"/>
      <c r="E873" s="789"/>
      <c r="F873" s="789"/>
      <c r="G873" s="1085"/>
      <c r="H873" s="691">
        <f>H871*12%</f>
        <v>718742.31489857589</v>
      </c>
      <c r="I873" s="691"/>
      <c r="J873" s="691"/>
      <c r="K873" s="691"/>
      <c r="L873" s="691"/>
      <c r="M873" s="665"/>
      <c r="N873" s="666">
        <f>SUM(N871:N872)</f>
        <v>7168341.0297200419</v>
      </c>
      <c r="O873" s="672"/>
      <c r="P873" s="668">
        <f t="shared" si="96"/>
        <v>0</v>
      </c>
      <c r="Q873" s="676"/>
      <c r="R873" s="676"/>
    </row>
    <row r="874" spans="1:18" s="677" customFormat="1" ht="23.25">
      <c r="A874" s="787"/>
      <c r="B874" s="787"/>
      <c r="C874" s="663" t="s">
        <v>1867</v>
      </c>
      <c r="D874" s="690"/>
      <c r="E874" s="708" t="s">
        <v>522</v>
      </c>
      <c r="F874" s="806"/>
      <c r="G874" s="1077"/>
      <c r="H874" s="790">
        <f>SUM(H871:H873)</f>
        <v>6708261.6057200413</v>
      </c>
      <c r="I874" s="790"/>
      <c r="J874" s="790"/>
      <c r="K874" s="790"/>
      <c r="L874" s="790"/>
      <c r="M874" s="665"/>
      <c r="N874" s="666">
        <f>N873*1%</f>
        <v>71683.410297200418</v>
      </c>
      <c r="O874" s="672"/>
      <c r="P874" s="668">
        <f t="shared" si="96"/>
        <v>0</v>
      </c>
      <c r="Q874" s="676"/>
      <c r="R874" s="676"/>
    </row>
    <row r="875" spans="1:18" s="677" customFormat="1" ht="23.25">
      <c r="A875" s="787"/>
      <c r="B875" s="787"/>
      <c r="C875" s="663" t="s">
        <v>1868</v>
      </c>
      <c r="D875" s="690"/>
      <c r="E875" s="708" t="s">
        <v>522</v>
      </c>
      <c r="F875" s="806"/>
      <c r="G875" s="1077"/>
      <c r="H875" s="790">
        <f>H874*1%</f>
        <v>67082.616057200416</v>
      </c>
      <c r="I875" s="790"/>
      <c r="J875" s="790"/>
      <c r="K875" s="790"/>
      <c r="L875" s="790"/>
      <c r="M875" s="665"/>
      <c r="N875" s="666">
        <f>N873*7.5%</f>
        <v>537625.57722900307</v>
      </c>
      <c r="O875" s="672"/>
      <c r="P875" s="668">
        <f t="shared" si="96"/>
        <v>0</v>
      </c>
      <c r="Q875" s="676"/>
      <c r="R875" s="676"/>
    </row>
    <row r="876" spans="1:18" s="677" customFormat="1" ht="23.25">
      <c r="A876" s="787"/>
      <c r="B876" s="787"/>
      <c r="C876" s="663" t="s">
        <v>1871</v>
      </c>
      <c r="D876" s="690">
        <f>Data!K2492</f>
        <v>4353.333333333333</v>
      </c>
      <c r="E876" s="789" t="s">
        <v>37</v>
      </c>
      <c r="F876" s="789"/>
      <c r="G876" s="1085"/>
      <c r="H876" s="691">
        <f>H874*7.5%</f>
        <v>503119.62042900309</v>
      </c>
      <c r="I876" s="691"/>
      <c r="J876" s="691"/>
      <c r="K876" s="691"/>
      <c r="L876" s="691"/>
      <c r="M876" s="665"/>
      <c r="N876" s="666">
        <f>SUM(N873:N875)</f>
        <v>7777650.0172462454</v>
      </c>
      <c r="O876" s="672"/>
      <c r="P876" s="668">
        <f t="shared" si="96"/>
        <v>0</v>
      </c>
      <c r="Q876" s="676"/>
      <c r="R876" s="676"/>
    </row>
    <row r="877" spans="1:18" s="677" customFormat="1" ht="23.25">
      <c r="A877" s="787"/>
      <c r="B877" s="787"/>
      <c r="C877" s="663" t="s">
        <v>1872</v>
      </c>
      <c r="D877" s="690">
        <f>Data!K2515</f>
        <v>4626.8</v>
      </c>
      <c r="E877" s="789" t="s">
        <v>37</v>
      </c>
      <c r="F877" s="789"/>
      <c r="G877" s="1085"/>
      <c r="H877" s="691">
        <f>SUM(H874:H876)</f>
        <v>7278463.8422062444</v>
      </c>
      <c r="I877" s="691"/>
      <c r="J877" s="691"/>
      <c r="K877" s="691"/>
      <c r="L877" s="691"/>
      <c r="M877" s="665"/>
      <c r="N877" s="666">
        <f>N876-7818000</f>
        <v>-40349.982753754593</v>
      </c>
      <c r="O877" s="672"/>
      <c r="P877" s="668">
        <f t="shared" si="96"/>
        <v>0</v>
      </c>
      <c r="Q877" s="676"/>
      <c r="R877" s="676"/>
    </row>
    <row r="878" spans="1:18" s="677" customFormat="1" ht="23.25">
      <c r="A878" s="787"/>
      <c r="B878" s="787"/>
      <c r="C878" s="663" t="s">
        <v>1873</v>
      </c>
      <c r="D878" s="690">
        <f>Data!R2580</f>
        <v>3966.4150453955913</v>
      </c>
      <c r="E878" s="789" t="s">
        <v>37</v>
      </c>
      <c r="F878" s="789"/>
      <c r="G878" s="1085"/>
      <c r="H878" s="691" t="e">
        <f>H877+#REF!</f>
        <v>#REF!</v>
      </c>
      <c r="I878" s="691"/>
      <c r="J878" s="691"/>
      <c r="K878" s="691"/>
      <c r="L878" s="691"/>
      <c r="M878" s="665"/>
      <c r="N878" s="666">
        <f t="shared" ref="N878:N941" si="102">M878*D878</f>
        <v>0</v>
      </c>
      <c r="O878" s="672"/>
      <c r="P878" s="668">
        <f t="shared" si="96"/>
        <v>0</v>
      </c>
      <c r="Q878" s="676"/>
      <c r="R878" s="676"/>
    </row>
    <row r="879" spans="1:18" s="677" customFormat="1" ht="23.25">
      <c r="A879" s="787"/>
      <c r="B879" s="787"/>
      <c r="C879" s="663" t="s">
        <v>1870</v>
      </c>
      <c r="D879" s="690"/>
      <c r="E879" s="789" t="s">
        <v>37</v>
      </c>
      <c r="F879" s="789"/>
      <c r="G879" s="1085"/>
      <c r="H879" s="691" t="e">
        <f>'G. Abstractfinal (2)'!G14</f>
        <v>#REF!</v>
      </c>
      <c r="I879" s="691"/>
      <c r="J879" s="691"/>
      <c r="K879" s="691"/>
      <c r="L879" s="691"/>
      <c r="M879" s="665"/>
      <c r="N879" s="666">
        <f t="shared" si="102"/>
        <v>0</v>
      </c>
      <c r="O879" s="672"/>
      <c r="P879" s="668">
        <f t="shared" si="96"/>
        <v>0</v>
      </c>
      <c r="Q879" s="676"/>
      <c r="R879" s="676"/>
    </row>
    <row r="880" spans="1:18" s="677" customFormat="1" ht="46.5">
      <c r="A880" s="787"/>
      <c r="B880" s="787"/>
      <c r="C880" s="663" t="s">
        <v>1958</v>
      </c>
      <c r="D880" s="690"/>
      <c r="E880" s="789" t="s">
        <v>37</v>
      </c>
      <c r="F880" s="789"/>
      <c r="G880" s="1085"/>
      <c r="H880" s="691" t="e">
        <f>SUM(H878:H879)</f>
        <v>#REF!</v>
      </c>
      <c r="I880" s="691"/>
      <c r="J880" s="691"/>
      <c r="K880" s="691"/>
      <c r="L880" s="691"/>
      <c r="M880" s="665"/>
      <c r="N880" s="666">
        <f t="shared" si="102"/>
        <v>0</v>
      </c>
      <c r="O880" s="672"/>
      <c r="P880" s="668">
        <f t="shared" si="96"/>
        <v>0</v>
      </c>
      <c r="Q880" s="676"/>
      <c r="R880" s="676"/>
    </row>
    <row r="881" spans="1:18" s="677" customFormat="1" ht="46.5">
      <c r="A881" s="787"/>
      <c r="B881" s="787"/>
      <c r="C881" s="663" t="s">
        <v>1959</v>
      </c>
      <c r="D881" s="690"/>
      <c r="E881" s="789" t="s">
        <v>37</v>
      </c>
      <c r="F881" s="789"/>
      <c r="G881" s="1085"/>
      <c r="H881" s="691" t="e">
        <f>7818000-H880</f>
        <v>#REF!</v>
      </c>
      <c r="I881" s="691"/>
      <c r="J881" s="691"/>
      <c r="K881" s="691"/>
      <c r="L881" s="691"/>
      <c r="M881" s="665"/>
      <c r="N881" s="666">
        <f t="shared" si="102"/>
        <v>0</v>
      </c>
      <c r="O881" s="672"/>
      <c r="P881" s="668">
        <f t="shared" si="96"/>
        <v>0</v>
      </c>
      <c r="Q881" s="676"/>
      <c r="R881" s="676"/>
    </row>
    <row r="882" spans="1:18" s="677" customFormat="1" ht="46.5">
      <c r="A882" s="787"/>
      <c r="B882" s="787"/>
      <c r="C882" s="663" t="s">
        <v>1960</v>
      </c>
      <c r="D882" s="690"/>
      <c r="E882" s="789" t="s">
        <v>37</v>
      </c>
      <c r="F882" s="789"/>
      <c r="G882" s="1085"/>
      <c r="H882" s="691"/>
      <c r="I882" s="691"/>
      <c r="J882" s="691"/>
      <c r="K882" s="691"/>
      <c r="L882" s="691"/>
      <c r="M882" s="665"/>
      <c r="N882" s="666">
        <f t="shared" si="102"/>
        <v>0</v>
      </c>
      <c r="O882" s="672"/>
      <c r="P882" s="668"/>
      <c r="Q882" s="676"/>
      <c r="R882" s="676"/>
    </row>
    <row r="883" spans="1:18" s="677" customFormat="1" ht="23.25">
      <c r="A883" s="787"/>
      <c r="B883" s="787"/>
      <c r="C883" s="663" t="s">
        <v>1961</v>
      </c>
      <c r="D883" s="690">
        <f>8.2*1500</f>
        <v>12299.999999999998</v>
      </c>
      <c r="E883" s="789" t="s">
        <v>522</v>
      </c>
      <c r="F883" s="789"/>
      <c r="G883" s="1085"/>
      <c r="H883" s="691"/>
      <c r="I883" s="691"/>
      <c r="J883" s="691"/>
      <c r="K883" s="691"/>
      <c r="L883" s="691"/>
      <c r="M883" s="665"/>
      <c r="N883" s="666">
        <f t="shared" si="102"/>
        <v>0</v>
      </c>
      <c r="O883" s="672"/>
      <c r="P883" s="668"/>
      <c r="Q883" s="676"/>
      <c r="R883" s="676"/>
    </row>
    <row r="884" spans="1:18" s="677" customFormat="1" ht="23.25">
      <c r="A884" s="787"/>
      <c r="B884" s="787"/>
      <c r="C884" s="663" t="s">
        <v>1962</v>
      </c>
      <c r="D884" s="690">
        <f>Data!K2435</f>
        <v>1340.71992</v>
      </c>
      <c r="E884" s="789" t="s">
        <v>37</v>
      </c>
      <c r="F884" s="789"/>
      <c r="G884" s="1085"/>
      <c r="H884" s="691"/>
      <c r="I884" s="691"/>
      <c r="J884" s="691"/>
      <c r="K884" s="691"/>
      <c r="L884" s="691"/>
      <c r="M884" s="665"/>
      <c r="N884" s="666">
        <f t="shared" si="102"/>
        <v>0</v>
      </c>
      <c r="O884" s="672"/>
      <c r="P884" s="668"/>
      <c r="Q884" s="676"/>
      <c r="R884" s="676"/>
    </row>
    <row r="885" spans="1:18" s="677" customFormat="1" ht="23.25">
      <c r="A885" s="787"/>
      <c r="B885" s="787"/>
      <c r="C885" s="663" t="s">
        <v>1767</v>
      </c>
      <c r="D885" s="690">
        <f>Data!R1230</f>
        <v>1361.6930600000001</v>
      </c>
      <c r="E885" s="789" t="s">
        <v>37</v>
      </c>
      <c r="F885" s="789"/>
      <c r="G885" s="1085"/>
      <c r="H885" s="691"/>
      <c r="I885" s="691"/>
      <c r="J885" s="691"/>
      <c r="K885" s="691"/>
      <c r="L885" s="691"/>
      <c r="M885" s="665"/>
      <c r="N885" s="666">
        <f t="shared" si="102"/>
        <v>0</v>
      </c>
      <c r="O885" s="672"/>
      <c r="P885" s="668"/>
      <c r="Q885" s="676"/>
      <c r="R885" s="676"/>
    </row>
    <row r="886" spans="1:18" s="677" customFormat="1" ht="23.25">
      <c r="A886" s="787"/>
      <c r="B886" s="787"/>
      <c r="C886" s="663" t="s">
        <v>1963</v>
      </c>
      <c r="D886" s="690">
        <f>Data!R1272</f>
        <v>1156.8130600000002</v>
      </c>
      <c r="E886" s="789" t="s">
        <v>37</v>
      </c>
      <c r="F886" s="789"/>
      <c r="G886" s="1085"/>
      <c r="H886" s="691"/>
      <c r="I886" s="691"/>
      <c r="J886" s="691"/>
      <c r="K886" s="691"/>
      <c r="L886" s="691"/>
      <c r="M886" s="665"/>
      <c r="N886" s="666">
        <f t="shared" si="102"/>
        <v>0</v>
      </c>
      <c r="O886" s="672"/>
      <c r="P886" s="668"/>
      <c r="Q886" s="676"/>
      <c r="R886" s="676"/>
    </row>
    <row r="887" spans="1:18" s="677" customFormat="1" ht="23.25">
      <c r="A887" s="787"/>
      <c r="B887" s="787"/>
      <c r="C887" s="663" t="s">
        <v>1964</v>
      </c>
      <c r="D887" s="690">
        <f>Data!R2442</f>
        <v>1513.96992</v>
      </c>
      <c r="E887" s="789" t="s">
        <v>37</v>
      </c>
      <c r="F887" s="789"/>
      <c r="G887" s="1085"/>
      <c r="H887" s="691"/>
      <c r="I887" s="691"/>
      <c r="J887" s="691"/>
      <c r="K887" s="691"/>
      <c r="L887" s="691"/>
      <c r="M887" s="665"/>
      <c r="N887" s="666">
        <f t="shared" si="102"/>
        <v>0</v>
      </c>
      <c r="O887" s="672"/>
      <c r="P887" s="668"/>
      <c r="Q887" s="676"/>
      <c r="R887" s="676"/>
    </row>
    <row r="888" spans="1:18" s="677" customFormat="1" ht="23.25">
      <c r="A888" s="787"/>
      <c r="B888" s="787"/>
      <c r="C888" s="663" t="s">
        <v>1965</v>
      </c>
      <c r="D888" s="690">
        <f>Data!AD1257</f>
        <v>1498.5130600000002</v>
      </c>
      <c r="E888" s="789" t="s">
        <v>37</v>
      </c>
      <c r="F888" s="789"/>
      <c r="G888" s="1085"/>
      <c r="H888" s="691"/>
      <c r="I888" s="691"/>
      <c r="J888" s="691"/>
      <c r="K888" s="691"/>
      <c r="L888" s="691"/>
      <c r="M888" s="665"/>
      <c r="N888" s="666">
        <f t="shared" si="102"/>
        <v>0</v>
      </c>
      <c r="O888" s="672"/>
      <c r="P888" s="668"/>
      <c r="Q888" s="676"/>
      <c r="R888" s="676"/>
    </row>
    <row r="889" spans="1:18" s="677" customFormat="1" ht="23.25">
      <c r="A889" s="787"/>
      <c r="B889" s="787"/>
      <c r="C889" s="791" t="s">
        <v>1966</v>
      </c>
      <c r="D889" s="787">
        <f>Data!K1442</f>
        <v>249.62203999999997</v>
      </c>
      <c r="E889" s="789" t="s">
        <v>37</v>
      </c>
      <c r="F889" s="789"/>
      <c r="G889" s="1085"/>
      <c r="H889" s="691"/>
      <c r="I889" s="691"/>
      <c r="J889" s="691"/>
      <c r="K889" s="691"/>
      <c r="L889" s="691"/>
      <c r="M889" s="665"/>
      <c r="N889" s="666">
        <f t="shared" si="102"/>
        <v>0</v>
      </c>
      <c r="O889" s="672"/>
      <c r="P889" s="668"/>
      <c r="Q889" s="676"/>
      <c r="R889" s="676"/>
    </row>
    <row r="890" spans="1:18" s="677" customFormat="1" ht="23.25">
      <c r="A890" s="787"/>
      <c r="B890" s="787"/>
      <c r="C890" s="791" t="s">
        <v>1967</v>
      </c>
      <c r="D890" s="787">
        <f>5000*8.2</f>
        <v>41000</v>
      </c>
      <c r="E890" s="789" t="s">
        <v>522</v>
      </c>
      <c r="F890" s="789"/>
      <c r="G890" s="1085"/>
      <c r="H890" s="691"/>
      <c r="I890" s="691"/>
      <c r="J890" s="691"/>
      <c r="K890" s="691"/>
      <c r="L890" s="691"/>
      <c r="M890" s="665"/>
      <c r="N890" s="666">
        <f t="shared" si="102"/>
        <v>0</v>
      </c>
      <c r="O890" s="672"/>
      <c r="P890" s="668"/>
      <c r="Q890" s="676"/>
      <c r="R890" s="676"/>
    </row>
    <row r="891" spans="1:18" s="677" customFormat="1" ht="23.25">
      <c r="A891" s="787"/>
      <c r="B891" s="787"/>
      <c r="C891" s="791" t="str">
        <f>Data!O2626</f>
        <v>T.W DOOR SHUTTER TWO LEAVES(1200 X 2100 mm ) with Brass Fittings</v>
      </c>
      <c r="D891" s="787">
        <f>Data!R2654</f>
        <v>6199.7713004484303</v>
      </c>
      <c r="E891" s="789" t="s">
        <v>37</v>
      </c>
      <c r="F891" s="789"/>
      <c r="G891" s="1085"/>
      <c r="H891" s="691"/>
      <c r="I891" s="691"/>
      <c r="J891" s="691"/>
      <c r="K891" s="691"/>
      <c r="L891" s="691"/>
      <c r="M891" s="665"/>
      <c r="N891" s="666">
        <f t="shared" si="102"/>
        <v>0</v>
      </c>
      <c r="O891" s="672"/>
      <c r="P891" s="668"/>
      <c r="Q891" s="676"/>
      <c r="R891" s="676"/>
    </row>
    <row r="892" spans="1:18" s="677" customFormat="1" ht="23.25">
      <c r="A892" s="787"/>
      <c r="B892" s="787"/>
      <c r="C892" s="791" t="s">
        <v>1968</v>
      </c>
      <c r="D892" s="787">
        <f>Data!R1124</f>
        <v>5040.1887125220455</v>
      </c>
      <c r="E892" s="789" t="s">
        <v>37</v>
      </c>
      <c r="F892" s="789"/>
      <c r="G892" s="1085"/>
      <c r="H892" s="691"/>
      <c r="I892" s="691"/>
      <c r="J892" s="691"/>
      <c r="K892" s="691"/>
      <c r="L892" s="691"/>
      <c r="M892" s="665"/>
      <c r="N892" s="666">
        <f t="shared" si="102"/>
        <v>0</v>
      </c>
      <c r="O892" s="672"/>
      <c r="P892" s="668"/>
      <c r="Q892" s="676"/>
      <c r="R892" s="676"/>
    </row>
    <row r="893" spans="1:18" s="677" customFormat="1" ht="23.25">
      <c r="A893" s="787"/>
      <c r="B893" s="787"/>
      <c r="C893" s="791" t="s">
        <v>1969</v>
      </c>
      <c r="D893" s="787">
        <f>Data!R3203</f>
        <v>6182.408840486868</v>
      </c>
      <c r="E893" s="789" t="s">
        <v>37</v>
      </c>
      <c r="F893" s="789"/>
      <c r="G893" s="1085"/>
      <c r="H893" s="691"/>
      <c r="I893" s="691"/>
      <c r="J893" s="691"/>
      <c r="K893" s="691"/>
      <c r="L893" s="691"/>
      <c r="M893" s="665"/>
      <c r="N893" s="666">
        <f t="shared" si="102"/>
        <v>0</v>
      </c>
      <c r="O893" s="672"/>
      <c r="P893" s="668"/>
      <c r="Q893" s="676"/>
      <c r="R893" s="676"/>
    </row>
    <row r="894" spans="1:18" s="677" customFormat="1" ht="23.25">
      <c r="A894" s="787"/>
      <c r="B894" s="787"/>
      <c r="C894" s="791" t="s">
        <v>1970</v>
      </c>
      <c r="D894" s="787">
        <f>Data!R3272</f>
        <v>6164.1128500823716</v>
      </c>
      <c r="E894" s="789" t="s">
        <v>37</v>
      </c>
      <c r="F894" s="789"/>
      <c r="G894" s="1085"/>
      <c r="H894" s="691"/>
      <c r="I894" s="691"/>
      <c r="J894" s="691"/>
      <c r="K894" s="691"/>
      <c r="L894" s="691"/>
      <c r="M894" s="665"/>
      <c r="N894" s="666">
        <f t="shared" si="102"/>
        <v>0</v>
      </c>
      <c r="O894" s="672"/>
      <c r="P894" s="668"/>
      <c r="Q894" s="676"/>
      <c r="R894" s="676"/>
    </row>
    <row r="895" spans="1:18" s="677" customFormat="1" ht="23.25">
      <c r="A895" s="787"/>
      <c r="B895" s="787"/>
      <c r="C895" s="791" t="s">
        <v>1971</v>
      </c>
      <c r="D895" s="787">
        <f>Data!K3331</f>
        <v>4845.1088607594938</v>
      </c>
      <c r="E895" s="789" t="s">
        <v>37</v>
      </c>
      <c r="F895" s="789"/>
      <c r="G895" s="1085"/>
      <c r="H895" s="691"/>
      <c r="I895" s="691"/>
      <c r="J895" s="691"/>
      <c r="K895" s="691"/>
      <c r="L895" s="691"/>
      <c r="M895" s="665"/>
      <c r="N895" s="666">
        <f t="shared" si="102"/>
        <v>0</v>
      </c>
      <c r="O895" s="672"/>
      <c r="P895" s="668"/>
      <c r="Q895" s="676"/>
      <c r="R895" s="676"/>
    </row>
    <row r="896" spans="1:18" s="677" customFormat="1" ht="69.75">
      <c r="A896" s="787"/>
      <c r="B896" s="787"/>
      <c r="C896" s="685" t="s">
        <v>1972</v>
      </c>
      <c r="D896" s="787">
        <f>Data!R3339</f>
        <v>4942.1178731582313</v>
      </c>
      <c r="E896" s="789" t="s">
        <v>37</v>
      </c>
      <c r="F896" s="789"/>
      <c r="G896" s="1085"/>
      <c r="H896" s="691"/>
      <c r="I896" s="691"/>
      <c r="J896" s="691"/>
      <c r="K896" s="691"/>
      <c r="L896" s="691"/>
      <c r="M896" s="665"/>
      <c r="N896" s="666">
        <f t="shared" si="102"/>
        <v>0</v>
      </c>
      <c r="O896" s="672"/>
      <c r="P896" s="668"/>
      <c r="Q896" s="676"/>
      <c r="R896" s="676"/>
    </row>
    <row r="897" spans="1:18" s="677" customFormat="1" ht="69.75">
      <c r="A897" s="787"/>
      <c r="B897" s="787"/>
      <c r="C897" s="685" t="s">
        <v>1973</v>
      </c>
      <c r="D897" s="787">
        <f>Data!R3452</f>
        <v>5792.3220428336072</v>
      </c>
      <c r="E897" s="789" t="s">
        <v>37</v>
      </c>
      <c r="F897" s="789"/>
      <c r="G897" s="1085"/>
      <c r="H897" s="691"/>
      <c r="I897" s="691"/>
      <c r="J897" s="691"/>
      <c r="K897" s="691"/>
      <c r="L897" s="691"/>
      <c r="M897" s="665"/>
      <c r="N897" s="666">
        <f t="shared" si="102"/>
        <v>0</v>
      </c>
      <c r="O897" s="672"/>
      <c r="P897" s="668"/>
      <c r="Q897" s="676"/>
      <c r="R897" s="676"/>
    </row>
    <row r="898" spans="1:18" s="677" customFormat="1" ht="46.5">
      <c r="A898" s="787"/>
      <c r="B898" s="787"/>
      <c r="C898" s="663" t="s">
        <v>1974</v>
      </c>
      <c r="D898" s="787">
        <f>Data!K3434</f>
        <v>5049.1539332201464</v>
      </c>
      <c r="E898" s="789" t="s">
        <v>37</v>
      </c>
      <c r="F898" s="789"/>
      <c r="G898" s="1085"/>
      <c r="H898" s="691"/>
      <c r="I898" s="691"/>
      <c r="J898" s="691"/>
      <c r="K898" s="691"/>
      <c r="L898" s="691"/>
      <c r="M898" s="665"/>
      <c r="N898" s="666">
        <f t="shared" si="102"/>
        <v>0</v>
      </c>
      <c r="O898" s="672"/>
      <c r="P898" s="668"/>
      <c r="Q898" s="676"/>
      <c r="R898" s="676"/>
    </row>
    <row r="899" spans="1:18" s="677" customFormat="1" ht="23.25">
      <c r="A899" s="787"/>
      <c r="B899" s="787"/>
      <c r="C899" s="791" t="s">
        <v>1975</v>
      </c>
      <c r="D899" s="787">
        <f>Data!R3374</f>
        <v>5522.6578316032292</v>
      </c>
      <c r="E899" s="789" t="s">
        <v>37</v>
      </c>
      <c r="F899" s="789"/>
      <c r="G899" s="1085"/>
      <c r="H899" s="691"/>
      <c r="I899" s="691"/>
      <c r="J899" s="691"/>
      <c r="K899" s="691"/>
      <c r="L899" s="691"/>
      <c r="M899" s="665"/>
      <c r="N899" s="666">
        <f t="shared" si="102"/>
        <v>0</v>
      </c>
      <c r="O899" s="672"/>
      <c r="P899" s="668"/>
      <c r="Q899" s="676"/>
      <c r="R899" s="676"/>
    </row>
    <row r="900" spans="1:18" s="677" customFormat="1" ht="23.25">
      <c r="A900" s="787"/>
      <c r="B900" s="787"/>
      <c r="C900" s="791" t="s">
        <v>1976</v>
      </c>
      <c r="D900" s="787">
        <f>Data!R3408</f>
        <v>4897.2292743873131</v>
      </c>
      <c r="E900" s="789" t="s">
        <v>37</v>
      </c>
      <c r="F900" s="789"/>
      <c r="G900" s="1085"/>
      <c r="H900" s="691"/>
      <c r="I900" s="691"/>
      <c r="J900" s="691"/>
      <c r="K900" s="691"/>
      <c r="L900" s="691"/>
      <c r="M900" s="665"/>
      <c r="N900" s="666">
        <f t="shared" si="102"/>
        <v>0</v>
      </c>
      <c r="O900" s="672"/>
      <c r="P900" s="668"/>
      <c r="Q900" s="676"/>
      <c r="R900" s="676"/>
    </row>
    <row r="901" spans="1:18" s="677" customFormat="1" ht="23.25">
      <c r="A901" s="787"/>
      <c r="B901" s="787"/>
      <c r="C901" s="791" t="s">
        <v>1977</v>
      </c>
      <c r="D901" s="787">
        <f>Data!R3305</f>
        <v>5445.158154859967</v>
      </c>
      <c r="E901" s="789" t="s">
        <v>37</v>
      </c>
      <c r="F901" s="789"/>
      <c r="G901" s="1085"/>
      <c r="H901" s="691"/>
      <c r="I901" s="691"/>
      <c r="J901" s="691"/>
      <c r="K901" s="691"/>
      <c r="L901" s="691"/>
      <c r="M901" s="665"/>
      <c r="N901" s="666">
        <f t="shared" si="102"/>
        <v>0</v>
      </c>
      <c r="O901" s="672"/>
      <c r="P901" s="668"/>
      <c r="Q901" s="676"/>
      <c r="R901" s="676"/>
    </row>
    <row r="902" spans="1:18" s="677" customFormat="1" ht="23.25">
      <c r="A902" s="787"/>
      <c r="B902" s="787"/>
      <c r="C902" s="791" t="s">
        <v>1978</v>
      </c>
      <c r="D902" s="787">
        <f>Data!R3339</f>
        <v>4942.1178731582313</v>
      </c>
      <c r="E902" s="789" t="s">
        <v>37</v>
      </c>
      <c r="F902" s="789"/>
      <c r="G902" s="1085"/>
      <c r="H902" s="691"/>
      <c r="I902" s="691"/>
      <c r="J902" s="691"/>
      <c r="K902" s="691"/>
      <c r="L902" s="691"/>
      <c r="M902" s="665"/>
      <c r="N902" s="666">
        <f t="shared" si="102"/>
        <v>0</v>
      </c>
      <c r="O902" s="672"/>
      <c r="P902" s="668"/>
      <c r="Q902" s="676"/>
      <c r="R902" s="676"/>
    </row>
    <row r="903" spans="1:18" s="677" customFormat="1" ht="23.25">
      <c r="A903" s="787"/>
      <c r="B903" s="787"/>
      <c r="C903" s="791" t="s">
        <v>1979</v>
      </c>
      <c r="D903" s="787">
        <f>[8]Elec.Data!K3481</f>
        <v>1242.21</v>
      </c>
      <c r="E903" s="789" t="s">
        <v>522</v>
      </c>
      <c r="F903" s="789"/>
      <c r="G903" s="1085"/>
      <c r="H903" s="691"/>
      <c r="I903" s="691"/>
      <c r="J903" s="691"/>
      <c r="K903" s="691"/>
      <c r="L903" s="691"/>
      <c r="M903" s="665"/>
      <c r="N903" s="666">
        <f t="shared" si="102"/>
        <v>0</v>
      </c>
      <c r="O903" s="672"/>
      <c r="P903" s="668"/>
      <c r="Q903" s="676"/>
      <c r="R903" s="676"/>
    </row>
    <row r="904" spans="1:18" s="677" customFormat="1" ht="23.25">
      <c r="A904" s="787"/>
      <c r="B904" s="787"/>
      <c r="C904" s="791" t="s">
        <v>584</v>
      </c>
      <c r="D904" s="787">
        <f>[8]Elec.Data!K3547</f>
        <v>165</v>
      </c>
      <c r="E904" s="789" t="s">
        <v>61</v>
      </c>
      <c r="F904" s="789"/>
      <c r="G904" s="1085"/>
      <c r="H904" s="691"/>
      <c r="I904" s="691"/>
      <c r="J904" s="691"/>
      <c r="K904" s="691"/>
      <c r="L904" s="691"/>
      <c r="M904" s="665"/>
      <c r="N904" s="666">
        <f t="shared" si="102"/>
        <v>0</v>
      </c>
      <c r="O904" s="672"/>
      <c r="P904" s="668"/>
      <c r="Q904" s="676"/>
      <c r="R904" s="676"/>
    </row>
    <row r="905" spans="1:18" s="677" customFormat="1" ht="23.25">
      <c r="A905" s="787"/>
      <c r="B905" s="787"/>
      <c r="C905" s="747" t="s">
        <v>1980</v>
      </c>
      <c r="D905" s="787">
        <f>[8]Elec.Data!K3468</f>
        <v>2972.1</v>
      </c>
      <c r="E905" s="789" t="s">
        <v>522</v>
      </c>
      <c r="F905" s="789"/>
      <c r="G905" s="1085"/>
      <c r="H905" s="691"/>
      <c r="I905" s="691"/>
      <c r="J905" s="691"/>
      <c r="K905" s="691"/>
      <c r="L905" s="691"/>
      <c r="M905" s="665"/>
      <c r="N905" s="666">
        <f t="shared" si="102"/>
        <v>0</v>
      </c>
      <c r="O905" s="672"/>
      <c r="P905" s="668"/>
      <c r="Q905" s="676"/>
      <c r="R905" s="676"/>
    </row>
    <row r="906" spans="1:18" s="677" customFormat="1" ht="23.25">
      <c r="A906" s="787"/>
      <c r="B906" s="787"/>
      <c r="C906" s="791" t="s">
        <v>1981</v>
      </c>
      <c r="D906" s="787">
        <f>Data!K2981</f>
        <v>2980.1402439024396</v>
      </c>
      <c r="E906" s="789" t="s">
        <v>37</v>
      </c>
      <c r="F906" s="789"/>
      <c r="G906" s="1085"/>
      <c r="H906" s="691"/>
      <c r="I906" s="691"/>
      <c r="J906" s="691"/>
      <c r="K906" s="691"/>
      <c r="L906" s="691"/>
      <c r="M906" s="665"/>
      <c r="N906" s="666">
        <f t="shared" si="102"/>
        <v>0</v>
      </c>
      <c r="O906" s="672"/>
      <c r="P906" s="668"/>
      <c r="Q906" s="676"/>
      <c r="R906" s="676"/>
    </row>
    <row r="907" spans="1:18" s="677" customFormat="1" ht="23.25">
      <c r="A907" s="787"/>
      <c r="B907" s="787"/>
      <c r="C907" s="791" t="s">
        <v>1982</v>
      </c>
      <c r="D907" s="787">
        <f>Data!K2845</f>
        <v>2937.5836533187062</v>
      </c>
      <c r="E907" s="789" t="s">
        <v>37</v>
      </c>
      <c r="F907" s="789"/>
      <c r="G907" s="1085"/>
      <c r="H907" s="691"/>
      <c r="I907" s="691"/>
      <c r="J907" s="691"/>
      <c r="K907" s="691"/>
      <c r="L907" s="691"/>
      <c r="M907" s="665"/>
      <c r="N907" s="666">
        <f t="shared" si="102"/>
        <v>0</v>
      </c>
      <c r="O907" s="672"/>
      <c r="P907" s="668"/>
      <c r="Q907" s="676"/>
      <c r="R907" s="676"/>
    </row>
    <row r="908" spans="1:18" s="677" customFormat="1" ht="23.25">
      <c r="A908" s="787"/>
      <c r="B908" s="787"/>
      <c r="C908" s="791" t="s">
        <v>1983</v>
      </c>
      <c r="D908" s="787">
        <f>Data!R2988</f>
        <v>2863.9889135254989</v>
      </c>
      <c r="E908" s="789" t="s">
        <v>37</v>
      </c>
      <c r="F908" s="789"/>
      <c r="G908" s="1085"/>
      <c r="H908" s="691"/>
      <c r="I908" s="691"/>
      <c r="J908" s="691"/>
      <c r="K908" s="691"/>
      <c r="L908" s="691"/>
      <c r="M908" s="665"/>
      <c r="N908" s="666">
        <f t="shared" si="102"/>
        <v>0</v>
      </c>
      <c r="O908" s="672"/>
      <c r="P908" s="668"/>
      <c r="Q908" s="676"/>
      <c r="R908" s="676"/>
    </row>
    <row r="909" spans="1:18" s="677" customFormat="1" ht="23.25">
      <c r="A909" s="787"/>
      <c r="B909" s="787"/>
      <c r="C909" s="791" t="s">
        <v>1984</v>
      </c>
      <c r="D909" s="787">
        <f>Data!K3085</f>
        <v>3082.508710801394</v>
      </c>
      <c r="E909" s="789" t="s">
        <v>37</v>
      </c>
      <c r="F909" s="789"/>
      <c r="G909" s="1085"/>
      <c r="H909" s="691"/>
      <c r="I909" s="691"/>
      <c r="J909" s="691"/>
      <c r="K909" s="691"/>
      <c r="L909" s="691"/>
      <c r="M909" s="665"/>
      <c r="N909" s="666">
        <f t="shared" si="102"/>
        <v>0</v>
      </c>
      <c r="O909" s="672"/>
      <c r="P909" s="668"/>
      <c r="Q909" s="676"/>
      <c r="R909" s="676"/>
    </row>
    <row r="910" spans="1:18" s="677" customFormat="1" ht="23.25">
      <c r="A910" s="787"/>
      <c r="B910" s="787"/>
      <c r="C910" s="791" t="s">
        <v>1985</v>
      </c>
      <c r="D910" s="787">
        <f>Data!K3066</f>
        <v>3205.3030303030305</v>
      </c>
      <c r="E910" s="789" t="s">
        <v>37</v>
      </c>
      <c r="F910" s="789"/>
      <c r="G910" s="1085"/>
      <c r="H910" s="691"/>
      <c r="I910" s="691"/>
      <c r="J910" s="691"/>
      <c r="K910" s="691"/>
      <c r="L910" s="691"/>
      <c r="M910" s="665" t="e">
        <f>#REF!+#REF!+#REF!+#REF!+#REF!+#REF!</f>
        <v>#REF!</v>
      </c>
      <c r="N910" s="666" t="e">
        <f t="shared" si="102"/>
        <v>#REF!</v>
      </c>
      <c r="O910" s="672"/>
      <c r="P910" s="668"/>
      <c r="Q910" s="676"/>
      <c r="R910" s="676"/>
    </row>
    <row r="911" spans="1:18" s="677" customFormat="1" ht="23.25">
      <c r="A911" s="787"/>
      <c r="B911" s="787"/>
      <c r="C911" s="791" t="s">
        <v>1986</v>
      </c>
      <c r="D911" s="787">
        <f>Data!R3073</f>
        <v>3027.6747720364747</v>
      </c>
      <c r="E911" s="789" t="s">
        <v>37</v>
      </c>
      <c r="F911" s="789"/>
      <c r="G911" s="1085"/>
      <c r="H911" s="691"/>
      <c r="I911" s="691"/>
      <c r="J911" s="691"/>
      <c r="K911" s="691"/>
      <c r="L911" s="691"/>
      <c r="M911" s="665" t="e">
        <f>#REF!+#REF!+#REF!+#REF!+#REF!+#REF!</f>
        <v>#REF!</v>
      </c>
      <c r="N911" s="666" t="e">
        <f t="shared" si="102"/>
        <v>#REF!</v>
      </c>
      <c r="O911" s="672"/>
      <c r="P911" s="668"/>
      <c r="Q911" s="676"/>
      <c r="R911" s="676"/>
    </row>
    <row r="912" spans="1:18" s="677" customFormat="1" ht="46.5">
      <c r="A912" s="787"/>
      <c r="B912" s="787"/>
      <c r="C912" s="792" t="s">
        <v>1987</v>
      </c>
      <c r="D912" s="787">
        <f>Data!K2877</f>
        <v>2110.4899761904762</v>
      </c>
      <c r="E912" s="789" t="s">
        <v>37</v>
      </c>
      <c r="F912" s="789"/>
      <c r="G912" s="1085"/>
      <c r="H912" s="691"/>
      <c r="I912" s="691"/>
      <c r="J912" s="691"/>
      <c r="K912" s="691"/>
      <c r="L912" s="691"/>
      <c r="M912" s="665" t="e">
        <f>#REF!+#REF!+#REF!+#REF!+#REF!+#REF!</f>
        <v>#REF!</v>
      </c>
      <c r="N912" s="666" t="e">
        <f t="shared" si="102"/>
        <v>#REF!</v>
      </c>
      <c r="O912" s="672"/>
      <c r="P912" s="668"/>
      <c r="Q912" s="676"/>
      <c r="R912" s="676"/>
    </row>
    <row r="913" spans="1:18" s="677" customFormat="1" ht="23.25">
      <c r="A913" s="787"/>
      <c r="B913" s="787"/>
      <c r="C913" s="791" t="s">
        <v>1988</v>
      </c>
      <c r="D913" s="787">
        <f>Data!K1154</f>
        <v>109.85720000000001</v>
      </c>
      <c r="E913" s="789"/>
      <c r="F913" s="789"/>
      <c r="G913" s="1085"/>
      <c r="H913" s="691"/>
      <c r="I913" s="691"/>
      <c r="J913" s="691"/>
      <c r="K913" s="691"/>
      <c r="L913" s="691"/>
      <c r="M913" s="665" t="e">
        <f>#REF!+#REF!+#REF!+#REF!+#REF!+#REF!</f>
        <v>#REF!</v>
      </c>
      <c r="N913" s="666" t="e">
        <f t="shared" si="102"/>
        <v>#REF!</v>
      </c>
      <c r="O913" s="672"/>
      <c r="P913" s="668"/>
      <c r="Q913" s="676"/>
      <c r="R913" s="676"/>
    </row>
    <row r="914" spans="1:18" s="677" customFormat="1" ht="23.25">
      <c r="A914" s="787"/>
      <c r="B914" s="787"/>
      <c r="C914" s="791" t="s">
        <v>1989</v>
      </c>
      <c r="D914" s="787">
        <f>Data!K1167</f>
        <v>172.13200000000001</v>
      </c>
      <c r="E914" s="789"/>
      <c r="F914" s="789"/>
      <c r="G914" s="1085"/>
      <c r="H914" s="691"/>
      <c r="I914" s="691"/>
      <c r="J914" s="691"/>
      <c r="K914" s="691"/>
      <c r="L914" s="691"/>
      <c r="M914" s="665" t="e">
        <f>#REF!+#REF!+#REF!+#REF!+#REF!+#REF!</f>
        <v>#REF!</v>
      </c>
      <c r="N914" s="666" t="e">
        <f t="shared" si="102"/>
        <v>#REF!</v>
      </c>
      <c r="O914" s="672"/>
      <c r="P914" s="668"/>
      <c r="Q914" s="676"/>
      <c r="R914" s="676"/>
    </row>
    <row r="915" spans="1:18" s="677" customFormat="1" ht="23.25">
      <c r="A915" s="787"/>
      <c r="B915" s="787"/>
      <c r="C915" s="791" t="s">
        <v>1990</v>
      </c>
      <c r="D915" s="787">
        <f>Data!K2448</f>
        <v>690.96852000000013</v>
      </c>
      <c r="E915" s="789"/>
      <c r="F915" s="789"/>
      <c r="G915" s="1085"/>
      <c r="H915" s="691"/>
      <c r="I915" s="691"/>
      <c r="J915" s="691"/>
      <c r="K915" s="691"/>
      <c r="L915" s="691"/>
      <c r="M915" s="665" t="e">
        <f>#REF!+#REF!+#REF!+#REF!+#REF!+#REF!</f>
        <v>#REF!</v>
      </c>
      <c r="N915" s="666" t="e">
        <f t="shared" si="102"/>
        <v>#REF!</v>
      </c>
      <c r="O915" s="672"/>
      <c r="P915" s="668"/>
      <c r="Q915" s="676"/>
      <c r="R915" s="676"/>
    </row>
    <row r="916" spans="1:18" s="677" customFormat="1" ht="23.25">
      <c r="A916" s="787"/>
      <c r="B916" s="787"/>
      <c r="C916" s="791" t="s">
        <v>1991</v>
      </c>
      <c r="D916" s="787">
        <f>Data!K2798</f>
        <v>1556.8832942857146</v>
      </c>
      <c r="E916" s="789"/>
      <c r="F916" s="789"/>
      <c r="G916" s="1085"/>
      <c r="H916" s="691"/>
      <c r="I916" s="691"/>
      <c r="J916" s="691"/>
      <c r="K916" s="691"/>
      <c r="L916" s="691"/>
      <c r="M916" s="665" t="e">
        <f>#REF!+#REF!+#REF!+#REF!+#REF!+#REF!</f>
        <v>#REF!</v>
      </c>
      <c r="N916" s="666" t="e">
        <f t="shared" si="102"/>
        <v>#REF!</v>
      </c>
      <c r="O916" s="672"/>
      <c r="P916" s="668"/>
      <c r="Q916" s="676"/>
      <c r="R916" s="676"/>
    </row>
    <row r="917" spans="1:18" s="677" customFormat="1" ht="69.75">
      <c r="A917" s="787"/>
      <c r="B917" s="787"/>
      <c r="C917" s="792" t="s">
        <v>1992</v>
      </c>
      <c r="D917" s="787">
        <f>[8]Elec.Data!K3011</f>
        <v>2424.4299999999998</v>
      </c>
      <c r="E917" s="789"/>
      <c r="F917" s="789"/>
      <c r="G917" s="1085"/>
      <c r="H917" s="691"/>
      <c r="I917" s="691"/>
      <c r="J917" s="691"/>
      <c r="K917" s="691"/>
      <c r="L917" s="691"/>
      <c r="M917" s="665" t="e">
        <f>#REF!+#REF!+#REF!+#REF!+#REF!+#REF!</f>
        <v>#REF!</v>
      </c>
      <c r="N917" s="666" t="e">
        <f t="shared" si="102"/>
        <v>#REF!</v>
      </c>
      <c r="O917" s="672"/>
      <c r="P917" s="668"/>
      <c r="Q917" s="676"/>
      <c r="R917" s="676"/>
    </row>
    <row r="918" spans="1:18" s="677" customFormat="1" ht="69.75">
      <c r="A918" s="787"/>
      <c r="B918" s="787"/>
      <c r="C918" s="792" t="s">
        <v>1993</v>
      </c>
      <c r="D918" s="787">
        <f>[8]Elec.Data!K3023</f>
        <v>2425.48</v>
      </c>
      <c r="E918" s="789"/>
      <c r="F918" s="789"/>
      <c r="G918" s="1085"/>
      <c r="H918" s="691"/>
      <c r="I918" s="691"/>
      <c r="J918" s="691"/>
      <c r="K918" s="691"/>
      <c r="L918" s="691"/>
      <c r="M918" s="665" t="e">
        <f>#REF!+#REF!+#REF!+#REF!+#REF!+#REF!</f>
        <v>#REF!</v>
      </c>
      <c r="N918" s="666" t="e">
        <f t="shared" si="102"/>
        <v>#REF!</v>
      </c>
      <c r="O918" s="672"/>
      <c r="P918" s="668"/>
      <c r="Q918" s="676"/>
      <c r="R918" s="676"/>
    </row>
    <row r="919" spans="1:18" s="677" customFormat="1" ht="46.5">
      <c r="A919" s="787"/>
      <c r="B919" s="787"/>
      <c r="C919" s="792" t="s">
        <v>1994</v>
      </c>
      <c r="D919" s="787">
        <f>[8]Elec.Data!K3044</f>
        <v>2491.65</v>
      </c>
      <c r="E919" s="789"/>
      <c r="F919" s="789"/>
      <c r="G919" s="1085"/>
      <c r="H919" s="691"/>
      <c r="I919" s="691"/>
      <c r="J919" s="691"/>
      <c r="K919" s="691"/>
      <c r="L919" s="691"/>
      <c r="M919" s="665" t="e">
        <f>#REF!+#REF!+#REF!+#REF!+#REF!+#REF!</f>
        <v>#REF!</v>
      </c>
      <c r="N919" s="666" t="e">
        <f t="shared" si="102"/>
        <v>#REF!</v>
      </c>
      <c r="O919" s="672"/>
      <c r="P919" s="668"/>
      <c r="Q919" s="676"/>
      <c r="R919" s="676"/>
    </row>
    <row r="920" spans="1:18" s="677" customFormat="1" ht="69.75">
      <c r="A920" s="787"/>
      <c r="B920" s="787"/>
      <c r="C920" s="792" t="s">
        <v>1995</v>
      </c>
      <c r="D920" s="787">
        <f>[8]Elec.Data!K3063</f>
        <v>4553.6099999999997</v>
      </c>
      <c r="E920" s="789"/>
      <c r="F920" s="789"/>
      <c r="G920" s="1085"/>
      <c r="H920" s="691"/>
      <c r="I920" s="691"/>
      <c r="J920" s="691"/>
      <c r="K920" s="691"/>
      <c r="L920" s="691"/>
      <c r="M920" s="665" t="e">
        <f>#REF!+#REF!+#REF!+#REF!+#REF!+#REF!</f>
        <v>#REF!</v>
      </c>
      <c r="N920" s="666" t="e">
        <f t="shared" si="102"/>
        <v>#REF!</v>
      </c>
      <c r="O920" s="672"/>
      <c r="P920" s="668"/>
      <c r="Q920" s="676"/>
      <c r="R920" s="676"/>
    </row>
    <row r="921" spans="1:18" s="677" customFormat="1" ht="23.25">
      <c r="A921" s="787"/>
      <c r="B921" s="787"/>
      <c r="C921" s="792" t="s">
        <v>1996</v>
      </c>
      <c r="D921" s="787">
        <f>[8]Elec.Data!K3092</f>
        <v>209.78</v>
      </c>
      <c r="E921" s="789"/>
      <c r="F921" s="789"/>
      <c r="G921" s="1085"/>
      <c r="H921" s="691"/>
      <c r="I921" s="691"/>
      <c r="J921" s="691"/>
      <c r="K921" s="691"/>
      <c r="L921" s="691"/>
      <c r="M921" s="665" t="e">
        <f>#REF!+#REF!+#REF!+#REF!+#REF!+#REF!</f>
        <v>#REF!</v>
      </c>
      <c r="N921" s="666" t="e">
        <f t="shared" si="102"/>
        <v>#REF!</v>
      </c>
      <c r="O921" s="672"/>
      <c r="P921" s="668"/>
      <c r="Q921" s="676"/>
      <c r="R921" s="676"/>
    </row>
    <row r="922" spans="1:18" s="677" customFormat="1" ht="23.25">
      <c r="A922" s="787"/>
      <c r="B922" s="787"/>
      <c r="C922" s="792" t="s">
        <v>1997</v>
      </c>
      <c r="D922" s="787">
        <f>[8]Elec.Data!K3105</f>
        <v>246.68</v>
      </c>
      <c r="E922" s="789"/>
      <c r="F922" s="789"/>
      <c r="G922" s="1085"/>
      <c r="H922" s="691"/>
      <c r="I922" s="691"/>
      <c r="J922" s="691"/>
      <c r="K922" s="691"/>
      <c r="L922" s="691"/>
      <c r="M922" s="665" t="e">
        <f>#REF!+#REF!+#REF!+#REF!+#REF!+#REF!</f>
        <v>#REF!</v>
      </c>
      <c r="N922" s="666" t="e">
        <f t="shared" si="102"/>
        <v>#REF!</v>
      </c>
      <c r="O922" s="672"/>
      <c r="P922" s="668"/>
      <c r="Q922" s="676"/>
      <c r="R922" s="676"/>
    </row>
    <row r="923" spans="1:18" s="677" customFormat="1" ht="23.25">
      <c r="A923" s="787"/>
      <c r="B923" s="787"/>
      <c r="C923" s="792" t="s">
        <v>1998</v>
      </c>
      <c r="D923" s="787">
        <f>[8]Elec.Data!K3119</f>
        <v>368.57</v>
      </c>
      <c r="E923" s="789"/>
      <c r="F923" s="789"/>
      <c r="G923" s="1085"/>
      <c r="H923" s="691"/>
      <c r="I923" s="691"/>
      <c r="J923" s="691"/>
      <c r="K923" s="691"/>
      <c r="L923" s="691"/>
      <c r="M923" s="665" t="e">
        <f>#REF!+#REF!+#REF!+#REF!+#REF!+#REF!</f>
        <v>#REF!</v>
      </c>
      <c r="N923" s="666" t="e">
        <f t="shared" si="102"/>
        <v>#REF!</v>
      </c>
      <c r="O923" s="672"/>
      <c r="P923" s="668"/>
      <c r="Q923" s="676"/>
      <c r="R923" s="676"/>
    </row>
    <row r="924" spans="1:18" s="677" customFormat="1" ht="93">
      <c r="A924" s="787"/>
      <c r="B924" s="787"/>
      <c r="C924" s="792" t="s">
        <v>1999</v>
      </c>
      <c r="D924" s="787">
        <f>[8]Elec.Data!K3173</f>
        <v>1308</v>
      </c>
      <c r="E924" s="789"/>
      <c r="F924" s="789"/>
      <c r="G924" s="1085"/>
      <c r="H924" s="691"/>
      <c r="I924" s="691"/>
      <c r="J924" s="691"/>
      <c r="K924" s="691"/>
      <c r="L924" s="691"/>
      <c r="M924" s="665" t="e">
        <f>#REF!+#REF!+#REF!+#REF!+#REF!+#REF!</f>
        <v>#REF!</v>
      </c>
      <c r="N924" s="666" t="e">
        <f t="shared" si="102"/>
        <v>#REF!</v>
      </c>
      <c r="O924" s="672"/>
      <c r="P924" s="668"/>
      <c r="Q924" s="676"/>
      <c r="R924" s="676"/>
    </row>
    <row r="925" spans="1:18" s="677" customFormat="1" ht="93">
      <c r="A925" s="787"/>
      <c r="B925" s="787"/>
      <c r="C925" s="792" t="s">
        <v>2000</v>
      </c>
      <c r="D925" s="787">
        <f>[8]Elec.Data!K3184</f>
        <v>984.5</v>
      </c>
      <c r="E925" s="789"/>
      <c r="F925" s="789"/>
      <c r="G925" s="1085"/>
      <c r="H925" s="691"/>
      <c r="I925" s="691"/>
      <c r="J925" s="691"/>
      <c r="K925" s="691"/>
      <c r="L925" s="691"/>
      <c r="M925" s="665" t="e">
        <f>#REF!+#REF!+#REF!+#REF!+#REF!+#REF!</f>
        <v>#REF!</v>
      </c>
      <c r="N925" s="666" t="e">
        <f t="shared" si="102"/>
        <v>#REF!</v>
      </c>
      <c r="O925" s="672"/>
      <c r="P925" s="668"/>
      <c r="Q925" s="676"/>
      <c r="R925" s="676"/>
    </row>
    <row r="926" spans="1:18" s="677" customFormat="1" ht="69.75">
      <c r="A926" s="787"/>
      <c r="B926" s="787"/>
      <c r="C926" s="792" t="s">
        <v>2001</v>
      </c>
      <c r="D926" s="787">
        <f>[8]Elec.Data!K3195</f>
        <v>1662.67</v>
      </c>
      <c r="E926" s="789"/>
      <c r="F926" s="789"/>
      <c r="G926" s="1085"/>
      <c r="H926" s="691"/>
      <c r="I926" s="691"/>
      <c r="J926" s="691"/>
      <c r="K926" s="691"/>
      <c r="L926" s="691"/>
      <c r="M926" s="665" t="e">
        <f>#REF!+#REF!+#REF!+#REF!+#REF!+#REF!</f>
        <v>#REF!</v>
      </c>
      <c r="N926" s="666" t="e">
        <f t="shared" si="102"/>
        <v>#REF!</v>
      </c>
      <c r="O926" s="672"/>
      <c r="P926" s="668"/>
      <c r="Q926" s="676"/>
      <c r="R926" s="676"/>
    </row>
    <row r="927" spans="1:18" s="677" customFormat="1" ht="69.75">
      <c r="A927" s="787"/>
      <c r="B927" s="787"/>
      <c r="C927" s="792" t="s">
        <v>2002</v>
      </c>
      <c r="D927" s="787">
        <f>[8]Elec.Data!K3210</f>
        <v>2083.67</v>
      </c>
      <c r="E927" s="789"/>
      <c r="F927" s="789"/>
      <c r="G927" s="1085"/>
      <c r="H927" s="691"/>
      <c r="I927" s="691"/>
      <c r="J927" s="691"/>
      <c r="K927" s="691"/>
      <c r="L927" s="691"/>
      <c r="M927" s="665" t="e">
        <f>#REF!+#REF!+#REF!+#REF!+#REF!+#REF!</f>
        <v>#REF!</v>
      </c>
      <c r="N927" s="666" t="e">
        <f t="shared" si="102"/>
        <v>#REF!</v>
      </c>
      <c r="O927" s="672"/>
      <c r="P927" s="668"/>
      <c r="Q927" s="676"/>
      <c r="R927" s="676"/>
    </row>
    <row r="928" spans="1:18" s="677" customFormat="1" ht="116.25">
      <c r="A928" s="787"/>
      <c r="B928" s="787"/>
      <c r="C928" s="792" t="s">
        <v>2003</v>
      </c>
      <c r="D928" s="787">
        <f>[8]Elec.Data!K3233</f>
        <v>4116.8500000000004</v>
      </c>
      <c r="E928" s="789"/>
      <c r="F928" s="789"/>
      <c r="G928" s="1085"/>
      <c r="H928" s="691"/>
      <c r="I928" s="691"/>
      <c r="J928" s="691"/>
      <c r="K928" s="691"/>
      <c r="L928" s="691"/>
      <c r="M928" s="665" t="e">
        <f>#REF!+#REF!+#REF!+#REF!+#REF!+#REF!</f>
        <v>#REF!</v>
      </c>
      <c r="N928" s="666" t="e">
        <f t="shared" si="102"/>
        <v>#REF!</v>
      </c>
      <c r="O928" s="672"/>
      <c r="P928" s="668"/>
      <c r="Q928" s="676"/>
      <c r="R928" s="676"/>
    </row>
    <row r="929" spans="1:18" s="677" customFormat="1" ht="93">
      <c r="A929" s="787"/>
      <c r="B929" s="787"/>
      <c r="C929" s="792" t="s">
        <v>2004</v>
      </c>
      <c r="D929" s="787">
        <f>[8]Elec.Data!K3221</f>
        <v>3342.85</v>
      </c>
      <c r="E929" s="789"/>
      <c r="F929" s="789"/>
      <c r="G929" s="1085"/>
      <c r="H929" s="691"/>
      <c r="I929" s="691"/>
      <c r="J929" s="691"/>
      <c r="K929" s="691"/>
      <c r="L929" s="691"/>
      <c r="M929" s="665" t="e">
        <f>#REF!+#REF!+#REF!+#REF!+#REF!+#REF!</f>
        <v>#REF!</v>
      </c>
      <c r="N929" s="666" t="e">
        <f t="shared" si="102"/>
        <v>#REF!</v>
      </c>
      <c r="O929" s="672"/>
      <c r="P929" s="668"/>
      <c r="Q929" s="676"/>
      <c r="R929" s="676"/>
    </row>
    <row r="930" spans="1:18" s="677" customFormat="1" ht="46.5">
      <c r="A930" s="787"/>
      <c r="B930" s="787"/>
      <c r="C930" s="792" t="s">
        <v>2005</v>
      </c>
      <c r="D930" s="787">
        <f>[8]Elec.Data!K3244</f>
        <v>275.19</v>
      </c>
      <c r="E930" s="789"/>
      <c r="F930" s="789"/>
      <c r="G930" s="1085"/>
      <c r="H930" s="691"/>
      <c r="I930" s="691"/>
      <c r="J930" s="691"/>
      <c r="K930" s="691"/>
      <c r="L930" s="691"/>
      <c r="M930" s="665" t="e">
        <f>#REF!+#REF!+#REF!+#REF!+#REF!+#REF!</f>
        <v>#REF!</v>
      </c>
      <c r="N930" s="666" t="e">
        <f t="shared" si="102"/>
        <v>#REF!</v>
      </c>
      <c r="O930" s="672"/>
      <c r="P930" s="668"/>
      <c r="Q930" s="676"/>
      <c r="R930" s="676"/>
    </row>
    <row r="931" spans="1:18" s="677" customFormat="1" ht="46.5">
      <c r="A931" s="787"/>
      <c r="B931" s="787"/>
      <c r="C931" s="792" t="s">
        <v>2006</v>
      </c>
      <c r="D931" s="787">
        <f>[8]Elec.Data!K3262</f>
        <v>463.6</v>
      </c>
      <c r="E931" s="789"/>
      <c r="F931" s="789"/>
      <c r="G931" s="1085"/>
      <c r="H931" s="691"/>
      <c r="I931" s="691"/>
      <c r="J931" s="691"/>
      <c r="K931" s="691"/>
      <c r="L931" s="691"/>
      <c r="M931" s="665" t="e">
        <f>#REF!+#REF!+#REF!+#REF!+#REF!+#REF!</f>
        <v>#REF!</v>
      </c>
      <c r="N931" s="666" t="e">
        <f t="shared" si="102"/>
        <v>#REF!</v>
      </c>
      <c r="O931" s="672"/>
      <c r="P931" s="668"/>
      <c r="Q931" s="676"/>
      <c r="R931" s="676"/>
    </row>
    <row r="932" spans="1:18" s="677" customFormat="1" ht="46.5">
      <c r="A932" s="787"/>
      <c r="B932" s="787"/>
      <c r="C932" s="792" t="s">
        <v>2007</v>
      </c>
      <c r="D932" s="787">
        <f>[8]Elec.Data!K3333</f>
        <v>361.01</v>
      </c>
      <c r="E932" s="789"/>
      <c r="F932" s="789"/>
      <c r="G932" s="1085"/>
      <c r="H932" s="691"/>
      <c r="I932" s="691"/>
      <c r="J932" s="691"/>
      <c r="K932" s="691"/>
      <c r="L932" s="691"/>
      <c r="M932" s="665" t="e">
        <f>#REF!+#REF!+#REF!+#REF!+#REF!+#REF!</f>
        <v>#REF!</v>
      </c>
      <c r="N932" s="666" t="e">
        <f t="shared" si="102"/>
        <v>#REF!</v>
      </c>
      <c r="O932" s="672"/>
      <c r="P932" s="668"/>
      <c r="Q932" s="676"/>
      <c r="R932" s="676"/>
    </row>
    <row r="933" spans="1:18" s="677" customFormat="1" ht="46.5">
      <c r="A933" s="787"/>
      <c r="B933" s="787"/>
      <c r="C933" s="792" t="s">
        <v>2008</v>
      </c>
      <c r="D933" s="787">
        <f>[8]Elec.Data!K3348</f>
        <v>714.1</v>
      </c>
      <c r="E933" s="789"/>
      <c r="F933" s="789"/>
      <c r="G933" s="1085"/>
      <c r="H933" s="691"/>
      <c r="I933" s="691"/>
      <c r="J933" s="691"/>
      <c r="K933" s="691"/>
      <c r="L933" s="691"/>
      <c r="M933" s="665" t="e">
        <f>#REF!+#REF!+#REF!+#REF!+#REF!+#REF!</f>
        <v>#REF!</v>
      </c>
      <c r="N933" s="666" t="e">
        <f t="shared" si="102"/>
        <v>#REF!</v>
      </c>
      <c r="O933" s="672"/>
      <c r="P933" s="668"/>
      <c r="Q933" s="676"/>
      <c r="R933" s="676"/>
    </row>
    <row r="934" spans="1:18" s="677" customFormat="1" ht="46.5">
      <c r="A934" s="787"/>
      <c r="B934" s="787"/>
      <c r="C934" s="792" t="s">
        <v>2009</v>
      </c>
      <c r="D934" s="787">
        <f>[8]Elec.Data!K3366</f>
        <v>449.93</v>
      </c>
      <c r="E934" s="789"/>
      <c r="F934" s="789"/>
      <c r="G934" s="1085"/>
      <c r="H934" s="691"/>
      <c r="I934" s="691"/>
      <c r="J934" s="691"/>
      <c r="K934" s="691"/>
      <c r="L934" s="691"/>
      <c r="M934" s="665" t="e">
        <f>#REF!+#REF!+#REF!+#REF!+#REF!+#REF!</f>
        <v>#REF!</v>
      </c>
      <c r="N934" s="666" t="e">
        <f t="shared" si="102"/>
        <v>#REF!</v>
      </c>
      <c r="O934" s="672"/>
      <c r="P934" s="668"/>
      <c r="Q934" s="676"/>
      <c r="R934" s="676"/>
    </row>
    <row r="935" spans="1:18" s="677" customFormat="1" ht="46.5">
      <c r="A935" s="787"/>
      <c r="B935" s="787"/>
      <c r="C935" s="792" t="s">
        <v>2010</v>
      </c>
      <c r="D935" s="787">
        <f>[8]Elec.Data!K3379</f>
        <v>728.1</v>
      </c>
      <c r="E935" s="789"/>
      <c r="F935" s="789"/>
      <c r="G935" s="1085"/>
      <c r="H935" s="691"/>
      <c r="I935" s="691"/>
      <c r="J935" s="691"/>
      <c r="K935" s="691"/>
      <c r="L935" s="691"/>
      <c r="M935" s="665" t="e">
        <f>#REF!+#REF!+#REF!+#REF!+#REF!+#REF!</f>
        <v>#REF!</v>
      </c>
      <c r="N935" s="666" t="e">
        <f t="shared" si="102"/>
        <v>#REF!</v>
      </c>
      <c r="O935" s="672"/>
      <c r="P935" s="668"/>
      <c r="Q935" s="676"/>
      <c r="R935" s="676"/>
    </row>
    <row r="936" spans="1:18" s="677" customFormat="1" ht="46.5">
      <c r="A936" s="787"/>
      <c r="B936" s="787"/>
      <c r="C936" s="792" t="s">
        <v>2011</v>
      </c>
      <c r="D936" s="787">
        <f>[8]Elec.Data!K3384</f>
        <v>1505</v>
      </c>
      <c r="E936" s="789"/>
      <c r="F936" s="789"/>
      <c r="G936" s="1085"/>
      <c r="H936" s="691"/>
      <c r="I936" s="691"/>
      <c r="J936" s="691"/>
      <c r="K936" s="691"/>
      <c r="L936" s="691"/>
      <c r="M936" s="665" t="e">
        <f>#REF!+#REF!+#REF!+#REF!+#REF!+#REF!</f>
        <v>#REF!</v>
      </c>
      <c r="N936" s="666" t="e">
        <f t="shared" si="102"/>
        <v>#REF!</v>
      </c>
      <c r="O936" s="672"/>
      <c r="P936" s="668"/>
      <c r="Q936" s="676"/>
      <c r="R936" s="676"/>
    </row>
    <row r="937" spans="1:18" s="677" customFormat="1" ht="46.5">
      <c r="A937" s="787"/>
      <c r="B937" s="787"/>
      <c r="C937" s="792" t="s">
        <v>2012</v>
      </c>
      <c r="D937" s="787">
        <f>[8]Elec.Data!K3389</f>
        <v>1858</v>
      </c>
      <c r="E937" s="789"/>
      <c r="F937" s="789"/>
      <c r="G937" s="1085"/>
      <c r="H937" s="691"/>
      <c r="I937" s="691"/>
      <c r="J937" s="691"/>
      <c r="K937" s="691"/>
      <c r="L937" s="691"/>
      <c r="M937" s="665" t="e">
        <f>#REF!+#REF!+#REF!+#REF!+#REF!+#REF!</f>
        <v>#REF!</v>
      </c>
      <c r="N937" s="666" t="e">
        <f t="shared" si="102"/>
        <v>#REF!</v>
      </c>
      <c r="O937" s="672"/>
      <c r="P937" s="668"/>
      <c r="Q937" s="676"/>
      <c r="R937" s="676"/>
    </row>
    <row r="938" spans="1:18" s="677" customFormat="1" ht="69.75">
      <c r="A938" s="787"/>
      <c r="B938" s="787"/>
      <c r="C938" s="792" t="s">
        <v>2013</v>
      </c>
      <c r="D938" s="787">
        <f>[8]Elec.Data!K3501</f>
        <v>142.97999999999999</v>
      </c>
      <c r="E938" s="789"/>
      <c r="F938" s="789"/>
      <c r="G938" s="1085"/>
      <c r="H938" s="691"/>
      <c r="I938" s="691"/>
      <c r="J938" s="691"/>
      <c r="K938" s="691"/>
      <c r="L938" s="691"/>
      <c r="M938" s="665" t="e">
        <f>#REF!+#REF!+#REF!+#REF!+#REF!+#REF!</f>
        <v>#REF!</v>
      </c>
      <c r="N938" s="666" t="e">
        <f t="shared" si="102"/>
        <v>#REF!</v>
      </c>
      <c r="O938" s="672"/>
      <c r="P938" s="668"/>
      <c r="Q938" s="676"/>
      <c r="R938" s="676"/>
    </row>
    <row r="939" spans="1:18" s="677" customFormat="1" ht="69.75">
      <c r="A939" s="787"/>
      <c r="B939" s="787"/>
      <c r="C939" s="792" t="s">
        <v>2014</v>
      </c>
      <c r="D939" s="787">
        <f>[8]Elec.Data!K3539</f>
        <v>251.18</v>
      </c>
      <c r="E939" s="789"/>
      <c r="F939" s="789"/>
      <c r="G939" s="1085"/>
      <c r="H939" s="691"/>
      <c r="I939" s="691"/>
      <c r="J939" s="691"/>
      <c r="K939" s="691"/>
      <c r="L939" s="691"/>
      <c r="M939" s="665" t="e">
        <f>#REF!+#REF!+#REF!+#REF!+#REF!+#REF!</f>
        <v>#REF!</v>
      </c>
      <c r="N939" s="666" t="e">
        <f t="shared" si="102"/>
        <v>#REF!</v>
      </c>
      <c r="O939" s="672"/>
      <c r="P939" s="668"/>
      <c r="Q939" s="676"/>
      <c r="R939" s="676"/>
    </row>
    <row r="940" spans="1:18" s="677" customFormat="1" ht="23.25">
      <c r="A940" s="787"/>
      <c r="B940" s="787"/>
      <c r="C940" s="792" t="s">
        <v>2015</v>
      </c>
      <c r="D940" s="787">
        <f>[8]Elec.Data!K3547</f>
        <v>165</v>
      </c>
      <c r="E940" s="789"/>
      <c r="F940" s="789"/>
      <c r="G940" s="1085"/>
      <c r="H940" s="691"/>
      <c r="I940" s="691"/>
      <c r="J940" s="691"/>
      <c r="K940" s="691"/>
      <c r="L940" s="691"/>
      <c r="M940" s="665" t="e">
        <f>#REF!+#REF!+#REF!+#REF!+#REF!+#REF!</f>
        <v>#REF!</v>
      </c>
      <c r="N940" s="666" t="e">
        <f t="shared" si="102"/>
        <v>#REF!</v>
      </c>
      <c r="O940" s="672"/>
      <c r="P940" s="668"/>
      <c r="Q940" s="676"/>
      <c r="R940" s="676"/>
    </row>
    <row r="941" spans="1:18" s="677" customFormat="1" ht="23.25">
      <c r="A941" s="787"/>
      <c r="B941" s="787"/>
      <c r="C941" s="792" t="s">
        <v>2016</v>
      </c>
      <c r="D941" s="787">
        <f>[8]Elec.Data!K3567</f>
        <v>245.49</v>
      </c>
      <c r="E941" s="789"/>
      <c r="F941" s="789"/>
      <c r="G941" s="1085"/>
      <c r="H941" s="691"/>
      <c r="I941" s="691"/>
      <c r="J941" s="691"/>
      <c r="K941" s="691"/>
      <c r="L941" s="691"/>
      <c r="M941" s="665" t="e">
        <f>#REF!+#REF!+#REF!+#REF!+#REF!+#REF!</f>
        <v>#REF!</v>
      </c>
      <c r="N941" s="666" t="e">
        <f t="shared" si="102"/>
        <v>#REF!</v>
      </c>
      <c r="O941" s="672"/>
      <c r="P941" s="668"/>
      <c r="Q941" s="676"/>
      <c r="R941" s="676"/>
    </row>
    <row r="942" spans="1:18" s="677" customFormat="1" ht="23.25">
      <c r="A942" s="787"/>
      <c r="B942" s="787"/>
      <c r="C942" s="792" t="s">
        <v>2017</v>
      </c>
      <c r="D942" s="787">
        <f>[8]Elec.Data!K3584</f>
        <v>150.69</v>
      </c>
      <c r="E942" s="789"/>
      <c r="F942" s="789"/>
      <c r="G942" s="1085"/>
      <c r="H942" s="691"/>
      <c r="I942" s="691"/>
      <c r="J942" s="691"/>
      <c r="K942" s="691"/>
      <c r="L942" s="691"/>
      <c r="M942" s="665" t="e">
        <f>#REF!+#REF!+#REF!+#REF!+#REF!+#REF!</f>
        <v>#REF!</v>
      </c>
      <c r="N942" s="666" t="e">
        <f t="shared" ref="N942:N972" si="103">M942*D942</f>
        <v>#REF!</v>
      </c>
      <c r="O942" s="672"/>
      <c r="P942" s="668"/>
      <c r="Q942" s="676"/>
      <c r="R942" s="676"/>
    </row>
    <row r="943" spans="1:18" s="677" customFormat="1" ht="23.25">
      <c r="A943" s="787"/>
      <c r="B943" s="787"/>
      <c r="C943" s="792" t="s">
        <v>2018</v>
      </c>
      <c r="D943" s="787">
        <f>[8]Elec.Data!K3619</f>
        <v>2092</v>
      </c>
      <c r="E943" s="789"/>
      <c r="F943" s="789"/>
      <c r="G943" s="1085"/>
      <c r="H943" s="691"/>
      <c r="I943" s="691"/>
      <c r="J943" s="691"/>
      <c r="K943" s="691"/>
      <c r="L943" s="691"/>
      <c r="M943" s="665" t="e">
        <f>#REF!+#REF!+#REF!+#REF!+#REF!+#REF!</f>
        <v>#REF!</v>
      </c>
      <c r="N943" s="666" t="e">
        <f t="shared" si="103"/>
        <v>#REF!</v>
      </c>
      <c r="O943" s="672"/>
      <c r="P943" s="668"/>
      <c r="Q943" s="676"/>
      <c r="R943" s="676"/>
    </row>
    <row r="944" spans="1:18" s="677" customFormat="1" ht="116.25">
      <c r="A944" s="787"/>
      <c r="B944" s="787"/>
      <c r="C944" s="792" t="s">
        <v>2019</v>
      </c>
      <c r="D944" s="787">
        <f>[8]Elec.Data!K3650</f>
        <v>2207.4</v>
      </c>
      <c r="E944" s="789"/>
      <c r="F944" s="789"/>
      <c r="G944" s="1085"/>
      <c r="H944" s="691"/>
      <c r="I944" s="691"/>
      <c r="J944" s="691"/>
      <c r="K944" s="691"/>
      <c r="L944" s="691"/>
      <c r="M944" s="665" t="e">
        <f>#REF!+#REF!+#REF!+#REF!+#REF!+#REF!</f>
        <v>#REF!</v>
      </c>
      <c r="N944" s="666" t="e">
        <f t="shared" si="103"/>
        <v>#REF!</v>
      </c>
      <c r="O944" s="672"/>
      <c r="P944" s="668"/>
      <c r="Q944" s="676"/>
      <c r="R944" s="676"/>
    </row>
    <row r="945" spans="1:18" s="677" customFormat="1" ht="69.75">
      <c r="A945" s="787"/>
      <c r="B945" s="787"/>
      <c r="C945" s="792" t="s">
        <v>2020</v>
      </c>
      <c r="D945" s="787">
        <f>[8]Elec.Data!K3676</f>
        <v>5045.38</v>
      </c>
      <c r="E945" s="789"/>
      <c r="F945" s="789"/>
      <c r="G945" s="1085"/>
      <c r="H945" s="691"/>
      <c r="I945" s="691"/>
      <c r="J945" s="691"/>
      <c r="K945" s="691"/>
      <c r="L945" s="691"/>
      <c r="M945" s="665" t="e">
        <f>#REF!+#REF!+#REF!+#REF!+#REF!+#REF!</f>
        <v>#REF!</v>
      </c>
      <c r="N945" s="666" t="e">
        <f t="shared" si="103"/>
        <v>#REF!</v>
      </c>
      <c r="O945" s="672"/>
      <c r="P945" s="668"/>
      <c r="Q945" s="676"/>
      <c r="R945" s="676"/>
    </row>
    <row r="946" spans="1:18" s="677" customFormat="1" ht="46.5">
      <c r="A946" s="787"/>
      <c r="B946" s="787"/>
      <c r="C946" s="792" t="s">
        <v>2021</v>
      </c>
      <c r="D946" s="787">
        <f>[8]Elec.Data!K3695</f>
        <v>89.94</v>
      </c>
      <c r="E946" s="789"/>
      <c r="F946" s="789"/>
      <c r="G946" s="1085"/>
      <c r="H946" s="691"/>
      <c r="I946" s="691"/>
      <c r="J946" s="691"/>
      <c r="K946" s="691"/>
      <c r="L946" s="691"/>
      <c r="M946" s="665" t="e">
        <f>#REF!+#REF!+#REF!+#REF!+#REF!+#REF!</f>
        <v>#REF!</v>
      </c>
      <c r="N946" s="666" t="e">
        <f t="shared" si="103"/>
        <v>#REF!</v>
      </c>
      <c r="O946" s="672"/>
      <c r="P946" s="668"/>
      <c r="Q946" s="676"/>
      <c r="R946" s="676"/>
    </row>
    <row r="947" spans="1:18" s="677" customFormat="1" ht="23.25">
      <c r="A947" s="787"/>
      <c r="B947" s="787"/>
      <c r="C947" s="792" t="s">
        <v>2022</v>
      </c>
      <c r="D947" s="787">
        <f>[8]Elec.Data!K3702</f>
        <v>54</v>
      </c>
      <c r="E947" s="789"/>
      <c r="F947" s="789"/>
      <c r="G947" s="1085"/>
      <c r="H947" s="691"/>
      <c r="I947" s="691"/>
      <c r="J947" s="691"/>
      <c r="K947" s="691"/>
      <c r="L947" s="691"/>
      <c r="M947" s="665" t="e">
        <f>#REF!+#REF!+#REF!+#REF!+#REF!+#REF!</f>
        <v>#REF!</v>
      </c>
      <c r="N947" s="666" t="e">
        <f t="shared" si="103"/>
        <v>#REF!</v>
      </c>
      <c r="O947" s="672"/>
      <c r="P947" s="668"/>
      <c r="Q947" s="676"/>
      <c r="R947" s="676"/>
    </row>
    <row r="948" spans="1:18" s="677" customFormat="1" ht="93">
      <c r="A948" s="787"/>
      <c r="B948" s="787"/>
      <c r="C948" s="792" t="s">
        <v>2023</v>
      </c>
      <c r="D948" s="787">
        <f>[8]Elec.Data!K3727</f>
        <v>6840.4</v>
      </c>
      <c r="E948" s="789"/>
      <c r="F948" s="789"/>
      <c r="G948" s="1085"/>
      <c r="H948" s="691"/>
      <c r="I948" s="691"/>
      <c r="J948" s="691"/>
      <c r="K948" s="691"/>
      <c r="L948" s="691"/>
      <c r="M948" s="665" t="e">
        <f>#REF!+#REF!+#REF!+#REF!+#REF!+#REF!</f>
        <v>#REF!</v>
      </c>
      <c r="N948" s="666" t="e">
        <f t="shared" si="103"/>
        <v>#REF!</v>
      </c>
      <c r="O948" s="672"/>
      <c r="P948" s="668"/>
      <c r="Q948" s="676"/>
      <c r="R948" s="676"/>
    </row>
    <row r="949" spans="1:18" s="677" customFormat="1" ht="23.25">
      <c r="A949" s="787"/>
      <c r="B949" s="787"/>
      <c r="C949" s="792" t="s">
        <v>2024</v>
      </c>
      <c r="D949" s="787">
        <f>[8]Elec.Data!K3774</f>
        <v>582.49</v>
      </c>
      <c r="E949" s="789"/>
      <c r="F949" s="789"/>
      <c r="G949" s="1085"/>
      <c r="H949" s="691"/>
      <c r="I949" s="691"/>
      <c r="J949" s="691"/>
      <c r="K949" s="691"/>
      <c r="L949" s="691"/>
      <c r="M949" s="665" t="e">
        <f>#REF!+#REF!+#REF!+#REF!+#REF!+#REF!</f>
        <v>#REF!</v>
      </c>
      <c r="N949" s="666" t="e">
        <f t="shared" si="103"/>
        <v>#REF!</v>
      </c>
      <c r="O949" s="672"/>
      <c r="P949" s="668"/>
      <c r="Q949" s="676"/>
      <c r="R949" s="676"/>
    </row>
    <row r="950" spans="1:18" s="677" customFormat="1" ht="46.5">
      <c r="A950" s="787"/>
      <c r="B950" s="787"/>
      <c r="C950" s="793" t="s">
        <v>2025</v>
      </c>
      <c r="D950" s="787">
        <f>[8]Elec.Data!K3815</f>
        <v>830.11</v>
      </c>
      <c r="E950" s="789"/>
      <c r="F950" s="789"/>
      <c r="G950" s="1085"/>
      <c r="H950" s="691"/>
      <c r="I950" s="691"/>
      <c r="J950" s="691"/>
      <c r="K950" s="691"/>
      <c r="L950" s="691"/>
      <c r="M950" s="665" t="e">
        <f>#REF!+#REF!+#REF!+#REF!+#REF!+#REF!</f>
        <v>#REF!</v>
      </c>
      <c r="N950" s="666" t="e">
        <f t="shared" si="103"/>
        <v>#REF!</v>
      </c>
      <c r="O950" s="672"/>
      <c r="P950" s="668"/>
      <c r="Q950" s="676"/>
      <c r="R950" s="676"/>
    </row>
    <row r="951" spans="1:18" s="677" customFormat="1" ht="46.5">
      <c r="A951" s="787"/>
      <c r="B951" s="787"/>
      <c r="C951" s="792" t="s">
        <v>2026</v>
      </c>
      <c r="D951" s="787">
        <f>[8]Elec.Data!K3841</f>
        <v>833.16</v>
      </c>
      <c r="E951" s="789"/>
      <c r="F951" s="789"/>
      <c r="G951" s="1085"/>
      <c r="H951" s="691"/>
      <c r="I951" s="691"/>
      <c r="J951" s="691"/>
      <c r="K951" s="691"/>
      <c r="L951" s="691"/>
      <c r="M951" s="665" t="e">
        <f>#REF!+#REF!+#REF!+#REF!+#REF!+#REF!</f>
        <v>#REF!</v>
      </c>
      <c r="N951" s="666" t="e">
        <f t="shared" si="103"/>
        <v>#REF!</v>
      </c>
      <c r="O951" s="672"/>
      <c r="P951" s="668"/>
      <c r="Q951" s="676"/>
      <c r="R951" s="676"/>
    </row>
    <row r="952" spans="1:18" s="677" customFormat="1" ht="69.75">
      <c r="A952" s="787"/>
      <c r="B952" s="787"/>
      <c r="C952" s="793" t="s">
        <v>2027</v>
      </c>
      <c r="D952" s="787">
        <f>[8]Elec.Data!K3857</f>
        <v>871.29</v>
      </c>
      <c r="E952" s="789"/>
      <c r="F952" s="789"/>
      <c r="G952" s="1085"/>
      <c r="H952" s="691"/>
      <c r="I952" s="691"/>
      <c r="J952" s="691"/>
      <c r="K952" s="691"/>
      <c r="L952" s="691"/>
      <c r="M952" s="665" t="e">
        <f>#REF!+#REF!+#REF!+#REF!+#REF!+#REF!</f>
        <v>#REF!</v>
      </c>
      <c r="N952" s="666" t="e">
        <f t="shared" si="103"/>
        <v>#REF!</v>
      </c>
      <c r="O952" s="672"/>
      <c r="P952" s="668"/>
      <c r="Q952" s="676"/>
      <c r="R952" s="676"/>
    </row>
    <row r="953" spans="1:18" s="677" customFormat="1" ht="69.75">
      <c r="A953" s="787"/>
      <c r="B953" s="787"/>
      <c r="C953" s="793" t="s">
        <v>2028</v>
      </c>
      <c r="D953" s="787">
        <f>[8]Elec.Data!K3879</f>
        <v>917.46</v>
      </c>
      <c r="E953" s="789"/>
      <c r="F953" s="789"/>
      <c r="G953" s="1085"/>
      <c r="H953" s="691"/>
      <c r="I953" s="691"/>
      <c r="J953" s="691"/>
      <c r="K953" s="691"/>
      <c r="L953" s="691"/>
      <c r="M953" s="665" t="e">
        <f>#REF!+#REF!+#REF!+#REF!+#REF!+#REF!</f>
        <v>#REF!</v>
      </c>
      <c r="N953" s="666" t="e">
        <f t="shared" si="103"/>
        <v>#REF!</v>
      </c>
      <c r="O953" s="672"/>
      <c r="P953" s="668"/>
      <c r="Q953" s="676"/>
      <c r="R953" s="676"/>
    </row>
    <row r="954" spans="1:18" s="677" customFormat="1" ht="69.75">
      <c r="A954" s="787"/>
      <c r="B954" s="787"/>
      <c r="C954" s="793" t="s">
        <v>2029</v>
      </c>
      <c r="D954" s="787">
        <f>[8]Elec.Data!K3899</f>
        <v>1963.99</v>
      </c>
      <c r="E954" s="789"/>
      <c r="F954" s="789"/>
      <c r="G954" s="1085"/>
      <c r="H954" s="691"/>
      <c r="I954" s="691"/>
      <c r="J954" s="691"/>
      <c r="K954" s="691"/>
      <c r="L954" s="691"/>
      <c r="M954" s="665" t="e">
        <f>#REF!+#REF!+#REF!+#REF!+#REF!+#REF!</f>
        <v>#REF!</v>
      </c>
      <c r="N954" s="666" t="e">
        <f t="shared" si="103"/>
        <v>#REF!</v>
      </c>
      <c r="O954" s="672"/>
      <c r="P954" s="668"/>
      <c r="Q954" s="676"/>
      <c r="R954" s="676"/>
    </row>
    <row r="955" spans="1:18" s="677" customFormat="1" ht="69.75">
      <c r="A955" s="787"/>
      <c r="B955" s="787"/>
      <c r="C955" s="793" t="s">
        <v>2030</v>
      </c>
      <c r="D955" s="787">
        <f>[8]Elec.Data!K3918</f>
        <v>638.45000000000005</v>
      </c>
      <c r="E955" s="789"/>
      <c r="F955" s="789"/>
      <c r="G955" s="1085"/>
      <c r="H955" s="691"/>
      <c r="I955" s="691"/>
      <c r="J955" s="691"/>
      <c r="K955" s="691"/>
      <c r="L955" s="691"/>
      <c r="M955" s="665" t="e">
        <f>#REF!+#REF!+#REF!+#REF!+#REF!+#REF!</f>
        <v>#REF!</v>
      </c>
      <c r="N955" s="666" t="e">
        <f t="shared" si="103"/>
        <v>#REF!</v>
      </c>
      <c r="O955" s="672"/>
      <c r="P955" s="668"/>
      <c r="Q955" s="676"/>
      <c r="R955" s="676"/>
    </row>
    <row r="956" spans="1:18" s="677" customFormat="1" ht="46.5">
      <c r="A956" s="787"/>
      <c r="B956" s="787"/>
      <c r="C956" s="793" t="s">
        <v>2031</v>
      </c>
      <c r="D956" s="787">
        <f>[8]Elec.Data!K3942</f>
        <v>119.23</v>
      </c>
      <c r="E956" s="789"/>
      <c r="F956" s="789"/>
      <c r="G956" s="1085"/>
      <c r="H956" s="691"/>
      <c r="I956" s="691"/>
      <c r="J956" s="691"/>
      <c r="K956" s="691"/>
      <c r="L956" s="691"/>
      <c r="M956" s="665" t="e">
        <f>#REF!+#REF!+#REF!+#REF!+#REF!+#REF!</f>
        <v>#REF!</v>
      </c>
      <c r="N956" s="666" t="e">
        <f t="shared" si="103"/>
        <v>#REF!</v>
      </c>
      <c r="O956" s="672"/>
      <c r="P956" s="668"/>
      <c r="Q956" s="676"/>
      <c r="R956" s="676"/>
    </row>
    <row r="957" spans="1:18" s="677" customFormat="1" ht="46.5">
      <c r="A957" s="787"/>
      <c r="B957" s="787"/>
      <c r="C957" s="792" t="s">
        <v>2032</v>
      </c>
      <c r="D957" s="787">
        <f>[8]Elec.Data!K3953</f>
        <v>136.43</v>
      </c>
      <c r="E957" s="789"/>
      <c r="F957" s="789"/>
      <c r="G957" s="1085"/>
      <c r="H957" s="691"/>
      <c r="I957" s="691"/>
      <c r="J957" s="691"/>
      <c r="K957" s="691"/>
      <c r="L957" s="691"/>
      <c r="M957" s="665" t="e">
        <f>#REF!+#REF!+#REF!+#REF!+#REF!+#REF!</f>
        <v>#REF!</v>
      </c>
      <c r="N957" s="666" t="e">
        <f t="shared" si="103"/>
        <v>#REF!</v>
      </c>
      <c r="O957" s="672"/>
      <c r="P957" s="668"/>
      <c r="Q957" s="676"/>
      <c r="R957" s="676"/>
    </row>
    <row r="958" spans="1:18" s="677" customFormat="1" ht="23.25">
      <c r="A958" s="787"/>
      <c r="B958" s="787"/>
      <c r="C958" s="792" t="s">
        <v>2033</v>
      </c>
      <c r="D958" s="787">
        <f>Data!R384</f>
        <v>19.964600000000001</v>
      </c>
      <c r="E958" s="789"/>
      <c r="F958" s="789"/>
      <c r="G958" s="1085"/>
      <c r="H958" s="691"/>
      <c r="I958" s="691"/>
      <c r="J958" s="691"/>
      <c r="K958" s="691"/>
      <c r="L958" s="691"/>
      <c r="M958" s="665" t="e">
        <f>#REF!+#REF!+#REF!+#REF!+#REF!+#REF!</f>
        <v>#REF!</v>
      </c>
      <c r="N958" s="666" t="e">
        <f t="shared" si="103"/>
        <v>#REF!</v>
      </c>
      <c r="O958" s="672"/>
      <c r="P958" s="668"/>
      <c r="Q958" s="676"/>
      <c r="R958" s="676"/>
    </row>
    <row r="959" spans="1:18" s="677" customFormat="1" ht="23.25">
      <c r="A959" s="787"/>
      <c r="B959" s="787"/>
      <c r="C959" s="792" t="s">
        <v>2034</v>
      </c>
      <c r="D959" s="787">
        <f>D958+D961</f>
        <v>23.614599999999999</v>
      </c>
      <c r="E959" s="789"/>
      <c r="F959" s="789"/>
      <c r="G959" s="1085"/>
      <c r="H959" s="691"/>
      <c r="I959" s="691"/>
      <c r="J959" s="691"/>
      <c r="K959" s="691"/>
      <c r="L959" s="691"/>
      <c r="M959" s="665" t="e">
        <f>#REF!+#REF!+#REF!+#REF!+#REF!+#REF!</f>
        <v>#REF!</v>
      </c>
      <c r="N959" s="666" t="e">
        <f t="shared" si="103"/>
        <v>#REF!</v>
      </c>
      <c r="O959" s="672"/>
      <c r="P959" s="668"/>
      <c r="Q959" s="676"/>
      <c r="R959" s="676"/>
    </row>
    <row r="960" spans="1:18" s="677" customFormat="1" ht="23.25">
      <c r="A960" s="787"/>
      <c r="B960" s="787"/>
      <c r="C960" s="792" t="s">
        <v>2035</v>
      </c>
      <c r="D960" s="787">
        <f>Data!R398</f>
        <v>29.067300000000003</v>
      </c>
      <c r="E960" s="789"/>
      <c r="F960" s="789"/>
      <c r="G960" s="1085"/>
      <c r="H960" s="691"/>
      <c r="I960" s="691"/>
      <c r="J960" s="691"/>
      <c r="K960" s="691"/>
      <c r="L960" s="691"/>
      <c r="M960" s="665" t="e">
        <f>#REF!+#REF!+#REF!+#REF!+#REF!+#REF!</f>
        <v>#REF!</v>
      </c>
      <c r="N960" s="666" t="e">
        <f t="shared" si="103"/>
        <v>#REF!</v>
      </c>
      <c r="O960" s="672"/>
      <c r="P960" s="668"/>
      <c r="Q960" s="676"/>
      <c r="R960" s="676"/>
    </row>
    <row r="961" spans="1:18" s="677" customFormat="1" ht="23.25">
      <c r="A961" s="787"/>
      <c r="B961" s="787"/>
      <c r="C961" s="792" t="s">
        <v>2036</v>
      </c>
      <c r="D961" s="787">
        <f>Data!I3172</f>
        <v>3.65</v>
      </c>
      <c r="E961" s="789"/>
      <c r="F961" s="789"/>
      <c r="G961" s="1085"/>
      <c r="H961" s="691"/>
      <c r="I961" s="691"/>
      <c r="J961" s="691"/>
      <c r="K961" s="691"/>
      <c r="L961" s="691"/>
      <c r="M961" s="665" t="e">
        <f>#REF!+#REF!+#REF!+#REF!+#REF!+#REF!</f>
        <v>#REF!</v>
      </c>
      <c r="N961" s="666" t="e">
        <f t="shared" si="103"/>
        <v>#REF!</v>
      </c>
      <c r="O961" s="672"/>
      <c r="P961" s="668"/>
      <c r="Q961" s="676"/>
      <c r="R961" s="676"/>
    </row>
    <row r="962" spans="1:18" s="677" customFormat="1" ht="23.25">
      <c r="A962" s="787"/>
      <c r="B962" s="787"/>
      <c r="C962" s="792" t="s">
        <v>2037</v>
      </c>
      <c r="D962" s="787">
        <f>Data!I3198</f>
        <v>7.9</v>
      </c>
      <c r="E962" s="789"/>
      <c r="F962" s="789"/>
      <c r="G962" s="1085"/>
      <c r="H962" s="691"/>
      <c r="I962" s="691"/>
      <c r="J962" s="691"/>
      <c r="K962" s="691"/>
      <c r="L962" s="691"/>
      <c r="M962" s="665" t="e">
        <f>#REF!+#REF!+#REF!+#REF!+#REF!+#REF!</f>
        <v>#REF!</v>
      </c>
      <c r="N962" s="666" t="e">
        <f t="shared" si="103"/>
        <v>#REF!</v>
      </c>
      <c r="O962" s="672"/>
      <c r="P962" s="668"/>
      <c r="Q962" s="676"/>
      <c r="R962" s="676"/>
    </row>
    <row r="963" spans="1:18" s="677" customFormat="1" ht="23.25">
      <c r="A963" s="787"/>
      <c r="B963" s="787"/>
      <c r="C963" s="792" t="s">
        <v>2038</v>
      </c>
      <c r="D963" s="787">
        <f>Data!I3212</f>
        <v>8.5</v>
      </c>
      <c r="E963" s="789"/>
      <c r="F963" s="789"/>
      <c r="G963" s="1085"/>
      <c r="H963" s="691"/>
      <c r="I963" s="691"/>
      <c r="J963" s="691"/>
      <c r="K963" s="691"/>
      <c r="L963" s="691"/>
      <c r="M963" s="665" t="e">
        <f>#REF!+#REF!+#REF!+#REF!+#REF!+#REF!</f>
        <v>#REF!</v>
      </c>
      <c r="N963" s="666" t="e">
        <f t="shared" si="103"/>
        <v>#REF!</v>
      </c>
      <c r="O963" s="672"/>
      <c r="P963" s="668"/>
      <c r="Q963" s="676"/>
      <c r="R963" s="676"/>
    </row>
    <row r="964" spans="1:18" s="677" customFormat="1" ht="23.25">
      <c r="A964" s="787"/>
      <c r="B964" s="787"/>
      <c r="C964" s="792" t="s">
        <v>2039</v>
      </c>
      <c r="D964" s="787">
        <f>Data!K3188</f>
        <v>62.39200000000001</v>
      </c>
      <c r="E964" s="789"/>
      <c r="F964" s="789"/>
      <c r="G964" s="1085"/>
      <c r="H964" s="691"/>
      <c r="I964" s="691"/>
      <c r="J964" s="691"/>
      <c r="K964" s="691"/>
      <c r="L964" s="691"/>
      <c r="M964" s="665" t="e">
        <f>#REF!+#REF!+#REF!+#REF!+#REF!+#REF!</f>
        <v>#REF!</v>
      </c>
      <c r="N964" s="666" t="e">
        <f t="shared" si="103"/>
        <v>#REF!</v>
      </c>
      <c r="O964" s="672"/>
      <c r="P964" s="668"/>
      <c r="Q964" s="676"/>
      <c r="R964" s="676"/>
    </row>
    <row r="965" spans="1:18" s="677" customFormat="1" ht="23.25">
      <c r="A965" s="787"/>
      <c r="B965" s="787"/>
      <c r="C965" s="792" t="s">
        <v>2040</v>
      </c>
      <c r="D965" s="787">
        <f>Data!K3175</f>
        <v>119.16120000000001</v>
      </c>
      <c r="E965" s="789"/>
      <c r="F965" s="789"/>
      <c r="G965" s="1085"/>
      <c r="H965" s="691"/>
      <c r="I965" s="691"/>
      <c r="J965" s="691"/>
      <c r="K965" s="691"/>
      <c r="L965" s="691"/>
      <c r="M965" s="665" t="e">
        <f>#REF!+#REF!+#REF!+#REF!+#REF!+#REF!</f>
        <v>#REF!</v>
      </c>
      <c r="N965" s="666" t="e">
        <f t="shared" si="103"/>
        <v>#REF!</v>
      </c>
      <c r="O965" s="672"/>
      <c r="P965" s="668"/>
      <c r="Q965" s="676"/>
      <c r="R965" s="676"/>
    </row>
    <row r="966" spans="1:18" s="677" customFormat="1" ht="23.25">
      <c r="A966" s="787"/>
      <c r="B966" s="787"/>
      <c r="C966" s="791" t="s">
        <v>2041</v>
      </c>
      <c r="D966" s="787">
        <f>Data!K3202</f>
        <v>81.26939999999999</v>
      </c>
      <c r="E966" s="789"/>
      <c r="F966" s="789"/>
      <c r="G966" s="1085"/>
      <c r="H966" s="691"/>
      <c r="I966" s="691"/>
      <c r="J966" s="691"/>
      <c r="K966" s="691"/>
      <c r="L966" s="691"/>
      <c r="M966" s="665" t="e">
        <f>#REF!+#REF!+#REF!+#REF!+#REF!+#REF!</f>
        <v>#REF!</v>
      </c>
      <c r="N966" s="666" t="e">
        <f t="shared" si="103"/>
        <v>#REF!</v>
      </c>
      <c r="O966" s="672"/>
      <c r="P966" s="668"/>
      <c r="Q966" s="676"/>
      <c r="R966" s="676"/>
    </row>
    <row r="967" spans="1:18" s="677" customFormat="1" ht="23.25">
      <c r="A967" s="691"/>
      <c r="B967" s="691"/>
      <c r="C967" s="789" t="s">
        <v>2042</v>
      </c>
      <c r="D967" s="691">
        <f>Data!K3247</f>
        <v>125.87060000000001</v>
      </c>
      <c r="E967" s="789"/>
      <c r="F967" s="789"/>
      <c r="G967" s="1085"/>
      <c r="H967" s="691"/>
      <c r="I967" s="691"/>
      <c r="J967" s="691"/>
      <c r="K967" s="691"/>
      <c r="L967" s="691"/>
      <c r="M967" s="665" t="e">
        <f>#REF!+#REF!+#REF!+#REF!+#REF!+#REF!</f>
        <v>#REF!</v>
      </c>
      <c r="N967" s="666" t="e">
        <f t="shared" si="103"/>
        <v>#REF!</v>
      </c>
      <c r="O967" s="672"/>
      <c r="P967" s="668"/>
      <c r="Q967" s="676"/>
      <c r="R967" s="676"/>
    </row>
    <row r="968" spans="1:18" s="677" customFormat="1" ht="23.25">
      <c r="A968" s="691"/>
      <c r="B968" s="691"/>
      <c r="C968" s="789" t="s">
        <v>2043</v>
      </c>
      <c r="D968" s="691">
        <f>Data!K3216</f>
        <v>88.277799999999999</v>
      </c>
      <c r="E968" s="789"/>
      <c r="F968" s="789"/>
      <c r="G968" s="1085"/>
      <c r="H968" s="691"/>
      <c r="I968" s="691"/>
      <c r="J968" s="691"/>
      <c r="K968" s="691"/>
      <c r="L968" s="691"/>
      <c r="M968" s="665" t="e">
        <f>#REF!+#REF!+#REF!+#REF!+#REF!+#REF!</f>
        <v>#REF!</v>
      </c>
      <c r="N968" s="666" t="e">
        <f t="shared" si="103"/>
        <v>#REF!</v>
      </c>
      <c r="O968" s="672"/>
      <c r="P968" s="668"/>
      <c r="Q968" s="676"/>
      <c r="R968" s="676"/>
    </row>
    <row r="969" spans="1:18" s="677" customFormat="1" ht="23.25">
      <c r="A969" s="691"/>
      <c r="B969" s="691"/>
      <c r="C969" s="789" t="s">
        <v>2044</v>
      </c>
      <c r="D969" s="691">
        <f>Data!K3231</f>
        <v>144.25020000000001</v>
      </c>
      <c r="E969" s="789"/>
      <c r="F969" s="789"/>
      <c r="G969" s="1085"/>
      <c r="H969" s="691"/>
      <c r="I969" s="691"/>
      <c r="J969" s="691"/>
      <c r="K969" s="691"/>
      <c r="L969" s="691"/>
      <c r="M969" s="665" t="e">
        <f>#REF!+#REF!+#REF!+#REF!+#REF!+#REF!</f>
        <v>#REF!</v>
      </c>
      <c r="N969" s="666" t="e">
        <f t="shared" si="103"/>
        <v>#REF!</v>
      </c>
      <c r="O969" s="672"/>
      <c r="P969" s="668"/>
      <c r="Q969" s="676"/>
      <c r="R969" s="676"/>
    </row>
    <row r="970" spans="1:18" s="677" customFormat="1" ht="23.25">
      <c r="A970" s="691"/>
      <c r="B970" s="691"/>
      <c r="C970" s="789" t="s">
        <v>2045</v>
      </c>
      <c r="D970" s="691">
        <f>Data!K3275</f>
        <v>81.405000000000001</v>
      </c>
      <c r="E970" s="789"/>
      <c r="F970" s="789"/>
      <c r="G970" s="1085"/>
      <c r="H970" s="691"/>
      <c r="I970" s="691"/>
      <c r="J970" s="691"/>
      <c r="K970" s="691"/>
      <c r="L970" s="691"/>
      <c r="M970" s="665" t="e">
        <f>#REF!+#REF!+#REF!+#REF!+#REF!+#REF!</f>
        <v>#REF!</v>
      </c>
      <c r="N970" s="666" t="e">
        <f t="shared" si="103"/>
        <v>#REF!</v>
      </c>
      <c r="O970" s="672"/>
      <c r="P970" s="668"/>
      <c r="Q970" s="676"/>
      <c r="R970" s="676"/>
    </row>
    <row r="971" spans="1:18" s="677" customFormat="1" ht="23.25">
      <c r="A971" s="691"/>
      <c r="B971" s="691"/>
      <c r="C971" s="789"/>
      <c r="D971" s="691"/>
      <c r="E971" s="789"/>
      <c r="F971" s="789"/>
      <c r="G971" s="1085"/>
      <c r="H971" s="691"/>
      <c r="I971" s="691"/>
      <c r="J971" s="691"/>
      <c r="K971" s="691"/>
      <c r="L971" s="691"/>
      <c r="M971" s="665" t="e">
        <f>#REF!+#REF!+#REF!+#REF!+#REF!+#REF!</f>
        <v>#REF!</v>
      </c>
      <c r="N971" s="666" t="e">
        <f t="shared" si="103"/>
        <v>#REF!</v>
      </c>
      <c r="O971" s="672"/>
      <c r="P971" s="668"/>
      <c r="Q971" s="676"/>
      <c r="R971" s="676"/>
    </row>
    <row r="972" spans="1:18" s="677" customFormat="1" ht="23.25">
      <c r="A972" s="691"/>
      <c r="B972" s="691"/>
      <c r="C972" s="789"/>
      <c r="D972" s="691"/>
      <c r="E972" s="789"/>
      <c r="F972" s="789"/>
      <c r="G972" s="1085"/>
      <c r="H972" s="691"/>
      <c r="I972" s="691"/>
      <c r="J972" s="691"/>
      <c r="K972" s="691"/>
      <c r="L972" s="691"/>
      <c r="M972" s="665" t="e">
        <f>#REF!+#REF!+#REF!+#REF!+#REF!+#REF!</f>
        <v>#REF!</v>
      </c>
      <c r="N972" s="666" t="e">
        <f t="shared" si="103"/>
        <v>#REF!</v>
      </c>
      <c r="O972" s="672"/>
      <c r="P972" s="668"/>
      <c r="Q972" s="676"/>
      <c r="R972" s="676"/>
    </row>
    <row r="973" spans="1:18" s="677" customFormat="1">
      <c r="A973" s="691"/>
      <c r="B973" s="691"/>
      <c r="C973" s="789"/>
      <c r="D973" s="691"/>
      <c r="E973" s="789"/>
      <c r="F973" s="789"/>
      <c r="G973" s="1085"/>
      <c r="H973" s="691"/>
      <c r="I973" s="691"/>
      <c r="J973" s="691"/>
      <c r="K973" s="691"/>
      <c r="L973" s="691"/>
      <c r="M973" s="659"/>
      <c r="N973" s="660"/>
      <c r="O973" s="676"/>
      <c r="P973" s="676"/>
      <c r="Q973" s="676"/>
      <c r="R973" s="676"/>
    </row>
    <row r="974" spans="1:18" s="677" customFormat="1">
      <c r="A974" s="691"/>
      <c r="B974" s="691"/>
      <c r="C974" s="789"/>
      <c r="D974" s="691"/>
      <c r="E974" s="789"/>
      <c r="F974" s="789"/>
      <c r="G974" s="1085"/>
      <c r="H974" s="691"/>
      <c r="I974" s="691"/>
      <c r="J974" s="691"/>
      <c r="K974" s="691"/>
      <c r="L974" s="691"/>
      <c r="M974" s="659"/>
      <c r="N974" s="660"/>
      <c r="O974" s="676"/>
      <c r="P974" s="676"/>
      <c r="Q974" s="676"/>
      <c r="R974" s="676"/>
    </row>
    <row r="975" spans="1:18" s="677" customFormat="1">
      <c r="A975" s="691"/>
      <c r="B975" s="691"/>
      <c r="C975" s="789"/>
      <c r="D975" s="691"/>
      <c r="E975" s="789"/>
      <c r="F975" s="789"/>
      <c r="G975" s="1085"/>
      <c r="H975" s="691"/>
      <c r="I975" s="691"/>
      <c r="J975" s="691"/>
      <c r="K975" s="691"/>
      <c r="L975" s="691"/>
      <c r="M975" s="659"/>
      <c r="N975" s="660"/>
      <c r="O975" s="676"/>
      <c r="P975" s="676"/>
      <c r="Q975" s="676"/>
      <c r="R975" s="676"/>
    </row>
    <row r="976" spans="1:18" s="677" customFormat="1">
      <c r="A976" s="691"/>
      <c r="B976" s="691"/>
      <c r="C976" s="789"/>
      <c r="D976" s="691"/>
      <c r="E976" s="789"/>
      <c r="F976" s="789"/>
      <c r="G976" s="1085"/>
      <c r="H976" s="691"/>
      <c r="I976" s="691"/>
      <c r="J976" s="691"/>
      <c r="K976" s="691"/>
      <c r="L976" s="691"/>
      <c r="M976" s="659"/>
      <c r="N976" s="660"/>
      <c r="O976" s="676"/>
      <c r="P976" s="676"/>
      <c r="Q976" s="676"/>
      <c r="R976" s="676"/>
    </row>
    <row r="977" spans="1:18" s="677" customFormat="1">
      <c r="A977" s="691"/>
      <c r="B977" s="691"/>
      <c r="C977" s="789"/>
      <c r="D977" s="691"/>
      <c r="E977" s="789"/>
      <c r="F977" s="789"/>
      <c r="G977" s="1085"/>
      <c r="H977" s="691"/>
      <c r="I977" s="691"/>
      <c r="J977" s="691"/>
      <c r="K977" s="691"/>
      <c r="L977" s="691"/>
      <c r="M977" s="659"/>
      <c r="N977" s="660"/>
      <c r="O977" s="676"/>
      <c r="P977" s="676"/>
      <c r="Q977" s="676"/>
      <c r="R977" s="676"/>
    </row>
    <row r="978" spans="1:18" s="677" customFormat="1">
      <c r="A978" s="691"/>
      <c r="B978" s="691"/>
      <c r="C978" s="789"/>
      <c r="D978" s="691"/>
      <c r="E978" s="789"/>
      <c r="F978" s="789"/>
      <c r="G978" s="1085"/>
      <c r="H978" s="691"/>
      <c r="I978" s="691"/>
      <c r="J978" s="691"/>
      <c r="K978" s="691"/>
      <c r="L978" s="691"/>
      <c r="M978" s="659"/>
      <c r="N978" s="660"/>
      <c r="O978" s="676"/>
      <c r="P978" s="676"/>
      <c r="Q978" s="676"/>
      <c r="R978" s="676"/>
    </row>
    <row r="979" spans="1:18" s="677" customFormat="1">
      <c r="A979" s="691"/>
      <c r="B979" s="691"/>
      <c r="C979" s="789"/>
      <c r="D979" s="691"/>
      <c r="E979" s="789"/>
      <c r="F979" s="789"/>
      <c r="G979" s="1085"/>
      <c r="H979" s="691"/>
      <c r="I979" s="691"/>
      <c r="J979" s="691"/>
      <c r="K979" s="691"/>
      <c r="L979" s="691"/>
      <c r="M979" s="659"/>
      <c r="N979" s="660"/>
      <c r="O979" s="676"/>
      <c r="P979" s="676"/>
      <c r="Q979" s="676"/>
      <c r="R979" s="676"/>
    </row>
    <row r="980" spans="1:18" s="677" customFormat="1">
      <c r="A980" s="691"/>
      <c r="B980" s="691"/>
      <c r="C980" s="789"/>
      <c r="D980" s="691"/>
      <c r="E980" s="789"/>
      <c r="F980" s="789"/>
      <c r="G980" s="1085"/>
      <c r="H980" s="691"/>
      <c r="I980" s="691"/>
      <c r="J980" s="691"/>
      <c r="K980" s="691"/>
      <c r="L980" s="691"/>
      <c r="M980" s="659"/>
      <c r="N980" s="660"/>
      <c r="O980" s="676"/>
      <c r="P980" s="676"/>
      <c r="Q980" s="676"/>
      <c r="R980" s="676"/>
    </row>
    <row r="981" spans="1:18">
      <c r="M981" s="659"/>
      <c r="N981" s="660"/>
    </row>
    <row r="982" spans="1:18">
      <c r="M982" s="659"/>
      <c r="N982" s="660"/>
    </row>
    <row r="983" spans="1:18">
      <c r="M983" s="659"/>
      <c r="N983" s="660"/>
    </row>
    <row r="984" spans="1:18">
      <c r="M984" s="659"/>
      <c r="N984" s="660"/>
    </row>
    <row r="985" spans="1:18">
      <c r="M985" s="659"/>
      <c r="N985" s="660"/>
    </row>
    <row r="986" spans="1:18">
      <c r="M986" s="659"/>
      <c r="N986" s="660"/>
    </row>
    <row r="987" spans="1:18">
      <c r="M987" s="659"/>
      <c r="N987" s="660"/>
    </row>
    <row r="988" spans="1:18">
      <c r="M988" s="659"/>
      <c r="N988" s="660"/>
    </row>
    <row r="989" spans="1:18">
      <c r="M989" s="659"/>
      <c r="N989" s="660"/>
    </row>
    <row r="990" spans="1:18">
      <c r="M990" s="659"/>
      <c r="N990" s="660"/>
    </row>
    <row r="991" spans="1:18">
      <c r="M991" s="659"/>
      <c r="N991" s="660"/>
    </row>
    <row r="993" spans="13:18">
      <c r="M993" s="796"/>
      <c r="N993" s="794"/>
      <c r="O993" s="670"/>
      <c r="P993" s="670"/>
      <c r="Q993" s="670"/>
      <c r="R993" s="670"/>
    </row>
    <row r="994" spans="13:18">
      <c r="M994" s="796"/>
      <c r="N994" s="794"/>
      <c r="O994" s="670"/>
      <c r="P994" s="670"/>
      <c r="Q994" s="670"/>
      <c r="R994" s="670"/>
    </row>
    <row r="995" spans="13:18">
      <c r="M995" s="796"/>
      <c r="N995" s="794"/>
      <c r="O995" s="670"/>
      <c r="P995" s="670"/>
      <c r="Q995" s="670"/>
      <c r="R995" s="670"/>
    </row>
    <row r="996" spans="13:18">
      <c r="M996" s="796"/>
      <c r="N996" s="794"/>
      <c r="O996" s="670"/>
      <c r="P996" s="670"/>
      <c r="Q996" s="670"/>
      <c r="R996" s="670"/>
    </row>
    <row r="997" spans="13:18">
      <c r="M997" s="796"/>
      <c r="N997" s="794"/>
      <c r="O997" s="670"/>
      <c r="P997" s="670"/>
      <c r="Q997" s="670"/>
      <c r="R997" s="670"/>
    </row>
    <row r="998" spans="13:18">
      <c r="M998" s="796"/>
      <c r="N998" s="794"/>
      <c r="O998" s="670"/>
      <c r="P998" s="670"/>
      <c r="Q998" s="670"/>
      <c r="R998" s="670"/>
    </row>
    <row r="999" spans="13:18">
      <c r="M999" s="796"/>
      <c r="N999" s="794"/>
      <c r="O999" s="670"/>
      <c r="P999" s="670"/>
      <c r="Q999" s="670"/>
      <c r="R999" s="670"/>
    </row>
    <row r="1000" spans="13:18">
      <c r="M1000" s="796"/>
      <c r="N1000" s="794"/>
      <c r="O1000" s="670"/>
      <c r="P1000" s="670"/>
      <c r="Q1000" s="670"/>
      <c r="R1000" s="670"/>
    </row>
    <row r="1001" spans="13:18">
      <c r="M1001" s="796"/>
      <c r="N1001" s="794"/>
      <c r="O1001" s="670"/>
      <c r="P1001" s="670"/>
      <c r="Q1001" s="670"/>
      <c r="R1001" s="670"/>
    </row>
    <row r="1002" spans="13:18">
      <c r="M1002" s="796"/>
      <c r="N1002" s="794"/>
      <c r="O1002" s="670"/>
      <c r="P1002" s="670"/>
      <c r="Q1002" s="670"/>
      <c r="R1002" s="670"/>
    </row>
    <row r="1003" spans="13:18">
      <c r="M1003" s="796"/>
      <c r="N1003" s="794"/>
      <c r="O1003" s="670"/>
      <c r="P1003" s="670"/>
      <c r="Q1003" s="670"/>
      <c r="R1003" s="670"/>
    </row>
    <row r="1004" spans="13:18">
      <c r="M1004" s="796"/>
      <c r="N1004" s="794"/>
      <c r="O1004" s="670"/>
      <c r="P1004" s="670"/>
      <c r="Q1004" s="670"/>
      <c r="R1004" s="670"/>
    </row>
    <row r="1005" spans="13:18">
      <c r="M1005" s="796"/>
      <c r="N1005" s="794"/>
      <c r="O1005" s="670"/>
      <c r="P1005" s="670"/>
      <c r="Q1005" s="670"/>
      <c r="R1005" s="670"/>
    </row>
    <row r="1006" spans="13:18">
      <c r="M1006" s="796"/>
      <c r="N1006" s="794"/>
      <c r="O1006" s="670"/>
      <c r="P1006" s="670"/>
      <c r="Q1006" s="670"/>
      <c r="R1006" s="670"/>
    </row>
    <row r="1007" spans="13:18">
      <c r="M1007" s="796"/>
      <c r="N1007" s="794"/>
      <c r="O1007" s="670"/>
      <c r="P1007" s="670"/>
      <c r="Q1007" s="670"/>
      <c r="R1007" s="670"/>
    </row>
    <row r="1008" spans="13:18">
      <c r="M1008" s="796"/>
      <c r="N1008" s="794"/>
      <c r="O1008" s="670"/>
      <c r="P1008" s="670"/>
      <c r="Q1008" s="670"/>
      <c r="R1008" s="670"/>
    </row>
    <row r="1009" spans="13:18">
      <c r="M1009" s="796"/>
      <c r="N1009" s="794"/>
      <c r="O1009" s="670"/>
      <c r="P1009" s="670"/>
      <c r="Q1009" s="670"/>
      <c r="R1009" s="670"/>
    </row>
    <row r="1010" spans="13:18">
      <c r="M1010" s="796"/>
      <c r="N1010" s="794"/>
      <c r="O1010" s="670"/>
      <c r="P1010" s="670"/>
      <c r="Q1010" s="670"/>
      <c r="R1010" s="670"/>
    </row>
    <row r="1011" spans="13:18">
      <c r="M1011" s="796"/>
      <c r="N1011" s="794"/>
      <c r="O1011" s="670"/>
      <c r="P1011" s="670"/>
      <c r="Q1011" s="670"/>
      <c r="R1011" s="670"/>
    </row>
  </sheetData>
  <autoFilter ref="A5:Z998"/>
  <mergeCells count="12">
    <mergeCell ref="A1:F1"/>
    <mergeCell ref="A3:A4"/>
    <mergeCell ref="B3:B4"/>
    <mergeCell ref="C3:C4"/>
    <mergeCell ref="D3:D4"/>
    <mergeCell ref="E3:E4"/>
    <mergeCell ref="F3:F4"/>
    <mergeCell ref="G3:H3"/>
    <mergeCell ref="I3:J3"/>
    <mergeCell ref="K3:L3"/>
    <mergeCell ref="M3:N3"/>
    <mergeCell ref="O3:P3"/>
  </mergeCells>
  <pageMargins left="0.66" right="0.66" top="0.55000000000000004" bottom="0.55000000000000004" header="0.27559055118110198" footer="0.43307086614173201"/>
  <pageSetup paperSize="8" scale="60" orientation="portrait" r:id="rId1"/>
  <headerFooter alignWithMargins="0">
    <oddHeader>&amp;R&amp;P</oddHeader>
  </headerFooter>
</worksheet>
</file>

<file path=xl/worksheets/sheet7.xml><?xml version="1.0" encoding="utf-8"?>
<worksheet xmlns="http://schemas.openxmlformats.org/spreadsheetml/2006/main" xmlns:r="http://schemas.openxmlformats.org/officeDocument/2006/relationships">
  <sheetPr>
    <tabColor rgb="FFFF0000"/>
  </sheetPr>
  <dimension ref="A1:V33"/>
  <sheetViews>
    <sheetView view="pageBreakPreview" zoomScaleNormal="70" zoomScaleSheetLayoutView="100" workbookViewId="0">
      <pane ySplit="1" topLeftCell="A7" activePane="bottomLeft" state="frozen"/>
      <selection activeCell="D425" sqref="D425"/>
      <selection pane="bottomLeft" activeCell="D425" sqref="D425"/>
    </sheetView>
  </sheetViews>
  <sheetFormatPr defaultColWidth="7.109375" defaultRowHeight="12.75"/>
  <cols>
    <col min="1" max="3" width="7.109375" style="1088"/>
    <col min="4" max="4" width="11.21875" style="1088" customWidth="1"/>
    <col min="5" max="5" width="7.109375" style="1088"/>
    <col min="6" max="6" width="4.88671875" style="1088" customWidth="1"/>
    <col min="7" max="7" width="8" style="1088" customWidth="1"/>
    <col min="8" max="8" width="6.44140625" style="1088" customWidth="1"/>
    <col min="9" max="9" width="4.21875" style="1088" customWidth="1"/>
    <col min="10" max="10" width="8.21875" style="1088" customWidth="1"/>
    <col min="11" max="11" width="5.88671875" style="1088" customWidth="1"/>
    <col min="12" max="12" width="6.109375" style="1088" customWidth="1"/>
    <col min="13" max="259" width="7.109375" style="1088"/>
    <col min="260" max="260" width="11.21875" style="1088" customWidth="1"/>
    <col min="261" max="261" width="7.109375" style="1088"/>
    <col min="262" max="262" width="4.88671875" style="1088" customWidth="1"/>
    <col min="263" max="263" width="8" style="1088" customWidth="1"/>
    <col min="264" max="264" width="6.44140625" style="1088" customWidth="1"/>
    <col min="265" max="265" width="4.21875" style="1088" customWidth="1"/>
    <col min="266" max="266" width="8.21875" style="1088" customWidth="1"/>
    <col min="267" max="267" width="5.88671875" style="1088" customWidth="1"/>
    <col min="268" max="268" width="6.109375" style="1088" customWidth="1"/>
    <col min="269" max="515" width="7.109375" style="1088"/>
    <col min="516" max="516" width="11.21875" style="1088" customWidth="1"/>
    <col min="517" max="517" width="7.109375" style="1088"/>
    <col min="518" max="518" width="4.88671875" style="1088" customWidth="1"/>
    <col min="519" max="519" width="8" style="1088" customWidth="1"/>
    <col min="520" max="520" width="6.44140625" style="1088" customWidth="1"/>
    <col min="521" max="521" width="4.21875" style="1088" customWidth="1"/>
    <col min="522" max="522" width="8.21875" style="1088" customWidth="1"/>
    <col min="523" max="523" width="5.88671875" style="1088" customWidth="1"/>
    <col min="524" max="524" width="6.109375" style="1088" customWidth="1"/>
    <col min="525" max="771" width="7.109375" style="1088"/>
    <col min="772" max="772" width="11.21875" style="1088" customWidth="1"/>
    <col min="773" max="773" width="7.109375" style="1088"/>
    <col min="774" max="774" width="4.88671875" style="1088" customWidth="1"/>
    <col min="775" max="775" width="8" style="1088" customWidth="1"/>
    <col min="776" max="776" width="6.44140625" style="1088" customWidth="1"/>
    <col min="777" max="777" width="4.21875" style="1088" customWidth="1"/>
    <col min="778" max="778" width="8.21875" style="1088" customWidth="1"/>
    <col min="779" max="779" width="5.88671875" style="1088" customWidth="1"/>
    <col min="780" max="780" width="6.109375" style="1088" customWidth="1"/>
    <col min="781" max="1027" width="7.109375" style="1088"/>
    <col min="1028" max="1028" width="11.21875" style="1088" customWidth="1"/>
    <col min="1029" max="1029" width="7.109375" style="1088"/>
    <col min="1030" max="1030" width="4.88671875" style="1088" customWidth="1"/>
    <col min="1031" max="1031" width="8" style="1088" customWidth="1"/>
    <col min="1032" max="1032" width="6.44140625" style="1088" customWidth="1"/>
    <col min="1033" max="1033" width="4.21875" style="1088" customWidth="1"/>
    <col min="1034" max="1034" width="8.21875" style="1088" customWidth="1"/>
    <col min="1035" max="1035" width="5.88671875" style="1088" customWidth="1"/>
    <col min="1036" max="1036" width="6.109375" style="1088" customWidth="1"/>
    <col min="1037" max="1283" width="7.109375" style="1088"/>
    <col min="1284" max="1284" width="11.21875" style="1088" customWidth="1"/>
    <col min="1285" max="1285" width="7.109375" style="1088"/>
    <col min="1286" max="1286" width="4.88671875" style="1088" customWidth="1"/>
    <col min="1287" max="1287" width="8" style="1088" customWidth="1"/>
    <col min="1288" max="1288" width="6.44140625" style="1088" customWidth="1"/>
    <col min="1289" max="1289" width="4.21875" style="1088" customWidth="1"/>
    <col min="1290" max="1290" width="8.21875" style="1088" customWidth="1"/>
    <col min="1291" max="1291" width="5.88671875" style="1088" customWidth="1"/>
    <col min="1292" max="1292" width="6.109375" style="1088" customWidth="1"/>
    <col min="1293" max="1539" width="7.109375" style="1088"/>
    <col min="1540" max="1540" width="11.21875" style="1088" customWidth="1"/>
    <col min="1541" max="1541" width="7.109375" style="1088"/>
    <col min="1542" max="1542" width="4.88671875" style="1088" customWidth="1"/>
    <col min="1543" max="1543" width="8" style="1088" customWidth="1"/>
    <col min="1544" max="1544" width="6.44140625" style="1088" customWidth="1"/>
    <col min="1545" max="1545" width="4.21875" style="1088" customWidth="1"/>
    <col min="1546" max="1546" width="8.21875" style="1088" customWidth="1"/>
    <col min="1547" max="1547" width="5.88671875" style="1088" customWidth="1"/>
    <col min="1548" max="1548" width="6.109375" style="1088" customWidth="1"/>
    <col min="1549" max="1795" width="7.109375" style="1088"/>
    <col min="1796" max="1796" width="11.21875" style="1088" customWidth="1"/>
    <col min="1797" max="1797" width="7.109375" style="1088"/>
    <col min="1798" max="1798" width="4.88671875" style="1088" customWidth="1"/>
    <col min="1799" max="1799" width="8" style="1088" customWidth="1"/>
    <col min="1800" max="1800" width="6.44140625" style="1088" customWidth="1"/>
    <col min="1801" max="1801" width="4.21875" style="1088" customWidth="1"/>
    <col min="1802" max="1802" width="8.21875" style="1088" customWidth="1"/>
    <col min="1803" max="1803" width="5.88671875" style="1088" customWidth="1"/>
    <col min="1804" max="1804" width="6.109375" style="1088" customWidth="1"/>
    <col min="1805" max="2051" width="7.109375" style="1088"/>
    <col min="2052" max="2052" width="11.21875" style="1088" customWidth="1"/>
    <col min="2053" max="2053" width="7.109375" style="1088"/>
    <col min="2054" max="2054" width="4.88671875" style="1088" customWidth="1"/>
    <col min="2055" max="2055" width="8" style="1088" customWidth="1"/>
    <col min="2056" max="2056" width="6.44140625" style="1088" customWidth="1"/>
    <col min="2057" max="2057" width="4.21875" style="1088" customWidth="1"/>
    <col min="2058" max="2058" width="8.21875" style="1088" customWidth="1"/>
    <col min="2059" max="2059" width="5.88671875" style="1088" customWidth="1"/>
    <col min="2060" max="2060" width="6.109375" style="1088" customWidth="1"/>
    <col min="2061" max="2307" width="7.109375" style="1088"/>
    <col min="2308" max="2308" width="11.21875" style="1088" customWidth="1"/>
    <col min="2309" max="2309" width="7.109375" style="1088"/>
    <col min="2310" max="2310" width="4.88671875" style="1088" customWidth="1"/>
    <col min="2311" max="2311" width="8" style="1088" customWidth="1"/>
    <col min="2312" max="2312" width="6.44140625" style="1088" customWidth="1"/>
    <col min="2313" max="2313" width="4.21875" style="1088" customWidth="1"/>
    <col min="2314" max="2314" width="8.21875" style="1088" customWidth="1"/>
    <col min="2315" max="2315" width="5.88671875" style="1088" customWidth="1"/>
    <col min="2316" max="2316" width="6.109375" style="1088" customWidth="1"/>
    <col min="2317" max="2563" width="7.109375" style="1088"/>
    <col min="2564" max="2564" width="11.21875" style="1088" customWidth="1"/>
    <col min="2565" max="2565" width="7.109375" style="1088"/>
    <col min="2566" max="2566" width="4.88671875" style="1088" customWidth="1"/>
    <col min="2567" max="2567" width="8" style="1088" customWidth="1"/>
    <col min="2568" max="2568" width="6.44140625" style="1088" customWidth="1"/>
    <col min="2569" max="2569" width="4.21875" style="1088" customWidth="1"/>
    <col min="2570" max="2570" width="8.21875" style="1088" customWidth="1"/>
    <col min="2571" max="2571" width="5.88671875" style="1088" customWidth="1"/>
    <col min="2572" max="2572" width="6.109375" style="1088" customWidth="1"/>
    <col min="2573" max="2819" width="7.109375" style="1088"/>
    <col min="2820" max="2820" width="11.21875" style="1088" customWidth="1"/>
    <col min="2821" max="2821" width="7.109375" style="1088"/>
    <col min="2822" max="2822" width="4.88671875" style="1088" customWidth="1"/>
    <col min="2823" max="2823" width="8" style="1088" customWidth="1"/>
    <col min="2824" max="2824" width="6.44140625" style="1088" customWidth="1"/>
    <col min="2825" max="2825" width="4.21875" style="1088" customWidth="1"/>
    <col min="2826" max="2826" width="8.21875" style="1088" customWidth="1"/>
    <col min="2827" max="2827" width="5.88671875" style="1088" customWidth="1"/>
    <col min="2828" max="2828" width="6.109375" style="1088" customWidth="1"/>
    <col min="2829" max="3075" width="7.109375" style="1088"/>
    <col min="3076" max="3076" width="11.21875" style="1088" customWidth="1"/>
    <col min="3077" max="3077" width="7.109375" style="1088"/>
    <col min="3078" max="3078" width="4.88671875" style="1088" customWidth="1"/>
    <col min="3079" max="3079" width="8" style="1088" customWidth="1"/>
    <col min="3080" max="3080" width="6.44140625" style="1088" customWidth="1"/>
    <col min="3081" max="3081" width="4.21875" style="1088" customWidth="1"/>
    <col min="3082" max="3082" width="8.21875" style="1088" customWidth="1"/>
    <col min="3083" max="3083" width="5.88671875" style="1088" customWidth="1"/>
    <col min="3084" max="3084" width="6.109375" style="1088" customWidth="1"/>
    <col min="3085" max="3331" width="7.109375" style="1088"/>
    <col min="3332" max="3332" width="11.21875" style="1088" customWidth="1"/>
    <col min="3333" max="3333" width="7.109375" style="1088"/>
    <col min="3334" max="3334" width="4.88671875" style="1088" customWidth="1"/>
    <col min="3335" max="3335" width="8" style="1088" customWidth="1"/>
    <col min="3336" max="3336" width="6.44140625" style="1088" customWidth="1"/>
    <col min="3337" max="3337" width="4.21875" style="1088" customWidth="1"/>
    <col min="3338" max="3338" width="8.21875" style="1088" customWidth="1"/>
    <col min="3339" max="3339" width="5.88671875" style="1088" customWidth="1"/>
    <col min="3340" max="3340" width="6.109375" style="1088" customWidth="1"/>
    <col min="3341" max="3587" width="7.109375" style="1088"/>
    <col min="3588" max="3588" width="11.21875" style="1088" customWidth="1"/>
    <col min="3589" max="3589" width="7.109375" style="1088"/>
    <col min="3590" max="3590" width="4.88671875" style="1088" customWidth="1"/>
    <col min="3591" max="3591" width="8" style="1088" customWidth="1"/>
    <col min="3592" max="3592" width="6.44140625" style="1088" customWidth="1"/>
    <col min="3593" max="3593" width="4.21875" style="1088" customWidth="1"/>
    <col min="3594" max="3594" width="8.21875" style="1088" customWidth="1"/>
    <col min="3595" max="3595" width="5.88671875" style="1088" customWidth="1"/>
    <col min="3596" max="3596" width="6.109375" style="1088" customWidth="1"/>
    <col min="3597" max="3843" width="7.109375" style="1088"/>
    <col min="3844" max="3844" width="11.21875" style="1088" customWidth="1"/>
    <col min="3845" max="3845" width="7.109375" style="1088"/>
    <col min="3846" max="3846" width="4.88671875" style="1088" customWidth="1"/>
    <col min="3847" max="3847" width="8" style="1088" customWidth="1"/>
    <col min="3848" max="3848" width="6.44140625" style="1088" customWidth="1"/>
    <col min="3849" max="3849" width="4.21875" style="1088" customWidth="1"/>
    <col min="3850" max="3850" width="8.21875" style="1088" customWidth="1"/>
    <col min="3851" max="3851" width="5.88671875" style="1088" customWidth="1"/>
    <col min="3852" max="3852" width="6.109375" style="1088" customWidth="1"/>
    <col min="3853" max="4099" width="7.109375" style="1088"/>
    <col min="4100" max="4100" width="11.21875" style="1088" customWidth="1"/>
    <col min="4101" max="4101" width="7.109375" style="1088"/>
    <col min="4102" max="4102" width="4.88671875" style="1088" customWidth="1"/>
    <col min="4103" max="4103" width="8" style="1088" customWidth="1"/>
    <col min="4104" max="4104" width="6.44140625" style="1088" customWidth="1"/>
    <col min="4105" max="4105" width="4.21875" style="1088" customWidth="1"/>
    <col min="4106" max="4106" width="8.21875" style="1088" customWidth="1"/>
    <col min="4107" max="4107" width="5.88671875" style="1088" customWidth="1"/>
    <col min="4108" max="4108" width="6.109375" style="1088" customWidth="1"/>
    <col min="4109" max="4355" width="7.109375" style="1088"/>
    <col min="4356" max="4356" width="11.21875" style="1088" customWidth="1"/>
    <col min="4357" max="4357" width="7.109375" style="1088"/>
    <col min="4358" max="4358" width="4.88671875" style="1088" customWidth="1"/>
    <col min="4359" max="4359" width="8" style="1088" customWidth="1"/>
    <col min="4360" max="4360" width="6.44140625" style="1088" customWidth="1"/>
    <col min="4361" max="4361" width="4.21875" style="1088" customWidth="1"/>
    <col min="4362" max="4362" width="8.21875" style="1088" customWidth="1"/>
    <col min="4363" max="4363" width="5.88671875" style="1088" customWidth="1"/>
    <col min="4364" max="4364" width="6.109375" style="1088" customWidth="1"/>
    <col min="4365" max="4611" width="7.109375" style="1088"/>
    <col min="4612" max="4612" width="11.21875" style="1088" customWidth="1"/>
    <col min="4613" max="4613" width="7.109375" style="1088"/>
    <col min="4614" max="4614" width="4.88671875" style="1088" customWidth="1"/>
    <col min="4615" max="4615" width="8" style="1088" customWidth="1"/>
    <col min="4616" max="4616" width="6.44140625" style="1088" customWidth="1"/>
    <col min="4617" max="4617" width="4.21875" style="1088" customWidth="1"/>
    <col min="4618" max="4618" width="8.21875" style="1088" customWidth="1"/>
    <col min="4619" max="4619" width="5.88671875" style="1088" customWidth="1"/>
    <col min="4620" max="4620" width="6.109375" style="1088" customWidth="1"/>
    <col min="4621" max="4867" width="7.109375" style="1088"/>
    <col min="4868" max="4868" width="11.21875" style="1088" customWidth="1"/>
    <col min="4869" max="4869" width="7.109375" style="1088"/>
    <col min="4870" max="4870" width="4.88671875" style="1088" customWidth="1"/>
    <col min="4871" max="4871" width="8" style="1088" customWidth="1"/>
    <col min="4872" max="4872" width="6.44140625" style="1088" customWidth="1"/>
    <col min="4873" max="4873" width="4.21875" style="1088" customWidth="1"/>
    <col min="4874" max="4874" width="8.21875" style="1088" customWidth="1"/>
    <col min="4875" max="4875" width="5.88671875" style="1088" customWidth="1"/>
    <col min="4876" max="4876" width="6.109375" style="1088" customWidth="1"/>
    <col min="4877" max="5123" width="7.109375" style="1088"/>
    <col min="5124" max="5124" width="11.21875" style="1088" customWidth="1"/>
    <col min="5125" max="5125" width="7.109375" style="1088"/>
    <col min="5126" max="5126" width="4.88671875" style="1088" customWidth="1"/>
    <col min="5127" max="5127" width="8" style="1088" customWidth="1"/>
    <col min="5128" max="5128" width="6.44140625" style="1088" customWidth="1"/>
    <col min="5129" max="5129" width="4.21875" style="1088" customWidth="1"/>
    <col min="5130" max="5130" width="8.21875" style="1088" customWidth="1"/>
    <col min="5131" max="5131" width="5.88671875" style="1088" customWidth="1"/>
    <col min="5132" max="5132" width="6.109375" style="1088" customWidth="1"/>
    <col min="5133" max="5379" width="7.109375" style="1088"/>
    <col min="5380" max="5380" width="11.21875" style="1088" customWidth="1"/>
    <col min="5381" max="5381" width="7.109375" style="1088"/>
    <col min="5382" max="5382" width="4.88671875" style="1088" customWidth="1"/>
    <col min="5383" max="5383" width="8" style="1088" customWidth="1"/>
    <col min="5384" max="5384" width="6.44140625" style="1088" customWidth="1"/>
    <col min="5385" max="5385" width="4.21875" style="1088" customWidth="1"/>
    <col min="5386" max="5386" width="8.21875" style="1088" customWidth="1"/>
    <col min="5387" max="5387" width="5.88671875" style="1088" customWidth="1"/>
    <col min="5388" max="5388" width="6.109375" style="1088" customWidth="1"/>
    <col min="5389" max="5635" width="7.109375" style="1088"/>
    <col min="5636" max="5636" width="11.21875" style="1088" customWidth="1"/>
    <col min="5637" max="5637" width="7.109375" style="1088"/>
    <col min="5638" max="5638" width="4.88671875" style="1088" customWidth="1"/>
    <col min="5639" max="5639" width="8" style="1088" customWidth="1"/>
    <col min="5640" max="5640" width="6.44140625" style="1088" customWidth="1"/>
    <col min="5641" max="5641" width="4.21875" style="1088" customWidth="1"/>
    <col min="5642" max="5642" width="8.21875" style="1088" customWidth="1"/>
    <col min="5643" max="5643" width="5.88671875" style="1088" customWidth="1"/>
    <col min="5644" max="5644" width="6.109375" style="1088" customWidth="1"/>
    <col min="5645" max="5891" width="7.109375" style="1088"/>
    <col min="5892" max="5892" width="11.21875" style="1088" customWidth="1"/>
    <col min="5893" max="5893" width="7.109375" style="1088"/>
    <col min="5894" max="5894" width="4.88671875" style="1088" customWidth="1"/>
    <col min="5895" max="5895" width="8" style="1088" customWidth="1"/>
    <col min="5896" max="5896" width="6.44140625" style="1088" customWidth="1"/>
    <col min="5897" max="5897" width="4.21875" style="1088" customWidth="1"/>
    <col min="5898" max="5898" width="8.21875" style="1088" customWidth="1"/>
    <col min="5899" max="5899" width="5.88671875" style="1088" customWidth="1"/>
    <col min="5900" max="5900" width="6.109375" style="1088" customWidth="1"/>
    <col min="5901" max="6147" width="7.109375" style="1088"/>
    <col min="6148" max="6148" width="11.21875" style="1088" customWidth="1"/>
    <col min="6149" max="6149" width="7.109375" style="1088"/>
    <col min="6150" max="6150" width="4.88671875" style="1088" customWidth="1"/>
    <col min="6151" max="6151" width="8" style="1088" customWidth="1"/>
    <col min="6152" max="6152" width="6.44140625" style="1088" customWidth="1"/>
    <col min="6153" max="6153" width="4.21875" style="1088" customWidth="1"/>
    <col min="6154" max="6154" width="8.21875" style="1088" customWidth="1"/>
    <col min="6155" max="6155" width="5.88671875" style="1088" customWidth="1"/>
    <col min="6156" max="6156" width="6.109375" style="1088" customWidth="1"/>
    <col min="6157" max="6403" width="7.109375" style="1088"/>
    <col min="6404" max="6404" width="11.21875" style="1088" customWidth="1"/>
    <col min="6405" max="6405" width="7.109375" style="1088"/>
    <col min="6406" max="6406" width="4.88671875" style="1088" customWidth="1"/>
    <col min="6407" max="6407" width="8" style="1088" customWidth="1"/>
    <col min="6408" max="6408" width="6.44140625" style="1088" customWidth="1"/>
    <col min="6409" max="6409" width="4.21875" style="1088" customWidth="1"/>
    <col min="6410" max="6410" width="8.21875" style="1088" customWidth="1"/>
    <col min="6411" max="6411" width="5.88671875" style="1088" customWidth="1"/>
    <col min="6412" max="6412" width="6.109375" style="1088" customWidth="1"/>
    <col min="6413" max="6659" width="7.109375" style="1088"/>
    <col min="6660" max="6660" width="11.21875" style="1088" customWidth="1"/>
    <col min="6661" max="6661" width="7.109375" style="1088"/>
    <col min="6662" max="6662" width="4.88671875" style="1088" customWidth="1"/>
    <col min="6663" max="6663" width="8" style="1088" customWidth="1"/>
    <col min="6664" max="6664" width="6.44140625" style="1088" customWidth="1"/>
    <col min="6665" max="6665" width="4.21875" style="1088" customWidth="1"/>
    <col min="6666" max="6666" width="8.21875" style="1088" customWidth="1"/>
    <col min="6667" max="6667" width="5.88671875" style="1088" customWidth="1"/>
    <col min="6668" max="6668" width="6.109375" style="1088" customWidth="1"/>
    <col min="6669" max="6915" width="7.109375" style="1088"/>
    <col min="6916" max="6916" width="11.21875" style="1088" customWidth="1"/>
    <col min="6917" max="6917" width="7.109375" style="1088"/>
    <col min="6918" max="6918" width="4.88671875" style="1088" customWidth="1"/>
    <col min="6919" max="6919" width="8" style="1088" customWidth="1"/>
    <col min="6920" max="6920" width="6.44140625" style="1088" customWidth="1"/>
    <col min="6921" max="6921" width="4.21875" style="1088" customWidth="1"/>
    <col min="6922" max="6922" width="8.21875" style="1088" customWidth="1"/>
    <col min="6923" max="6923" width="5.88671875" style="1088" customWidth="1"/>
    <col min="6924" max="6924" width="6.109375" style="1088" customWidth="1"/>
    <col min="6925" max="7171" width="7.109375" style="1088"/>
    <col min="7172" max="7172" width="11.21875" style="1088" customWidth="1"/>
    <col min="7173" max="7173" width="7.109375" style="1088"/>
    <col min="7174" max="7174" width="4.88671875" style="1088" customWidth="1"/>
    <col min="7175" max="7175" width="8" style="1088" customWidth="1"/>
    <col min="7176" max="7176" width="6.44140625" style="1088" customWidth="1"/>
    <col min="7177" max="7177" width="4.21875" style="1088" customWidth="1"/>
    <col min="7178" max="7178" width="8.21875" style="1088" customWidth="1"/>
    <col min="7179" max="7179" width="5.88671875" style="1088" customWidth="1"/>
    <col min="7180" max="7180" width="6.109375" style="1088" customWidth="1"/>
    <col min="7181" max="7427" width="7.109375" style="1088"/>
    <col min="7428" max="7428" width="11.21875" style="1088" customWidth="1"/>
    <col min="7429" max="7429" width="7.109375" style="1088"/>
    <col min="7430" max="7430" width="4.88671875" style="1088" customWidth="1"/>
    <col min="7431" max="7431" width="8" style="1088" customWidth="1"/>
    <col min="7432" max="7432" width="6.44140625" style="1088" customWidth="1"/>
    <col min="7433" max="7433" width="4.21875" style="1088" customWidth="1"/>
    <col min="7434" max="7434" width="8.21875" style="1088" customWidth="1"/>
    <col min="7435" max="7435" width="5.88671875" style="1088" customWidth="1"/>
    <col min="7436" max="7436" width="6.109375" style="1088" customWidth="1"/>
    <col min="7437" max="7683" width="7.109375" style="1088"/>
    <col min="7684" max="7684" width="11.21875" style="1088" customWidth="1"/>
    <col min="7685" max="7685" width="7.109375" style="1088"/>
    <col min="7686" max="7686" width="4.88671875" style="1088" customWidth="1"/>
    <col min="7687" max="7687" width="8" style="1088" customWidth="1"/>
    <col min="7688" max="7688" width="6.44140625" style="1088" customWidth="1"/>
    <col min="7689" max="7689" width="4.21875" style="1088" customWidth="1"/>
    <col min="7690" max="7690" width="8.21875" style="1088" customWidth="1"/>
    <col min="7691" max="7691" width="5.88671875" style="1088" customWidth="1"/>
    <col min="7692" max="7692" width="6.109375" style="1088" customWidth="1"/>
    <col min="7693" max="7939" width="7.109375" style="1088"/>
    <col min="7940" max="7940" width="11.21875" style="1088" customWidth="1"/>
    <col min="7941" max="7941" width="7.109375" style="1088"/>
    <col min="7942" max="7942" width="4.88671875" style="1088" customWidth="1"/>
    <col min="7943" max="7943" width="8" style="1088" customWidth="1"/>
    <col min="7944" max="7944" width="6.44140625" style="1088" customWidth="1"/>
    <col min="7945" max="7945" width="4.21875" style="1088" customWidth="1"/>
    <col min="7946" max="7946" width="8.21875" style="1088" customWidth="1"/>
    <col min="7947" max="7947" width="5.88671875" style="1088" customWidth="1"/>
    <col min="7948" max="7948" width="6.109375" style="1088" customWidth="1"/>
    <col min="7949" max="8195" width="7.109375" style="1088"/>
    <col min="8196" max="8196" width="11.21875" style="1088" customWidth="1"/>
    <col min="8197" max="8197" width="7.109375" style="1088"/>
    <col min="8198" max="8198" width="4.88671875" style="1088" customWidth="1"/>
    <col min="8199" max="8199" width="8" style="1088" customWidth="1"/>
    <col min="8200" max="8200" width="6.44140625" style="1088" customWidth="1"/>
    <col min="8201" max="8201" width="4.21875" style="1088" customWidth="1"/>
    <col min="8202" max="8202" width="8.21875" style="1088" customWidth="1"/>
    <col min="8203" max="8203" width="5.88671875" style="1088" customWidth="1"/>
    <col min="8204" max="8204" width="6.109375" style="1088" customWidth="1"/>
    <col min="8205" max="8451" width="7.109375" style="1088"/>
    <col min="8452" max="8452" width="11.21875" style="1088" customWidth="1"/>
    <col min="8453" max="8453" width="7.109375" style="1088"/>
    <col min="8454" max="8454" width="4.88671875" style="1088" customWidth="1"/>
    <col min="8455" max="8455" width="8" style="1088" customWidth="1"/>
    <col min="8456" max="8456" width="6.44140625" style="1088" customWidth="1"/>
    <col min="8457" max="8457" width="4.21875" style="1088" customWidth="1"/>
    <col min="8458" max="8458" width="8.21875" style="1088" customWidth="1"/>
    <col min="8459" max="8459" width="5.88671875" style="1088" customWidth="1"/>
    <col min="8460" max="8460" width="6.109375" style="1088" customWidth="1"/>
    <col min="8461" max="8707" width="7.109375" style="1088"/>
    <col min="8708" max="8708" width="11.21875" style="1088" customWidth="1"/>
    <col min="8709" max="8709" width="7.109375" style="1088"/>
    <col min="8710" max="8710" width="4.88671875" style="1088" customWidth="1"/>
    <col min="8711" max="8711" width="8" style="1088" customWidth="1"/>
    <col min="8712" max="8712" width="6.44140625" style="1088" customWidth="1"/>
    <col min="8713" max="8713" width="4.21875" style="1088" customWidth="1"/>
    <col min="8714" max="8714" width="8.21875" style="1088" customWidth="1"/>
    <col min="8715" max="8715" width="5.88671875" style="1088" customWidth="1"/>
    <col min="8716" max="8716" width="6.109375" style="1088" customWidth="1"/>
    <col min="8717" max="8963" width="7.109375" style="1088"/>
    <col min="8964" max="8964" width="11.21875" style="1088" customWidth="1"/>
    <col min="8965" max="8965" width="7.109375" style="1088"/>
    <col min="8966" max="8966" width="4.88671875" style="1088" customWidth="1"/>
    <col min="8967" max="8967" width="8" style="1088" customWidth="1"/>
    <col min="8968" max="8968" width="6.44140625" style="1088" customWidth="1"/>
    <col min="8969" max="8969" width="4.21875" style="1088" customWidth="1"/>
    <col min="8970" max="8970" width="8.21875" style="1088" customWidth="1"/>
    <col min="8971" max="8971" width="5.88671875" style="1088" customWidth="1"/>
    <col min="8972" max="8972" width="6.109375" style="1088" customWidth="1"/>
    <col min="8973" max="9219" width="7.109375" style="1088"/>
    <col min="9220" max="9220" width="11.21875" style="1088" customWidth="1"/>
    <col min="9221" max="9221" width="7.109375" style="1088"/>
    <col min="9222" max="9222" width="4.88671875" style="1088" customWidth="1"/>
    <col min="9223" max="9223" width="8" style="1088" customWidth="1"/>
    <col min="9224" max="9224" width="6.44140625" style="1088" customWidth="1"/>
    <col min="9225" max="9225" width="4.21875" style="1088" customWidth="1"/>
    <col min="9226" max="9226" width="8.21875" style="1088" customWidth="1"/>
    <col min="9227" max="9227" width="5.88671875" style="1088" customWidth="1"/>
    <col min="9228" max="9228" width="6.109375" style="1088" customWidth="1"/>
    <col min="9229" max="9475" width="7.109375" style="1088"/>
    <col min="9476" max="9476" width="11.21875" style="1088" customWidth="1"/>
    <col min="9477" max="9477" width="7.109375" style="1088"/>
    <col min="9478" max="9478" width="4.88671875" style="1088" customWidth="1"/>
    <col min="9479" max="9479" width="8" style="1088" customWidth="1"/>
    <col min="9480" max="9480" width="6.44140625" style="1088" customWidth="1"/>
    <col min="9481" max="9481" width="4.21875" style="1088" customWidth="1"/>
    <col min="9482" max="9482" width="8.21875" style="1088" customWidth="1"/>
    <col min="9483" max="9483" width="5.88671875" style="1088" customWidth="1"/>
    <col min="9484" max="9484" width="6.109375" style="1088" customWidth="1"/>
    <col min="9485" max="9731" width="7.109375" style="1088"/>
    <col min="9732" max="9732" width="11.21875" style="1088" customWidth="1"/>
    <col min="9733" max="9733" width="7.109375" style="1088"/>
    <col min="9734" max="9734" width="4.88671875" style="1088" customWidth="1"/>
    <col min="9735" max="9735" width="8" style="1088" customWidth="1"/>
    <col min="9736" max="9736" width="6.44140625" style="1088" customWidth="1"/>
    <col min="9737" max="9737" width="4.21875" style="1088" customWidth="1"/>
    <col min="9738" max="9738" width="8.21875" style="1088" customWidth="1"/>
    <col min="9739" max="9739" width="5.88671875" style="1088" customWidth="1"/>
    <col min="9740" max="9740" width="6.109375" style="1088" customWidth="1"/>
    <col min="9741" max="9987" width="7.109375" style="1088"/>
    <col min="9988" max="9988" width="11.21875" style="1088" customWidth="1"/>
    <col min="9989" max="9989" width="7.109375" style="1088"/>
    <col min="9990" max="9990" width="4.88671875" style="1088" customWidth="1"/>
    <col min="9991" max="9991" width="8" style="1088" customWidth="1"/>
    <col min="9992" max="9992" width="6.44140625" style="1088" customWidth="1"/>
    <col min="9993" max="9993" width="4.21875" style="1088" customWidth="1"/>
    <col min="9994" max="9994" width="8.21875" style="1088" customWidth="1"/>
    <col min="9995" max="9995" width="5.88671875" style="1088" customWidth="1"/>
    <col min="9996" max="9996" width="6.109375" style="1088" customWidth="1"/>
    <col min="9997" max="10243" width="7.109375" style="1088"/>
    <col min="10244" max="10244" width="11.21875" style="1088" customWidth="1"/>
    <col min="10245" max="10245" width="7.109375" style="1088"/>
    <col min="10246" max="10246" width="4.88671875" style="1088" customWidth="1"/>
    <col min="10247" max="10247" width="8" style="1088" customWidth="1"/>
    <col min="10248" max="10248" width="6.44140625" style="1088" customWidth="1"/>
    <col min="10249" max="10249" width="4.21875" style="1088" customWidth="1"/>
    <col min="10250" max="10250" width="8.21875" style="1088" customWidth="1"/>
    <col min="10251" max="10251" width="5.88671875" style="1088" customWidth="1"/>
    <col min="10252" max="10252" width="6.109375" style="1088" customWidth="1"/>
    <col min="10253" max="10499" width="7.109375" style="1088"/>
    <col min="10500" max="10500" width="11.21875" style="1088" customWidth="1"/>
    <col min="10501" max="10501" width="7.109375" style="1088"/>
    <col min="10502" max="10502" width="4.88671875" style="1088" customWidth="1"/>
    <col min="10503" max="10503" width="8" style="1088" customWidth="1"/>
    <col min="10504" max="10504" width="6.44140625" style="1088" customWidth="1"/>
    <col min="10505" max="10505" width="4.21875" style="1088" customWidth="1"/>
    <col min="10506" max="10506" width="8.21875" style="1088" customWidth="1"/>
    <col min="10507" max="10507" width="5.88671875" style="1088" customWidth="1"/>
    <col min="10508" max="10508" width="6.109375" style="1088" customWidth="1"/>
    <col min="10509" max="10755" width="7.109375" style="1088"/>
    <col min="10756" max="10756" width="11.21875" style="1088" customWidth="1"/>
    <col min="10757" max="10757" width="7.109375" style="1088"/>
    <col min="10758" max="10758" width="4.88671875" style="1088" customWidth="1"/>
    <col min="10759" max="10759" width="8" style="1088" customWidth="1"/>
    <col min="10760" max="10760" width="6.44140625" style="1088" customWidth="1"/>
    <col min="10761" max="10761" width="4.21875" style="1088" customWidth="1"/>
    <col min="10762" max="10762" width="8.21875" style="1088" customWidth="1"/>
    <col min="10763" max="10763" width="5.88671875" style="1088" customWidth="1"/>
    <col min="10764" max="10764" width="6.109375" style="1088" customWidth="1"/>
    <col min="10765" max="11011" width="7.109375" style="1088"/>
    <col min="11012" max="11012" width="11.21875" style="1088" customWidth="1"/>
    <col min="11013" max="11013" width="7.109375" style="1088"/>
    <col min="11014" max="11014" width="4.88671875" style="1088" customWidth="1"/>
    <col min="11015" max="11015" width="8" style="1088" customWidth="1"/>
    <col min="11016" max="11016" width="6.44140625" style="1088" customWidth="1"/>
    <col min="11017" max="11017" width="4.21875" style="1088" customWidth="1"/>
    <col min="11018" max="11018" width="8.21875" style="1088" customWidth="1"/>
    <col min="11019" max="11019" width="5.88671875" style="1088" customWidth="1"/>
    <col min="11020" max="11020" width="6.109375" style="1088" customWidth="1"/>
    <col min="11021" max="11267" width="7.109375" style="1088"/>
    <col min="11268" max="11268" width="11.21875" style="1088" customWidth="1"/>
    <col min="11269" max="11269" width="7.109375" style="1088"/>
    <col min="11270" max="11270" width="4.88671875" style="1088" customWidth="1"/>
    <col min="11271" max="11271" width="8" style="1088" customWidth="1"/>
    <col min="11272" max="11272" width="6.44140625" style="1088" customWidth="1"/>
    <col min="11273" max="11273" width="4.21875" style="1088" customWidth="1"/>
    <col min="11274" max="11274" width="8.21875" style="1088" customWidth="1"/>
    <col min="11275" max="11275" width="5.88671875" style="1088" customWidth="1"/>
    <col min="11276" max="11276" width="6.109375" style="1088" customWidth="1"/>
    <col min="11277" max="11523" width="7.109375" style="1088"/>
    <col min="11524" max="11524" width="11.21875" style="1088" customWidth="1"/>
    <col min="11525" max="11525" width="7.109375" style="1088"/>
    <col min="11526" max="11526" width="4.88671875" style="1088" customWidth="1"/>
    <col min="11527" max="11527" width="8" style="1088" customWidth="1"/>
    <col min="11528" max="11528" width="6.44140625" style="1088" customWidth="1"/>
    <col min="11529" max="11529" width="4.21875" style="1088" customWidth="1"/>
    <col min="11530" max="11530" width="8.21875" style="1088" customWidth="1"/>
    <col min="11531" max="11531" width="5.88671875" style="1088" customWidth="1"/>
    <col min="11532" max="11532" width="6.109375" style="1088" customWidth="1"/>
    <col min="11533" max="11779" width="7.109375" style="1088"/>
    <col min="11780" max="11780" width="11.21875" style="1088" customWidth="1"/>
    <col min="11781" max="11781" width="7.109375" style="1088"/>
    <col min="11782" max="11782" width="4.88671875" style="1088" customWidth="1"/>
    <col min="11783" max="11783" width="8" style="1088" customWidth="1"/>
    <col min="11784" max="11784" width="6.44140625" style="1088" customWidth="1"/>
    <col min="11785" max="11785" width="4.21875" style="1088" customWidth="1"/>
    <col min="11786" max="11786" width="8.21875" style="1088" customWidth="1"/>
    <col min="11787" max="11787" width="5.88671875" style="1088" customWidth="1"/>
    <col min="11788" max="11788" width="6.109375" style="1088" customWidth="1"/>
    <col min="11789" max="12035" width="7.109375" style="1088"/>
    <col min="12036" max="12036" width="11.21875" style="1088" customWidth="1"/>
    <col min="12037" max="12037" width="7.109375" style="1088"/>
    <col min="12038" max="12038" width="4.88671875" style="1088" customWidth="1"/>
    <col min="12039" max="12039" width="8" style="1088" customWidth="1"/>
    <col min="12040" max="12040" width="6.44140625" style="1088" customWidth="1"/>
    <col min="12041" max="12041" width="4.21875" style="1088" customWidth="1"/>
    <col min="12042" max="12042" width="8.21875" style="1088" customWidth="1"/>
    <col min="12043" max="12043" width="5.88671875" style="1088" customWidth="1"/>
    <col min="12044" max="12044" width="6.109375" style="1088" customWidth="1"/>
    <col min="12045" max="12291" width="7.109375" style="1088"/>
    <col min="12292" max="12292" width="11.21875" style="1088" customWidth="1"/>
    <col min="12293" max="12293" width="7.109375" style="1088"/>
    <col min="12294" max="12294" width="4.88671875" style="1088" customWidth="1"/>
    <col min="12295" max="12295" width="8" style="1088" customWidth="1"/>
    <col min="12296" max="12296" width="6.44140625" style="1088" customWidth="1"/>
    <col min="12297" max="12297" width="4.21875" style="1088" customWidth="1"/>
    <col min="12298" max="12298" width="8.21875" style="1088" customWidth="1"/>
    <col min="12299" max="12299" width="5.88671875" style="1088" customWidth="1"/>
    <col min="12300" max="12300" width="6.109375" style="1088" customWidth="1"/>
    <col min="12301" max="12547" width="7.109375" style="1088"/>
    <col min="12548" max="12548" width="11.21875" style="1088" customWidth="1"/>
    <col min="12549" max="12549" width="7.109375" style="1088"/>
    <col min="12550" max="12550" width="4.88671875" style="1088" customWidth="1"/>
    <col min="12551" max="12551" width="8" style="1088" customWidth="1"/>
    <col min="12552" max="12552" width="6.44140625" style="1088" customWidth="1"/>
    <col min="12553" max="12553" width="4.21875" style="1088" customWidth="1"/>
    <col min="12554" max="12554" width="8.21875" style="1088" customWidth="1"/>
    <col min="12555" max="12555" width="5.88671875" style="1088" customWidth="1"/>
    <col min="12556" max="12556" width="6.109375" style="1088" customWidth="1"/>
    <col min="12557" max="12803" width="7.109375" style="1088"/>
    <col min="12804" max="12804" width="11.21875" style="1088" customWidth="1"/>
    <col min="12805" max="12805" width="7.109375" style="1088"/>
    <col min="12806" max="12806" width="4.88671875" style="1088" customWidth="1"/>
    <col min="12807" max="12807" width="8" style="1088" customWidth="1"/>
    <col min="12808" max="12808" width="6.44140625" style="1088" customWidth="1"/>
    <col min="12809" max="12809" width="4.21875" style="1088" customWidth="1"/>
    <col min="12810" max="12810" width="8.21875" style="1088" customWidth="1"/>
    <col min="12811" max="12811" width="5.88671875" style="1088" customWidth="1"/>
    <col min="12812" max="12812" width="6.109375" style="1088" customWidth="1"/>
    <col min="12813" max="13059" width="7.109375" style="1088"/>
    <col min="13060" max="13060" width="11.21875" style="1088" customWidth="1"/>
    <col min="13061" max="13061" width="7.109375" style="1088"/>
    <col min="13062" max="13062" width="4.88671875" style="1088" customWidth="1"/>
    <col min="13063" max="13063" width="8" style="1088" customWidth="1"/>
    <col min="13064" max="13064" width="6.44140625" style="1088" customWidth="1"/>
    <col min="13065" max="13065" width="4.21875" style="1088" customWidth="1"/>
    <col min="13066" max="13066" width="8.21875" style="1088" customWidth="1"/>
    <col min="13067" max="13067" width="5.88671875" style="1088" customWidth="1"/>
    <col min="13068" max="13068" width="6.109375" style="1088" customWidth="1"/>
    <col min="13069" max="13315" width="7.109375" style="1088"/>
    <col min="13316" max="13316" width="11.21875" style="1088" customWidth="1"/>
    <col min="13317" max="13317" width="7.109375" style="1088"/>
    <col min="13318" max="13318" width="4.88671875" style="1088" customWidth="1"/>
    <col min="13319" max="13319" width="8" style="1088" customWidth="1"/>
    <col min="13320" max="13320" width="6.44140625" style="1088" customWidth="1"/>
    <col min="13321" max="13321" width="4.21875" style="1088" customWidth="1"/>
    <col min="13322" max="13322" width="8.21875" style="1088" customWidth="1"/>
    <col min="13323" max="13323" width="5.88671875" style="1088" customWidth="1"/>
    <col min="13324" max="13324" width="6.109375" style="1088" customWidth="1"/>
    <col min="13325" max="13571" width="7.109375" style="1088"/>
    <col min="13572" max="13572" width="11.21875" style="1088" customWidth="1"/>
    <col min="13573" max="13573" width="7.109375" style="1088"/>
    <col min="13574" max="13574" width="4.88671875" style="1088" customWidth="1"/>
    <col min="13575" max="13575" width="8" style="1088" customWidth="1"/>
    <col min="13576" max="13576" width="6.44140625" style="1088" customWidth="1"/>
    <col min="13577" max="13577" width="4.21875" style="1088" customWidth="1"/>
    <col min="13578" max="13578" width="8.21875" style="1088" customWidth="1"/>
    <col min="13579" max="13579" width="5.88671875" style="1088" customWidth="1"/>
    <col min="13580" max="13580" width="6.109375" style="1088" customWidth="1"/>
    <col min="13581" max="13827" width="7.109375" style="1088"/>
    <col min="13828" max="13828" width="11.21875" style="1088" customWidth="1"/>
    <col min="13829" max="13829" width="7.109375" style="1088"/>
    <col min="13830" max="13830" width="4.88671875" style="1088" customWidth="1"/>
    <col min="13831" max="13831" width="8" style="1088" customWidth="1"/>
    <col min="13832" max="13832" width="6.44140625" style="1088" customWidth="1"/>
    <col min="13833" max="13833" width="4.21875" style="1088" customWidth="1"/>
    <col min="13834" max="13834" width="8.21875" style="1088" customWidth="1"/>
    <col min="13835" max="13835" width="5.88671875" style="1088" customWidth="1"/>
    <col min="13836" max="13836" width="6.109375" style="1088" customWidth="1"/>
    <col min="13837" max="14083" width="7.109375" style="1088"/>
    <col min="14084" max="14084" width="11.21875" style="1088" customWidth="1"/>
    <col min="14085" max="14085" width="7.109375" style="1088"/>
    <col min="14086" max="14086" width="4.88671875" style="1088" customWidth="1"/>
    <col min="14087" max="14087" width="8" style="1088" customWidth="1"/>
    <col min="14088" max="14088" width="6.44140625" style="1088" customWidth="1"/>
    <col min="14089" max="14089" width="4.21875" style="1088" customWidth="1"/>
    <col min="14090" max="14090" width="8.21875" style="1088" customWidth="1"/>
    <col min="14091" max="14091" width="5.88671875" style="1088" customWidth="1"/>
    <col min="14092" max="14092" width="6.109375" style="1088" customWidth="1"/>
    <col min="14093" max="14339" width="7.109375" style="1088"/>
    <col min="14340" max="14340" width="11.21875" style="1088" customWidth="1"/>
    <col min="14341" max="14341" width="7.109375" style="1088"/>
    <col min="14342" max="14342" width="4.88671875" style="1088" customWidth="1"/>
    <col min="14343" max="14343" width="8" style="1088" customWidth="1"/>
    <col min="14344" max="14344" width="6.44140625" style="1088" customWidth="1"/>
    <col min="14345" max="14345" width="4.21875" style="1088" customWidth="1"/>
    <col min="14346" max="14346" width="8.21875" style="1088" customWidth="1"/>
    <col min="14347" max="14347" width="5.88671875" style="1088" customWidth="1"/>
    <col min="14348" max="14348" width="6.109375" style="1088" customWidth="1"/>
    <col min="14349" max="14595" width="7.109375" style="1088"/>
    <col min="14596" max="14596" width="11.21875" style="1088" customWidth="1"/>
    <col min="14597" max="14597" width="7.109375" style="1088"/>
    <col min="14598" max="14598" width="4.88671875" style="1088" customWidth="1"/>
    <col min="14599" max="14599" width="8" style="1088" customWidth="1"/>
    <col min="14600" max="14600" width="6.44140625" style="1088" customWidth="1"/>
    <col min="14601" max="14601" width="4.21875" style="1088" customWidth="1"/>
    <col min="14602" max="14602" width="8.21875" style="1088" customWidth="1"/>
    <col min="14603" max="14603" width="5.88671875" style="1088" customWidth="1"/>
    <col min="14604" max="14604" width="6.109375" style="1088" customWidth="1"/>
    <col min="14605" max="14851" width="7.109375" style="1088"/>
    <col min="14852" max="14852" width="11.21875" style="1088" customWidth="1"/>
    <col min="14853" max="14853" width="7.109375" style="1088"/>
    <col min="14854" max="14854" width="4.88671875" style="1088" customWidth="1"/>
    <col min="14855" max="14855" width="8" style="1088" customWidth="1"/>
    <col min="14856" max="14856" width="6.44140625" style="1088" customWidth="1"/>
    <col min="14857" max="14857" width="4.21875" style="1088" customWidth="1"/>
    <col min="14858" max="14858" width="8.21875" style="1088" customWidth="1"/>
    <col min="14859" max="14859" width="5.88671875" style="1088" customWidth="1"/>
    <col min="14860" max="14860" width="6.109375" style="1088" customWidth="1"/>
    <col min="14861" max="15107" width="7.109375" style="1088"/>
    <col min="15108" max="15108" width="11.21875" style="1088" customWidth="1"/>
    <col min="15109" max="15109" width="7.109375" style="1088"/>
    <col min="15110" max="15110" width="4.88671875" style="1088" customWidth="1"/>
    <col min="15111" max="15111" width="8" style="1088" customWidth="1"/>
    <col min="15112" max="15112" width="6.44140625" style="1088" customWidth="1"/>
    <col min="15113" max="15113" width="4.21875" style="1088" customWidth="1"/>
    <col min="15114" max="15114" width="8.21875" style="1088" customWidth="1"/>
    <col min="15115" max="15115" width="5.88671875" style="1088" customWidth="1"/>
    <col min="15116" max="15116" width="6.109375" style="1088" customWidth="1"/>
    <col min="15117" max="15363" width="7.109375" style="1088"/>
    <col min="15364" max="15364" width="11.21875" style="1088" customWidth="1"/>
    <col min="15365" max="15365" width="7.109375" style="1088"/>
    <col min="15366" max="15366" width="4.88671875" style="1088" customWidth="1"/>
    <col min="15367" max="15367" width="8" style="1088" customWidth="1"/>
    <col min="15368" max="15368" width="6.44140625" style="1088" customWidth="1"/>
    <col min="15369" max="15369" width="4.21875" style="1088" customWidth="1"/>
    <col min="15370" max="15370" width="8.21875" style="1088" customWidth="1"/>
    <col min="15371" max="15371" width="5.88671875" style="1088" customWidth="1"/>
    <col min="15372" max="15372" width="6.109375" style="1088" customWidth="1"/>
    <col min="15373" max="15619" width="7.109375" style="1088"/>
    <col min="15620" max="15620" width="11.21875" style="1088" customWidth="1"/>
    <col min="15621" max="15621" width="7.109375" style="1088"/>
    <col min="15622" max="15622" width="4.88671875" style="1088" customWidth="1"/>
    <col min="15623" max="15623" width="8" style="1088" customWidth="1"/>
    <col min="15624" max="15624" width="6.44140625" style="1088" customWidth="1"/>
    <col min="15625" max="15625" width="4.21875" style="1088" customWidth="1"/>
    <col min="15626" max="15626" width="8.21875" style="1088" customWidth="1"/>
    <col min="15627" max="15627" width="5.88671875" style="1088" customWidth="1"/>
    <col min="15628" max="15628" width="6.109375" style="1088" customWidth="1"/>
    <col min="15629" max="15875" width="7.109375" style="1088"/>
    <col min="15876" max="15876" width="11.21875" style="1088" customWidth="1"/>
    <col min="15877" max="15877" width="7.109375" style="1088"/>
    <col min="15878" max="15878" width="4.88671875" style="1088" customWidth="1"/>
    <col min="15879" max="15879" width="8" style="1088" customWidth="1"/>
    <col min="15880" max="15880" width="6.44140625" style="1088" customWidth="1"/>
    <col min="15881" max="15881" width="4.21875" style="1088" customWidth="1"/>
    <col min="15882" max="15882" width="8.21875" style="1088" customWidth="1"/>
    <col min="15883" max="15883" width="5.88671875" style="1088" customWidth="1"/>
    <col min="15884" max="15884" width="6.109375" style="1088" customWidth="1"/>
    <col min="15885" max="16131" width="7.109375" style="1088"/>
    <col min="16132" max="16132" width="11.21875" style="1088" customWidth="1"/>
    <col min="16133" max="16133" width="7.109375" style="1088"/>
    <col min="16134" max="16134" width="4.88671875" style="1088" customWidth="1"/>
    <col min="16135" max="16135" width="8" style="1088" customWidth="1"/>
    <col min="16136" max="16136" width="6.44140625" style="1088" customWidth="1"/>
    <col min="16137" max="16137" width="4.21875" style="1088" customWidth="1"/>
    <col min="16138" max="16138" width="8.21875" style="1088" customWidth="1"/>
    <col min="16139" max="16139" width="5.88671875" style="1088" customWidth="1"/>
    <col min="16140" max="16140" width="6.109375" style="1088" customWidth="1"/>
    <col min="16141" max="16384" width="7.109375" style="1088"/>
  </cols>
  <sheetData>
    <row r="1" spans="1:22" s="1086" customFormat="1" ht="178.5">
      <c r="B1" s="1087" t="s">
        <v>2760</v>
      </c>
      <c r="C1" s="1087"/>
      <c r="D1" s="1087" t="s">
        <v>2761</v>
      </c>
      <c r="E1" s="1087"/>
      <c r="F1" s="1087"/>
      <c r="G1" s="1087" t="s">
        <v>2762</v>
      </c>
      <c r="H1" s="1087"/>
      <c r="I1" s="1087"/>
      <c r="J1" s="1087" t="s">
        <v>2763</v>
      </c>
      <c r="K1" s="1087"/>
      <c r="L1" s="1087"/>
      <c r="M1" s="1087" t="s">
        <v>2764</v>
      </c>
      <c r="N1" s="1087"/>
      <c r="O1" s="1087"/>
      <c r="P1" s="1087" t="s">
        <v>2765</v>
      </c>
      <c r="Q1" s="1087"/>
    </row>
    <row r="2" spans="1:22">
      <c r="B2" s="1089" t="s">
        <v>2766</v>
      </c>
      <c r="C2" s="1089"/>
      <c r="D2" s="1090" t="s">
        <v>2767</v>
      </c>
      <c r="G2" s="1091" t="s">
        <v>2768</v>
      </c>
    </row>
    <row r="3" spans="1:22">
      <c r="A3" s="1088" t="s">
        <v>2769</v>
      </c>
      <c r="B3" s="1092">
        <v>6.96</v>
      </c>
      <c r="C3" s="1088">
        <f>10*B3</f>
        <v>69.599999999999994</v>
      </c>
      <c r="D3" s="1092">
        <v>11.13</v>
      </c>
      <c r="E3" s="1088">
        <f>10*D3</f>
        <v>111.30000000000001</v>
      </c>
      <c r="G3" s="1092">
        <v>9.39</v>
      </c>
      <c r="H3" s="1088">
        <f>10*G3</f>
        <v>93.9</v>
      </c>
      <c r="J3" s="1092">
        <v>12.52</v>
      </c>
      <c r="K3" s="1088">
        <f>10*J3</f>
        <v>125.19999999999999</v>
      </c>
      <c r="M3" s="1092">
        <v>15.64</v>
      </c>
      <c r="N3" s="1088">
        <f>10*M3</f>
        <v>156.4</v>
      </c>
      <c r="P3" s="1092">
        <v>7.64</v>
      </c>
      <c r="Q3" s="1093">
        <f>10*P3</f>
        <v>76.399999999999991</v>
      </c>
    </row>
    <row r="4" spans="1:22">
      <c r="A4" s="1094" t="s">
        <v>2770</v>
      </c>
      <c r="B4" s="1092">
        <v>5.96</v>
      </c>
      <c r="C4" s="1088">
        <f>+C3+10*B4</f>
        <v>129.19999999999999</v>
      </c>
      <c r="D4" s="1092">
        <v>9.52</v>
      </c>
      <c r="E4" s="1088">
        <f>+E3+10*D4</f>
        <v>206.5</v>
      </c>
      <c r="G4" s="1095">
        <v>8.0399999999999991</v>
      </c>
      <c r="H4" s="1088">
        <f>+H3+10*G4</f>
        <v>174.3</v>
      </c>
      <c r="J4" s="1092">
        <v>10.72</v>
      </c>
      <c r="K4" s="1088">
        <f>+K3+10*J4</f>
        <v>232.39999999999998</v>
      </c>
      <c r="M4" s="1096">
        <v>13.4</v>
      </c>
      <c r="N4" s="1088">
        <f>+N3+10*M4</f>
        <v>290.39999999999998</v>
      </c>
      <c r="P4" s="1092">
        <v>6.55</v>
      </c>
      <c r="Q4" s="1088">
        <f>+Q3+10*P4</f>
        <v>141.89999999999998</v>
      </c>
    </row>
    <row r="5" spans="1:22">
      <c r="A5" s="1088" t="s">
        <v>2771</v>
      </c>
      <c r="B5" s="1092">
        <v>5.13</v>
      </c>
      <c r="C5" s="1088">
        <f>+C4+20*B5</f>
        <v>231.79999999999998</v>
      </c>
      <c r="D5" s="1092">
        <v>8.1999999999999993</v>
      </c>
      <c r="E5" s="1088">
        <f>+E4+20*D5</f>
        <v>370.5</v>
      </c>
      <c r="G5" s="1092">
        <v>6.9</v>
      </c>
      <c r="H5" s="1088">
        <f>+H4+20*G5</f>
        <v>312.3</v>
      </c>
      <c r="J5" s="1092">
        <v>9.2200000000000006</v>
      </c>
      <c r="K5" s="1088">
        <f>+K4+20*J5</f>
        <v>416.79999999999995</v>
      </c>
      <c r="M5" s="1092">
        <v>11.52</v>
      </c>
      <c r="N5" s="1088">
        <f>+N4+20*M5</f>
        <v>520.79999999999995</v>
      </c>
      <c r="P5" s="1092">
        <v>5.64</v>
      </c>
      <c r="Q5" s="1088">
        <f>+Q4+20*P5</f>
        <v>254.7</v>
      </c>
    </row>
    <row r="6" spans="1:22">
      <c r="A6" s="1088" t="s">
        <v>2772</v>
      </c>
      <c r="B6" s="1092">
        <v>4.42</v>
      </c>
      <c r="C6" s="1088">
        <f>+C5+40*B6</f>
        <v>408.6</v>
      </c>
      <c r="D6" s="1092">
        <v>7.69</v>
      </c>
      <c r="E6" s="1088">
        <f>+E5+40*D6</f>
        <v>678.1</v>
      </c>
      <c r="G6" s="1092">
        <v>5.96</v>
      </c>
      <c r="H6" s="1088">
        <f>+H5+40*G6</f>
        <v>550.70000000000005</v>
      </c>
      <c r="J6" s="1092">
        <v>7.94</v>
      </c>
      <c r="K6" s="1088">
        <f>+K5+40*J6</f>
        <v>734.4</v>
      </c>
      <c r="M6" s="1092">
        <v>9.9499999999999993</v>
      </c>
      <c r="N6" s="1088">
        <f>+N5+40*M6</f>
        <v>918.8</v>
      </c>
      <c r="P6" s="1092">
        <v>4.87</v>
      </c>
      <c r="Q6" s="1088">
        <f>+Q5+40*P6</f>
        <v>449.5</v>
      </c>
    </row>
    <row r="7" spans="1:22">
      <c r="A7" s="1088" t="s">
        <v>2773</v>
      </c>
      <c r="B7" s="1092">
        <v>4.03</v>
      </c>
      <c r="D7" s="1092">
        <v>6.45</v>
      </c>
      <c r="G7" s="1092">
        <v>5.45</v>
      </c>
      <c r="J7" s="1092">
        <v>7.25</v>
      </c>
      <c r="M7" s="1092">
        <v>9.07</v>
      </c>
      <c r="P7" s="1092">
        <v>4.4400000000000004</v>
      </c>
      <c r="Q7" s="1088">
        <f>+Q6+40*P7</f>
        <v>627.1</v>
      </c>
    </row>
    <row r="8" spans="1:22" ht="5.25" customHeight="1"/>
    <row r="9" spans="1:22" ht="6.75" customHeight="1">
      <c r="B9" s="1097"/>
      <c r="C9" s="1097"/>
    </row>
    <row r="10" spans="1:22" ht="28.5" customHeight="1">
      <c r="A10" s="1098"/>
      <c r="B10" s="1098" t="s">
        <v>2774</v>
      </c>
      <c r="C10" s="1098"/>
      <c r="D10" s="1099">
        <v>64</v>
      </c>
      <c r="E10" s="1100">
        <f>IF(D10&lt;11,D10*$D$3,IF(D10&lt;21,($E$3+(D10-10)*$D$4),IF(D10&lt;41,$E$4+(D10-20)*$D$5,IF(D10&lt;81,($E$5+(D10-40)*$D$6),$E$6+(D10-80)*$D$7))))</f>
        <v>555.05999999999995</v>
      </c>
      <c r="F10" s="1099"/>
      <c r="G10" s="1099">
        <v>30</v>
      </c>
      <c r="H10" s="1099">
        <f>IF(G10&lt;11,G10*$G$3,IF(G10&lt;21,($H$3+(G10-10)*$G$4),IF(G10&lt;41,$H$4+(G10-20)*$G$5,IF(G10&lt;81,($H$5+(G10-40)*$G$6),$H$6+(G10-80)*$G$7))))</f>
        <v>243.3</v>
      </c>
      <c r="I10" s="1099"/>
      <c r="J10" s="1099"/>
      <c r="K10" s="1099"/>
      <c r="L10" s="1101" t="s">
        <v>2775</v>
      </c>
      <c r="M10" s="1099">
        <v>0</v>
      </c>
      <c r="N10" s="1099">
        <f>IF(M10&lt;11,M10*$M$3,IF(M10&lt;21,($N$3+(M10-10)*$M$4),IF(M10&lt;41,$N$4+(M10-20)*$M$5,IF(M10&lt;81,($N$5+(M10-40)*$M$6),$N$6+(M10-80)*$M$7))))</f>
        <v>0</v>
      </c>
      <c r="O10" s="1099"/>
      <c r="P10" s="1099">
        <v>30</v>
      </c>
      <c r="Q10" s="1088">
        <f>IF(P10&lt;11,P10*$P$3,IF(P10&lt;21,($Q$3+(P10-10)*$P$4),IF(P10&lt;41,$Q$4+(P10-20)*$P$5,IF(P10&lt;81,($Q$5+(P10-40)*$P$6),$Q$6+(P10-80)*$P$7))))</f>
        <v>198.29999999999998</v>
      </c>
      <c r="R10" s="1098" t="s">
        <v>2776</v>
      </c>
    </row>
    <row r="11" spans="1:22">
      <c r="B11" s="1098" t="s">
        <v>2777</v>
      </c>
      <c r="C11" s="1098"/>
      <c r="D11" s="1099">
        <v>64</v>
      </c>
      <c r="E11" s="1100">
        <f>IF(D11&lt;11,D11*$D$3,(IF(D11&lt;21,($E$3+(D11-10)*$D$4),(IF(D11&lt;41,$E$4+(D11-20)*$D$5,IF(D11&lt;81,($E$5+(D11-40)*$D$6),$E$6+(D11-80)*$D$7))))))</f>
        <v>555.05999999999995</v>
      </c>
      <c r="F11" s="1099"/>
      <c r="G11" s="1099"/>
      <c r="H11" s="1099">
        <v>6</v>
      </c>
      <c r="I11" s="1099"/>
      <c r="J11" s="1099">
        <v>0</v>
      </c>
      <c r="K11" s="1099">
        <f>IF(J11&lt;11,J11*$J$3,IF(J11&lt;21,($K$3+(J11-10)*$J$4),IF(J11&lt;41,$K$4+(J11-20)*$J$5,IF(J11&lt;81,($K$5+(J11-40)*$J$6),$K$6+(J11-80)*$J$7))))/2</f>
        <v>0</v>
      </c>
      <c r="L11" s="1102" t="s">
        <v>2778</v>
      </c>
      <c r="M11" s="1099"/>
      <c r="N11" s="1099"/>
      <c r="O11" s="1099"/>
      <c r="P11" s="1099">
        <v>22</v>
      </c>
      <c r="Q11" s="1088">
        <f>IF(P11&lt;11,P11*$P$3,IF(P11&lt;21,($Q$3+(P11-10)*$P$4),IF(P11&lt;41,$Q$4+(P11-20)*$P$5,IF(P11&lt;81,($Q$5+(P11-40)*$P$6),$Q$6+(P11-80)*$P$7))))</f>
        <v>153.17999999999998</v>
      </c>
      <c r="R11" s="1098" t="s">
        <v>2779</v>
      </c>
      <c r="T11" s="1099" t="s">
        <v>2780</v>
      </c>
    </row>
    <row r="12" spans="1:22" ht="21" customHeight="1">
      <c r="B12" s="1101" t="s">
        <v>2781</v>
      </c>
      <c r="C12" s="1101"/>
      <c r="D12" s="1099">
        <v>64</v>
      </c>
      <c r="E12" s="1099">
        <f>IF(D12&lt;11,D12*$D$3,(IF(D12&lt;21,($E$3+(D12-10)*$D$4),(IF(D12&lt;41,$E$4+(D12-20)*$D$5,IF(D12&lt;81,($E$5+(D12-40)*$D$6),$E$6+(D12-80)*$D$7))))))</f>
        <v>555.05999999999995</v>
      </c>
      <c r="F12" s="1099"/>
      <c r="G12" s="1099"/>
      <c r="H12" s="1099"/>
      <c r="I12" s="1099"/>
      <c r="J12" s="1099">
        <v>0</v>
      </c>
      <c r="K12" s="1099">
        <f>IF(J12&lt;11,J12*$J$3,IF(J12&lt;21,($K$3+(J12-10)*$J$4),IF(J12&lt;41,$K$4+(J12-20)*$J$5,IF(J12&lt;81,($K$5+(J12-40)*$J$6),$K$6+(J12-80)*$J$7))))/2</f>
        <v>0</v>
      </c>
      <c r="L12" s="1099"/>
      <c r="M12" s="1099"/>
      <c r="N12" s="1099">
        <f>90+77.5+6.85*20+5.7*23</f>
        <v>435.6</v>
      </c>
      <c r="O12" s="1099"/>
      <c r="P12" s="1099">
        <v>0</v>
      </c>
      <c r="Q12" s="1088">
        <f>IF(P12&lt;11,P12*$P$3,IF(P12&lt;21,($Q$3+(P12-10)*$P$4),IF(P12&lt;41,$Q$4+(P12-20)*$P$5,IF(P12&lt;81,($Q$5+(P12-40)*$P$6),$Q$6+(P12-80)*$P$7))))</f>
        <v>0</v>
      </c>
      <c r="R12" s="1099" t="s">
        <v>2782</v>
      </c>
      <c r="T12" s="1088">
        <f>8.69*6</f>
        <v>52.14</v>
      </c>
      <c r="U12" s="1091" t="s">
        <v>2783</v>
      </c>
    </row>
    <row r="13" spans="1:22">
      <c r="B13" s="1098" t="s">
        <v>2784</v>
      </c>
      <c r="C13" s="1098"/>
      <c r="D13" s="1099">
        <v>31</v>
      </c>
      <c r="E13" s="1100">
        <f>IF(D13&lt;11,D13*$D$3,(IF(D13&lt;21,($E$3+(D13-10)*$D$4),(IF(D13&lt;41,$E$4+(D13-20)*$D$5,IF(D13&lt;81,($E$5+(D13-40)*$D$6),$E$6+(D13-80)*$D$7))))))</f>
        <v>296.7</v>
      </c>
      <c r="F13" s="1099"/>
      <c r="G13" s="1099"/>
      <c r="H13" s="1099"/>
      <c r="I13" s="1099"/>
      <c r="J13" s="1099"/>
      <c r="K13" s="1099"/>
      <c r="L13" s="1099"/>
      <c r="M13" s="1099"/>
      <c r="N13" s="1099"/>
      <c r="O13" s="1099"/>
      <c r="P13" s="1099">
        <v>32</v>
      </c>
      <c r="Q13" s="1088">
        <f>IF(P13&lt;11,P13*$P$3,IF(P13&lt;21,($Q$3+(P13-10)*$P$4),IF(P13&lt;41,$Q$4+(P13-20)*$P$5,IF(P13&lt;81,($Q$5+(P13-40)*$P$6),$Q$6+(P13-80)*$P$7))))</f>
        <v>209.57999999999998</v>
      </c>
      <c r="R13" s="1099" t="s">
        <v>2785</v>
      </c>
    </row>
    <row r="14" spans="1:22">
      <c r="B14" s="1098" t="s">
        <v>2786</v>
      </c>
      <c r="C14" s="1098"/>
      <c r="D14" s="1088">
        <v>0</v>
      </c>
      <c r="E14" s="1088">
        <f>IF(D14&lt;11,D14*$B$3,(IF(D14&lt;21,($C$3+(D14-10)*$B$4),(IF(D14&lt;41,$C$4+(D14-20)*$B$5,IF(D14&lt;81,($C$5+(D14-40)*$B$6),$C$6+(D14-80)*$B$7))))))</f>
        <v>0</v>
      </c>
      <c r="T14" s="1099" t="s">
        <v>220</v>
      </c>
      <c r="U14" s="1088">
        <f>8.69+7.44+6.4+6</f>
        <v>28.53</v>
      </c>
      <c r="V14" s="1088">
        <f>U14*44</f>
        <v>1255.3200000000002</v>
      </c>
    </row>
    <row r="15" spans="1:22">
      <c r="B15" s="1098" t="s">
        <v>2787</v>
      </c>
      <c r="D15" s="1088">
        <v>0</v>
      </c>
      <c r="E15" s="1088">
        <f>IF(D15&lt;11,D15*$B$3,(IF(D15&lt;21,($C$3+(D15-10)*$B$4),(IF(D15&lt;41,$C$4+(D15-20)*$B$5,IF(D15&lt;81,($C$5+(D15-40)*$B$6),$C$6+(D15-80)*$B$7))))))</f>
        <v>0</v>
      </c>
    </row>
    <row r="16" spans="1:22">
      <c r="B16" s="1098" t="s">
        <v>2788</v>
      </c>
      <c r="D16" s="1088">
        <v>31</v>
      </c>
      <c r="E16" s="1093">
        <f t="shared" ref="E16:E21" si="0">IF(D16&lt;11,D16*$D$3,(IF(D16&lt;21,($E$3+(D16-10)*$D$4),(IF(D16&lt;41,$E$4+(D16-20)*$D$5,IF(D16&lt;81,($E$5+(D16-40)*$D$6),$E$6+(D16-80)*$D$7))))))</f>
        <v>296.7</v>
      </c>
      <c r="U16" s="1088">
        <f>8.69*10</f>
        <v>86.899999999999991</v>
      </c>
    </row>
    <row r="17" spans="2:21">
      <c r="B17" s="1088" t="s">
        <v>2789</v>
      </c>
      <c r="D17" s="1088">
        <v>0</v>
      </c>
      <c r="E17" s="1088">
        <f t="shared" si="0"/>
        <v>0</v>
      </c>
      <c r="U17" s="1088">
        <f>7.44*10</f>
        <v>74.400000000000006</v>
      </c>
    </row>
    <row r="18" spans="2:21">
      <c r="D18" s="1099">
        <v>0</v>
      </c>
      <c r="E18" s="1088">
        <f t="shared" si="0"/>
        <v>0</v>
      </c>
      <c r="G18" s="1093"/>
      <c r="H18" s="1093">
        <f>(G18+G19)/2</f>
        <v>0</v>
      </c>
      <c r="U18" s="1088">
        <f>6.4*20</f>
        <v>128</v>
      </c>
    </row>
    <row r="19" spans="2:21">
      <c r="D19" s="1099">
        <v>0</v>
      </c>
      <c r="E19" s="1088">
        <f t="shared" si="0"/>
        <v>0</v>
      </c>
      <c r="G19" s="1093"/>
      <c r="H19" s="1088">
        <f>15+20+25+0.2</f>
        <v>60.2</v>
      </c>
      <c r="U19" s="1088">
        <f>6*4</f>
        <v>24</v>
      </c>
    </row>
    <row r="20" spans="2:21">
      <c r="D20" s="1099">
        <v>0</v>
      </c>
      <c r="E20" s="1088">
        <f t="shared" si="0"/>
        <v>0</v>
      </c>
      <c r="G20" s="1093"/>
      <c r="U20" s="1091">
        <f>SUM(U16:U19)</f>
        <v>313.3</v>
      </c>
    </row>
    <row r="21" spans="2:21">
      <c r="D21" s="1099">
        <v>0</v>
      </c>
      <c r="E21" s="1088">
        <f t="shared" si="0"/>
        <v>0</v>
      </c>
      <c r="G21" s="1093"/>
    </row>
    <row r="22" spans="2:21">
      <c r="G22" s="1093"/>
    </row>
    <row r="23" spans="2:21">
      <c r="G23" s="1093"/>
    </row>
    <row r="24" spans="2:21">
      <c r="G24" s="1093"/>
    </row>
    <row r="25" spans="2:21">
      <c r="G25" s="1093"/>
      <c r="H25" s="1088">
        <f>SUM(G20:G25)/6</f>
        <v>0</v>
      </c>
    </row>
    <row r="26" spans="2:21">
      <c r="G26" s="1093"/>
    </row>
    <row r="27" spans="2:21">
      <c r="G27" s="1093"/>
    </row>
    <row r="28" spans="2:21">
      <c r="G28" s="1093"/>
    </row>
    <row r="29" spans="2:21">
      <c r="G29" s="1093"/>
    </row>
    <row r="30" spans="2:21">
      <c r="G30" s="1093"/>
    </row>
    <row r="31" spans="2:21">
      <c r="G31" s="1093"/>
    </row>
    <row r="32" spans="2:21">
      <c r="G32" s="1093"/>
    </row>
    <row r="33" spans="7:7">
      <c r="G33" s="1093"/>
    </row>
  </sheetData>
  <pageMargins left="0.46" right="0.19" top="1" bottom="1" header="0.5" footer="0.5"/>
  <pageSetup paperSize="9" scale="88" orientation="landscape" r:id="rId1"/>
  <headerFooter alignWithMargins="0"/>
</worksheet>
</file>

<file path=xl/worksheets/sheet8.xml><?xml version="1.0" encoding="utf-8"?>
<worksheet xmlns="http://schemas.openxmlformats.org/spreadsheetml/2006/main" xmlns:r="http://schemas.openxmlformats.org/officeDocument/2006/relationships">
  <sheetPr syncVertical="1" syncRef="A1" transitionEvaluation="1">
    <tabColor rgb="FFFFFF00"/>
  </sheetPr>
  <dimension ref="A1:IS4079"/>
  <sheetViews>
    <sheetView view="pageBreakPreview" topLeftCell="Q18" zoomScale="60" zoomScaleNormal="75" workbookViewId="0">
      <selection activeCell="D425" sqref="D425"/>
    </sheetView>
  </sheetViews>
  <sheetFormatPr defaultColWidth="7.44140625" defaultRowHeight="24" customHeight="1"/>
  <cols>
    <col min="1" max="1" width="7.77734375" style="1105" customWidth="1"/>
    <col min="2" max="2" width="64" style="1105" customWidth="1"/>
    <col min="3" max="3" width="16.21875" style="1105" customWidth="1"/>
    <col min="4" max="4" width="13.77734375" style="1105" customWidth="1"/>
    <col min="5" max="5" width="8.5546875" style="1105" customWidth="1"/>
    <col min="6" max="6" width="17.77734375" style="1105" customWidth="1"/>
    <col min="7" max="7" width="14.21875" style="1105" customWidth="1"/>
    <col min="8" max="8" width="43.33203125" style="1105" customWidth="1"/>
    <col min="9" max="9" width="14.33203125" style="1105" customWidth="1"/>
    <col min="10" max="10" width="11.44140625" style="1107" customWidth="1"/>
    <col min="11" max="11" width="12.88671875" style="1105" customWidth="1"/>
    <col min="12" max="12" width="9.77734375" style="1105" customWidth="1"/>
    <col min="13" max="13" width="11.21875" style="1105" customWidth="1"/>
    <col min="14" max="14" width="8.5546875" style="1105" bestFit="1" customWidth="1"/>
    <col min="15" max="15" width="51" style="1105" customWidth="1"/>
    <col min="16" max="16" width="15.5546875" style="1105" customWidth="1"/>
    <col min="17" max="17" width="10.6640625" style="1105" customWidth="1"/>
    <col min="18" max="18" width="11.77734375" style="1105" customWidth="1"/>
    <col min="19" max="19" width="10.88671875" style="1108" customWidth="1"/>
    <col min="20" max="20" width="9.21875" style="1105" customWidth="1"/>
    <col min="21" max="21" width="54.109375" style="1105" customWidth="1"/>
    <col min="22" max="22" width="11.21875" style="1105" customWidth="1"/>
    <col min="23" max="23" width="23" style="1105" customWidth="1"/>
    <col min="24" max="24" width="12.109375" style="1105" customWidth="1"/>
    <col min="25" max="25" width="13.21875" style="1105" customWidth="1"/>
    <col min="26" max="26" width="11.77734375" style="1105" customWidth="1"/>
    <col min="27" max="27" width="18.77734375" style="1105" hidden="1" customWidth="1"/>
    <col min="28" max="28" width="10.21875" style="1105" customWidth="1"/>
    <col min="29" max="29" width="14.5546875" style="1105" customWidth="1"/>
    <col min="30" max="30" width="45" style="1105" customWidth="1"/>
    <col min="31" max="31" width="12.44140625" style="1105" customWidth="1"/>
    <col min="32" max="32" width="11.77734375" style="1105" customWidth="1"/>
    <col min="33" max="33" width="11.109375" style="1105" customWidth="1"/>
    <col min="34" max="34" width="15.77734375" style="1105" customWidth="1"/>
    <col min="35" max="35" width="9" style="1105" bestFit="1" customWidth="1"/>
    <col min="36" max="36" width="8.109375" style="1105" bestFit="1" customWidth="1"/>
    <col min="37" max="37" width="9.33203125" style="1105" bestFit="1" customWidth="1"/>
    <col min="38" max="39" width="7.44140625" style="1105"/>
    <col min="40" max="40" width="8" style="1105" bestFit="1" customWidth="1"/>
    <col min="41" max="41" width="7.44140625" style="1105"/>
    <col min="42" max="42" width="22" style="1105" customWidth="1"/>
    <col min="43" max="43" width="11.33203125" style="1105" customWidth="1"/>
    <col min="44" max="44" width="49" style="1105" customWidth="1"/>
    <col min="45" max="45" width="11" style="1105" customWidth="1"/>
    <col min="46" max="46" width="7.5546875" style="1105" bestFit="1" customWidth="1"/>
    <col min="47" max="47" width="10.21875" style="1105" customWidth="1"/>
    <col min="48" max="48" width="9.33203125" style="1105" customWidth="1"/>
    <col min="49" max="252" width="7.44140625" style="1105"/>
    <col min="253" max="253" width="7.5546875" style="1105" bestFit="1" customWidth="1"/>
    <col min="254" max="256" width="7.44140625" style="1105"/>
    <col min="257" max="257" width="7.77734375" style="1105" customWidth="1"/>
    <col min="258" max="258" width="64" style="1105" customWidth="1"/>
    <col min="259" max="259" width="16.21875" style="1105" customWidth="1"/>
    <col min="260" max="260" width="13.77734375" style="1105" customWidth="1"/>
    <col min="261" max="261" width="8.5546875" style="1105" customWidth="1"/>
    <col min="262" max="262" width="17.77734375" style="1105" customWidth="1"/>
    <col min="263" max="263" width="14.21875" style="1105" customWidth="1"/>
    <col min="264" max="264" width="43.33203125" style="1105" customWidth="1"/>
    <col min="265" max="265" width="14.33203125" style="1105" customWidth="1"/>
    <col min="266" max="266" width="11.44140625" style="1105" customWidth="1"/>
    <col min="267" max="267" width="12.88671875" style="1105" customWidth="1"/>
    <col min="268" max="268" width="9.77734375" style="1105" customWidth="1"/>
    <col min="269" max="269" width="11.21875" style="1105" customWidth="1"/>
    <col min="270" max="270" width="8.5546875" style="1105" bestFit="1" customWidth="1"/>
    <col min="271" max="271" width="51" style="1105" customWidth="1"/>
    <col min="272" max="272" width="15.5546875" style="1105" customWidth="1"/>
    <col min="273" max="273" width="10.6640625" style="1105" customWidth="1"/>
    <col min="274" max="274" width="11.77734375" style="1105" customWidth="1"/>
    <col min="275" max="275" width="10.88671875" style="1105" customWidth="1"/>
    <col min="276" max="276" width="9.21875" style="1105" customWidth="1"/>
    <col min="277" max="277" width="54.109375" style="1105" customWidth="1"/>
    <col min="278" max="278" width="11.21875" style="1105" customWidth="1"/>
    <col min="279" max="279" width="23" style="1105" customWidth="1"/>
    <col min="280" max="280" width="12.109375" style="1105" customWidth="1"/>
    <col min="281" max="281" width="13.21875" style="1105" customWidth="1"/>
    <col min="282" max="282" width="11.77734375" style="1105" customWidth="1"/>
    <col min="283" max="283" width="0" style="1105" hidden="1" customWidth="1"/>
    <col min="284" max="284" width="10.21875" style="1105" customWidth="1"/>
    <col min="285" max="285" width="14.5546875" style="1105" customWidth="1"/>
    <col min="286" max="286" width="45" style="1105" customWidth="1"/>
    <col min="287" max="287" width="12.44140625" style="1105" customWidth="1"/>
    <col min="288" max="288" width="11.77734375" style="1105" customWidth="1"/>
    <col min="289" max="289" width="11.109375" style="1105" customWidth="1"/>
    <col min="290" max="290" width="15.77734375" style="1105" customWidth="1"/>
    <col min="291" max="291" width="9" style="1105" bestFit="1" customWidth="1"/>
    <col min="292" max="292" width="8.109375" style="1105" bestFit="1" customWidth="1"/>
    <col min="293" max="293" width="9.33203125" style="1105" bestFit="1" customWidth="1"/>
    <col min="294" max="295" width="7.44140625" style="1105"/>
    <col min="296" max="296" width="8" style="1105" bestFit="1" customWidth="1"/>
    <col min="297" max="297" width="7.44140625" style="1105"/>
    <col min="298" max="298" width="22" style="1105" customWidth="1"/>
    <col min="299" max="299" width="11.33203125" style="1105" customWidth="1"/>
    <col min="300" max="300" width="49" style="1105" customWidth="1"/>
    <col min="301" max="301" width="11" style="1105" customWidth="1"/>
    <col min="302" max="302" width="7.5546875" style="1105" bestFit="1" customWidth="1"/>
    <col min="303" max="303" width="10.21875" style="1105" customWidth="1"/>
    <col min="304" max="304" width="9.33203125" style="1105" customWidth="1"/>
    <col min="305" max="508" width="7.44140625" style="1105"/>
    <col min="509" max="509" width="7.5546875" style="1105" bestFit="1" customWidth="1"/>
    <col min="510" max="512" width="7.44140625" style="1105"/>
    <col min="513" max="513" width="7.77734375" style="1105" customWidth="1"/>
    <col min="514" max="514" width="64" style="1105" customWidth="1"/>
    <col min="515" max="515" width="16.21875" style="1105" customWidth="1"/>
    <col min="516" max="516" width="13.77734375" style="1105" customWidth="1"/>
    <col min="517" max="517" width="8.5546875" style="1105" customWidth="1"/>
    <col min="518" max="518" width="17.77734375" style="1105" customWidth="1"/>
    <col min="519" max="519" width="14.21875" style="1105" customWidth="1"/>
    <col min="520" max="520" width="43.33203125" style="1105" customWidth="1"/>
    <col min="521" max="521" width="14.33203125" style="1105" customWidth="1"/>
    <col min="522" max="522" width="11.44140625" style="1105" customWidth="1"/>
    <col min="523" max="523" width="12.88671875" style="1105" customWidth="1"/>
    <col min="524" max="524" width="9.77734375" style="1105" customWidth="1"/>
    <col min="525" max="525" width="11.21875" style="1105" customWidth="1"/>
    <col min="526" max="526" width="8.5546875" style="1105" bestFit="1" customWidth="1"/>
    <col min="527" max="527" width="51" style="1105" customWidth="1"/>
    <col min="528" max="528" width="15.5546875" style="1105" customWidth="1"/>
    <col min="529" max="529" width="10.6640625" style="1105" customWidth="1"/>
    <col min="530" max="530" width="11.77734375" style="1105" customWidth="1"/>
    <col min="531" max="531" width="10.88671875" style="1105" customWidth="1"/>
    <col min="532" max="532" width="9.21875" style="1105" customWidth="1"/>
    <col min="533" max="533" width="54.109375" style="1105" customWidth="1"/>
    <col min="534" max="534" width="11.21875" style="1105" customWidth="1"/>
    <col min="535" max="535" width="23" style="1105" customWidth="1"/>
    <col min="536" max="536" width="12.109375" style="1105" customWidth="1"/>
    <col min="537" max="537" width="13.21875" style="1105" customWidth="1"/>
    <col min="538" max="538" width="11.77734375" style="1105" customWidth="1"/>
    <col min="539" max="539" width="0" style="1105" hidden="1" customWidth="1"/>
    <col min="540" max="540" width="10.21875" style="1105" customWidth="1"/>
    <col min="541" max="541" width="14.5546875" style="1105" customWidth="1"/>
    <col min="542" max="542" width="45" style="1105" customWidth="1"/>
    <col min="543" max="543" width="12.44140625" style="1105" customWidth="1"/>
    <col min="544" max="544" width="11.77734375" style="1105" customWidth="1"/>
    <col min="545" max="545" width="11.109375" style="1105" customWidth="1"/>
    <col min="546" max="546" width="15.77734375" style="1105" customWidth="1"/>
    <col min="547" max="547" width="9" style="1105" bestFit="1" customWidth="1"/>
    <col min="548" max="548" width="8.109375" style="1105" bestFit="1" customWidth="1"/>
    <col min="549" max="549" width="9.33203125" style="1105" bestFit="1" customWidth="1"/>
    <col min="550" max="551" width="7.44140625" style="1105"/>
    <col min="552" max="552" width="8" style="1105" bestFit="1" customWidth="1"/>
    <col min="553" max="553" width="7.44140625" style="1105"/>
    <col min="554" max="554" width="22" style="1105" customWidth="1"/>
    <col min="555" max="555" width="11.33203125" style="1105" customWidth="1"/>
    <col min="556" max="556" width="49" style="1105" customWidth="1"/>
    <col min="557" max="557" width="11" style="1105" customWidth="1"/>
    <col min="558" max="558" width="7.5546875" style="1105" bestFit="1" customWidth="1"/>
    <col min="559" max="559" width="10.21875" style="1105" customWidth="1"/>
    <col min="560" max="560" width="9.33203125" style="1105" customWidth="1"/>
    <col min="561" max="764" width="7.44140625" style="1105"/>
    <col min="765" max="765" width="7.5546875" style="1105" bestFit="1" customWidth="1"/>
    <col min="766" max="768" width="7.44140625" style="1105"/>
    <col min="769" max="769" width="7.77734375" style="1105" customWidth="1"/>
    <col min="770" max="770" width="64" style="1105" customWidth="1"/>
    <col min="771" max="771" width="16.21875" style="1105" customWidth="1"/>
    <col min="772" max="772" width="13.77734375" style="1105" customWidth="1"/>
    <col min="773" max="773" width="8.5546875" style="1105" customWidth="1"/>
    <col min="774" max="774" width="17.77734375" style="1105" customWidth="1"/>
    <col min="775" max="775" width="14.21875" style="1105" customWidth="1"/>
    <col min="776" max="776" width="43.33203125" style="1105" customWidth="1"/>
    <col min="777" max="777" width="14.33203125" style="1105" customWidth="1"/>
    <col min="778" max="778" width="11.44140625" style="1105" customWidth="1"/>
    <col min="779" max="779" width="12.88671875" style="1105" customWidth="1"/>
    <col min="780" max="780" width="9.77734375" style="1105" customWidth="1"/>
    <col min="781" max="781" width="11.21875" style="1105" customWidth="1"/>
    <col min="782" max="782" width="8.5546875" style="1105" bestFit="1" customWidth="1"/>
    <col min="783" max="783" width="51" style="1105" customWidth="1"/>
    <col min="784" max="784" width="15.5546875" style="1105" customWidth="1"/>
    <col min="785" max="785" width="10.6640625" style="1105" customWidth="1"/>
    <col min="786" max="786" width="11.77734375" style="1105" customWidth="1"/>
    <col min="787" max="787" width="10.88671875" style="1105" customWidth="1"/>
    <col min="788" max="788" width="9.21875" style="1105" customWidth="1"/>
    <col min="789" max="789" width="54.109375" style="1105" customWidth="1"/>
    <col min="790" max="790" width="11.21875" style="1105" customWidth="1"/>
    <col min="791" max="791" width="23" style="1105" customWidth="1"/>
    <col min="792" max="792" width="12.109375" style="1105" customWidth="1"/>
    <col min="793" max="793" width="13.21875" style="1105" customWidth="1"/>
    <col min="794" max="794" width="11.77734375" style="1105" customWidth="1"/>
    <col min="795" max="795" width="0" style="1105" hidden="1" customWidth="1"/>
    <col min="796" max="796" width="10.21875" style="1105" customWidth="1"/>
    <col min="797" max="797" width="14.5546875" style="1105" customWidth="1"/>
    <col min="798" max="798" width="45" style="1105" customWidth="1"/>
    <col min="799" max="799" width="12.44140625" style="1105" customWidth="1"/>
    <col min="800" max="800" width="11.77734375" style="1105" customWidth="1"/>
    <col min="801" max="801" width="11.109375" style="1105" customWidth="1"/>
    <col min="802" max="802" width="15.77734375" style="1105" customWidth="1"/>
    <col min="803" max="803" width="9" style="1105" bestFit="1" customWidth="1"/>
    <col min="804" max="804" width="8.109375" style="1105" bestFit="1" customWidth="1"/>
    <col min="805" max="805" width="9.33203125" style="1105" bestFit="1" customWidth="1"/>
    <col min="806" max="807" width="7.44140625" style="1105"/>
    <col min="808" max="808" width="8" style="1105" bestFit="1" customWidth="1"/>
    <col min="809" max="809" width="7.44140625" style="1105"/>
    <col min="810" max="810" width="22" style="1105" customWidth="1"/>
    <col min="811" max="811" width="11.33203125" style="1105" customWidth="1"/>
    <col min="812" max="812" width="49" style="1105" customWidth="1"/>
    <col min="813" max="813" width="11" style="1105" customWidth="1"/>
    <col min="814" max="814" width="7.5546875" style="1105" bestFit="1" customWidth="1"/>
    <col min="815" max="815" width="10.21875" style="1105" customWidth="1"/>
    <col min="816" max="816" width="9.33203125" style="1105" customWidth="1"/>
    <col min="817" max="1020" width="7.44140625" style="1105"/>
    <col min="1021" max="1021" width="7.5546875" style="1105" bestFit="1" customWidth="1"/>
    <col min="1022" max="1024" width="7.44140625" style="1105"/>
    <col min="1025" max="1025" width="7.77734375" style="1105" customWidth="1"/>
    <col min="1026" max="1026" width="64" style="1105" customWidth="1"/>
    <col min="1027" max="1027" width="16.21875" style="1105" customWidth="1"/>
    <col min="1028" max="1028" width="13.77734375" style="1105" customWidth="1"/>
    <col min="1029" max="1029" width="8.5546875" style="1105" customWidth="1"/>
    <col min="1030" max="1030" width="17.77734375" style="1105" customWidth="1"/>
    <col min="1031" max="1031" width="14.21875" style="1105" customWidth="1"/>
    <col min="1032" max="1032" width="43.33203125" style="1105" customWidth="1"/>
    <col min="1033" max="1033" width="14.33203125" style="1105" customWidth="1"/>
    <col min="1034" max="1034" width="11.44140625" style="1105" customWidth="1"/>
    <col min="1035" max="1035" width="12.88671875" style="1105" customWidth="1"/>
    <col min="1036" max="1036" width="9.77734375" style="1105" customWidth="1"/>
    <col min="1037" max="1037" width="11.21875" style="1105" customWidth="1"/>
    <col min="1038" max="1038" width="8.5546875" style="1105" bestFit="1" customWidth="1"/>
    <col min="1039" max="1039" width="51" style="1105" customWidth="1"/>
    <col min="1040" max="1040" width="15.5546875" style="1105" customWidth="1"/>
    <col min="1041" max="1041" width="10.6640625" style="1105" customWidth="1"/>
    <col min="1042" max="1042" width="11.77734375" style="1105" customWidth="1"/>
    <col min="1043" max="1043" width="10.88671875" style="1105" customWidth="1"/>
    <col min="1044" max="1044" width="9.21875" style="1105" customWidth="1"/>
    <col min="1045" max="1045" width="54.109375" style="1105" customWidth="1"/>
    <col min="1046" max="1046" width="11.21875" style="1105" customWidth="1"/>
    <col min="1047" max="1047" width="23" style="1105" customWidth="1"/>
    <col min="1048" max="1048" width="12.109375" style="1105" customWidth="1"/>
    <col min="1049" max="1049" width="13.21875" style="1105" customWidth="1"/>
    <col min="1050" max="1050" width="11.77734375" style="1105" customWidth="1"/>
    <col min="1051" max="1051" width="0" style="1105" hidden="1" customWidth="1"/>
    <col min="1052" max="1052" width="10.21875" style="1105" customWidth="1"/>
    <col min="1053" max="1053" width="14.5546875" style="1105" customWidth="1"/>
    <col min="1054" max="1054" width="45" style="1105" customWidth="1"/>
    <col min="1055" max="1055" width="12.44140625" style="1105" customWidth="1"/>
    <col min="1056" max="1056" width="11.77734375" style="1105" customWidth="1"/>
    <col min="1057" max="1057" width="11.109375" style="1105" customWidth="1"/>
    <col min="1058" max="1058" width="15.77734375" style="1105" customWidth="1"/>
    <col min="1059" max="1059" width="9" style="1105" bestFit="1" customWidth="1"/>
    <col min="1060" max="1060" width="8.109375" style="1105" bestFit="1" customWidth="1"/>
    <col min="1061" max="1061" width="9.33203125" style="1105" bestFit="1" customWidth="1"/>
    <col min="1062" max="1063" width="7.44140625" style="1105"/>
    <col min="1064" max="1064" width="8" style="1105" bestFit="1" customWidth="1"/>
    <col min="1065" max="1065" width="7.44140625" style="1105"/>
    <col min="1066" max="1066" width="22" style="1105" customWidth="1"/>
    <col min="1067" max="1067" width="11.33203125" style="1105" customWidth="1"/>
    <col min="1068" max="1068" width="49" style="1105" customWidth="1"/>
    <col min="1069" max="1069" width="11" style="1105" customWidth="1"/>
    <col min="1070" max="1070" width="7.5546875" style="1105" bestFit="1" customWidth="1"/>
    <col min="1071" max="1071" width="10.21875" style="1105" customWidth="1"/>
    <col min="1072" max="1072" width="9.33203125" style="1105" customWidth="1"/>
    <col min="1073" max="1276" width="7.44140625" style="1105"/>
    <col min="1277" max="1277" width="7.5546875" style="1105" bestFit="1" customWidth="1"/>
    <col min="1278" max="1280" width="7.44140625" style="1105"/>
    <col min="1281" max="1281" width="7.77734375" style="1105" customWidth="1"/>
    <col min="1282" max="1282" width="64" style="1105" customWidth="1"/>
    <col min="1283" max="1283" width="16.21875" style="1105" customWidth="1"/>
    <col min="1284" max="1284" width="13.77734375" style="1105" customWidth="1"/>
    <col min="1285" max="1285" width="8.5546875" style="1105" customWidth="1"/>
    <col min="1286" max="1286" width="17.77734375" style="1105" customWidth="1"/>
    <col min="1287" max="1287" width="14.21875" style="1105" customWidth="1"/>
    <col min="1288" max="1288" width="43.33203125" style="1105" customWidth="1"/>
    <col min="1289" max="1289" width="14.33203125" style="1105" customWidth="1"/>
    <col min="1290" max="1290" width="11.44140625" style="1105" customWidth="1"/>
    <col min="1291" max="1291" width="12.88671875" style="1105" customWidth="1"/>
    <col min="1292" max="1292" width="9.77734375" style="1105" customWidth="1"/>
    <col min="1293" max="1293" width="11.21875" style="1105" customWidth="1"/>
    <col min="1294" max="1294" width="8.5546875" style="1105" bestFit="1" customWidth="1"/>
    <col min="1295" max="1295" width="51" style="1105" customWidth="1"/>
    <col min="1296" max="1296" width="15.5546875" style="1105" customWidth="1"/>
    <col min="1297" max="1297" width="10.6640625" style="1105" customWidth="1"/>
    <col min="1298" max="1298" width="11.77734375" style="1105" customWidth="1"/>
    <col min="1299" max="1299" width="10.88671875" style="1105" customWidth="1"/>
    <col min="1300" max="1300" width="9.21875" style="1105" customWidth="1"/>
    <col min="1301" max="1301" width="54.109375" style="1105" customWidth="1"/>
    <col min="1302" max="1302" width="11.21875" style="1105" customWidth="1"/>
    <col min="1303" max="1303" width="23" style="1105" customWidth="1"/>
    <col min="1304" max="1304" width="12.109375" style="1105" customWidth="1"/>
    <col min="1305" max="1305" width="13.21875" style="1105" customWidth="1"/>
    <col min="1306" max="1306" width="11.77734375" style="1105" customWidth="1"/>
    <col min="1307" max="1307" width="0" style="1105" hidden="1" customWidth="1"/>
    <col min="1308" max="1308" width="10.21875" style="1105" customWidth="1"/>
    <col min="1309" max="1309" width="14.5546875" style="1105" customWidth="1"/>
    <col min="1310" max="1310" width="45" style="1105" customWidth="1"/>
    <col min="1311" max="1311" width="12.44140625" style="1105" customWidth="1"/>
    <col min="1312" max="1312" width="11.77734375" style="1105" customWidth="1"/>
    <col min="1313" max="1313" width="11.109375" style="1105" customWidth="1"/>
    <col min="1314" max="1314" width="15.77734375" style="1105" customWidth="1"/>
    <col min="1315" max="1315" width="9" style="1105" bestFit="1" customWidth="1"/>
    <col min="1316" max="1316" width="8.109375" style="1105" bestFit="1" customWidth="1"/>
    <col min="1317" max="1317" width="9.33203125" style="1105" bestFit="1" customWidth="1"/>
    <col min="1318" max="1319" width="7.44140625" style="1105"/>
    <col min="1320" max="1320" width="8" style="1105" bestFit="1" customWidth="1"/>
    <col min="1321" max="1321" width="7.44140625" style="1105"/>
    <col min="1322" max="1322" width="22" style="1105" customWidth="1"/>
    <col min="1323" max="1323" width="11.33203125" style="1105" customWidth="1"/>
    <col min="1324" max="1324" width="49" style="1105" customWidth="1"/>
    <col min="1325" max="1325" width="11" style="1105" customWidth="1"/>
    <col min="1326" max="1326" width="7.5546875" style="1105" bestFit="1" customWidth="1"/>
    <col min="1327" max="1327" width="10.21875" style="1105" customWidth="1"/>
    <col min="1328" max="1328" width="9.33203125" style="1105" customWidth="1"/>
    <col min="1329" max="1532" width="7.44140625" style="1105"/>
    <col min="1533" max="1533" width="7.5546875" style="1105" bestFit="1" customWidth="1"/>
    <col min="1534" max="1536" width="7.44140625" style="1105"/>
    <col min="1537" max="1537" width="7.77734375" style="1105" customWidth="1"/>
    <col min="1538" max="1538" width="64" style="1105" customWidth="1"/>
    <col min="1539" max="1539" width="16.21875" style="1105" customWidth="1"/>
    <col min="1540" max="1540" width="13.77734375" style="1105" customWidth="1"/>
    <col min="1541" max="1541" width="8.5546875" style="1105" customWidth="1"/>
    <col min="1542" max="1542" width="17.77734375" style="1105" customWidth="1"/>
    <col min="1543" max="1543" width="14.21875" style="1105" customWidth="1"/>
    <col min="1544" max="1544" width="43.33203125" style="1105" customWidth="1"/>
    <col min="1545" max="1545" width="14.33203125" style="1105" customWidth="1"/>
    <col min="1546" max="1546" width="11.44140625" style="1105" customWidth="1"/>
    <col min="1547" max="1547" width="12.88671875" style="1105" customWidth="1"/>
    <col min="1548" max="1548" width="9.77734375" style="1105" customWidth="1"/>
    <col min="1549" max="1549" width="11.21875" style="1105" customWidth="1"/>
    <col min="1550" max="1550" width="8.5546875" style="1105" bestFit="1" customWidth="1"/>
    <col min="1551" max="1551" width="51" style="1105" customWidth="1"/>
    <col min="1552" max="1552" width="15.5546875" style="1105" customWidth="1"/>
    <col min="1553" max="1553" width="10.6640625" style="1105" customWidth="1"/>
    <col min="1554" max="1554" width="11.77734375" style="1105" customWidth="1"/>
    <col min="1555" max="1555" width="10.88671875" style="1105" customWidth="1"/>
    <col min="1556" max="1556" width="9.21875" style="1105" customWidth="1"/>
    <col min="1557" max="1557" width="54.109375" style="1105" customWidth="1"/>
    <col min="1558" max="1558" width="11.21875" style="1105" customWidth="1"/>
    <col min="1559" max="1559" width="23" style="1105" customWidth="1"/>
    <col min="1560" max="1560" width="12.109375" style="1105" customWidth="1"/>
    <col min="1561" max="1561" width="13.21875" style="1105" customWidth="1"/>
    <col min="1562" max="1562" width="11.77734375" style="1105" customWidth="1"/>
    <col min="1563" max="1563" width="0" style="1105" hidden="1" customWidth="1"/>
    <col min="1564" max="1564" width="10.21875" style="1105" customWidth="1"/>
    <col min="1565" max="1565" width="14.5546875" style="1105" customWidth="1"/>
    <col min="1566" max="1566" width="45" style="1105" customWidth="1"/>
    <col min="1567" max="1567" width="12.44140625" style="1105" customWidth="1"/>
    <col min="1568" max="1568" width="11.77734375" style="1105" customWidth="1"/>
    <col min="1569" max="1569" width="11.109375" style="1105" customWidth="1"/>
    <col min="1570" max="1570" width="15.77734375" style="1105" customWidth="1"/>
    <col min="1571" max="1571" width="9" style="1105" bestFit="1" customWidth="1"/>
    <col min="1572" max="1572" width="8.109375" style="1105" bestFit="1" customWidth="1"/>
    <col min="1573" max="1573" width="9.33203125" style="1105" bestFit="1" customWidth="1"/>
    <col min="1574" max="1575" width="7.44140625" style="1105"/>
    <col min="1576" max="1576" width="8" style="1105" bestFit="1" customWidth="1"/>
    <col min="1577" max="1577" width="7.44140625" style="1105"/>
    <col min="1578" max="1578" width="22" style="1105" customWidth="1"/>
    <col min="1579" max="1579" width="11.33203125" style="1105" customWidth="1"/>
    <col min="1580" max="1580" width="49" style="1105" customWidth="1"/>
    <col min="1581" max="1581" width="11" style="1105" customWidth="1"/>
    <col min="1582" max="1582" width="7.5546875" style="1105" bestFit="1" customWidth="1"/>
    <col min="1583" max="1583" width="10.21875" style="1105" customWidth="1"/>
    <col min="1584" max="1584" width="9.33203125" style="1105" customWidth="1"/>
    <col min="1585" max="1788" width="7.44140625" style="1105"/>
    <col min="1789" max="1789" width="7.5546875" style="1105" bestFit="1" customWidth="1"/>
    <col min="1790" max="1792" width="7.44140625" style="1105"/>
    <col min="1793" max="1793" width="7.77734375" style="1105" customWidth="1"/>
    <col min="1794" max="1794" width="64" style="1105" customWidth="1"/>
    <col min="1795" max="1795" width="16.21875" style="1105" customWidth="1"/>
    <col min="1796" max="1796" width="13.77734375" style="1105" customWidth="1"/>
    <col min="1797" max="1797" width="8.5546875" style="1105" customWidth="1"/>
    <col min="1798" max="1798" width="17.77734375" style="1105" customWidth="1"/>
    <col min="1799" max="1799" width="14.21875" style="1105" customWidth="1"/>
    <col min="1800" max="1800" width="43.33203125" style="1105" customWidth="1"/>
    <col min="1801" max="1801" width="14.33203125" style="1105" customWidth="1"/>
    <col min="1802" max="1802" width="11.44140625" style="1105" customWidth="1"/>
    <col min="1803" max="1803" width="12.88671875" style="1105" customWidth="1"/>
    <col min="1804" max="1804" width="9.77734375" style="1105" customWidth="1"/>
    <col min="1805" max="1805" width="11.21875" style="1105" customWidth="1"/>
    <col min="1806" max="1806" width="8.5546875" style="1105" bestFit="1" customWidth="1"/>
    <col min="1807" max="1807" width="51" style="1105" customWidth="1"/>
    <col min="1808" max="1808" width="15.5546875" style="1105" customWidth="1"/>
    <col min="1809" max="1809" width="10.6640625" style="1105" customWidth="1"/>
    <col min="1810" max="1810" width="11.77734375" style="1105" customWidth="1"/>
    <col min="1811" max="1811" width="10.88671875" style="1105" customWidth="1"/>
    <col min="1812" max="1812" width="9.21875" style="1105" customWidth="1"/>
    <col min="1813" max="1813" width="54.109375" style="1105" customWidth="1"/>
    <col min="1814" max="1814" width="11.21875" style="1105" customWidth="1"/>
    <col min="1815" max="1815" width="23" style="1105" customWidth="1"/>
    <col min="1816" max="1816" width="12.109375" style="1105" customWidth="1"/>
    <col min="1817" max="1817" width="13.21875" style="1105" customWidth="1"/>
    <col min="1818" max="1818" width="11.77734375" style="1105" customWidth="1"/>
    <col min="1819" max="1819" width="0" style="1105" hidden="1" customWidth="1"/>
    <col min="1820" max="1820" width="10.21875" style="1105" customWidth="1"/>
    <col min="1821" max="1821" width="14.5546875" style="1105" customWidth="1"/>
    <col min="1822" max="1822" width="45" style="1105" customWidth="1"/>
    <col min="1823" max="1823" width="12.44140625" style="1105" customWidth="1"/>
    <col min="1824" max="1824" width="11.77734375" style="1105" customWidth="1"/>
    <col min="1825" max="1825" width="11.109375" style="1105" customWidth="1"/>
    <col min="1826" max="1826" width="15.77734375" style="1105" customWidth="1"/>
    <col min="1827" max="1827" width="9" style="1105" bestFit="1" customWidth="1"/>
    <col min="1828" max="1828" width="8.109375" style="1105" bestFit="1" customWidth="1"/>
    <col min="1829" max="1829" width="9.33203125" style="1105" bestFit="1" customWidth="1"/>
    <col min="1830" max="1831" width="7.44140625" style="1105"/>
    <col min="1832" max="1832" width="8" style="1105" bestFit="1" customWidth="1"/>
    <col min="1833" max="1833" width="7.44140625" style="1105"/>
    <col min="1834" max="1834" width="22" style="1105" customWidth="1"/>
    <col min="1835" max="1835" width="11.33203125" style="1105" customWidth="1"/>
    <col min="1836" max="1836" width="49" style="1105" customWidth="1"/>
    <col min="1837" max="1837" width="11" style="1105" customWidth="1"/>
    <col min="1838" max="1838" width="7.5546875" style="1105" bestFit="1" customWidth="1"/>
    <col min="1839" max="1839" width="10.21875" style="1105" customWidth="1"/>
    <col min="1840" max="1840" width="9.33203125" style="1105" customWidth="1"/>
    <col min="1841" max="2044" width="7.44140625" style="1105"/>
    <col min="2045" max="2045" width="7.5546875" style="1105" bestFit="1" customWidth="1"/>
    <col min="2046" max="2048" width="7.44140625" style="1105"/>
    <col min="2049" max="2049" width="7.77734375" style="1105" customWidth="1"/>
    <col min="2050" max="2050" width="64" style="1105" customWidth="1"/>
    <col min="2051" max="2051" width="16.21875" style="1105" customWidth="1"/>
    <col min="2052" max="2052" width="13.77734375" style="1105" customWidth="1"/>
    <col min="2053" max="2053" width="8.5546875" style="1105" customWidth="1"/>
    <col min="2054" max="2054" width="17.77734375" style="1105" customWidth="1"/>
    <col min="2055" max="2055" width="14.21875" style="1105" customWidth="1"/>
    <col min="2056" max="2056" width="43.33203125" style="1105" customWidth="1"/>
    <col min="2057" max="2057" width="14.33203125" style="1105" customWidth="1"/>
    <col min="2058" max="2058" width="11.44140625" style="1105" customWidth="1"/>
    <col min="2059" max="2059" width="12.88671875" style="1105" customWidth="1"/>
    <col min="2060" max="2060" width="9.77734375" style="1105" customWidth="1"/>
    <col min="2061" max="2061" width="11.21875" style="1105" customWidth="1"/>
    <col min="2062" max="2062" width="8.5546875" style="1105" bestFit="1" customWidth="1"/>
    <col min="2063" max="2063" width="51" style="1105" customWidth="1"/>
    <col min="2064" max="2064" width="15.5546875" style="1105" customWidth="1"/>
    <col min="2065" max="2065" width="10.6640625" style="1105" customWidth="1"/>
    <col min="2066" max="2066" width="11.77734375" style="1105" customWidth="1"/>
    <col min="2067" max="2067" width="10.88671875" style="1105" customWidth="1"/>
    <col min="2068" max="2068" width="9.21875" style="1105" customWidth="1"/>
    <col min="2069" max="2069" width="54.109375" style="1105" customWidth="1"/>
    <col min="2070" max="2070" width="11.21875" style="1105" customWidth="1"/>
    <col min="2071" max="2071" width="23" style="1105" customWidth="1"/>
    <col min="2072" max="2072" width="12.109375" style="1105" customWidth="1"/>
    <col min="2073" max="2073" width="13.21875" style="1105" customWidth="1"/>
    <col min="2074" max="2074" width="11.77734375" style="1105" customWidth="1"/>
    <col min="2075" max="2075" width="0" style="1105" hidden="1" customWidth="1"/>
    <col min="2076" max="2076" width="10.21875" style="1105" customWidth="1"/>
    <col min="2077" max="2077" width="14.5546875" style="1105" customWidth="1"/>
    <col min="2078" max="2078" width="45" style="1105" customWidth="1"/>
    <col min="2079" max="2079" width="12.44140625" style="1105" customWidth="1"/>
    <col min="2080" max="2080" width="11.77734375" style="1105" customWidth="1"/>
    <col min="2081" max="2081" width="11.109375" style="1105" customWidth="1"/>
    <col min="2082" max="2082" width="15.77734375" style="1105" customWidth="1"/>
    <col min="2083" max="2083" width="9" style="1105" bestFit="1" customWidth="1"/>
    <col min="2084" max="2084" width="8.109375" style="1105" bestFit="1" customWidth="1"/>
    <col min="2085" max="2085" width="9.33203125" style="1105" bestFit="1" customWidth="1"/>
    <col min="2086" max="2087" width="7.44140625" style="1105"/>
    <col min="2088" max="2088" width="8" style="1105" bestFit="1" customWidth="1"/>
    <col min="2089" max="2089" width="7.44140625" style="1105"/>
    <col min="2090" max="2090" width="22" style="1105" customWidth="1"/>
    <col min="2091" max="2091" width="11.33203125" style="1105" customWidth="1"/>
    <col min="2092" max="2092" width="49" style="1105" customWidth="1"/>
    <col min="2093" max="2093" width="11" style="1105" customWidth="1"/>
    <col min="2094" max="2094" width="7.5546875" style="1105" bestFit="1" customWidth="1"/>
    <col min="2095" max="2095" width="10.21875" style="1105" customWidth="1"/>
    <col min="2096" max="2096" width="9.33203125" style="1105" customWidth="1"/>
    <col min="2097" max="2300" width="7.44140625" style="1105"/>
    <col min="2301" max="2301" width="7.5546875" style="1105" bestFit="1" customWidth="1"/>
    <col min="2302" max="2304" width="7.44140625" style="1105"/>
    <col min="2305" max="2305" width="7.77734375" style="1105" customWidth="1"/>
    <col min="2306" max="2306" width="64" style="1105" customWidth="1"/>
    <col min="2307" max="2307" width="16.21875" style="1105" customWidth="1"/>
    <col min="2308" max="2308" width="13.77734375" style="1105" customWidth="1"/>
    <col min="2309" max="2309" width="8.5546875" style="1105" customWidth="1"/>
    <col min="2310" max="2310" width="17.77734375" style="1105" customWidth="1"/>
    <col min="2311" max="2311" width="14.21875" style="1105" customWidth="1"/>
    <col min="2312" max="2312" width="43.33203125" style="1105" customWidth="1"/>
    <col min="2313" max="2313" width="14.33203125" style="1105" customWidth="1"/>
    <col min="2314" max="2314" width="11.44140625" style="1105" customWidth="1"/>
    <col min="2315" max="2315" width="12.88671875" style="1105" customWidth="1"/>
    <col min="2316" max="2316" width="9.77734375" style="1105" customWidth="1"/>
    <col min="2317" max="2317" width="11.21875" style="1105" customWidth="1"/>
    <col min="2318" max="2318" width="8.5546875" style="1105" bestFit="1" customWidth="1"/>
    <col min="2319" max="2319" width="51" style="1105" customWidth="1"/>
    <col min="2320" max="2320" width="15.5546875" style="1105" customWidth="1"/>
    <col min="2321" max="2321" width="10.6640625" style="1105" customWidth="1"/>
    <col min="2322" max="2322" width="11.77734375" style="1105" customWidth="1"/>
    <col min="2323" max="2323" width="10.88671875" style="1105" customWidth="1"/>
    <col min="2324" max="2324" width="9.21875" style="1105" customWidth="1"/>
    <col min="2325" max="2325" width="54.109375" style="1105" customWidth="1"/>
    <col min="2326" max="2326" width="11.21875" style="1105" customWidth="1"/>
    <col min="2327" max="2327" width="23" style="1105" customWidth="1"/>
    <col min="2328" max="2328" width="12.109375" style="1105" customWidth="1"/>
    <col min="2329" max="2329" width="13.21875" style="1105" customWidth="1"/>
    <col min="2330" max="2330" width="11.77734375" style="1105" customWidth="1"/>
    <col min="2331" max="2331" width="0" style="1105" hidden="1" customWidth="1"/>
    <col min="2332" max="2332" width="10.21875" style="1105" customWidth="1"/>
    <col min="2333" max="2333" width="14.5546875" style="1105" customWidth="1"/>
    <col min="2334" max="2334" width="45" style="1105" customWidth="1"/>
    <col min="2335" max="2335" width="12.44140625" style="1105" customWidth="1"/>
    <col min="2336" max="2336" width="11.77734375" style="1105" customWidth="1"/>
    <col min="2337" max="2337" width="11.109375" style="1105" customWidth="1"/>
    <col min="2338" max="2338" width="15.77734375" style="1105" customWidth="1"/>
    <col min="2339" max="2339" width="9" style="1105" bestFit="1" customWidth="1"/>
    <col min="2340" max="2340" width="8.109375" style="1105" bestFit="1" customWidth="1"/>
    <col min="2341" max="2341" width="9.33203125" style="1105" bestFit="1" customWidth="1"/>
    <col min="2342" max="2343" width="7.44140625" style="1105"/>
    <col min="2344" max="2344" width="8" style="1105" bestFit="1" customWidth="1"/>
    <col min="2345" max="2345" width="7.44140625" style="1105"/>
    <col min="2346" max="2346" width="22" style="1105" customWidth="1"/>
    <col min="2347" max="2347" width="11.33203125" style="1105" customWidth="1"/>
    <col min="2348" max="2348" width="49" style="1105" customWidth="1"/>
    <col min="2349" max="2349" width="11" style="1105" customWidth="1"/>
    <col min="2350" max="2350" width="7.5546875" style="1105" bestFit="1" customWidth="1"/>
    <col min="2351" max="2351" width="10.21875" style="1105" customWidth="1"/>
    <col min="2352" max="2352" width="9.33203125" style="1105" customWidth="1"/>
    <col min="2353" max="2556" width="7.44140625" style="1105"/>
    <col min="2557" max="2557" width="7.5546875" style="1105" bestFit="1" customWidth="1"/>
    <col min="2558" max="2560" width="7.44140625" style="1105"/>
    <col min="2561" max="2561" width="7.77734375" style="1105" customWidth="1"/>
    <col min="2562" max="2562" width="64" style="1105" customWidth="1"/>
    <col min="2563" max="2563" width="16.21875" style="1105" customWidth="1"/>
    <col min="2564" max="2564" width="13.77734375" style="1105" customWidth="1"/>
    <col min="2565" max="2565" width="8.5546875" style="1105" customWidth="1"/>
    <col min="2566" max="2566" width="17.77734375" style="1105" customWidth="1"/>
    <col min="2567" max="2567" width="14.21875" style="1105" customWidth="1"/>
    <col min="2568" max="2568" width="43.33203125" style="1105" customWidth="1"/>
    <col min="2569" max="2569" width="14.33203125" style="1105" customWidth="1"/>
    <col min="2570" max="2570" width="11.44140625" style="1105" customWidth="1"/>
    <col min="2571" max="2571" width="12.88671875" style="1105" customWidth="1"/>
    <col min="2572" max="2572" width="9.77734375" style="1105" customWidth="1"/>
    <col min="2573" max="2573" width="11.21875" style="1105" customWidth="1"/>
    <col min="2574" max="2574" width="8.5546875" style="1105" bestFit="1" customWidth="1"/>
    <col min="2575" max="2575" width="51" style="1105" customWidth="1"/>
    <col min="2576" max="2576" width="15.5546875" style="1105" customWidth="1"/>
    <col min="2577" max="2577" width="10.6640625" style="1105" customWidth="1"/>
    <col min="2578" max="2578" width="11.77734375" style="1105" customWidth="1"/>
    <col min="2579" max="2579" width="10.88671875" style="1105" customWidth="1"/>
    <col min="2580" max="2580" width="9.21875" style="1105" customWidth="1"/>
    <col min="2581" max="2581" width="54.109375" style="1105" customWidth="1"/>
    <col min="2582" max="2582" width="11.21875" style="1105" customWidth="1"/>
    <col min="2583" max="2583" width="23" style="1105" customWidth="1"/>
    <col min="2584" max="2584" width="12.109375" style="1105" customWidth="1"/>
    <col min="2585" max="2585" width="13.21875" style="1105" customWidth="1"/>
    <col min="2586" max="2586" width="11.77734375" style="1105" customWidth="1"/>
    <col min="2587" max="2587" width="0" style="1105" hidden="1" customWidth="1"/>
    <col min="2588" max="2588" width="10.21875" style="1105" customWidth="1"/>
    <col min="2589" max="2589" width="14.5546875" style="1105" customWidth="1"/>
    <col min="2590" max="2590" width="45" style="1105" customWidth="1"/>
    <col min="2591" max="2591" width="12.44140625" style="1105" customWidth="1"/>
    <col min="2592" max="2592" width="11.77734375" style="1105" customWidth="1"/>
    <col min="2593" max="2593" width="11.109375" style="1105" customWidth="1"/>
    <col min="2594" max="2594" width="15.77734375" style="1105" customWidth="1"/>
    <col min="2595" max="2595" width="9" style="1105" bestFit="1" customWidth="1"/>
    <col min="2596" max="2596" width="8.109375" style="1105" bestFit="1" customWidth="1"/>
    <col min="2597" max="2597" width="9.33203125" style="1105" bestFit="1" customWidth="1"/>
    <col min="2598" max="2599" width="7.44140625" style="1105"/>
    <col min="2600" max="2600" width="8" style="1105" bestFit="1" customWidth="1"/>
    <col min="2601" max="2601" width="7.44140625" style="1105"/>
    <col min="2602" max="2602" width="22" style="1105" customWidth="1"/>
    <col min="2603" max="2603" width="11.33203125" style="1105" customWidth="1"/>
    <col min="2604" max="2604" width="49" style="1105" customWidth="1"/>
    <col min="2605" max="2605" width="11" style="1105" customWidth="1"/>
    <col min="2606" max="2606" width="7.5546875" style="1105" bestFit="1" customWidth="1"/>
    <col min="2607" max="2607" width="10.21875" style="1105" customWidth="1"/>
    <col min="2608" max="2608" width="9.33203125" style="1105" customWidth="1"/>
    <col min="2609" max="2812" width="7.44140625" style="1105"/>
    <col min="2813" max="2813" width="7.5546875" style="1105" bestFit="1" customWidth="1"/>
    <col min="2814" max="2816" width="7.44140625" style="1105"/>
    <col min="2817" max="2817" width="7.77734375" style="1105" customWidth="1"/>
    <col min="2818" max="2818" width="64" style="1105" customWidth="1"/>
    <col min="2819" max="2819" width="16.21875" style="1105" customWidth="1"/>
    <col min="2820" max="2820" width="13.77734375" style="1105" customWidth="1"/>
    <col min="2821" max="2821" width="8.5546875" style="1105" customWidth="1"/>
    <col min="2822" max="2822" width="17.77734375" style="1105" customWidth="1"/>
    <col min="2823" max="2823" width="14.21875" style="1105" customWidth="1"/>
    <col min="2824" max="2824" width="43.33203125" style="1105" customWidth="1"/>
    <col min="2825" max="2825" width="14.33203125" style="1105" customWidth="1"/>
    <col min="2826" max="2826" width="11.44140625" style="1105" customWidth="1"/>
    <col min="2827" max="2827" width="12.88671875" style="1105" customWidth="1"/>
    <col min="2828" max="2828" width="9.77734375" style="1105" customWidth="1"/>
    <col min="2829" max="2829" width="11.21875" style="1105" customWidth="1"/>
    <col min="2830" max="2830" width="8.5546875" style="1105" bestFit="1" customWidth="1"/>
    <col min="2831" max="2831" width="51" style="1105" customWidth="1"/>
    <col min="2832" max="2832" width="15.5546875" style="1105" customWidth="1"/>
    <col min="2833" max="2833" width="10.6640625" style="1105" customWidth="1"/>
    <col min="2834" max="2834" width="11.77734375" style="1105" customWidth="1"/>
    <col min="2835" max="2835" width="10.88671875" style="1105" customWidth="1"/>
    <col min="2836" max="2836" width="9.21875" style="1105" customWidth="1"/>
    <col min="2837" max="2837" width="54.109375" style="1105" customWidth="1"/>
    <col min="2838" max="2838" width="11.21875" style="1105" customWidth="1"/>
    <col min="2839" max="2839" width="23" style="1105" customWidth="1"/>
    <col min="2840" max="2840" width="12.109375" style="1105" customWidth="1"/>
    <col min="2841" max="2841" width="13.21875" style="1105" customWidth="1"/>
    <col min="2842" max="2842" width="11.77734375" style="1105" customWidth="1"/>
    <col min="2843" max="2843" width="0" style="1105" hidden="1" customWidth="1"/>
    <col min="2844" max="2844" width="10.21875" style="1105" customWidth="1"/>
    <col min="2845" max="2845" width="14.5546875" style="1105" customWidth="1"/>
    <col min="2846" max="2846" width="45" style="1105" customWidth="1"/>
    <col min="2847" max="2847" width="12.44140625" style="1105" customWidth="1"/>
    <col min="2848" max="2848" width="11.77734375" style="1105" customWidth="1"/>
    <col min="2849" max="2849" width="11.109375" style="1105" customWidth="1"/>
    <col min="2850" max="2850" width="15.77734375" style="1105" customWidth="1"/>
    <col min="2851" max="2851" width="9" style="1105" bestFit="1" customWidth="1"/>
    <col min="2852" max="2852" width="8.109375" style="1105" bestFit="1" customWidth="1"/>
    <col min="2853" max="2853" width="9.33203125" style="1105" bestFit="1" customWidth="1"/>
    <col min="2854" max="2855" width="7.44140625" style="1105"/>
    <col min="2856" max="2856" width="8" style="1105" bestFit="1" customWidth="1"/>
    <col min="2857" max="2857" width="7.44140625" style="1105"/>
    <col min="2858" max="2858" width="22" style="1105" customWidth="1"/>
    <col min="2859" max="2859" width="11.33203125" style="1105" customWidth="1"/>
    <col min="2860" max="2860" width="49" style="1105" customWidth="1"/>
    <col min="2861" max="2861" width="11" style="1105" customWidth="1"/>
    <col min="2862" max="2862" width="7.5546875" style="1105" bestFit="1" customWidth="1"/>
    <col min="2863" max="2863" width="10.21875" style="1105" customWidth="1"/>
    <col min="2864" max="2864" width="9.33203125" style="1105" customWidth="1"/>
    <col min="2865" max="3068" width="7.44140625" style="1105"/>
    <col min="3069" max="3069" width="7.5546875" style="1105" bestFit="1" customWidth="1"/>
    <col min="3070" max="3072" width="7.44140625" style="1105"/>
    <col min="3073" max="3073" width="7.77734375" style="1105" customWidth="1"/>
    <col min="3074" max="3074" width="64" style="1105" customWidth="1"/>
    <col min="3075" max="3075" width="16.21875" style="1105" customWidth="1"/>
    <col min="3076" max="3076" width="13.77734375" style="1105" customWidth="1"/>
    <col min="3077" max="3077" width="8.5546875" style="1105" customWidth="1"/>
    <col min="3078" max="3078" width="17.77734375" style="1105" customWidth="1"/>
    <col min="3079" max="3079" width="14.21875" style="1105" customWidth="1"/>
    <col min="3080" max="3080" width="43.33203125" style="1105" customWidth="1"/>
    <col min="3081" max="3081" width="14.33203125" style="1105" customWidth="1"/>
    <col min="3082" max="3082" width="11.44140625" style="1105" customWidth="1"/>
    <col min="3083" max="3083" width="12.88671875" style="1105" customWidth="1"/>
    <col min="3084" max="3084" width="9.77734375" style="1105" customWidth="1"/>
    <col min="3085" max="3085" width="11.21875" style="1105" customWidth="1"/>
    <col min="3086" max="3086" width="8.5546875" style="1105" bestFit="1" customWidth="1"/>
    <col min="3087" max="3087" width="51" style="1105" customWidth="1"/>
    <col min="3088" max="3088" width="15.5546875" style="1105" customWidth="1"/>
    <col min="3089" max="3089" width="10.6640625" style="1105" customWidth="1"/>
    <col min="3090" max="3090" width="11.77734375" style="1105" customWidth="1"/>
    <col min="3091" max="3091" width="10.88671875" style="1105" customWidth="1"/>
    <col min="3092" max="3092" width="9.21875" style="1105" customWidth="1"/>
    <col min="3093" max="3093" width="54.109375" style="1105" customWidth="1"/>
    <col min="3094" max="3094" width="11.21875" style="1105" customWidth="1"/>
    <col min="3095" max="3095" width="23" style="1105" customWidth="1"/>
    <col min="3096" max="3096" width="12.109375" style="1105" customWidth="1"/>
    <col min="3097" max="3097" width="13.21875" style="1105" customWidth="1"/>
    <col min="3098" max="3098" width="11.77734375" style="1105" customWidth="1"/>
    <col min="3099" max="3099" width="0" style="1105" hidden="1" customWidth="1"/>
    <col min="3100" max="3100" width="10.21875" style="1105" customWidth="1"/>
    <col min="3101" max="3101" width="14.5546875" style="1105" customWidth="1"/>
    <col min="3102" max="3102" width="45" style="1105" customWidth="1"/>
    <col min="3103" max="3103" width="12.44140625" style="1105" customWidth="1"/>
    <col min="3104" max="3104" width="11.77734375" style="1105" customWidth="1"/>
    <col min="3105" max="3105" width="11.109375" style="1105" customWidth="1"/>
    <col min="3106" max="3106" width="15.77734375" style="1105" customWidth="1"/>
    <col min="3107" max="3107" width="9" style="1105" bestFit="1" customWidth="1"/>
    <col min="3108" max="3108" width="8.109375" style="1105" bestFit="1" customWidth="1"/>
    <col min="3109" max="3109" width="9.33203125" style="1105" bestFit="1" customWidth="1"/>
    <col min="3110" max="3111" width="7.44140625" style="1105"/>
    <col min="3112" max="3112" width="8" style="1105" bestFit="1" customWidth="1"/>
    <col min="3113" max="3113" width="7.44140625" style="1105"/>
    <col min="3114" max="3114" width="22" style="1105" customWidth="1"/>
    <col min="3115" max="3115" width="11.33203125" style="1105" customWidth="1"/>
    <col min="3116" max="3116" width="49" style="1105" customWidth="1"/>
    <col min="3117" max="3117" width="11" style="1105" customWidth="1"/>
    <col min="3118" max="3118" width="7.5546875" style="1105" bestFit="1" customWidth="1"/>
    <col min="3119" max="3119" width="10.21875" style="1105" customWidth="1"/>
    <col min="3120" max="3120" width="9.33203125" style="1105" customWidth="1"/>
    <col min="3121" max="3324" width="7.44140625" style="1105"/>
    <col min="3325" max="3325" width="7.5546875" style="1105" bestFit="1" customWidth="1"/>
    <col min="3326" max="3328" width="7.44140625" style="1105"/>
    <col min="3329" max="3329" width="7.77734375" style="1105" customWidth="1"/>
    <col min="3330" max="3330" width="64" style="1105" customWidth="1"/>
    <col min="3331" max="3331" width="16.21875" style="1105" customWidth="1"/>
    <col min="3332" max="3332" width="13.77734375" style="1105" customWidth="1"/>
    <col min="3333" max="3333" width="8.5546875" style="1105" customWidth="1"/>
    <col min="3334" max="3334" width="17.77734375" style="1105" customWidth="1"/>
    <col min="3335" max="3335" width="14.21875" style="1105" customWidth="1"/>
    <col min="3336" max="3336" width="43.33203125" style="1105" customWidth="1"/>
    <col min="3337" max="3337" width="14.33203125" style="1105" customWidth="1"/>
    <col min="3338" max="3338" width="11.44140625" style="1105" customWidth="1"/>
    <col min="3339" max="3339" width="12.88671875" style="1105" customWidth="1"/>
    <col min="3340" max="3340" width="9.77734375" style="1105" customWidth="1"/>
    <col min="3341" max="3341" width="11.21875" style="1105" customWidth="1"/>
    <col min="3342" max="3342" width="8.5546875" style="1105" bestFit="1" customWidth="1"/>
    <col min="3343" max="3343" width="51" style="1105" customWidth="1"/>
    <col min="3344" max="3344" width="15.5546875" style="1105" customWidth="1"/>
    <col min="3345" max="3345" width="10.6640625" style="1105" customWidth="1"/>
    <col min="3346" max="3346" width="11.77734375" style="1105" customWidth="1"/>
    <col min="3347" max="3347" width="10.88671875" style="1105" customWidth="1"/>
    <col min="3348" max="3348" width="9.21875" style="1105" customWidth="1"/>
    <col min="3349" max="3349" width="54.109375" style="1105" customWidth="1"/>
    <col min="3350" max="3350" width="11.21875" style="1105" customWidth="1"/>
    <col min="3351" max="3351" width="23" style="1105" customWidth="1"/>
    <col min="3352" max="3352" width="12.109375" style="1105" customWidth="1"/>
    <col min="3353" max="3353" width="13.21875" style="1105" customWidth="1"/>
    <col min="3354" max="3354" width="11.77734375" style="1105" customWidth="1"/>
    <col min="3355" max="3355" width="0" style="1105" hidden="1" customWidth="1"/>
    <col min="3356" max="3356" width="10.21875" style="1105" customWidth="1"/>
    <col min="3357" max="3357" width="14.5546875" style="1105" customWidth="1"/>
    <col min="3358" max="3358" width="45" style="1105" customWidth="1"/>
    <col min="3359" max="3359" width="12.44140625" style="1105" customWidth="1"/>
    <col min="3360" max="3360" width="11.77734375" style="1105" customWidth="1"/>
    <col min="3361" max="3361" width="11.109375" style="1105" customWidth="1"/>
    <col min="3362" max="3362" width="15.77734375" style="1105" customWidth="1"/>
    <col min="3363" max="3363" width="9" style="1105" bestFit="1" customWidth="1"/>
    <col min="3364" max="3364" width="8.109375" style="1105" bestFit="1" customWidth="1"/>
    <col min="3365" max="3365" width="9.33203125" style="1105" bestFit="1" customWidth="1"/>
    <col min="3366" max="3367" width="7.44140625" style="1105"/>
    <col min="3368" max="3368" width="8" style="1105" bestFit="1" customWidth="1"/>
    <col min="3369" max="3369" width="7.44140625" style="1105"/>
    <col min="3370" max="3370" width="22" style="1105" customWidth="1"/>
    <col min="3371" max="3371" width="11.33203125" style="1105" customWidth="1"/>
    <col min="3372" max="3372" width="49" style="1105" customWidth="1"/>
    <col min="3373" max="3373" width="11" style="1105" customWidth="1"/>
    <col min="3374" max="3374" width="7.5546875" style="1105" bestFit="1" customWidth="1"/>
    <col min="3375" max="3375" width="10.21875" style="1105" customWidth="1"/>
    <col min="3376" max="3376" width="9.33203125" style="1105" customWidth="1"/>
    <col min="3377" max="3580" width="7.44140625" style="1105"/>
    <col min="3581" max="3581" width="7.5546875" style="1105" bestFit="1" customWidth="1"/>
    <col min="3582" max="3584" width="7.44140625" style="1105"/>
    <col min="3585" max="3585" width="7.77734375" style="1105" customWidth="1"/>
    <col min="3586" max="3586" width="64" style="1105" customWidth="1"/>
    <col min="3587" max="3587" width="16.21875" style="1105" customWidth="1"/>
    <col min="3588" max="3588" width="13.77734375" style="1105" customWidth="1"/>
    <col min="3589" max="3589" width="8.5546875" style="1105" customWidth="1"/>
    <col min="3590" max="3590" width="17.77734375" style="1105" customWidth="1"/>
    <col min="3591" max="3591" width="14.21875" style="1105" customWidth="1"/>
    <col min="3592" max="3592" width="43.33203125" style="1105" customWidth="1"/>
    <col min="3593" max="3593" width="14.33203125" style="1105" customWidth="1"/>
    <col min="3594" max="3594" width="11.44140625" style="1105" customWidth="1"/>
    <col min="3595" max="3595" width="12.88671875" style="1105" customWidth="1"/>
    <col min="3596" max="3596" width="9.77734375" style="1105" customWidth="1"/>
    <col min="3597" max="3597" width="11.21875" style="1105" customWidth="1"/>
    <col min="3598" max="3598" width="8.5546875" style="1105" bestFit="1" customWidth="1"/>
    <col min="3599" max="3599" width="51" style="1105" customWidth="1"/>
    <col min="3600" max="3600" width="15.5546875" style="1105" customWidth="1"/>
    <col min="3601" max="3601" width="10.6640625" style="1105" customWidth="1"/>
    <col min="3602" max="3602" width="11.77734375" style="1105" customWidth="1"/>
    <col min="3603" max="3603" width="10.88671875" style="1105" customWidth="1"/>
    <col min="3604" max="3604" width="9.21875" style="1105" customWidth="1"/>
    <col min="3605" max="3605" width="54.109375" style="1105" customWidth="1"/>
    <col min="3606" max="3606" width="11.21875" style="1105" customWidth="1"/>
    <col min="3607" max="3607" width="23" style="1105" customWidth="1"/>
    <col min="3608" max="3608" width="12.109375" style="1105" customWidth="1"/>
    <col min="3609" max="3609" width="13.21875" style="1105" customWidth="1"/>
    <col min="3610" max="3610" width="11.77734375" style="1105" customWidth="1"/>
    <col min="3611" max="3611" width="0" style="1105" hidden="1" customWidth="1"/>
    <col min="3612" max="3612" width="10.21875" style="1105" customWidth="1"/>
    <col min="3613" max="3613" width="14.5546875" style="1105" customWidth="1"/>
    <col min="3614" max="3614" width="45" style="1105" customWidth="1"/>
    <col min="3615" max="3615" width="12.44140625" style="1105" customWidth="1"/>
    <col min="3616" max="3616" width="11.77734375" style="1105" customWidth="1"/>
    <col min="3617" max="3617" width="11.109375" style="1105" customWidth="1"/>
    <col min="3618" max="3618" width="15.77734375" style="1105" customWidth="1"/>
    <col min="3619" max="3619" width="9" style="1105" bestFit="1" customWidth="1"/>
    <col min="3620" max="3620" width="8.109375" style="1105" bestFit="1" customWidth="1"/>
    <col min="3621" max="3621" width="9.33203125" style="1105" bestFit="1" customWidth="1"/>
    <col min="3622" max="3623" width="7.44140625" style="1105"/>
    <col min="3624" max="3624" width="8" style="1105" bestFit="1" customWidth="1"/>
    <col min="3625" max="3625" width="7.44140625" style="1105"/>
    <col min="3626" max="3626" width="22" style="1105" customWidth="1"/>
    <col min="3627" max="3627" width="11.33203125" style="1105" customWidth="1"/>
    <col min="3628" max="3628" width="49" style="1105" customWidth="1"/>
    <col min="3629" max="3629" width="11" style="1105" customWidth="1"/>
    <col min="3630" max="3630" width="7.5546875" style="1105" bestFit="1" customWidth="1"/>
    <col min="3631" max="3631" width="10.21875" style="1105" customWidth="1"/>
    <col min="3632" max="3632" width="9.33203125" style="1105" customWidth="1"/>
    <col min="3633" max="3836" width="7.44140625" style="1105"/>
    <col min="3837" max="3837" width="7.5546875" style="1105" bestFit="1" customWidth="1"/>
    <col min="3838" max="3840" width="7.44140625" style="1105"/>
    <col min="3841" max="3841" width="7.77734375" style="1105" customWidth="1"/>
    <col min="3842" max="3842" width="64" style="1105" customWidth="1"/>
    <col min="3843" max="3843" width="16.21875" style="1105" customWidth="1"/>
    <col min="3844" max="3844" width="13.77734375" style="1105" customWidth="1"/>
    <col min="3845" max="3845" width="8.5546875" style="1105" customWidth="1"/>
    <col min="3846" max="3846" width="17.77734375" style="1105" customWidth="1"/>
    <col min="3847" max="3847" width="14.21875" style="1105" customWidth="1"/>
    <col min="3848" max="3848" width="43.33203125" style="1105" customWidth="1"/>
    <col min="3849" max="3849" width="14.33203125" style="1105" customWidth="1"/>
    <col min="3850" max="3850" width="11.44140625" style="1105" customWidth="1"/>
    <col min="3851" max="3851" width="12.88671875" style="1105" customWidth="1"/>
    <col min="3852" max="3852" width="9.77734375" style="1105" customWidth="1"/>
    <col min="3853" max="3853" width="11.21875" style="1105" customWidth="1"/>
    <col min="3854" max="3854" width="8.5546875" style="1105" bestFit="1" customWidth="1"/>
    <col min="3855" max="3855" width="51" style="1105" customWidth="1"/>
    <col min="3856" max="3856" width="15.5546875" style="1105" customWidth="1"/>
    <col min="3857" max="3857" width="10.6640625" style="1105" customWidth="1"/>
    <col min="3858" max="3858" width="11.77734375" style="1105" customWidth="1"/>
    <col min="3859" max="3859" width="10.88671875" style="1105" customWidth="1"/>
    <col min="3860" max="3860" width="9.21875" style="1105" customWidth="1"/>
    <col min="3861" max="3861" width="54.109375" style="1105" customWidth="1"/>
    <col min="3862" max="3862" width="11.21875" style="1105" customWidth="1"/>
    <col min="3863" max="3863" width="23" style="1105" customWidth="1"/>
    <col min="3864" max="3864" width="12.109375" style="1105" customWidth="1"/>
    <col min="3865" max="3865" width="13.21875" style="1105" customWidth="1"/>
    <col min="3866" max="3866" width="11.77734375" style="1105" customWidth="1"/>
    <col min="3867" max="3867" width="0" style="1105" hidden="1" customWidth="1"/>
    <col min="3868" max="3868" width="10.21875" style="1105" customWidth="1"/>
    <col min="3869" max="3869" width="14.5546875" style="1105" customWidth="1"/>
    <col min="3870" max="3870" width="45" style="1105" customWidth="1"/>
    <col min="3871" max="3871" width="12.44140625" style="1105" customWidth="1"/>
    <col min="3872" max="3872" width="11.77734375" style="1105" customWidth="1"/>
    <col min="3873" max="3873" width="11.109375" style="1105" customWidth="1"/>
    <col min="3874" max="3874" width="15.77734375" style="1105" customWidth="1"/>
    <col min="3875" max="3875" width="9" style="1105" bestFit="1" customWidth="1"/>
    <col min="3876" max="3876" width="8.109375" style="1105" bestFit="1" customWidth="1"/>
    <col min="3877" max="3877" width="9.33203125" style="1105" bestFit="1" customWidth="1"/>
    <col min="3878" max="3879" width="7.44140625" style="1105"/>
    <col min="3880" max="3880" width="8" style="1105" bestFit="1" customWidth="1"/>
    <col min="3881" max="3881" width="7.44140625" style="1105"/>
    <col min="3882" max="3882" width="22" style="1105" customWidth="1"/>
    <col min="3883" max="3883" width="11.33203125" style="1105" customWidth="1"/>
    <col min="3884" max="3884" width="49" style="1105" customWidth="1"/>
    <col min="3885" max="3885" width="11" style="1105" customWidth="1"/>
    <col min="3886" max="3886" width="7.5546875" style="1105" bestFit="1" customWidth="1"/>
    <col min="3887" max="3887" width="10.21875" style="1105" customWidth="1"/>
    <col min="3888" max="3888" width="9.33203125" style="1105" customWidth="1"/>
    <col min="3889" max="4092" width="7.44140625" style="1105"/>
    <col min="4093" max="4093" width="7.5546875" style="1105" bestFit="1" customWidth="1"/>
    <col min="4094" max="4096" width="7.44140625" style="1105"/>
    <col min="4097" max="4097" width="7.77734375" style="1105" customWidth="1"/>
    <col min="4098" max="4098" width="64" style="1105" customWidth="1"/>
    <col min="4099" max="4099" width="16.21875" style="1105" customWidth="1"/>
    <col min="4100" max="4100" width="13.77734375" style="1105" customWidth="1"/>
    <col min="4101" max="4101" width="8.5546875" style="1105" customWidth="1"/>
    <col min="4102" max="4102" width="17.77734375" style="1105" customWidth="1"/>
    <col min="4103" max="4103" width="14.21875" style="1105" customWidth="1"/>
    <col min="4104" max="4104" width="43.33203125" style="1105" customWidth="1"/>
    <col min="4105" max="4105" width="14.33203125" style="1105" customWidth="1"/>
    <col min="4106" max="4106" width="11.44140625" style="1105" customWidth="1"/>
    <col min="4107" max="4107" width="12.88671875" style="1105" customWidth="1"/>
    <col min="4108" max="4108" width="9.77734375" style="1105" customWidth="1"/>
    <col min="4109" max="4109" width="11.21875" style="1105" customWidth="1"/>
    <col min="4110" max="4110" width="8.5546875" style="1105" bestFit="1" customWidth="1"/>
    <col min="4111" max="4111" width="51" style="1105" customWidth="1"/>
    <col min="4112" max="4112" width="15.5546875" style="1105" customWidth="1"/>
    <col min="4113" max="4113" width="10.6640625" style="1105" customWidth="1"/>
    <col min="4114" max="4114" width="11.77734375" style="1105" customWidth="1"/>
    <col min="4115" max="4115" width="10.88671875" style="1105" customWidth="1"/>
    <col min="4116" max="4116" width="9.21875" style="1105" customWidth="1"/>
    <col min="4117" max="4117" width="54.109375" style="1105" customWidth="1"/>
    <col min="4118" max="4118" width="11.21875" style="1105" customWidth="1"/>
    <col min="4119" max="4119" width="23" style="1105" customWidth="1"/>
    <col min="4120" max="4120" width="12.109375" style="1105" customWidth="1"/>
    <col min="4121" max="4121" width="13.21875" style="1105" customWidth="1"/>
    <col min="4122" max="4122" width="11.77734375" style="1105" customWidth="1"/>
    <col min="4123" max="4123" width="0" style="1105" hidden="1" customWidth="1"/>
    <col min="4124" max="4124" width="10.21875" style="1105" customWidth="1"/>
    <col min="4125" max="4125" width="14.5546875" style="1105" customWidth="1"/>
    <col min="4126" max="4126" width="45" style="1105" customWidth="1"/>
    <col min="4127" max="4127" width="12.44140625" style="1105" customWidth="1"/>
    <col min="4128" max="4128" width="11.77734375" style="1105" customWidth="1"/>
    <col min="4129" max="4129" width="11.109375" style="1105" customWidth="1"/>
    <col min="4130" max="4130" width="15.77734375" style="1105" customWidth="1"/>
    <col min="4131" max="4131" width="9" style="1105" bestFit="1" customWidth="1"/>
    <col min="4132" max="4132" width="8.109375" style="1105" bestFit="1" customWidth="1"/>
    <col min="4133" max="4133" width="9.33203125" style="1105" bestFit="1" customWidth="1"/>
    <col min="4134" max="4135" width="7.44140625" style="1105"/>
    <col min="4136" max="4136" width="8" style="1105" bestFit="1" customWidth="1"/>
    <col min="4137" max="4137" width="7.44140625" style="1105"/>
    <col min="4138" max="4138" width="22" style="1105" customWidth="1"/>
    <col min="4139" max="4139" width="11.33203125" style="1105" customWidth="1"/>
    <col min="4140" max="4140" width="49" style="1105" customWidth="1"/>
    <col min="4141" max="4141" width="11" style="1105" customWidth="1"/>
    <col min="4142" max="4142" width="7.5546875" style="1105" bestFit="1" customWidth="1"/>
    <col min="4143" max="4143" width="10.21875" style="1105" customWidth="1"/>
    <col min="4144" max="4144" width="9.33203125" style="1105" customWidth="1"/>
    <col min="4145" max="4348" width="7.44140625" style="1105"/>
    <col min="4349" max="4349" width="7.5546875" style="1105" bestFit="1" customWidth="1"/>
    <col min="4350" max="4352" width="7.44140625" style="1105"/>
    <col min="4353" max="4353" width="7.77734375" style="1105" customWidth="1"/>
    <col min="4354" max="4354" width="64" style="1105" customWidth="1"/>
    <col min="4355" max="4355" width="16.21875" style="1105" customWidth="1"/>
    <col min="4356" max="4356" width="13.77734375" style="1105" customWidth="1"/>
    <col min="4357" max="4357" width="8.5546875" style="1105" customWidth="1"/>
    <col min="4358" max="4358" width="17.77734375" style="1105" customWidth="1"/>
    <col min="4359" max="4359" width="14.21875" style="1105" customWidth="1"/>
    <col min="4360" max="4360" width="43.33203125" style="1105" customWidth="1"/>
    <col min="4361" max="4361" width="14.33203125" style="1105" customWidth="1"/>
    <col min="4362" max="4362" width="11.44140625" style="1105" customWidth="1"/>
    <col min="4363" max="4363" width="12.88671875" style="1105" customWidth="1"/>
    <col min="4364" max="4364" width="9.77734375" style="1105" customWidth="1"/>
    <col min="4365" max="4365" width="11.21875" style="1105" customWidth="1"/>
    <col min="4366" max="4366" width="8.5546875" style="1105" bestFit="1" customWidth="1"/>
    <col min="4367" max="4367" width="51" style="1105" customWidth="1"/>
    <col min="4368" max="4368" width="15.5546875" style="1105" customWidth="1"/>
    <col min="4369" max="4369" width="10.6640625" style="1105" customWidth="1"/>
    <col min="4370" max="4370" width="11.77734375" style="1105" customWidth="1"/>
    <col min="4371" max="4371" width="10.88671875" style="1105" customWidth="1"/>
    <col min="4372" max="4372" width="9.21875" style="1105" customWidth="1"/>
    <col min="4373" max="4373" width="54.109375" style="1105" customWidth="1"/>
    <col min="4374" max="4374" width="11.21875" style="1105" customWidth="1"/>
    <col min="4375" max="4375" width="23" style="1105" customWidth="1"/>
    <col min="4376" max="4376" width="12.109375" style="1105" customWidth="1"/>
    <col min="4377" max="4377" width="13.21875" style="1105" customWidth="1"/>
    <col min="4378" max="4378" width="11.77734375" style="1105" customWidth="1"/>
    <col min="4379" max="4379" width="0" style="1105" hidden="1" customWidth="1"/>
    <col min="4380" max="4380" width="10.21875" style="1105" customWidth="1"/>
    <col min="4381" max="4381" width="14.5546875" style="1105" customWidth="1"/>
    <col min="4382" max="4382" width="45" style="1105" customWidth="1"/>
    <col min="4383" max="4383" width="12.44140625" style="1105" customWidth="1"/>
    <col min="4384" max="4384" width="11.77734375" style="1105" customWidth="1"/>
    <col min="4385" max="4385" width="11.109375" style="1105" customWidth="1"/>
    <col min="4386" max="4386" width="15.77734375" style="1105" customWidth="1"/>
    <col min="4387" max="4387" width="9" style="1105" bestFit="1" customWidth="1"/>
    <col min="4388" max="4388" width="8.109375" style="1105" bestFit="1" customWidth="1"/>
    <col min="4389" max="4389" width="9.33203125" style="1105" bestFit="1" customWidth="1"/>
    <col min="4390" max="4391" width="7.44140625" style="1105"/>
    <col min="4392" max="4392" width="8" style="1105" bestFit="1" customWidth="1"/>
    <col min="4393" max="4393" width="7.44140625" style="1105"/>
    <col min="4394" max="4394" width="22" style="1105" customWidth="1"/>
    <col min="4395" max="4395" width="11.33203125" style="1105" customWidth="1"/>
    <col min="4396" max="4396" width="49" style="1105" customWidth="1"/>
    <col min="4397" max="4397" width="11" style="1105" customWidth="1"/>
    <col min="4398" max="4398" width="7.5546875" style="1105" bestFit="1" customWidth="1"/>
    <col min="4399" max="4399" width="10.21875" style="1105" customWidth="1"/>
    <col min="4400" max="4400" width="9.33203125" style="1105" customWidth="1"/>
    <col min="4401" max="4604" width="7.44140625" style="1105"/>
    <col min="4605" max="4605" width="7.5546875" style="1105" bestFit="1" customWidth="1"/>
    <col min="4606" max="4608" width="7.44140625" style="1105"/>
    <col min="4609" max="4609" width="7.77734375" style="1105" customWidth="1"/>
    <col min="4610" max="4610" width="64" style="1105" customWidth="1"/>
    <col min="4611" max="4611" width="16.21875" style="1105" customWidth="1"/>
    <col min="4612" max="4612" width="13.77734375" style="1105" customWidth="1"/>
    <col min="4613" max="4613" width="8.5546875" style="1105" customWidth="1"/>
    <col min="4614" max="4614" width="17.77734375" style="1105" customWidth="1"/>
    <col min="4615" max="4615" width="14.21875" style="1105" customWidth="1"/>
    <col min="4616" max="4616" width="43.33203125" style="1105" customWidth="1"/>
    <col min="4617" max="4617" width="14.33203125" style="1105" customWidth="1"/>
    <col min="4618" max="4618" width="11.44140625" style="1105" customWidth="1"/>
    <col min="4619" max="4619" width="12.88671875" style="1105" customWidth="1"/>
    <col min="4620" max="4620" width="9.77734375" style="1105" customWidth="1"/>
    <col min="4621" max="4621" width="11.21875" style="1105" customWidth="1"/>
    <col min="4622" max="4622" width="8.5546875" style="1105" bestFit="1" customWidth="1"/>
    <col min="4623" max="4623" width="51" style="1105" customWidth="1"/>
    <col min="4624" max="4624" width="15.5546875" style="1105" customWidth="1"/>
    <col min="4625" max="4625" width="10.6640625" style="1105" customWidth="1"/>
    <col min="4626" max="4626" width="11.77734375" style="1105" customWidth="1"/>
    <col min="4627" max="4627" width="10.88671875" style="1105" customWidth="1"/>
    <col min="4628" max="4628" width="9.21875" style="1105" customWidth="1"/>
    <col min="4629" max="4629" width="54.109375" style="1105" customWidth="1"/>
    <col min="4630" max="4630" width="11.21875" style="1105" customWidth="1"/>
    <col min="4631" max="4631" width="23" style="1105" customWidth="1"/>
    <col min="4632" max="4632" width="12.109375" style="1105" customWidth="1"/>
    <col min="4633" max="4633" width="13.21875" style="1105" customWidth="1"/>
    <col min="4634" max="4634" width="11.77734375" style="1105" customWidth="1"/>
    <col min="4635" max="4635" width="0" style="1105" hidden="1" customWidth="1"/>
    <col min="4636" max="4636" width="10.21875" style="1105" customWidth="1"/>
    <col min="4637" max="4637" width="14.5546875" style="1105" customWidth="1"/>
    <col min="4638" max="4638" width="45" style="1105" customWidth="1"/>
    <col min="4639" max="4639" width="12.44140625" style="1105" customWidth="1"/>
    <col min="4640" max="4640" width="11.77734375" style="1105" customWidth="1"/>
    <col min="4641" max="4641" width="11.109375" style="1105" customWidth="1"/>
    <col min="4642" max="4642" width="15.77734375" style="1105" customWidth="1"/>
    <col min="4643" max="4643" width="9" style="1105" bestFit="1" customWidth="1"/>
    <col min="4644" max="4644" width="8.109375" style="1105" bestFit="1" customWidth="1"/>
    <col min="4645" max="4645" width="9.33203125" style="1105" bestFit="1" customWidth="1"/>
    <col min="4646" max="4647" width="7.44140625" style="1105"/>
    <col min="4648" max="4648" width="8" style="1105" bestFit="1" customWidth="1"/>
    <col min="4649" max="4649" width="7.44140625" style="1105"/>
    <col min="4650" max="4650" width="22" style="1105" customWidth="1"/>
    <col min="4651" max="4651" width="11.33203125" style="1105" customWidth="1"/>
    <col min="4652" max="4652" width="49" style="1105" customWidth="1"/>
    <col min="4653" max="4653" width="11" style="1105" customWidth="1"/>
    <col min="4654" max="4654" width="7.5546875" style="1105" bestFit="1" customWidth="1"/>
    <col min="4655" max="4655" width="10.21875" style="1105" customWidth="1"/>
    <col min="4656" max="4656" width="9.33203125" style="1105" customWidth="1"/>
    <col min="4657" max="4860" width="7.44140625" style="1105"/>
    <col min="4861" max="4861" width="7.5546875" style="1105" bestFit="1" customWidth="1"/>
    <col min="4862" max="4864" width="7.44140625" style="1105"/>
    <col min="4865" max="4865" width="7.77734375" style="1105" customWidth="1"/>
    <col min="4866" max="4866" width="64" style="1105" customWidth="1"/>
    <col min="4867" max="4867" width="16.21875" style="1105" customWidth="1"/>
    <col min="4868" max="4868" width="13.77734375" style="1105" customWidth="1"/>
    <col min="4869" max="4869" width="8.5546875" style="1105" customWidth="1"/>
    <col min="4870" max="4870" width="17.77734375" style="1105" customWidth="1"/>
    <col min="4871" max="4871" width="14.21875" style="1105" customWidth="1"/>
    <col min="4872" max="4872" width="43.33203125" style="1105" customWidth="1"/>
    <col min="4873" max="4873" width="14.33203125" style="1105" customWidth="1"/>
    <col min="4874" max="4874" width="11.44140625" style="1105" customWidth="1"/>
    <col min="4875" max="4875" width="12.88671875" style="1105" customWidth="1"/>
    <col min="4876" max="4876" width="9.77734375" style="1105" customWidth="1"/>
    <col min="4877" max="4877" width="11.21875" style="1105" customWidth="1"/>
    <col min="4878" max="4878" width="8.5546875" style="1105" bestFit="1" customWidth="1"/>
    <col min="4879" max="4879" width="51" style="1105" customWidth="1"/>
    <col min="4880" max="4880" width="15.5546875" style="1105" customWidth="1"/>
    <col min="4881" max="4881" width="10.6640625" style="1105" customWidth="1"/>
    <col min="4882" max="4882" width="11.77734375" style="1105" customWidth="1"/>
    <col min="4883" max="4883" width="10.88671875" style="1105" customWidth="1"/>
    <col min="4884" max="4884" width="9.21875" style="1105" customWidth="1"/>
    <col min="4885" max="4885" width="54.109375" style="1105" customWidth="1"/>
    <col min="4886" max="4886" width="11.21875" style="1105" customWidth="1"/>
    <col min="4887" max="4887" width="23" style="1105" customWidth="1"/>
    <col min="4888" max="4888" width="12.109375" style="1105" customWidth="1"/>
    <col min="4889" max="4889" width="13.21875" style="1105" customWidth="1"/>
    <col min="4890" max="4890" width="11.77734375" style="1105" customWidth="1"/>
    <col min="4891" max="4891" width="0" style="1105" hidden="1" customWidth="1"/>
    <col min="4892" max="4892" width="10.21875" style="1105" customWidth="1"/>
    <col min="4893" max="4893" width="14.5546875" style="1105" customWidth="1"/>
    <col min="4894" max="4894" width="45" style="1105" customWidth="1"/>
    <col min="4895" max="4895" width="12.44140625" style="1105" customWidth="1"/>
    <col min="4896" max="4896" width="11.77734375" style="1105" customWidth="1"/>
    <col min="4897" max="4897" width="11.109375" style="1105" customWidth="1"/>
    <col min="4898" max="4898" width="15.77734375" style="1105" customWidth="1"/>
    <col min="4899" max="4899" width="9" style="1105" bestFit="1" customWidth="1"/>
    <col min="4900" max="4900" width="8.109375" style="1105" bestFit="1" customWidth="1"/>
    <col min="4901" max="4901" width="9.33203125" style="1105" bestFit="1" customWidth="1"/>
    <col min="4902" max="4903" width="7.44140625" style="1105"/>
    <col min="4904" max="4904" width="8" style="1105" bestFit="1" customWidth="1"/>
    <col min="4905" max="4905" width="7.44140625" style="1105"/>
    <col min="4906" max="4906" width="22" style="1105" customWidth="1"/>
    <col min="4907" max="4907" width="11.33203125" style="1105" customWidth="1"/>
    <col min="4908" max="4908" width="49" style="1105" customWidth="1"/>
    <col min="4909" max="4909" width="11" style="1105" customWidth="1"/>
    <col min="4910" max="4910" width="7.5546875" style="1105" bestFit="1" customWidth="1"/>
    <col min="4911" max="4911" width="10.21875" style="1105" customWidth="1"/>
    <col min="4912" max="4912" width="9.33203125" style="1105" customWidth="1"/>
    <col min="4913" max="5116" width="7.44140625" style="1105"/>
    <col min="5117" max="5117" width="7.5546875" style="1105" bestFit="1" customWidth="1"/>
    <col min="5118" max="5120" width="7.44140625" style="1105"/>
    <col min="5121" max="5121" width="7.77734375" style="1105" customWidth="1"/>
    <col min="5122" max="5122" width="64" style="1105" customWidth="1"/>
    <col min="5123" max="5123" width="16.21875" style="1105" customWidth="1"/>
    <col min="5124" max="5124" width="13.77734375" style="1105" customWidth="1"/>
    <col min="5125" max="5125" width="8.5546875" style="1105" customWidth="1"/>
    <col min="5126" max="5126" width="17.77734375" style="1105" customWidth="1"/>
    <col min="5127" max="5127" width="14.21875" style="1105" customWidth="1"/>
    <col min="5128" max="5128" width="43.33203125" style="1105" customWidth="1"/>
    <col min="5129" max="5129" width="14.33203125" style="1105" customWidth="1"/>
    <col min="5130" max="5130" width="11.44140625" style="1105" customWidth="1"/>
    <col min="5131" max="5131" width="12.88671875" style="1105" customWidth="1"/>
    <col min="5132" max="5132" width="9.77734375" style="1105" customWidth="1"/>
    <col min="5133" max="5133" width="11.21875" style="1105" customWidth="1"/>
    <col min="5134" max="5134" width="8.5546875" style="1105" bestFit="1" customWidth="1"/>
    <col min="5135" max="5135" width="51" style="1105" customWidth="1"/>
    <col min="5136" max="5136" width="15.5546875" style="1105" customWidth="1"/>
    <col min="5137" max="5137" width="10.6640625" style="1105" customWidth="1"/>
    <col min="5138" max="5138" width="11.77734375" style="1105" customWidth="1"/>
    <col min="5139" max="5139" width="10.88671875" style="1105" customWidth="1"/>
    <col min="5140" max="5140" width="9.21875" style="1105" customWidth="1"/>
    <col min="5141" max="5141" width="54.109375" style="1105" customWidth="1"/>
    <col min="5142" max="5142" width="11.21875" style="1105" customWidth="1"/>
    <col min="5143" max="5143" width="23" style="1105" customWidth="1"/>
    <col min="5144" max="5144" width="12.109375" style="1105" customWidth="1"/>
    <col min="5145" max="5145" width="13.21875" style="1105" customWidth="1"/>
    <col min="5146" max="5146" width="11.77734375" style="1105" customWidth="1"/>
    <col min="5147" max="5147" width="0" style="1105" hidden="1" customWidth="1"/>
    <col min="5148" max="5148" width="10.21875" style="1105" customWidth="1"/>
    <col min="5149" max="5149" width="14.5546875" style="1105" customWidth="1"/>
    <col min="5150" max="5150" width="45" style="1105" customWidth="1"/>
    <col min="5151" max="5151" width="12.44140625" style="1105" customWidth="1"/>
    <col min="5152" max="5152" width="11.77734375" style="1105" customWidth="1"/>
    <col min="5153" max="5153" width="11.109375" style="1105" customWidth="1"/>
    <col min="5154" max="5154" width="15.77734375" style="1105" customWidth="1"/>
    <col min="5155" max="5155" width="9" style="1105" bestFit="1" customWidth="1"/>
    <col min="5156" max="5156" width="8.109375" style="1105" bestFit="1" customWidth="1"/>
    <col min="5157" max="5157" width="9.33203125" style="1105" bestFit="1" customWidth="1"/>
    <col min="5158" max="5159" width="7.44140625" style="1105"/>
    <col min="5160" max="5160" width="8" style="1105" bestFit="1" customWidth="1"/>
    <col min="5161" max="5161" width="7.44140625" style="1105"/>
    <col min="5162" max="5162" width="22" style="1105" customWidth="1"/>
    <col min="5163" max="5163" width="11.33203125" style="1105" customWidth="1"/>
    <col min="5164" max="5164" width="49" style="1105" customWidth="1"/>
    <col min="5165" max="5165" width="11" style="1105" customWidth="1"/>
    <col min="5166" max="5166" width="7.5546875" style="1105" bestFit="1" customWidth="1"/>
    <col min="5167" max="5167" width="10.21875" style="1105" customWidth="1"/>
    <col min="5168" max="5168" width="9.33203125" style="1105" customWidth="1"/>
    <col min="5169" max="5372" width="7.44140625" style="1105"/>
    <col min="5373" max="5373" width="7.5546875" style="1105" bestFit="1" customWidth="1"/>
    <col min="5374" max="5376" width="7.44140625" style="1105"/>
    <col min="5377" max="5377" width="7.77734375" style="1105" customWidth="1"/>
    <col min="5378" max="5378" width="64" style="1105" customWidth="1"/>
    <col min="5379" max="5379" width="16.21875" style="1105" customWidth="1"/>
    <col min="5380" max="5380" width="13.77734375" style="1105" customWidth="1"/>
    <col min="5381" max="5381" width="8.5546875" style="1105" customWidth="1"/>
    <col min="5382" max="5382" width="17.77734375" style="1105" customWidth="1"/>
    <col min="5383" max="5383" width="14.21875" style="1105" customWidth="1"/>
    <col min="5384" max="5384" width="43.33203125" style="1105" customWidth="1"/>
    <col min="5385" max="5385" width="14.33203125" style="1105" customWidth="1"/>
    <col min="5386" max="5386" width="11.44140625" style="1105" customWidth="1"/>
    <col min="5387" max="5387" width="12.88671875" style="1105" customWidth="1"/>
    <col min="5388" max="5388" width="9.77734375" style="1105" customWidth="1"/>
    <col min="5389" max="5389" width="11.21875" style="1105" customWidth="1"/>
    <col min="5390" max="5390" width="8.5546875" style="1105" bestFit="1" customWidth="1"/>
    <col min="5391" max="5391" width="51" style="1105" customWidth="1"/>
    <col min="5392" max="5392" width="15.5546875" style="1105" customWidth="1"/>
    <col min="5393" max="5393" width="10.6640625" style="1105" customWidth="1"/>
    <col min="5394" max="5394" width="11.77734375" style="1105" customWidth="1"/>
    <col min="5395" max="5395" width="10.88671875" style="1105" customWidth="1"/>
    <col min="5396" max="5396" width="9.21875" style="1105" customWidth="1"/>
    <col min="5397" max="5397" width="54.109375" style="1105" customWidth="1"/>
    <col min="5398" max="5398" width="11.21875" style="1105" customWidth="1"/>
    <col min="5399" max="5399" width="23" style="1105" customWidth="1"/>
    <col min="5400" max="5400" width="12.109375" style="1105" customWidth="1"/>
    <col min="5401" max="5401" width="13.21875" style="1105" customWidth="1"/>
    <col min="5402" max="5402" width="11.77734375" style="1105" customWidth="1"/>
    <col min="5403" max="5403" width="0" style="1105" hidden="1" customWidth="1"/>
    <col min="5404" max="5404" width="10.21875" style="1105" customWidth="1"/>
    <col min="5405" max="5405" width="14.5546875" style="1105" customWidth="1"/>
    <col min="5406" max="5406" width="45" style="1105" customWidth="1"/>
    <col min="5407" max="5407" width="12.44140625" style="1105" customWidth="1"/>
    <col min="5408" max="5408" width="11.77734375" style="1105" customWidth="1"/>
    <col min="5409" max="5409" width="11.109375" style="1105" customWidth="1"/>
    <col min="5410" max="5410" width="15.77734375" style="1105" customWidth="1"/>
    <col min="5411" max="5411" width="9" style="1105" bestFit="1" customWidth="1"/>
    <col min="5412" max="5412" width="8.109375" style="1105" bestFit="1" customWidth="1"/>
    <col min="5413" max="5413" width="9.33203125" style="1105" bestFit="1" customWidth="1"/>
    <col min="5414" max="5415" width="7.44140625" style="1105"/>
    <col min="5416" max="5416" width="8" style="1105" bestFit="1" customWidth="1"/>
    <col min="5417" max="5417" width="7.44140625" style="1105"/>
    <col min="5418" max="5418" width="22" style="1105" customWidth="1"/>
    <col min="5419" max="5419" width="11.33203125" style="1105" customWidth="1"/>
    <col min="5420" max="5420" width="49" style="1105" customWidth="1"/>
    <col min="5421" max="5421" width="11" style="1105" customWidth="1"/>
    <col min="5422" max="5422" width="7.5546875" style="1105" bestFit="1" customWidth="1"/>
    <col min="5423" max="5423" width="10.21875" style="1105" customWidth="1"/>
    <col min="5424" max="5424" width="9.33203125" style="1105" customWidth="1"/>
    <col min="5425" max="5628" width="7.44140625" style="1105"/>
    <col min="5629" max="5629" width="7.5546875" style="1105" bestFit="1" customWidth="1"/>
    <col min="5630" max="5632" width="7.44140625" style="1105"/>
    <col min="5633" max="5633" width="7.77734375" style="1105" customWidth="1"/>
    <col min="5634" max="5634" width="64" style="1105" customWidth="1"/>
    <col min="5635" max="5635" width="16.21875" style="1105" customWidth="1"/>
    <col min="5636" max="5636" width="13.77734375" style="1105" customWidth="1"/>
    <col min="5637" max="5637" width="8.5546875" style="1105" customWidth="1"/>
    <col min="5638" max="5638" width="17.77734375" style="1105" customWidth="1"/>
    <col min="5639" max="5639" width="14.21875" style="1105" customWidth="1"/>
    <col min="5640" max="5640" width="43.33203125" style="1105" customWidth="1"/>
    <col min="5641" max="5641" width="14.33203125" style="1105" customWidth="1"/>
    <col min="5642" max="5642" width="11.44140625" style="1105" customWidth="1"/>
    <col min="5643" max="5643" width="12.88671875" style="1105" customWidth="1"/>
    <col min="5644" max="5644" width="9.77734375" style="1105" customWidth="1"/>
    <col min="5645" max="5645" width="11.21875" style="1105" customWidth="1"/>
    <col min="5646" max="5646" width="8.5546875" style="1105" bestFit="1" customWidth="1"/>
    <col min="5647" max="5647" width="51" style="1105" customWidth="1"/>
    <col min="5648" max="5648" width="15.5546875" style="1105" customWidth="1"/>
    <col min="5649" max="5649" width="10.6640625" style="1105" customWidth="1"/>
    <col min="5650" max="5650" width="11.77734375" style="1105" customWidth="1"/>
    <col min="5651" max="5651" width="10.88671875" style="1105" customWidth="1"/>
    <col min="5652" max="5652" width="9.21875" style="1105" customWidth="1"/>
    <col min="5653" max="5653" width="54.109375" style="1105" customWidth="1"/>
    <col min="5654" max="5654" width="11.21875" style="1105" customWidth="1"/>
    <col min="5655" max="5655" width="23" style="1105" customWidth="1"/>
    <col min="5656" max="5656" width="12.109375" style="1105" customWidth="1"/>
    <col min="5657" max="5657" width="13.21875" style="1105" customWidth="1"/>
    <col min="5658" max="5658" width="11.77734375" style="1105" customWidth="1"/>
    <col min="5659" max="5659" width="0" style="1105" hidden="1" customWidth="1"/>
    <col min="5660" max="5660" width="10.21875" style="1105" customWidth="1"/>
    <col min="5661" max="5661" width="14.5546875" style="1105" customWidth="1"/>
    <col min="5662" max="5662" width="45" style="1105" customWidth="1"/>
    <col min="5663" max="5663" width="12.44140625" style="1105" customWidth="1"/>
    <col min="5664" max="5664" width="11.77734375" style="1105" customWidth="1"/>
    <col min="5665" max="5665" width="11.109375" style="1105" customWidth="1"/>
    <col min="5666" max="5666" width="15.77734375" style="1105" customWidth="1"/>
    <col min="5667" max="5667" width="9" style="1105" bestFit="1" customWidth="1"/>
    <col min="5668" max="5668" width="8.109375" style="1105" bestFit="1" customWidth="1"/>
    <col min="5669" max="5669" width="9.33203125" style="1105" bestFit="1" customWidth="1"/>
    <col min="5670" max="5671" width="7.44140625" style="1105"/>
    <col min="5672" max="5672" width="8" style="1105" bestFit="1" customWidth="1"/>
    <col min="5673" max="5673" width="7.44140625" style="1105"/>
    <col min="5674" max="5674" width="22" style="1105" customWidth="1"/>
    <col min="5675" max="5675" width="11.33203125" style="1105" customWidth="1"/>
    <col min="5676" max="5676" width="49" style="1105" customWidth="1"/>
    <col min="5677" max="5677" width="11" style="1105" customWidth="1"/>
    <col min="5678" max="5678" width="7.5546875" style="1105" bestFit="1" customWidth="1"/>
    <col min="5679" max="5679" width="10.21875" style="1105" customWidth="1"/>
    <col min="5680" max="5680" width="9.33203125" style="1105" customWidth="1"/>
    <col min="5681" max="5884" width="7.44140625" style="1105"/>
    <col min="5885" max="5885" width="7.5546875" style="1105" bestFit="1" customWidth="1"/>
    <col min="5886" max="5888" width="7.44140625" style="1105"/>
    <col min="5889" max="5889" width="7.77734375" style="1105" customWidth="1"/>
    <col min="5890" max="5890" width="64" style="1105" customWidth="1"/>
    <col min="5891" max="5891" width="16.21875" style="1105" customWidth="1"/>
    <col min="5892" max="5892" width="13.77734375" style="1105" customWidth="1"/>
    <col min="5893" max="5893" width="8.5546875" style="1105" customWidth="1"/>
    <col min="5894" max="5894" width="17.77734375" style="1105" customWidth="1"/>
    <col min="5895" max="5895" width="14.21875" style="1105" customWidth="1"/>
    <col min="5896" max="5896" width="43.33203125" style="1105" customWidth="1"/>
    <col min="5897" max="5897" width="14.33203125" style="1105" customWidth="1"/>
    <col min="5898" max="5898" width="11.44140625" style="1105" customWidth="1"/>
    <col min="5899" max="5899" width="12.88671875" style="1105" customWidth="1"/>
    <col min="5900" max="5900" width="9.77734375" style="1105" customWidth="1"/>
    <col min="5901" max="5901" width="11.21875" style="1105" customWidth="1"/>
    <col min="5902" max="5902" width="8.5546875" style="1105" bestFit="1" customWidth="1"/>
    <col min="5903" max="5903" width="51" style="1105" customWidth="1"/>
    <col min="5904" max="5904" width="15.5546875" style="1105" customWidth="1"/>
    <col min="5905" max="5905" width="10.6640625" style="1105" customWidth="1"/>
    <col min="5906" max="5906" width="11.77734375" style="1105" customWidth="1"/>
    <col min="5907" max="5907" width="10.88671875" style="1105" customWidth="1"/>
    <col min="5908" max="5908" width="9.21875" style="1105" customWidth="1"/>
    <col min="5909" max="5909" width="54.109375" style="1105" customWidth="1"/>
    <col min="5910" max="5910" width="11.21875" style="1105" customWidth="1"/>
    <col min="5911" max="5911" width="23" style="1105" customWidth="1"/>
    <col min="5912" max="5912" width="12.109375" style="1105" customWidth="1"/>
    <col min="5913" max="5913" width="13.21875" style="1105" customWidth="1"/>
    <col min="5914" max="5914" width="11.77734375" style="1105" customWidth="1"/>
    <col min="5915" max="5915" width="0" style="1105" hidden="1" customWidth="1"/>
    <col min="5916" max="5916" width="10.21875" style="1105" customWidth="1"/>
    <col min="5917" max="5917" width="14.5546875" style="1105" customWidth="1"/>
    <col min="5918" max="5918" width="45" style="1105" customWidth="1"/>
    <col min="5919" max="5919" width="12.44140625" style="1105" customWidth="1"/>
    <col min="5920" max="5920" width="11.77734375" style="1105" customWidth="1"/>
    <col min="5921" max="5921" width="11.109375" style="1105" customWidth="1"/>
    <col min="5922" max="5922" width="15.77734375" style="1105" customWidth="1"/>
    <col min="5923" max="5923" width="9" style="1105" bestFit="1" customWidth="1"/>
    <col min="5924" max="5924" width="8.109375" style="1105" bestFit="1" customWidth="1"/>
    <col min="5925" max="5925" width="9.33203125" style="1105" bestFit="1" customWidth="1"/>
    <col min="5926" max="5927" width="7.44140625" style="1105"/>
    <col min="5928" max="5928" width="8" style="1105" bestFit="1" customWidth="1"/>
    <col min="5929" max="5929" width="7.44140625" style="1105"/>
    <col min="5930" max="5930" width="22" style="1105" customWidth="1"/>
    <col min="5931" max="5931" width="11.33203125" style="1105" customWidth="1"/>
    <col min="5932" max="5932" width="49" style="1105" customWidth="1"/>
    <col min="5933" max="5933" width="11" style="1105" customWidth="1"/>
    <col min="5934" max="5934" width="7.5546875" style="1105" bestFit="1" customWidth="1"/>
    <col min="5935" max="5935" width="10.21875" style="1105" customWidth="1"/>
    <col min="5936" max="5936" width="9.33203125" style="1105" customWidth="1"/>
    <col min="5937" max="6140" width="7.44140625" style="1105"/>
    <col min="6141" max="6141" width="7.5546875" style="1105" bestFit="1" customWidth="1"/>
    <col min="6142" max="6144" width="7.44140625" style="1105"/>
    <col min="6145" max="6145" width="7.77734375" style="1105" customWidth="1"/>
    <col min="6146" max="6146" width="64" style="1105" customWidth="1"/>
    <col min="6147" max="6147" width="16.21875" style="1105" customWidth="1"/>
    <col min="6148" max="6148" width="13.77734375" style="1105" customWidth="1"/>
    <col min="6149" max="6149" width="8.5546875" style="1105" customWidth="1"/>
    <col min="6150" max="6150" width="17.77734375" style="1105" customWidth="1"/>
    <col min="6151" max="6151" width="14.21875" style="1105" customWidth="1"/>
    <col min="6152" max="6152" width="43.33203125" style="1105" customWidth="1"/>
    <col min="6153" max="6153" width="14.33203125" style="1105" customWidth="1"/>
    <col min="6154" max="6154" width="11.44140625" style="1105" customWidth="1"/>
    <col min="6155" max="6155" width="12.88671875" style="1105" customWidth="1"/>
    <col min="6156" max="6156" width="9.77734375" style="1105" customWidth="1"/>
    <col min="6157" max="6157" width="11.21875" style="1105" customWidth="1"/>
    <col min="6158" max="6158" width="8.5546875" style="1105" bestFit="1" customWidth="1"/>
    <col min="6159" max="6159" width="51" style="1105" customWidth="1"/>
    <col min="6160" max="6160" width="15.5546875" style="1105" customWidth="1"/>
    <col min="6161" max="6161" width="10.6640625" style="1105" customWidth="1"/>
    <col min="6162" max="6162" width="11.77734375" style="1105" customWidth="1"/>
    <col min="6163" max="6163" width="10.88671875" style="1105" customWidth="1"/>
    <col min="6164" max="6164" width="9.21875" style="1105" customWidth="1"/>
    <col min="6165" max="6165" width="54.109375" style="1105" customWidth="1"/>
    <col min="6166" max="6166" width="11.21875" style="1105" customWidth="1"/>
    <col min="6167" max="6167" width="23" style="1105" customWidth="1"/>
    <col min="6168" max="6168" width="12.109375" style="1105" customWidth="1"/>
    <col min="6169" max="6169" width="13.21875" style="1105" customWidth="1"/>
    <col min="6170" max="6170" width="11.77734375" style="1105" customWidth="1"/>
    <col min="6171" max="6171" width="0" style="1105" hidden="1" customWidth="1"/>
    <col min="6172" max="6172" width="10.21875" style="1105" customWidth="1"/>
    <col min="6173" max="6173" width="14.5546875" style="1105" customWidth="1"/>
    <col min="6174" max="6174" width="45" style="1105" customWidth="1"/>
    <col min="6175" max="6175" width="12.44140625" style="1105" customWidth="1"/>
    <col min="6176" max="6176" width="11.77734375" style="1105" customWidth="1"/>
    <col min="6177" max="6177" width="11.109375" style="1105" customWidth="1"/>
    <col min="6178" max="6178" width="15.77734375" style="1105" customWidth="1"/>
    <col min="6179" max="6179" width="9" style="1105" bestFit="1" customWidth="1"/>
    <col min="6180" max="6180" width="8.109375" style="1105" bestFit="1" customWidth="1"/>
    <col min="6181" max="6181" width="9.33203125" style="1105" bestFit="1" customWidth="1"/>
    <col min="6182" max="6183" width="7.44140625" style="1105"/>
    <col min="6184" max="6184" width="8" style="1105" bestFit="1" customWidth="1"/>
    <col min="6185" max="6185" width="7.44140625" style="1105"/>
    <col min="6186" max="6186" width="22" style="1105" customWidth="1"/>
    <col min="6187" max="6187" width="11.33203125" style="1105" customWidth="1"/>
    <col min="6188" max="6188" width="49" style="1105" customWidth="1"/>
    <col min="6189" max="6189" width="11" style="1105" customWidth="1"/>
    <col min="6190" max="6190" width="7.5546875" style="1105" bestFit="1" customWidth="1"/>
    <col min="6191" max="6191" width="10.21875" style="1105" customWidth="1"/>
    <col min="6192" max="6192" width="9.33203125" style="1105" customWidth="1"/>
    <col min="6193" max="6396" width="7.44140625" style="1105"/>
    <col min="6397" max="6397" width="7.5546875" style="1105" bestFit="1" customWidth="1"/>
    <col min="6398" max="6400" width="7.44140625" style="1105"/>
    <col min="6401" max="6401" width="7.77734375" style="1105" customWidth="1"/>
    <col min="6402" max="6402" width="64" style="1105" customWidth="1"/>
    <col min="6403" max="6403" width="16.21875" style="1105" customWidth="1"/>
    <col min="6404" max="6404" width="13.77734375" style="1105" customWidth="1"/>
    <col min="6405" max="6405" width="8.5546875" style="1105" customWidth="1"/>
    <col min="6406" max="6406" width="17.77734375" style="1105" customWidth="1"/>
    <col min="6407" max="6407" width="14.21875" style="1105" customWidth="1"/>
    <col min="6408" max="6408" width="43.33203125" style="1105" customWidth="1"/>
    <col min="6409" max="6409" width="14.33203125" style="1105" customWidth="1"/>
    <col min="6410" max="6410" width="11.44140625" style="1105" customWidth="1"/>
    <col min="6411" max="6411" width="12.88671875" style="1105" customWidth="1"/>
    <col min="6412" max="6412" width="9.77734375" style="1105" customWidth="1"/>
    <col min="6413" max="6413" width="11.21875" style="1105" customWidth="1"/>
    <col min="6414" max="6414" width="8.5546875" style="1105" bestFit="1" customWidth="1"/>
    <col min="6415" max="6415" width="51" style="1105" customWidth="1"/>
    <col min="6416" max="6416" width="15.5546875" style="1105" customWidth="1"/>
    <col min="6417" max="6417" width="10.6640625" style="1105" customWidth="1"/>
    <col min="6418" max="6418" width="11.77734375" style="1105" customWidth="1"/>
    <col min="6419" max="6419" width="10.88671875" style="1105" customWidth="1"/>
    <col min="6420" max="6420" width="9.21875" style="1105" customWidth="1"/>
    <col min="6421" max="6421" width="54.109375" style="1105" customWidth="1"/>
    <col min="6422" max="6422" width="11.21875" style="1105" customWidth="1"/>
    <col min="6423" max="6423" width="23" style="1105" customWidth="1"/>
    <col min="6424" max="6424" width="12.109375" style="1105" customWidth="1"/>
    <col min="6425" max="6425" width="13.21875" style="1105" customWidth="1"/>
    <col min="6426" max="6426" width="11.77734375" style="1105" customWidth="1"/>
    <col min="6427" max="6427" width="0" style="1105" hidden="1" customWidth="1"/>
    <col min="6428" max="6428" width="10.21875" style="1105" customWidth="1"/>
    <col min="6429" max="6429" width="14.5546875" style="1105" customWidth="1"/>
    <col min="6430" max="6430" width="45" style="1105" customWidth="1"/>
    <col min="6431" max="6431" width="12.44140625" style="1105" customWidth="1"/>
    <col min="6432" max="6432" width="11.77734375" style="1105" customWidth="1"/>
    <col min="6433" max="6433" width="11.109375" style="1105" customWidth="1"/>
    <col min="6434" max="6434" width="15.77734375" style="1105" customWidth="1"/>
    <col min="6435" max="6435" width="9" style="1105" bestFit="1" customWidth="1"/>
    <col min="6436" max="6436" width="8.109375" style="1105" bestFit="1" customWidth="1"/>
    <col min="6437" max="6437" width="9.33203125" style="1105" bestFit="1" customWidth="1"/>
    <col min="6438" max="6439" width="7.44140625" style="1105"/>
    <col min="6440" max="6440" width="8" style="1105" bestFit="1" customWidth="1"/>
    <col min="6441" max="6441" width="7.44140625" style="1105"/>
    <col min="6442" max="6442" width="22" style="1105" customWidth="1"/>
    <col min="6443" max="6443" width="11.33203125" style="1105" customWidth="1"/>
    <col min="6444" max="6444" width="49" style="1105" customWidth="1"/>
    <col min="6445" max="6445" width="11" style="1105" customWidth="1"/>
    <col min="6446" max="6446" width="7.5546875" style="1105" bestFit="1" customWidth="1"/>
    <col min="6447" max="6447" width="10.21875" style="1105" customWidth="1"/>
    <col min="6448" max="6448" width="9.33203125" style="1105" customWidth="1"/>
    <col min="6449" max="6652" width="7.44140625" style="1105"/>
    <col min="6653" max="6653" width="7.5546875" style="1105" bestFit="1" customWidth="1"/>
    <col min="6654" max="6656" width="7.44140625" style="1105"/>
    <col min="6657" max="6657" width="7.77734375" style="1105" customWidth="1"/>
    <col min="6658" max="6658" width="64" style="1105" customWidth="1"/>
    <col min="6659" max="6659" width="16.21875" style="1105" customWidth="1"/>
    <col min="6660" max="6660" width="13.77734375" style="1105" customWidth="1"/>
    <col min="6661" max="6661" width="8.5546875" style="1105" customWidth="1"/>
    <col min="6662" max="6662" width="17.77734375" style="1105" customWidth="1"/>
    <col min="6663" max="6663" width="14.21875" style="1105" customWidth="1"/>
    <col min="6664" max="6664" width="43.33203125" style="1105" customWidth="1"/>
    <col min="6665" max="6665" width="14.33203125" style="1105" customWidth="1"/>
    <col min="6666" max="6666" width="11.44140625" style="1105" customWidth="1"/>
    <col min="6667" max="6667" width="12.88671875" style="1105" customWidth="1"/>
    <col min="6668" max="6668" width="9.77734375" style="1105" customWidth="1"/>
    <col min="6669" max="6669" width="11.21875" style="1105" customWidth="1"/>
    <col min="6670" max="6670" width="8.5546875" style="1105" bestFit="1" customWidth="1"/>
    <col min="6671" max="6671" width="51" style="1105" customWidth="1"/>
    <col min="6672" max="6672" width="15.5546875" style="1105" customWidth="1"/>
    <col min="6673" max="6673" width="10.6640625" style="1105" customWidth="1"/>
    <col min="6674" max="6674" width="11.77734375" style="1105" customWidth="1"/>
    <col min="6675" max="6675" width="10.88671875" style="1105" customWidth="1"/>
    <col min="6676" max="6676" width="9.21875" style="1105" customWidth="1"/>
    <col min="6677" max="6677" width="54.109375" style="1105" customWidth="1"/>
    <col min="6678" max="6678" width="11.21875" style="1105" customWidth="1"/>
    <col min="6679" max="6679" width="23" style="1105" customWidth="1"/>
    <col min="6680" max="6680" width="12.109375" style="1105" customWidth="1"/>
    <col min="6681" max="6681" width="13.21875" style="1105" customWidth="1"/>
    <col min="6682" max="6682" width="11.77734375" style="1105" customWidth="1"/>
    <col min="6683" max="6683" width="0" style="1105" hidden="1" customWidth="1"/>
    <col min="6684" max="6684" width="10.21875" style="1105" customWidth="1"/>
    <col min="6685" max="6685" width="14.5546875" style="1105" customWidth="1"/>
    <col min="6686" max="6686" width="45" style="1105" customWidth="1"/>
    <col min="6687" max="6687" width="12.44140625" style="1105" customWidth="1"/>
    <col min="6688" max="6688" width="11.77734375" style="1105" customWidth="1"/>
    <col min="6689" max="6689" width="11.109375" style="1105" customWidth="1"/>
    <col min="6690" max="6690" width="15.77734375" style="1105" customWidth="1"/>
    <col min="6691" max="6691" width="9" style="1105" bestFit="1" customWidth="1"/>
    <col min="6692" max="6692" width="8.109375" style="1105" bestFit="1" customWidth="1"/>
    <col min="6693" max="6693" width="9.33203125" style="1105" bestFit="1" customWidth="1"/>
    <col min="6694" max="6695" width="7.44140625" style="1105"/>
    <col min="6696" max="6696" width="8" style="1105" bestFit="1" customWidth="1"/>
    <col min="6697" max="6697" width="7.44140625" style="1105"/>
    <col min="6698" max="6698" width="22" style="1105" customWidth="1"/>
    <col min="6699" max="6699" width="11.33203125" style="1105" customWidth="1"/>
    <col min="6700" max="6700" width="49" style="1105" customWidth="1"/>
    <col min="6701" max="6701" width="11" style="1105" customWidth="1"/>
    <col min="6702" max="6702" width="7.5546875" style="1105" bestFit="1" customWidth="1"/>
    <col min="6703" max="6703" width="10.21875" style="1105" customWidth="1"/>
    <col min="6704" max="6704" width="9.33203125" style="1105" customWidth="1"/>
    <col min="6705" max="6908" width="7.44140625" style="1105"/>
    <col min="6909" max="6909" width="7.5546875" style="1105" bestFit="1" customWidth="1"/>
    <col min="6910" max="6912" width="7.44140625" style="1105"/>
    <col min="6913" max="6913" width="7.77734375" style="1105" customWidth="1"/>
    <col min="6914" max="6914" width="64" style="1105" customWidth="1"/>
    <col min="6915" max="6915" width="16.21875" style="1105" customWidth="1"/>
    <col min="6916" max="6916" width="13.77734375" style="1105" customWidth="1"/>
    <col min="6917" max="6917" width="8.5546875" style="1105" customWidth="1"/>
    <col min="6918" max="6918" width="17.77734375" style="1105" customWidth="1"/>
    <col min="6919" max="6919" width="14.21875" style="1105" customWidth="1"/>
    <col min="6920" max="6920" width="43.33203125" style="1105" customWidth="1"/>
    <col min="6921" max="6921" width="14.33203125" style="1105" customWidth="1"/>
    <col min="6922" max="6922" width="11.44140625" style="1105" customWidth="1"/>
    <col min="6923" max="6923" width="12.88671875" style="1105" customWidth="1"/>
    <col min="6924" max="6924" width="9.77734375" style="1105" customWidth="1"/>
    <col min="6925" max="6925" width="11.21875" style="1105" customWidth="1"/>
    <col min="6926" max="6926" width="8.5546875" style="1105" bestFit="1" customWidth="1"/>
    <col min="6927" max="6927" width="51" style="1105" customWidth="1"/>
    <col min="6928" max="6928" width="15.5546875" style="1105" customWidth="1"/>
    <col min="6929" max="6929" width="10.6640625" style="1105" customWidth="1"/>
    <col min="6930" max="6930" width="11.77734375" style="1105" customWidth="1"/>
    <col min="6931" max="6931" width="10.88671875" style="1105" customWidth="1"/>
    <col min="6932" max="6932" width="9.21875" style="1105" customWidth="1"/>
    <col min="6933" max="6933" width="54.109375" style="1105" customWidth="1"/>
    <col min="6934" max="6934" width="11.21875" style="1105" customWidth="1"/>
    <col min="6935" max="6935" width="23" style="1105" customWidth="1"/>
    <col min="6936" max="6936" width="12.109375" style="1105" customWidth="1"/>
    <col min="6937" max="6937" width="13.21875" style="1105" customWidth="1"/>
    <col min="6938" max="6938" width="11.77734375" style="1105" customWidth="1"/>
    <col min="6939" max="6939" width="0" style="1105" hidden="1" customWidth="1"/>
    <col min="6940" max="6940" width="10.21875" style="1105" customWidth="1"/>
    <col min="6941" max="6941" width="14.5546875" style="1105" customWidth="1"/>
    <col min="6942" max="6942" width="45" style="1105" customWidth="1"/>
    <col min="6943" max="6943" width="12.44140625" style="1105" customWidth="1"/>
    <col min="6944" max="6944" width="11.77734375" style="1105" customWidth="1"/>
    <col min="6945" max="6945" width="11.109375" style="1105" customWidth="1"/>
    <col min="6946" max="6946" width="15.77734375" style="1105" customWidth="1"/>
    <col min="6947" max="6947" width="9" style="1105" bestFit="1" customWidth="1"/>
    <col min="6948" max="6948" width="8.109375" style="1105" bestFit="1" customWidth="1"/>
    <col min="6949" max="6949" width="9.33203125" style="1105" bestFit="1" customWidth="1"/>
    <col min="6950" max="6951" width="7.44140625" style="1105"/>
    <col min="6952" max="6952" width="8" style="1105" bestFit="1" customWidth="1"/>
    <col min="6953" max="6953" width="7.44140625" style="1105"/>
    <col min="6954" max="6954" width="22" style="1105" customWidth="1"/>
    <col min="6955" max="6955" width="11.33203125" style="1105" customWidth="1"/>
    <col min="6956" max="6956" width="49" style="1105" customWidth="1"/>
    <col min="6957" max="6957" width="11" style="1105" customWidth="1"/>
    <col min="6958" max="6958" width="7.5546875" style="1105" bestFit="1" customWidth="1"/>
    <col min="6959" max="6959" width="10.21875" style="1105" customWidth="1"/>
    <col min="6960" max="6960" width="9.33203125" style="1105" customWidth="1"/>
    <col min="6961" max="7164" width="7.44140625" style="1105"/>
    <col min="7165" max="7165" width="7.5546875" style="1105" bestFit="1" customWidth="1"/>
    <col min="7166" max="7168" width="7.44140625" style="1105"/>
    <col min="7169" max="7169" width="7.77734375" style="1105" customWidth="1"/>
    <col min="7170" max="7170" width="64" style="1105" customWidth="1"/>
    <col min="7171" max="7171" width="16.21875" style="1105" customWidth="1"/>
    <col min="7172" max="7172" width="13.77734375" style="1105" customWidth="1"/>
    <col min="7173" max="7173" width="8.5546875" style="1105" customWidth="1"/>
    <col min="7174" max="7174" width="17.77734375" style="1105" customWidth="1"/>
    <col min="7175" max="7175" width="14.21875" style="1105" customWidth="1"/>
    <col min="7176" max="7176" width="43.33203125" style="1105" customWidth="1"/>
    <col min="7177" max="7177" width="14.33203125" style="1105" customWidth="1"/>
    <col min="7178" max="7178" width="11.44140625" style="1105" customWidth="1"/>
    <col min="7179" max="7179" width="12.88671875" style="1105" customWidth="1"/>
    <col min="7180" max="7180" width="9.77734375" style="1105" customWidth="1"/>
    <col min="7181" max="7181" width="11.21875" style="1105" customWidth="1"/>
    <col min="7182" max="7182" width="8.5546875" style="1105" bestFit="1" customWidth="1"/>
    <col min="7183" max="7183" width="51" style="1105" customWidth="1"/>
    <col min="7184" max="7184" width="15.5546875" style="1105" customWidth="1"/>
    <col min="7185" max="7185" width="10.6640625" style="1105" customWidth="1"/>
    <col min="7186" max="7186" width="11.77734375" style="1105" customWidth="1"/>
    <col min="7187" max="7187" width="10.88671875" style="1105" customWidth="1"/>
    <col min="7188" max="7188" width="9.21875" style="1105" customWidth="1"/>
    <col min="7189" max="7189" width="54.109375" style="1105" customWidth="1"/>
    <col min="7190" max="7190" width="11.21875" style="1105" customWidth="1"/>
    <col min="7191" max="7191" width="23" style="1105" customWidth="1"/>
    <col min="7192" max="7192" width="12.109375" style="1105" customWidth="1"/>
    <col min="7193" max="7193" width="13.21875" style="1105" customWidth="1"/>
    <col min="7194" max="7194" width="11.77734375" style="1105" customWidth="1"/>
    <col min="7195" max="7195" width="0" style="1105" hidden="1" customWidth="1"/>
    <col min="7196" max="7196" width="10.21875" style="1105" customWidth="1"/>
    <col min="7197" max="7197" width="14.5546875" style="1105" customWidth="1"/>
    <col min="7198" max="7198" width="45" style="1105" customWidth="1"/>
    <col min="7199" max="7199" width="12.44140625" style="1105" customWidth="1"/>
    <col min="7200" max="7200" width="11.77734375" style="1105" customWidth="1"/>
    <col min="7201" max="7201" width="11.109375" style="1105" customWidth="1"/>
    <col min="7202" max="7202" width="15.77734375" style="1105" customWidth="1"/>
    <col min="7203" max="7203" width="9" style="1105" bestFit="1" customWidth="1"/>
    <col min="7204" max="7204" width="8.109375" style="1105" bestFit="1" customWidth="1"/>
    <col min="7205" max="7205" width="9.33203125" style="1105" bestFit="1" customWidth="1"/>
    <col min="7206" max="7207" width="7.44140625" style="1105"/>
    <col min="7208" max="7208" width="8" style="1105" bestFit="1" customWidth="1"/>
    <col min="7209" max="7209" width="7.44140625" style="1105"/>
    <col min="7210" max="7210" width="22" style="1105" customWidth="1"/>
    <col min="7211" max="7211" width="11.33203125" style="1105" customWidth="1"/>
    <col min="7212" max="7212" width="49" style="1105" customWidth="1"/>
    <col min="7213" max="7213" width="11" style="1105" customWidth="1"/>
    <col min="7214" max="7214" width="7.5546875" style="1105" bestFit="1" customWidth="1"/>
    <col min="7215" max="7215" width="10.21875" style="1105" customWidth="1"/>
    <col min="7216" max="7216" width="9.33203125" style="1105" customWidth="1"/>
    <col min="7217" max="7420" width="7.44140625" style="1105"/>
    <col min="7421" max="7421" width="7.5546875" style="1105" bestFit="1" customWidth="1"/>
    <col min="7422" max="7424" width="7.44140625" style="1105"/>
    <col min="7425" max="7425" width="7.77734375" style="1105" customWidth="1"/>
    <col min="7426" max="7426" width="64" style="1105" customWidth="1"/>
    <col min="7427" max="7427" width="16.21875" style="1105" customWidth="1"/>
    <col min="7428" max="7428" width="13.77734375" style="1105" customWidth="1"/>
    <col min="7429" max="7429" width="8.5546875" style="1105" customWidth="1"/>
    <col min="7430" max="7430" width="17.77734375" style="1105" customWidth="1"/>
    <col min="7431" max="7431" width="14.21875" style="1105" customWidth="1"/>
    <col min="7432" max="7432" width="43.33203125" style="1105" customWidth="1"/>
    <col min="7433" max="7433" width="14.33203125" style="1105" customWidth="1"/>
    <col min="7434" max="7434" width="11.44140625" style="1105" customWidth="1"/>
    <col min="7435" max="7435" width="12.88671875" style="1105" customWidth="1"/>
    <col min="7436" max="7436" width="9.77734375" style="1105" customWidth="1"/>
    <col min="7437" max="7437" width="11.21875" style="1105" customWidth="1"/>
    <col min="7438" max="7438" width="8.5546875" style="1105" bestFit="1" customWidth="1"/>
    <col min="7439" max="7439" width="51" style="1105" customWidth="1"/>
    <col min="7440" max="7440" width="15.5546875" style="1105" customWidth="1"/>
    <col min="7441" max="7441" width="10.6640625" style="1105" customWidth="1"/>
    <col min="7442" max="7442" width="11.77734375" style="1105" customWidth="1"/>
    <col min="7443" max="7443" width="10.88671875" style="1105" customWidth="1"/>
    <col min="7444" max="7444" width="9.21875" style="1105" customWidth="1"/>
    <col min="7445" max="7445" width="54.109375" style="1105" customWidth="1"/>
    <col min="7446" max="7446" width="11.21875" style="1105" customWidth="1"/>
    <col min="7447" max="7447" width="23" style="1105" customWidth="1"/>
    <col min="7448" max="7448" width="12.109375" style="1105" customWidth="1"/>
    <col min="7449" max="7449" width="13.21875" style="1105" customWidth="1"/>
    <col min="7450" max="7450" width="11.77734375" style="1105" customWidth="1"/>
    <col min="7451" max="7451" width="0" style="1105" hidden="1" customWidth="1"/>
    <col min="7452" max="7452" width="10.21875" style="1105" customWidth="1"/>
    <col min="7453" max="7453" width="14.5546875" style="1105" customWidth="1"/>
    <col min="7454" max="7454" width="45" style="1105" customWidth="1"/>
    <col min="7455" max="7455" width="12.44140625" style="1105" customWidth="1"/>
    <col min="7456" max="7456" width="11.77734375" style="1105" customWidth="1"/>
    <col min="7457" max="7457" width="11.109375" style="1105" customWidth="1"/>
    <col min="7458" max="7458" width="15.77734375" style="1105" customWidth="1"/>
    <col min="7459" max="7459" width="9" style="1105" bestFit="1" customWidth="1"/>
    <col min="7460" max="7460" width="8.109375" style="1105" bestFit="1" customWidth="1"/>
    <col min="7461" max="7461" width="9.33203125" style="1105" bestFit="1" customWidth="1"/>
    <col min="7462" max="7463" width="7.44140625" style="1105"/>
    <col min="7464" max="7464" width="8" style="1105" bestFit="1" customWidth="1"/>
    <col min="7465" max="7465" width="7.44140625" style="1105"/>
    <col min="7466" max="7466" width="22" style="1105" customWidth="1"/>
    <col min="7467" max="7467" width="11.33203125" style="1105" customWidth="1"/>
    <col min="7468" max="7468" width="49" style="1105" customWidth="1"/>
    <col min="7469" max="7469" width="11" style="1105" customWidth="1"/>
    <col min="7470" max="7470" width="7.5546875" style="1105" bestFit="1" customWidth="1"/>
    <col min="7471" max="7471" width="10.21875" style="1105" customWidth="1"/>
    <col min="7472" max="7472" width="9.33203125" style="1105" customWidth="1"/>
    <col min="7473" max="7676" width="7.44140625" style="1105"/>
    <col min="7677" max="7677" width="7.5546875" style="1105" bestFit="1" customWidth="1"/>
    <col min="7678" max="7680" width="7.44140625" style="1105"/>
    <col min="7681" max="7681" width="7.77734375" style="1105" customWidth="1"/>
    <col min="7682" max="7682" width="64" style="1105" customWidth="1"/>
    <col min="7683" max="7683" width="16.21875" style="1105" customWidth="1"/>
    <col min="7684" max="7684" width="13.77734375" style="1105" customWidth="1"/>
    <col min="7685" max="7685" width="8.5546875" style="1105" customWidth="1"/>
    <col min="7686" max="7686" width="17.77734375" style="1105" customWidth="1"/>
    <col min="7687" max="7687" width="14.21875" style="1105" customWidth="1"/>
    <col min="7688" max="7688" width="43.33203125" style="1105" customWidth="1"/>
    <col min="7689" max="7689" width="14.33203125" style="1105" customWidth="1"/>
    <col min="7690" max="7690" width="11.44140625" style="1105" customWidth="1"/>
    <col min="7691" max="7691" width="12.88671875" style="1105" customWidth="1"/>
    <col min="7692" max="7692" width="9.77734375" style="1105" customWidth="1"/>
    <col min="7693" max="7693" width="11.21875" style="1105" customWidth="1"/>
    <col min="7694" max="7694" width="8.5546875" style="1105" bestFit="1" customWidth="1"/>
    <col min="7695" max="7695" width="51" style="1105" customWidth="1"/>
    <col min="7696" max="7696" width="15.5546875" style="1105" customWidth="1"/>
    <col min="7697" max="7697" width="10.6640625" style="1105" customWidth="1"/>
    <col min="7698" max="7698" width="11.77734375" style="1105" customWidth="1"/>
    <col min="7699" max="7699" width="10.88671875" style="1105" customWidth="1"/>
    <col min="7700" max="7700" width="9.21875" style="1105" customWidth="1"/>
    <col min="7701" max="7701" width="54.109375" style="1105" customWidth="1"/>
    <col min="7702" max="7702" width="11.21875" style="1105" customWidth="1"/>
    <col min="7703" max="7703" width="23" style="1105" customWidth="1"/>
    <col min="7704" max="7704" width="12.109375" style="1105" customWidth="1"/>
    <col min="7705" max="7705" width="13.21875" style="1105" customWidth="1"/>
    <col min="7706" max="7706" width="11.77734375" style="1105" customWidth="1"/>
    <col min="7707" max="7707" width="0" style="1105" hidden="1" customWidth="1"/>
    <col min="7708" max="7708" width="10.21875" style="1105" customWidth="1"/>
    <col min="7709" max="7709" width="14.5546875" style="1105" customWidth="1"/>
    <col min="7710" max="7710" width="45" style="1105" customWidth="1"/>
    <col min="7711" max="7711" width="12.44140625" style="1105" customWidth="1"/>
    <col min="7712" max="7712" width="11.77734375" style="1105" customWidth="1"/>
    <col min="7713" max="7713" width="11.109375" style="1105" customWidth="1"/>
    <col min="7714" max="7714" width="15.77734375" style="1105" customWidth="1"/>
    <col min="7715" max="7715" width="9" style="1105" bestFit="1" customWidth="1"/>
    <col min="7716" max="7716" width="8.109375" style="1105" bestFit="1" customWidth="1"/>
    <col min="7717" max="7717" width="9.33203125" style="1105" bestFit="1" customWidth="1"/>
    <col min="7718" max="7719" width="7.44140625" style="1105"/>
    <col min="7720" max="7720" width="8" style="1105" bestFit="1" customWidth="1"/>
    <col min="7721" max="7721" width="7.44140625" style="1105"/>
    <col min="7722" max="7722" width="22" style="1105" customWidth="1"/>
    <col min="7723" max="7723" width="11.33203125" style="1105" customWidth="1"/>
    <col min="7724" max="7724" width="49" style="1105" customWidth="1"/>
    <col min="7725" max="7725" width="11" style="1105" customWidth="1"/>
    <col min="7726" max="7726" width="7.5546875" style="1105" bestFit="1" customWidth="1"/>
    <col min="7727" max="7727" width="10.21875" style="1105" customWidth="1"/>
    <col min="7728" max="7728" width="9.33203125" style="1105" customWidth="1"/>
    <col min="7729" max="7932" width="7.44140625" style="1105"/>
    <col min="7933" max="7933" width="7.5546875" style="1105" bestFit="1" customWidth="1"/>
    <col min="7934" max="7936" width="7.44140625" style="1105"/>
    <col min="7937" max="7937" width="7.77734375" style="1105" customWidth="1"/>
    <col min="7938" max="7938" width="64" style="1105" customWidth="1"/>
    <col min="7939" max="7939" width="16.21875" style="1105" customWidth="1"/>
    <col min="7940" max="7940" width="13.77734375" style="1105" customWidth="1"/>
    <col min="7941" max="7941" width="8.5546875" style="1105" customWidth="1"/>
    <col min="7942" max="7942" width="17.77734375" style="1105" customWidth="1"/>
    <col min="7943" max="7943" width="14.21875" style="1105" customWidth="1"/>
    <col min="7944" max="7944" width="43.33203125" style="1105" customWidth="1"/>
    <col min="7945" max="7945" width="14.33203125" style="1105" customWidth="1"/>
    <col min="7946" max="7946" width="11.44140625" style="1105" customWidth="1"/>
    <col min="7947" max="7947" width="12.88671875" style="1105" customWidth="1"/>
    <col min="7948" max="7948" width="9.77734375" style="1105" customWidth="1"/>
    <col min="7949" max="7949" width="11.21875" style="1105" customWidth="1"/>
    <col min="7950" max="7950" width="8.5546875" style="1105" bestFit="1" customWidth="1"/>
    <col min="7951" max="7951" width="51" style="1105" customWidth="1"/>
    <col min="7952" max="7952" width="15.5546875" style="1105" customWidth="1"/>
    <col min="7953" max="7953" width="10.6640625" style="1105" customWidth="1"/>
    <col min="7954" max="7954" width="11.77734375" style="1105" customWidth="1"/>
    <col min="7955" max="7955" width="10.88671875" style="1105" customWidth="1"/>
    <col min="7956" max="7956" width="9.21875" style="1105" customWidth="1"/>
    <col min="7957" max="7957" width="54.109375" style="1105" customWidth="1"/>
    <col min="7958" max="7958" width="11.21875" style="1105" customWidth="1"/>
    <col min="7959" max="7959" width="23" style="1105" customWidth="1"/>
    <col min="7960" max="7960" width="12.109375" style="1105" customWidth="1"/>
    <col min="7961" max="7961" width="13.21875" style="1105" customWidth="1"/>
    <col min="7962" max="7962" width="11.77734375" style="1105" customWidth="1"/>
    <col min="7963" max="7963" width="0" style="1105" hidden="1" customWidth="1"/>
    <col min="7964" max="7964" width="10.21875" style="1105" customWidth="1"/>
    <col min="7965" max="7965" width="14.5546875" style="1105" customWidth="1"/>
    <col min="7966" max="7966" width="45" style="1105" customWidth="1"/>
    <col min="7967" max="7967" width="12.44140625" style="1105" customWidth="1"/>
    <col min="7968" max="7968" width="11.77734375" style="1105" customWidth="1"/>
    <col min="7969" max="7969" width="11.109375" style="1105" customWidth="1"/>
    <col min="7970" max="7970" width="15.77734375" style="1105" customWidth="1"/>
    <col min="7971" max="7971" width="9" style="1105" bestFit="1" customWidth="1"/>
    <col min="7972" max="7972" width="8.109375" style="1105" bestFit="1" customWidth="1"/>
    <col min="7973" max="7973" width="9.33203125" style="1105" bestFit="1" customWidth="1"/>
    <col min="7974" max="7975" width="7.44140625" style="1105"/>
    <col min="7976" max="7976" width="8" style="1105" bestFit="1" customWidth="1"/>
    <col min="7977" max="7977" width="7.44140625" style="1105"/>
    <col min="7978" max="7978" width="22" style="1105" customWidth="1"/>
    <col min="7979" max="7979" width="11.33203125" style="1105" customWidth="1"/>
    <col min="7980" max="7980" width="49" style="1105" customWidth="1"/>
    <col min="7981" max="7981" width="11" style="1105" customWidth="1"/>
    <col min="7982" max="7982" width="7.5546875" style="1105" bestFit="1" customWidth="1"/>
    <col min="7983" max="7983" width="10.21875" style="1105" customWidth="1"/>
    <col min="7984" max="7984" width="9.33203125" style="1105" customWidth="1"/>
    <col min="7985" max="8188" width="7.44140625" style="1105"/>
    <col min="8189" max="8189" width="7.5546875" style="1105" bestFit="1" customWidth="1"/>
    <col min="8190" max="8192" width="7.44140625" style="1105"/>
    <col min="8193" max="8193" width="7.77734375" style="1105" customWidth="1"/>
    <col min="8194" max="8194" width="64" style="1105" customWidth="1"/>
    <col min="8195" max="8195" width="16.21875" style="1105" customWidth="1"/>
    <col min="8196" max="8196" width="13.77734375" style="1105" customWidth="1"/>
    <col min="8197" max="8197" width="8.5546875" style="1105" customWidth="1"/>
    <col min="8198" max="8198" width="17.77734375" style="1105" customWidth="1"/>
    <col min="8199" max="8199" width="14.21875" style="1105" customWidth="1"/>
    <col min="8200" max="8200" width="43.33203125" style="1105" customWidth="1"/>
    <col min="8201" max="8201" width="14.33203125" style="1105" customWidth="1"/>
    <col min="8202" max="8202" width="11.44140625" style="1105" customWidth="1"/>
    <col min="8203" max="8203" width="12.88671875" style="1105" customWidth="1"/>
    <col min="8204" max="8204" width="9.77734375" style="1105" customWidth="1"/>
    <col min="8205" max="8205" width="11.21875" style="1105" customWidth="1"/>
    <col min="8206" max="8206" width="8.5546875" style="1105" bestFit="1" customWidth="1"/>
    <col min="8207" max="8207" width="51" style="1105" customWidth="1"/>
    <col min="8208" max="8208" width="15.5546875" style="1105" customWidth="1"/>
    <col min="8209" max="8209" width="10.6640625" style="1105" customWidth="1"/>
    <col min="8210" max="8210" width="11.77734375" style="1105" customWidth="1"/>
    <col min="8211" max="8211" width="10.88671875" style="1105" customWidth="1"/>
    <col min="8212" max="8212" width="9.21875" style="1105" customWidth="1"/>
    <col min="8213" max="8213" width="54.109375" style="1105" customWidth="1"/>
    <col min="8214" max="8214" width="11.21875" style="1105" customWidth="1"/>
    <col min="8215" max="8215" width="23" style="1105" customWidth="1"/>
    <col min="8216" max="8216" width="12.109375" style="1105" customWidth="1"/>
    <col min="8217" max="8217" width="13.21875" style="1105" customWidth="1"/>
    <col min="8218" max="8218" width="11.77734375" style="1105" customWidth="1"/>
    <col min="8219" max="8219" width="0" style="1105" hidden="1" customWidth="1"/>
    <col min="8220" max="8220" width="10.21875" style="1105" customWidth="1"/>
    <col min="8221" max="8221" width="14.5546875" style="1105" customWidth="1"/>
    <col min="8222" max="8222" width="45" style="1105" customWidth="1"/>
    <col min="8223" max="8223" width="12.44140625" style="1105" customWidth="1"/>
    <col min="8224" max="8224" width="11.77734375" style="1105" customWidth="1"/>
    <col min="8225" max="8225" width="11.109375" style="1105" customWidth="1"/>
    <col min="8226" max="8226" width="15.77734375" style="1105" customWidth="1"/>
    <col min="8227" max="8227" width="9" style="1105" bestFit="1" customWidth="1"/>
    <col min="8228" max="8228" width="8.109375" style="1105" bestFit="1" customWidth="1"/>
    <col min="8229" max="8229" width="9.33203125" style="1105" bestFit="1" customWidth="1"/>
    <col min="8230" max="8231" width="7.44140625" style="1105"/>
    <col min="8232" max="8232" width="8" style="1105" bestFit="1" customWidth="1"/>
    <col min="8233" max="8233" width="7.44140625" style="1105"/>
    <col min="8234" max="8234" width="22" style="1105" customWidth="1"/>
    <col min="8235" max="8235" width="11.33203125" style="1105" customWidth="1"/>
    <col min="8236" max="8236" width="49" style="1105" customWidth="1"/>
    <col min="8237" max="8237" width="11" style="1105" customWidth="1"/>
    <col min="8238" max="8238" width="7.5546875" style="1105" bestFit="1" customWidth="1"/>
    <col min="8239" max="8239" width="10.21875" style="1105" customWidth="1"/>
    <col min="8240" max="8240" width="9.33203125" style="1105" customWidth="1"/>
    <col min="8241" max="8444" width="7.44140625" style="1105"/>
    <col min="8445" max="8445" width="7.5546875" style="1105" bestFit="1" customWidth="1"/>
    <col min="8446" max="8448" width="7.44140625" style="1105"/>
    <col min="8449" max="8449" width="7.77734375" style="1105" customWidth="1"/>
    <col min="8450" max="8450" width="64" style="1105" customWidth="1"/>
    <col min="8451" max="8451" width="16.21875" style="1105" customWidth="1"/>
    <col min="8452" max="8452" width="13.77734375" style="1105" customWidth="1"/>
    <col min="8453" max="8453" width="8.5546875" style="1105" customWidth="1"/>
    <col min="8454" max="8454" width="17.77734375" style="1105" customWidth="1"/>
    <col min="8455" max="8455" width="14.21875" style="1105" customWidth="1"/>
    <col min="8456" max="8456" width="43.33203125" style="1105" customWidth="1"/>
    <col min="8457" max="8457" width="14.33203125" style="1105" customWidth="1"/>
    <col min="8458" max="8458" width="11.44140625" style="1105" customWidth="1"/>
    <col min="8459" max="8459" width="12.88671875" style="1105" customWidth="1"/>
    <col min="8460" max="8460" width="9.77734375" style="1105" customWidth="1"/>
    <col min="8461" max="8461" width="11.21875" style="1105" customWidth="1"/>
    <col min="8462" max="8462" width="8.5546875" style="1105" bestFit="1" customWidth="1"/>
    <col min="8463" max="8463" width="51" style="1105" customWidth="1"/>
    <col min="8464" max="8464" width="15.5546875" style="1105" customWidth="1"/>
    <col min="8465" max="8465" width="10.6640625" style="1105" customWidth="1"/>
    <col min="8466" max="8466" width="11.77734375" style="1105" customWidth="1"/>
    <col min="8467" max="8467" width="10.88671875" style="1105" customWidth="1"/>
    <col min="8468" max="8468" width="9.21875" style="1105" customWidth="1"/>
    <col min="8469" max="8469" width="54.109375" style="1105" customWidth="1"/>
    <col min="8470" max="8470" width="11.21875" style="1105" customWidth="1"/>
    <col min="8471" max="8471" width="23" style="1105" customWidth="1"/>
    <col min="8472" max="8472" width="12.109375" style="1105" customWidth="1"/>
    <col min="8473" max="8473" width="13.21875" style="1105" customWidth="1"/>
    <col min="8474" max="8474" width="11.77734375" style="1105" customWidth="1"/>
    <col min="8475" max="8475" width="0" style="1105" hidden="1" customWidth="1"/>
    <col min="8476" max="8476" width="10.21875" style="1105" customWidth="1"/>
    <col min="8477" max="8477" width="14.5546875" style="1105" customWidth="1"/>
    <col min="8478" max="8478" width="45" style="1105" customWidth="1"/>
    <col min="8479" max="8479" width="12.44140625" style="1105" customWidth="1"/>
    <col min="8480" max="8480" width="11.77734375" style="1105" customWidth="1"/>
    <col min="8481" max="8481" width="11.109375" style="1105" customWidth="1"/>
    <col min="8482" max="8482" width="15.77734375" style="1105" customWidth="1"/>
    <col min="8483" max="8483" width="9" style="1105" bestFit="1" customWidth="1"/>
    <col min="8484" max="8484" width="8.109375" style="1105" bestFit="1" customWidth="1"/>
    <col min="8485" max="8485" width="9.33203125" style="1105" bestFit="1" customWidth="1"/>
    <col min="8486" max="8487" width="7.44140625" style="1105"/>
    <col min="8488" max="8488" width="8" style="1105" bestFit="1" customWidth="1"/>
    <col min="8489" max="8489" width="7.44140625" style="1105"/>
    <col min="8490" max="8490" width="22" style="1105" customWidth="1"/>
    <col min="8491" max="8491" width="11.33203125" style="1105" customWidth="1"/>
    <col min="8492" max="8492" width="49" style="1105" customWidth="1"/>
    <col min="8493" max="8493" width="11" style="1105" customWidth="1"/>
    <col min="8494" max="8494" width="7.5546875" style="1105" bestFit="1" customWidth="1"/>
    <col min="8495" max="8495" width="10.21875" style="1105" customWidth="1"/>
    <col min="8496" max="8496" width="9.33203125" style="1105" customWidth="1"/>
    <col min="8497" max="8700" width="7.44140625" style="1105"/>
    <col min="8701" max="8701" width="7.5546875" style="1105" bestFit="1" customWidth="1"/>
    <col min="8702" max="8704" width="7.44140625" style="1105"/>
    <col min="8705" max="8705" width="7.77734375" style="1105" customWidth="1"/>
    <col min="8706" max="8706" width="64" style="1105" customWidth="1"/>
    <col min="8707" max="8707" width="16.21875" style="1105" customWidth="1"/>
    <col min="8708" max="8708" width="13.77734375" style="1105" customWidth="1"/>
    <col min="8709" max="8709" width="8.5546875" style="1105" customWidth="1"/>
    <col min="8710" max="8710" width="17.77734375" style="1105" customWidth="1"/>
    <col min="8711" max="8711" width="14.21875" style="1105" customWidth="1"/>
    <col min="8712" max="8712" width="43.33203125" style="1105" customWidth="1"/>
    <col min="8713" max="8713" width="14.33203125" style="1105" customWidth="1"/>
    <col min="8714" max="8714" width="11.44140625" style="1105" customWidth="1"/>
    <col min="8715" max="8715" width="12.88671875" style="1105" customWidth="1"/>
    <col min="8716" max="8716" width="9.77734375" style="1105" customWidth="1"/>
    <col min="8717" max="8717" width="11.21875" style="1105" customWidth="1"/>
    <col min="8718" max="8718" width="8.5546875" style="1105" bestFit="1" customWidth="1"/>
    <col min="8719" max="8719" width="51" style="1105" customWidth="1"/>
    <col min="8720" max="8720" width="15.5546875" style="1105" customWidth="1"/>
    <col min="8721" max="8721" width="10.6640625" style="1105" customWidth="1"/>
    <col min="8722" max="8722" width="11.77734375" style="1105" customWidth="1"/>
    <col min="8723" max="8723" width="10.88671875" style="1105" customWidth="1"/>
    <col min="8724" max="8724" width="9.21875" style="1105" customWidth="1"/>
    <col min="8725" max="8725" width="54.109375" style="1105" customWidth="1"/>
    <col min="8726" max="8726" width="11.21875" style="1105" customWidth="1"/>
    <col min="8727" max="8727" width="23" style="1105" customWidth="1"/>
    <col min="8728" max="8728" width="12.109375" style="1105" customWidth="1"/>
    <col min="8729" max="8729" width="13.21875" style="1105" customWidth="1"/>
    <col min="8730" max="8730" width="11.77734375" style="1105" customWidth="1"/>
    <col min="8731" max="8731" width="0" style="1105" hidden="1" customWidth="1"/>
    <col min="8732" max="8732" width="10.21875" style="1105" customWidth="1"/>
    <col min="8733" max="8733" width="14.5546875" style="1105" customWidth="1"/>
    <col min="8734" max="8734" width="45" style="1105" customWidth="1"/>
    <col min="8735" max="8735" width="12.44140625" style="1105" customWidth="1"/>
    <col min="8736" max="8736" width="11.77734375" style="1105" customWidth="1"/>
    <col min="8737" max="8737" width="11.109375" style="1105" customWidth="1"/>
    <col min="8738" max="8738" width="15.77734375" style="1105" customWidth="1"/>
    <col min="8739" max="8739" width="9" style="1105" bestFit="1" customWidth="1"/>
    <col min="8740" max="8740" width="8.109375" style="1105" bestFit="1" customWidth="1"/>
    <col min="8741" max="8741" width="9.33203125" style="1105" bestFit="1" customWidth="1"/>
    <col min="8742" max="8743" width="7.44140625" style="1105"/>
    <col min="8744" max="8744" width="8" style="1105" bestFit="1" customWidth="1"/>
    <col min="8745" max="8745" width="7.44140625" style="1105"/>
    <col min="8746" max="8746" width="22" style="1105" customWidth="1"/>
    <col min="8747" max="8747" width="11.33203125" style="1105" customWidth="1"/>
    <col min="8748" max="8748" width="49" style="1105" customWidth="1"/>
    <col min="8749" max="8749" width="11" style="1105" customWidth="1"/>
    <col min="8750" max="8750" width="7.5546875" style="1105" bestFit="1" customWidth="1"/>
    <col min="8751" max="8751" width="10.21875" style="1105" customWidth="1"/>
    <col min="8752" max="8752" width="9.33203125" style="1105" customWidth="1"/>
    <col min="8753" max="8956" width="7.44140625" style="1105"/>
    <col min="8957" max="8957" width="7.5546875" style="1105" bestFit="1" customWidth="1"/>
    <col min="8958" max="8960" width="7.44140625" style="1105"/>
    <col min="8961" max="8961" width="7.77734375" style="1105" customWidth="1"/>
    <col min="8962" max="8962" width="64" style="1105" customWidth="1"/>
    <col min="8963" max="8963" width="16.21875" style="1105" customWidth="1"/>
    <col min="8964" max="8964" width="13.77734375" style="1105" customWidth="1"/>
    <col min="8965" max="8965" width="8.5546875" style="1105" customWidth="1"/>
    <col min="8966" max="8966" width="17.77734375" style="1105" customWidth="1"/>
    <col min="8967" max="8967" width="14.21875" style="1105" customWidth="1"/>
    <col min="8968" max="8968" width="43.33203125" style="1105" customWidth="1"/>
    <col min="8969" max="8969" width="14.33203125" style="1105" customWidth="1"/>
    <col min="8970" max="8970" width="11.44140625" style="1105" customWidth="1"/>
    <col min="8971" max="8971" width="12.88671875" style="1105" customWidth="1"/>
    <col min="8972" max="8972" width="9.77734375" style="1105" customWidth="1"/>
    <col min="8973" max="8973" width="11.21875" style="1105" customWidth="1"/>
    <col min="8974" max="8974" width="8.5546875" style="1105" bestFit="1" customWidth="1"/>
    <col min="8975" max="8975" width="51" style="1105" customWidth="1"/>
    <col min="8976" max="8976" width="15.5546875" style="1105" customWidth="1"/>
    <col min="8977" max="8977" width="10.6640625" style="1105" customWidth="1"/>
    <col min="8978" max="8978" width="11.77734375" style="1105" customWidth="1"/>
    <col min="8979" max="8979" width="10.88671875" style="1105" customWidth="1"/>
    <col min="8980" max="8980" width="9.21875" style="1105" customWidth="1"/>
    <col min="8981" max="8981" width="54.109375" style="1105" customWidth="1"/>
    <col min="8982" max="8982" width="11.21875" style="1105" customWidth="1"/>
    <col min="8983" max="8983" width="23" style="1105" customWidth="1"/>
    <col min="8984" max="8984" width="12.109375" style="1105" customWidth="1"/>
    <col min="8985" max="8985" width="13.21875" style="1105" customWidth="1"/>
    <col min="8986" max="8986" width="11.77734375" style="1105" customWidth="1"/>
    <col min="8987" max="8987" width="0" style="1105" hidden="1" customWidth="1"/>
    <col min="8988" max="8988" width="10.21875" style="1105" customWidth="1"/>
    <col min="8989" max="8989" width="14.5546875" style="1105" customWidth="1"/>
    <col min="8990" max="8990" width="45" style="1105" customWidth="1"/>
    <col min="8991" max="8991" width="12.44140625" style="1105" customWidth="1"/>
    <col min="8992" max="8992" width="11.77734375" style="1105" customWidth="1"/>
    <col min="8993" max="8993" width="11.109375" style="1105" customWidth="1"/>
    <col min="8994" max="8994" width="15.77734375" style="1105" customWidth="1"/>
    <col min="8995" max="8995" width="9" style="1105" bestFit="1" customWidth="1"/>
    <col min="8996" max="8996" width="8.109375" style="1105" bestFit="1" customWidth="1"/>
    <col min="8997" max="8997" width="9.33203125" style="1105" bestFit="1" customWidth="1"/>
    <col min="8998" max="8999" width="7.44140625" style="1105"/>
    <col min="9000" max="9000" width="8" style="1105" bestFit="1" customWidth="1"/>
    <col min="9001" max="9001" width="7.44140625" style="1105"/>
    <col min="9002" max="9002" width="22" style="1105" customWidth="1"/>
    <col min="9003" max="9003" width="11.33203125" style="1105" customWidth="1"/>
    <col min="9004" max="9004" width="49" style="1105" customWidth="1"/>
    <col min="9005" max="9005" width="11" style="1105" customWidth="1"/>
    <col min="9006" max="9006" width="7.5546875" style="1105" bestFit="1" customWidth="1"/>
    <col min="9007" max="9007" width="10.21875" style="1105" customWidth="1"/>
    <col min="9008" max="9008" width="9.33203125" style="1105" customWidth="1"/>
    <col min="9009" max="9212" width="7.44140625" style="1105"/>
    <col min="9213" max="9213" width="7.5546875" style="1105" bestFit="1" customWidth="1"/>
    <col min="9214" max="9216" width="7.44140625" style="1105"/>
    <col min="9217" max="9217" width="7.77734375" style="1105" customWidth="1"/>
    <col min="9218" max="9218" width="64" style="1105" customWidth="1"/>
    <col min="9219" max="9219" width="16.21875" style="1105" customWidth="1"/>
    <col min="9220" max="9220" width="13.77734375" style="1105" customWidth="1"/>
    <col min="9221" max="9221" width="8.5546875" style="1105" customWidth="1"/>
    <col min="9222" max="9222" width="17.77734375" style="1105" customWidth="1"/>
    <col min="9223" max="9223" width="14.21875" style="1105" customWidth="1"/>
    <col min="9224" max="9224" width="43.33203125" style="1105" customWidth="1"/>
    <col min="9225" max="9225" width="14.33203125" style="1105" customWidth="1"/>
    <col min="9226" max="9226" width="11.44140625" style="1105" customWidth="1"/>
    <col min="9227" max="9227" width="12.88671875" style="1105" customWidth="1"/>
    <col min="9228" max="9228" width="9.77734375" style="1105" customWidth="1"/>
    <col min="9229" max="9229" width="11.21875" style="1105" customWidth="1"/>
    <col min="9230" max="9230" width="8.5546875" style="1105" bestFit="1" customWidth="1"/>
    <col min="9231" max="9231" width="51" style="1105" customWidth="1"/>
    <col min="9232" max="9232" width="15.5546875" style="1105" customWidth="1"/>
    <col min="9233" max="9233" width="10.6640625" style="1105" customWidth="1"/>
    <col min="9234" max="9234" width="11.77734375" style="1105" customWidth="1"/>
    <col min="9235" max="9235" width="10.88671875" style="1105" customWidth="1"/>
    <col min="9236" max="9236" width="9.21875" style="1105" customWidth="1"/>
    <col min="9237" max="9237" width="54.109375" style="1105" customWidth="1"/>
    <col min="9238" max="9238" width="11.21875" style="1105" customWidth="1"/>
    <col min="9239" max="9239" width="23" style="1105" customWidth="1"/>
    <col min="9240" max="9240" width="12.109375" style="1105" customWidth="1"/>
    <col min="9241" max="9241" width="13.21875" style="1105" customWidth="1"/>
    <col min="9242" max="9242" width="11.77734375" style="1105" customWidth="1"/>
    <col min="9243" max="9243" width="0" style="1105" hidden="1" customWidth="1"/>
    <col min="9244" max="9244" width="10.21875" style="1105" customWidth="1"/>
    <col min="9245" max="9245" width="14.5546875" style="1105" customWidth="1"/>
    <col min="9246" max="9246" width="45" style="1105" customWidth="1"/>
    <col min="9247" max="9247" width="12.44140625" style="1105" customWidth="1"/>
    <col min="9248" max="9248" width="11.77734375" style="1105" customWidth="1"/>
    <col min="9249" max="9249" width="11.109375" style="1105" customWidth="1"/>
    <col min="9250" max="9250" width="15.77734375" style="1105" customWidth="1"/>
    <col min="9251" max="9251" width="9" style="1105" bestFit="1" customWidth="1"/>
    <col min="9252" max="9252" width="8.109375" style="1105" bestFit="1" customWidth="1"/>
    <col min="9253" max="9253" width="9.33203125" style="1105" bestFit="1" customWidth="1"/>
    <col min="9254" max="9255" width="7.44140625" style="1105"/>
    <col min="9256" max="9256" width="8" style="1105" bestFit="1" customWidth="1"/>
    <col min="9257" max="9257" width="7.44140625" style="1105"/>
    <col min="9258" max="9258" width="22" style="1105" customWidth="1"/>
    <col min="9259" max="9259" width="11.33203125" style="1105" customWidth="1"/>
    <col min="9260" max="9260" width="49" style="1105" customWidth="1"/>
    <col min="9261" max="9261" width="11" style="1105" customWidth="1"/>
    <col min="9262" max="9262" width="7.5546875" style="1105" bestFit="1" customWidth="1"/>
    <col min="9263" max="9263" width="10.21875" style="1105" customWidth="1"/>
    <col min="9264" max="9264" width="9.33203125" style="1105" customWidth="1"/>
    <col min="9265" max="9468" width="7.44140625" style="1105"/>
    <col min="9469" max="9469" width="7.5546875" style="1105" bestFit="1" customWidth="1"/>
    <col min="9470" max="9472" width="7.44140625" style="1105"/>
    <col min="9473" max="9473" width="7.77734375" style="1105" customWidth="1"/>
    <col min="9474" max="9474" width="64" style="1105" customWidth="1"/>
    <col min="9475" max="9475" width="16.21875" style="1105" customWidth="1"/>
    <col min="9476" max="9476" width="13.77734375" style="1105" customWidth="1"/>
    <col min="9477" max="9477" width="8.5546875" style="1105" customWidth="1"/>
    <col min="9478" max="9478" width="17.77734375" style="1105" customWidth="1"/>
    <col min="9479" max="9479" width="14.21875" style="1105" customWidth="1"/>
    <col min="9480" max="9480" width="43.33203125" style="1105" customWidth="1"/>
    <col min="9481" max="9481" width="14.33203125" style="1105" customWidth="1"/>
    <col min="9482" max="9482" width="11.44140625" style="1105" customWidth="1"/>
    <col min="9483" max="9483" width="12.88671875" style="1105" customWidth="1"/>
    <col min="9484" max="9484" width="9.77734375" style="1105" customWidth="1"/>
    <col min="9485" max="9485" width="11.21875" style="1105" customWidth="1"/>
    <col min="9486" max="9486" width="8.5546875" style="1105" bestFit="1" customWidth="1"/>
    <col min="9487" max="9487" width="51" style="1105" customWidth="1"/>
    <col min="9488" max="9488" width="15.5546875" style="1105" customWidth="1"/>
    <col min="9489" max="9489" width="10.6640625" style="1105" customWidth="1"/>
    <col min="9490" max="9490" width="11.77734375" style="1105" customWidth="1"/>
    <col min="9491" max="9491" width="10.88671875" style="1105" customWidth="1"/>
    <col min="9492" max="9492" width="9.21875" style="1105" customWidth="1"/>
    <col min="9493" max="9493" width="54.109375" style="1105" customWidth="1"/>
    <col min="9494" max="9494" width="11.21875" style="1105" customWidth="1"/>
    <col min="9495" max="9495" width="23" style="1105" customWidth="1"/>
    <col min="9496" max="9496" width="12.109375" style="1105" customWidth="1"/>
    <col min="9497" max="9497" width="13.21875" style="1105" customWidth="1"/>
    <col min="9498" max="9498" width="11.77734375" style="1105" customWidth="1"/>
    <col min="9499" max="9499" width="0" style="1105" hidden="1" customWidth="1"/>
    <col min="9500" max="9500" width="10.21875" style="1105" customWidth="1"/>
    <col min="9501" max="9501" width="14.5546875" style="1105" customWidth="1"/>
    <col min="9502" max="9502" width="45" style="1105" customWidth="1"/>
    <col min="9503" max="9503" width="12.44140625" style="1105" customWidth="1"/>
    <col min="9504" max="9504" width="11.77734375" style="1105" customWidth="1"/>
    <col min="9505" max="9505" width="11.109375" style="1105" customWidth="1"/>
    <col min="9506" max="9506" width="15.77734375" style="1105" customWidth="1"/>
    <col min="9507" max="9507" width="9" style="1105" bestFit="1" customWidth="1"/>
    <col min="9508" max="9508" width="8.109375" style="1105" bestFit="1" customWidth="1"/>
    <col min="9509" max="9509" width="9.33203125" style="1105" bestFit="1" customWidth="1"/>
    <col min="9510" max="9511" width="7.44140625" style="1105"/>
    <col min="9512" max="9512" width="8" style="1105" bestFit="1" customWidth="1"/>
    <col min="9513" max="9513" width="7.44140625" style="1105"/>
    <col min="9514" max="9514" width="22" style="1105" customWidth="1"/>
    <col min="9515" max="9515" width="11.33203125" style="1105" customWidth="1"/>
    <col min="9516" max="9516" width="49" style="1105" customWidth="1"/>
    <col min="9517" max="9517" width="11" style="1105" customWidth="1"/>
    <col min="9518" max="9518" width="7.5546875" style="1105" bestFit="1" customWidth="1"/>
    <col min="9519" max="9519" width="10.21875" style="1105" customWidth="1"/>
    <col min="9520" max="9520" width="9.33203125" style="1105" customWidth="1"/>
    <col min="9521" max="9724" width="7.44140625" style="1105"/>
    <col min="9725" max="9725" width="7.5546875" style="1105" bestFit="1" customWidth="1"/>
    <col min="9726" max="9728" width="7.44140625" style="1105"/>
    <col min="9729" max="9729" width="7.77734375" style="1105" customWidth="1"/>
    <col min="9730" max="9730" width="64" style="1105" customWidth="1"/>
    <col min="9731" max="9731" width="16.21875" style="1105" customWidth="1"/>
    <col min="9732" max="9732" width="13.77734375" style="1105" customWidth="1"/>
    <col min="9733" max="9733" width="8.5546875" style="1105" customWidth="1"/>
    <col min="9734" max="9734" width="17.77734375" style="1105" customWidth="1"/>
    <col min="9735" max="9735" width="14.21875" style="1105" customWidth="1"/>
    <col min="9736" max="9736" width="43.33203125" style="1105" customWidth="1"/>
    <col min="9737" max="9737" width="14.33203125" style="1105" customWidth="1"/>
    <col min="9738" max="9738" width="11.44140625" style="1105" customWidth="1"/>
    <col min="9739" max="9739" width="12.88671875" style="1105" customWidth="1"/>
    <col min="9740" max="9740" width="9.77734375" style="1105" customWidth="1"/>
    <col min="9741" max="9741" width="11.21875" style="1105" customWidth="1"/>
    <col min="9742" max="9742" width="8.5546875" style="1105" bestFit="1" customWidth="1"/>
    <col min="9743" max="9743" width="51" style="1105" customWidth="1"/>
    <col min="9744" max="9744" width="15.5546875" style="1105" customWidth="1"/>
    <col min="9745" max="9745" width="10.6640625" style="1105" customWidth="1"/>
    <col min="9746" max="9746" width="11.77734375" style="1105" customWidth="1"/>
    <col min="9747" max="9747" width="10.88671875" style="1105" customWidth="1"/>
    <col min="9748" max="9748" width="9.21875" style="1105" customWidth="1"/>
    <col min="9749" max="9749" width="54.109375" style="1105" customWidth="1"/>
    <col min="9750" max="9750" width="11.21875" style="1105" customWidth="1"/>
    <col min="9751" max="9751" width="23" style="1105" customWidth="1"/>
    <col min="9752" max="9752" width="12.109375" style="1105" customWidth="1"/>
    <col min="9753" max="9753" width="13.21875" style="1105" customWidth="1"/>
    <col min="9754" max="9754" width="11.77734375" style="1105" customWidth="1"/>
    <col min="9755" max="9755" width="0" style="1105" hidden="1" customWidth="1"/>
    <col min="9756" max="9756" width="10.21875" style="1105" customWidth="1"/>
    <col min="9757" max="9757" width="14.5546875" style="1105" customWidth="1"/>
    <col min="9758" max="9758" width="45" style="1105" customWidth="1"/>
    <col min="9759" max="9759" width="12.44140625" style="1105" customWidth="1"/>
    <col min="9760" max="9760" width="11.77734375" style="1105" customWidth="1"/>
    <col min="9761" max="9761" width="11.109375" style="1105" customWidth="1"/>
    <col min="9762" max="9762" width="15.77734375" style="1105" customWidth="1"/>
    <col min="9763" max="9763" width="9" style="1105" bestFit="1" customWidth="1"/>
    <col min="9764" max="9764" width="8.109375" style="1105" bestFit="1" customWidth="1"/>
    <col min="9765" max="9765" width="9.33203125" style="1105" bestFit="1" customWidth="1"/>
    <col min="9766" max="9767" width="7.44140625" style="1105"/>
    <col min="9768" max="9768" width="8" style="1105" bestFit="1" customWidth="1"/>
    <col min="9769" max="9769" width="7.44140625" style="1105"/>
    <col min="9770" max="9770" width="22" style="1105" customWidth="1"/>
    <col min="9771" max="9771" width="11.33203125" style="1105" customWidth="1"/>
    <col min="9772" max="9772" width="49" style="1105" customWidth="1"/>
    <col min="9773" max="9773" width="11" style="1105" customWidth="1"/>
    <col min="9774" max="9774" width="7.5546875" style="1105" bestFit="1" customWidth="1"/>
    <col min="9775" max="9775" width="10.21875" style="1105" customWidth="1"/>
    <col min="9776" max="9776" width="9.33203125" style="1105" customWidth="1"/>
    <col min="9777" max="9980" width="7.44140625" style="1105"/>
    <col min="9981" max="9981" width="7.5546875" style="1105" bestFit="1" customWidth="1"/>
    <col min="9982" max="9984" width="7.44140625" style="1105"/>
    <col min="9985" max="9985" width="7.77734375" style="1105" customWidth="1"/>
    <col min="9986" max="9986" width="64" style="1105" customWidth="1"/>
    <col min="9987" max="9987" width="16.21875" style="1105" customWidth="1"/>
    <col min="9988" max="9988" width="13.77734375" style="1105" customWidth="1"/>
    <col min="9989" max="9989" width="8.5546875" style="1105" customWidth="1"/>
    <col min="9990" max="9990" width="17.77734375" style="1105" customWidth="1"/>
    <col min="9991" max="9991" width="14.21875" style="1105" customWidth="1"/>
    <col min="9992" max="9992" width="43.33203125" style="1105" customWidth="1"/>
    <col min="9993" max="9993" width="14.33203125" style="1105" customWidth="1"/>
    <col min="9994" max="9994" width="11.44140625" style="1105" customWidth="1"/>
    <col min="9995" max="9995" width="12.88671875" style="1105" customWidth="1"/>
    <col min="9996" max="9996" width="9.77734375" style="1105" customWidth="1"/>
    <col min="9997" max="9997" width="11.21875" style="1105" customWidth="1"/>
    <col min="9998" max="9998" width="8.5546875" style="1105" bestFit="1" customWidth="1"/>
    <col min="9999" max="9999" width="51" style="1105" customWidth="1"/>
    <col min="10000" max="10000" width="15.5546875" style="1105" customWidth="1"/>
    <col min="10001" max="10001" width="10.6640625" style="1105" customWidth="1"/>
    <col min="10002" max="10002" width="11.77734375" style="1105" customWidth="1"/>
    <col min="10003" max="10003" width="10.88671875" style="1105" customWidth="1"/>
    <col min="10004" max="10004" width="9.21875" style="1105" customWidth="1"/>
    <col min="10005" max="10005" width="54.109375" style="1105" customWidth="1"/>
    <col min="10006" max="10006" width="11.21875" style="1105" customWidth="1"/>
    <col min="10007" max="10007" width="23" style="1105" customWidth="1"/>
    <col min="10008" max="10008" width="12.109375" style="1105" customWidth="1"/>
    <col min="10009" max="10009" width="13.21875" style="1105" customWidth="1"/>
    <col min="10010" max="10010" width="11.77734375" style="1105" customWidth="1"/>
    <col min="10011" max="10011" width="0" style="1105" hidden="1" customWidth="1"/>
    <col min="10012" max="10012" width="10.21875" style="1105" customWidth="1"/>
    <col min="10013" max="10013" width="14.5546875" style="1105" customWidth="1"/>
    <col min="10014" max="10014" width="45" style="1105" customWidth="1"/>
    <col min="10015" max="10015" width="12.44140625" style="1105" customWidth="1"/>
    <col min="10016" max="10016" width="11.77734375" style="1105" customWidth="1"/>
    <col min="10017" max="10017" width="11.109375" style="1105" customWidth="1"/>
    <col min="10018" max="10018" width="15.77734375" style="1105" customWidth="1"/>
    <col min="10019" max="10019" width="9" style="1105" bestFit="1" customWidth="1"/>
    <col min="10020" max="10020" width="8.109375" style="1105" bestFit="1" customWidth="1"/>
    <col min="10021" max="10021" width="9.33203125" style="1105" bestFit="1" customWidth="1"/>
    <col min="10022" max="10023" width="7.44140625" style="1105"/>
    <col min="10024" max="10024" width="8" style="1105" bestFit="1" customWidth="1"/>
    <col min="10025" max="10025" width="7.44140625" style="1105"/>
    <col min="10026" max="10026" width="22" style="1105" customWidth="1"/>
    <col min="10027" max="10027" width="11.33203125" style="1105" customWidth="1"/>
    <col min="10028" max="10028" width="49" style="1105" customWidth="1"/>
    <col min="10029" max="10029" width="11" style="1105" customWidth="1"/>
    <col min="10030" max="10030" width="7.5546875" style="1105" bestFit="1" customWidth="1"/>
    <col min="10031" max="10031" width="10.21875" style="1105" customWidth="1"/>
    <col min="10032" max="10032" width="9.33203125" style="1105" customWidth="1"/>
    <col min="10033" max="10236" width="7.44140625" style="1105"/>
    <col min="10237" max="10237" width="7.5546875" style="1105" bestFit="1" customWidth="1"/>
    <col min="10238" max="10240" width="7.44140625" style="1105"/>
    <col min="10241" max="10241" width="7.77734375" style="1105" customWidth="1"/>
    <col min="10242" max="10242" width="64" style="1105" customWidth="1"/>
    <col min="10243" max="10243" width="16.21875" style="1105" customWidth="1"/>
    <col min="10244" max="10244" width="13.77734375" style="1105" customWidth="1"/>
    <col min="10245" max="10245" width="8.5546875" style="1105" customWidth="1"/>
    <col min="10246" max="10246" width="17.77734375" style="1105" customWidth="1"/>
    <col min="10247" max="10247" width="14.21875" style="1105" customWidth="1"/>
    <col min="10248" max="10248" width="43.33203125" style="1105" customWidth="1"/>
    <col min="10249" max="10249" width="14.33203125" style="1105" customWidth="1"/>
    <col min="10250" max="10250" width="11.44140625" style="1105" customWidth="1"/>
    <col min="10251" max="10251" width="12.88671875" style="1105" customWidth="1"/>
    <col min="10252" max="10252" width="9.77734375" style="1105" customWidth="1"/>
    <col min="10253" max="10253" width="11.21875" style="1105" customWidth="1"/>
    <col min="10254" max="10254" width="8.5546875" style="1105" bestFit="1" customWidth="1"/>
    <col min="10255" max="10255" width="51" style="1105" customWidth="1"/>
    <col min="10256" max="10256" width="15.5546875" style="1105" customWidth="1"/>
    <col min="10257" max="10257" width="10.6640625" style="1105" customWidth="1"/>
    <col min="10258" max="10258" width="11.77734375" style="1105" customWidth="1"/>
    <col min="10259" max="10259" width="10.88671875" style="1105" customWidth="1"/>
    <col min="10260" max="10260" width="9.21875" style="1105" customWidth="1"/>
    <col min="10261" max="10261" width="54.109375" style="1105" customWidth="1"/>
    <col min="10262" max="10262" width="11.21875" style="1105" customWidth="1"/>
    <col min="10263" max="10263" width="23" style="1105" customWidth="1"/>
    <col min="10264" max="10264" width="12.109375" style="1105" customWidth="1"/>
    <col min="10265" max="10265" width="13.21875" style="1105" customWidth="1"/>
    <col min="10266" max="10266" width="11.77734375" style="1105" customWidth="1"/>
    <col min="10267" max="10267" width="0" style="1105" hidden="1" customWidth="1"/>
    <col min="10268" max="10268" width="10.21875" style="1105" customWidth="1"/>
    <col min="10269" max="10269" width="14.5546875" style="1105" customWidth="1"/>
    <col min="10270" max="10270" width="45" style="1105" customWidth="1"/>
    <col min="10271" max="10271" width="12.44140625" style="1105" customWidth="1"/>
    <col min="10272" max="10272" width="11.77734375" style="1105" customWidth="1"/>
    <col min="10273" max="10273" width="11.109375" style="1105" customWidth="1"/>
    <col min="10274" max="10274" width="15.77734375" style="1105" customWidth="1"/>
    <col min="10275" max="10275" width="9" style="1105" bestFit="1" customWidth="1"/>
    <col min="10276" max="10276" width="8.109375" style="1105" bestFit="1" customWidth="1"/>
    <col min="10277" max="10277" width="9.33203125" style="1105" bestFit="1" customWidth="1"/>
    <col min="10278" max="10279" width="7.44140625" style="1105"/>
    <col min="10280" max="10280" width="8" style="1105" bestFit="1" customWidth="1"/>
    <col min="10281" max="10281" width="7.44140625" style="1105"/>
    <col min="10282" max="10282" width="22" style="1105" customWidth="1"/>
    <col min="10283" max="10283" width="11.33203125" style="1105" customWidth="1"/>
    <col min="10284" max="10284" width="49" style="1105" customWidth="1"/>
    <col min="10285" max="10285" width="11" style="1105" customWidth="1"/>
    <col min="10286" max="10286" width="7.5546875" style="1105" bestFit="1" customWidth="1"/>
    <col min="10287" max="10287" width="10.21875" style="1105" customWidth="1"/>
    <col min="10288" max="10288" width="9.33203125" style="1105" customWidth="1"/>
    <col min="10289" max="10492" width="7.44140625" style="1105"/>
    <col min="10493" max="10493" width="7.5546875" style="1105" bestFit="1" customWidth="1"/>
    <col min="10494" max="10496" width="7.44140625" style="1105"/>
    <col min="10497" max="10497" width="7.77734375" style="1105" customWidth="1"/>
    <col min="10498" max="10498" width="64" style="1105" customWidth="1"/>
    <col min="10499" max="10499" width="16.21875" style="1105" customWidth="1"/>
    <col min="10500" max="10500" width="13.77734375" style="1105" customWidth="1"/>
    <col min="10501" max="10501" width="8.5546875" style="1105" customWidth="1"/>
    <col min="10502" max="10502" width="17.77734375" style="1105" customWidth="1"/>
    <col min="10503" max="10503" width="14.21875" style="1105" customWidth="1"/>
    <col min="10504" max="10504" width="43.33203125" style="1105" customWidth="1"/>
    <col min="10505" max="10505" width="14.33203125" style="1105" customWidth="1"/>
    <col min="10506" max="10506" width="11.44140625" style="1105" customWidth="1"/>
    <col min="10507" max="10507" width="12.88671875" style="1105" customWidth="1"/>
    <col min="10508" max="10508" width="9.77734375" style="1105" customWidth="1"/>
    <col min="10509" max="10509" width="11.21875" style="1105" customWidth="1"/>
    <col min="10510" max="10510" width="8.5546875" style="1105" bestFit="1" customWidth="1"/>
    <col min="10511" max="10511" width="51" style="1105" customWidth="1"/>
    <col min="10512" max="10512" width="15.5546875" style="1105" customWidth="1"/>
    <col min="10513" max="10513" width="10.6640625" style="1105" customWidth="1"/>
    <col min="10514" max="10514" width="11.77734375" style="1105" customWidth="1"/>
    <col min="10515" max="10515" width="10.88671875" style="1105" customWidth="1"/>
    <col min="10516" max="10516" width="9.21875" style="1105" customWidth="1"/>
    <col min="10517" max="10517" width="54.109375" style="1105" customWidth="1"/>
    <col min="10518" max="10518" width="11.21875" style="1105" customWidth="1"/>
    <col min="10519" max="10519" width="23" style="1105" customWidth="1"/>
    <col min="10520" max="10520" width="12.109375" style="1105" customWidth="1"/>
    <col min="10521" max="10521" width="13.21875" style="1105" customWidth="1"/>
    <col min="10522" max="10522" width="11.77734375" style="1105" customWidth="1"/>
    <col min="10523" max="10523" width="0" style="1105" hidden="1" customWidth="1"/>
    <col min="10524" max="10524" width="10.21875" style="1105" customWidth="1"/>
    <col min="10525" max="10525" width="14.5546875" style="1105" customWidth="1"/>
    <col min="10526" max="10526" width="45" style="1105" customWidth="1"/>
    <col min="10527" max="10527" width="12.44140625" style="1105" customWidth="1"/>
    <col min="10528" max="10528" width="11.77734375" style="1105" customWidth="1"/>
    <col min="10529" max="10529" width="11.109375" style="1105" customWidth="1"/>
    <col min="10530" max="10530" width="15.77734375" style="1105" customWidth="1"/>
    <col min="10531" max="10531" width="9" style="1105" bestFit="1" customWidth="1"/>
    <col min="10532" max="10532" width="8.109375" style="1105" bestFit="1" customWidth="1"/>
    <col min="10533" max="10533" width="9.33203125" style="1105" bestFit="1" customWidth="1"/>
    <col min="10534" max="10535" width="7.44140625" style="1105"/>
    <col min="10536" max="10536" width="8" style="1105" bestFit="1" customWidth="1"/>
    <col min="10537" max="10537" width="7.44140625" style="1105"/>
    <col min="10538" max="10538" width="22" style="1105" customWidth="1"/>
    <col min="10539" max="10539" width="11.33203125" style="1105" customWidth="1"/>
    <col min="10540" max="10540" width="49" style="1105" customWidth="1"/>
    <col min="10541" max="10541" width="11" style="1105" customWidth="1"/>
    <col min="10542" max="10542" width="7.5546875" style="1105" bestFit="1" customWidth="1"/>
    <col min="10543" max="10543" width="10.21875" style="1105" customWidth="1"/>
    <col min="10544" max="10544" width="9.33203125" style="1105" customWidth="1"/>
    <col min="10545" max="10748" width="7.44140625" style="1105"/>
    <col min="10749" max="10749" width="7.5546875" style="1105" bestFit="1" customWidth="1"/>
    <col min="10750" max="10752" width="7.44140625" style="1105"/>
    <col min="10753" max="10753" width="7.77734375" style="1105" customWidth="1"/>
    <col min="10754" max="10754" width="64" style="1105" customWidth="1"/>
    <col min="10755" max="10755" width="16.21875" style="1105" customWidth="1"/>
    <col min="10756" max="10756" width="13.77734375" style="1105" customWidth="1"/>
    <col min="10757" max="10757" width="8.5546875" style="1105" customWidth="1"/>
    <col min="10758" max="10758" width="17.77734375" style="1105" customWidth="1"/>
    <col min="10759" max="10759" width="14.21875" style="1105" customWidth="1"/>
    <col min="10760" max="10760" width="43.33203125" style="1105" customWidth="1"/>
    <col min="10761" max="10761" width="14.33203125" style="1105" customWidth="1"/>
    <col min="10762" max="10762" width="11.44140625" style="1105" customWidth="1"/>
    <col min="10763" max="10763" width="12.88671875" style="1105" customWidth="1"/>
    <col min="10764" max="10764" width="9.77734375" style="1105" customWidth="1"/>
    <col min="10765" max="10765" width="11.21875" style="1105" customWidth="1"/>
    <col min="10766" max="10766" width="8.5546875" style="1105" bestFit="1" customWidth="1"/>
    <col min="10767" max="10767" width="51" style="1105" customWidth="1"/>
    <col min="10768" max="10768" width="15.5546875" style="1105" customWidth="1"/>
    <col min="10769" max="10769" width="10.6640625" style="1105" customWidth="1"/>
    <col min="10770" max="10770" width="11.77734375" style="1105" customWidth="1"/>
    <col min="10771" max="10771" width="10.88671875" style="1105" customWidth="1"/>
    <col min="10772" max="10772" width="9.21875" style="1105" customWidth="1"/>
    <col min="10773" max="10773" width="54.109375" style="1105" customWidth="1"/>
    <col min="10774" max="10774" width="11.21875" style="1105" customWidth="1"/>
    <col min="10775" max="10775" width="23" style="1105" customWidth="1"/>
    <col min="10776" max="10776" width="12.109375" style="1105" customWidth="1"/>
    <col min="10777" max="10777" width="13.21875" style="1105" customWidth="1"/>
    <col min="10778" max="10778" width="11.77734375" style="1105" customWidth="1"/>
    <col min="10779" max="10779" width="0" style="1105" hidden="1" customWidth="1"/>
    <col min="10780" max="10780" width="10.21875" style="1105" customWidth="1"/>
    <col min="10781" max="10781" width="14.5546875" style="1105" customWidth="1"/>
    <col min="10782" max="10782" width="45" style="1105" customWidth="1"/>
    <col min="10783" max="10783" width="12.44140625" style="1105" customWidth="1"/>
    <col min="10784" max="10784" width="11.77734375" style="1105" customWidth="1"/>
    <col min="10785" max="10785" width="11.109375" style="1105" customWidth="1"/>
    <col min="10786" max="10786" width="15.77734375" style="1105" customWidth="1"/>
    <col min="10787" max="10787" width="9" style="1105" bestFit="1" customWidth="1"/>
    <col min="10788" max="10788" width="8.109375" style="1105" bestFit="1" customWidth="1"/>
    <col min="10789" max="10789" width="9.33203125" style="1105" bestFit="1" customWidth="1"/>
    <col min="10790" max="10791" width="7.44140625" style="1105"/>
    <col min="10792" max="10792" width="8" style="1105" bestFit="1" customWidth="1"/>
    <col min="10793" max="10793" width="7.44140625" style="1105"/>
    <col min="10794" max="10794" width="22" style="1105" customWidth="1"/>
    <col min="10795" max="10795" width="11.33203125" style="1105" customWidth="1"/>
    <col min="10796" max="10796" width="49" style="1105" customWidth="1"/>
    <col min="10797" max="10797" width="11" style="1105" customWidth="1"/>
    <col min="10798" max="10798" width="7.5546875" style="1105" bestFit="1" customWidth="1"/>
    <col min="10799" max="10799" width="10.21875" style="1105" customWidth="1"/>
    <col min="10800" max="10800" width="9.33203125" style="1105" customWidth="1"/>
    <col min="10801" max="11004" width="7.44140625" style="1105"/>
    <col min="11005" max="11005" width="7.5546875" style="1105" bestFit="1" customWidth="1"/>
    <col min="11006" max="11008" width="7.44140625" style="1105"/>
    <col min="11009" max="11009" width="7.77734375" style="1105" customWidth="1"/>
    <col min="11010" max="11010" width="64" style="1105" customWidth="1"/>
    <col min="11011" max="11011" width="16.21875" style="1105" customWidth="1"/>
    <col min="11012" max="11012" width="13.77734375" style="1105" customWidth="1"/>
    <col min="11013" max="11013" width="8.5546875" style="1105" customWidth="1"/>
    <col min="11014" max="11014" width="17.77734375" style="1105" customWidth="1"/>
    <col min="11015" max="11015" width="14.21875" style="1105" customWidth="1"/>
    <col min="11016" max="11016" width="43.33203125" style="1105" customWidth="1"/>
    <col min="11017" max="11017" width="14.33203125" style="1105" customWidth="1"/>
    <col min="11018" max="11018" width="11.44140625" style="1105" customWidth="1"/>
    <col min="11019" max="11019" width="12.88671875" style="1105" customWidth="1"/>
    <col min="11020" max="11020" width="9.77734375" style="1105" customWidth="1"/>
    <col min="11021" max="11021" width="11.21875" style="1105" customWidth="1"/>
    <col min="11022" max="11022" width="8.5546875" style="1105" bestFit="1" customWidth="1"/>
    <col min="11023" max="11023" width="51" style="1105" customWidth="1"/>
    <col min="11024" max="11024" width="15.5546875" style="1105" customWidth="1"/>
    <col min="11025" max="11025" width="10.6640625" style="1105" customWidth="1"/>
    <col min="11026" max="11026" width="11.77734375" style="1105" customWidth="1"/>
    <col min="11027" max="11027" width="10.88671875" style="1105" customWidth="1"/>
    <col min="11028" max="11028" width="9.21875" style="1105" customWidth="1"/>
    <col min="11029" max="11029" width="54.109375" style="1105" customWidth="1"/>
    <col min="11030" max="11030" width="11.21875" style="1105" customWidth="1"/>
    <col min="11031" max="11031" width="23" style="1105" customWidth="1"/>
    <col min="11032" max="11032" width="12.109375" style="1105" customWidth="1"/>
    <col min="11033" max="11033" width="13.21875" style="1105" customWidth="1"/>
    <col min="11034" max="11034" width="11.77734375" style="1105" customWidth="1"/>
    <col min="11035" max="11035" width="0" style="1105" hidden="1" customWidth="1"/>
    <col min="11036" max="11036" width="10.21875" style="1105" customWidth="1"/>
    <col min="11037" max="11037" width="14.5546875" style="1105" customWidth="1"/>
    <col min="11038" max="11038" width="45" style="1105" customWidth="1"/>
    <col min="11039" max="11039" width="12.44140625" style="1105" customWidth="1"/>
    <col min="11040" max="11040" width="11.77734375" style="1105" customWidth="1"/>
    <col min="11041" max="11041" width="11.109375" style="1105" customWidth="1"/>
    <col min="11042" max="11042" width="15.77734375" style="1105" customWidth="1"/>
    <col min="11043" max="11043" width="9" style="1105" bestFit="1" customWidth="1"/>
    <col min="11044" max="11044" width="8.109375" style="1105" bestFit="1" customWidth="1"/>
    <col min="11045" max="11045" width="9.33203125" style="1105" bestFit="1" customWidth="1"/>
    <col min="11046" max="11047" width="7.44140625" style="1105"/>
    <col min="11048" max="11048" width="8" style="1105" bestFit="1" customWidth="1"/>
    <col min="11049" max="11049" width="7.44140625" style="1105"/>
    <col min="11050" max="11050" width="22" style="1105" customWidth="1"/>
    <col min="11051" max="11051" width="11.33203125" style="1105" customWidth="1"/>
    <col min="11052" max="11052" width="49" style="1105" customWidth="1"/>
    <col min="11053" max="11053" width="11" style="1105" customWidth="1"/>
    <col min="11054" max="11054" width="7.5546875" style="1105" bestFit="1" customWidth="1"/>
    <col min="11055" max="11055" width="10.21875" style="1105" customWidth="1"/>
    <col min="11056" max="11056" width="9.33203125" style="1105" customWidth="1"/>
    <col min="11057" max="11260" width="7.44140625" style="1105"/>
    <col min="11261" max="11261" width="7.5546875" style="1105" bestFit="1" customWidth="1"/>
    <col min="11262" max="11264" width="7.44140625" style="1105"/>
    <col min="11265" max="11265" width="7.77734375" style="1105" customWidth="1"/>
    <col min="11266" max="11266" width="64" style="1105" customWidth="1"/>
    <col min="11267" max="11267" width="16.21875" style="1105" customWidth="1"/>
    <col min="11268" max="11268" width="13.77734375" style="1105" customWidth="1"/>
    <col min="11269" max="11269" width="8.5546875" style="1105" customWidth="1"/>
    <col min="11270" max="11270" width="17.77734375" style="1105" customWidth="1"/>
    <col min="11271" max="11271" width="14.21875" style="1105" customWidth="1"/>
    <col min="11272" max="11272" width="43.33203125" style="1105" customWidth="1"/>
    <col min="11273" max="11273" width="14.33203125" style="1105" customWidth="1"/>
    <col min="11274" max="11274" width="11.44140625" style="1105" customWidth="1"/>
    <col min="11275" max="11275" width="12.88671875" style="1105" customWidth="1"/>
    <col min="11276" max="11276" width="9.77734375" style="1105" customWidth="1"/>
    <col min="11277" max="11277" width="11.21875" style="1105" customWidth="1"/>
    <col min="11278" max="11278" width="8.5546875" style="1105" bestFit="1" customWidth="1"/>
    <col min="11279" max="11279" width="51" style="1105" customWidth="1"/>
    <col min="11280" max="11280" width="15.5546875" style="1105" customWidth="1"/>
    <col min="11281" max="11281" width="10.6640625" style="1105" customWidth="1"/>
    <col min="11282" max="11282" width="11.77734375" style="1105" customWidth="1"/>
    <col min="11283" max="11283" width="10.88671875" style="1105" customWidth="1"/>
    <col min="11284" max="11284" width="9.21875" style="1105" customWidth="1"/>
    <col min="11285" max="11285" width="54.109375" style="1105" customWidth="1"/>
    <col min="11286" max="11286" width="11.21875" style="1105" customWidth="1"/>
    <col min="11287" max="11287" width="23" style="1105" customWidth="1"/>
    <col min="11288" max="11288" width="12.109375" style="1105" customWidth="1"/>
    <col min="11289" max="11289" width="13.21875" style="1105" customWidth="1"/>
    <col min="11290" max="11290" width="11.77734375" style="1105" customWidth="1"/>
    <col min="11291" max="11291" width="0" style="1105" hidden="1" customWidth="1"/>
    <col min="11292" max="11292" width="10.21875" style="1105" customWidth="1"/>
    <col min="11293" max="11293" width="14.5546875" style="1105" customWidth="1"/>
    <col min="11294" max="11294" width="45" style="1105" customWidth="1"/>
    <col min="11295" max="11295" width="12.44140625" style="1105" customWidth="1"/>
    <col min="11296" max="11296" width="11.77734375" style="1105" customWidth="1"/>
    <col min="11297" max="11297" width="11.109375" style="1105" customWidth="1"/>
    <col min="11298" max="11298" width="15.77734375" style="1105" customWidth="1"/>
    <col min="11299" max="11299" width="9" style="1105" bestFit="1" customWidth="1"/>
    <col min="11300" max="11300" width="8.109375" style="1105" bestFit="1" customWidth="1"/>
    <col min="11301" max="11301" width="9.33203125" style="1105" bestFit="1" customWidth="1"/>
    <col min="11302" max="11303" width="7.44140625" style="1105"/>
    <col min="11304" max="11304" width="8" style="1105" bestFit="1" customWidth="1"/>
    <col min="11305" max="11305" width="7.44140625" style="1105"/>
    <col min="11306" max="11306" width="22" style="1105" customWidth="1"/>
    <col min="11307" max="11307" width="11.33203125" style="1105" customWidth="1"/>
    <col min="11308" max="11308" width="49" style="1105" customWidth="1"/>
    <col min="11309" max="11309" width="11" style="1105" customWidth="1"/>
    <col min="11310" max="11310" width="7.5546875" style="1105" bestFit="1" customWidth="1"/>
    <col min="11311" max="11311" width="10.21875" style="1105" customWidth="1"/>
    <col min="11312" max="11312" width="9.33203125" style="1105" customWidth="1"/>
    <col min="11313" max="11516" width="7.44140625" style="1105"/>
    <col min="11517" max="11517" width="7.5546875" style="1105" bestFit="1" customWidth="1"/>
    <col min="11518" max="11520" width="7.44140625" style="1105"/>
    <col min="11521" max="11521" width="7.77734375" style="1105" customWidth="1"/>
    <col min="11522" max="11522" width="64" style="1105" customWidth="1"/>
    <col min="11523" max="11523" width="16.21875" style="1105" customWidth="1"/>
    <col min="11524" max="11524" width="13.77734375" style="1105" customWidth="1"/>
    <col min="11525" max="11525" width="8.5546875" style="1105" customWidth="1"/>
    <col min="11526" max="11526" width="17.77734375" style="1105" customWidth="1"/>
    <col min="11527" max="11527" width="14.21875" style="1105" customWidth="1"/>
    <col min="11528" max="11528" width="43.33203125" style="1105" customWidth="1"/>
    <col min="11529" max="11529" width="14.33203125" style="1105" customWidth="1"/>
    <col min="11530" max="11530" width="11.44140625" style="1105" customWidth="1"/>
    <col min="11531" max="11531" width="12.88671875" style="1105" customWidth="1"/>
    <col min="11532" max="11532" width="9.77734375" style="1105" customWidth="1"/>
    <col min="11533" max="11533" width="11.21875" style="1105" customWidth="1"/>
    <col min="11534" max="11534" width="8.5546875" style="1105" bestFit="1" customWidth="1"/>
    <col min="11535" max="11535" width="51" style="1105" customWidth="1"/>
    <col min="11536" max="11536" width="15.5546875" style="1105" customWidth="1"/>
    <col min="11537" max="11537" width="10.6640625" style="1105" customWidth="1"/>
    <col min="11538" max="11538" width="11.77734375" style="1105" customWidth="1"/>
    <col min="11539" max="11539" width="10.88671875" style="1105" customWidth="1"/>
    <col min="11540" max="11540" width="9.21875" style="1105" customWidth="1"/>
    <col min="11541" max="11541" width="54.109375" style="1105" customWidth="1"/>
    <col min="11542" max="11542" width="11.21875" style="1105" customWidth="1"/>
    <col min="11543" max="11543" width="23" style="1105" customWidth="1"/>
    <col min="11544" max="11544" width="12.109375" style="1105" customWidth="1"/>
    <col min="11545" max="11545" width="13.21875" style="1105" customWidth="1"/>
    <col min="11546" max="11546" width="11.77734375" style="1105" customWidth="1"/>
    <col min="11547" max="11547" width="0" style="1105" hidden="1" customWidth="1"/>
    <col min="11548" max="11548" width="10.21875" style="1105" customWidth="1"/>
    <col min="11549" max="11549" width="14.5546875" style="1105" customWidth="1"/>
    <col min="11550" max="11550" width="45" style="1105" customWidth="1"/>
    <col min="11551" max="11551" width="12.44140625" style="1105" customWidth="1"/>
    <col min="11552" max="11552" width="11.77734375" style="1105" customWidth="1"/>
    <col min="11553" max="11553" width="11.109375" style="1105" customWidth="1"/>
    <col min="11554" max="11554" width="15.77734375" style="1105" customWidth="1"/>
    <col min="11555" max="11555" width="9" style="1105" bestFit="1" customWidth="1"/>
    <col min="11556" max="11556" width="8.109375" style="1105" bestFit="1" customWidth="1"/>
    <col min="11557" max="11557" width="9.33203125" style="1105" bestFit="1" customWidth="1"/>
    <col min="11558" max="11559" width="7.44140625" style="1105"/>
    <col min="11560" max="11560" width="8" style="1105" bestFit="1" customWidth="1"/>
    <col min="11561" max="11561" width="7.44140625" style="1105"/>
    <col min="11562" max="11562" width="22" style="1105" customWidth="1"/>
    <col min="11563" max="11563" width="11.33203125" style="1105" customWidth="1"/>
    <col min="11564" max="11564" width="49" style="1105" customWidth="1"/>
    <col min="11565" max="11565" width="11" style="1105" customWidth="1"/>
    <col min="11566" max="11566" width="7.5546875" style="1105" bestFit="1" customWidth="1"/>
    <col min="11567" max="11567" width="10.21875" style="1105" customWidth="1"/>
    <col min="11568" max="11568" width="9.33203125" style="1105" customWidth="1"/>
    <col min="11569" max="11772" width="7.44140625" style="1105"/>
    <col min="11773" max="11773" width="7.5546875" style="1105" bestFit="1" customWidth="1"/>
    <col min="11774" max="11776" width="7.44140625" style="1105"/>
    <col min="11777" max="11777" width="7.77734375" style="1105" customWidth="1"/>
    <col min="11778" max="11778" width="64" style="1105" customWidth="1"/>
    <col min="11779" max="11779" width="16.21875" style="1105" customWidth="1"/>
    <col min="11780" max="11780" width="13.77734375" style="1105" customWidth="1"/>
    <col min="11781" max="11781" width="8.5546875" style="1105" customWidth="1"/>
    <col min="11782" max="11782" width="17.77734375" style="1105" customWidth="1"/>
    <col min="11783" max="11783" width="14.21875" style="1105" customWidth="1"/>
    <col min="11784" max="11784" width="43.33203125" style="1105" customWidth="1"/>
    <col min="11785" max="11785" width="14.33203125" style="1105" customWidth="1"/>
    <col min="11786" max="11786" width="11.44140625" style="1105" customWidth="1"/>
    <col min="11787" max="11787" width="12.88671875" style="1105" customWidth="1"/>
    <col min="11788" max="11788" width="9.77734375" style="1105" customWidth="1"/>
    <col min="11789" max="11789" width="11.21875" style="1105" customWidth="1"/>
    <col min="11790" max="11790" width="8.5546875" style="1105" bestFit="1" customWidth="1"/>
    <col min="11791" max="11791" width="51" style="1105" customWidth="1"/>
    <col min="11792" max="11792" width="15.5546875" style="1105" customWidth="1"/>
    <col min="11793" max="11793" width="10.6640625" style="1105" customWidth="1"/>
    <col min="11794" max="11794" width="11.77734375" style="1105" customWidth="1"/>
    <col min="11795" max="11795" width="10.88671875" style="1105" customWidth="1"/>
    <col min="11796" max="11796" width="9.21875" style="1105" customWidth="1"/>
    <col min="11797" max="11797" width="54.109375" style="1105" customWidth="1"/>
    <col min="11798" max="11798" width="11.21875" style="1105" customWidth="1"/>
    <col min="11799" max="11799" width="23" style="1105" customWidth="1"/>
    <col min="11800" max="11800" width="12.109375" style="1105" customWidth="1"/>
    <col min="11801" max="11801" width="13.21875" style="1105" customWidth="1"/>
    <col min="11802" max="11802" width="11.77734375" style="1105" customWidth="1"/>
    <col min="11803" max="11803" width="0" style="1105" hidden="1" customWidth="1"/>
    <col min="11804" max="11804" width="10.21875" style="1105" customWidth="1"/>
    <col min="11805" max="11805" width="14.5546875" style="1105" customWidth="1"/>
    <col min="11806" max="11806" width="45" style="1105" customWidth="1"/>
    <col min="11807" max="11807" width="12.44140625" style="1105" customWidth="1"/>
    <col min="11808" max="11808" width="11.77734375" style="1105" customWidth="1"/>
    <col min="11809" max="11809" width="11.109375" style="1105" customWidth="1"/>
    <col min="11810" max="11810" width="15.77734375" style="1105" customWidth="1"/>
    <col min="11811" max="11811" width="9" style="1105" bestFit="1" customWidth="1"/>
    <col min="11812" max="11812" width="8.109375" style="1105" bestFit="1" customWidth="1"/>
    <col min="11813" max="11813" width="9.33203125" style="1105" bestFit="1" customWidth="1"/>
    <col min="11814" max="11815" width="7.44140625" style="1105"/>
    <col min="11816" max="11816" width="8" style="1105" bestFit="1" customWidth="1"/>
    <col min="11817" max="11817" width="7.44140625" style="1105"/>
    <col min="11818" max="11818" width="22" style="1105" customWidth="1"/>
    <col min="11819" max="11819" width="11.33203125" style="1105" customWidth="1"/>
    <col min="11820" max="11820" width="49" style="1105" customWidth="1"/>
    <col min="11821" max="11821" width="11" style="1105" customWidth="1"/>
    <col min="11822" max="11822" width="7.5546875" style="1105" bestFit="1" customWidth="1"/>
    <col min="11823" max="11823" width="10.21875" style="1105" customWidth="1"/>
    <col min="11824" max="11824" width="9.33203125" style="1105" customWidth="1"/>
    <col min="11825" max="12028" width="7.44140625" style="1105"/>
    <col min="12029" max="12029" width="7.5546875" style="1105" bestFit="1" customWidth="1"/>
    <col min="12030" max="12032" width="7.44140625" style="1105"/>
    <col min="12033" max="12033" width="7.77734375" style="1105" customWidth="1"/>
    <col min="12034" max="12034" width="64" style="1105" customWidth="1"/>
    <col min="12035" max="12035" width="16.21875" style="1105" customWidth="1"/>
    <col min="12036" max="12036" width="13.77734375" style="1105" customWidth="1"/>
    <col min="12037" max="12037" width="8.5546875" style="1105" customWidth="1"/>
    <col min="12038" max="12038" width="17.77734375" style="1105" customWidth="1"/>
    <col min="12039" max="12039" width="14.21875" style="1105" customWidth="1"/>
    <col min="12040" max="12040" width="43.33203125" style="1105" customWidth="1"/>
    <col min="12041" max="12041" width="14.33203125" style="1105" customWidth="1"/>
    <col min="12042" max="12042" width="11.44140625" style="1105" customWidth="1"/>
    <col min="12043" max="12043" width="12.88671875" style="1105" customWidth="1"/>
    <col min="12044" max="12044" width="9.77734375" style="1105" customWidth="1"/>
    <col min="12045" max="12045" width="11.21875" style="1105" customWidth="1"/>
    <col min="12046" max="12046" width="8.5546875" style="1105" bestFit="1" customWidth="1"/>
    <col min="12047" max="12047" width="51" style="1105" customWidth="1"/>
    <col min="12048" max="12048" width="15.5546875" style="1105" customWidth="1"/>
    <col min="12049" max="12049" width="10.6640625" style="1105" customWidth="1"/>
    <col min="12050" max="12050" width="11.77734375" style="1105" customWidth="1"/>
    <col min="12051" max="12051" width="10.88671875" style="1105" customWidth="1"/>
    <col min="12052" max="12052" width="9.21875" style="1105" customWidth="1"/>
    <col min="12053" max="12053" width="54.109375" style="1105" customWidth="1"/>
    <col min="12054" max="12054" width="11.21875" style="1105" customWidth="1"/>
    <col min="12055" max="12055" width="23" style="1105" customWidth="1"/>
    <col min="12056" max="12056" width="12.109375" style="1105" customWidth="1"/>
    <col min="12057" max="12057" width="13.21875" style="1105" customWidth="1"/>
    <col min="12058" max="12058" width="11.77734375" style="1105" customWidth="1"/>
    <col min="12059" max="12059" width="0" style="1105" hidden="1" customWidth="1"/>
    <col min="12060" max="12060" width="10.21875" style="1105" customWidth="1"/>
    <col min="12061" max="12061" width="14.5546875" style="1105" customWidth="1"/>
    <col min="12062" max="12062" width="45" style="1105" customWidth="1"/>
    <col min="12063" max="12063" width="12.44140625" style="1105" customWidth="1"/>
    <col min="12064" max="12064" width="11.77734375" style="1105" customWidth="1"/>
    <col min="12065" max="12065" width="11.109375" style="1105" customWidth="1"/>
    <col min="12066" max="12066" width="15.77734375" style="1105" customWidth="1"/>
    <col min="12067" max="12067" width="9" style="1105" bestFit="1" customWidth="1"/>
    <col min="12068" max="12068" width="8.109375" style="1105" bestFit="1" customWidth="1"/>
    <col min="12069" max="12069" width="9.33203125" style="1105" bestFit="1" customWidth="1"/>
    <col min="12070" max="12071" width="7.44140625" style="1105"/>
    <col min="12072" max="12072" width="8" style="1105" bestFit="1" customWidth="1"/>
    <col min="12073" max="12073" width="7.44140625" style="1105"/>
    <col min="12074" max="12074" width="22" style="1105" customWidth="1"/>
    <col min="12075" max="12075" width="11.33203125" style="1105" customWidth="1"/>
    <col min="12076" max="12076" width="49" style="1105" customWidth="1"/>
    <col min="12077" max="12077" width="11" style="1105" customWidth="1"/>
    <col min="12078" max="12078" width="7.5546875" style="1105" bestFit="1" customWidth="1"/>
    <col min="12079" max="12079" width="10.21875" style="1105" customWidth="1"/>
    <col min="12080" max="12080" width="9.33203125" style="1105" customWidth="1"/>
    <col min="12081" max="12284" width="7.44140625" style="1105"/>
    <col min="12285" max="12285" width="7.5546875" style="1105" bestFit="1" customWidth="1"/>
    <col min="12286" max="12288" width="7.44140625" style="1105"/>
    <col min="12289" max="12289" width="7.77734375" style="1105" customWidth="1"/>
    <col min="12290" max="12290" width="64" style="1105" customWidth="1"/>
    <col min="12291" max="12291" width="16.21875" style="1105" customWidth="1"/>
    <col min="12292" max="12292" width="13.77734375" style="1105" customWidth="1"/>
    <col min="12293" max="12293" width="8.5546875" style="1105" customWidth="1"/>
    <col min="12294" max="12294" width="17.77734375" style="1105" customWidth="1"/>
    <col min="12295" max="12295" width="14.21875" style="1105" customWidth="1"/>
    <col min="12296" max="12296" width="43.33203125" style="1105" customWidth="1"/>
    <col min="12297" max="12297" width="14.33203125" style="1105" customWidth="1"/>
    <col min="12298" max="12298" width="11.44140625" style="1105" customWidth="1"/>
    <col min="12299" max="12299" width="12.88671875" style="1105" customWidth="1"/>
    <col min="12300" max="12300" width="9.77734375" style="1105" customWidth="1"/>
    <col min="12301" max="12301" width="11.21875" style="1105" customWidth="1"/>
    <col min="12302" max="12302" width="8.5546875" style="1105" bestFit="1" customWidth="1"/>
    <col min="12303" max="12303" width="51" style="1105" customWidth="1"/>
    <col min="12304" max="12304" width="15.5546875" style="1105" customWidth="1"/>
    <col min="12305" max="12305" width="10.6640625" style="1105" customWidth="1"/>
    <col min="12306" max="12306" width="11.77734375" style="1105" customWidth="1"/>
    <col min="12307" max="12307" width="10.88671875" style="1105" customWidth="1"/>
    <col min="12308" max="12308" width="9.21875" style="1105" customWidth="1"/>
    <col min="12309" max="12309" width="54.109375" style="1105" customWidth="1"/>
    <col min="12310" max="12310" width="11.21875" style="1105" customWidth="1"/>
    <col min="12311" max="12311" width="23" style="1105" customWidth="1"/>
    <col min="12312" max="12312" width="12.109375" style="1105" customWidth="1"/>
    <col min="12313" max="12313" width="13.21875" style="1105" customWidth="1"/>
    <col min="12314" max="12314" width="11.77734375" style="1105" customWidth="1"/>
    <col min="12315" max="12315" width="0" style="1105" hidden="1" customWidth="1"/>
    <col min="12316" max="12316" width="10.21875" style="1105" customWidth="1"/>
    <col min="12317" max="12317" width="14.5546875" style="1105" customWidth="1"/>
    <col min="12318" max="12318" width="45" style="1105" customWidth="1"/>
    <col min="12319" max="12319" width="12.44140625" style="1105" customWidth="1"/>
    <col min="12320" max="12320" width="11.77734375" style="1105" customWidth="1"/>
    <col min="12321" max="12321" width="11.109375" style="1105" customWidth="1"/>
    <col min="12322" max="12322" width="15.77734375" style="1105" customWidth="1"/>
    <col min="12323" max="12323" width="9" style="1105" bestFit="1" customWidth="1"/>
    <col min="12324" max="12324" width="8.109375" style="1105" bestFit="1" customWidth="1"/>
    <col min="12325" max="12325" width="9.33203125" style="1105" bestFit="1" customWidth="1"/>
    <col min="12326" max="12327" width="7.44140625" style="1105"/>
    <col min="12328" max="12328" width="8" style="1105" bestFit="1" customWidth="1"/>
    <col min="12329" max="12329" width="7.44140625" style="1105"/>
    <col min="12330" max="12330" width="22" style="1105" customWidth="1"/>
    <col min="12331" max="12331" width="11.33203125" style="1105" customWidth="1"/>
    <col min="12332" max="12332" width="49" style="1105" customWidth="1"/>
    <col min="12333" max="12333" width="11" style="1105" customWidth="1"/>
    <col min="12334" max="12334" width="7.5546875" style="1105" bestFit="1" customWidth="1"/>
    <col min="12335" max="12335" width="10.21875" style="1105" customWidth="1"/>
    <col min="12336" max="12336" width="9.33203125" style="1105" customWidth="1"/>
    <col min="12337" max="12540" width="7.44140625" style="1105"/>
    <col min="12541" max="12541" width="7.5546875" style="1105" bestFit="1" customWidth="1"/>
    <col min="12542" max="12544" width="7.44140625" style="1105"/>
    <col min="12545" max="12545" width="7.77734375" style="1105" customWidth="1"/>
    <col min="12546" max="12546" width="64" style="1105" customWidth="1"/>
    <col min="12547" max="12547" width="16.21875" style="1105" customWidth="1"/>
    <col min="12548" max="12548" width="13.77734375" style="1105" customWidth="1"/>
    <col min="12549" max="12549" width="8.5546875" style="1105" customWidth="1"/>
    <col min="12550" max="12550" width="17.77734375" style="1105" customWidth="1"/>
    <col min="12551" max="12551" width="14.21875" style="1105" customWidth="1"/>
    <col min="12552" max="12552" width="43.33203125" style="1105" customWidth="1"/>
    <col min="12553" max="12553" width="14.33203125" style="1105" customWidth="1"/>
    <col min="12554" max="12554" width="11.44140625" style="1105" customWidth="1"/>
    <col min="12555" max="12555" width="12.88671875" style="1105" customWidth="1"/>
    <col min="12556" max="12556" width="9.77734375" style="1105" customWidth="1"/>
    <col min="12557" max="12557" width="11.21875" style="1105" customWidth="1"/>
    <col min="12558" max="12558" width="8.5546875" style="1105" bestFit="1" customWidth="1"/>
    <col min="12559" max="12559" width="51" style="1105" customWidth="1"/>
    <col min="12560" max="12560" width="15.5546875" style="1105" customWidth="1"/>
    <col min="12561" max="12561" width="10.6640625" style="1105" customWidth="1"/>
    <col min="12562" max="12562" width="11.77734375" style="1105" customWidth="1"/>
    <col min="12563" max="12563" width="10.88671875" style="1105" customWidth="1"/>
    <col min="12564" max="12564" width="9.21875" style="1105" customWidth="1"/>
    <col min="12565" max="12565" width="54.109375" style="1105" customWidth="1"/>
    <col min="12566" max="12566" width="11.21875" style="1105" customWidth="1"/>
    <col min="12567" max="12567" width="23" style="1105" customWidth="1"/>
    <col min="12568" max="12568" width="12.109375" style="1105" customWidth="1"/>
    <col min="12569" max="12569" width="13.21875" style="1105" customWidth="1"/>
    <col min="12570" max="12570" width="11.77734375" style="1105" customWidth="1"/>
    <col min="12571" max="12571" width="0" style="1105" hidden="1" customWidth="1"/>
    <col min="12572" max="12572" width="10.21875" style="1105" customWidth="1"/>
    <col min="12573" max="12573" width="14.5546875" style="1105" customWidth="1"/>
    <col min="12574" max="12574" width="45" style="1105" customWidth="1"/>
    <col min="12575" max="12575" width="12.44140625" style="1105" customWidth="1"/>
    <col min="12576" max="12576" width="11.77734375" style="1105" customWidth="1"/>
    <col min="12577" max="12577" width="11.109375" style="1105" customWidth="1"/>
    <col min="12578" max="12578" width="15.77734375" style="1105" customWidth="1"/>
    <col min="12579" max="12579" width="9" style="1105" bestFit="1" customWidth="1"/>
    <col min="12580" max="12580" width="8.109375" style="1105" bestFit="1" customWidth="1"/>
    <col min="12581" max="12581" width="9.33203125" style="1105" bestFit="1" customWidth="1"/>
    <col min="12582" max="12583" width="7.44140625" style="1105"/>
    <col min="12584" max="12584" width="8" style="1105" bestFit="1" customWidth="1"/>
    <col min="12585" max="12585" width="7.44140625" style="1105"/>
    <col min="12586" max="12586" width="22" style="1105" customWidth="1"/>
    <col min="12587" max="12587" width="11.33203125" style="1105" customWidth="1"/>
    <col min="12588" max="12588" width="49" style="1105" customWidth="1"/>
    <col min="12589" max="12589" width="11" style="1105" customWidth="1"/>
    <col min="12590" max="12590" width="7.5546875" style="1105" bestFit="1" customWidth="1"/>
    <col min="12591" max="12591" width="10.21875" style="1105" customWidth="1"/>
    <col min="12592" max="12592" width="9.33203125" style="1105" customWidth="1"/>
    <col min="12593" max="12796" width="7.44140625" style="1105"/>
    <col min="12797" max="12797" width="7.5546875" style="1105" bestFit="1" customWidth="1"/>
    <col min="12798" max="12800" width="7.44140625" style="1105"/>
    <col min="12801" max="12801" width="7.77734375" style="1105" customWidth="1"/>
    <col min="12802" max="12802" width="64" style="1105" customWidth="1"/>
    <col min="12803" max="12803" width="16.21875" style="1105" customWidth="1"/>
    <col min="12804" max="12804" width="13.77734375" style="1105" customWidth="1"/>
    <col min="12805" max="12805" width="8.5546875" style="1105" customWidth="1"/>
    <col min="12806" max="12806" width="17.77734375" style="1105" customWidth="1"/>
    <col min="12807" max="12807" width="14.21875" style="1105" customWidth="1"/>
    <col min="12808" max="12808" width="43.33203125" style="1105" customWidth="1"/>
    <col min="12809" max="12809" width="14.33203125" style="1105" customWidth="1"/>
    <col min="12810" max="12810" width="11.44140625" style="1105" customWidth="1"/>
    <col min="12811" max="12811" width="12.88671875" style="1105" customWidth="1"/>
    <col min="12812" max="12812" width="9.77734375" style="1105" customWidth="1"/>
    <col min="12813" max="12813" width="11.21875" style="1105" customWidth="1"/>
    <col min="12814" max="12814" width="8.5546875" style="1105" bestFit="1" customWidth="1"/>
    <col min="12815" max="12815" width="51" style="1105" customWidth="1"/>
    <col min="12816" max="12816" width="15.5546875" style="1105" customWidth="1"/>
    <col min="12817" max="12817" width="10.6640625" style="1105" customWidth="1"/>
    <col min="12818" max="12818" width="11.77734375" style="1105" customWidth="1"/>
    <col min="12819" max="12819" width="10.88671875" style="1105" customWidth="1"/>
    <col min="12820" max="12820" width="9.21875" style="1105" customWidth="1"/>
    <col min="12821" max="12821" width="54.109375" style="1105" customWidth="1"/>
    <col min="12822" max="12822" width="11.21875" style="1105" customWidth="1"/>
    <col min="12823" max="12823" width="23" style="1105" customWidth="1"/>
    <col min="12824" max="12824" width="12.109375" style="1105" customWidth="1"/>
    <col min="12825" max="12825" width="13.21875" style="1105" customWidth="1"/>
    <col min="12826" max="12826" width="11.77734375" style="1105" customWidth="1"/>
    <col min="12827" max="12827" width="0" style="1105" hidden="1" customWidth="1"/>
    <col min="12828" max="12828" width="10.21875" style="1105" customWidth="1"/>
    <col min="12829" max="12829" width="14.5546875" style="1105" customWidth="1"/>
    <col min="12830" max="12830" width="45" style="1105" customWidth="1"/>
    <col min="12831" max="12831" width="12.44140625" style="1105" customWidth="1"/>
    <col min="12832" max="12832" width="11.77734375" style="1105" customWidth="1"/>
    <col min="12833" max="12833" width="11.109375" style="1105" customWidth="1"/>
    <col min="12834" max="12834" width="15.77734375" style="1105" customWidth="1"/>
    <col min="12835" max="12835" width="9" style="1105" bestFit="1" customWidth="1"/>
    <col min="12836" max="12836" width="8.109375" style="1105" bestFit="1" customWidth="1"/>
    <col min="12837" max="12837" width="9.33203125" style="1105" bestFit="1" customWidth="1"/>
    <col min="12838" max="12839" width="7.44140625" style="1105"/>
    <col min="12840" max="12840" width="8" style="1105" bestFit="1" customWidth="1"/>
    <col min="12841" max="12841" width="7.44140625" style="1105"/>
    <col min="12842" max="12842" width="22" style="1105" customWidth="1"/>
    <col min="12843" max="12843" width="11.33203125" style="1105" customWidth="1"/>
    <col min="12844" max="12844" width="49" style="1105" customWidth="1"/>
    <col min="12845" max="12845" width="11" style="1105" customWidth="1"/>
    <col min="12846" max="12846" width="7.5546875" style="1105" bestFit="1" customWidth="1"/>
    <col min="12847" max="12847" width="10.21875" style="1105" customWidth="1"/>
    <col min="12848" max="12848" width="9.33203125" style="1105" customWidth="1"/>
    <col min="12849" max="13052" width="7.44140625" style="1105"/>
    <col min="13053" max="13053" width="7.5546875" style="1105" bestFit="1" customWidth="1"/>
    <col min="13054" max="13056" width="7.44140625" style="1105"/>
    <col min="13057" max="13057" width="7.77734375" style="1105" customWidth="1"/>
    <col min="13058" max="13058" width="64" style="1105" customWidth="1"/>
    <col min="13059" max="13059" width="16.21875" style="1105" customWidth="1"/>
    <col min="13060" max="13060" width="13.77734375" style="1105" customWidth="1"/>
    <col min="13061" max="13061" width="8.5546875" style="1105" customWidth="1"/>
    <col min="13062" max="13062" width="17.77734375" style="1105" customWidth="1"/>
    <col min="13063" max="13063" width="14.21875" style="1105" customWidth="1"/>
    <col min="13064" max="13064" width="43.33203125" style="1105" customWidth="1"/>
    <col min="13065" max="13065" width="14.33203125" style="1105" customWidth="1"/>
    <col min="13066" max="13066" width="11.44140625" style="1105" customWidth="1"/>
    <col min="13067" max="13067" width="12.88671875" style="1105" customWidth="1"/>
    <col min="13068" max="13068" width="9.77734375" style="1105" customWidth="1"/>
    <col min="13069" max="13069" width="11.21875" style="1105" customWidth="1"/>
    <col min="13070" max="13070" width="8.5546875" style="1105" bestFit="1" customWidth="1"/>
    <col min="13071" max="13071" width="51" style="1105" customWidth="1"/>
    <col min="13072" max="13072" width="15.5546875" style="1105" customWidth="1"/>
    <col min="13073" max="13073" width="10.6640625" style="1105" customWidth="1"/>
    <col min="13074" max="13074" width="11.77734375" style="1105" customWidth="1"/>
    <col min="13075" max="13075" width="10.88671875" style="1105" customWidth="1"/>
    <col min="13076" max="13076" width="9.21875" style="1105" customWidth="1"/>
    <col min="13077" max="13077" width="54.109375" style="1105" customWidth="1"/>
    <col min="13078" max="13078" width="11.21875" style="1105" customWidth="1"/>
    <col min="13079" max="13079" width="23" style="1105" customWidth="1"/>
    <col min="13080" max="13080" width="12.109375" style="1105" customWidth="1"/>
    <col min="13081" max="13081" width="13.21875" style="1105" customWidth="1"/>
    <col min="13082" max="13082" width="11.77734375" style="1105" customWidth="1"/>
    <col min="13083" max="13083" width="0" style="1105" hidden="1" customWidth="1"/>
    <col min="13084" max="13084" width="10.21875" style="1105" customWidth="1"/>
    <col min="13085" max="13085" width="14.5546875" style="1105" customWidth="1"/>
    <col min="13086" max="13086" width="45" style="1105" customWidth="1"/>
    <col min="13087" max="13087" width="12.44140625" style="1105" customWidth="1"/>
    <col min="13088" max="13088" width="11.77734375" style="1105" customWidth="1"/>
    <col min="13089" max="13089" width="11.109375" style="1105" customWidth="1"/>
    <col min="13090" max="13090" width="15.77734375" style="1105" customWidth="1"/>
    <col min="13091" max="13091" width="9" style="1105" bestFit="1" customWidth="1"/>
    <col min="13092" max="13092" width="8.109375" style="1105" bestFit="1" customWidth="1"/>
    <col min="13093" max="13093" width="9.33203125" style="1105" bestFit="1" customWidth="1"/>
    <col min="13094" max="13095" width="7.44140625" style="1105"/>
    <col min="13096" max="13096" width="8" style="1105" bestFit="1" customWidth="1"/>
    <col min="13097" max="13097" width="7.44140625" style="1105"/>
    <col min="13098" max="13098" width="22" style="1105" customWidth="1"/>
    <col min="13099" max="13099" width="11.33203125" style="1105" customWidth="1"/>
    <col min="13100" max="13100" width="49" style="1105" customWidth="1"/>
    <col min="13101" max="13101" width="11" style="1105" customWidth="1"/>
    <col min="13102" max="13102" width="7.5546875" style="1105" bestFit="1" customWidth="1"/>
    <col min="13103" max="13103" width="10.21875" style="1105" customWidth="1"/>
    <col min="13104" max="13104" width="9.33203125" style="1105" customWidth="1"/>
    <col min="13105" max="13308" width="7.44140625" style="1105"/>
    <col min="13309" max="13309" width="7.5546875" style="1105" bestFit="1" customWidth="1"/>
    <col min="13310" max="13312" width="7.44140625" style="1105"/>
    <col min="13313" max="13313" width="7.77734375" style="1105" customWidth="1"/>
    <col min="13314" max="13314" width="64" style="1105" customWidth="1"/>
    <col min="13315" max="13315" width="16.21875" style="1105" customWidth="1"/>
    <col min="13316" max="13316" width="13.77734375" style="1105" customWidth="1"/>
    <col min="13317" max="13317" width="8.5546875" style="1105" customWidth="1"/>
    <col min="13318" max="13318" width="17.77734375" style="1105" customWidth="1"/>
    <col min="13319" max="13319" width="14.21875" style="1105" customWidth="1"/>
    <col min="13320" max="13320" width="43.33203125" style="1105" customWidth="1"/>
    <col min="13321" max="13321" width="14.33203125" style="1105" customWidth="1"/>
    <col min="13322" max="13322" width="11.44140625" style="1105" customWidth="1"/>
    <col min="13323" max="13323" width="12.88671875" style="1105" customWidth="1"/>
    <col min="13324" max="13324" width="9.77734375" style="1105" customWidth="1"/>
    <col min="13325" max="13325" width="11.21875" style="1105" customWidth="1"/>
    <col min="13326" max="13326" width="8.5546875" style="1105" bestFit="1" customWidth="1"/>
    <col min="13327" max="13327" width="51" style="1105" customWidth="1"/>
    <col min="13328" max="13328" width="15.5546875" style="1105" customWidth="1"/>
    <col min="13329" max="13329" width="10.6640625" style="1105" customWidth="1"/>
    <col min="13330" max="13330" width="11.77734375" style="1105" customWidth="1"/>
    <col min="13331" max="13331" width="10.88671875" style="1105" customWidth="1"/>
    <col min="13332" max="13332" width="9.21875" style="1105" customWidth="1"/>
    <col min="13333" max="13333" width="54.109375" style="1105" customWidth="1"/>
    <col min="13334" max="13334" width="11.21875" style="1105" customWidth="1"/>
    <col min="13335" max="13335" width="23" style="1105" customWidth="1"/>
    <col min="13336" max="13336" width="12.109375" style="1105" customWidth="1"/>
    <col min="13337" max="13337" width="13.21875" style="1105" customWidth="1"/>
    <col min="13338" max="13338" width="11.77734375" style="1105" customWidth="1"/>
    <col min="13339" max="13339" width="0" style="1105" hidden="1" customWidth="1"/>
    <col min="13340" max="13340" width="10.21875" style="1105" customWidth="1"/>
    <col min="13341" max="13341" width="14.5546875" style="1105" customWidth="1"/>
    <col min="13342" max="13342" width="45" style="1105" customWidth="1"/>
    <col min="13343" max="13343" width="12.44140625" style="1105" customWidth="1"/>
    <col min="13344" max="13344" width="11.77734375" style="1105" customWidth="1"/>
    <col min="13345" max="13345" width="11.109375" style="1105" customWidth="1"/>
    <col min="13346" max="13346" width="15.77734375" style="1105" customWidth="1"/>
    <col min="13347" max="13347" width="9" style="1105" bestFit="1" customWidth="1"/>
    <col min="13348" max="13348" width="8.109375" style="1105" bestFit="1" customWidth="1"/>
    <col min="13349" max="13349" width="9.33203125" style="1105" bestFit="1" customWidth="1"/>
    <col min="13350" max="13351" width="7.44140625" style="1105"/>
    <col min="13352" max="13352" width="8" style="1105" bestFit="1" customWidth="1"/>
    <col min="13353" max="13353" width="7.44140625" style="1105"/>
    <col min="13354" max="13354" width="22" style="1105" customWidth="1"/>
    <col min="13355" max="13355" width="11.33203125" style="1105" customWidth="1"/>
    <col min="13356" max="13356" width="49" style="1105" customWidth="1"/>
    <col min="13357" max="13357" width="11" style="1105" customWidth="1"/>
    <col min="13358" max="13358" width="7.5546875" style="1105" bestFit="1" customWidth="1"/>
    <col min="13359" max="13359" width="10.21875" style="1105" customWidth="1"/>
    <col min="13360" max="13360" width="9.33203125" style="1105" customWidth="1"/>
    <col min="13361" max="13564" width="7.44140625" style="1105"/>
    <col min="13565" max="13565" width="7.5546875" style="1105" bestFit="1" customWidth="1"/>
    <col min="13566" max="13568" width="7.44140625" style="1105"/>
    <col min="13569" max="13569" width="7.77734375" style="1105" customWidth="1"/>
    <col min="13570" max="13570" width="64" style="1105" customWidth="1"/>
    <col min="13571" max="13571" width="16.21875" style="1105" customWidth="1"/>
    <col min="13572" max="13572" width="13.77734375" style="1105" customWidth="1"/>
    <col min="13573" max="13573" width="8.5546875" style="1105" customWidth="1"/>
    <col min="13574" max="13574" width="17.77734375" style="1105" customWidth="1"/>
    <col min="13575" max="13575" width="14.21875" style="1105" customWidth="1"/>
    <col min="13576" max="13576" width="43.33203125" style="1105" customWidth="1"/>
    <col min="13577" max="13577" width="14.33203125" style="1105" customWidth="1"/>
    <col min="13578" max="13578" width="11.44140625" style="1105" customWidth="1"/>
    <col min="13579" max="13579" width="12.88671875" style="1105" customWidth="1"/>
    <col min="13580" max="13580" width="9.77734375" style="1105" customWidth="1"/>
    <col min="13581" max="13581" width="11.21875" style="1105" customWidth="1"/>
    <col min="13582" max="13582" width="8.5546875" style="1105" bestFit="1" customWidth="1"/>
    <col min="13583" max="13583" width="51" style="1105" customWidth="1"/>
    <col min="13584" max="13584" width="15.5546875" style="1105" customWidth="1"/>
    <col min="13585" max="13585" width="10.6640625" style="1105" customWidth="1"/>
    <col min="13586" max="13586" width="11.77734375" style="1105" customWidth="1"/>
    <col min="13587" max="13587" width="10.88671875" style="1105" customWidth="1"/>
    <col min="13588" max="13588" width="9.21875" style="1105" customWidth="1"/>
    <col min="13589" max="13589" width="54.109375" style="1105" customWidth="1"/>
    <col min="13590" max="13590" width="11.21875" style="1105" customWidth="1"/>
    <col min="13591" max="13591" width="23" style="1105" customWidth="1"/>
    <col min="13592" max="13592" width="12.109375" style="1105" customWidth="1"/>
    <col min="13593" max="13593" width="13.21875" style="1105" customWidth="1"/>
    <col min="13594" max="13594" width="11.77734375" style="1105" customWidth="1"/>
    <col min="13595" max="13595" width="0" style="1105" hidden="1" customWidth="1"/>
    <col min="13596" max="13596" width="10.21875" style="1105" customWidth="1"/>
    <col min="13597" max="13597" width="14.5546875" style="1105" customWidth="1"/>
    <col min="13598" max="13598" width="45" style="1105" customWidth="1"/>
    <col min="13599" max="13599" width="12.44140625" style="1105" customWidth="1"/>
    <col min="13600" max="13600" width="11.77734375" style="1105" customWidth="1"/>
    <col min="13601" max="13601" width="11.109375" style="1105" customWidth="1"/>
    <col min="13602" max="13602" width="15.77734375" style="1105" customWidth="1"/>
    <col min="13603" max="13603" width="9" style="1105" bestFit="1" customWidth="1"/>
    <col min="13604" max="13604" width="8.109375" style="1105" bestFit="1" customWidth="1"/>
    <col min="13605" max="13605" width="9.33203125" style="1105" bestFit="1" customWidth="1"/>
    <col min="13606" max="13607" width="7.44140625" style="1105"/>
    <col min="13608" max="13608" width="8" style="1105" bestFit="1" customWidth="1"/>
    <col min="13609" max="13609" width="7.44140625" style="1105"/>
    <col min="13610" max="13610" width="22" style="1105" customWidth="1"/>
    <col min="13611" max="13611" width="11.33203125" style="1105" customWidth="1"/>
    <col min="13612" max="13612" width="49" style="1105" customWidth="1"/>
    <col min="13613" max="13613" width="11" style="1105" customWidth="1"/>
    <col min="13614" max="13614" width="7.5546875" style="1105" bestFit="1" customWidth="1"/>
    <col min="13615" max="13615" width="10.21875" style="1105" customWidth="1"/>
    <col min="13616" max="13616" width="9.33203125" style="1105" customWidth="1"/>
    <col min="13617" max="13820" width="7.44140625" style="1105"/>
    <col min="13821" max="13821" width="7.5546875" style="1105" bestFit="1" customWidth="1"/>
    <col min="13822" max="13824" width="7.44140625" style="1105"/>
    <col min="13825" max="13825" width="7.77734375" style="1105" customWidth="1"/>
    <col min="13826" max="13826" width="64" style="1105" customWidth="1"/>
    <col min="13827" max="13827" width="16.21875" style="1105" customWidth="1"/>
    <col min="13828" max="13828" width="13.77734375" style="1105" customWidth="1"/>
    <col min="13829" max="13829" width="8.5546875" style="1105" customWidth="1"/>
    <col min="13830" max="13830" width="17.77734375" style="1105" customWidth="1"/>
    <col min="13831" max="13831" width="14.21875" style="1105" customWidth="1"/>
    <col min="13832" max="13832" width="43.33203125" style="1105" customWidth="1"/>
    <col min="13833" max="13833" width="14.33203125" style="1105" customWidth="1"/>
    <col min="13834" max="13834" width="11.44140625" style="1105" customWidth="1"/>
    <col min="13835" max="13835" width="12.88671875" style="1105" customWidth="1"/>
    <col min="13836" max="13836" width="9.77734375" style="1105" customWidth="1"/>
    <col min="13837" max="13837" width="11.21875" style="1105" customWidth="1"/>
    <col min="13838" max="13838" width="8.5546875" style="1105" bestFit="1" customWidth="1"/>
    <col min="13839" max="13839" width="51" style="1105" customWidth="1"/>
    <col min="13840" max="13840" width="15.5546875" style="1105" customWidth="1"/>
    <col min="13841" max="13841" width="10.6640625" style="1105" customWidth="1"/>
    <col min="13842" max="13842" width="11.77734375" style="1105" customWidth="1"/>
    <col min="13843" max="13843" width="10.88671875" style="1105" customWidth="1"/>
    <col min="13844" max="13844" width="9.21875" style="1105" customWidth="1"/>
    <col min="13845" max="13845" width="54.109375" style="1105" customWidth="1"/>
    <col min="13846" max="13846" width="11.21875" style="1105" customWidth="1"/>
    <col min="13847" max="13847" width="23" style="1105" customWidth="1"/>
    <col min="13848" max="13848" width="12.109375" style="1105" customWidth="1"/>
    <col min="13849" max="13849" width="13.21875" style="1105" customWidth="1"/>
    <col min="13850" max="13850" width="11.77734375" style="1105" customWidth="1"/>
    <col min="13851" max="13851" width="0" style="1105" hidden="1" customWidth="1"/>
    <col min="13852" max="13852" width="10.21875" style="1105" customWidth="1"/>
    <col min="13853" max="13853" width="14.5546875" style="1105" customWidth="1"/>
    <col min="13854" max="13854" width="45" style="1105" customWidth="1"/>
    <col min="13855" max="13855" width="12.44140625" style="1105" customWidth="1"/>
    <col min="13856" max="13856" width="11.77734375" style="1105" customWidth="1"/>
    <col min="13857" max="13857" width="11.109375" style="1105" customWidth="1"/>
    <col min="13858" max="13858" width="15.77734375" style="1105" customWidth="1"/>
    <col min="13859" max="13859" width="9" style="1105" bestFit="1" customWidth="1"/>
    <col min="13860" max="13860" width="8.109375" style="1105" bestFit="1" customWidth="1"/>
    <col min="13861" max="13861" width="9.33203125" style="1105" bestFit="1" customWidth="1"/>
    <col min="13862" max="13863" width="7.44140625" style="1105"/>
    <col min="13864" max="13864" width="8" style="1105" bestFit="1" customWidth="1"/>
    <col min="13865" max="13865" width="7.44140625" style="1105"/>
    <col min="13866" max="13866" width="22" style="1105" customWidth="1"/>
    <col min="13867" max="13867" width="11.33203125" style="1105" customWidth="1"/>
    <col min="13868" max="13868" width="49" style="1105" customWidth="1"/>
    <col min="13869" max="13869" width="11" style="1105" customWidth="1"/>
    <col min="13870" max="13870" width="7.5546875" style="1105" bestFit="1" customWidth="1"/>
    <col min="13871" max="13871" width="10.21875" style="1105" customWidth="1"/>
    <col min="13872" max="13872" width="9.33203125" style="1105" customWidth="1"/>
    <col min="13873" max="14076" width="7.44140625" style="1105"/>
    <col min="14077" max="14077" width="7.5546875" style="1105" bestFit="1" customWidth="1"/>
    <col min="14078" max="14080" width="7.44140625" style="1105"/>
    <col min="14081" max="14081" width="7.77734375" style="1105" customWidth="1"/>
    <col min="14082" max="14082" width="64" style="1105" customWidth="1"/>
    <col min="14083" max="14083" width="16.21875" style="1105" customWidth="1"/>
    <col min="14084" max="14084" width="13.77734375" style="1105" customWidth="1"/>
    <col min="14085" max="14085" width="8.5546875" style="1105" customWidth="1"/>
    <col min="14086" max="14086" width="17.77734375" style="1105" customWidth="1"/>
    <col min="14087" max="14087" width="14.21875" style="1105" customWidth="1"/>
    <col min="14088" max="14088" width="43.33203125" style="1105" customWidth="1"/>
    <col min="14089" max="14089" width="14.33203125" style="1105" customWidth="1"/>
    <col min="14090" max="14090" width="11.44140625" style="1105" customWidth="1"/>
    <col min="14091" max="14091" width="12.88671875" style="1105" customWidth="1"/>
    <col min="14092" max="14092" width="9.77734375" style="1105" customWidth="1"/>
    <col min="14093" max="14093" width="11.21875" style="1105" customWidth="1"/>
    <col min="14094" max="14094" width="8.5546875" style="1105" bestFit="1" customWidth="1"/>
    <col min="14095" max="14095" width="51" style="1105" customWidth="1"/>
    <col min="14096" max="14096" width="15.5546875" style="1105" customWidth="1"/>
    <col min="14097" max="14097" width="10.6640625" style="1105" customWidth="1"/>
    <col min="14098" max="14098" width="11.77734375" style="1105" customWidth="1"/>
    <col min="14099" max="14099" width="10.88671875" style="1105" customWidth="1"/>
    <col min="14100" max="14100" width="9.21875" style="1105" customWidth="1"/>
    <col min="14101" max="14101" width="54.109375" style="1105" customWidth="1"/>
    <col min="14102" max="14102" width="11.21875" style="1105" customWidth="1"/>
    <col min="14103" max="14103" width="23" style="1105" customWidth="1"/>
    <col min="14104" max="14104" width="12.109375" style="1105" customWidth="1"/>
    <col min="14105" max="14105" width="13.21875" style="1105" customWidth="1"/>
    <col min="14106" max="14106" width="11.77734375" style="1105" customWidth="1"/>
    <col min="14107" max="14107" width="0" style="1105" hidden="1" customWidth="1"/>
    <col min="14108" max="14108" width="10.21875" style="1105" customWidth="1"/>
    <col min="14109" max="14109" width="14.5546875" style="1105" customWidth="1"/>
    <col min="14110" max="14110" width="45" style="1105" customWidth="1"/>
    <col min="14111" max="14111" width="12.44140625" style="1105" customWidth="1"/>
    <col min="14112" max="14112" width="11.77734375" style="1105" customWidth="1"/>
    <col min="14113" max="14113" width="11.109375" style="1105" customWidth="1"/>
    <col min="14114" max="14114" width="15.77734375" style="1105" customWidth="1"/>
    <col min="14115" max="14115" width="9" style="1105" bestFit="1" customWidth="1"/>
    <col min="14116" max="14116" width="8.109375" style="1105" bestFit="1" customWidth="1"/>
    <col min="14117" max="14117" width="9.33203125" style="1105" bestFit="1" customWidth="1"/>
    <col min="14118" max="14119" width="7.44140625" style="1105"/>
    <col min="14120" max="14120" width="8" style="1105" bestFit="1" customWidth="1"/>
    <col min="14121" max="14121" width="7.44140625" style="1105"/>
    <col min="14122" max="14122" width="22" style="1105" customWidth="1"/>
    <col min="14123" max="14123" width="11.33203125" style="1105" customWidth="1"/>
    <col min="14124" max="14124" width="49" style="1105" customWidth="1"/>
    <col min="14125" max="14125" width="11" style="1105" customWidth="1"/>
    <col min="14126" max="14126" width="7.5546875" style="1105" bestFit="1" customWidth="1"/>
    <col min="14127" max="14127" width="10.21875" style="1105" customWidth="1"/>
    <col min="14128" max="14128" width="9.33203125" style="1105" customWidth="1"/>
    <col min="14129" max="14332" width="7.44140625" style="1105"/>
    <col min="14333" max="14333" width="7.5546875" style="1105" bestFit="1" customWidth="1"/>
    <col min="14334" max="14336" width="7.44140625" style="1105"/>
    <col min="14337" max="14337" width="7.77734375" style="1105" customWidth="1"/>
    <col min="14338" max="14338" width="64" style="1105" customWidth="1"/>
    <col min="14339" max="14339" width="16.21875" style="1105" customWidth="1"/>
    <col min="14340" max="14340" width="13.77734375" style="1105" customWidth="1"/>
    <col min="14341" max="14341" width="8.5546875" style="1105" customWidth="1"/>
    <col min="14342" max="14342" width="17.77734375" style="1105" customWidth="1"/>
    <col min="14343" max="14343" width="14.21875" style="1105" customWidth="1"/>
    <col min="14344" max="14344" width="43.33203125" style="1105" customWidth="1"/>
    <col min="14345" max="14345" width="14.33203125" style="1105" customWidth="1"/>
    <col min="14346" max="14346" width="11.44140625" style="1105" customWidth="1"/>
    <col min="14347" max="14347" width="12.88671875" style="1105" customWidth="1"/>
    <col min="14348" max="14348" width="9.77734375" style="1105" customWidth="1"/>
    <col min="14349" max="14349" width="11.21875" style="1105" customWidth="1"/>
    <col min="14350" max="14350" width="8.5546875" style="1105" bestFit="1" customWidth="1"/>
    <col min="14351" max="14351" width="51" style="1105" customWidth="1"/>
    <col min="14352" max="14352" width="15.5546875" style="1105" customWidth="1"/>
    <col min="14353" max="14353" width="10.6640625" style="1105" customWidth="1"/>
    <col min="14354" max="14354" width="11.77734375" style="1105" customWidth="1"/>
    <col min="14355" max="14355" width="10.88671875" style="1105" customWidth="1"/>
    <col min="14356" max="14356" width="9.21875" style="1105" customWidth="1"/>
    <col min="14357" max="14357" width="54.109375" style="1105" customWidth="1"/>
    <col min="14358" max="14358" width="11.21875" style="1105" customWidth="1"/>
    <col min="14359" max="14359" width="23" style="1105" customWidth="1"/>
    <col min="14360" max="14360" width="12.109375" style="1105" customWidth="1"/>
    <col min="14361" max="14361" width="13.21875" style="1105" customWidth="1"/>
    <col min="14362" max="14362" width="11.77734375" style="1105" customWidth="1"/>
    <col min="14363" max="14363" width="0" style="1105" hidden="1" customWidth="1"/>
    <col min="14364" max="14364" width="10.21875" style="1105" customWidth="1"/>
    <col min="14365" max="14365" width="14.5546875" style="1105" customWidth="1"/>
    <col min="14366" max="14366" width="45" style="1105" customWidth="1"/>
    <col min="14367" max="14367" width="12.44140625" style="1105" customWidth="1"/>
    <col min="14368" max="14368" width="11.77734375" style="1105" customWidth="1"/>
    <col min="14369" max="14369" width="11.109375" style="1105" customWidth="1"/>
    <col min="14370" max="14370" width="15.77734375" style="1105" customWidth="1"/>
    <col min="14371" max="14371" width="9" style="1105" bestFit="1" customWidth="1"/>
    <col min="14372" max="14372" width="8.109375" style="1105" bestFit="1" customWidth="1"/>
    <col min="14373" max="14373" width="9.33203125" style="1105" bestFit="1" customWidth="1"/>
    <col min="14374" max="14375" width="7.44140625" style="1105"/>
    <col min="14376" max="14376" width="8" style="1105" bestFit="1" customWidth="1"/>
    <col min="14377" max="14377" width="7.44140625" style="1105"/>
    <col min="14378" max="14378" width="22" style="1105" customWidth="1"/>
    <col min="14379" max="14379" width="11.33203125" style="1105" customWidth="1"/>
    <col min="14380" max="14380" width="49" style="1105" customWidth="1"/>
    <col min="14381" max="14381" width="11" style="1105" customWidth="1"/>
    <col min="14382" max="14382" width="7.5546875" style="1105" bestFit="1" customWidth="1"/>
    <col min="14383" max="14383" width="10.21875" style="1105" customWidth="1"/>
    <col min="14384" max="14384" width="9.33203125" style="1105" customWidth="1"/>
    <col min="14385" max="14588" width="7.44140625" style="1105"/>
    <col min="14589" max="14589" width="7.5546875" style="1105" bestFit="1" customWidth="1"/>
    <col min="14590" max="14592" width="7.44140625" style="1105"/>
    <col min="14593" max="14593" width="7.77734375" style="1105" customWidth="1"/>
    <col min="14594" max="14594" width="64" style="1105" customWidth="1"/>
    <col min="14595" max="14595" width="16.21875" style="1105" customWidth="1"/>
    <col min="14596" max="14596" width="13.77734375" style="1105" customWidth="1"/>
    <col min="14597" max="14597" width="8.5546875" style="1105" customWidth="1"/>
    <col min="14598" max="14598" width="17.77734375" style="1105" customWidth="1"/>
    <col min="14599" max="14599" width="14.21875" style="1105" customWidth="1"/>
    <col min="14600" max="14600" width="43.33203125" style="1105" customWidth="1"/>
    <col min="14601" max="14601" width="14.33203125" style="1105" customWidth="1"/>
    <col min="14602" max="14602" width="11.44140625" style="1105" customWidth="1"/>
    <col min="14603" max="14603" width="12.88671875" style="1105" customWidth="1"/>
    <col min="14604" max="14604" width="9.77734375" style="1105" customWidth="1"/>
    <col min="14605" max="14605" width="11.21875" style="1105" customWidth="1"/>
    <col min="14606" max="14606" width="8.5546875" style="1105" bestFit="1" customWidth="1"/>
    <col min="14607" max="14607" width="51" style="1105" customWidth="1"/>
    <col min="14608" max="14608" width="15.5546875" style="1105" customWidth="1"/>
    <col min="14609" max="14609" width="10.6640625" style="1105" customWidth="1"/>
    <col min="14610" max="14610" width="11.77734375" style="1105" customWidth="1"/>
    <col min="14611" max="14611" width="10.88671875" style="1105" customWidth="1"/>
    <col min="14612" max="14612" width="9.21875" style="1105" customWidth="1"/>
    <col min="14613" max="14613" width="54.109375" style="1105" customWidth="1"/>
    <col min="14614" max="14614" width="11.21875" style="1105" customWidth="1"/>
    <col min="14615" max="14615" width="23" style="1105" customWidth="1"/>
    <col min="14616" max="14616" width="12.109375" style="1105" customWidth="1"/>
    <col min="14617" max="14617" width="13.21875" style="1105" customWidth="1"/>
    <col min="14618" max="14618" width="11.77734375" style="1105" customWidth="1"/>
    <col min="14619" max="14619" width="0" style="1105" hidden="1" customWidth="1"/>
    <col min="14620" max="14620" width="10.21875" style="1105" customWidth="1"/>
    <col min="14621" max="14621" width="14.5546875" style="1105" customWidth="1"/>
    <col min="14622" max="14622" width="45" style="1105" customWidth="1"/>
    <col min="14623" max="14623" width="12.44140625" style="1105" customWidth="1"/>
    <col min="14624" max="14624" width="11.77734375" style="1105" customWidth="1"/>
    <col min="14625" max="14625" width="11.109375" style="1105" customWidth="1"/>
    <col min="14626" max="14626" width="15.77734375" style="1105" customWidth="1"/>
    <col min="14627" max="14627" width="9" style="1105" bestFit="1" customWidth="1"/>
    <col min="14628" max="14628" width="8.109375" style="1105" bestFit="1" customWidth="1"/>
    <col min="14629" max="14629" width="9.33203125" style="1105" bestFit="1" customWidth="1"/>
    <col min="14630" max="14631" width="7.44140625" style="1105"/>
    <col min="14632" max="14632" width="8" style="1105" bestFit="1" customWidth="1"/>
    <col min="14633" max="14633" width="7.44140625" style="1105"/>
    <col min="14634" max="14634" width="22" style="1105" customWidth="1"/>
    <col min="14635" max="14635" width="11.33203125" style="1105" customWidth="1"/>
    <col min="14636" max="14636" width="49" style="1105" customWidth="1"/>
    <col min="14637" max="14637" width="11" style="1105" customWidth="1"/>
    <col min="14638" max="14638" width="7.5546875" style="1105" bestFit="1" customWidth="1"/>
    <col min="14639" max="14639" width="10.21875" style="1105" customWidth="1"/>
    <col min="14640" max="14640" width="9.33203125" style="1105" customWidth="1"/>
    <col min="14641" max="14844" width="7.44140625" style="1105"/>
    <col min="14845" max="14845" width="7.5546875" style="1105" bestFit="1" customWidth="1"/>
    <col min="14846" max="14848" width="7.44140625" style="1105"/>
    <col min="14849" max="14849" width="7.77734375" style="1105" customWidth="1"/>
    <col min="14850" max="14850" width="64" style="1105" customWidth="1"/>
    <col min="14851" max="14851" width="16.21875" style="1105" customWidth="1"/>
    <col min="14852" max="14852" width="13.77734375" style="1105" customWidth="1"/>
    <col min="14853" max="14853" width="8.5546875" style="1105" customWidth="1"/>
    <col min="14854" max="14854" width="17.77734375" style="1105" customWidth="1"/>
    <col min="14855" max="14855" width="14.21875" style="1105" customWidth="1"/>
    <col min="14856" max="14856" width="43.33203125" style="1105" customWidth="1"/>
    <col min="14857" max="14857" width="14.33203125" style="1105" customWidth="1"/>
    <col min="14858" max="14858" width="11.44140625" style="1105" customWidth="1"/>
    <col min="14859" max="14859" width="12.88671875" style="1105" customWidth="1"/>
    <col min="14860" max="14860" width="9.77734375" style="1105" customWidth="1"/>
    <col min="14861" max="14861" width="11.21875" style="1105" customWidth="1"/>
    <col min="14862" max="14862" width="8.5546875" style="1105" bestFit="1" customWidth="1"/>
    <col min="14863" max="14863" width="51" style="1105" customWidth="1"/>
    <col min="14864" max="14864" width="15.5546875" style="1105" customWidth="1"/>
    <col min="14865" max="14865" width="10.6640625" style="1105" customWidth="1"/>
    <col min="14866" max="14866" width="11.77734375" style="1105" customWidth="1"/>
    <col min="14867" max="14867" width="10.88671875" style="1105" customWidth="1"/>
    <col min="14868" max="14868" width="9.21875" style="1105" customWidth="1"/>
    <col min="14869" max="14869" width="54.109375" style="1105" customWidth="1"/>
    <col min="14870" max="14870" width="11.21875" style="1105" customWidth="1"/>
    <col min="14871" max="14871" width="23" style="1105" customWidth="1"/>
    <col min="14872" max="14872" width="12.109375" style="1105" customWidth="1"/>
    <col min="14873" max="14873" width="13.21875" style="1105" customWidth="1"/>
    <col min="14874" max="14874" width="11.77734375" style="1105" customWidth="1"/>
    <col min="14875" max="14875" width="0" style="1105" hidden="1" customWidth="1"/>
    <col min="14876" max="14876" width="10.21875" style="1105" customWidth="1"/>
    <col min="14877" max="14877" width="14.5546875" style="1105" customWidth="1"/>
    <col min="14878" max="14878" width="45" style="1105" customWidth="1"/>
    <col min="14879" max="14879" width="12.44140625" style="1105" customWidth="1"/>
    <col min="14880" max="14880" width="11.77734375" style="1105" customWidth="1"/>
    <col min="14881" max="14881" width="11.109375" style="1105" customWidth="1"/>
    <col min="14882" max="14882" width="15.77734375" style="1105" customWidth="1"/>
    <col min="14883" max="14883" width="9" style="1105" bestFit="1" customWidth="1"/>
    <col min="14884" max="14884" width="8.109375" style="1105" bestFit="1" customWidth="1"/>
    <col min="14885" max="14885" width="9.33203125" style="1105" bestFit="1" customWidth="1"/>
    <col min="14886" max="14887" width="7.44140625" style="1105"/>
    <col min="14888" max="14888" width="8" style="1105" bestFit="1" customWidth="1"/>
    <col min="14889" max="14889" width="7.44140625" style="1105"/>
    <col min="14890" max="14890" width="22" style="1105" customWidth="1"/>
    <col min="14891" max="14891" width="11.33203125" style="1105" customWidth="1"/>
    <col min="14892" max="14892" width="49" style="1105" customWidth="1"/>
    <col min="14893" max="14893" width="11" style="1105" customWidth="1"/>
    <col min="14894" max="14894" width="7.5546875" style="1105" bestFit="1" customWidth="1"/>
    <col min="14895" max="14895" width="10.21875" style="1105" customWidth="1"/>
    <col min="14896" max="14896" width="9.33203125" style="1105" customWidth="1"/>
    <col min="14897" max="15100" width="7.44140625" style="1105"/>
    <col min="15101" max="15101" width="7.5546875" style="1105" bestFit="1" customWidth="1"/>
    <col min="15102" max="15104" width="7.44140625" style="1105"/>
    <col min="15105" max="15105" width="7.77734375" style="1105" customWidth="1"/>
    <col min="15106" max="15106" width="64" style="1105" customWidth="1"/>
    <col min="15107" max="15107" width="16.21875" style="1105" customWidth="1"/>
    <col min="15108" max="15108" width="13.77734375" style="1105" customWidth="1"/>
    <col min="15109" max="15109" width="8.5546875" style="1105" customWidth="1"/>
    <col min="15110" max="15110" width="17.77734375" style="1105" customWidth="1"/>
    <col min="15111" max="15111" width="14.21875" style="1105" customWidth="1"/>
    <col min="15112" max="15112" width="43.33203125" style="1105" customWidth="1"/>
    <col min="15113" max="15113" width="14.33203125" style="1105" customWidth="1"/>
    <col min="15114" max="15114" width="11.44140625" style="1105" customWidth="1"/>
    <col min="15115" max="15115" width="12.88671875" style="1105" customWidth="1"/>
    <col min="15116" max="15116" width="9.77734375" style="1105" customWidth="1"/>
    <col min="15117" max="15117" width="11.21875" style="1105" customWidth="1"/>
    <col min="15118" max="15118" width="8.5546875" style="1105" bestFit="1" customWidth="1"/>
    <col min="15119" max="15119" width="51" style="1105" customWidth="1"/>
    <col min="15120" max="15120" width="15.5546875" style="1105" customWidth="1"/>
    <col min="15121" max="15121" width="10.6640625" style="1105" customWidth="1"/>
    <col min="15122" max="15122" width="11.77734375" style="1105" customWidth="1"/>
    <col min="15123" max="15123" width="10.88671875" style="1105" customWidth="1"/>
    <col min="15124" max="15124" width="9.21875" style="1105" customWidth="1"/>
    <col min="15125" max="15125" width="54.109375" style="1105" customWidth="1"/>
    <col min="15126" max="15126" width="11.21875" style="1105" customWidth="1"/>
    <col min="15127" max="15127" width="23" style="1105" customWidth="1"/>
    <col min="15128" max="15128" width="12.109375" style="1105" customWidth="1"/>
    <col min="15129" max="15129" width="13.21875" style="1105" customWidth="1"/>
    <col min="15130" max="15130" width="11.77734375" style="1105" customWidth="1"/>
    <col min="15131" max="15131" width="0" style="1105" hidden="1" customWidth="1"/>
    <col min="15132" max="15132" width="10.21875" style="1105" customWidth="1"/>
    <col min="15133" max="15133" width="14.5546875" style="1105" customWidth="1"/>
    <col min="15134" max="15134" width="45" style="1105" customWidth="1"/>
    <col min="15135" max="15135" width="12.44140625" style="1105" customWidth="1"/>
    <col min="15136" max="15136" width="11.77734375" style="1105" customWidth="1"/>
    <col min="15137" max="15137" width="11.109375" style="1105" customWidth="1"/>
    <col min="15138" max="15138" width="15.77734375" style="1105" customWidth="1"/>
    <col min="15139" max="15139" width="9" style="1105" bestFit="1" customWidth="1"/>
    <col min="15140" max="15140" width="8.109375" style="1105" bestFit="1" customWidth="1"/>
    <col min="15141" max="15141" width="9.33203125" style="1105" bestFit="1" customWidth="1"/>
    <col min="15142" max="15143" width="7.44140625" style="1105"/>
    <col min="15144" max="15144" width="8" style="1105" bestFit="1" customWidth="1"/>
    <col min="15145" max="15145" width="7.44140625" style="1105"/>
    <col min="15146" max="15146" width="22" style="1105" customWidth="1"/>
    <col min="15147" max="15147" width="11.33203125" style="1105" customWidth="1"/>
    <col min="15148" max="15148" width="49" style="1105" customWidth="1"/>
    <col min="15149" max="15149" width="11" style="1105" customWidth="1"/>
    <col min="15150" max="15150" width="7.5546875" style="1105" bestFit="1" customWidth="1"/>
    <col min="15151" max="15151" width="10.21875" style="1105" customWidth="1"/>
    <col min="15152" max="15152" width="9.33203125" style="1105" customWidth="1"/>
    <col min="15153" max="15356" width="7.44140625" style="1105"/>
    <col min="15357" max="15357" width="7.5546875" style="1105" bestFit="1" customWidth="1"/>
    <col min="15358" max="15360" width="7.44140625" style="1105"/>
    <col min="15361" max="15361" width="7.77734375" style="1105" customWidth="1"/>
    <col min="15362" max="15362" width="64" style="1105" customWidth="1"/>
    <col min="15363" max="15363" width="16.21875" style="1105" customWidth="1"/>
    <col min="15364" max="15364" width="13.77734375" style="1105" customWidth="1"/>
    <col min="15365" max="15365" width="8.5546875" style="1105" customWidth="1"/>
    <col min="15366" max="15366" width="17.77734375" style="1105" customWidth="1"/>
    <col min="15367" max="15367" width="14.21875" style="1105" customWidth="1"/>
    <col min="15368" max="15368" width="43.33203125" style="1105" customWidth="1"/>
    <col min="15369" max="15369" width="14.33203125" style="1105" customWidth="1"/>
    <col min="15370" max="15370" width="11.44140625" style="1105" customWidth="1"/>
    <col min="15371" max="15371" width="12.88671875" style="1105" customWidth="1"/>
    <col min="15372" max="15372" width="9.77734375" style="1105" customWidth="1"/>
    <col min="15373" max="15373" width="11.21875" style="1105" customWidth="1"/>
    <col min="15374" max="15374" width="8.5546875" style="1105" bestFit="1" customWidth="1"/>
    <col min="15375" max="15375" width="51" style="1105" customWidth="1"/>
    <col min="15376" max="15376" width="15.5546875" style="1105" customWidth="1"/>
    <col min="15377" max="15377" width="10.6640625" style="1105" customWidth="1"/>
    <col min="15378" max="15378" width="11.77734375" style="1105" customWidth="1"/>
    <col min="15379" max="15379" width="10.88671875" style="1105" customWidth="1"/>
    <col min="15380" max="15380" width="9.21875" style="1105" customWidth="1"/>
    <col min="15381" max="15381" width="54.109375" style="1105" customWidth="1"/>
    <col min="15382" max="15382" width="11.21875" style="1105" customWidth="1"/>
    <col min="15383" max="15383" width="23" style="1105" customWidth="1"/>
    <col min="15384" max="15384" width="12.109375" style="1105" customWidth="1"/>
    <col min="15385" max="15385" width="13.21875" style="1105" customWidth="1"/>
    <col min="15386" max="15386" width="11.77734375" style="1105" customWidth="1"/>
    <col min="15387" max="15387" width="0" style="1105" hidden="1" customWidth="1"/>
    <col min="15388" max="15388" width="10.21875" style="1105" customWidth="1"/>
    <col min="15389" max="15389" width="14.5546875" style="1105" customWidth="1"/>
    <col min="15390" max="15390" width="45" style="1105" customWidth="1"/>
    <col min="15391" max="15391" width="12.44140625" style="1105" customWidth="1"/>
    <col min="15392" max="15392" width="11.77734375" style="1105" customWidth="1"/>
    <col min="15393" max="15393" width="11.109375" style="1105" customWidth="1"/>
    <col min="15394" max="15394" width="15.77734375" style="1105" customWidth="1"/>
    <col min="15395" max="15395" width="9" style="1105" bestFit="1" customWidth="1"/>
    <col min="15396" max="15396" width="8.109375" style="1105" bestFit="1" customWidth="1"/>
    <col min="15397" max="15397" width="9.33203125" style="1105" bestFit="1" customWidth="1"/>
    <col min="15398" max="15399" width="7.44140625" style="1105"/>
    <col min="15400" max="15400" width="8" style="1105" bestFit="1" customWidth="1"/>
    <col min="15401" max="15401" width="7.44140625" style="1105"/>
    <col min="15402" max="15402" width="22" style="1105" customWidth="1"/>
    <col min="15403" max="15403" width="11.33203125" style="1105" customWidth="1"/>
    <col min="15404" max="15404" width="49" style="1105" customWidth="1"/>
    <col min="15405" max="15405" width="11" style="1105" customWidth="1"/>
    <col min="15406" max="15406" width="7.5546875" style="1105" bestFit="1" customWidth="1"/>
    <col min="15407" max="15407" width="10.21875" style="1105" customWidth="1"/>
    <col min="15408" max="15408" width="9.33203125" style="1105" customWidth="1"/>
    <col min="15409" max="15612" width="7.44140625" style="1105"/>
    <col min="15613" max="15613" width="7.5546875" style="1105" bestFit="1" customWidth="1"/>
    <col min="15614" max="15616" width="7.44140625" style="1105"/>
    <col min="15617" max="15617" width="7.77734375" style="1105" customWidth="1"/>
    <col min="15618" max="15618" width="64" style="1105" customWidth="1"/>
    <col min="15619" max="15619" width="16.21875" style="1105" customWidth="1"/>
    <col min="15620" max="15620" width="13.77734375" style="1105" customWidth="1"/>
    <col min="15621" max="15621" width="8.5546875" style="1105" customWidth="1"/>
    <col min="15622" max="15622" width="17.77734375" style="1105" customWidth="1"/>
    <col min="15623" max="15623" width="14.21875" style="1105" customWidth="1"/>
    <col min="15624" max="15624" width="43.33203125" style="1105" customWidth="1"/>
    <col min="15625" max="15625" width="14.33203125" style="1105" customWidth="1"/>
    <col min="15626" max="15626" width="11.44140625" style="1105" customWidth="1"/>
    <col min="15627" max="15627" width="12.88671875" style="1105" customWidth="1"/>
    <col min="15628" max="15628" width="9.77734375" style="1105" customWidth="1"/>
    <col min="15629" max="15629" width="11.21875" style="1105" customWidth="1"/>
    <col min="15630" max="15630" width="8.5546875" style="1105" bestFit="1" customWidth="1"/>
    <col min="15631" max="15631" width="51" style="1105" customWidth="1"/>
    <col min="15632" max="15632" width="15.5546875" style="1105" customWidth="1"/>
    <col min="15633" max="15633" width="10.6640625" style="1105" customWidth="1"/>
    <col min="15634" max="15634" width="11.77734375" style="1105" customWidth="1"/>
    <col min="15635" max="15635" width="10.88671875" style="1105" customWidth="1"/>
    <col min="15636" max="15636" width="9.21875" style="1105" customWidth="1"/>
    <col min="15637" max="15637" width="54.109375" style="1105" customWidth="1"/>
    <col min="15638" max="15638" width="11.21875" style="1105" customWidth="1"/>
    <col min="15639" max="15639" width="23" style="1105" customWidth="1"/>
    <col min="15640" max="15640" width="12.109375" style="1105" customWidth="1"/>
    <col min="15641" max="15641" width="13.21875" style="1105" customWidth="1"/>
    <col min="15642" max="15642" width="11.77734375" style="1105" customWidth="1"/>
    <col min="15643" max="15643" width="0" style="1105" hidden="1" customWidth="1"/>
    <col min="15644" max="15644" width="10.21875" style="1105" customWidth="1"/>
    <col min="15645" max="15645" width="14.5546875" style="1105" customWidth="1"/>
    <col min="15646" max="15646" width="45" style="1105" customWidth="1"/>
    <col min="15647" max="15647" width="12.44140625" style="1105" customWidth="1"/>
    <col min="15648" max="15648" width="11.77734375" style="1105" customWidth="1"/>
    <col min="15649" max="15649" width="11.109375" style="1105" customWidth="1"/>
    <col min="15650" max="15650" width="15.77734375" style="1105" customWidth="1"/>
    <col min="15651" max="15651" width="9" style="1105" bestFit="1" customWidth="1"/>
    <col min="15652" max="15652" width="8.109375" style="1105" bestFit="1" customWidth="1"/>
    <col min="15653" max="15653" width="9.33203125" style="1105" bestFit="1" customWidth="1"/>
    <col min="15654" max="15655" width="7.44140625" style="1105"/>
    <col min="15656" max="15656" width="8" style="1105" bestFit="1" customWidth="1"/>
    <col min="15657" max="15657" width="7.44140625" style="1105"/>
    <col min="15658" max="15658" width="22" style="1105" customWidth="1"/>
    <col min="15659" max="15659" width="11.33203125" style="1105" customWidth="1"/>
    <col min="15660" max="15660" width="49" style="1105" customWidth="1"/>
    <col min="15661" max="15661" width="11" style="1105" customWidth="1"/>
    <col min="15662" max="15662" width="7.5546875" style="1105" bestFit="1" customWidth="1"/>
    <col min="15663" max="15663" width="10.21875" style="1105" customWidth="1"/>
    <col min="15664" max="15664" width="9.33203125" style="1105" customWidth="1"/>
    <col min="15665" max="15868" width="7.44140625" style="1105"/>
    <col min="15869" max="15869" width="7.5546875" style="1105" bestFit="1" customWidth="1"/>
    <col min="15870" max="15872" width="7.44140625" style="1105"/>
    <col min="15873" max="15873" width="7.77734375" style="1105" customWidth="1"/>
    <col min="15874" max="15874" width="64" style="1105" customWidth="1"/>
    <col min="15875" max="15875" width="16.21875" style="1105" customWidth="1"/>
    <col min="15876" max="15876" width="13.77734375" style="1105" customWidth="1"/>
    <col min="15877" max="15877" width="8.5546875" style="1105" customWidth="1"/>
    <col min="15878" max="15878" width="17.77734375" style="1105" customWidth="1"/>
    <col min="15879" max="15879" width="14.21875" style="1105" customWidth="1"/>
    <col min="15880" max="15880" width="43.33203125" style="1105" customWidth="1"/>
    <col min="15881" max="15881" width="14.33203125" style="1105" customWidth="1"/>
    <col min="15882" max="15882" width="11.44140625" style="1105" customWidth="1"/>
    <col min="15883" max="15883" width="12.88671875" style="1105" customWidth="1"/>
    <col min="15884" max="15884" width="9.77734375" style="1105" customWidth="1"/>
    <col min="15885" max="15885" width="11.21875" style="1105" customWidth="1"/>
    <col min="15886" max="15886" width="8.5546875" style="1105" bestFit="1" customWidth="1"/>
    <col min="15887" max="15887" width="51" style="1105" customWidth="1"/>
    <col min="15888" max="15888" width="15.5546875" style="1105" customWidth="1"/>
    <col min="15889" max="15889" width="10.6640625" style="1105" customWidth="1"/>
    <col min="15890" max="15890" width="11.77734375" style="1105" customWidth="1"/>
    <col min="15891" max="15891" width="10.88671875" style="1105" customWidth="1"/>
    <col min="15892" max="15892" width="9.21875" style="1105" customWidth="1"/>
    <col min="15893" max="15893" width="54.109375" style="1105" customWidth="1"/>
    <col min="15894" max="15894" width="11.21875" style="1105" customWidth="1"/>
    <col min="15895" max="15895" width="23" style="1105" customWidth="1"/>
    <col min="15896" max="15896" width="12.109375" style="1105" customWidth="1"/>
    <col min="15897" max="15897" width="13.21875" style="1105" customWidth="1"/>
    <col min="15898" max="15898" width="11.77734375" style="1105" customWidth="1"/>
    <col min="15899" max="15899" width="0" style="1105" hidden="1" customWidth="1"/>
    <col min="15900" max="15900" width="10.21875" style="1105" customWidth="1"/>
    <col min="15901" max="15901" width="14.5546875" style="1105" customWidth="1"/>
    <col min="15902" max="15902" width="45" style="1105" customWidth="1"/>
    <col min="15903" max="15903" width="12.44140625" style="1105" customWidth="1"/>
    <col min="15904" max="15904" width="11.77734375" style="1105" customWidth="1"/>
    <col min="15905" max="15905" width="11.109375" style="1105" customWidth="1"/>
    <col min="15906" max="15906" width="15.77734375" style="1105" customWidth="1"/>
    <col min="15907" max="15907" width="9" style="1105" bestFit="1" customWidth="1"/>
    <col min="15908" max="15908" width="8.109375" style="1105" bestFit="1" customWidth="1"/>
    <col min="15909" max="15909" width="9.33203125" style="1105" bestFit="1" customWidth="1"/>
    <col min="15910" max="15911" width="7.44140625" style="1105"/>
    <col min="15912" max="15912" width="8" style="1105" bestFit="1" customWidth="1"/>
    <col min="15913" max="15913" width="7.44140625" style="1105"/>
    <col min="15914" max="15914" width="22" style="1105" customWidth="1"/>
    <col min="15915" max="15915" width="11.33203125" style="1105" customWidth="1"/>
    <col min="15916" max="15916" width="49" style="1105" customWidth="1"/>
    <col min="15917" max="15917" width="11" style="1105" customWidth="1"/>
    <col min="15918" max="15918" width="7.5546875" style="1105" bestFit="1" customWidth="1"/>
    <col min="15919" max="15919" width="10.21875" style="1105" customWidth="1"/>
    <col min="15920" max="15920" width="9.33203125" style="1105" customWidth="1"/>
    <col min="15921" max="16124" width="7.44140625" style="1105"/>
    <col min="16125" max="16125" width="7.5546875" style="1105" bestFit="1" customWidth="1"/>
    <col min="16126" max="16128" width="7.44140625" style="1105"/>
    <col min="16129" max="16129" width="7.77734375" style="1105" customWidth="1"/>
    <col min="16130" max="16130" width="64" style="1105" customWidth="1"/>
    <col min="16131" max="16131" width="16.21875" style="1105" customWidth="1"/>
    <col min="16132" max="16132" width="13.77734375" style="1105" customWidth="1"/>
    <col min="16133" max="16133" width="8.5546875" style="1105" customWidth="1"/>
    <col min="16134" max="16134" width="17.77734375" style="1105" customWidth="1"/>
    <col min="16135" max="16135" width="14.21875" style="1105" customWidth="1"/>
    <col min="16136" max="16136" width="43.33203125" style="1105" customWidth="1"/>
    <col min="16137" max="16137" width="14.33203125" style="1105" customWidth="1"/>
    <col min="16138" max="16138" width="11.44140625" style="1105" customWidth="1"/>
    <col min="16139" max="16139" width="12.88671875" style="1105" customWidth="1"/>
    <col min="16140" max="16140" width="9.77734375" style="1105" customWidth="1"/>
    <col min="16141" max="16141" width="11.21875" style="1105" customWidth="1"/>
    <col min="16142" max="16142" width="8.5546875" style="1105" bestFit="1" customWidth="1"/>
    <col min="16143" max="16143" width="51" style="1105" customWidth="1"/>
    <col min="16144" max="16144" width="15.5546875" style="1105" customWidth="1"/>
    <col min="16145" max="16145" width="10.6640625" style="1105" customWidth="1"/>
    <col min="16146" max="16146" width="11.77734375" style="1105" customWidth="1"/>
    <col min="16147" max="16147" width="10.88671875" style="1105" customWidth="1"/>
    <col min="16148" max="16148" width="9.21875" style="1105" customWidth="1"/>
    <col min="16149" max="16149" width="54.109375" style="1105" customWidth="1"/>
    <col min="16150" max="16150" width="11.21875" style="1105" customWidth="1"/>
    <col min="16151" max="16151" width="23" style="1105" customWidth="1"/>
    <col min="16152" max="16152" width="12.109375" style="1105" customWidth="1"/>
    <col min="16153" max="16153" width="13.21875" style="1105" customWidth="1"/>
    <col min="16154" max="16154" width="11.77734375" style="1105" customWidth="1"/>
    <col min="16155" max="16155" width="0" style="1105" hidden="1" customWidth="1"/>
    <col min="16156" max="16156" width="10.21875" style="1105" customWidth="1"/>
    <col min="16157" max="16157" width="14.5546875" style="1105" customWidth="1"/>
    <col min="16158" max="16158" width="45" style="1105" customWidth="1"/>
    <col min="16159" max="16159" width="12.44140625" style="1105" customWidth="1"/>
    <col min="16160" max="16160" width="11.77734375" style="1105" customWidth="1"/>
    <col min="16161" max="16161" width="11.109375" style="1105" customWidth="1"/>
    <col min="16162" max="16162" width="15.77734375" style="1105" customWidth="1"/>
    <col min="16163" max="16163" width="9" style="1105" bestFit="1" customWidth="1"/>
    <col min="16164" max="16164" width="8.109375" style="1105" bestFit="1" customWidth="1"/>
    <col min="16165" max="16165" width="9.33203125" style="1105" bestFit="1" customWidth="1"/>
    <col min="16166" max="16167" width="7.44140625" style="1105"/>
    <col min="16168" max="16168" width="8" style="1105" bestFit="1" customWidth="1"/>
    <col min="16169" max="16169" width="7.44140625" style="1105"/>
    <col min="16170" max="16170" width="22" style="1105" customWidth="1"/>
    <col min="16171" max="16171" width="11.33203125" style="1105" customWidth="1"/>
    <col min="16172" max="16172" width="49" style="1105" customWidth="1"/>
    <col min="16173" max="16173" width="11" style="1105" customWidth="1"/>
    <col min="16174" max="16174" width="7.5546875" style="1105" bestFit="1" customWidth="1"/>
    <col min="16175" max="16175" width="10.21875" style="1105" customWidth="1"/>
    <col min="16176" max="16176" width="9.33203125" style="1105" customWidth="1"/>
    <col min="16177" max="16380" width="7.44140625" style="1105"/>
    <col min="16381" max="16381" width="7.5546875" style="1105" bestFit="1" customWidth="1"/>
    <col min="16382" max="16384" width="7.44140625" style="1105"/>
  </cols>
  <sheetData>
    <row r="1" spans="1:40" ht="24" customHeight="1">
      <c r="A1" s="1103"/>
      <c r="B1" s="1104" t="s">
        <v>2790</v>
      </c>
      <c r="E1" s="1103" t="s">
        <v>220</v>
      </c>
      <c r="H1" s="1106" t="s">
        <v>2791</v>
      </c>
      <c r="O1" s="1103" t="s">
        <v>2791</v>
      </c>
      <c r="T1" s="1109"/>
      <c r="U1" s="1110" t="s">
        <v>2792</v>
      </c>
      <c r="V1" s="1110"/>
      <c r="W1" s="1104" t="s">
        <v>220</v>
      </c>
      <c r="X1" s="1109"/>
      <c r="Y1" s="1109"/>
      <c r="Z1" s="1109"/>
      <c r="AA1" s="1109"/>
      <c r="AB1" s="1109"/>
      <c r="AC1" s="1109"/>
      <c r="AD1" s="1109"/>
      <c r="AE1" s="1109"/>
    </row>
    <row r="2" spans="1:40" ht="24" customHeight="1">
      <c r="B2" s="1111" t="s">
        <v>2793</v>
      </c>
      <c r="E2" s="1103" t="s">
        <v>220</v>
      </c>
      <c r="H2" s="1104" t="s">
        <v>2794</v>
      </c>
      <c r="O2" s="1104" t="s">
        <v>2794</v>
      </c>
      <c r="S2" s="1108">
        <f>(581+645+954)/3</f>
        <v>726.66666666666663</v>
      </c>
      <c r="U2" s="1496" t="s">
        <v>2795</v>
      </c>
      <c r="V2" s="1497"/>
      <c r="W2" s="1497"/>
      <c r="X2" s="1497"/>
    </row>
    <row r="3" spans="1:40" ht="24" customHeight="1">
      <c r="A3" s="1103" t="s">
        <v>2796</v>
      </c>
      <c r="B3" s="1112" t="s">
        <v>2797</v>
      </c>
      <c r="C3" s="1103" t="s">
        <v>2798</v>
      </c>
      <c r="E3" s="1103" t="s">
        <v>220</v>
      </c>
      <c r="F3" s="1113" t="s">
        <v>2796</v>
      </c>
      <c r="G3" s="1114" t="s">
        <v>220</v>
      </c>
      <c r="H3" s="1115" t="str">
        <f>B3</f>
        <v>Sivagangai</v>
      </c>
      <c r="J3" s="1106" t="str">
        <f>C3</f>
        <v>2021-2022</v>
      </c>
      <c r="M3" s="1103" t="s">
        <v>2796</v>
      </c>
      <c r="N3" s="1103" t="s">
        <v>220</v>
      </c>
      <c r="O3" s="1114" t="str">
        <f>B3</f>
        <v>Sivagangai</v>
      </c>
      <c r="Q3" s="1114" t="str">
        <f>C3</f>
        <v>2021-2022</v>
      </c>
      <c r="T3" s="1103" t="s">
        <v>2796</v>
      </c>
      <c r="U3" s="1116" t="str">
        <f>[8]Development!A1</f>
        <v>CONSTRUCTION OF RURAL POLICE STATION BUILDING WITH DEVELOPMENT WORK AT REGUNATHAPURAM IN PUDUKKOTTAI DISRICT.</v>
      </c>
      <c r="W3" s="1117"/>
      <c r="AA3" s="1103"/>
      <c r="AE3" s="1105" t="str">
        <f>C3</f>
        <v>2021-2022</v>
      </c>
    </row>
    <row r="4" spans="1:40" ht="24" hidden="1" customHeight="1">
      <c r="F4" s="1111" t="s">
        <v>36</v>
      </c>
      <c r="G4" s="1111" t="s">
        <v>36</v>
      </c>
      <c r="H4" s="1111" t="s">
        <v>36</v>
      </c>
      <c r="I4" s="1111" t="s">
        <v>36</v>
      </c>
      <c r="J4" s="1111" t="s">
        <v>36</v>
      </c>
      <c r="K4" s="1111" t="s">
        <v>36</v>
      </c>
      <c r="M4" s="1111" t="s">
        <v>36</v>
      </c>
      <c r="N4" s="1111" t="s">
        <v>36</v>
      </c>
      <c r="O4" s="1111" t="s">
        <v>36</v>
      </c>
      <c r="P4" s="1111" t="s">
        <v>36</v>
      </c>
      <c r="Q4" s="1111" t="s">
        <v>36</v>
      </c>
      <c r="R4" s="1111" t="s">
        <v>36</v>
      </c>
      <c r="U4" s="1103" t="s">
        <v>220</v>
      </c>
      <c r="W4" s="1103" t="s">
        <v>220</v>
      </c>
      <c r="X4" s="1103" t="s">
        <v>2568</v>
      </c>
      <c r="Y4" s="1103"/>
      <c r="AC4" s="1103" t="s">
        <v>220</v>
      </c>
      <c r="AG4" s="1103" t="s">
        <v>2799</v>
      </c>
    </row>
    <row r="5" spans="1:40" ht="24" hidden="1" customHeight="1">
      <c r="A5" s="1111" t="s">
        <v>36</v>
      </c>
      <c r="B5" s="1111" t="s">
        <v>36</v>
      </c>
      <c r="C5" s="1111" t="s">
        <v>36</v>
      </c>
      <c r="D5" s="1111" t="s">
        <v>36</v>
      </c>
      <c r="E5" s="1103" t="s">
        <v>220</v>
      </c>
      <c r="F5" s="1113" t="s">
        <v>2800</v>
      </c>
      <c r="G5" s="1114" t="s">
        <v>220</v>
      </c>
      <c r="H5" s="1118" t="s">
        <v>2801</v>
      </c>
      <c r="I5" s="1118" t="s">
        <v>2802</v>
      </c>
      <c r="J5" s="1118" t="s">
        <v>2803</v>
      </c>
      <c r="K5" s="1118" t="s">
        <v>2804</v>
      </c>
      <c r="M5" s="1104" t="s">
        <v>2800</v>
      </c>
      <c r="N5" s="1103" t="s">
        <v>220</v>
      </c>
      <c r="O5" s="1104" t="s">
        <v>2801</v>
      </c>
      <c r="P5" s="1104" t="s">
        <v>2802</v>
      </c>
      <c r="Q5" s="1104" t="s">
        <v>2803</v>
      </c>
      <c r="R5" s="1104" t="s">
        <v>2804</v>
      </c>
      <c r="T5" s="1111"/>
      <c r="U5" s="1111" t="s">
        <v>36</v>
      </c>
      <c r="V5" s="1111" t="s">
        <v>36</v>
      </c>
      <c r="W5" s="1111" t="s">
        <v>36</v>
      </c>
      <c r="X5" s="1111" t="s">
        <v>36</v>
      </c>
      <c r="Y5" s="1111" t="s">
        <v>36</v>
      </c>
      <c r="Z5" s="1111" t="s">
        <v>36</v>
      </c>
      <c r="AA5" s="1111" t="s">
        <v>36</v>
      </c>
      <c r="AB5" s="1111" t="s">
        <v>36</v>
      </c>
      <c r="AC5" s="1111" t="s">
        <v>36</v>
      </c>
      <c r="AD5" s="1111" t="s">
        <v>36</v>
      </c>
      <c r="AE5" s="1111" t="s">
        <v>36</v>
      </c>
    </row>
    <row r="6" spans="1:40" ht="24" customHeight="1">
      <c r="A6" s="1103" t="s">
        <v>2805</v>
      </c>
      <c r="B6" s="1103" t="s">
        <v>2801</v>
      </c>
      <c r="C6" s="1103" t="s">
        <v>2802</v>
      </c>
      <c r="D6" s="1103" t="s">
        <v>2803</v>
      </c>
      <c r="F6" s="1111" t="s">
        <v>36</v>
      </c>
      <c r="G6" s="1111" t="s">
        <v>36</v>
      </c>
      <c r="H6" s="1111" t="s">
        <v>36</v>
      </c>
      <c r="I6" s="1111" t="s">
        <v>36</v>
      </c>
      <c r="J6" s="1111" t="s">
        <v>36</v>
      </c>
      <c r="K6" s="1111" t="s">
        <v>36</v>
      </c>
      <c r="M6" s="1111" t="s">
        <v>36</v>
      </c>
      <c r="N6" s="1111" t="s">
        <v>36</v>
      </c>
      <c r="O6" s="1111" t="s">
        <v>36</v>
      </c>
      <c r="P6" s="1111" t="s">
        <v>36</v>
      </c>
      <c r="Q6" s="1111" t="s">
        <v>36</v>
      </c>
      <c r="R6" s="1111" t="s">
        <v>36</v>
      </c>
      <c r="T6" s="1118" t="s">
        <v>2805</v>
      </c>
      <c r="U6" s="1118" t="s">
        <v>2806</v>
      </c>
      <c r="V6" s="1118" t="s">
        <v>2807</v>
      </c>
      <c r="W6" s="1118" t="s">
        <v>2808</v>
      </c>
      <c r="X6" s="1118" t="s">
        <v>57</v>
      </c>
      <c r="Y6" s="1118" t="s">
        <v>2809</v>
      </c>
      <c r="Z6" s="1118" t="s">
        <v>2810</v>
      </c>
      <c r="AA6" s="1106" t="s">
        <v>2811</v>
      </c>
      <c r="AB6" s="1106" t="s">
        <v>2812</v>
      </c>
      <c r="AC6" s="1106" t="s">
        <v>2813</v>
      </c>
      <c r="AD6" s="1118" t="s">
        <v>2814</v>
      </c>
      <c r="AE6" s="1119"/>
    </row>
    <row r="7" spans="1:40" ht="24" customHeight="1">
      <c r="A7" s="1111" t="s">
        <v>36</v>
      </c>
      <c r="B7" s="1111" t="s">
        <v>36</v>
      </c>
      <c r="C7" s="1111" t="s">
        <v>36</v>
      </c>
      <c r="D7" s="1111" t="s">
        <v>36</v>
      </c>
      <c r="G7" s="1114" t="s">
        <v>1363</v>
      </c>
      <c r="H7" s="1103" t="s">
        <v>2815</v>
      </c>
      <c r="O7" s="1103" t="s">
        <v>2816</v>
      </c>
      <c r="T7" s="1119"/>
      <c r="U7" s="1119"/>
      <c r="V7" s="1119"/>
      <c r="W7" s="1119"/>
      <c r="X7" s="1118" t="s">
        <v>2817</v>
      </c>
      <c r="Y7" s="1118" t="s">
        <v>2813</v>
      </c>
      <c r="Z7" s="1118" t="s">
        <v>2818</v>
      </c>
      <c r="AA7" s="1106" t="s">
        <v>2819</v>
      </c>
      <c r="AB7" s="1106" t="s">
        <v>2820</v>
      </c>
      <c r="AC7" s="1106" t="s">
        <v>2821</v>
      </c>
      <c r="AD7" s="1119"/>
      <c r="AE7" s="1119"/>
    </row>
    <row r="8" spans="1:40" ht="24" customHeight="1">
      <c r="B8" s="1103" t="s">
        <v>2822</v>
      </c>
      <c r="H8" s="1111" t="s">
        <v>36</v>
      </c>
      <c r="O8" s="1111" t="s">
        <v>36</v>
      </c>
      <c r="T8" s="1111" t="s">
        <v>36</v>
      </c>
      <c r="U8" s="1111" t="s">
        <v>36</v>
      </c>
      <c r="V8" s="1111" t="s">
        <v>36</v>
      </c>
      <c r="W8" s="1111" t="s">
        <v>36</v>
      </c>
      <c r="X8" s="1111" t="s">
        <v>36</v>
      </c>
      <c r="Y8" s="1111" t="s">
        <v>36</v>
      </c>
      <c r="Z8" s="1111" t="s">
        <v>36</v>
      </c>
      <c r="AA8" s="1111" t="s">
        <v>2823</v>
      </c>
      <c r="AB8" s="1111" t="s">
        <v>36</v>
      </c>
      <c r="AC8" s="1111" t="s">
        <v>36</v>
      </c>
      <c r="AD8" s="1111" t="s">
        <v>36</v>
      </c>
      <c r="AE8" s="1111" t="s">
        <v>36</v>
      </c>
      <c r="AG8" s="1120" t="s">
        <v>2824</v>
      </c>
      <c r="AH8" s="1120" t="s">
        <v>2825</v>
      </c>
      <c r="AI8" s="1121" t="s">
        <v>2826</v>
      </c>
      <c r="AJ8" s="1121" t="s">
        <v>2827</v>
      </c>
      <c r="AK8" s="1121" t="s">
        <v>2828</v>
      </c>
    </row>
    <row r="9" spans="1:40" ht="24" customHeight="1">
      <c r="B9" s="1103" t="s">
        <v>2829</v>
      </c>
      <c r="F9" s="1114">
        <v>0.96</v>
      </c>
      <c r="G9" s="1114" t="s">
        <v>197</v>
      </c>
      <c r="H9" s="1103" t="s">
        <v>2830</v>
      </c>
      <c r="I9" s="1114">
        <f>(C67)</f>
        <v>5960</v>
      </c>
      <c r="J9" s="1103" t="s">
        <v>197</v>
      </c>
      <c r="K9" s="1114">
        <f>(F9*I9)</f>
        <v>5721.5999999999995</v>
      </c>
      <c r="M9" s="1114">
        <v>0.5</v>
      </c>
      <c r="N9" s="1103" t="s">
        <v>197</v>
      </c>
      <c r="O9" s="1103" t="s">
        <v>2831</v>
      </c>
      <c r="P9" s="1114">
        <f>(C85)</f>
        <v>1127.18</v>
      </c>
      <c r="Q9" s="1103" t="s">
        <v>197</v>
      </c>
      <c r="R9" s="1114">
        <f>(M9*P9)</f>
        <v>563.59</v>
      </c>
      <c r="T9" s="1104" t="s">
        <v>2832</v>
      </c>
      <c r="U9" s="1103" t="s">
        <v>2833</v>
      </c>
      <c r="V9" s="1103" t="s">
        <v>2834</v>
      </c>
      <c r="W9" s="1103" t="s">
        <v>2835</v>
      </c>
      <c r="X9" s="1114">
        <f>'lead  charge'!D12</f>
        <v>64</v>
      </c>
      <c r="Y9" s="1114">
        <v>445</v>
      </c>
      <c r="Z9" s="1114">
        <f>'lead  charge'!E12</f>
        <v>555.05999999999995</v>
      </c>
      <c r="AA9" s="1104"/>
      <c r="AB9" s="1103">
        <v>0</v>
      </c>
      <c r="AC9" s="1103">
        <f>SUM(Y9+Z9+AA9+AB9)</f>
        <v>1000.06</v>
      </c>
      <c r="AD9" s="1103" t="s">
        <v>2836</v>
      </c>
      <c r="AE9" s="1114">
        <f>AF9</f>
        <v>861</v>
      </c>
      <c r="AF9" s="1114">
        <v>861</v>
      </c>
      <c r="AG9" s="1114">
        <f>AF9*1.1</f>
        <v>947.1</v>
      </c>
      <c r="AH9" s="1105">
        <f>AF9*1.2</f>
        <v>1033.2</v>
      </c>
      <c r="AI9" s="1105">
        <f>AF9*1.5</f>
        <v>1291.5</v>
      </c>
      <c r="AJ9" s="1105">
        <f>AF9*1.05</f>
        <v>904.05000000000007</v>
      </c>
      <c r="AK9" s="1105">
        <f>AF9*1.25</f>
        <v>1076.25</v>
      </c>
    </row>
    <row r="10" spans="1:40" ht="24" customHeight="1">
      <c r="A10" s="1122">
        <v>1</v>
      </c>
      <c r="B10" s="1103" t="s">
        <v>2837</v>
      </c>
      <c r="C10" s="1114">
        <f>AE9</f>
        <v>861</v>
      </c>
      <c r="D10" s="1103" t="s">
        <v>2838</v>
      </c>
      <c r="F10" s="1114">
        <v>1</v>
      </c>
      <c r="G10" s="1114" t="s">
        <v>2839</v>
      </c>
      <c r="H10" s="1103" t="s">
        <v>2840</v>
      </c>
      <c r="I10" s="1114">
        <f>(C78)</f>
        <v>1835.06</v>
      </c>
      <c r="J10" s="1103" t="s">
        <v>2839</v>
      </c>
      <c r="K10" s="1114">
        <f>(F10*I10)</f>
        <v>1835.06</v>
      </c>
      <c r="M10" s="1114">
        <v>1</v>
      </c>
      <c r="N10" s="1103" t="s">
        <v>2839</v>
      </c>
      <c r="O10" s="1103" t="s">
        <v>2840</v>
      </c>
      <c r="P10" s="1114">
        <f>(C78)</f>
        <v>1835.06</v>
      </c>
      <c r="Q10" s="1103" t="s">
        <v>2839</v>
      </c>
      <c r="R10" s="1114">
        <f>(M10*P10)</f>
        <v>1835.06</v>
      </c>
      <c r="T10" s="1104" t="s">
        <v>2841</v>
      </c>
      <c r="U10" s="1103" t="s">
        <v>2842</v>
      </c>
      <c r="V10" s="1103" t="s">
        <v>2834</v>
      </c>
      <c r="W10" s="1103" t="s">
        <v>2835</v>
      </c>
      <c r="X10" s="1114">
        <f>'lead  charge'!D12</f>
        <v>64</v>
      </c>
      <c r="Y10" s="1114">
        <v>642</v>
      </c>
      <c r="Z10" s="1114">
        <f>Z9</f>
        <v>555.05999999999995</v>
      </c>
      <c r="AA10" s="1104"/>
      <c r="AB10" s="1107">
        <v>0</v>
      </c>
      <c r="AC10" s="1103">
        <f t="shared" ref="AC10:AC36" si="0">SUM(Y10+Z10+AA10+AB10)</f>
        <v>1197.06</v>
      </c>
      <c r="AD10" s="1103" t="s">
        <v>2843</v>
      </c>
      <c r="AE10" s="1114">
        <f t="shared" ref="AE10:AE60" si="1">AF10</f>
        <v>804</v>
      </c>
      <c r="AF10" s="1114">
        <v>804</v>
      </c>
      <c r="AG10" s="1114">
        <f t="shared" ref="AG10:AG47" si="2">AF10*1.1</f>
        <v>884.40000000000009</v>
      </c>
      <c r="AH10" s="1105">
        <f t="shared" ref="AH10:AH47" si="3">AF10*1.2</f>
        <v>964.8</v>
      </c>
      <c r="AI10" s="1105">
        <f t="shared" ref="AI10:AI47" si="4">AF10*1.5</f>
        <v>1206</v>
      </c>
      <c r="AJ10" s="1105">
        <f t="shared" ref="AJ10:AJ44" si="5">AF10*1.05</f>
        <v>844.2</v>
      </c>
      <c r="AK10" s="1105">
        <f t="shared" ref="AK10:AK47" si="6">AF10*1.25</f>
        <v>1005</v>
      </c>
    </row>
    <row r="11" spans="1:40" ht="24" customHeight="1">
      <c r="A11" s="1122">
        <f t="shared" ref="A11:A35" si="7">(A10+1)</f>
        <v>2</v>
      </c>
      <c r="B11" s="1103" t="s">
        <v>2844</v>
      </c>
      <c r="C11" s="1114">
        <f>AE10</f>
        <v>804</v>
      </c>
      <c r="D11" s="1103">
        <f>AE9</f>
        <v>861</v>
      </c>
      <c r="F11" s="1114">
        <v>1</v>
      </c>
      <c r="G11" s="1114" t="s">
        <v>2839</v>
      </c>
      <c r="H11" s="1103" t="s">
        <v>2845</v>
      </c>
      <c r="I11" s="1114">
        <f>(C18)</f>
        <v>100</v>
      </c>
      <c r="J11" s="1103" t="s">
        <v>2839</v>
      </c>
      <c r="K11" s="1114">
        <f>(F11*I11)</f>
        <v>100</v>
      </c>
      <c r="M11" s="1114">
        <v>1</v>
      </c>
      <c r="N11" s="1103" t="s">
        <v>2839</v>
      </c>
      <c r="O11" s="1103" t="s">
        <v>2846</v>
      </c>
      <c r="P11" s="1114">
        <f>(C64)</f>
        <v>242</v>
      </c>
      <c r="Q11" s="1103" t="s">
        <v>2839</v>
      </c>
      <c r="R11" s="1114">
        <f>(M11*P11)</f>
        <v>242</v>
      </c>
      <c r="T11" s="1104" t="s">
        <v>2847</v>
      </c>
      <c r="U11" s="1103" t="s">
        <v>2848</v>
      </c>
      <c r="V11" s="1103" t="s">
        <v>2834</v>
      </c>
      <c r="W11" s="1103" t="s">
        <v>2835</v>
      </c>
      <c r="X11" s="1114">
        <f>'lead  charge'!D10:D10</f>
        <v>64</v>
      </c>
      <c r="Y11" s="1114">
        <v>744.33</v>
      </c>
      <c r="Z11" s="1114">
        <f>'lead  charge'!E10</f>
        <v>555.05999999999995</v>
      </c>
      <c r="AA11" s="1104"/>
      <c r="AB11" s="1107">
        <v>0</v>
      </c>
      <c r="AC11" s="1103">
        <f t="shared" si="0"/>
        <v>1299.3899999999999</v>
      </c>
      <c r="AD11" s="1103" t="s">
        <v>2849</v>
      </c>
      <c r="AE11" s="1114">
        <f t="shared" si="1"/>
        <v>562</v>
      </c>
      <c r="AF11" s="1114">
        <v>562</v>
      </c>
      <c r="AG11" s="1114">
        <f t="shared" si="2"/>
        <v>618.20000000000005</v>
      </c>
      <c r="AH11" s="1105">
        <f t="shared" si="3"/>
        <v>674.4</v>
      </c>
      <c r="AI11" s="1105">
        <f t="shared" si="4"/>
        <v>843</v>
      </c>
      <c r="AJ11" s="1105">
        <f t="shared" si="5"/>
        <v>590.1</v>
      </c>
      <c r="AK11" s="1105">
        <f t="shared" si="6"/>
        <v>702.5</v>
      </c>
      <c r="AN11" s="1105">
        <f>954+645+581</f>
        <v>2180</v>
      </c>
    </row>
    <row r="12" spans="1:40" ht="24" customHeight="1">
      <c r="A12" s="1122">
        <f t="shared" si="7"/>
        <v>3</v>
      </c>
      <c r="B12" s="1103" t="s">
        <v>2850</v>
      </c>
      <c r="C12" s="1114">
        <f>AE11</f>
        <v>562</v>
      </c>
      <c r="D12" s="1103" t="s">
        <v>2838</v>
      </c>
      <c r="G12" s="1114" t="s">
        <v>2851</v>
      </c>
      <c r="H12" s="1103" t="s">
        <v>2852</v>
      </c>
      <c r="I12" s="1103" t="s">
        <v>220</v>
      </c>
      <c r="J12" s="1103" t="s">
        <v>2851</v>
      </c>
      <c r="K12" s="1114">
        <v>0</v>
      </c>
      <c r="N12" s="1103" t="s">
        <v>2851</v>
      </c>
      <c r="O12" s="1103" t="s">
        <v>2852</v>
      </c>
      <c r="P12" s="1103" t="s">
        <v>220</v>
      </c>
      <c r="Q12" s="1103" t="s">
        <v>2851</v>
      </c>
      <c r="R12" s="1114">
        <v>0</v>
      </c>
      <c r="T12" s="1104" t="s">
        <v>2853</v>
      </c>
      <c r="U12" s="1103" t="s">
        <v>2854</v>
      </c>
      <c r="V12" s="1103" t="s">
        <v>2834</v>
      </c>
      <c r="W12" s="1103" t="s">
        <v>2835</v>
      </c>
      <c r="X12" s="1114">
        <f>X11</f>
        <v>64</v>
      </c>
      <c r="Y12" s="1114">
        <v>977</v>
      </c>
      <c r="Z12" s="1114">
        <f>Z11</f>
        <v>555.05999999999995</v>
      </c>
      <c r="AA12" s="1104"/>
      <c r="AB12" s="1107">
        <v>0</v>
      </c>
      <c r="AC12" s="1103">
        <f t="shared" si="0"/>
        <v>1532.06</v>
      </c>
      <c r="AD12" s="1103" t="s">
        <v>2855</v>
      </c>
      <c r="AE12" s="1114">
        <f t="shared" si="1"/>
        <v>461</v>
      </c>
      <c r="AF12" s="1114">
        <v>461</v>
      </c>
      <c r="AG12" s="1114">
        <f t="shared" si="2"/>
        <v>507.1</v>
      </c>
      <c r="AH12" s="1105">
        <f t="shared" si="3"/>
        <v>553.19999999999993</v>
      </c>
      <c r="AI12" s="1105">
        <f t="shared" si="4"/>
        <v>691.5</v>
      </c>
      <c r="AJ12" s="1105">
        <f t="shared" si="5"/>
        <v>484.05</v>
      </c>
      <c r="AK12" s="1105">
        <f t="shared" si="6"/>
        <v>576.25</v>
      </c>
      <c r="AN12" s="1105">
        <f>AN11/3</f>
        <v>726.66666666666663</v>
      </c>
    </row>
    <row r="13" spans="1:40" ht="24" customHeight="1">
      <c r="A13" s="1122">
        <f t="shared" si="7"/>
        <v>4</v>
      </c>
      <c r="B13" s="1103" t="s">
        <v>2856</v>
      </c>
      <c r="C13" s="1114">
        <f>AE12</f>
        <v>461</v>
      </c>
      <c r="D13" s="1103" t="s">
        <v>2838</v>
      </c>
      <c r="K13" s="1111" t="s">
        <v>36</v>
      </c>
      <c r="R13" s="1111" t="s">
        <v>36</v>
      </c>
      <c r="T13" s="1104" t="s">
        <v>2857</v>
      </c>
      <c r="U13" s="1103" t="s">
        <v>2858</v>
      </c>
      <c r="V13" s="1103" t="s">
        <v>2834</v>
      </c>
      <c r="W13" s="1103" t="s">
        <v>2835</v>
      </c>
      <c r="X13" s="1114">
        <f>X11</f>
        <v>64</v>
      </c>
      <c r="Y13" s="1114">
        <v>1329</v>
      </c>
      <c r="Z13" s="1114">
        <f>Z12</f>
        <v>555.05999999999995</v>
      </c>
      <c r="AA13" s="1104"/>
      <c r="AB13" s="1107">
        <v>0</v>
      </c>
      <c r="AC13" s="1103">
        <f t="shared" si="0"/>
        <v>1884.06</v>
      </c>
      <c r="AD13" s="1103" t="s">
        <v>2859</v>
      </c>
      <c r="AE13" s="1114">
        <f t="shared" si="1"/>
        <v>688</v>
      </c>
      <c r="AF13" s="1114">
        <v>688</v>
      </c>
      <c r="AG13" s="1114">
        <f t="shared" si="2"/>
        <v>756.80000000000007</v>
      </c>
      <c r="AH13" s="1105">
        <f t="shared" si="3"/>
        <v>825.6</v>
      </c>
      <c r="AI13" s="1105">
        <f t="shared" si="4"/>
        <v>1032</v>
      </c>
      <c r="AJ13" s="1105">
        <f t="shared" si="5"/>
        <v>722.4</v>
      </c>
      <c r="AK13" s="1105">
        <f t="shared" si="6"/>
        <v>860</v>
      </c>
    </row>
    <row r="14" spans="1:40" ht="24" customHeight="1">
      <c r="A14" s="1122">
        <f t="shared" si="7"/>
        <v>5</v>
      </c>
      <c r="B14" s="1103" t="s">
        <v>2860</v>
      </c>
      <c r="C14" s="1114">
        <f>AE13</f>
        <v>688</v>
      </c>
      <c r="D14" s="1114">
        <f>AE14</f>
        <v>666</v>
      </c>
      <c r="H14" s="1103" t="s">
        <v>2861</v>
      </c>
      <c r="K14" s="1115">
        <f>SUM(K9:K12)</f>
        <v>7656.66</v>
      </c>
      <c r="N14" s="1114">
        <f>SUM(K9:K12)</f>
        <v>7656.66</v>
      </c>
      <c r="O14" s="1103" t="s">
        <v>2861</v>
      </c>
      <c r="R14" s="1114">
        <f>SUM(R9:R12)</f>
        <v>2640.65</v>
      </c>
      <c r="T14" s="1104" t="s">
        <v>2862</v>
      </c>
      <c r="U14" s="1103" t="s">
        <v>2863</v>
      </c>
      <c r="V14" s="1103" t="s">
        <v>2834</v>
      </c>
      <c r="W14" s="1103" t="s">
        <v>2835</v>
      </c>
      <c r="X14" s="1114">
        <f>X11</f>
        <v>64</v>
      </c>
      <c r="Y14" s="1114">
        <v>1432</v>
      </c>
      <c r="Z14" s="1114">
        <f>Z13</f>
        <v>555.05999999999995</v>
      </c>
      <c r="AA14" s="1104"/>
      <c r="AB14" s="1107">
        <v>0</v>
      </c>
      <c r="AC14" s="1103">
        <f t="shared" si="0"/>
        <v>1987.06</v>
      </c>
      <c r="AD14" s="1103" t="s">
        <v>2864</v>
      </c>
      <c r="AE14" s="1114">
        <f t="shared" si="1"/>
        <v>666</v>
      </c>
      <c r="AF14" s="1114">
        <v>666</v>
      </c>
      <c r="AG14" s="1114">
        <f t="shared" si="2"/>
        <v>732.6</v>
      </c>
      <c r="AH14" s="1105">
        <f t="shared" si="3"/>
        <v>799.19999999999993</v>
      </c>
      <c r="AI14" s="1105">
        <f t="shared" si="4"/>
        <v>999</v>
      </c>
      <c r="AJ14" s="1105">
        <f t="shared" si="5"/>
        <v>699.30000000000007</v>
      </c>
      <c r="AK14" s="1105">
        <f t="shared" si="6"/>
        <v>832.5</v>
      </c>
    </row>
    <row r="15" spans="1:40" ht="24" customHeight="1">
      <c r="A15" s="1122">
        <f t="shared" si="7"/>
        <v>6</v>
      </c>
      <c r="B15" s="1103" t="s">
        <v>2865</v>
      </c>
      <c r="C15" s="1114">
        <f>AE15</f>
        <v>747</v>
      </c>
      <c r="D15" s="1103" t="s">
        <v>2838</v>
      </c>
      <c r="K15" s="1111" t="s">
        <v>36</v>
      </c>
      <c r="R15" s="1111" t="s">
        <v>36</v>
      </c>
      <c r="T15" s="1104" t="s">
        <v>2866</v>
      </c>
      <c r="U15" s="1103" t="s">
        <v>2867</v>
      </c>
      <c r="V15" s="1103" t="s">
        <v>2834</v>
      </c>
      <c r="W15" s="1103" t="s">
        <v>2835</v>
      </c>
      <c r="X15" s="1114">
        <f>X11</f>
        <v>64</v>
      </c>
      <c r="Y15" s="1114">
        <v>1029</v>
      </c>
      <c r="Z15" s="1114">
        <f>Z14</f>
        <v>555.05999999999995</v>
      </c>
      <c r="AA15" s="1104"/>
      <c r="AB15" s="1107">
        <v>0</v>
      </c>
      <c r="AC15" s="1103">
        <f t="shared" si="0"/>
        <v>1584.06</v>
      </c>
      <c r="AD15" s="1103" t="s">
        <v>2868</v>
      </c>
      <c r="AE15" s="1114">
        <f t="shared" si="1"/>
        <v>747</v>
      </c>
      <c r="AF15" s="1114">
        <v>747</v>
      </c>
      <c r="AG15" s="1114">
        <f t="shared" si="2"/>
        <v>821.7</v>
      </c>
      <c r="AH15" s="1105">
        <f t="shared" si="3"/>
        <v>896.4</v>
      </c>
      <c r="AI15" s="1105">
        <f t="shared" si="4"/>
        <v>1120.5</v>
      </c>
      <c r="AJ15" s="1105">
        <f t="shared" si="5"/>
        <v>784.35</v>
      </c>
      <c r="AK15" s="1105">
        <f t="shared" si="6"/>
        <v>933.75</v>
      </c>
    </row>
    <row r="16" spans="1:40" ht="24" customHeight="1">
      <c r="A16" s="1122">
        <f t="shared" si="7"/>
        <v>7</v>
      </c>
      <c r="B16" s="1103" t="s">
        <v>2869</v>
      </c>
      <c r="C16" s="1114">
        <f>AE19</f>
        <v>842</v>
      </c>
      <c r="D16" s="1114">
        <f>AE20</f>
        <v>804</v>
      </c>
      <c r="G16" s="1114" t="s">
        <v>1363</v>
      </c>
      <c r="H16" s="1103" t="s">
        <v>2870</v>
      </c>
      <c r="N16" s="1103" t="s">
        <v>1363</v>
      </c>
      <c r="O16" s="1103" t="s">
        <v>2871</v>
      </c>
      <c r="T16" s="1104" t="s">
        <v>2872</v>
      </c>
      <c r="U16" s="1103" t="s">
        <v>2873</v>
      </c>
      <c r="V16" s="1103" t="s">
        <v>2834</v>
      </c>
      <c r="W16" s="1123" t="s">
        <v>2835</v>
      </c>
      <c r="X16" s="1114">
        <f>'lead  charge'!D11</f>
        <v>64</v>
      </c>
      <c r="Y16" s="1115">
        <v>1280</v>
      </c>
      <c r="Z16" s="1114">
        <f>'lead  charge'!E11</f>
        <v>555.05999999999995</v>
      </c>
      <c r="AA16" s="1104"/>
      <c r="AB16" s="1107">
        <v>0</v>
      </c>
      <c r="AC16" s="1103">
        <f t="shared" si="0"/>
        <v>1835.06</v>
      </c>
      <c r="AD16" s="1103" t="s">
        <v>2874</v>
      </c>
      <c r="AE16" s="1114">
        <f t="shared" si="1"/>
        <v>724</v>
      </c>
      <c r="AF16" s="1114">
        <v>724</v>
      </c>
      <c r="AG16" s="1114">
        <f t="shared" si="2"/>
        <v>796.40000000000009</v>
      </c>
      <c r="AH16" s="1105">
        <f t="shared" si="3"/>
        <v>868.8</v>
      </c>
      <c r="AI16" s="1105">
        <f t="shared" si="4"/>
        <v>1086</v>
      </c>
      <c r="AJ16" s="1105">
        <f t="shared" si="5"/>
        <v>760.2</v>
      </c>
      <c r="AK16" s="1105">
        <f t="shared" si="6"/>
        <v>905</v>
      </c>
    </row>
    <row r="17" spans="1:37" ht="24" customHeight="1">
      <c r="A17" s="1122">
        <f t="shared" si="7"/>
        <v>8</v>
      </c>
      <c r="B17" s="1103" t="s">
        <v>2875</v>
      </c>
      <c r="C17" s="1114">
        <f>AE17</f>
        <v>760</v>
      </c>
      <c r="D17" s="1114">
        <f>AE18</f>
        <v>739</v>
      </c>
      <c r="H17" s="1111" t="s">
        <v>36</v>
      </c>
      <c r="O17" s="1103" t="s">
        <v>2876</v>
      </c>
      <c r="T17" s="1104" t="s">
        <v>2877</v>
      </c>
      <c r="U17" s="1103" t="s">
        <v>2878</v>
      </c>
      <c r="V17" s="1103" t="s">
        <v>2834</v>
      </c>
      <c r="W17" s="1103" t="s">
        <v>2835</v>
      </c>
      <c r="X17" s="1114">
        <f>X16</f>
        <v>64</v>
      </c>
      <c r="Y17" s="1115">
        <f>Y16</f>
        <v>1280</v>
      </c>
      <c r="Z17" s="1114">
        <f>Z16</f>
        <v>555.05999999999995</v>
      </c>
      <c r="AA17" s="1104"/>
      <c r="AB17" s="1107">
        <v>0</v>
      </c>
      <c r="AC17" s="1103">
        <f t="shared" si="0"/>
        <v>1835.06</v>
      </c>
      <c r="AD17" s="1103" t="s">
        <v>2879</v>
      </c>
      <c r="AE17" s="1114">
        <f t="shared" si="1"/>
        <v>760</v>
      </c>
      <c r="AF17" s="1114">
        <v>760</v>
      </c>
      <c r="AG17" s="1114">
        <f t="shared" si="2"/>
        <v>836.00000000000011</v>
      </c>
      <c r="AH17" s="1105">
        <f t="shared" si="3"/>
        <v>912</v>
      </c>
      <c r="AI17" s="1105">
        <f t="shared" si="4"/>
        <v>1140</v>
      </c>
      <c r="AJ17" s="1105">
        <f t="shared" si="5"/>
        <v>798</v>
      </c>
      <c r="AK17" s="1105">
        <f t="shared" si="6"/>
        <v>950</v>
      </c>
    </row>
    <row r="18" spans="1:37" ht="24" customHeight="1">
      <c r="A18" s="1122">
        <f t="shared" si="7"/>
        <v>9</v>
      </c>
      <c r="B18" s="1103" t="s">
        <v>2880</v>
      </c>
      <c r="C18" s="1114">
        <f>AE24</f>
        <v>100</v>
      </c>
      <c r="D18" s="1103" t="s">
        <v>2881</v>
      </c>
      <c r="F18" s="1114">
        <v>0.72</v>
      </c>
      <c r="G18" s="1114" t="s">
        <v>197</v>
      </c>
      <c r="H18" s="1103" t="s">
        <v>2830</v>
      </c>
      <c r="I18" s="1114">
        <f>(C67)</f>
        <v>5960</v>
      </c>
      <c r="J18" s="1103" t="s">
        <v>197</v>
      </c>
      <c r="K18" s="1114">
        <f>(F18*I18)</f>
        <v>4291.2</v>
      </c>
      <c r="O18" s="1103" t="s">
        <v>2882</v>
      </c>
      <c r="T18" s="1104" t="s">
        <v>2883</v>
      </c>
      <c r="U18" s="1103" t="s">
        <v>2884</v>
      </c>
      <c r="V18" s="1103" t="s">
        <v>2885</v>
      </c>
      <c r="W18" s="1123" t="s">
        <v>2886</v>
      </c>
      <c r="X18" s="1114">
        <f>'lead  charge'!G10</f>
        <v>30</v>
      </c>
      <c r="Y18" s="1114">
        <v>5570</v>
      </c>
      <c r="Z18" s="1114">
        <f>'lead  charge'!H10</f>
        <v>243.3</v>
      </c>
      <c r="AA18" s="1104"/>
      <c r="AB18" s="1107">
        <v>0</v>
      </c>
      <c r="AC18" s="1103">
        <f t="shared" si="0"/>
        <v>5813.3</v>
      </c>
      <c r="AD18" s="1103" t="s">
        <v>2887</v>
      </c>
      <c r="AE18" s="1114">
        <f t="shared" si="1"/>
        <v>739</v>
      </c>
      <c r="AF18" s="1114">
        <v>739</v>
      </c>
      <c r="AG18" s="1114">
        <f t="shared" si="2"/>
        <v>812.90000000000009</v>
      </c>
      <c r="AH18" s="1105">
        <f t="shared" si="3"/>
        <v>886.8</v>
      </c>
      <c r="AI18" s="1105">
        <f t="shared" si="4"/>
        <v>1108.5</v>
      </c>
      <c r="AJ18" s="1105">
        <f t="shared" si="5"/>
        <v>775.95</v>
      </c>
      <c r="AK18" s="1105">
        <f t="shared" si="6"/>
        <v>923.75</v>
      </c>
    </row>
    <row r="19" spans="1:37" ht="24" customHeight="1">
      <c r="A19" s="1122">
        <f t="shared" si="7"/>
        <v>10</v>
      </c>
      <c r="B19" s="1103" t="s">
        <v>2888</v>
      </c>
      <c r="C19" s="1114">
        <f t="shared" ref="C19:C24" si="8">AE41</f>
        <v>68</v>
      </c>
      <c r="D19" s="1103" t="s">
        <v>2839</v>
      </c>
      <c r="F19" s="1114">
        <v>1</v>
      </c>
      <c r="G19" s="1114" t="s">
        <v>2839</v>
      </c>
      <c r="H19" s="1103" t="s">
        <v>2840</v>
      </c>
      <c r="I19" s="1114">
        <f>I36</f>
        <v>1835.06</v>
      </c>
      <c r="J19" s="1103" t="s">
        <v>2839</v>
      </c>
      <c r="K19" s="1114">
        <f>(F19*I19)</f>
        <v>1835.06</v>
      </c>
      <c r="O19" s="1103" t="s">
        <v>2889</v>
      </c>
      <c r="T19" s="1104" t="s">
        <v>2890</v>
      </c>
      <c r="U19" s="1103" t="s">
        <v>2891</v>
      </c>
      <c r="V19" s="1103" t="s">
        <v>2839</v>
      </c>
      <c r="W19" s="1114" t="s">
        <v>2886</v>
      </c>
      <c r="X19" s="1114">
        <f>'lead  charge'!P10</f>
        <v>30</v>
      </c>
      <c r="Y19" s="1114">
        <v>688</v>
      </c>
      <c r="Z19" s="1114">
        <f>'lead  charge'!Q10</f>
        <v>198.29999999999998</v>
      </c>
      <c r="AA19" s="1104"/>
      <c r="AB19" s="1107">
        <v>0</v>
      </c>
      <c r="AC19" s="1103">
        <f t="shared" si="0"/>
        <v>886.3</v>
      </c>
      <c r="AD19" s="1103" t="s">
        <v>2892</v>
      </c>
      <c r="AE19" s="1114">
        <f t="shared" si="1"/>
        <v>842</v>
      </c>
      <c r="AF19" s="1114">
        <v>842</v>
      </c>
      <c r="AG19" s="1114">
        <f t="shared" si="2"/>
        <v>926.2</v>
      </c>
      <c r="AH19" s="1105">
        <f t="shared" si="3"/>
        <v>1010.4</v>
      </c>
      <c r="AI19" s="1105">
        <f t="shared" si="4"/>
        <v>1263</v>
      </c>
      <c r="AJ19" s="1105">
        <f t="shared" si="5"/>
        <v>884.1</v>
      </c>
      <c r="AK19" s="1105">
        <f t="shared" si="6"/>
        <v>1052.5</v>
      </c>
    </row>
    <row r="20" spans="1:37" ht="24" customHeight="1">
      <c r="A20" s="1122">
        <f t="shared" si="7"/>
        <v>11</v>
      </c>
      <c r="B20" s="1103" t="s">
        <v>2893</v>
      </c>
      <c r="C20" s="1114">
        <f t="shared" si="8"/>
        <v>137.19999999999999</v>
      </c>
      <c r="D20" s="1103" t="s">
        <v>2839</v>
      </c>
      <c r="F20" s="1114">
        <v>1</v>
      </c>
      <c r="G20" s="1114" t="s">
        <v>2839</v>
      </c>
      <c r="H20" s="1103" t="s">
        <v>2845</v>
      </c>
      <c r="I20" s="1114">
        <f>(C18)</f>
        <v>100</v>
      </c>
      <c r="J20" s="1103" t="s">
        <v>2839</v>
      </c>
      <c r="K20" s="1114">
        <f>(F20*I20)</f>
        <v>100</v>
      </c>
      <c r="O20" s="1103" t="s">
        <v>2894</v>
      </c>
      <c r="T20" s="1104" t="s">
        <v>2895</v>
      </c>
      <c r="U20" s="1103" t="s">
        <v>2896</v>
      </c>
      <c r="V20" s="1103" t="s">
        <v>2839</v>
      </c>
      <c r="W20" s="1114" t="s">
        <v>2886</v>
      </c>
      <c r="X20" s="1114">
        <f>X19</f>
        <v>30</v>
      </c>
      <c r="Y20" s="1114">
        <v>767</v>
      </c>
      <c r="Z20" s="1114">
        <f>Z19</f>
        <v>198.29999999999998</v>
      </c>
      <c r="AA20" s="1104"/>
      <c r="AB20" s="1107">
        <v>0</v>
      </c>
      <c r="AC20" s="1103">
        <f t="shared" si="0"/>
        <v>965.3</v>
      </c>
      <c r="AD20" s="1103" t="s">
        <v>2897</v>
      </c>
      <c r="AE20" s="1114">
        <f t="shared" si="1"/>
        <v>804</v>
      </c>
      <c r="AF20" s="1114">
        <v>804</v>
      </c>
      <c r="AG20" s="1114">
        <f t="shared" si="2"/>
        <v>884.40000000000009</v>
      </c>
      <c r="AH20" s="1105">
        <f t="shared" si="3"/>
        <v>964.8</v>
      </c>
      <c r="AI20" s="1105">
        <f t="shared" si="4"/>
        <v>1206</v>
      </c>
      <c r="AJ20" s="1105">
        <f t="shared" si="5"/>
        <v>844.2</v>
      </c>
      <c r="AK20" s="1105">
        <f t="shared" si="6"/>
        <v>1005</v>
      </c>
    </row>
    <row r="21" spans="1:37" ht="24" customHeight="1">
      <c r="A21" s="1122">
        <f t="shared" si="7"/>
        <v>12</v>
      </c>
      <c r="B21" s="1103" t="s">
        <v>2898</v>
      </c>
      <c r="C21" s="1114">
        <f t="shared" si="8"/>
        <v>137.19999999999999</v>
      </c>
      <c r="D21" s="1103" t="s">
        <v>2839</v>
      </c>
      <c r="G21" s="1114" t="s">
        <v>2851</v>
      </c>
      <c r="H21" s="1103" t="s">
        <v>2852</v>
      </c>
      <c r="I21" s="1103" t="s">
        <v>220</v>
      </c>
      <c r="J21" s="1103" t="s">
        <v>2851</v>
      </c>
      <c r="K21" s="1114">
        <v>0</v>
      </c>
      <c r="O21" s="1111" t="s">
        <v>36</v>
      </c>
      <c r="T21" s="1104" t="s">
        <v>2899</v>
      </c>
      <c r="U21" s="1103" t="s">
        <v>2900</v>
      </c>
      <c r="V21" s="1103" t="s">
        <v>2885</v>
      </c>
      <c r="W21" s="1103" t="s">
        <v>2901</v>
      </c>
      <c r="X21" s="1114">
        <f>'lead  charge'!J12</f>
        <v>0</v>
      </c>
      <c r="Y21" s="1114">
        <v>16106</v>
      </c>
      <c r="Z21" s="1114">
        <f>'lead  charge'!K11</f>
        <v>0</v>
      </c>
      <c r="AA21" s="1104"/>
      <c r="AB21" s="1107">
        <v>0</v>
      </c>
      <c r="AC21" s="1103">
        <f t="shared" si="0"/>
        <v>16106</v>
      </c>
      <c r="AD21" s="1103" t="s">
        <v>2902</v>
      </c>
      <c r="AE21" s="1114">
        <f t="shared" si="1"/>
        <v>661</v>
      </c>
      <c r="AF21" s="1114">
        <v>661</v>
      </c>
      <c r="AG21" s="1114">
        <f t="shared" si="2"/>
        <v>727.1</v>
      </c>
      <c r="AH21" s="1105">
        <f t="shared" si="3"/>
        <v>793.19999999999993</v>
      </c>
      <c r="AI21" s="1105">
        <f t="shared" si="4"/>
        <v>991.5</v>
      </c>
      <c r="AJ21" s="1105">
        <f t="shared" si="5"/>
        <v>694.05000000000007</v>
      </c>
      <c r="AK21" s="1105">
        <f t="shared" si="6"/>
        <v>826.25</v>
      </c>
    </row>
    <row r="22" spans="1:37" ht="24" customHeight="1">
      <c r="A22" s="1122">
        <f t="shared" si="7"/>
        <v>13</v>
      </c>
      <c r="B22" s="1103" t="s">
        <v>2903</v>
      </c>
      <c r="C22" s="1114">
        <f t="shared" si="8"/>
        <v>103.3</v>
      </c>
      <c r="D22" s="1103" t="s">
        <v>2839</v>
      </c>
      <c r="K22" s="1111" t="s">
        <v>36</v>
      </c>
      <c r="M22" s="1114">
        <v>1</v>
      </c>
      <c r="N22" s="1103" t="s">
        <v>2839</v>
      </c>
      <c r="O22" s="1103" t="s">
        <v>2904</v>
      </c>
      <c r="P22" s="1114">
        <f>C79</f>
        <v>1835.06</v>
      </c>
      <c r="Q22" s="1103" t="s">
        <v>2839</v>
      </c>
      <c r="R22" s="1114">
        <f>(M22*P22)</f>
        <v>1835.06</v>
      </c>
      <c r="T22" s="1104" t="s">
        <v>2905</v>
      </c>
      <c r="U22" s="1103" t="s">
        <v>2906</v>
      </c>
      <c r="V22" s="1103" t="s">
        <v>2834</v>
      </c>
      <c r="W22" s="1124" t="s">
        <v>2901</v>
      </c>
      <c r="X22" s="1114"/>
      <c r="Y22" s="1114">
        <v>1322</v>
      </c>
      <c r="Z22" s="1114"/>
      <c r="AA22" s="1104"/>
      <c r="AB22" s="1107">
        <v>0</v>
      </c>
      <c r="AC22" s="1103">
        <f t="shared" si="0"/>
        <v>1322</v>
      </c>
      <c r="AD22" s="1103" t="s">
        <v>2907</v>
      </c>
      <c r="AE22" s="1114">
        <f t="shared" si="1"/>
        <v>637</v>
      </c>
      <c r="AF22" s="1114">
        <v>637</v>
      </c>
      <c r="AG22" s="1114">
        <f t="shared" si="2"/>
        <v>700.7</v>
      </c>
      <c r="AH22" s="1105">
        <f t="shared" si="3"/>
        <v>764.4</v>
      </c>
      <c r="AI22" s="1105">
        <f t="shared" si="4"/>
        <v>955.5</v>
      </c>
      <c r="AJ22" s="1105">
        <f t="shared" si="5"/>
        <v>668.85</v>
      </c>
      <c r="AK22" s="1105">
        <f t="shared" si="6"/>
        <v>796.25</v>
      </c>
    </row>
    <row r="23" spans="1:37" ht="24" customHeight="1">
      <c r="A23" s="1122">
        <f t="shared" si="7"/>
        <v>14</v>
      </c>
      <c r="B23" s="1103" t="s">
        <v>2908</v>
      </c>
      <c r="C23" s="1114">
        <f t="shared" si="8"/>
        <v>203.5</v>
      </c>
      <c r="D23" s="1103" t="s">
        <v>2839</v>
      </c>
      <c r="H23" s="1103" t="s">
        <v>2861</v>
      </c>
      <c r="K23" s="1115">
        <f>SUM(K18:K21)</f>
        <v>6226.26</v>
      </c>
      <c r="M23" s="1114">
        <v>1</v>
      </c>
      <c r="N23" s="1103" t="s">
        <v>2839</v>
      </c>
      <c r="O23" s="1103" t="s">
        <v>2909</v>
      </c>
      <c r="P23" s="1114">
        <f>C85</f>
        <v>1127.18</v>
      </c>
      <c r="Q23" s="1103" t="s">
        <v>2839</v>
      </c>
      <c r="R23" s="1114">
        <f>(M23*P23)</f>
        <v>1127.18</v>
      </c>
      <c r="T23" s="1104" t="s">
        <v>2910</v>
      </c>
      <c r="U23" s="1103" t="s">
        <v>2911</v>
      </c>
      <c r="V23" s="1103" t="s">
        <v>2834</v>
      </c>
      <c r="W23" s="1124" t="s">
        <v>2912</v>
      </c>
      <c r="X23" s="1114">
        <f>'lead  charge'!P11</f>
        <v>22</v>
      </c>
      <c r="Y23" s="1114">
        <v>974</v>
      </c>
      <c r="Z23" s="1114">
        <f>'lead  charge'!Q11</f>
        <v>153.17999999999998</v>
      </c>
      <c r="AA23" s="1104"/>
      <c r="AB23" s="1107">
        <v>0</v>
      </c>
      <c r="AC23" s="1103">
        <f t="shared" si="0"/>
        <v>1127.18</v>
      </c>
      <c r="AD23" s="1103" t="s">
        <v>2913</v>
      </c>
      <c r="AE23" s="1114">
        <f t="shared" si="1"/>
        <v>663</v>
      </c>
      <c r="AF23" s="1114">
        <v>663</v>
      </c>
      <c r="AG23" s="1114">
        <f t="shared" si="2"/>
        <v>729.30000000000007</v>
      </c>
      <c r="AH23" s="1105">
        <f t="shared" si="3"/>
        <v>795.6</v>
      </c>
      <c r="AI23" s="1105">
        <f t="shared" si="4"/>
        <v>994.5</v>
      </c>
      <c r="AJ23" s="1105">
        <f t="shared" si="5"/>
        <v>696.15</v>
      </c>
      <c r="AK23" s="1105">
        <f t="shared" si="6"/>
        <v>828.75</v>
      </c>
    </row>
    <row r="24" spans="1:37" ht="24" customHeight="1">
      <c r="A24" s="1122">
        <f t="shared" si="7"/>
        <v>15</v>
      </c>
      <c r="B24" s="1103" t="s">
        <v>2914</v>
      </c>
      <c r="C24" s="1114">
        <f t="shared" si="8"/>
        <v>203.5</v>
      </c>
      <c r="D24" s="1103" t="s">
        <v>2839</v>
      </c>
      <c r="K24" s="1111" t="s">
        <v>36</v>
      </c>
      <c r="M24" s="1114">
        <v>1.5</v>
      </c>
      <c r="N24" s="1103" t="s">
        <v>2839</v>
      </c>
      <c r="O24" s="1103" t="s">
        <v>2915</v>
      </c>
      <c r="P24" s="1114">
        <f>C18</f>
        <v>100</v>
      </c>
      <c r="Q24" s="1103" t="s">
        <v>2839</v>
      </c>
      <c r="R24" s="1114">
        <f>(M24*P24)</f>
        <v>150</v>
      </c>
      <c r="T24" s="1104" t="s">
        <v>2916</v>
      </c>
      <c r="U24" s="1103" t="s">
        <v>2917</v>
      </c>
      <c r="V24" s="1103" t="s">
        <v>2834</v>
      </c>
      <c r="W24" s="1103" t="s">
        <v>2918</v>
      </c>
      <c r="X24" s="1105">
        <f>X25</f>
        <v>0</v>
      </c>
      <c r="Y24" s="1114">
        <v>34300</v>
      </c>
      <c r="Z24" s="1105">
        <f>Z25</f>
        <v>0</v>
      </c>
      <c r="AA24" s="1109"/>
      <c r="AB24" s="1107">
        <v>0</v>
      </c>
      <c r="AC24" s="1103">
        <f t="shared" si="0"/>
        <v>34300</v>
      </c>
      <c r="AD24" s="1103" t="s">
        <v>2919</v>
      </c>
      <c r="AE24" s="1114">
        <f t="shared" si="1"/>
        <v>100</v>
      </c>
      <c r="AF24" s="1114">
        <v>100</v>
      </c>
      <c r="AG24" s="1114">
        <f t="shared" si="2"/>
        <v>110.00000000000001</v>
      </c>
      <c r="AH24" s="1105">
        <f t="shared" si="3"/>
        <v>120</v>
      </c>
      <c r="AI24" s="1105">
        <f t="shared" si="4"/>
        <v>150</v>
      </c>
      <c r="AJ24" s="1105">
        <f t="shared" si="5"/>
        <v>105</v>
      </c>
      <c r="AK24" s="1105">
        <f t="shared" si="6"/>
        <v>125</v>
      </c>
    </row>
    <row r="25" spans="1:37" ht="24" customHeight="1">
      <c r="A25" s="1122">
        <f t="shared" si="7"/>
        <v>16</v>
      </c>
      <c r="B25" s="1103" t="s">
        <v>2920</v>
      </c>
      <c r="C25" s="1114">
        <f>AE25</f>
        <v>81.3</v>
      </c>
      <c r="D25" s="1103" t="s">
        <v>2839</v>
      </c>
      <c r="G25" s="1114" t="s">
        <v>1363</v>
      </c>
      <c r="H25" s="1103" t="s">
        <v>2921</v>
      </c>
      <c r="M25" s="1114">
        <v>1.5</v>
      </c>
      <c r="N25" s="1103" t="s">
        <v>2839</v>
      </c>
      <c r="O25" s="1103" t="s">
        <v>2922</v>
      </c>
      <c r="P25" s="1114">
        <f>C27</f>
        <v>29.5</v>
      </c>
      <c r="Q25" s="1103" t="s">
        <v>2839</v>
      </c>
      <c r="R25" s="1114">
        <f>(M25*P25)</f>
        <v>44.25</v>
      </c>
      <c r="T25" s="1104" t="s">
        <v>2923</v>
      </c>
      <c r="U25" s="1125" t="s">
        <v>2924</v>
      </c>
      <c r="V25" s="1103" t="s">
        <v>2834</v>
      </c>
      <c r="W25" s="1124" t="s">
        <v>2918</v>
      </c>
      <c r="X25" s="1105">
        <f>'lead  charge'!P12</f>
        <v>0</v>
      </c>
      <c r="Y25" s="1114">
        <v>39400</v>
      </c>
      <c r="Z25" s="1105">
        <f>'lead  charge'!Q12</f>
        <v>0</v>
      </c>
      <c r="AA25" s="1109"/>
      <c r="AB25" s="1107">
        <v>0</v>
      </c>
      <c r="AC25" s="1103">
        <f>SUM(Y25+Z25+AA25+AB25)</f>
        <v>39400</v>
      </c>
      <c r="AD25" s="1103" t="s">
        <v>2925</v>
      </c>
      <c r="AE25" s="1114">
        <f t="shared" si="1"/>
        <v>81.3</v>
      </c>
      <c r="AF25" s="1114">
        <v>81.3</v>
      </c>
      <c r="AG25" s="1114">
        <f t="shared" si="2"/>
        <v>89.43</v>
      </c>
      <c r="AH25" s="1105">
        <f t="shared" si="3"/>
        <v>97.559999999999988</v>
      </c>
      <c r="AI25" s="1105">
        <f t="shared" si="4"/>
        <v>121.94999999999999</v>
      </c>
      <c r="AJ25" s="1105">
        <f t="shared" si="5"/>
        <v>85.364999999999995</v>
      </c>
      <c r="AK25" s="1105">
        <f t="shared" si="6"/>
        <v>101.625</v>
      </c>
    </row>
    <row r="26" spans="1:37" ht="24" customHeight="1">
      <c r="A26" s="1122">
        <f t="shared" si="7"/>
        <v>17</v>
      </c>
      <c r="B26" s="1103" t="s">
        <v>2926</v>
      </c>
      <c r="C26" s="1114">
        <f>AE28</f>
        <v>33.6</v>
      </c>
      <c r="D26" s="1103" t="s">
        <v>2927</v>
      </c>
      <c r="E26" s="1105">
        <f>(65.8+87.9+100.7)/3</f>
        <v>84.8</v>
      </c>
      <c r="H26" s="1111" t="s">
        <v>36</v>
      </c>
      <c r="N26" s="1103" t="s">
        <v>2851</v>
      </c>
      <c r="O26" s="1103" t="s">
        <v>2852</v>
      </c>
      <c r="P26" s="1103" t="s">
        <v>220</v>
      </c>
      <c r="Q26" s="1103" t="s">
        <v>2851</v>
      </c>
      <c r="R26" s="1114">
        <v>0</v>
      </c>
      <c r="T26" s="1104" t="s">
        <v>2928</v>
      </c>
      <c r="U26" s="1103" t="s">
        <v>2929</v>
      </c>
      <c r="V26" s="1103" t="s">
        <v>2834</v>
      </c>
      <c r="W26" s="1124" t="s">
        <v>2918</v>
      </c>
      <c r="X26" s="1105">
        <f>X25</f>
        <v>0</v>
      </c>
      <c r="Y26" s="1114">
        <v>111600</v>
      </c>
      <c r="Z26" s="1105">
        <f>'lead  charge'!Q12</f>
        <v>0</v>
      </c>
      <c r="AA26" s="1109"/>
      <c r="AB26" s="1107">
        <v>0</v>
      </c>
      <c r="AC26" s="1103">
        <f>SUM(Y26+Z26+AA26+AB26)</f>
        <v>111600</v>
      </c>
      <c r="AD26" s="1103" t="s">
        <v>2930</v>
      </c>
      <c r="AE26" s="1114">
        <f t="shared" si="1"/>
        <v>60.2</v>
      </c>
      <c r="AF26" s="1114">
        <v>60.2</v>
      </c>
      <c r="AG26" s="1114">
        <f t="shared" si="2"/>
        <v>66.220000000000013</v>
      </c>
      <c r="AH26" s="1105">
        <f t="shared" si="3"/>
        <v>72.239999999999995</v>
      </c>
      <c r="AI26" s="1105">
        <f t="shared" si="4"/>
        <v>90.300000000000011</v>
      </c>
      <c r="AJ26" s="1105">
        <f t="shared" si="5"/>
        <v>63.210000000000008</v>
      </c>
      <c r="AK26" s="1105">
        <f t="shared" si="6"/>
        <v>75.25</v>
      </c>
    </row>
    <row r="27" spans="1:37" ht="24" customHeight="1">
      <c r="A27" s="1122">
        <f t="shared" si="7"/>
        <v>18</v>
      </c>
      <c r="B27" s="1103" t="s">
        <v>2931</v>
      </c>
      <c r="C27" s="1114">
        <f>AE27</f>
        <v>29.5</v>
      </c>
      <c r="D27" s="1103" t="s">
        <v>2927</v>
      </c>
      <c r="E27" s="1105">
        <f>(59.3+83+95)/3</f>
        <v>79.100000000000009</v>
      </c>
      <c r="F27" s="1114">
        <v>0.48</v>
      </c>
      <c r="G27" s="1114" t="s">
        <v>197</v>
      </c>
      <c r="H27" s="1103" t="s">
        <v>2830</v>
      </c>
      <c r="I27" s="1114">
        <f>(C67)</f>
        <v>5960</v>
      </c>
      <c r="J27" s="1103" t="s">
        <v>197</v>
      </c>
      <c r="K27" s="1114">
        <f>(F27*I27)</f>
        <v>2860.7999999999997</v>
      </c>
      <c r="R27" s="1111" t="s">
        <v>36</v>
      </c>
      <c r="T27" s="1104" t="s">
        <v>2932</v>
      </c>
      <c r="U27" s="1103" t="s">
        <v>2933</v>
      </c>
      <c r="V27" s="1103" t="s">
        <v>2834</v>
      </c>
      <c r="W27" s="1124" t="s">
        <v>2918</v>
      </c>
      <c r="X27" s="1105">
        <f>X26</f>
        <v>0</v>
      </c>
      <c r="Y27" s="1114">
        <v>99400</v>
      </c>
      <c r="Z27" s="1105">
        <f>Z26</f>
        <v>0</v>
      </c>
      <c r="AA27" s="1109"/>
      <c r="AB27" s="1107">
        <v>0</v>
      </c>
      <c r="AC27" s="1103">
        <f>SUM(Y27+Z27+AA27+AB27)</f>
        <v>99400</v>
      </c>
      <c r="AD27" s="1103" t="s">
        <v>2934</v>
      </c>
      <c r="AE27" s="1114">
        <f t="shared" si="1"/>
        <v>29.5</v>
      </c>
      <c r="AF27" s="1114">
        <v>29.5</v>
      </c>
      <c r="AG27" s="1114">
        <f t="shared" si="2"/>
        <v>32.450000000000003</v>
      </c>
      <c r="AH27" s="1105">
        <f t="shared" si="3"/>
        <v>35.4</v>
      </c>
      <c r="AI27" s="1105">
        <f t="shared" si="4"/>
        <v>44.25</v>
      </c>
      <c r="AJ27" s="1105">
        <f t="shared" si="5"/>
        <v>30.975000000000001</v>
      </c>
      <c r="AK27" s="1105">
        <f t="shared" si="6"/>
        <v>36.875</v>
      </c>
    </row>
    <row r="28" spans="1:37" ht="24" customHeight="1">
      <c r="A28" s="1122">
        <f t="shared" si="7"/>
        <v>19</v>
      </c>
      <c r="B28" s="1103" t="s">
        <v>2935</v>
      </c>
      <c r="C28" s="1115">
        <v>85.6</v>
      </c>
      <c r="D28" s="1103" t="s">
        <v>2851</v>
      </c>
      <c r="E28" s="1105">
        <v>226.12</v>
      </c>
      <c r="F28" s="1114">
        <v>1</v>
      </c>
      <c r="G28" s="1114" t="s">
        <v>2839</v>
      </c>
      <c r="H28" s="1103" t="s">
        <v>2840</v>
      </c>
      <c r="I28" s="1114">
        <f>(C78)</f>
        <v>1835.06</v>
      </c>
      <c r="J28" s="1103" t="s">
        <v>2839</v>
      </c>
      <c r="K28" s="1114">
        <f>(F28*I28)</f>
        <v>1835.06</v>
      </c>
      <c r="O28" s="1103" t="s">
        <v>2936</v>
      </c>
      <c r="R28" s="1114">
        <f>SUM(R22:R26)</f>
        <v>3156.49</v>
      </c>
      <c r="T28" s="1104" t="s">
        <v>2937</v>
      </c>
      <c r="U28" s="1103" t="s">
        <v>2938</v>
      </c>
      <c r="V28" s="1103" t="s">
        <v>2834</v>
      </c>
      <c r="W28" s="1124" t="s">
        <v>2918</v>
      </c>
      <c r="X28" s="1105">
        <f>X27</f>
        <v>0</v>
      </c>
      <c r="Y28" s="1114">
        <v>95000</v>
      </c>
      <c r="Z28" s="1105">
        <f>Z27</f>
        <v>0</v>
      </c>
      <c r="AA28" s="1109"/>
      <c r="AB28" s="1107">
        <v>0</v>
      </c>
      <c r="AC28" s="1103">
        <f>SUM(Y28+Z28+AA28+AB28)</f>
        <v>95000</v>
      </c>
      <c r="AD28" s="1103" t="s">
        <v>2939</v>
      </c>
      <c r="AE28" s="1114">
        <f t="shared" si="1"/>
        <v>33.6</v>
      </c>
      <c r="AF28" s="1114">
        <v>33.6</v>
      </c>
      <c r="AG28" s="1114">
        <f t="shared" si="2"/>
        <v>36.960000000000008</v>
      </c>
      <c r="AH28" s="1105">
        <f t="shared" si="3"/>
        <v>40.32</v>
      </c>
      <c r="AI28" s="1105">
        <f t="shared" si="4"/>
        <v>50.400000000000006</v>
      </c>
      <c r="AJ28" s="1105">
        <f t="shared" si="5"/>
        <v>35.28</v>
      </c>
      <c r="AK28" s="1105">
        <f t="shared" si="6"/>
        <v>42</v>
      </c>
    </row>
    <row r="29" spans="1:37" ht="24" customHeight="1">
      <c r="A29" s="1122">
        <f t="shared" si="7"/>
        <v>20</v>
      </c>
      <c r="B29" s="1103" t="s">
        <v>2940</v>
      </c>
      <c r="C29" s="1114">
        <f>AE23</f>
        <v>663</v>
      </c>
      <c r="D29" s="1103" t="s">
        <v>2941</v>
      </c>
      <c r="E29" s="1105">
        <f>E28/3</f>
        <v>75.373333333333335</v>
      </c>
      <c r="F29" s="1114">
        <v>1</v>
      </c>
      <c r="G29" s="1114" t="s">
        <v>2839</v>
      </c>
      <c r="H29" s="1103" t="s">
        <v>2845</v>
      </c>
      <c r="I29" s="1114">
        <f>(C18)</f>
        <v>100</v>
      </c>
      <c r="J29" s="1103" t="s">
        <v>2839</v>
      </c>
      <c r="K29" s="1114">
        <f>(F29*I29)</f>
        <v>100</v>
      </c>
      <c r="R29" s="1111" t="s">
        <v>36</v>
      </c>
      <c r="T29" s="1104" t="s">
        <v>2942</v>
      </c>
      <c r="U29" s="1103" t="s">
        <v>2943</v>
      </c>
      <c r="V29" s="1103" t="s">
        <v>2885</v>
      </c>
      <c r="W29" s="1114" t="s">
        <v>2886</v>
      </c>
      <c r="X29" s="1114">
        <f>X18</f>
        <v>30</v>
      </c>
      <c r="Y29" s="1114">
        <v>4195</v>
      </c>
      <c r="Z29" s="1114">
        <f>'lead  charge'!H10</f>
        <v>243.3</v>
      </c>
      <c r="AA29" s="1109"/>
      <c r="AB29" s="1107">
        <v>0</v>
      </c>
      <c r="AC29" s="1103">
        <f>SUM(Y29+Z29+AA29+AB29)</f>
        <v>4438.3</v>
      </c>
      <c r="AD29" s="1103" t="s">
        <v>2944</v>
      </c>
      <c r="AE29" s="1114">
        <f t="shared" si="1"/>
        <v>96.6</v>
      </c>
      <c r="AF29" s="1114">
        <v>96.6</v>
      </c>
      <c r="AG29" s="1114">
        <f t="shared" si="2"/>
        <v>106.26</v>
      </c>
      <c r="AH29" s="1105">
        <f t="shared" si="3"/>
        <v>115.91999999999999</v>
      </c>
      <c r="AI29" s="1105">
        <f t="shared" si="4"/>
        <v>144.89999999999998</v>
      </c>
      <c r="AJ29" s="1105">
        <f t="shared" si="5"/>
        <v>101.42999999999999</v>
      </c>
      <c r="AK29" s="1105">
        <f t="shared" si="6"/>
        <v>120.75</v>
      </c>
    </row>
    <row r="30" spans="1:37" ht="24" customHeight="1">
      <c r="A30" s="1122">
        <f t="shared" si="7"/>
        <v>21</v>
      </c>
      <c r="B30" s="1103" t="s">
        <v>2945</v>
      </c>
      <c r="C30" s="1114">
        <f>AE33</f>
        <v>11800</v>
      </c>
      <c r="D30" s="1114">
        <f>AE31</f>
        <v>1105</v>
      </c>
      <c r="G30" s="1114" t="s">
        <v>2851</v>
      </c>
      <c r="H30" s="1103" t="s">
        <v>2852</v>
      </c>
      <c r="I30" s="1103" t="s">
        <v>220</v>
      </c>
      <c r="J30" s="1103" t="s">
        <v>2851</v>
      </c>
      <c r="K30" s="1114">
        <v>0</v>
      </c>
      <c r="O30" s="1103" t="s">
        <v>2946</v>
      </c>
      <c r="R30" s="1114">
        <f>(R28/1.5)</f>
        <v>2104.3266666666664</v>
      </c>
      <c r="T30" s="1104" t="s">
        <v>2947</v>
      </c>
      <c r="U30" s="1103" t="s">
        <v>2948</v>
      </c>
      <c r="V30" s="1103" t="s">
        <v>2885</v>
      </c>
      <c r="W30" s="1124" t="s">
        <v>2918</v>
      </c>
      <c r="X30" s="1114"/>
      <c r="Y30" s="1114">
        <v>11790</v>
      </c>
      <c r="Z30" s="1114"/>
      <c r="AA30" s="1104"/>
      <c r="AB30" s="1107">
        <v>0</v>
      </c>
      <c r="AC30" s="1103">
        <f t="shared" si="0"/>
        <v>11790</v>
      </c>
      <c r="AD30" s="1103" t="s">
        <v>2949</v>
      </c>
      <c r="AE30" s="1114">
        <f t="shared" si="1"/>
        <v>1325</v>
      </c>
      <c r="AF30" s="1114">
        <v>1325</v>
      </c>
      <c r="AG30" s="1114">
        <f t="shared" si="2"/>
        <v>1457.5000000000002</v>
      </c>
      <c r="AH30" s="1105">
        <f t="shared" si="3"/>
        <v>1590</v>
      </c>
      <c r="AI30" s="1105">
        <f t="shared" si="4"/>
        <v>1987.5</v>
      </c>
      <c r="AJ30" s="1105">
        <f t="shared" si="5"/>
        <v>1391.25</v>
      </c>
      <c r="AK30" s="1105">
        <f t="shared" si="6"/>
        <v>1656.25</v>
      </c>
    </row>
    <row r="31" spans="1:37" ht="24" customHeight="1">
      <c r="A31" s="1122">
        <f t="shared" si="7"/>
        <v>22</v>
      </c>
      <c r="B31" s="1103" t="s">
        <v>2950</v>
      </c>
      <c r="C31" s="1114">
        <f>AE30</f>
        <v>1325</v>
      </c>
      <c r="D31" s="1114">
        <f>AE32</f>
        <v>1239</v>
      </c>
      <c r="K31" s="1111" t="s">
        <v>36</v>
      </c>
      <c r="O31" s="1103" t="s">
        <v>2568</v>
      </c>
      <c r="R31" s="1111" t="s">
        <v>2793</v>
      </c>
      <c r="T31" s="1104" t="s">
        <v>2951</v>
      </c>
      <c r="U31" s="1103" t="s">
        <v>2952</v>
      </c>
      <c r="V31" s="1103" t="s">
        <v>197</v>
      </c>
      <c r="W31" s="1103" t="s">
        <v>2918</v>
      </c>
      <c r="X31" s="1114">
        <f>'lead  charge'!D14</f>
        <v>0</v>
      </c>
      <c r="Y31" s="1114">
        <v>5960</v>
      </c>
      <c r="Z31" s="1114">
        <f>'lead  charge'!E14</f>
        <v>0</v>
      </c>
      <c r="AA31" s="1104"/>
      <c r="AB31" s="1107"/>
      <c r="AC31" s="1103">
        <f>SUM(Y31+Z31+AA31+AB31)</f>
        <v>5960</v>
      </c>
      <c r="AD31" s="1103" t="s">
        <v>2953</v>
      </c>
      <c r="AE31" s="1114">
        <f t="shared" si="1"/>
        <v>1105</v>
      </c>
      <c r="AF31" s="1114">
        <v>1105</v>
      </c>
      <c r="AG31" s="1114">
        <f t="shared" si="2"/>
        <v>1215.5</v>
      </c>
      <c r="AH31" s="1105">
        <f t="shared" si="3"/>
        <v>1326</v>
      </c>
      <c r="AI31" s="1105">
        <f t="shared" si="4"/>
        <v>1657.5</v>
      </c>
      <c r="AJ31" s="1105">
        <f t="shared" si="5"/>
        <v>1160.25</v>
      </c>
      <c r="AK31" s="1105">
        <f t="shared" si="6"/>
        <v>1381.25</v>
      </c>
    </row>
    <row r="32" spans="1:37" ht="24" customHeight="1">
      <c r="A32" s="1122">
        <f t="shared" si="7"/>
        <v>23</v>
      </c>
      <c r="B32" s="1103" t="s">
        <v>2954</v>
      </c>
      <c r="C32" s="1114">
        <v>2.5</v>
      </c>
      <c r="D32" s="1114">
        <f>AE34</f>
        <v>1035</v>
      </c>
      <c r="H32" s="1103" t="s">
        <v>2861</v>
      </c>
      <c r="K32" s="1115">
        <f>SUM(K27:K30)</f>
        <v>4795.8599999999997</v>
      </c>
      <c r="T32" s="1104" t="s">
        <v>2955</v>
      </c>
      <c r="U32" s="1103" t="s">
        <v>2956</v>
      </c>
      <c r="V32" s="1103" t="s">
        <v>197</v>
      </c>
      <c r="W32" s="1103" t="s">
        <v>2901</v>
      </c>
      <c r="X32" s="1114">
        <f>'lead  charge'!D15</f>
        <v>0</v>
      </c>
      <c r="Y32" s="1114">
        <v>51750</v>
      </c>
      <c r="Z32" s="1114">
        <f>Z31</f>
        <v>0</v>
      </c>
      <c r="AA32" s="1104"/>
      <c r="AB32" s="1107">
        <v>0</v>
      </c>
      <c r="AC32" s="1103">
        <f>SUM(Y32+Z32+AA32+AB32)</f>
        <v>51750</v>
      </c>
      <c r="AD32" s="1103" t="s">
        <v>2957</v>
      </c>
      <c r="AE32" s="1114">
        <f t="shared" si="1"/>
        <v>1239</v>
      </c>
      <c r="AF32" s="1114">
        <v>1239</v>
      </c>
      <c r="AG32" s="1114">
        <f t="shared" si="2"/>
        <v>1362.9</v>
      </c>
      <c r="AH32" s="1105">
        <f t="shared" si="3"/>
        <v>1486.8</v>
      </c>
      <c r="AI32" s="1105">
        <f t="shared" si="4"/>
        <v>1858.5</v>
      </c>
      <c r="AJ32" s="1105">
        <f t="shared" si="5"/>
        <v>1300.95</v>
      </c>
      <c r="AK32" s="1105">
        <f t="shared" si="6"/>
        <v>1548.75</v>
      </c>
    </row>
    <row r="33" spans="1:37" ht="24" customHeight="1">
      <c r="A33" s="1122">
        <f t="shared" si="7"/>
        <v>24</v>
      </c>
      <c r="B33" s="1103" t="s">
        <v>2958</v>
      </c>
      <c r="C33" s="1114">
        <v>3.64</v>
      </c>
      <c r="D33" s="1114">
        <f>AE35</f>
        <v>925</v>
      </c>
      <c r="K33" s="1111" t="s">
        <v>36</v>
      </c>
      <c r="T33" s="1126" t="s">
        <v>2959</v>
      </c>
      <c r="U33" s="1103" t="s">
        <v>2960</v>
      </c>
      <c r="V33" s="1103" t="s">
        <v>197</v>
      </c>
      <c r="W33" s="1103" t="s">
        <v>2901</v>
      </c>
      <c r="X33" s="1114">
        <f>X32</f>
        <v>0</v>
      </c>
      <c r="Y33" s="1114">
        <f>Y32</f>
        <v>51750</v>
      </c>
      <c r="Z33" s="1114">
        <f>Z32</f>
        <v>0</v>
      </c>
      <c r="AA33" s="1104"/>
      <c r="AB33" s="1107">
        <v>0</v>
      </c>
      <c r="AC33" s="1103">
        <f t="shared" si="0"/>
        <v>51750</v>
      </c>
      <c r="AD33" s="1103" t="s">
        <v>2961</v>
      </c>
      <c r="AE33" s="1114">
        <f t="shared" si="1"/>
        <v>11800</v>
      </c>
      <c r="AF33" s="1114">
        <v>11800</v>
      </c>
      <c r="AG33" s="1114">
        <f t="shared" si="2"/>
        <v>12980.000000000002</v>
      </c>
      <c r="AH33" s="1105">
        <f t="shared" si="3"/>
        <v>14160</v>
      </c>
      <c r="AI33" s="1105">
        <f t="shared" si="4"/>
        <v>17700</v>
      </c>
      <c r="AJ33" s="1105">
        <f t="shared" si="5"/>
        <v>12390</v>
      </c>
      <c r="AK33" s="1105">
        <f t="shared" si="6"/>
        <v>14750</v>
      </c>
    </row>
    <row r="34" spans="1:37" ht="24" customHeight="1">
      <c r="A34" s="1122">
        <f t="shared" si="7"/>
        <v>25</v>
      </c>
      <c r="B34" s="1103" t="s">
        <v>2962</v>
      </c>
      <c r="C34" s="1114">
        <v>47300</v>
      </c>
      <c r="D34" s="1114">
        <f>C34</f>
        <v>47300</v>
      </c>
      <c r="G34" s="1114" t="s">
        <v>1363</v>
      </c>
      <c r="H34" s="1103" t="s">
        <v>2963</v>
      </c>
      <c r="T34" s="1126" t="s">
        <v>2964</v>
      </c>
      <c r="U34" s="1103" t="s">
        <v>2965</v>
      </c>
      <c r="V34" s="1103" t="s">
        <v>2885</v>
      </c>
      <c r="W34" s="1114" t="s">
        <v>2886</v>
      </c>
      <c r="X34" s="1114">
        <f>'lead  charge'!G10</f>
        <v>30</v>
      </c>
      <c r="Y34" s="1114">
        <f>Y29</f>
        <v>4195</v>
      </c>
      <c r="Z34" s="1114">
        <f>Z29</f>
        <v>243.3</v>
      </c>
      <c r="AA34" s="1104"/>
      <c r="AB34" s="1107">
        <v>0</v>
      </c>
      <c r="AC34" s="1103">
        <f t="shared" si="0"/>
        <v>4438.3</v>
      </c>
      <c r="AD34" s="1103" t="s">
        <v>2966</v>
      </c>
      <c r="AE34" s="1114">
        <f t="shared" si="1"/>
        <v>1035</v>
      </c>
      <c r="AF34" s="1114">
        <v>1035</v>
      </c>
      <c r="AG34" s="1114">
        <f t="shared" si="2"/>
        <v>1138.5</v>
      </c>
      <c r="AH34" s="1105">
        <f t="shared" si="3"/>
        <v>1242</v>
      </c>
      <c r="AI34" s="1105">
        <f t="shared" si="4"/>
        <v>1552.5</v>
      </c>
      <c r="AJ34" s="1105">
        <f t="shared" si="5"/>
        <v>1086.75</v>
      </c>
      <c r="AK34" s="1105">
        <f t="shared" si="6"/>
        <v>1293.75</v>
      </c>
    </row>
    <row r="35" spans="1:37" ht="24" customHeight="1">
      <c r="A35" s="1122">
        <f t="shared" si="7"/>
        <v>26</v>
      </c>
      <c r="B35" s="1103" t="s">
        <v>2784</v>
      </c>
      <c r="C35" s="1114">
        <f>AC38</f>
        <v>513</v>
      </c>
      <c r="F35" s="1114">
        <v>0.36</v>
      </c>
      <c r="G35" s="1114" t="s">
        <v>197</v>
      </c>
      <c r="H35" s="1103" t="s">
        <v>2830</v>
      </c>
      <c r="I35" s="1114">
        <f>C67</f>
        <v>5960</v>
      </c>
      <c r="J35" s="1103" t="s">
        <v>197</v>
      </c>
      <c r="K35" s="1114">
        <f>(F35*I35)</f>
        <v>2145.6</v>
      </c>
      <c r="R35" s="1105" t="s">
        <v>2967</v>
      </c>
      <c r="T35" s="1104" t="s">
        <v>2968</v>
      </c>
      <c r="U35" s="1103" t="s">
        <v>2969</v>
      </c>
      <c r="V35" s="1103" t="s">
        <v>2834</v>
      </c>
      <c r="W35" s="1103" t="s">
        <v>2835</v>
      </c>
      <c r="X35" s="1114">
        <f>X11</f>
        <v>64</v>
      </c>
      <c r="Y35" s="1127">
        <v>924</v>
      </c>
      <c r="Z35" s="1114">
        <f>Z11</f>
        <v>555.05999999999995</v>
      </c>
      <c r="AA35" s="1104"/>
      <c r="AB35" s="1107"/>
      <c r="AC35" s="1103">
        <f t="shared" si="0"/>
        <v>1479.06</v>
      </c>
      <c r="AD35" s="1103" t="s">
        <v>2970</v>
      </c>
      <c r="AE35" s="1114">
        <f t="shared" si="1"/>
        <v>925</v>
      </c>
      <c r="AF35" s="1114">
        <v>925</v>
      </c>
      <c r="AG35" s="1114">
        <f t="shared" si="2"/>
        <v>1017.5000000000001</v>
      </c>
      <c r="AH35" s="1105">
        <f t="shared" si="3"/>
        <v>1110</v>
      </c>
      <c r="AI35" s="1105">
        <f t="shared" si="4"/>
        <v>1387.5</v>
      </c>
      <c r="AJ35" s="1105">
        <f t="shared" si="5"/>
        <v>971.25</v>
      </c>
      <c r="AK35" s="1105">
        <f t="shared" si="6"/>
        <v>1156.25</v>
      </c>
    </row>
    <row r="36" spans="1:37" ht="24" customHeight="1">
      <c r="A36" s="1105" t="s">
        <v>220</v>
      </c>
      <c r="B36" s="1103" t="s">
        <v>2971</v>
      </c>
      <c r="C36" s="1114">
        <v>9.3000000000000007</v>
      </c>
      <c r="F36" s="1114">
        <v>1</v>
      </c>
      <c r="G36" s="1114" t="s">
        <v>2839</v>
      </c>
      <c r="H36" s="1103" t="s">
        <v>2840</v>
      </c>
      <c r="I36" s="1114">
        <f>AC16</f>
        <v>1835.06</v>
      </c>
      <c r="J36" s="1103" t="s">
        <v>2839</v>
      </c>
      <c r="K36" s="1114">
        <f>(F36*I36)</f>
        <v>1835.06</v>
      </c>
      <c r="T36" s="1104" t="s">
        <v>2972</v>
      </c>
      <c r="U36" s="1103" t="s">
        <v>2973</v>
      </c>
      <c r="V36" s="1103" t="s">
        <v>2834</v>
      </c>
      <c r="W36" s="1103" t="s">
        <v>2835</v>
      </c>
      <c r="X36" s="1114">
        <f>X11</f>
        <v>64</v>
      </c>
      <c r="Y36" s="1127">
        <v>1041.5</v>
      </c>
      <c r="Z36" s="1114">
        <f>Z11</f>
        <v>555.05999999999995</v>
      </c>
      <c r="AA36" s="1104"/>
      <c r="AB36" s="1107">
        <v>0</v>
      </c>
      <c r="AC36" s="1103">
        <f t="shared" si="0"/>
        <v>1596.56</v>
      </c>
      <c r="AD36" s="1103" t="s">
        <v>2974</v>
      </c>
      <c r="AE36" s="1114">
        <f t="shared" si="1"/>
        <v>143.9</v>
      </c>
      <c r="AF36" s="1114">
        <v>143.9</v>
      </c>
      <c r="AG36" s="1114">
        <f t="shared" si="2"/>
        <v>158.29000000000002</v>
      </c>
      <c r="AH36" s="1105">
        <f t="shared" si="3"/>
        <v>172.68</v>
      </c>
      <c r="AI36" s="1105">
        <f t="shared" si="4"/>
        <v>215.85000000000002</v>
      </c>
      <c r="AJ36" s="1105">
        <f t="shared" si="5"/>
        <v>151.095</v>
      </c>
      <c r="AK36" s="1105">
        <f t="shared" si="6"/>
        <v>179.875</v>
      </c>
    </row>
    <row r="37" spans="1:37" ht="24" customHeight="1">
      <c r="B37" s="1103" t="s">
        <v>2975</v>
      </c>
      <c r="C37" s="1105">
        <v>47.8</v>
      </c>
      <c r="F37" s="1114">
        <v>1</v>
      </c>
      <c r="G37" s="1114" t="s">
        <v>2839</v>
      </c>
      <c r="H37" s="1103" t="s">
        <v>2845</v>
      </c>
      <c r="I37" s="1114">
        <f>C18</f>
        <v>100</v>
      </c>
      <c r="J37" s="1103" t="s">
        <v>2839</v>
      </c>
      <c r="K37" s="1114">
        <f>(F37*I37)</f>
        <v>100</v>
      </c>
      <c r="T37" s="1104" t="s">
        <v>2976</v>
      </c>
      <c r="U37" s="1103" t="s">
        <v>2977</v>
      </c>
      <c r="V37" s="1103" t="s">
        <v>2834</v>
      </c>
      <c r="W37" s="1103" t="s">
        <v>2835</v>
      </c>
      <c r="X37" s="1114">
        <f>X36</f>
        <v>64</v>
      </c>
      <c r="Y37" s="1127">
        <v>880.25</v>
      </c>
      <c r="Z37" s="1114">
        <f>Z11</f>
        <v>555.05999999999995</v>
      </c>
      <c r="AA37" s="1104"/>
      <c r="AB37" s="1107">
        <v>0</v>
      </c>
      <c r="AC37" s="1103">
        <f>SUM(Y37+Z37+AA37+AB37)</f>
        <v>1435.31</v>
      </c>
      <c r="AD37" s="1103" t="s">
        <v>2978</v>
      </c>
      <c r="AE37" s="1114">
        <f t="shared" si="1"/>
        <v>724</v>
      </c>
      <c r="AF37" s="1114">
        <v>724</v>
      </c>
      <c r="AG37" s="1114">
        <f t="shared" si="2"/>
        <v>796.40000000000009</v>
      </c>
      <c r="AH37" s="1105">
        <f t="shared" si="3"/>
        <v>868.8</v>
      </c>
      <c r="AI37" s="1105">
        <f t="shared" si="4"/>
        <v>1086</v>
      </c>
      <c r="AJ37" s="1105">
        <f t="shared" si="5"/>
        <v>760.2</v>
      </c>
      <c r="AK37" s="1105">
        <f t="shared" si="6"/>
        <v>905</v>
      </c>
    </row>
    <row r="38" spans="1:37" ht="24" customHeight="1">
      <c r="A38" s="1122">
        <f>(A35+1)</f>
        <v>27</v>
      </c>
      <c r="B38" s="1103" t="s">
        <v>2979</v>
      </c>
      <c r="C38" s="1114">
        <v>40</v>
      </c>
      <c r="D38" s="1103">
        <v>1.6</v>
      </c>
      <c r="G38" s="1114" t="s">
        <v>2851</v>
      </c>
      <c r="H38" s="1103" t="s">
        <v>2852</v>
      </c>
      <c r="I38" s="1103" t="s">
        <v>220</v>
      </c>
      <c r="J38" s="1103" t="s">
        <v>2851</v>
      </c>
      <c r="K38" s="1114">
        <v>0</v>
      </c>
      <c r="T38" s="1104" t="s">
        <v>2980</v>
      </c>
      <c r="U38" s="1103" t="s">
        <v>2981</v>
      </c>
      <c r="V38" s="1103" t="s">
        <v>2834</v>
      </c>
      <c r="W38" s="1103" t="s">
        <v>2982</v>
      </c>
      <c r="X38" s="1114">
        <f>'lead  charge'!D13</f>
        <v>31</v>
      </c>
      <c r="Y38" s="1127">
        <v>216.3</v>
      </c>
      <c r="Z38" s="1114">
        <f>'lead  charge'!E13</f>
        <v>296.7</v>
      </c>
      <c r="AA38" s="1104"/>
      <c r="AB38" s="1107">
        <v>0</v>
      </c>
      <c r="AC38" s="1103">
        <f>SUM(Y38+Z38+AA38+AB38)</f>
        <v>513</v>
      </c>
      <c r="AD38" s="1103" t="s">
        <v>2983</v>
      </c>
      <c r="AE38" s="1114">
        <f t="shared" si="1"/>
        <v>747</v>
      </c>
      <c r="AF38" s="1114">
        <v>747</v>
      </c>
      <c r="AG38" s="1114">
        <f t="shared" si="2"/>
        <v>821.7</v>
      </c>
      <c r="AH38" s="1105">
        <f t="shared" si="3"/>
        <v>896.4</v>
      </c>
      <c r="AI38" s="1105">
        <f t="shared" si="4"/>
        <v>1120.5</v>
      </c>
      <c r="AJ38" s="1105">
        <f t="shared" si="5"/>
        <v>784.35</v>
      </c>
      <c r="AK38" s="1105">
        <f t="shared" si="6"/>
        <v>933.75</v>
      </c>
    </row>
    <row r="39" spans="1:37" ht="24" customHeight="1">
      <c r="A39" s="1122">
        <f t="shared" ref="A39:A58" si="9">(A38+1)</f>
        <v>28</v>
      </c>
      <c r="B39" s="1103" t="s">
        <v>2984</v>
      </c>
      <c r="C39" s="1114">
        <v>41</v>
      </c>
      <c r="D39" s="1114">
        <v>500</v>
      </c>
      <c r="K39" s="1111" t="s">
        <v>36</v>
      </c>
      <c r="T39" s="1126">
        <v>31</v>
      </c>
      <c r="U39" s="1103" t="s">
        <v>2985</v>
      </c>
      <c r="V39" s="1103" t="s">
        <v>2834</v>
      </c>
      <c r="W39" s="1103" t="s">
        <v>2982</v>
      </c>
      <c r="X39" s="1114">
        <f>'lead  charge'!D16</f>
        <v>31</v>
      </c>
      <c r="Y39" s="1127">
        <v>161.69999999999999</v>
      </c>
      <c r="Z39" s="1114">
        <f>'lead  charge'!E16</f>
        <v>296.7</v>
      </c>
      <c r="AA39" s="1104"/>
      <c r="AB39" s="1107">
        <v>0</v>
      </c>
      <c r="AC39" s="1103">
        <f>SUM(Y39+Z39+AA39+AB39)</f>
        <v>458.4</v>
      </c>
      <c r="AD39" s="1103" t="s">
        <v>2986</v>
      </c>
      <c r="AE39" s="1114">
        <f t="shared" si="1"/>
        <v>64.5</v>
      </c>
      <c r="AF39" s="1114">
        <v>64.5</v>
      </c>
      <c r="AG39" s="1114">
        <f t="shared" si="2"/>
        <v>70.95</v>
      </c>
      <c r="AH39" s="1105">
        <f t="shared" si="3"/>
        <v>77.399999999999991</v>
      </c>
      <c r="AI39" s="1105">
        <f t="shared" si="4"/>
        <v>96.75</v>
      </c>
      <c r="AJ39" s="1105">
        <f t="shared" si="5"/>
        <v>67.725000000000009</v>
      </c>
      <c r="AK39" s="1105">
        <f t="shared" si="6"/>
        <v>80.625</v>
      </c>
    </row>
    <row r="40" spans="1:37" ht="24" hidden="1" customHeight="1">
      <c r="A40" s="1122">
        <f t="shared" si="9"/>
        <v>29</v>
      </c>
      <c r="B40" s="1103" t="s">
        <v>2987</v>
      </c>
      <c r="C40" s="1114">
        <v>28</v>
      </c>
      <c r="D40" s="1114">
        <v>116.2</v>
      </c>
      <c r="H40" s="1103" t="s">
        <v>2861</v>
      </c>
      <c r="K40" s="1115">
        <f>SUM(K35:K38)</f>
        <v>4080.66</v>
      </c>
      <c r="T40" s="1111"/>
      <c r="AE40" s="1114">
        <f t="shared" si="1"/>
        <v>0</v>
      </c>
      <c r="AG40" s="1114"/>
    </row>
    <row r="41" spans="1:37" ht="24" hidden="1" customHeight="1">
      <c r="A41" s="1122">
        <f t="shared" si="9"/>
        <v>30</v>
      </c>
      <c r="B41" s="1103" t="s">
        <v>2988</v>
      </c>
      <c r="C41" s="1114">
        <f>AE22</f>
        <v>637</v>
      </c>
      <c r="D41" s="1103" t="s">
        <v>2941</v>
      </c>
      <c r="K41" s="1111" t="s">
        <v>36</v>
      </c>
      <c r="U41" s="1103" t="s">
        <v>2989</v>
      </c>
      <c r="V41" s="1103" t="s">
        <v>2885</v>
      </c>
      <c r="W41" s="1103"/>
      <c r="X41" s="1114">
        <f>'lead  charge'!M10</f>
        <v>0</v>
      </c>
      <c r="Y41" s="1114">
        <v>6435</v>
      </c>
      <c r="Z41" s="1114">
        <f>'lead  charge'!N10</f>
        <v>0</v>
      </c>
      <c r="AA41" s="1104">
        <v>0</v>
      </c>
      <c r="AB41" s="1107">
        <v>0</v>
      </c>
      <c r="AC41" s="1103">
        <f t="shared" ref="AC41:AC47" si="10">SUM(Y41+Z41+AA41+AB41)</f>
        <v>6435</v>
      </c>
      <c r="AD41" s="1103" t="s">
        <v>2888</v>
      </c>
      <c r="AE41" s="1114">
        <f t="shared" si="1"/>
        <v>68</v>
      </c>
      <c r="AF41" s="1114">
        <v>68</v>
      </c>
      <c r="AG41" s="1114">
        <f t="shared" si="2"/>
        <v>74.800000000000011</v>
      </c>
      <c r="AH41" s="1105">
        <f t="shared" si="3"/>
        <v>81.599999999999994</v>
      </c>
      <c r="AI41" s="1105">
        <f t="shared" si="4"/>
        <v>102</v>
      </c>
      <c r="AJ41" s="1105">
        <f t="shared" si="5"/>
        <v>71.400000000000006</v>
      </c>
      <c r="AK41" s="1105">
        <f t="shared" si="6"/>
        <v>85</v>
      </c>
    </row>
    <row r="42" spans="1:37" ht="24" hidden="1" customHeight="1">
      <c r="A42" s="1122">
        <f t="shared" si="9"/>
        <v>31</v>
      </c>
      <c r="B42" s="1103" t="s">
        <v>2990</v>
      </c>
      <c r="C42" s="1114">
        <v>5</v>
      </c>
      <c r="D42" s="1103" t="s">
        <v>1790</v>
      </c>
      <c r="G42" s="1114" t="s">
        <v>1363</v>
      </c>
      <c r="H42" s="1103" t="s">
        <v>2991</v>
      </c>
      <c r="U42" s="1103" t="s">
        <v>2992</v>
      </c>
      <c r="V42" s="1103" t="s">
        <v>2885</v>
      </c>
      <c r="W42" s="1103"/>
      <c r="X42" s="1114">
        <f>X41</f>
        <v>0</v>
      </c>
      <c r="Y42" s="1114">
        <v>6630</v>
      </c>
      <c r="Z42" s="1114">
        <f>Z41</f>
        <v>0</v>
      </c>
      <c r="AA42" s="1104">
        <v>0</v>
      </c>
      <c r="AB42" s="1107">
        <v>0</v>
      </c>
      <c r="AC42" s="1103">
        <f t="shared" si="10"/>
        <v>6630</v>
      </c>
      <c r="AD42" s="1103" t="s">
        <v>2893</v>
      </c>
      <c r="AE42" s="1114">
        <f t="shared" si="1"/>
        <v>137.19999999999999</v>
      </c>
      <c r="AF42" s="1114">
        <v>137.19999999999999</v>
      </c>
      <c r="AG42" s="1114">
        <f t="shared" si="2"/>
        <v>150.91999999999999</v>
      </c>
      <c r="AH42" s="1105">
        <f t="shared" si="3"/>
        <v>164.64</v>
      </c>
      <c r="AI42" s="1105">
        <f t="shared" si="4"/>
        <v>205.79999999999998</v>
      </c>
      <c r="AJ42" s="1105">
        <f t="shared" si="5"/>
        <v>144.06</v>
      </c>
      <c r="AK42" s="1105">
        <f t="shared" si="6"/>
        <v>171.5</v>
      </c>
    </row>
    <row r="43" spans="1:37" ht="24" hidden="1" customHeight="1">
      <c r="A43" s="1122">
        <f t="shared" si="9"/>
        <v>32</v>
      </c>
      <c r="B43" s="1103" t="s">
        <v>2993</v>
      </c>
      <c r="C43" s="1114">
        <v>8.1</v>
      </c>
      <c r="D43" s="1103" t="s">
        <v>2941</v>
      </c>
      <c r="H43" s="1111" t="s">
        <v>36</v>
      </c>
      <c r="U43" s="1103" t="s">
        <v>2994</v>
      </c>
      <c r="V43" s="1103" t="s">
        <v>16</v>
      </c>
      <c r="W43" s="1103"/>
      <c r="X43" s="1105">
        <f>'lead  charge'!P13</f>
        <v>32</v>
      </c>
      <c r="Y43" s="1114">
        <v>122.5</v>
      </c>
      <c r="Z43" s="1114">
        <f>'lead  charge'!Q13</f>
        <v>209.57999999999998</v>
      </c>
      <c r="AA43" s="1104">
        <v>0</v>
      </c>
      <c r="AB43" s="1107">
        <v>0</v>
      </c>
      <c r="AC43" s="1103">
        <f t="shared" si="10"/>
        <v>332.08</v>
      </c>
      <c r="AD43" s="1103" t="s">
        <v>2898</v>
      </c>
      <c r="AE43" s="1114">
        <f t="shared" si="1"/>
        <v>137.19999999999999</v>
      </c>
      <c r="AF43" s="1114">
        <f>AF42</f>
        <v>137.19999999999999</v>
      </c>
      <c r="AG43" s="1114">
        <f t="shared" si="2"/>
        <v>150.91999999999999</v>
      </c>
      <c r="AH43" s="1105">
        <f t="shared" si="3"/>
        <v>164.64</v>
      </c>
      <c r="AI43" s="1105">
        <f t="shared" si="4"/>
        <v>205.79999999999998</v>
      </c>
      <c r="AJ43" s="1105">
        <f t="shared" si="5"/>
        <v>144.06</v>
      </c>
      <c r="AK43" s="1105">
        <f t="shared" si="6"/>
        <v>171.5</v>
      </c>
    </row>
    <row r="44" spans="1:37" ht="24" hidden="1" customHeight="1">
      <c r="A44" s="1122">
        <f t="shared" si="9"/>
        <v>33</v>
      </c>
      <c r="B44" s="1103" t="s">
        <v>2995</v>
      </c>
      <c r="C44" s="1114">
        <v>8.1</v>
      </c>
      <c r="D44" s="1103" t="s">
        <v>2941</v>
      </c>
      <c r="F44" s="1128">
        <v>0.28799999999999998</v>
      </c>
      <c r="G44" s="1114" t="s">
        <v>197</v>
      </c>
      <c r="H44" s="1103" t="s">
        <v>2830</v>
      </c>
      <c r="I44" s="1114">
        <f>(C67)</f>
        <v>5960</v>
      </c>
      <c r="J44" s="1103" t="s">
        <v>197</v>
      </c>
      <c r="K44" s="1114">
        <f>(F44*I44)</f>
        <v>1716.4799999999998</v>
      </c>
      <c r="R44" s="1105">
        <f>645+954</f>
        <v>1599</v>
      </c>
      <c r="U44" s="1103" t="s">
        <v>2996</v>
      </c>
      <c r="V44" s="1103" t="s">
        <v>16</v>
      </c>
      <c r="W44" s="1103"/>
      <c r="X44" s="1105">
        <f>X11</f>
        <v>64</v>
      </c>
      <c r="Y44" s="1114">
        <v>819</v>
      </c>
      <c r="Z44" s="1114">
        <f>Z11</f>
        <v>555.05999999999995</v>
      </c>
      <c r="AA44" s="1104">
        <v>0</v>
      </c>
      <c r="AB44" s="1107">
        <v>0</v>
      </c>
      <c r="AC44" s="1103">
        <f t="shared" si="10"/>
        <v>1374.06</v>
      </c>
      <c r="AD44" s="1129" t="s">
        <v>2903</v>
      </c>
      <c r="AE44" s="1114">
        <f t="shared" si="1"/>
        <v>103.3</v>
      </c>
      <c r="AF44" s="1114">
        <v>103.3</v>
      </c>
      <c r="AG44" s="1114">
        <f t="shared" si="2"/>
        <v>113.63000000000001</v>
      </c>
      <c r="AH44" s="1105">
        <f t="shared" si="3"/>
        <v>123.96</v>
      </c>
      <c r="AI44" s="1105">
        <f t="shared" si="4"/>
        <v>154.94999999999999</v>
      </c>
      <c r="AJ44" s="1105">
        <f t="shared" si="5"/>
        <v>108.465</v>
      </c>
      <c r="AK44" s="1105">
        <f t="shared" si="6"/>
        <v>129.125</v>
      </c>
    </row>
    <row r="45" spans="1:37" ht="24" hidden="1" customHeight="1">
      <c r="A45" s="1122">
        <f t="shared" si="9"/>
        <v>34</v>
      </c>
      <c r="B45" s="1103" t="s">
        <v>2997</v>
      </c>
      <c r="C45" s="1114">
        <v>9.6999999999999993</v>
      </c>
      <c r="D45" s="1103" t="s">
        <v>2941</v>
      </c>
      <c r="F45" s="1114">
        <v>1</v>
      </c>
      <c r="G45" s="1114" t="s">
        <v>2839</v>
      </c>
      <c r="H45" s="1103" t="s">
        <v>2840</v>
      </c>
      <c r="I45" s="1114">
        <f>I36</f>
        <v>1835.06</v>
      </c>
      <c r="J45" s="1103" t="s">
        <v>2839</v>
      </c>
      <c r="K45" s="1114">
        <f>(F45*I45)</f>
        <v>1835.06</v>
      </c>
      <c r="R45" s="1105">
        <f>R44/2</f>
        <v>799.5</v>
      </c>
      <c r="U45" s="1103" t="s">
        <v>2998</v>
      </c>
      <c r="W45" s="1103"/>
      <c r="X45" s="1105">
        <f>'lead  charge'!M10</f>
        <v>0</v>
      </c>
      <c r="Y45" s="1114">
        <v>6435</v>
      </c>
      <c r="Z45" s="1105">
        <f>Z41</f>
        <v>0</v>
      </c>
      <c r="AC45" s="1103">
        <f t="shared" si="10"/>
        <v>6435</v>
      </c>
      <c r="AD45" s="1103" t="s">
        <v>2908</v>
      </c>
      <c r="AE45" s="1114">
        <f t="shared" si="1"/>
        <v>203.5</v>
      </c>
      <c r="AF45" s="1114">
        <v>203.5</v>
      </c>
      <c r="AG45" s="1114">
        <f t="shared" si="2"/>
        <v>223.85000000000002</v>
      </c>
      <c r="AH45" s="1105">
        <f t="shared" si="3"/>
        <v>244.2</v>
      </c>
      <c r="AI45" s="1105">
        <f t="shared" si="4"/>
        <v>305.25</v>
      </c>
      <c r="AK45" s="1105">
        <f t="shared" si="6"/>
        <v>254.375</v>
      </c>
    </row>
    <row r="46" spans="1:37" ht="24" hidden="1" customHeight="1">
      <c r="A46" s="1122">
        <f t="shared" si="9"/>
        <v>35</v>
      </c>
      <c r="B46" s="1103" t="s">
        <v>2999</v>
      </c>
      <c r="C46" s="1114">
        <v>11.7</v>
      </c>
      <c r="D46" s="1103" t="s">
        <v>2941</v>
      </c>
      <c r="F46" s="1114">
        <v>1</v>
      </c>
      <c r="G46" s="1114" t="s">
        <v>2839</v>
      </c>
      <c r="H46" s="1103" t="s">
        <v>2845</v>
      </c>
      <c r="I46" s="1114">
        <f>(C18)</f>
        <v>100</v>
      </c>
      <c r="J46" s="1103" t="s">
        <v>2839</v>
      </c>
      <c r="K46" s="1114">
        <f>(F46*I46)</f>
        <v>100</v>
      </c>
      <c r="U46" s="1103" t="s">
        <v>3000</v>
      </c>
      <c r="V46" s="1103" t="s">
        <v>2834</v>
      </c>
      <c r="W46" s="1103"/>
      <c r="X46" s="1114">
        <f>'lead  charge'!D17</f>
        <v>0</v>
      </c>
      <c r="Y46" s="1115">
        <v>1280</v>
      </c>
      <c r="Z46" s="1114">
        <f>'lead  charge'!E17</f>
        <v>0</v>
      </c>
      <c r="AA46" s="1104"/>
      <c r="AB46" s="1107">
        <v>0</v>
      </c>
      <c r="AC46" s="1103">
        <f t="shared" si="10"/>
        <v>1280</v>
      </c>
      <c r="AD46" s="1103" t="s">
        <v>2914</v>
      </c>
      <c r="AE46" s="1114">
        <f t="shared" si="1"/>
        <v>203.5</v>
      </c>
      <c r="AF46" s="1114">
        <f>AF45</f>
        <v>203.5</v>
      </c>
      <c r="AG46" s="1114">
        <f t="shared" si="2"/>
        <v>223.85000000000002</v>
      </c>
      <c r="AH46" s="1105">
        <f t="shared" si="3"/>
        <v>244.2</v>
      </c>
      <c r="AI46" s="1105">
        <f t="shared" si="4"/>
        <v>305.25</v>
      </c>
      <c r="AJ46" s="1105">
        <f>AF46*1.05</f>
        <v>213.67500000000001</v>
      </c>
      <c r="AK46" s="1105">
        <f t="shared" si="6"/>
        <v>254.375</v>
      </c>
    </row>
    <row r="47" spans="1:37" ht="24" hidden="1" customHeight="1">
      <c r="A47" s="1122">
        <f t="shared" si="9"/>
        <v>36</v>
      </c>
      <c r="B47" s="1103" t="s">
        <v>3001</v>
      </c>
      <c r="C47" s="1114">
        <v>15.8</v>
      </c>
      <c r="D47" s="1103" t="s">
        <v>2941</v>
      </c>
      <c r="G47" s="1114" t="s">
        <v>2851</v>
      </c>
      <c r="H47" s="1103" t="s">
        <v>2852</v>
      </c>
      <c r="I47" s="1103" t="s">
        <v>220</v>
      </c>
      <c r="J47" s="1103" t="s">
        <v>2851</v>
      </c>
      <c r="K47" s="1114">
        <v>0</v>
      </c>
      <c r="N47" s="1103" t="s">
        <v>1363</v>
      </c>
      <c r="O47" s="1103" t="s">
        <v>3002</v>
      </c>
      <c r="U47" s="1103" t="s">
        <v>3003</v>
      </c>
      <c r="V47" s="1103" t="s">
        <v>2834</v>
      </c>
      <c r="W47" s="1103"/>
      <c r="X47" s="1114">
        <f>X46</f>
        <v>0</v>
      </c>
      <c r="Y47" s="1115">
        <f>Y46</f>
        <v>1280</v>
      </c>
      <c r="Z47" s="1114">
        <f>Z46</f>
        <v>0</v>
      </c>
      <c r="AA47" s="1104"/>
      <c r="AB47" s="1107">
        <v>0</v>
      </c>
      <c r="AC47" s="1103">
        <f t="shared" si="10"/>
        <v>1280</v>
      </c>
      <c r="AD47" s="1103"/>
      <c r="AE47" s="1114">
        <f t="shared" si="1"/>
        <v>0</v>
      </c>
      <c r="AF47" s="1114"/>
      <c r="AG47" s="1114">
        <f t="shared" si="2"/>
        <v>0</v>
      </c>
      <c r="AH47" s="1105">
        <f t="shared" si="3"/>
        <v>0</v>
      </c>
      <c r="AI47" s="1105">
        <f t="shared" si="4"/>
        <v>0</v>
      </c>
      <c r="AJ47" s="1105">
        <f>AF47*1.05</f>
        <v>0</v>
      </c>
      <c r="AK47" s="1105">
        <f t="shared" si="6"/>
        <v>0</v>
      </c>
    </row>
    <row r="48" spans="1:37" ht="24" customHeight="1">
      <c r="A48" s="1122">
        <f t="shared" si="9"/>
        <v>37</v>
      </c>
      <c r="B48" s="1103" t="s">
        <v>3004</v>
      </c>
      <c r="C48" s="1114">
        <v>20.3</v>
      </c>
      <c r="D48" s="1114">
        <v>40.9</v>
      </c>
      <c r="K48" s="1111" t="s">
        <v>36</v>
      </c>
      <c r="O48" s="1103" t="s">
        <v>3005</v>
      </c>
      <c r="U48" s="1111" t="s">
        <v>36</v>
      </c>
      <c r="V48" s="1111" t="s">
        <v>36</v>
      </c>
      <c r="W48" s="1111" t="s">
        <v>36</v>
      </c>
      <c r="X48" s="1111" t="s">
        <v>36</v>
      </c>
      <c r="Y48" s="1111" t="s">
        <v>36</v>
      </c>
      <c r="Z48" s="1111" t="s">
        <v>36</v>
      </c>
      <c r="AA48" s="1111" t="s">
        <v>36</v>
      </c>
      <c r="AB48" s="1111" t="s">
        <v>36</v>
      </c>
      <c r="AC48" s="1111" t="s">
        <v>36</v>
      </c>
      <c r="AD48" s="1111" t="s">
        <v>36</v>
      </c>
      <c r="AE48" s="1114" t="str">
        <f t="shared" si="1"/>
        <v>-</v>
      </c>
      <c r="AF48" s="1111" t="s">
        <v>36</v>
      </c>
      <c r="AG48" s="1111" t="s">
        <v>36</v>
      </c>
      <c r="AH48" s="1111" t="s">
        <v>36</v>
      </c>
      <c r="AI48" s="1111" t="s">
        <v>36</v>
      </c>
      <c r="AJ48" s="1111" t="s">
        <v>36</v>
      </c>
      <c r="AK48" s="1111" t="s">
        <v>36</v>
      </c>
    </row>
    <row r="49" spans="1:45" ht="24" customHeight="1">
      <c r="A49" s="1122">
        <f t="shared" si="9"/>
        <v>38</v>
      </c>
      <c r="B49" s="1103" t="s">
        <v>3006</v>
      </c>
      <c r="C49" s="1114">
        <v>22</v>
      </c>
      <c r="D49" s="1114">
        <v>28.7</v>
      </c>
      <c r="H49" s="1103" t="s">
        <v>2861</v>
      </c>
      <c r="K49" s="1115">
        <f>SUM(K44:K47)</f>
        <v>3651.54</v>
      </c>
      <c r="O49" s="1111" t="s">
        <v>36</v>
      </c>
      <c r="U49" s="1105" t="s">
        <v>3007</v>
      </c>
      <c r="AD49" s="1129" t="s">
        <v>3008</v>
      </c>
      <c r="AE49" s="1114">
        <f t="shared" si="1"/>
        <v>8.5</v>
      </c>
      <c r="AF49" s="1105">
        <v>8.5</v>
      </c>
      <c r="AG49" s="1114">
        <f t="shared" ref="AG49:AG56" si="11">AF49*1.1</f>
        <v>9.3500000000000014</v>
      </c>
      <c r="AH49" s="1105">
        <f t="shared" ref="AH49:AH56" si="12">AF49*1.2</f>
        <v>10.199999999999999</v>
      </c>
      <c r="AI49" s="1105">
        <f t="shared" ref="AI49:AI56" si="13">AF49*1.5</f>
        <v>12.75</v>
      </c>
      <c r="AJ49" s="1105">
        <f t="shared" ref="AJ49:AJ56" si="14">AF49*1.05</f>
        <v>8.9250000000000007</v>
      </c>
      <c r="AK49" s="1105">
        <f t="shared" ref="AK49:AK56" si="15">AF49*1.25</f>
        <v>10.625</v>
      </c>
    </row>
    <row r="50" spans="1:45" ht="24" customHeight="1">
      <c r="A50" s="1122">
        <f t="shared" si="9"/>
        <v>39</v>
      </c>
      <c r="B50" s="1103" t="s">
        <v>3009</v>
      </c>
      <c r="C50" s="1114">
        <v>11.5</v>
      </c>
      <c r="D50" s="1103" t="s">
        <v>2941</v>
      </c>
      <c r="K50" s="1111" t="s">
        <v>36</v>
      </c>
      <c r="M50" s="1114">
        <v>9</v>
      </c>
      <c r="N50" s="1103" t="s">
        <v>2839</v>
      </c>
      <c r="O50" s="1103" t="s">
        <v>3005</v>
      </c>
      <c r="P50" s="1114">
        <f>(C81)</f>
        <v>886.3</v>
      </c>
      <c r="Q50" s="1103" t="s">
        <v>2839</v>
      </c>
      <c r="R50" s="1114">
        <f>(M50*P50)</f>
        <v>7976.7</v>
      </c>
      <c r="AA50" s="1103" t="s">
        <v>3010</v>
      </c>
      <c r="AD50" s="1129" t="s">
        <v>3011</v>
      </c>
      <c r="AE50" s="1114">
        <f t="shared" si="1"/>
        <v>7.9</v>
      </c>
      <c r="AF50" s="1105">
        <v>7.9</v>
      </c>
      <c r="AG50" s="1114">
        <f t="shared" si="11"/>
        <v>8.6900000000000013</v>
      </c>
      <c r="AH50" s="1105">
        <f t="shared" si="12"/>
        <v>9.48</v>
      </c>
      <c r="AI50" s="1105">
        <f t="shared" si="13"/>
        <v>11.850000000000001</v>
      </c>
      <c r="AJ50" s="1105">
        <f t="shared" si="14"/>
        <v>8.2949999999999999</v>
      </c>
      <c r="AK50" s="1105">
        <f t="shared" si="15"/>
        <v>9.875</v>
      </c>
    </row>
    <row r="51" spans="1:45" ht="24" customHeight="1">
      <c r="A51" s="1122">
        <f t="shared" si="9"/>
        <v>40</v>
      </c>
      <c r="B51" s="1103" t="s">
        <v>3012</v>
      </c>
      <c r="C51" s="1114">
        <v>11.7</v>
      </c>
      <c r="D51" s="1103" t="s">
        <v>2941</v>
      </c>
      <c r="G51" s="1114" t="s">
        <v>1363</v>
      </c>
      <c r="H51" s="1103" t="s">
        <v>3013</v>
      </c>
      <c r="M51" s="1114">
        <v>4.5</v>
      </c>
      <c r="N51" s="1103" t="s">
        <v>2839</v>
      </c>
      <c r="O51" s="1103" t="s">
        <v>3014</v>
      </c>
      <c r="P51" s="1114">
        <f>(K77)</f>
        <v>3007.8599999999997</v>
      </c>
      <c r="Q51" s="1103" t="s">
        <v>2839</v>
      </c>
      <c r="R51" s="1114">
        <f>(M51*P51)</f>
        <v>13535.369999999999</v>
      </c>
      <c r="W51" s="1103"/>
      <c r="AD51" s="1129" t="s">
        <v>3015</v>
      </c>
      <c r="AE51" s="1114">
        <f t="shared" si="1"/>
        <v>3.65</v>
      </c>
      <c r="AF51" s="1105">
        <v>3.65</v>
      </c>
      <c r="AG51" s="1114">
        <f t="shared" si="11"/>
        <v>4.0150000000000006</v>
      </c>
      <c r="AH51" s="1105">
        <f t="shared" si="12"/>
        <v>4.38</v>
      </c>
      <c r="AI51" s="1105">
        <f t="shared" si="13"/>
        <v>5.4749999999999996</v>
      </c>
      <c r="AJ51" s="1105">
        <f t="shared" si="14"/>
        <v>3.8325</v>
      </c>
      <c r="AK51" s="1105">
        <f t="shared" si="15"/>
        <v>4.5625</v>
      </c>
    </row>
    <row r="52" spans="1:45" ht="24" customHeight="1">
      <c r="A52" s="1122">
        <f t="shared" si="9"/>
        <v>41</v>
      </c>
      <c r="B52" s="1103" t="s">
        <v>3016</v>
      </c>
      <c r="C52" s="1114">
        <v>24.2</v>
      </c>
      <c r="D52" s="1103" t="s">
        <v>2941</v>
      </c>
      <c r="H52" s="1111" t="s">
        <v>36</v>
      </c>
      <c r="M52" s="1114">
        <v>1.8</v>
      </c>
      <c r="N52" s="1103" t="s">
        <v>2838</v>
      </c>
      <c r="O52" s="1103" t="s">
        <v>3017</v>
      </c>
      <c r="P52" s="1114">
        <f>(C11)</f>
        <v>804</v>
      </c>
      <c r="Q52" s="1103" t="s">
        <v>2838</v>
      </c>
      <c r="R52" s="1114">
        <f>(M52*P52)</f>
        <v>1447.2</v>
      </c>
      <c r="AD52" s="1129" t="s">
        <v>3018</v>
      </c>
      <c r="AE52" s="1114">
        <f t="shared" si="1"/>
        <v>4.5999999999999996</v>
      </c>
      <c r="AF52" s="1105">
        <v>4.5999999999999996</v>
      </c>
      <c r="AG52" s="1114">
        <f t="shared" si="11"/>
        <v>5.0599999999999996</v>
      </c>
      <c r="AH52" s="1105">
        <f t="shared" si="12"/>
        <v>5.52</v>
      </c>
      <c r="AI52" s="1105">
        <f t="shared" si="13"/>
        <v>6.8999999999999995</v>
      </c>
      <c r="AJ52" s="1105">
        <f t="shared" si="14"/>
        <v>4.83</v>
      </c>
      <c r="AK52" s="1105">
        <f t="shared" si="15"/>
        <v>5.75</v>
      </c>
    </row>
    <row r="53" spans="1:45" ht="24" customHeight="1">
      <c r="A53" s="1122">
        <f t="shared" si="9"/>
        <v>42</v>
      </c>
      <c r="B53" s="1103" t="s">
        <v>3019</v>
      </c>
      <c r="C53" s="1114">
        <v>32.700000000000003</v>
      </c>
      <c r="D53" s="1114">
        <v>82.4</v>
      </c>
      <c r="F53" s="1114">
        <v>0.24</v>
      </c>
      <c r="G53" s="1114" t="s">
        <v>197</v>
      </c>
      <c r="H53" s="1103" t="s">
        <v>2830</v>
      </c>
      <c r="I53" s="1114">
        <f>(C67)</f>
        <v>5960</v>
      </c>
      <c r="J53" s="1103" t="s">
        <v>197</v>
      </c>
      <c r="K53" s="1114">
        <f>(F53*I53)</f>
        <v>1430.3999999999999</v>
      </c>
      <c r="M53" s="1114">
        <v>17.7</v>
      </c>
      <c r="N53" s="1103" t="s">
        <v>2838</v>
      </c>
      <c r="O53" s="1103" t="s">
        <v>3020</v>
      </c>
      <c r="P53" s="1114">
        <f>(C12)</f>
        <v>562</v>
      </c>
      <c r="Q53" s="1103" t="s">
        <v>2838</v>
      </c>
      <c r="R53" s="1114">
        <f>(M53*P53)</f>
        <v>9947.4</v>
      </c>
      <c r="U53" s="1130" t="s">
        <v>3021</v>
      </c>
      <c r="V53" s="1105" t="s">
        <v>3022</v>
      </c>
      <c r="Z53" s="1105" t="s">
        <v>3023</v>
      </c>
      <c r="AD53" s="1129" t="s">
        <v>3024</v>
      </c>
      <c r="AE53" s="1114">
        <f t="shared" si="1"/>
        <v>7.4</v>
      </c>
      <c r="AF53" s="1105">
        <v>7.4</v>
      </c>
      <c r="AG53" s="1127">
        <f t="shared" si="11"/>
        <v>8.14</v>
      </c>
      <c r="AH53" s="1105">
        <f t="shared" si="12"/>
        <v>8.8800000000000008</v>
      </c>
      <c r="AI53" s="1105">
        <f t="shared" si="13"/>
        <v>11.100000000000001</v>
      </c>
      <c r="AJ53" s="1105">
        <f t="shared" si="14"/>
        <v>7.7700000000000005</v>
      </c>
      <c r="AK53" s="1105">
        <f t="shared" si="15"/>
        <v>9.25</v>
      </c>
    </row>
    <row r="54" spans="1:45" ht="24" customHeight="1">
      <c r="A54" s="1122">
        <f t="shared" si="9"/>
        <v>43</v>
      </c>
      <c r="B54" s="1103" t="s">
        <v>3025</v>
      </c>
      <c r="C54" s="1114">
        <v>36.799999999999997</v>
      </c>
      <c r="D54" s="1114">
        <v>62.2</v>
      </c>
      <c r="F54" s="1114">
        <v>1</v>
      </c>
      <c r="G54" s="1114" t="s">
        <v>2839</v>
      </c>
      <c r="H54" s="1103" t="s">
        <v>2840</v>
      </c>
      <c r="I54" s="1114">
        <f>(C78)</f>
        <v>1835.06</v>
      </c>
      <c r="J54" s="1103" t="s">
        <v>2839</v>
      </c>
      <c r="K54" s="1114">
        <f>(F54*I54)</f>
        <v>1835.06</v>
      </c>
      <c r="M54" s="1114">
        <v>14.1</v>
      </c>
      <c r="N54" s="1103" t="s">
        <v>2838</v>
      </c>
      <c r="O54" s="1103" t="s">
        <v>3026</v>
      </c>
      <c r="P54" s="1114">
        <f>(C13)</f>
        <v>461</v>
      </c>
      <c r="Q54" s="1103" t="s">
        <v>2838</v>
      </c>
      <c r="R54" s="1114">
        <f>(M54*P54)</f>
        <v>6500.0999999999995</v>
      </c>
      <c r="AD54" s="1103" t="s">
        <v>3027</v>
      </c>
      <c r="AE54" s="1114">
        <f t="shared" si="1"/>
        <v>8.85</v>
      </c>
      <c r="AF54" s="1105">
        <v>8.85</v>
      </c>
      <c r="AG54" s="1127">
        <f t="shared" si="11"/>
        <v>9.7350000000000012</v>
      </c>
      <c r="AH54" s="1105">
        <f t="shared" si="12"/>
        <v>10.62</v>
      </c>
      <c r="AI54" s="1105">
        <f t="shared" si="13"/>
        <v>13.274999999999999</v>
      </c>
      <c r="AJ54" s="1105">
        <f t="shared" si="14"/>
        <v>9.2925000000000004</v>
      </c>
      <c r="AK54" s="1105">
        <f t="shared" si="15"/>
        <v>11.0625</v>
      </c>
    </row>
    <row r="55" spans="1:45" ht="58.5" customHeight="1">
      <c r="A55" s="1122">
        <f t="shared" si="9"/>
        <v>44</v>
      </c>
      <c r="B55" s="1103" t="s">
        <v>3028</v>
      </c>
      <c r="C55" s="1114">
        <v>40.9</v>
      </c>
      <c r="D55" s="1114">
        <v>49.4</v>
      </c>
      <c r="F55" s="1114">
        <v>1</v>
      </c>
      <c r="G55" s="1114" t="s">
        <v>2839</v>
      </c>
      <c r="H55" s="1103" t="s">
        <v>2845</v>
      </c>
      <c r="I55" s="1114">
        <f>(C18)</f>
        <v>100</v>
      </c>
      <c r="J55" s="1103" t="s">
        <v>2839</v>
      </c>
      <c r="K55" s="1114">
        <f>(F55*I55)</f>
        <v>100</v>
      </c>
      <c r="N55" s="1103" t="s">
        <v>2851</v>
      </c>
      <c r="O55" s="1103" t="s">
        <v>2852</v>
      </c>
      <c r="Q55" s="1103" t="s">
        <v>2851</v>
      </c>
      <c r="R55" s="1114">
        <v>0</v>
      </c>
      <c r="AD55" s="1129" t="s">
        <v>3029</v>
      </c>
      <c r="AE55" s="1114">
        <f t="shared" si="1"/>
        <v>161</v>
      </c>
      <c r="AF55" s="1105">
        <v>161</v>
      </c>
      <c r="AG55" s="1127">
        <f t="shared" si="11"/>
        <v>177.10000000000002</v>
      </c>
      <c r="AH55" s="1105">
        <f t="shared" si="12"/>
        <v>193.2</v>
      </c>
      <c r="AI55" s="1105">
        <f t="shared" si="13"/>
        <v>241.5</v>
      </c>
      <c r="AJ55" s="1105">
        <f t="shared" si="14"/>
        <v>169.05</v>
      </c>
      <c r="AK55" s="1105">
        <f t="shared" si="15"/>
        <v>201.25</v>
      </c>
    </row>
    <row r="56" spans="1:45" ht="24" customHeight="1">
      <c r="A56" s="1122">
        <f t="shared" si="9"/>
        <v>45</v>
      </c>
      <c r="B56" s="1103" t="s">
        <v>3030</v>
      </c>
      <c r="C56" s="1114">
        <v>12.1</v>
      </c>
      <c r="D56" s="1103" t="s">
        <v>2851</v>
      </c>
      <c r="G56" s="1114" t="s">
        <v>2851</v>
      </c>
      <c r="H56" s="1103" t="s">
        <v>2852</v>
      </c>
      <c r="I56" s="1103" t="s">
        <v>220</v>
      </c>
      <c r="J56" s="1103" t="s">
        <v>2851</v>
      </c>
      <c r="K56" s="1114">
        <v>0</v>
      </c>
      <c r="R56" s="1111" t="s">
        <v>36</v>
      </c>
      <c r="AD56" s="1103" t="s">
        <v>3031</v>
      </c>
      <c r="AE56" s="1114">
        <f t="shared" si="1"/>
        <v>248</v>
      </c>
      <c r="AF56" s="1105">
        <v>248</v>
      </c>
      <c r="AG56" s="1127">
        <f t="shared" si="11"/>
        <v>272.8</v>
      </c>
      <c r="AH56" s="1105">
        <f t="shared" si="12"/>
        <v>297.59999999999997</v>
      </c>
      <c r="AI56" s="1105">
        <f t="shared" si="13"/>
        <v>372</v>
      </c>
      <c r="AJ56" s="1105">
        <f t="shared" si="14"/>
        <v>260.40000000000003</v>
      </c>
      <c r="AK56" s="1105">
        <f t="shared" si="15"/>
        <v>310</v>
      </c>
    </row>
    <row r="57" spans="1:45" ht="24" customHeight="1">
      <c r="A57" s="1122">
        <f t="shared" si="9"/>
        <v>46</v>
      </c>
      <c r="B57" s="1103" t="s">
        <v>3032</v>
      </c>
      <c r="C57" s="1114">
        <v>35</v>
      </c>
      <c r="D57" s="1103" t="s">
        <v>2851</v>
      </c>
      <c r="K57" s="1111" t="s">
        <v>36</v>
      </c>
      <c r="O57" s="1103" t="s">
        <v>3033</v>
      </c>
      <c r="R57" s="1114">
        <f>SUM(R50:R55)</f>
        <v>39406.769999999997</v>
      </c>
      <c r="AE57" s="1114">
        <f t="shared" si="1"/>
        <v>0</v>
      </c>
      <c r="AG57" s="1103"/>
    </row>
    <row r="58" spans="1:45" ht="24" customHeight="1">
      <c r="A58" s="1122">
        <f t="shared" si="9"/>
        <v>47</v>
      </c>
      <c r="B58" s="1103" t="s">
        <v>3034</v>
      </c>
      <c r="C58" s="1114">
        <v>15</v>
      </c>
      <c r="D58" s="1103" t="s">
        <v>2851</v>
      </c>
      <c r="H58" s="1103" t="s">
        <v>2861</v>
      </c>
      <c r="K58" s="1115">
        <f>SUM(K53:K56)</f>
        <v>3365.46</v>
      </c>
      <c r="R58" s="1111" t="s">
        <v>36</v>
      </c>
      <c r="AE58" s="1114">
        <f t="shared" si="1"/>
        <v>0</v>
      </c>
      <c r="AG58" s="1103"/>
    </row>
    <row r="59" spans="1:45" ht="24" customHeight="1">
      <c r="F59" s="1103" t="s">
        <v>220</v>
      </c>
      <c r="AE59" s="1114">
        <f t="shared" si="1"/>
        <v>0</v>
      </c>
      <c r="AP59" s="1119" t="s">
        <v>3035</v>
      </c>
    </row>
    <row r="60" spans="1:45" ht="24" customHeight="1">
      <c r="A60" s="1122">
        <f>(A58+1)</f>
        <v>48</v>
      </c>
      <c r="B60" s="1103" t="s">
        <v>3036</v>
      </c>
      <c r="C60" s="1114">
        <v>27.6</v>
      </c>
      <c r="D60" s="1103" t="s">
        <v>3037</v>
      </c>
      <c r="K60" s="1111" t="s">
        <v>36</v>
      </c>
      <c r="O60" s="1103" t="s">
        <v>2946</v>
      </c>
      <c r="R60" s="1114">
        <f>(R57/10)</f>
        <v>3940.6769999999997</v>
      </c>
      <c r="AE60" s="1114">
        <f t="shared" si="1"/>
        <v>0</v>
      </c>
      <c r="AG60" s="1103"/>
      <c r="AN60" s="1131">
        <v>6.5</v>
      </c>
      <c r="AO60" s="1114" t="s">
        <v>1363</v>
      </c>
      <c r="AP60" s="1103" t="s">
        <v>3038</v>
      </c>
      <c r="AR60" s="1107"/>
    </row>
    <row r="61" spans="1:45" ht="24" customHeight="1">
      <c r="A61" s="1122">
        <f t="shared" ref="A61:A91" si="16">(A60+1)</f>
        <v>49</v>
      </c>
      <c r="B61" s="1103" t="s">
        <v>3039</v>
      </c>
      <c r="C61" s="1114">
        <f>AE29</f>
        <v>96.6</v>
      </c>
      <c r="D61" s="1114">
        <f>AE36</f>
        <v>143.9</v>
      </c>
      <c r="G61" s="1114" t="s">
        <v>1363</v>
      </c>
      <c r="H61" s="1103" t="s">
        <v>3040</v>
      </c>
      <c r="R61" s="1111" t="s">
        <v>2793</v>
      </c>
      <c r="AE61" s="1114"/>
      <c r="AG61" s="1103"/>
      <c r="AP61" s="1103" t="s">
        <v>3041</v>
      </c>
      <c r="AR61" s="1107"/>
    </row>
    <row r="62" spans="1:45" ht="24" customHeight="1">
      <c r="A62" s="1122">
        <f t="shared" si="16"/>
        <v>50</v>
      </c>
      <c r="B62" s="1103" t="s">
        <v>3042</v>
      </c>
      <c r="C62" s="1114">
        <v>611</v>
      </c>
      <c r="D62" s="1103" t="s">
        <v>2838</v>
      </c>
      <c r="H62" s="1111" t="s">
        <v>36</v>
      </c>
      <c r="N62" s="1103" t="s">
        <v>1363</v>
      </c>
      <c r="O62" s="1103" t="s">
        <v>3043</v>
      </c>
      <c r="AE62" s="1114"/>
      <c r="AG62" s="1103"/>
      <c r="AP62" s="1111" t="s">
        <v>36</v>
      </c>
      <c r="AR62" s="1107"/>
    </row>
    <row r="63" spans="1:45" ht="24" customHeight="1">
      <c r="A63" s="1122">
        <f t="shared" si="16"/>
        <v>51</v>
      </c>
      <c r="B63" s="1103" t="s">
        <v>3044</v>
      </c>
      <c r="C63" s="1114">
        <v>42</v>
      </c>
      <c r="D63" s="1103" t="s">
        <v>2851</v>
      </c>
      <c r="F63" s="1128">
        <v>0.20599999999999999</v>
      </c>
      <c r="G63" s="1114" t="s">
        <v>197</v>
      </c>
      <c r="H63" s="1103" t="s">
        <v>2830</v>
      </c>
      <c r="I63" s="1114">
        <f>(C67)</f>
        <v>5960</v>
      </c>
      <c r="J63" s="1103" t="s">
        <v>197</v>
      </c>
      <c r="K63" s="1114">
        <f>(F63*I63)</f>
        <v>1227.76</v>
      </c>
      <c r="O63" s="1103" t="s">
        <v>3045</v>
      </c>
      <c r="AB63" s="1132"/>
      <c r="AE63" s="1114"/>
      <c r="AG63" s="1103"/>
      <c r="AN63" s="1114">
        <v>1300</v>
      </c>
      <c r="AO63" s="1114" t="s">
        <v>3046</v>
      </c>
      <c r="AP63" s="1114" t="str">
        <f>AP61</f>
        <v>Bricks of size 23x11x7 cm</v>
      </c>
      <c r="AQ63" s="1114">
        <f>AC45</f>
        <v>6435</v>
      </c>
      <c r="AR63" s="1103" t="s">
        <v>3047</v>
      </c>
      <c r="AS63" s="1114">
        <f>(AN63*AQ63)/1000</f>
        <v>8365.5</v>
      </c>
    </row>
    <row r="64" spans="1:45" ht="24" customHeight="1">
      <c r="A64" s="1122">
        <f t="shared" si="16"/>
        <v>52</v>
      </c>
      <c r="B64" s="1103" t="s">
        <v>3048</v>
      </c>
      <c r="C64" s="1114">
        <v>242</v>
      </c>
      <c r="D64" s="1103" t="s">
        <v>2839</v>
      </c>
      <c r="F64" s="1114">
        <v>1</v>
      </c>
      <c r="G64" s="1114" t="s">
        <v>2839</v>
      </c>
      <c r="H64" s="1103" t="s">
        <v>2840</v>
      </c>
      <c r="I64" s="1114">
        <f>(C78)</f>
        <v>1835.06</v>
      </c>
      <c r="J64" s="1103" t="s">
        <v>2839</v>
      </c>
      <c r="K64" s="1114">
        <f>(F64*I64)</f>
        <v>1835.06</v>
      </c>
      <c r="O64" s="1111" t="s">
        <v>36</v>
      </c>
      <c r="AE64" s="1114"/>
      <c r="AG64" s="1103"/>
      <c r="AN64" s="1128">
        <v>0.70799999999999996</v>
      </c>
      <c r="AO64" s="1114" t="s">
        <v>2839</v>
      </c>
      <c r="AP64" s="1103" t="s">
        <v>2991</v>
      </c>
      <c r="AQ64" s="1114">
        <f>K49</f>
        <v>3651.54</v>
      </c>
      <c r="AR64" s="1103" t="s">
        <v>2839</v>
      </c>
      <c r="AS64" s="1114">
        <f>(AN64*AQ64)</f>
        <v>2585.2903200000001</v>
      </c>
    </row>
    <row r="65" spans="1:45" ht="24" customHeight="1">
      <c r="A65" s="1122">
        <f t="shared" si="16"/>
        <v>53</v>
      </c>
      <c r="B65" s="1103" t="s">
        <v>3049</v>
      </c>
      <c r="C65" s="1114">
        <v>349</v>
      </c>
      <c r="D65" s="1103" t="s">
        <v>3050</v>
      </c>
      <c r="F65" s="1114">
        <v>1</v>
      </c>
      <c r="G65" s="1114" t="s">
        <v>2839</v>
      </c>
      <c r="H65" s="1103" t="s">
        <v>2845</v>
      </c>
      <c r="I65" s="1114">
        <f>(C18)</f>
        <v>100</v>
      </c>
      <c r="J65" s="1103" t="s">
        <v>2839</v>
      </c>
      <c r="K65" s="1114">
        <f>(F65*I65)</f>
        <v>100</v>
      </c>
      <c r="M65" s="1114">
        <v>9</v>
      </c>
      <c r="N65" s="1103" t="s">
        <v>2839</v>
      </c>
      <c r="O65" s="1103" t="s">
        <v>3045</v>
      </c>
      <c r="P65" s="1114">
        <f>(C73)</f>
        <v>1987.06</v>
      </c>
      <c r="Q65" s="1103" t="s">
        <v>2839</v>
      </c>
      <c r="R65" s="1114">
        <f>(M65*P65)</f>
        <v>17883.54</v>
      </c>
      <c r="AE65" s="1114"/>
      <c r="AG65" s="1103"/>
      <c r="AN65" s="1114">
        <v>1</v>
      </c>
      <c r="AO65" s="1114" t="s">
        <v>2838</v>
      </c>
      <c r="AP65" s="1103" t="s">
        <v>3051</v>
      </c>
      <c r="AQ65" s="1114">
        <f>V313</f>
        <v>861</v>
      </c>
      <c r="AR65" s="1103" t="s">
        <v>2838</v>
      </c>
      <c r="AS65" s="1114">
        <f>(AN65*AQ65)</f>
        <v>861</v>
      </c>
    </row>
    <row r="66" spans="1:45" ht="24" customHeight="1">
      <c r="A66" s="1122">
        <f t="shared" si="16"/>
        <v>54</v>
      </c>
      <c r="B66" s="1103" t="s">
        <v>3052</v>
      </c>
      <c r="C66" s="1114">
        <f>AE18</f>
        <v>739</v>
      </c>
      <c r="D66" s="1103" t="s">
        <v>2838</v>
      </c>
      <c r="G66" s="1114" t="s">
        <v>2851</v>
      </c>
      <c r="H66" s="1103" t="s">
        <v>2852</v>
      </c>
      <c r="I66" s="1103" t="s">
        <v>220</v>
      </c>
      <c r="J66" s="1103" t="s">
        <v>2851</v>
      </c>
      <c r="K66" s="1114">
        <v>0</v>
      </c>
      <c r="M66" s="1114">
        <v>4.5</v>
      </c>
      <c r="N66" s="1103" t="s">
        <v>2839</v>
      </c>
      <c r="O66" s="1103" t="s">
        <v>2870</v>
      </c>
      <c r="P66" s="1114">
        <f>(K23)</f>
        <v>6226.26</v>
      </c>
      <c r="Q66" s="1103" t="s">
        <v>2839</v>
      </c>
      <c r="R66" s="1114">
        <f>(M66*P66)</f>
        <v>28018.170000000002</v>
      </c>
      <c r="AE66" s="1114"/>
      <c r="AG66" s="1103"/>
      <c r="AN66" s="1114">
        <v>3</v>
      </c>
      <c r="AO66" s="1114" t="s">
        <v>2838</v>
      </c>
      <c r="AP66" s="1103" t="s">
        <v>3017</v>
      </c>
      <c r="AQ66" s="1114">
        <f>V314</f>
        <v>804</v>
      </c>
      <c r="AR66" s="1103" t="s">
        <v>2838</v>
      </c>
      <c r="AS66" s="1114">
        <f>(AN66*AQ66)</f>
        <v>2412</v>
      </c>
    </row>
    <row r="67" spans="1:45" ht="24" customHeight="1">
      <c r="A67" s="1122">
        <f t="shared" si="16"/>
        <v>55</v>
      </c>
      <c r="B67" s="1103" t="s">
        <v>2830</v>
      </c>
      <c r="C67" s="1114">
        <f>AC31</f>
        <v>5960</v>
      </c>
      <c r="D67" s="1103" t="s">
        <v>197</v>
      </c>
      <c r="K67" s="1111" t="s">
        <v>36</v>
      </c>
      <c r="M67" s="1114">
        <v>1.8</v>
      </c>
      <c r="N67" s="1103" t="s">
        <v>2838</v>
      </c>
      <c r="O67" s="1103" t="s">
        <v>3017</v>
      </c>
      <c r="P67" s="1114">
        <f>(C11)</f>
        <v>804</v>
      </c>
      <c r="Q67" s="1103" t="s">
        <v>2838</v>
      </c>
      <c r="R67" s="1114">
        <f>(M67*P67)</f>
        <v>1447.2</v>
      </c>
      <c r="AE67" s="1114"/>
      <c r="AG67" s="1103"/>
      <c r="AN67" s="1114">
        <v>2</v>
      </c>
      <c r="AO67" s="1114" t="s">
        <v>2838</v>
      </c>
      <c r="AP67" s="1103" t="s">
        <v>3020</v>
      </c>
      <c r="AQ67" s="1114">
        <f>V315</f>
        <v>562</v>
      </c>
      <c r="AR67" s="1103" t="s">
        <v>2838</v>
      </c>
      <c r="AS67" s="1114">
        <f>(AN67*AQ67)</f>
        <v>1124</v>
      </c>
    </row>
    <row r="68" spans="1:45" ht="24" customHeight="1">
      <c r="A68" s="1122">
        <f t="shared" si="16"/>
        <v>56</v>
      </c>
      <c r="B68" s="1103" t="s">
        <v>3053</v>
      </c>
      <c r="C68" s="1114">
        <f t="shared" ref="C68:C74" si="17">AC9</f>
        <v>1000.06</v>
      </c>
      <c r="D68" s="1103" t="s">
        <v>2839</v>
      </c>
      <c r="H68" s="1103" t="s">
        <v>2861</v>
      </c>
      <c r="K68" s="1115">
        <f>SUM(K63:K66)</f>
        <v>3162.8199999999997</v>
      </c>
      <c r="M68" s="1114">
        <v>17.7</v>
      </c>
      <c r="N68" s="1103" t="s">
        <v>2838</v>
      </c>
      <c r="O68" s="1103" t="s">
        <v>3020</v>
      </c>
      <c r="P68" s="1114">
        <f>(C12)</f>
        <v>562</v>
      </c>
      <c r="Q68" s="1103" t="s">
        <v>2838</v>
      </c>
      <c r="R68" s="1114">
        <f>(M68*P68)</f>
        <v>9947.4</v>
      </c>
      <c r="AE68" s="1114"/>
      <c r="AG68" s="1103"/>
      <c r="AN68" s="1114">
        <v>6</v>
      </c>
      <c r="AO68" s="1114" t="s">
        <v>2838</v>
      </c>
      <c r="AP68" s="1103" t="s">
        <v>3026</v>
      </c>
      <c r="AQ68" s="1114">
        <f>V316</f>
        <v>461</v>
      </c>
      <c r="AR68" s="1103" t="s">
        <v>2838</v>
      </c>
      <c r="AS68" s="1114">
        <f>(AN68*AQ68)</f>
        <v>2766</v>
      </c>
    </row>
    <row r="69" spans="1:45" ht="24" customHeight="1">
      <c r="A69" s="1122">
        <f t="shared" si="16"/>
        <v>57</v>
      </c>
      <c r="B69" s="1103" t="s">
        <v>3054</v>
      </c>
      <c r="C69" s="1114">
        <f t="shared" si="17"/>
        <v>1197.06</v>
      </c>
      <c r="D69" s="1103" t="s">
        <v>2839</v>
      </c>
      <c r="K69" s="1111" t="s">
        <v>36</v>
      </c>
      <c r="M69" s="1114">
        <v>14.1</v>
      </c>
      <c r="N69" s="1103" t="s">
        <v>2838</v>
      </c>
      <c r="O69" s="1103" t="s">
        <v>3026</v>
      </c>
      <c r="P69" s="1114">
        <f>(C13)</f>
        <v>461</v>
      </c>
      <c r="Q69" s="1103" t="s">
        <v>2838</v>
      </c>
      <c r="R69" s="1114">
        <f>(M69*P69)</f>
        <v>6500.0999999999995</v>
      </c>
      <c r="AE69" s="1114"/>
      <c r="AG69" s="1103"/>
      <c r="AO69" s="1114" t="s">
        <v>2851</v>
      </c>
      <c r="AP69" s="1103" t="s">
        <v>2852</v>
      </c>
      <c r="AR69" s="1103" t="s">
        <v>2851</v>
      </c>
      <c r="AS69" s="1114">
        <v>0</v>
      </c>
    </row>
    <row r="70" spans="1:45" ht="24" customHeight="1">
      <c r="A70" s="1122">
        <f t="shared" si="16"/>
        <v>58</v>
      </c>
      <c r="B70" s="1103" t="s">
        <v>3055</v>
      </c>
      <c r="C70" s="1114">
        <f t="shared" si="17"/>
        <v>1299.3899999999999</v>
      </c>
      <c r="D70" s="1103" t="s">
        <v>2839</v>
      </c>
      <c r="G70" s="1114" t="s">
        <v>1363</v>
      </c>
      <c r="H70" s="1103" t="s">
        <v>3014</v>
      </c>
      <c r="N70" s="1103" t="s">
        <v>2851</v>
      </c>
      <c r="O70" s="1103" t="s">
        <v>2852</v>
      </c>
      <c r="Q70" s="1103" t="s">
        <v>2851</v>
      </c>
      <c r="R70" s="1114">
        <v>0</v>
      </c>
      <c r="AE70" s="1114"/>
      <c r="AG70" s="1103"/>
      <c r="AR70" s="1107"/>
      <c r="AS70" s="1111" t="s">
        <v>36</v>
      </c>
    </row>
    <row r="71" spans="1:45" ht="24" customHeight="1">
      <c r="A71" s="1122">
        <f t="shared" si="16"/>
        <v>59</v>
      </c>
      <c r="B71" s="1103" t="s">
        <v>3056</v>
      </c>
      <c r="C71" s="1114">
        <f t="shared" si="17"/>
        <v>1532.06</v>
      </c>
      <c r="D71" s="1103" t="s">
        <v>2839</v>
      </c>
      <c r="H71" s="1111" t="s">
        <v>36</v>
      </c>
      <c r="R71" s="1111" t="s">
        <v>36</v>
      </c>
      <c r="AE71" s="1114"/>
      <c r="AG71" s="1103"/>
      <c r="AP71" s="1103" t="s">
        <v>3057</v>
      </c>
      <c r="AR71" s="1107"/>
      <c r="AS71" s="1114">
        <f>SUM(AS63:AS69)</f>
        <v>18113.79032</v>
      </c>
    </row>
    <row r="72" spans="1:45" ht="24" customHeight="1">
      <c r="A72" s="1122">
        <f t="shared" si="16"/>
        <v>60</v>
      </c>
      <c r="B72" s="1103" t="s">
        <v>3058</v>
      </c>
      <c r="C72" s="1114">
        <f t="shared" si="17"/>
        <v>1884.06</v>
      </c>
      <c r="D72" s="1103" t="s">
        <v>2839</v>
      </c>
      <c r="F72" s="1114">
        <v>0.18</v>
      </c>
      <c r="G72" s="1114" t="s">
        <v>197</v>
      </c>
      <c r="H72" s="1103" t="s">
        <v>2830</v>
      </c>
      <c r="I72" s="1114">
        <f>(C67)</f>
        <v>5960</v>
      </c>
      <c r="J72" s="1103" t="s">
        <v>197</v>
      </c>
      <c r="K72" s="1114">
        <f>(F72*I72)</f>
        <v>1072.8</v>
      </c>
      <c r="O72" s="1103" t="s">
        <v>3033</v>
      </c>
      <c r="R72" s="1114">
        <f>SUM(R65:R70)</f>
        <v>63796.41</v>
      </c>
      <c r="AE72" s="1114"/>
      <c r="AG72" s="1103"/>
      <c r="AR72" s="1107"/>
      <c r="AS72" s="1111" t="s">
        <v>36</v>
      </c>
    </row>
    <row r="73" spans="1:45" ht="24" customHeight="1">
      <c r="A73" s="1122">
        <f t="shared" si="16"/>
        <v>61</v>
      </c>
      <c r="B73" s="1103" t="s">
        <v>3059</v>
      </c>
      <c r="C73" s="1114">
        <f t="shared" si="17"/>
        <v>1987.06</v>
      </c>
      <c r="D73" s="1103" t="s">
        <v>2839</v>
      </c>
      <c r="F73" s="1114">
        <v>1</v>
      </c>
      <c r="G73" s="1114" t="s">
        <v>2839</v>
      </c>
      <c r="H73" s="1103" t="s">
        <v>2840</v>
      </c>
      <c r="I73" s="1114">
        <f>(C78)</f>
        <v>1835.06</v>
      </c>
      <c r="J73" s="1103" t="s">
        <v>2839</v>
      </c>
      <c r="K73" s="1114">
        <f>(F73*I73)</f>
        <v>1835.06</v>
      </c>
      <c r="R73" s="1111" t="s">
        <v>36</v>
      </c>
      <c r="AE73" s="1114"/>
      <c r="AG73" s="1103"/>
      <c r="AP73" s="1118" t="s">
        <v>2946</v>
      </c>
      <c r="AR73" s="1107"/>
      <c r="AS73" s="1115">
        <f>(AS71/2.83168)</f>
        <v>6396.8352073680644</v>
      </c>
    </row>
    <row r="74" spans="1:45" ht="24" customHeight="1">
      <c r="A74" s="1122">
        <f t="shared" si="16"/>
        <v>62</v>
      </c>
      <c r="B74" s="1103" t="s">
        <v>3060</v>
      </c>
      <c r="C74" s="1114">
        <f t="shared" si="17"/>
        <v>1584.06</v>
      </c>
      <c r="D74" s="1103" t="s">
        <v>2839</v>
      </c>
      <c r="F74" s="1114">
        <v>1</v>
      </c>
      <c r="G74" s="1114" t="s">
        <v>2839</v>
      </c>
      <c r="H74" s="1103" t="s">
        <v>2845</v>
      </c>
      <c r="I74" s="1114">
        <f>(C18)</f>
        <v>100</v>
      </c>
      <c r="J74" s="1103" t="s">
        <v>2839</v>
      </c>
      <c r="K74" s="1114">
        <f>(F74*I74)</f>
        <v>100</v>
      </c>
      <c r="O74" s="1103" t="s">
        <v>2946</v>
      </c>
      <c r="R74" s="1114">
        <f>(R72/10)</f>
        <v>6379.6410000000005</v>
      </c>
      <c r="AE74" s="1114"/>
      <c r="AG74" s="1103"/>
      <c r="AR74" s="1107"/>
      <c r="AS74" s="1111" t="s">
        <v>2793</v>
      </c>
    </row>
    <row r="75" spans="1:45" ht="24" customHeight="1">
      <c r="A75" s="1122">
        <f t="shared" si="16"/>
        <v>63</v>
      </c>
      <c r="B75" s="1103" t="s">
        <v>3061</v>
      </c>
      <c r="C75" s="1114">
        <v>175</v>
      </c>
      <c r="D75" s="1103" t="s">
        <v>1363</v>
      </c>
      <c r="G75" s="1114" t="s">
        <v>2851</v>
      </c>
      <c r="H75" s="1103" t="s">
        <v>2852</v>
      </c>
      <c r="I75" s="1103" t="s">
        <v>220</v>
      </c>
      <c r="J75" s="1103" t="s">
        <v>2851</v>
      </c>
      <c r="K75" s="1114">
        <v>0</v>
      </c>
      <c r="R75" s="1111" t="s">
        <v>2793</v>
      </c>
      <c r="AE75" s="1114"/>
      <c r="AG75" s="1103"/>
      <c r="AP75" s="1103" t="s">
        <v>3062</v>
      </c>
      <c r="AR75" s="1107"/>
      <c r="AS75" s="1114">
        <f>AS73+C19</f>
        <v>6464.8352073680644</v>
      </c>
    </row>
    <row r="76" spans="1:45" ht="24" customHeight="1">
      <c r="A76" s="1122">
        <f t="shared" si="16"/>
        <v>64</v>
      </c>
      <c r="B76" s="1103" t="s">
        <v>3063</v>
      </c>
      <c r="C76" s="1114">
        <v>460</v>
      </c>
      <c r="D76" s="1114">
        <v>290</v>
      </c>
      <c r="E76" s="1105" t="s">
        <v>3064</v>
      </c>
      <c r="K76" s="1111" t="s">
        <v>36</v>
      </c>
      <c r="N76" s="1103" t="s">
        <v>1363</v>
      </c>
      <c r="O76" s="1103" t="s">
        <v>3065</v>
      </c>
      <c r="AE76" s="1114"/>
      <c r="AG76" s="1103"/>
      <c r="AP76" s="1103" t="s">
        <v>3066</v>
      </c>
      <c r="AR76" s="1107"/>
      <c r="AS76" s="1114">
        <f>AS75+C20</f>
        <v>6602.0352073680642</v>
      </c>
    </row>
    <row r="77" spans="1:45" ht="24" customHeight="1">
      <c r="A77" s="1122">
        <f t="shared" si="16"/>
        <v>65</v>
      </c>
      <c r="B77" s="1103" t="s">
        <v>3067</v>
      </c>
      <c r="C77" s="1114">
        <f>AC34</f>
        <v>4438.3</v>
      </c>
      <c r="D77" s="1103" t="s">
        <v>2839</v>
      </c>
      <c r="H77" s="1103" t="s">
        <v>2861</v>
      </c>
      <c r="K77" s="1115">
        <f>SUM(K72:K75)</f>
        <v>3007.8599999999997</v>
      </c>
      <c r="O77" s="1103" t="s">
        <v>3068</v>
      </c>
      <c r="AE77" s="1114"/>
      <c r="AG77" s="1103"/>
      <c r="AP77" s="1103" t="s">
        <v>3069</v>
      </c>
      <c r="AR77" s="1107"/>
      <c r="AS77" s="1114">
        <f>AS76+C20</f>
        <v>6739.235207368064</v>
      </c>
    </row>
    <row r="78" spans="1:45" ht="24" customHeight="1">
      <c r="A78" s="1122">
        <f t="shared" si="16"/>
        <v>66</v>
      </c>
      <c r="B78" s="1103" t="s">
        <v>3070</v>
      </c>
      <c r="C78" s="1114">
        <f t="shared" ref="C78:C91" si="18">AC16</f>
        <v>1835.06</v>
      </c>
      <c r="D78" s="1103" t="s">
        <v>2839</v>
      </c>
      <c r="K78" s="1111" t="s">
        <v>36</v>
      </c>
      <c r="O78" s="1111" t="s">
        <v>36</v>
      </c>
      <c r="AE78" s="1114"/>
      <c r="AG78" s="1103"/>
      <c r="AP78" s="1103" t="s">
        <v>3071</v>
      </c>
      <c r="AR78" s="1107"/>
      <c r="AS78" s="1114">
        <f>AS77+C20</f>
        <v>6876.4352073680639</v>
      </c>
    </row>
    <row r="79" spans="1:45" ht="24" customHeight="1">
      <c r="A79" s="1122">
        <f t="shared" si="16"/>
        <v>67</v>
      </c>
      <c r="B79" s="1103" t="s">
        <v>2878</v>
      </c>
      <c r="C79" s="1114">
        <f t="shared" si="18"/>
        <v>1835.06</v>
      </c>
      <c r="D79" s="1103" t="s">
        <v>2839</v>
      </c>
      <c r="F79" s="1131">
        <v>1.1000000000000001</v>
      </c>
      <c r="G79" s="1114" t="s">
        <v>220</v>
      </c>
      <c r="H79" s="1103" t="s">
        <v>3072</v>
      </c>
      <c r="M79" s="1114">
        <v>4600</v>
      </c>
      <c r="N79" s="1103" t="s">
        <v>3046</v>
      </c>
      <c r="O79" s="1103" t="s">
        <v>3073</v>
      </c>
      <c r="P79" s="1114">
        <f>AC41</f>
        <v>6435</v>
      </c>
      <c r="Q79" s="1103" t="s">
        <v>3047</v>
      </c>
      <c r="R79" s="1114">
        <f>(M79*P79)/1000</f>
        <v>29601</v>
      </c>
      <c r="S79" s="1133">
        <v>1.1000000000000001</v>
      </c>
      <c r="T79" s="1114" t="s">
        <v>220</v>
      </c>
      <c r="U79" s="1106" t="s">
        <v>3074</v>
      </c>
      <c r="W79" s="1107"/>
      <c r="AE79" s="1114"/>
      <c r="AG79" s="1103"/>
      <c r="AP79" s="1103" t="s">
        <v>3075</v>
      </c>
      <c r="AR79" s="1107"/>
      <c r="AS79" s="1114">
        <f>AS78+C20</f>
        <v>7013.6352073680637</v>
      </c>
    </row>
    <row r="80" spans="1:45" ht="24" customHeight="1">
      <c r="A80" s="1122">
        <f t="shared" si="16"/>
        <v>68</v>
      </c>
      <c r="B80" s="1103" t="s">
        <v>3076</v>
      </c>
      <c r="C80" s="1114">
        <f t="shared" si="18"/>
        <v>5813.3</v>
      </c>
      <c r="D80" s="1103" t="s">
        <v>3077</v>
      </c>
      <c r="F80" s="1134" t="s">
        <v>220</v>
      </c>
      <c r="H80" s="1103" t="s">
        <v>3078</v>
      </c>
      <c r="M80" s="1114">
        <v>2.5</v>
      </c>
      <c r="N80" s="1103" t="s">
        <v>2839</v>
      </c>
      <c r="O80" s="1103" t="s">
        <v>2991</v>
      </c>
      <c r="P80" s="1114">
        <f>(K49)</f>
        <v>3651.54</v>
      </c>
      <c r="Q80" s="1103" t="s">
        <v>2839</v>
      </c>
      <c r="R80" s="1114">
        <f>(M80*P80)</f>
        <v>9128.85</v>
      </c>
      <c r="S80" s="1135" t="s">
        <v>220</v>
      </c>
      <c r="U80" s="1103" t="s">
        <v>3078</v>
      </c>
      <c r="W80" s="1107"/>
      <c r="AE80" s="1114"/>
      <c r="AG80" s="1103"/>
      <c r="AQ80" s="1114"/>
      <c r="AS80" s="1103"/>
    </row>
    <row r="81" spans="1:45" ht="24" customHeight="1">
      <c r="A81" s="1122">
        <f t="shared" si="16"/>
        <v>69</v>
      </c>
      <c r="B81" s="1103" t="s">
        <v>3079</v>
      </c>
      <c r="C81" s="1114">
        <f t="shared" si="18"/>
        <v>886.3</v>
      </c>
      <c r="D81" s="1103" t="s">
        <v>2839</v>
      </c>
      <c r="F81" s="1114">
        <v>10</v>
      </c>
      <c r="G81" s="1114" t="s">
        <v>2839</v>
      </c>
      <c r="H81" s="1103" t="s">
        <v>3080</v>
      </c>
      <c r="I81" s="1114">
        <f>(C61)</f>
        <v>96.6</v>
      </c>
      <c r="J81" s="1103" t="s">
        <v>2839</v>
      </c>
      <c r="K81" s="1114">
        <f>(F81*I81)</f>
        <v>966</v>
      </c>
      <c r="M81" s="1114">
        <v>3.5</v>
      </c>
      <c r="N81" s="1103" t="s">
        <v>2838</v>
      </c>
      <c r="O81" s="1103" t="s">
        <v>3051</v>
      </c>
      <c r="P81" s="1114">
        <f>(C10)</f>
        <v>861</v>
      </c>
      <c r="Q81" s="1103" t="s">
        <v>2838</v>
      </c>
      <c r="R81" s="1114">
        <f>(M81*P81)</f>
        <v>3013.5</v>
      </c>
      <c r="S81" s="1128">
        <v>10</v>
      </c>
      <c r="T81" s="1114" t="s">
        <v>2839</v>
      </c>
      <c r="U81" s="1103" t="s">
        <v>3080</v>
      </c>
      <c r="V81" s="1114">
        <f>AE39</f>
        <v>64.5</v>
      </c>
      <c r="W81" s="1103" t="s">
        <v>2839</v>
      </c>
      <c r="X81" s="1114">
        <f>(S81*V81)</f>
        <v>645</v>
      </c>
      <c r="AE81" s="1114"/>
      <c r="AG81" s="1103"/>
      <c r="AQ81" s="1114"/>
      <c r="AS81" s="1103"/>
    </row>
    <row r="82" spans="1:45" ht="24" customHeight="1">
      <c r="A82" s="1122">
        <f t="shared" si="16"/>
        <v>70</v>
      </c>
      <c r="B82" s="1103" t="s">
        <v>3081</v>
      </c>
      <c r="C82" s="1114">
        <f t="shared" si="18"/>
        <v>965.3</v>
      </c>
      <c r="D82" s="1103" t="s">
        <v>2839</v>
      </c>
      <c r="F82" s="1114">
        <v>10</v>
      </c>
      <c r="G82" s="1114" t="s">
        <v>2839</v>
      </c>
      <c r="H82" s="1103" t="s">
        <v>3082</v>
      </c>
      <c r="I82" s="1114">
        <f>(C61)</f>
        <v>96.6</v>
      </c>
      <c r="J82" s="1103" t="s">
        <v>2839</v>
      </c>
      <c r="K82" s="1114">
        <f>(F82*I82)</f>
        <v>966</v>
      </c>
      <c r="L82" s="1105">
        <f>I82+I81</f>
        <v>193.2</v>
      </c>
      <c r="M82" s="1114">
        <v>10.6</v>
      </c>
      <c r="N82" s="1103" t="s">
        <v>2838</v>
      </c>
      <c r="O82" s="1103" t="s">
        <v>3017</v>
      </c>
      <c r="P82" s="1114">
        <f>(C11)</f>
        <v>804</v>
      </c>
      <c r="Q82" s="1103" t="s">
        <v>2838</v>
      </c>
      <c r="R82" s="1114">
        <f>(M82*P82)</f>
        <v>8522.4</v>
      </c>
      <c r="S82" s="1128">
        <v>10</v>
      </c>
      <c r="T82" s="1114" t="s">
        <v>2839</v>
      </c>
      <c r="U82" s="1103" t="s">
        <v>3082</v>
      </c>
      <c r="V82" s="1114">
        <f>V81</f>
        <v>64.5</v>
      </c>
      <c r="W82" s="1103" t="s">
        <v>2839</v>
      </c>
      <c r="X82" s="1114">
        <f>(S82*V82)</f>
        <v>645</v>
      </c>
      <c r="AE82" s="1114"/>
      <c r="AG82" s="1103"/>
      <c r="AQ82" s="1114"/>
      <c r="AS82" s="1103"/>
    </row>
    <row r="83" spans="1:45" ht="24" customHeight="1">
      <c r="A83" s="1122">
        <f t="shared" si="16"/>
        <v>71</v>
      </c>
      <c r="B83" s="1103" t="s">
        <v>3083</v>
      </c>
      <c r="C83" s="1114">
        <f t="shared" si="18"/>
        <v>16106</v>
      </c>
      <c r="D83" s="1103" t="s">
        <v>3077</v>
      </c>
      <c r="E83" s="1105">
        <v>8710</v>
      </c>
      <c r="F83" s="1114">
        <v>10</v>
      </c>
      <c r="G83" s="1114" t="s">
        <v>2839</v>
      </c>
      <c r="H83" s="1103" t="s">
        <v>3084</v>
      </c>
      <c r="I83" s="1114">
        <f>(C26)/3</f>
        <v>11.200000000000001</v>
      </c>
      <c r="J83" s="1103" t="s">
        <v>2839</v>
      </c>
      <c r="K83" s="1114">
        <f>(F83*I83)</f>
        <v>112.00000000000001</v>
      </c>
      <c r="M83" s="1114">
        <v>7.1</v>
      </c>
      <c r="N83" s="1103" t="s">
        <v>2838</v>
      </c>
      <c r="O83" s="1103" t="s">
        <v>3020</v>
      </c>
      <c r="P83" s="1114">
        <f>(C12)</f>
        <v>562</v>
      </c>
      <c r="Q83" s="1103" t="s">
        <v>2838</v>
      </c>
      <c r="R83" s="1114">
        <f>(M83*P83)</f>
        <v>3990.2</v>
      </c>
      <c r="S83" s="1128">
        <v>10</v>
      </c>
      <c r="T83" s="1114" t="s">
        <v>2839</v>
      </c>
      <c r="U83" s="1103" t="s">
        <v>3084</v>
      </c>
      <c r="V83" s="1114">
        <f>AE27/3</f>
        <v>9.8333333333333339</v>
      </c>
      <c r="W83" s="1103" t="s">
        <v>2839</v>
      </c>
      <c r="X83" s="1114">
        <f>(S83*V83)</f>
        <v>98.333333333333343</v>
      </c>
      <c r="AE83" s="1114"/>
      <c r="AG83" s="1103"/>
      <c r="AQ83" s="1114"/>
      <c r="AS83" s="1103"/>
    </row>
    <row r="84" spans="1:45" ht="24" customHeight="1">
      <c r="A84" s="1122">
        <f t="shared" si="16"/>
        <v>72</v>
      </c>
      <c r="B84" s="1103" t="s">
        <v>3085</v>
      </c>
      <c r="C84" s="1114">
        <f t="shared" si="18"/>
        <v>1322</v>
      </c>
      <c r="D84" s="1103" t="s">
        <v>2839</v>
      </c>
      <c r="G84" s="1114" t="s">
        <v>2851</v>
      </c>
      <c r="H84" s="1103" t="s">
        <v>2852</v>
      </c>
      <c r="J84" s="1103" t="s">
        <v>2851</v>
      </c>
      <c r="K84" s="1114">
        <v>0</v>
      </c>
      <c r="M84" s="1114">
        <v>21.2</v>
      </c>
      <c r="N84" s="1103" t="s">
        <v>2838</v>
      </c>
      <c r="O84" s="1103" t="s">
        <v>3026</v>
      </c>
      <c r="P84" s="1114">
        <f>(C13)</f>
        <v>461</v>
      </c>
      <c r="Q84" s="1103" t="s">
        <v>2838</v>
      </c>
      <c r="R84" s="1114">
        <f>(M84*P84)</f>
        <v>9773.1999999999989</v>
      </c>
      <c r="T84" s="1114" t="s">
        <v>2851</v>
      </c>
      <c r="U84" s="1103" t="s">
        <v>2852</v>
      </c>
      <c r="W84" s="1103" t="s">
        <v>2851</v>
      </c>
      <c r="X84" s="1114">
        <v>0</v>
      </c>
      <c r="AE84" s="1114"/>
      <c r="AG84" s="1103"/>
      <c r="AN84" s="1126">
        <v>9</v>
      </c>
      <c r="AO84" s="1114" t="s">
        <v>1363</v>
      </c>
      <c r="AP84" s="1103" t="s">
        <v>3086</v>
      </c>
      <c r="AR84" s="1107"/>
    </row>
    <row r="85" spans="1:45" ht="24" customHeight="1">
      <c r="A85" s="1122">
        <f t="shared" si="16"/>
        <v>73</v>
      </c>
      <c r="B85" s="1103" t="s">
        <v>3087</v>
      </c>
      <c r="C85" s="1114">
        <f t="shared" si="18"/>
        <v>1127.18</v>
      </c>
      <c r="D85" s="1103" t="s">
        <v>2839</v>
      </c>
      <c r="K85" s="1111" t="s">
        <v>36</v>
      </c>
      <c r="N85" s="1103" t="s">
        <v>2851</v>
      </c>
      <c r="O85" s="1103" t="s">
        <v>2852</v>
      </c>
      <c r="Q85" s="1103" t="s">
        <v>2851</v>
      </c>
      <c r="R85" s="1114">
        <v>0</v>
      </c>
      <c r="W85" s="1107"/>
      <c r="X85" s="1111" t="s">
        <v>36</v>
      </c>
      <c r="AE85" s="1114"/>
      <c r="AG85" s="1103"/>
      <c r="AP85" s="1103" t="str">
        <f>AP61</f>
        <v>Bricks of size 23x11x7 cm</v>
      </c>
      <c r="AR85" s="1107"/>
    </row>
    <row r="86" spans="1:45" ht="24" customHeight="1">
      <c r="A86" s="1122">
        <f t="shared" si="16"/>
        <v>74</v>
      </c>
      <c r="B86" s="1103" t="s">
        <v>3088</v>
      </c>
      <c r="C86" s="1114">
        <f t="shared" si="18"/>
        <v>34300</v>
      </c>
      <c r="D86" s="1103" t="s">
        <v>2839</v>
      </c>
      <c r="H86" s="1103" t="s">
        <v>3033</v>
      </c>
      <c r="K86" s="1114">
        <f>SUM(K81:K84)</f>
        <v>2044</v>
      </c>
      <c r="R86" s="1111" t="s">
        <v>36</v>
      </c>
      <c r="U86" s="1103" t="s">
        <v>3033</v>
      </c>
      <c r="W86" s="1107"/>
      <c r="X86" s="1114">
        <f>SUM(X81:X84)</f>
        <v>1388.3333333333333</v>
      </c>
      <c r="AE86" s="1114"/>
      <c r="AG86" s="1103"/>
      <c r="AP86" s="1111" t="s">
        <v>36</v>
      </c>
      <c r="AR86" s="1107"/>
    </row>
    <row r="87" spans="1:45" ht="24" customHeight="1">
      <c r="A87" s="1122">
        <f t="shared" si="16"/>
        <v>75</v>
      </c>
      <c r="B87" s="1103" t="s">
        <v>3089</v>
      </c>
      <c r="C87" s="1114">
        <f t="shared" si="18"/>
        <v>39400</v>
      </c>
      <c r="D87" s="1103" t="s">
        <v>2839</v>
      </c>
      <c r="K87" s="1111" t="s">
        <v>36</v>
      </c>
      <c r="O87" s="1103" t="s">
        <v>3033</v>
      </c>
      <c r="R87" s="1114">
        <f>SUM(R79:R85)</f>
        <v>64029.149999999994</v>
      </c>
      <c r="W87" s="1107"/>
      <c r="X87" s="1111" t="s">
        <v>36</v>
      </c>
      <c r="AE87" s="1114"/>
      <c r="AG87" s="1103"/>
      <c r="AN87" s="1114">
        <f>AN63</f>
        <v>1300</v>
      </c>
      <c r="AO87" s="1114" t="s">
        <v>3046</v>
      </c>
      <c r="AP87" s="1114" t="str">
        <f>AP61</f>
        <v>Bricks of size 23x11x7 cm</v>
      </c>
      <c r="AQ87" s="1114">
        <f>AC45</f>
        <v>6435</v>
      </c>
      <c r="AR87" s="1103" t="s">
        <v>3047</v>
      </c>
      <c r="AS87" s="1114">
        <f>AQ87*AN87/1000</f>
        <v>8365.5</v>
      </c>
    </row>
    <row r="88" spans="1:45" ht="36" customHeight="1">
      <c r="A88" s="1122">
        <f t="shared" si="16"/>
        <v>76</v>
      </c>
      <c r="B88" s="1103" t="s">
        <v>3090</v>
      </c>
      <c r="C88" s="1114">
        <f t="shared" si="18"/>
        <v>111600</v>
      </c>
      <c r="D88" s="1103" t="s">
        <v>2839</v>
      </c>
      <c r="H88" s="1106" t="s">
        <v>3091</v>
      </c>
      <c r="I88" s="1119" t="s">
        <v>3092</v>
      </c>
      <c r="J88" s="1136"/>
      <c r="K88" s="1115">
        <f>(K86/10)</f>
        <v>204.4</v>
      </c>
      <c r="R88" s="1111" t="s">
        <v>36</v>
      </c>
      <c r="U88" s="1106" t="s">
        <v>3091</v>
      </c>
      <c r="V88" s="1119" t="s">
        <v>3092</v>
      </c>
      <c r="W88" s="1136"/>
      <c r="X88" s="1115">
        <f>(X86/10)</f>
        <v>138.83333333333331</v>
      </c>
      <c r="AE88" s="1114"/>
      <c r="AG88" s="1103"/>
      <c r="AN88" s="1128">
        <f>AN64</f>
        <v>0.70799999999999996</v>
      </c>
      <c r="AO88" s="1114" t="s">
        <v>2839</v>
      </c>
      <c r="AP88" s="1103" t="s">
        <v>3013</v>
      </c>
      <c r="AQ88" s="1114">
        <f>K58</f>
        <v>3365.46</v>
      </c>
      <c r="AR88" s="1103" t="s">
        <v>2839</v>
      </c>
      <c r="AS88" s="1114">
        <f>AQ88*AN88</f>
        <v>2382.74568</v>
      </c>
    </row>
    <row r="89" spans="1:45" ht="19.5" customHeight="1">
      <c r="A89" s="1122">
        <f t="shared" si="16"/>
        <v>77</v>
      </c>
      <c r="B89" s="1103" t="s">
        <v>3093</v>
      </c>
      <c r="C89" s="1114">
        <f t="shared" si="18"/>
        <v>99400</v>
      </c>
      <c r="D89" s="1103" t="s">
        <v>2839</v>
      </c>
      <c r="I89" s="1119" t="s">
        <v>3094</v>
      </c>
      <c r="J89" s="1136"/>
      <c r="K89" s="1113">
        <f>ROUND(K88+C36,2)</f>
        <v>213.7</v>
      </c>
      <c r="O89" s="1103" t="s">
        <v>2946</v>
      </c>
      <c r="R89" s="1114">
        <f>(R87/10)</f>
        <v>6402.9149999999991</v>
      </c>
      <c r="V89" s="1119" t="s">
        <v>3094</v>
      </c>
      <c r="W89" s="1136"/>
      <c r="X89" s="1113">
        <f>ROUND(X88+C36,2)</f>
        <v>148.13</v>
      </c>
      <c r="AE89" s="1114"/>
      <c r="AG89" s="1103"/>
      <c r="AN89" s="1114">
        <v>1</v>
      </c>
      <c r="AO89" s="1114" t="s">
        <v>2838</v>
      </c>
      <c r="AP89" s="1103" t="s">
        <v>3051</v>
      </c>
      <c r="AQ89" s="1114">
        <f>AQ65</f>
        <v>861</v>
      </c>
      <c r="AR89" s="1103" t="s">
        <v>2838</v>
      </c>
      <c r="AS89" s="1114">
        <f>AQ89*AN89</f>
        <v>861</v>
      </c>
    </row>
    <row r="90" spans="1:45" ht="36" customHeight="1">
      <c r="A90" s="1122">
        <f t="shared" si="16"/>
        <v>78</v>
      </c>
      <c r="B90" s="1103" t="s">
        <v>3095</v>
      </c>
      <c r="C90" s="1114">
        <f>AC28</f>
        <v>95000</v>
      </c>
      <c r="D90" s="1103" t="s">
        <v>2839</v>
      </c>
      <c r="F90" s="1126" t="s">
        <v>3096</v>
      </c>
      <c r="H90" s="1137" t="s">
        <v>3097</v>
      </c>
      <c r="I90" s="1119" t="s">
        <v>3092</v>
      </c>
      <c r="J90" s="1136"/>
      <c r="K90" s="1115">
        <f>K88-K83/10</f>
        <v>193.20000000000002</v>
      </c>
      <c r="R90" s="1111" t="s">
        <v>2793</v>
      </c>
      <c r="S90" s="1133" t="s">
        <v>3096</v>
      </c>
      <c r="U90" s="1137" t="s">
        <v>3098</v>
      </c>
      <c r="V90" s="1119" t="s">
        <v>3092</v>
      </c>
      <c r="W90" s="1136"/>
      <c r="X90" s="1115">
        <f>X88-X83/10</f>
        <v>128.99999999999997</v>
      </c>
      <c r="AE90" s="1114"/>
      <c r="AG90" s="1103"/>
      <c r="AN90" s="1114">
        <v>3</v>
      </c>
      <c r="AO90" s="1114" t="s">
        <v>2838</v>
      </c>
      <c r="AP90" s="1103" t="s">
        <v>3017</v>
      </c>
      <c r="AQ90" s="1114">
        <f>AQ66</f>
        <v>804</v>
      </c>
      <c r="AR90" s="1103" t="s">
        <v>2838</v>
      </c>
      <c r="AS90" s="1114">
        <f>AQ90*AN90</f>
        <v>2412</v>
      </c>
    </row>
    <row r="91" spans="1:45" ht="24" customHeight="1">
      <c r="A91" s="1122">
        <f t="shared" si="16"/>
        <v>79</v>
      </c>
      <c r="B91" s="1103" t="s">
        <v>3099</v>
      </c>
      <c r="C91" s="1114">
        <f t="shared" si="18"/>
        <v>4438.3</v>
      </c>
      <c r="D91" s="1103" t="s">
        <v>3077</v>
      </c>
      <c r="I91" s="1119" t="s">
        <v>3094</v>
      </c>
      <c r="J91" s="1136"/>
      <c r="K91" s="1113">
        <f>ROUND(K90+C36,2)</f>
        <v>202.5</v>
      </c>
      <c r="V91" s="1119" t="s">
        <v>3094</v>
      </c>
      <c r="W91" s="1136"/>
      <c r="X91" s="1113">
        <f>ROUND(X90+C36,2)</f>
        <v>138.30000000000001</v>
      </c>
      <c r="AE91" s="1114"/>
      <c r="AG91" s="1103"/>
      <c r="AN91" s="1114">
        <v>2</v>
      </c>
      <c r="AO91" s="1114" t="s">
        <v>2838</v>
      </c>
      <c r="AP91" s="1103" t="s">
        <v>3020</v>
      </c>
      <c r="AQ91" s="1114">
        <f>AQ67</f>
        <v>562</v>
      </c>
      <c r="AR91" s="1103" t="s">
        <v>2838</v>
      </c>
      <c r="AS91" s="1114">
        <f>AQ91*AN91</f>
        <v>1124</v>
      </c>
    </row>
    <row r="92" spans="1:45" ht="24" customHeight="1">
      <c r="F92" s="1126" t="s">
        <v>3100</v>
      </c>
      <c r="G92" s="1114" t="s">
        <v>220</v>
      </c>
      <c r="H92" s="1103" t="s">
        <v>3101</v>
      </c>
      <c r="S92" s="1133"/>
      <c r="T92" s="1114"/>
      <c r="U92" s="1103"/>
      <c r="W92" s="1107"/>
      <c r="AE92" s="1114"/>
      <c r="AN92" s="1114">
        <v>6</v>
      </c>
      <c r="AO92" s="1114" t="s">
        <v>2838</v>
      </c>
      <c r="AP92" s="1103" t="s">
        <v>3026</v>
      </c>
      <c r="AQ92" s="1114">
        <f>AQ68</f>
        <v>461</v>
      </c>
      <c r="AR92" s="1103" t="s">
        <v>2838</v>
      </c>
      <c r="AS92" s="1114">
        <f>AQ92*AN92</f>
        <v>2766</v>
      </c>
    </row>
    <row r="93" spans="1:45" ht="24" customHeight="1">
      <c r="F93" s="1134" t="s">
        <v>220</v>
      </c>
      <c r="H93" s="1111" t="s">
        <v>36</v>
      </c>
      <c r="M93" s="1105" t="s">
        <v>3102</v>
      </c>
      <c r="S93" s="1135"/>
      <c r="U93" s="1111"/>
      <c r="W93" s="1107"/>
      <c r="AE93" s="1114"/>
      <c r="AO93" s="1114" t="s">
        <v>2851</v>
      </c>
      <c r="AP93" s="1103" t="s">
        <v>2852</v>
      </c>
      <c r="AR93" s="1103" t="s">
        <v>2851</v>
      </c>
      <c r="AS93" s="1114">
        <v>0</v>
      </c>
    </row>
    <row r="94" spans="1:45" ht="24" customHeight="1">
      <c r="F94" s="1114">
        <v>10</v>
      </c>
      <c r="G94" s="1114" t="s">
        <v>2839</v>
      </c>
      <c r="H94" s="1103" t="s">
        <v>3103</v>
      </c>
      <c r="I94" s="1114">
        <f>D61</f>
        <v>143.9</v>
      </c>
      <c r="J94" s="1103" t="s">
        <v>2839</v>
      </c>
      <c r="K94" s="1114">
        <f>(F94*I94)</f>
        <v>1439</v>
      </c>
      <c r="M94" s="1105">
        <v>23.2</v>
      </c>
      <c r="S94" s="1128"/>
      <c r="T94" s="1114"/>
      <c r="U94" s="1103"/>
      <c r="V94" s="1114"/>
      <c r="W94" s="1103"/>
      <c r="X94" s="1114"/>
      <c r="AE94" s="1114"/>
      <c r="AR94" s="1107"/>
      <c r="AS94" s="1111" t="s">
        <v>36</v>
      </c>
    </row>
    <row r="95" spans="1:45" ht="24" customHeight="1">
      <c r="F95" s="1114">
        <v>10</v>
      </c>
      <c r="G95" s="1114" t="s">
        <v>2839</v>
      </c>
      <c r="H95" s="1103" t="s">
        <v>3082</v>
      </c>
      <c r="I95" s="1114">
        <f>D61</f>
        <v>143.9</v>
      </c>
      <c r="J95" s="1103" t="s">
        <v>2839</v>
      </c>
      <c r="K95" s="1114">
        <f>(F95*I95)</f>
        <v>1439</v>
      </c>
      <c r="M95" s="1105">
        <v>23.2</v>
      </c>
      <c r="S95" s="1128"/>
      <c r="T95" s="1114"/>
      <c r="U95" s="1103"/>
      <c r="V95" s="1114"/>
      <c r="W95" s="1103"/>
      <c r="X95" s="1114"/>
      <c r="AE95" s="1114"/>
      <c r="AP95" s="1103" t="s">
        <v>3033</v>
      </c>
      <c r="AR95" s="1107"/>
      <c r="AS95" s="1114">
        <f>SUM(AS87:AS93)</f>
        <v>17911.24568</v>
      </c>
    </row>
    <row r="96" spans="1:45" ht="24" customHeight="1">
      <c r="F96" s="1114">
        <v>10</v>
      </c>
      <c r="G96" s="1114" t="s">
        <v>2839</v>
      </c>
      <c r="H96" s="1103" t="s">
        <v>3084</v>
      </c>
      <c r="I96" s="1114">
        <f>I83</f>
        <v>11.200000000000001</v>
      </c>
      <c r="J96" s="1103" t="s">
        <v>2839</v>
      </c>
      <c r="K96" s="1114">
        <f>(F96*I96)</f>
        <v>112.00000000000001</v>
      </c>
      <c r="M96" s="1105">
        <f>I96</f>
        <v>11.200000000000001</v>
      </c>
      <c r="S96" s="1128"/>
      <c r="T96" s="1114"/>
      <c r="U96" s="1103"/>
      <c r="V96" s="1114"/>
      <c r="W96" s="1103"/>
      <c r="X96" s="1114"/>
      <c r="AE96" s="1114"/>
      <c r="AR96" s="1107"/>
      <c r="AS96" s="1111" t="s">
        <v>36</v>
      </c>
    </row>
    <row r="97" spans="6:48" ht="24" customHeight="1">
      <c r="G97" s="1114" t="s">
        <v>2851</v>
      </c>
      <c r="H97" s="1103" t="s">
        <v>2852</v>
      </c>
      <c r="J97" s="1103" t="s">
        <v>2851</v>
      </c>
      <c r="K97" s="1114">
        <v>0</v>
      </c>
      <c r="M97" s="1105">
        <f>SUM(M94:M96)</f>
        <v>57.6</v>
      </c>
      <c r="T97" s="1114"/>
      <c r="U97" s="1103"/>
      <c r="W97" s="1103"/>
      <c r="X97" s="1114"/>
      <c r="AE97" s="1114"/>
      <c r="AP97" s="1104" t="s">
        <v>2946</v>
      </c>
      <c r="AR97" s="1107"/>
      <c r="AS97" s="1114">
        <f>(AS95/2.83168)</f>
        <v>6325.3071250988814</v>
      </c>
    </row>
    <row r="98" spans="6:48" ht="24" customHeight="1">
      <c r="K98" s="1111" t="s">
        <v>36</v>
      </c>
      <c r="W98" s="1107"/>
      <c r="X98" s="1111"/>
      <c r="AE98" s="1114"/>
      <c r="AR98" s="1107"/>
      <c r="AS98" s="1111" t="s">
        <v>2793</v>
      </c>
    </row>
    <row r="99" spans="6:48" ht="24" customHeight="1">
      <c r="H99" s="1103" t="s">
        <v>3033</v>
      </c>
      <c r="K99" s="1114">
        <f>SUM(K94:K97)</f>
        <v>2990</v>
      </c>
      <c r="U99" s="1103"/>
      <c r="W99" s="1107"/>
      <c r="X99" s="1114"/>
      <c r="AE99" s="1114"/>
      <c r="AP99" s="1103" t="s">
        <v>3062</v>
      </c>
      <c r="AR99" s="1107"/>
      <c r="AS99" s="1115">
        <f>AS97+C19</f>
        <v>6393.3071250988814</v>
      </c>
      <c r="AU99" s="1105">
        <f>AS99*22.69/100</f>
        <v>1450.6413866849364</v>
      </c>
      <c r="AV99" s="1105">
        <f>AS99-AU99</f>
        <v>4942.6657384139453</v>
      </c>
    </row>
    <row r="100" spans="6:48" ht="24" customHeight="1">
      <c r="K100" s="1111" t="s">
        <v>36</v>
      </c>
      <c r="W100" s="1107"/>
      <c r="X100" s="1111"/>
      <c r="AE100" s="1114"/>
      <c r="AP100" s="1103" t="s">
        <v>3066</v>
      </c>
      <c r="AR100" s="1107"/>
      <c r="AS100" s="1115">
        <f>(AS99+C20)</f>
        <v>6530.5071250988813</v>
      </c>
      <c r="AU100" s="1105">
        <f t="shared" ref="AU100:AU163" si="19">AS100*22.69/100</f>
        <v>1481.7720666849364</v>
      </c>
      <c r="AV100" s="1105">
        <f t="shared" ref="AV100:AV163" si="20">AS100-AU100</f>
        <v>5048.7350584139449</v>
      </c>
    </row>
    <row r="101" spans="6:48" ht="24" customHeight="1">
      <c r="H101" s="1106" t="s">
        <v>3091</v>
      </c>
      <c r="I101" s="1119" t="s">
        <v>3092</v>
      </c>
      <c r="J101" s="1136"/>
      <c r="K101" s="1115">
        <f>(K99/10)</f>
        <v>299</v>
      </c>
      <c r="M101" s="1105">
        <f>SUM(M94:M95)</f>
        <v>46.4</v>
      </c>
      <c r="U101" s="1106"/>
      <c r="V101" s="1119"/>
      <c r="W101" s="1136"/>
      <c r="X101" s="1115"/>
      <c r="AE101" s="1114"/>
      <c r="AP101" s="1103" t="s">
        <v>3069</v>
      </c>
      <c r="AR101" s="1107"/>
      <c r="AS101" s="1115">
        <f>(AS100+C20)</f>
        <v>6667.7071250988811</v>
      </c>
      <c r="AU101" s="1105">
        <f t="shared" si="19"/>
        <v>1512.9027466849363</v>
      </c>
      <c r="AV101" s="1105">
        <f t="shared" si="20"/>
        <v>5154.8043784139445</v>
      </c>
    </row>
    <row r="102" spans="6:48" ht="24" customHeight="1">
      <c r="I102" s="1119" t="s">
        <v>3094</v>
      </c>
      <c r="J102" s="1136"/>
      <c r="K102" s="1113">
        <f>ROUND(K101+C36,2)</f>
        <v>308.3</v>
      </c>
      <c r="V102" s="1119"/>
      <c r="W102" s="1136"/>
      <c r="X102" s="1113"/>
      <c r="AE102" s="1114"/>
      <c r="AP102" s="1103" t="s">
        <v>3071</v>
      </c>
      <c r="AR102" s="1107"/>
      <c r="AS102" s="1115">
        <f>(AS101+C20)</f>
        <v>6804.9071250988809</v>
      </c>
      <c r="AU102" s="1105">
        <f t="shared" si="19"/>
        <v>1544.0334266849363</v>
      </c>
      <c r="AV102" s="1105">
        <f t="shared" si="20"/>
        <v>5260.873698413945</v>
      </c>
    </row>
    <row r="103" spans="6:48" ht="24" customHeight="1">
      <c r="I103" s="1119"/>
      <c r="J103" s="1136"/>
      <c r="K103" s="1138"/>
      <c r="V103" s="1119"/>
      <c r="W103" s="1136"/>
      <c r="X103" s="1138"/>
      <c r="AE103" s="1114"/>
      <c r="AN103" s="1103" t="s">
        <v>220</v>
      </c>
      <c r="AP103" s="1103" t="s">
        <v>3075</v>
      </c>
      <c r="AR103" s="1107"/>
      <c r="AS103" s="1115">
        <f>(AS102+C20)</f>
        <v>6942.1071250988807</v>
      </c>
      <c r="AU103" s="1105">
        <f t="shared" si="19"/>
        <v>1575.1641066849361</v>
      </c>
      <c r="AV103" s="1105">
        <f t="shared" si="20"/>
        <v>5366.9430184139446</v>
      </c>
    </row>
    <row r="104" spans="6:48" ht="30.75" customHeight="1">
      <c r="F104" s="1131">
        <v>1.7</v>
      </c>
      <c r="H104" s="1137" t="s">
        <v>3104</v>
      </c>
      <c r="I104" s="1119" t="s">
        <v>3092</v>
      </c>
      <c r="J104" s="1136"/>
      <c r="K104" s="1113">
        <f>ROUND(K101-K96/10,2)</f>
        <v>287.8</v>
      </c>
      <c r="S104" s="1133"/>
      <c r="U104" s="1137"/>
      <c r="V104" s="1119"/>
      <c r="W104" s="1136"/>
      <c r="X104" s="1113"/>
      <c r="AE104" s="1114"/>
      <c r="AN104" s="1126">
        <v>27</v>
      </c>
      <c r="AO104" s="1114" t="s">
        <v>1363</v>
      </c>
      <c r="AP104" s="1103" t="s">
        <v>3105</v>
      </c>
      <c r="AR104" s="1107"/>
    </row>
    <row r="105" spans="6:48" ht="24" customHeight="1">
      <c r="I105" s="1119" t="s">
        <v>3094</v>
      </c>
      <c r="J105" s="1136"/>
      <c r="K105" s="1113">
        <f>ROUND(K104+C36,2)</f>
        <v>297.10000000000002</v>
      </c>
      <c r="V105" s="1119"/>
      <c r="W105" s="1136"/>
      <c r="X105" s="1113"/>
      <c r="AE105" s="1114"/>
      <c r="AP105" s="1103" t="str">
        <f>AP85</f>
        <v>Bricks of size 23x11x7 cm</v>
      </c>
      <c r="AR105" s="1107"/>
    </row>
    <row r="106" spans="6:48" ht="24" customHeight="1">
      <c r="K106" s="1111"/>
      <c r="W106" s="1107"/>
      <c r="X106" s="1111"/>
      <c r="AE106" s="1114"/>
      <c r="AP106" s="1111" t="s">
        <v>36</v>
      </c>
      <c r="AR106" s="1107"/>
    </row>
    <row r="107" spans="6:48" ht="24" customHeight="1">
      <c r="K107" s="1111"/>
      <c r="W107" s="1107"/>
      <c r="X107" s="1111"/>
      <c r="AE107" s="1114"/>
      <c r="AN107" s="1114">
        <v>1300</v>
      </c>
      <c r="AO107" s="1114" t="s">
        <v>3046</v>
      </c>
      <c r="AP107" s="1114" t="str">
        <f>AP61</f>
        <v>Bricks of size 23x11x7 cm</v>
      </c>
      <c r="AQ107" s="1114">
        <f>AC45</f>
        <v>6435</v>
      </c>
      <c r="AR107" s="1103" t="s">
        <v>3047</v>
      </c>
      <c r="AS107" s="1114">
        <f>(AN107*AQ107)/1000</f>
        <v>8365.5</v>
      </c>
      <c r="AU107" s="1105">
        <f t="shared" si="19"/>
        <v>1898.13195</v>
      </c>
      <c r="AV107" s="1105">
        <f t="shared" si="20"/>
        <v>6467.36805</v>
      </c>
    </row>
    <row r="108" spans="6:48" ht="38.25" customHeight="1">
      <c r="F108" s="1131">
        <v>1.4</v>
      </c>
      <c r="G108" s="1114" t="s">
        <v>220</v>
      </c>
      <c r="H108" s="1129" t="s">
        <v>3106</v>
      </c>
      <c r="S108" s="1133">
        <v>1.4</v>
      </c>
      <c r="T108" s="1114" t="s">
        <v>220</v>
      </c>
      <c r="U108" s="1129" t="s">
        <v>3107</v>
      </c>
      <c r="W108" s="1107"/>
      <c r="AE108" s="1114"/>
      <c r="AN108" s="1128">
        <v>0.70799999999999996</v>
      </c>
      <c r="AO108" s="1114" t="s">
        <v>2839</v>
      </c>
      <c r="AP108" s="1103" t="s">
        <v>2963</v>
      </c>
      <c r="AQ108" s="1114">
        <f>K40</f>
        <v>4080.66</v>
      </c>
      <c r="AR108" s="1103" t="s">
        <v>2839</v>
      </c>
      <c r="AS108" s="1114">
        <f>(AN108*AQ108)</f>
        <v>2889.1072799999997</v>
      </c>
      <c r="AU108" s="1105">
        <f t="shared" si="19"/>
        <v>655.53844183199999</v>
      </c>
      <c r="AV108" s="1105">
        <f t="shared" si="20"/>
        <v>2233.5688381679997</v>
      </c>
    </row>
    <row r="109" spans="6:48" ht="24" customHeight="1">
      <c r="W109" s="1107"/>
      <c r="AE109" s="1114"/>
      <c r="AN109" s="1114">
        <v>1</v>
      </c>
      <c r="AO109" s="1114" t="s">
        <v>2838</v>
      </c>
      <c r="AP109" s="1103" t="s">
        <v>3051</v>
      </c>
      <c r="AQ109" s="1114">
        <f>AQ89</f>
        <v>861</v>
      </c>
      <c r="AR109" s="1103" t="s">
        <v>2838</v>
      </c>
      <c r="AS109" s="1114">
        <f>(AN109*AQ109)</f>
        <v>861</v>
      </c>
      <c r="AU109" s="1105">
        <f t="shared" si="19"/>
        <v>195.36090000000002</v>
      </c>
      <c r="AV109" s="1105">
        <f t="shared" si="20"/>
        <v>665.63909999999998</v>
      </c>
    </row>
    <row r="110" spans="6:48" ht="24" customHeight="1">
      <c r="F110" s="1114">
        <v>10</v>
      </c>
      <c r="G110" s="1114" t="s">
        <v>2839</v>
      </c>
      <c r="H110" s="1103" t="s">
        <v>3080</v>
      </c>
      <c r="I110" s="1114">
        <f>C61</f>
        <v>96.6</v>
      </c>
      <c r="J110" s="1103" t="s">
        <v>2839</v>
      </c>
      <c r="K110" s="1114">
        <f>(F110*I110)</f>
        <v>966</v>
      </c>
      <c r="S110" s="1128">
        <v>10</v>
      </c>
      <c r="T110" s="1114" t="s">
        <v>2839</v>
      </c>
      <c r="U110" s="1103" t="s">
        <v>3080</v>
      </c>
      <c r="V110" s="1114">
        <f>V81</f>
        <v>64.5</v>
      </c>
      <c r="W110" s="1103" t="s">
        <v>2839</v>
      </c>
      <c r="X110" s="1114">
        <f>(S110*V110)</f>
        <v>645</v>
      </c>
      <c r="AE110" s="1114"/>
      <c r="AN110" s="1114">
        <v>3</v>
      </c>
      <c r="AO110" s="1114" t="s">
        <v>2838</v>
      </c>
      <c r="AP110" s="1103" t="s">
        <v>3017</v>
      </c>
      <c r="AQ110" s="1114">
        <f>AQ90</f>
        <v>804</v>
      </c>
      <c r="AR110" s="1103" t="s">
        <v>2838</v>
      </c>
      <c r="AS110" s="1114">
        <f>(AN110*AQ110)</f>
        <v>2412</v>
      </c>
      <c r="AU110" s="1105">
        <f t="shared" si="19"/>
        <v>547.28280000000007</v>
      </c>
      <c r="AV110" s="1105">
        <f t="shared" si="20"/>
        <v>1864.7172</v>
      </c>
    </row>
    <row r="111" spans="6:48" ht="24" customHeight="1">
      <c r="F111" s="1114">
        <v>10</v>
      </c>
      <c r="G111" s="1114" t="s">
        <v>2839</v>
      </c>
      <c r="H111" s="1103" t="s">
        <v>3084</v>
      </c>
      <c r="I111" s="1114">
        <f>I83</f>
        <v>11.200000000000001</v>
      </c>
      <c r="J111" s="1103" t="s">
        <v>2839</v>
      </c>
      <c r="K111" s="1114">
        <f>(F111*I111)</f>
        <v>112.00000000000001</v>
      </c>
      <c r="S111" s="1128">
        <v>10</v>
      </c>
      <c r="T111" s="1114" t="s">
        <v>2839</v>
      </c>
      <c r="U111" s="1103" t="s">
        <v>3084</v>
      </c>
      <c r="V111" s="1114">
        <f>V83</f>
        <v>9.8333333333333339</v>
      </c>
      <c r="W111" s="1103" t="s">
        <v>2839</v>
      </c>
      <c r="X111" s="1114">
        <f>(S111*V111)</f>
        <v>98.333333333333343</v>
      </c>
      <c r="AE111" s="1114"/>
      <c r="AN111" s="1114">
        <v>2</v>
      </c>
      <c r="AO111" s="1114" t="s">
        <v>2838</v>
      </c>
      <c r="AP111" s="1103" t="s">
        <v>3020</v>
      </c>
      <c r="AQ111" s="1114">
        <f>AQ91</f>
        <v>562</v>
      </c>
      <c r="AR111" s="1103" t="s">
        <v>2838</v>
      </c>
      <c r="AS111" s="1114">
        <f>(AN111*AQ111)</f>
        <v>1124</v>
      </c>
      <c r="AU111" s="1105">
        <f t="shared" si="19"/>
        <v>255.03560000000002</v>
      </c>
      <c r="AV111" s="1105">
        <f t="shared" si="20"/>
        <v>868.96439999999996</v>
      </c>
    </row>
    <row r="112" spans="6:48" ht="24" customHeight="1">
      <c r="G112" s="1114" t="s">
        <v>2851</v>
      </c>
      <c r="H112" s="1103" t="s">
        <v>2852</v>
      </c>
      <c r="J112" s="1103" t="s">
        <v>2851</v>
      </c>
      <c r="K112" s="1114">
        <v>0</v>
      </c>
      <c r="T112" s="1114" t="s">
        <v>2851</v>
      </c>
      <c r="U112" s="1103" t="s">
        <v>2852</v>
      </c>
      <c r="W112" s="1103" t="s">
        <v>2851</v>
      </c>
      <c r="X112" s="1114">
        <v>0</v>
      </c>
      <c r="AE112" s="1114"/>
      <c r="AN112" s="1114">
        <v>6</v>
      </c>
      <c r="AO112" s="1114" t="s">
        <v>2838</v>
      </c>
      <c r="AP112" s="1103" t="s">
        <v>3026</v>
      </c>
      <c r="AQ112" s="1114">
        <f>AQ92</f>
        <v>461</v>
      </c>
      <c r="AR112" s="1103" t="s">
        <v>2838</v>
      </c>
      <c r="AS112" s="1114">
        <f>(AN112*AQ112)</f>
        <v>2766</v>
      </c>
      <c r="AU112" s="1105">
        <f t="shared" si="19"/>
        <v>627.60540000000003</v>
      </c>
      <c r="AV112" s="1105">
        <f t="shared" si="20"/>
        <v>2138.3946000000001</v>
      </c>
    </row>
    <row r="113" spans="6:48" ht="24" customHeight="1">
      <c r="K113" s="1111" t="s">
        <v>36</v>
      </c>
      <c r="W113" s="1107"/>
      <c r="X113" s="1111" t="s">
        <v>36</v>
      </c>
      <c r="AE113" s="1114"/>
      <c r="AO113" s="1114" t="s">
        <v>2851</v>
      </c>
      <c r="AP113" s="1103" t="s">
        <v>2852</v>
      </c>
      <c r="AR113" s="1103" t="s">
        <v>2851</v>
      </c>
      <c r="AS113" s="1114">
        <v>0</v>
      </c>
      <c r="AU113" s="1105">
        <f t="shared" si="19"/>
        <v>0</v>
      </c>
      <c r="AV113" s="1105">
        <f t="shared" si="20"/>
        <v>0</v>
      </c>
    </row>
    <row r="114" spans="6:48" ht="24" customHeight="1">
      <c r="H114" s="1103" t="s">
        <v>3033</v>
      </c>
      <c r="K114" s="1114">
        <f>SUM(K110:K112)</f>
        <v>1078</v>
      </c>
      <c r="U114" s="1103" t="s">
        <v>3033</v>
      </c>
      <c r="W114" s="1107"/>
      <c r="X114" s="1114">
        <f>SUM(X110:X112)</f>
        <v>743.33333333333337</v>
      </c>
      <c r="AE114" s="1114"/>
      <c r="AR114" s="1107"/>
      <c r="AS114" s="1111" t="s">
        <v>36</v>
      </c>
      <c r="AU114" s="1105">
        <f t="shared" si="19"/>
        <v>0</v>
      </c>
      <c r="AV114" s="1105">
        <f t="shared" si="20"/>
        <v>0</v>
      </c>
    </row>
    <row r="115" spans="6:48" ht="24" customHeight="1">
      <c r="K115" s="1111" t="s">
        <v>36</v>
      </c>
      <c r="W115" s="1107"/>
      <c r="X115" s="1111" t="s">
        <v>36</v>
      </c>
      <c r="AE115" s="1114"/>
      <c r="AP115" s="1103" t="s">
        <v>3033</v>
      </c>
      <c r="AR115" s="1107"/>
      <c r="AS115" s="1114">
        <f>SUM(AS107:AS113)</f>
        <v>18417.60728</v>
      </c>
      <c r="AU115" s="1105">
        <f t="shared" si="19"/>
        <v>4178.9550918320001</v>
      </c>
      <c r="AV115" s="1105">
        <f t="shared" si="20"/>
        <v>14238.652188168</v>
      </c>
    </row>
    <row r="116" spans="6:48" ht="24" customHeight="1">
      <c r="H116" s="1103"/>
      <c r="K116" s="1115">
        <f>(K114/10)</f>
        <v>107.8</v>
      </c>
      <c r="L116" s="1119">
        <f>K116+C36</f>
        <v>117.1</v>
      </c>
      <c r="M116" s="1105">
        <f>M94</f>
        <v>23.2</v>
      </c>
      <c r="U116" s="1103"/>
      <c r="W116" s="1107"/>
      <c r="X116" s="1115">
        <f>(X114/10)</f>
        <v>74.333333333333343</v>
      </c>
      <c r="AE116" s="1114"/>
      <c r="AR116" s="1107"/>
      <c r="AS116" s="1111" t="s">
        <v>36</v>
      </c>
      <c r="AU116" s="1105">
        <f t="shared" si="19"/>
        <v>0</v>
      </c>
      <c r="AV116" s="1105">
        <f t="shared" si="20"/>
        <v>0</v>
      </c>
    </row>
    <row r="117" spans="6:48" ht="24" customHeight="1">
      <c r="K117" s="1111"/>
      <c r="W117" s="1107"/>
      <c r="X117" s="1111"/>
      <c r="AE117" s="1114"/>
      <c r="AP117" s="1103" t="s">
        <v>2946</v>
      </c>
      <c r="AR117" s="1107"/>
      <c r="AS117" s="1115">
        <f>(AS115/2.83168)</f>
        <v>6504.1273307718384</v>
      </c>
      <c r="AU117" s="1105">
        <f t="shared" si="19"/>
        <v>1475.7864913521303</v>
      </c>
      <c r="AV117" s="1105">
        <f t="shared" si="20"/>
        <v>5028.3408394197086</v>
      </c>
    </row>
    <row r="118" spans="6:48" ht="24" customHeight="1">
      <c r="F118" s="1131">
        <v>1.5</v>
      </c>
      <c r="H118" s="1103" t="s">
        <v>3108</v>
      </c>
      <c r="I118" s="1119" t="s">
        <v>3092</v>
      </c>
      <c r="K118" s="1115">
        <f>K116-K111/10</f>
        <v>96.6</v>
      </c>
      <c r="S118" s="1133">
        <v>1.5</v>
      </c>
      <c r="U118" s="1103" t="s">
        <v>3108</v>
      </c>
      <c r="V118" s="1119" t="s">
        <v>3092</v>
      </c>
      <c r="W118" s="1107"/>
      <c r="X118" s="1115">
        <f>X116-X111/10</f>
        <v>64.500000000000014</v>
      </c>
      <c r="AE118" s="1114"/>
      <c r="AR118" s="1107"/>
      <c r="AS118" s="1111" t="s">
        <v>2793</v>
      </c>
      <c r="AU118" s="1105">
        <f t="shared" si="19"/>
        <v>0</v>
      </c>
      <c r="AV118" s="1105">
        <f t="shared" si="20"/>
        <v>0</v>
      </c>
    </row>
    <row r="119" spans="6:48" ht="24" customHeight="1">
      <c r="I119" s="1119" t="s">
        <v>3094</v>
      </c>
      <c r="K119" s="1113">
        <f>ROUND(K118+C36,2)</f>
        <v>105.9</v>
      </c>
      <c r="V119" s="1119" t="s">
        <v>3094</v>
      </c>
      <c r="W119" s="1107"/>
      <c r="X119" s="1113">
        <f>ROUND(X118+P36,2)</f>
        <v>64.5</v>
      </c>
      <c r="AE119" s="1114"/>
      <c r="AP119" s="1103" t="s">
        <v>3062</v>
      </c>
      <c r="AR119" s="1107"/>
      <c r="AS119" s="1114">
        <f>(AS117+C19)</f>
        <v>6572.1273307718384</v>
      </c>
      <c r="AT119" s="1105">
        <f>AS119-AS117</f>
        <v>68</v>
      </c>
      <c r="AU119" s="1105">
        <f t="shared" si="19"/>
        <v>1491.2156913521301</v>
      </c>
      <c r="AV119" s="1105">
        <f t="shared" si="20"/>
        <v>5080.9116394197081</v>
      </c>
    </row>
    <row r="120" spans="6:48" ht="24" customHeight="1">
      <c r="I120" s="1105" t="s">
        <v>3109</v>
      </c>
      <c r="K120" s="1113">
        <f>ROUND(K119+C36,2)</f>
        <v>115.2</v>
      </c>
      <c r="W120" s="1107"/>
      <c r="X120" s="1111"/>
      <c r="AE120" s="1114"/>
      <c r="AP120" s="1103" t="s">
        <v>3066</v>
      </c>
      <c r="AR120" s="1107"/>
      <c r="AS120" s="1114">
        <f>(AS119+C20)</f>
        <v>6709.3273307718382</v>
      </c>
      <c r="AT120" s="1105">
        <f>AS120-AS119</f>
        <v>137.19999999999982</v>
      </c>
      <c r="AU120" s="1105">
        <f t="shared" si="19"/>
        <v>1522.3463713521301</v>
      </c>
      <c r="AV120" s="1105">
        <f t="shared" si="20"/>
        <v>5186.9809594197086</v>
      </c>
    </row>
    <row r="121" spans="6:48" ht="24" customHeight="1">
      <c r="I121" s="1105" t="s">
        <v>3110</v>
      </c>
      <c r="K121" s="1113">
        <f>ROUND(K120+C36,2)</f>
        <v>124.5</v>
      </c>
      <c r="W121" s="1107"/>
      <c r="X121" s="1111"/>
      <c r="AE121" s="1114"/>
      <c r="AP121" s="1103" t="s">
        <v>3069</v>
      </c>
      <c r="AR121" s="1107"/>
      <c r="AS121" s="1114">
        <f>(AS120+C20)</f>
        <v>6846.527330771838</v>
      </c>
      <c r="AU121" s="1105">
        <f t="shared" si="19"/>
        <v>1553.47705135213</v>
      </c>
      <c r="AV121" s="1105">
        <f t="shared" si="20"/>
        <v>5293.0502794197082</v>
      </c>
    </row>
    <row r="122" spans="6:48" ht="28.5" customHeight="1">
      <c r="F122" s="1139">
        <v>1.8</v>
      </c>
      <c r="H122" s="1129" t="s">
        <v>3111</v>
      </c>
      <c r="K122" s="1111"/>
      <c r="M122" s="1104" t="s">
        <v>3112</v>
      </c>
      <c r="N122" s="1114" t="s">
        <v>1363</v>
      </c>
      <c r="O122" s="1103" t="s">
        <v>3113</v>
      </c>
      <c r="Q122" s="1107"/>
      <c r="S122" s="1140"/>
      <c r="U122" s="1129"/>
      <c r="W122" s="1107"/>
      <c r="X122" s="1111"/>
      <c r="AE122" s="1114"/>
      <c r="AP122" s="1103" t="s">
        <v>3071</v>
      </c>
      <c r="AR122" s="1107"/>
      <c r="AS122" s="1114">
        <f>AS121+C20</f>
        <v>6983.7273307718378</v>
      </c>
      <c r="AU122" s="1105">
        <f t="shared" si="19"/>
        <v>1584.60773135213</v>
      </c>
      <c r="AV122" s="1105">
        <f t="shared" si="20"/>
        <v>5399.1195994197078</v>
      </c>
    </row>
    <row r="123" spans="6:48" ht="24" customHeight="1">
      <c r="K123" s="1111"/>
      <c r="O123" s="1103" t="s">
        <v>3114</v>
      </c>
      <c r="Q123" s="1107"/>
      <c r="W123" s="1107"/>
      <c r="X123" s="1111"/>
      <c r="AE123" s="1114"/>
      <c r="AP123" s="1103" t="s">
        <v>3075</v>
      </c>
      <c r="AR123" s="1107"/>
      <c r="AS123" s="1114">
        <f>AS122+C20</f>
        <v>7120.9273307718377</v>
      </c>
      <c r="AU123" s="1105">
        <f t="shared" si="19"/>
        <v>1615.73841135213</v>
      </c>
      <c r="AV123" s="1105">
        <f t="shared" si="20"/>
        <v>5505.1889194197074</v>
      </c>
    </row>
    <row r="124" spans="6:48" ht="24" customHeight="1">
      <c r="F124" s="1114">
        <v>10</v>
      </c>
      <c r="G124" s="1114" t="s">
        <v>2839</v>
      </c>
      <c r="H124" s="1103" t="s">
        <v>3103</v>
      </c>
      <c r="I124" s="1105">
        <f>D61</f>
        <v>143.9</v>
      </c>
      <c r="J124" s="1103" t="s">
        <v>2839</v>
      </c>
      <c r="K124" s="1114">
        <f>(F124*I124)</f>
        <v>1439</v>
      </c>
      <c r="O124" s="1111" t="s">
        <v>36</v>
      </c>
      <c r="Q124" s="1107"/>
      <c r="S124" s="1128"/>
      <c r="T124" s="1114"/>
      <c r="U124" s="1103"/>
      <c r="W124" s="1103" t="s">
        <v>2839</v>
      </c>
      <c r="X124" s="1114"/>
      <c r="AE124" s="1114"/>
      <c r="AP124" s="1103" t="s">
        <v>3115</v>
      </c>
      <c r="AR124" s="1107"/>
      <c r="AS124" s="1114">
        <f>(AS119+AS120+AS121+AS122)/4</f>
        <v>6777.9273307718386</v>
      </c>
      <c r="AU124" s="1105">
        <f t="shared" si="19"/>
        <v>1537.9117113521302</v>
      </c>
      <c r="AV124" s="1105">
        <f t="shared" si="20"/>
        <v>5240.0156194197079</v>
      </c>
    </row>
    <row r="125" spans="6:48" ht="24" customHeight="1">
      <c r="G125" s="1105" t="s">
        <v>1348</v>
      </c>
      <c r="J125" s="1107" t="s">
        <v>1348</v>
      </c>
      <c r="K125" s="1114">
        <v>0</v>
      </c>
      <c r="M125" s="1114">
        <v>1</v>
      </c>
      <c r="N125" s="1114" t="s">
        <v>2839</v>
      </c>
      <c r="O125" s="1103" t="s">
        <v>3116</v>
      </c>
      <c r="P125" s="1114">
        <f>AC39</f>
        <v>458.4</v>
      </c>
      <c r="Q125" s="1103" t="s">
        <v>2839</v>
      </c>
      <c r="R125" s="1114">
        <f>(M125*P125)</f>
        <v>458.4</v>
      </c>
      <c r="W125" s="1107" t="s">
        <v>1348</v>
      </c>
      <c r="X125" s="1114"/>
      <c r="AE125" s="1114"/>
    </row>
    <row r="126" spans="6:48" ht="24" customHeight="1">
      <c r="K126" s="1111" t="s">
        <v>36</v>
      </c>
      <c r="M126" s="1114">
        <v>1</v>
      </c>
      <c r="N126" s="1114" t="s">
        <v>2839</v>
      </c>
      <c r="O126" s="1103" t="s">
        <v>2922</v>
      </c>
      <c r="P126" s="1114">
        <f>P141</f>
        <v>33.6</v>
      </c>
      <c r="Q126" s="1103" t="s">
        <v>2839</v>
      </c>
      <c r="R126" s="1114">
        <f>(M126*P126)</f>
        <v>33.6</v>
      </c>
      <c r="W126" s="1107"/>
      <c r="X126" s="1111"/>
      <c r="AE126" s="1114"/>
      <c r="AR126" s="1107"/>
    </row>
    <row r="127" spans="6:48" ht="24" customHeight="1">
      <c r="H127" s="1103" t="s">
        <v>3033</v>
      </c>
      <c r="K127" s="1114">
        <f>SUM(K124:K125)</f>
        <v>1439</v>
      </c>
      <c r="N127" s="1114" t="s">
        <v>2851</v>
      </c>
      <c r="O127" s="1103" t="s">
        <v>2852</v>
      </c>
      <c r="P127" s="1103" t="s">
        <v>220</v>
      </c>
      <c r="Q127" s="1103" t="s">
        <v>2851</v>
      </c>
      <c r="R127" s="1114">
        <v>0</v>
      </c>
      <c r="U127" s="1103"/>
      <c r="W127" s="1107"/>
      <c r="X127" s="1114"/>
      <c r="AE127" s="1114"/>
      <c r="AP127" s="1118" t="s">
        <v>3117</v>
      </c>
      <c r="AR127" s="1107"/>
    </row>
    <row r="128" spans="6:48" ht="24" customHeight="1">
      <c r="K128" s="1111" t="s">
        <v>36</v>
      </c>
      <c r="Q128" s="1107"/>
      <c r="R128" s="1111" t="s">
        <v>36</v>
      </c>
      <c r="W128" s="1107"/>
      <c r="X128" s="1111"/>
      <c r="AE128" s="1114"/>
      <c r="AP128" s="1111" t="s">
        <v>36</v>
      </c>
      <c r="AR128" s="1107"/>
    </row>
    <row r="129" spans="1:48" ht="38.25" customHeight="1">
      <c r="F129" s="1139"/>
      <c r="H129" s="1129" t="s">
        <v>3118</v>
      </c>
      <c r="I129" s="1119" t="s">
        <v>3092</v>
      </c>
      <c r="K129" s="1113">
        <f>ROUND(K127/10,2)</f>
        <v>143.9</v>
      </c>
      <c r="O129" s="1103" t="s">
        <v>2861</v>
      </c>
      <c r="Q129" s="1107"/>
      <c r="R129" s="1114">
        <f>SUM(R125:R127)</f>
        <v>492</v>
      </c>
      <c r="S129" s="1140"/>
      <c r="U129" s="1129"/>
      <c r="V129" s="1119"/>
      <c r="W129" s="1107"/>
      <c r="X129" s="1113"/>
      <c r="AE129" s="1114"/>
      <c r="AN129" s="1126">
        <v>10</v>
      </c>
      <c r="AO129" s="1114" t="s">
        <v>1363</v>
      </c>
      <c r="AP129" s="1103" t="s">
        <v>3119</v>
      </c>
      <c r="AR129" s="1107"/>
    </row>
    <row r="130" spans="1:48" ht="24" customHeight="1">
      <c r="I130" s="1119" t="s">
        <v>3094</v>
      </c>
      <c r="K130" s="1113">
        <f>ROUND(K129+C36,2)</f>
        <v>153.19999999999999</v>
      </c>
      <c r="V130" s="1119"/>
      <c r="W130" s="1107"/>
      <c r="X130" s="1113"/>
      <c r="AE130" s="1114"/>
      <c r="AP130" s="1114" t="str">
        <f>AP61</f>
        <v>Bricks of size 23x11x7 cm</v>
      </c>
      <c r="AR130" s="1107"/>
    </row>
    <row r="131" spans="1:48" ht="24" customHeight="1">
      <c r="I131" s="1119"/>
      <c r="K131" s="1111"/>
      <c r="V131" s="1119"/>
      <c r="W131" s="1107"/>
      <c r="X131" s="1111"/>
      <c r="AE131" s="1114"/>
      <c r="AP131" s="1111" t="s">
        <v>36</v>
      </c>
      <c r="AR131" s="1107"/>
    </row>
    <row r="132" spans="1:48" ht="24" customHeight="1">
      <c r="F132" s="1131">
        <v>1.6</v>
      </c>
      <c r="H132" s="1103" t="s">
        <v>3120</v>
      </c>
      <c r="I132" s="1119"/>
      <c r="S132" s="1133">
        <v>1.6</v>
      </c>
      <c r="U132" s="1103" t="s">
        <v>3120</v>
      </c>
      <c r="V132" s="1119"/>
      <c r="W132" s="1107"/>
      <c r="AE132" s="1114"/>
      <c r="AN132" s="1114">
        <f>AN63</f>
        <v>1300</v>
      </c>
      <c r="AO132" s="1114" t="s">
        <v>3046</v>
      </c>
      <c r="AP132" s="1114" t="str">
        <f>AP61</f>
        <v>Bricks of size 23x11x7 cm</v>
      </c>
      <c r="AQ132" s="1114">
        <f>AC45</f>
        <v>6435</v>
      </c>
      <c r="AR132" s="1103" t="s">
        <v>3047</v>
      </c>
      <c r="AS132" s="1114">
        <f>(AN132*AQ132)/1000</f>
        <v>8365.5</v>
      </c>
      <c r="AU132" s="1105">
        <f t="shared" si="19"/>
        <v>1898.13195</v>
      </c>
      <c r="AV132" s="1105">
        <f t="shared" si="20"/>
        <v>6467.36805</v>
      </c>
    </row>
    <row r="133" spans="1:48" ht="24" customHeight="1">
      <c r="H133" s="1103" t="s">
        <v>3121</v>
      </c>
      <c r="I133" s="1119" t="s">
        <v>3092</v>
      </c>
      <c r="K133" s="1115">
        <f>C61*1.5</f>
        <v>144.89999999999998</v>
      </c>
      <c r="L133" s="1115"/>
      <c r="M133" s="1105">
        <f>M116*1.5</f>
        <v>34.799999999999997</v>
      </c>
      <c r="U133" s="1103" t="s">
        <v>3121</v>
      </c>
      <c r="V133" s="1119" t="s">
        <v>3092</v>
      </c>
      <c r="W133" s="1107"/>
      <c r="X133" s="1115">
        <f>V81*1.5</f>
        <v>96.75</v>
      </c>
      <c r="AE133" s="1114"/>
      <c r="AN133" s="1128">
        <v>0.70799999999999996</v>
      </c>
      <c r="AO133" s="1114" t="s">
        <v>2839</v>
      </c>
      <c r="AP133" s="1103" t="s">
        <v>2963</v>
      </c>
      <c r="AQ133" s="1114">
        <f>K40</f>
        <v>4080.66</v>
      </c>
      <c r="AR133" s="1103" t="s">
        <v>2839</v>
      </c>
      <c r="AS133" s="1114">
        <f>(AN133*AQ133)</f>
        <v>2889.1072799999997</v>
      </c>
      <c r="AU133" s="1105">
        <f t="shared" si="19"/>
        <v>655.53844183199999</v>
      </c>
      <c r="AV133" s="1105">
        <f t="shared" si="20"/>
        <v>2233.5688381679997</v>
      </c>
    </row>
    <row r="134" spans="1:48" ht="24" customHeight="1">
      <c r="F134" s="1103" t="s">
        <v>220</v>
      </c>
      <c r="H134" s="1103" t="s">
        <v>3122</v>
      </c>
      <c r="I134" s="1119" t="s">
        <v>3094</v>
      </c>
      <c r="K134" s="1113">
        <f>ROUND(K133+C36,2)</f>
        <v>154.19999999999999</v>
      </c>
      <c r="S134" s="1135" t="s">
        <v>220</v>
      </c>
      <c r="U134" s="1103" t="s">
        <v>3122</v>
      </c>
      <c r="V134" s="1119" t="s">
        <v>3094</v>
      </c>
      <c r="W134" s="1107"/>
      <c r="X134" s="1113">
        <f>ROUND(X133+C36,2)</f>
        <v>106.05</v>
      </c>
      <c r="AE134" s="1114"/>
      <c r="AN134" s="1114">
        <v>1</v>
      </c>
      <c r="AO134" s="1114" t="s">
        <v>2838</v>
      </c>
      <c r="AP134" s="1103" t="s">
        <v>3051</v>
      </c>
      <c r="AQ134" s="1114">
        <f>AQ109</f>
        <v>861</v>
      </c>
      <c r="AR134" s="1103" t="s">
        <v>2838</v>
      </c>
      <c r="AS134" s="1114">
        <f>(AN134*AQ134)</f>
        <v>861</v>
      </c>
      <c r="AU134" s="1105">
        <f t="shared" si="19"/>
        <v>195.36090000000002</v>
      </c>
      <c r="AV134" s="1105">
        <f t="shared" si="20"/>
        <v>665.63909999999998</v>
      </c>
    </row>
    <row r="135" spans="1:48" ht="24" customHeight="1">
      <c r="K135" s="1111" t="s">
        <v>2793</v>
      </c>
      <c r="W135" s="1107"/>
      <c r="X135" s="1111" t="s">
        <v>2793</v>
      </c>
      <c r="AE135" s="1114"/>
      <c r="AN135" s="1114">
        <v>3</v>
      </c>
      <c r="AO135" s="1114" t="s">
        <v>2838</v>
      </c>
      <c r="AP135" s="1103" t="s">
        <v>3017</v>
      </c>
      <c r="AQ135" s="1114">
        <f>AQ110</f>
        <v>804</v>
      </c>
      <c r="AR135" s="1103" t="s">
        <v>2838</v>
      </c>
      <c r="AS135" s="1114">
        <f>(AN135*AQ135)</f>
        <v>2412</v>
      </c>
      <c r="AU135" s="1105">
        <f t="shared" si="19"/>
        <v>547.28280000000007</v>
      </c>
      <c r="AV135" s="1105">
        <f t="shared" si="20"/>
        <v>1864.7172</v>
      </c>
    </row>
    <row r="136" spans="1:48" ht="24" customHeight="1">
      <c r="H136" s="1106" t="s">
        <v>3123</v>
      </c>
      <c r="I136" s="1119" t="s">
        <v>3092</v>
      </c>
      <c r="K136" s="1115">
        <f>C61*1.25</f>
        <v>120.75</v>
      </c>
      <c r="U136" s="1106" t="s">
        <v>3124</v>
      </c>
      <c r="V136" s="1119" t="s">
        <v>3092</v>
      </c>
      <c r="W136" s="1107"/>
      <c r="X136" s="1115">
        <f>V81*1.25</f>
        <v>80.625</v>
      </c>
      <c r="AE136" s="1114"/>
      <c r="AN136" s="1114">
        <v>2</v>
      </c>
      <c r="AO136" s="1114" t="s">
        <v>2838</v>
      </c>
      <c r="AP136" s="1103" t="s">
        <v>3020</v>
      </c>
      <c r="AQ136" s="1114">
        <f>AQ111</f>
        <v>562</v>
      </c>
      <c r="AR136" s="1103" t="s">
        <v>2838</v>
      </c>
      <c r="AS136" s="1114">
        <f>(AN136*AQ136)</f>
        <v>1124</v>
      </c>
      <c r="AU136" s="1105">
        <f t="shared" si="19"/>
        <v>255.03560000000002</v>
      </c>
      <c r="AV136" s="1105">
        <f t="shared" si="20"/>
        <v>868.96439999999996</v>
      </c>
    </row>
    <row r="137" spans="1:48" ht="24" customHeight="1">
      <c r="A137" s="1122">
        <f>(A91+1)</f>
        <v>80</v>
      </c>
      <c r="B137" s="1103" t="s">
        <v>3125</v>
      </c>
      <c r="C137" s="1114">
        <f>AC30</f>
        <v>11790</v>
      </c>
      <c r="D137" s="1114">
        <v>13.87</v>
      </c>
      <c r="E137" s="1103" t="s">
        <v>220</v>
      </c>
      <c r="F137" s="1104" t="s">
        <v>3112</v>
      </c>
      <c r="G137" s="1114" t="s">
        <v>1363</v>
      </c>
      <c r="H137" s="1103" t="s">
        <v>3113</v>
      </c>
      <c r="M137" s="1104" t="s">
        <v>3112</v>
      </c>
      <c r="N137" s="1114" t="s">
        <v>1363</v>
      </c>
      <c r="O137" s="1103" t="s">
        <v>3113</v>
      </c>
      <c r="Q137" s="1107"/>
      <c r="AE137" s="1114"/>
      <c r="AG137" s="1103"/>
      <c r="AN137" s="1114">
        <v>6</v>
      </c>
      <c r="AO137" s="1114" t="s">
        <v>2838</v>
      </c>
      <c r="AP137" s="1103" t="s">
        <v>3026</v>
      </c>
      <c r="AQ137" s="1114">
        <f>AQ112</f>
        <v>461</v>
      </c>
      <c r="AR137" s="1103" t="s">
        <v>2838</v>
      </c>
      <c r="AS137" s="1114">
        <f>(AN137*AQ137)</f>
        <v>2766</v>
      </c>
      <c r="AU137" s="1105">
        <f t="shared" si="19"/>
        <v>627.60540000000003</v>
      </c>
      <c r="AV137" s="1105">
        <f t="shared" si="20"/>
        <v>2138.3946000000001</v>
      </c>
    </row>
    <row r="138" spans="1:48" ht="24" customHeight="1">
      <c r="A138" s="1122">
        <f t="shared" ref="A138:A143" si="21">(A137+1)</f>
        <v>81</v>
      </c>
      <c r="B138" s="1103" t="s">
        <v>3126</v>
      </c>
      <c r="C138" s="1114">
        <f>AC33</f>
        <v>51750</v>
      </c>
      <c r="D138" s="1103" t="s">
        <v>197</v>
      </c>
      <c r="H138" s="1103" t="s">
        <v>3127</v>
      </c>
      <c r="O138" s="1103" t="s">
        <v>3128</v>
      </c>
      <c r="Q138" s="1107"/>
      <c r="AE138" s="1114"/>
      <c r="AG138" s="1103"/>
      <c r="AO138" s="1114" t="s">
        <v>2851</v>
      </c>
      <c r="AP138" s="1103" t="s">
        <v>2852</v>
      </c>
      <c r="AQ138" s="1103" t="s">
        <v>220</v>
      </c>
      <c r="AR138" s="1103" t="s">
        <v>2851</v>
      </c>
      <c r="AS138" s="1114">
        <v>0</v>
      </c>
      <c r="AU138" s="1105">
        <f t="shared" si="19"/>
        <v>0</v>
      </c>
      <c r="AV138" s="1105">
        <f t="shared" si="20"/>
        <v>0</v>
      </c>
    </row>
    <row r="139" spans="1:48" ht="24" customHeight="1">
      <c r="A139" s="1122">
        <f t="shared" si="21"/>
        <v>82</v>
      </c>
      <c r="B139" s="1103" t="s">
        <v>3129</v>
      </c>
      <c r="C139" s="1114">
        <f>AC32</f>
        <v>51750</v>
      </c>
      <c r="D139" s="1103" t="s">
        <v>197</v>
      </c>
      <c r="H139" s="1111" t="s">
        <v>36</v>
      </c>
      <c r="O139" s="1111" t="s">
        <v>36</v>
      </c>
      <c r="Q139" s="1107"/>
      <c r="AE139" s="1114"/>
      <c r="AG139" s="1103"/>
      <c r="AR139" s="1107"/>
      <c r="AS139" s="1111" t="s">
        <v>36</v>
      </c>
      <c r="AU139" s="1105">
        <f t="shared" si="19"/>
        <v>0</v>
      </c>
      <c r="AV139" s="1105">
        <f t="shared" si="20"/>
        <v>0</v>
      </c>
    </row>
    <row r="140" spans="1:48" ht="24" customHeight="1">
      <c r="A140" s="1122">
        <f t="shared" si="21"/>
        <v>83</v>
      </c>
      <c r="B140" s="1103" t="s">
        <v>3130</v>
      </c>
      <c r="C140" s="1114">
        <f>AC33</f>
        <v>51750</v>
      </c>
      <c r="D140" s="1103" t="s">
        <v>197</v>
      </c>
      <c r="F140" s="1114">
        <v>1</v>
      </c>
      <c r="G140" s="1114" t="s">
        <v>2839</v>
      </c>
      <c r="H140" s="1103" t="s">
        <v>3131</v>
      </c>
      <c r="I140" s="1114">
        <f>I36</f>
        <v>1835.06</v>
      </c>
      <c r="J140" s="1103" t="s">
        <v>2839</v>
      </c>
      <c r="K140" s="1114">
        <f>(F140*I140)</f>
        <v>1835.06</v>
      </c>
      <c r="M140" s="1114">
        <v>1</v>
      </c>
      <c r="N140" s="1114" t="s">
        <v>2839</v>
      </c>
      <c r="O140" s="1103" t="s">
        <v>3116</v>
      </c>
      <c r="P140" s="1114">
        <f>AC38</f>
        <v>513</v>
      </c>
      <c r="Q140" s="1103" t="s">
        <v>2839</v>
      </c>
      <c r="R140" s="1114">
        <f>(M140*P140)</f>
        <v>513</v>
      </c>
      <c r="AE140" s="1114"/>
      <c r="AG140" s="1103"/>
      <c r="AP140" s="1103" t="s">
        <v>3033</v>
      </c>
      <c r="AR140" s="1107"/>
      <c r="AS140" s="1114">
        <f>SUM(AS132:AS138)</f>
        <v>18417.60728</v>
      </c>
      <c r="AU140" s="1105">
        <f t="shared" si="19"/>
        <v>4178.9550918320001</v>
      </c>
      <c r="AV140" s="1105">
        <f t="shared" si="20"/>
        <v>14238.652188168</v>
      </c>
    </row>
    <row r="141" spans="1:48" ht="24" customHeight="1">
      <c r="A141" s="1122">
        <f t="shared" si="21"/>
        <v>84</v>
      </c>
      <c r="B141" s="1103" t="s">
        <v>3132</v>
      </c>
      <c r="C141" s="1114">
        <f>AC38</f>
        <v>513</v>
      </c>
      <c r="D141" s="1103" t="s">
        <v>2839</v>
      </c>
      <c r="F141" s="1114">
        <v>1</v>
      </c>
      <c r="G141" s="1114" t="s">
        <v>2839</v>
      </c>
      <c r="H141" s="1103" t="s">
        <v>2922</v>
      </c>
      <c r="I141" s="1114">
        <f>C27</f>
        <v>29.5</v>
      </c>
      <c r="J141" s="1103" t="s">
        <v>2839</v>
      </c>
      <c r="K141" s="1114">
        <f>(F141*I141)</f>
        <v>29.5</v>
      </c>
      <c r="M141" s="1114">
        <v>1</v>
      </c>
      <c r="N141" s="1114" t="s">
        <v>2839</v>
      </c>
      <c r="O141" s="1103" t="s">
        <v>2922</v>
      </c>
      <c r="P141" s="1114">
        <f>C26</f>
        <v>33.6</v>
      </c>
      <c r="Q141" s="1103" t="s">
        <v>2839</v>
      </c>
      <c r="R141" s="1114">
        <f>(M141*P141)</f>
        <v>33.6</v>
      </c>
      <c r="AE141" s="1114"/>
      <c r="AG141" s="1103"/>
      <c r="AR141" s="1107"/>
      <c r="AS141" s="1111" t="s">
        <v>36</v>
      </c>
      <c r="AU141" s="1105">
        <f t="shared" si="19"/>
        <v>0</v>
      </c>
      <c r="AV141" s="1105">
        <f t="shared" si="20"/>
        <v>0</v>
      </c>
    </row>
    <row r="142" spans="1:48" ht="24" customHeight="1">
      <c r="A142" s="1122">
        <f t="shared" si="21"/>
        <v>85</v>
      </c>
      <c r="B142" s="1103" t="s">
        <v>3133</v>
      </c>
      <c r="C142" s="1114">
        <v>43563.69</v>
      </c>
      <c r="D142" s="1103" t="s">
        <v>197</v>
      </c>
      <c r="G142" s="1114" t="s">
        <v>2851</v>
      </c>
      <c r="H142" s="1103" t="s">
        <v>2852</v>
      </c>
      <c r="I142" s="1103" t="s">
        <v>220</v>
      </c>
      <c r="J142" s="1103" t="s">
        <v>2851</v>
      </c>
      <c r="K142" s="1114">
        <v>0</v>
      </c>
      <c r="N142" s="1114" t="s">
        <v>2851</v>
      </c>
      <c r="O142" s="1103" t="s">
        <v>2852</v>
      </c>
      <c r="P142" s="1103" t="s">
        <v>220</v>
      </c>
      <c r="Q142" s="1103" t="s">
        <v>2851</v>
      </c>
      <c r="R142" s="1114">
        <v>0</v>
      </c>
      <c r="AE142" s="1114"/>
      <c r="AG142" s="1103"/>
      <c r="AP142" s="1103" t="s">
        <v>2946</v>
      </c>
      <c r="AR142" s="1107"/>
      <c r="AS142" s="1114">
        <f>(AS140/2.83168)</f>
        <v>6504.1273307718384</v>
      </c>
      <c r="AU142" s="1105">
        <f t="shared" si="19"/>
        <v>1475.7864913521303</v>
      </c>
      <c r="AV142" s="1105">
        <f t="shared" si="20"/>
        <v>5028.3408394197086</v>
      </c>
    </row>
    <row r="143" spans="1:48" ht="24" customHeight="1">
      <c r="A143" s="1122">
        <f t="shared" si="21"/>
        <v>86</v>
      </c>
      <c r="B143" s="1103" t="s">
        <v>3134</v>
      </c>
      <c r="C143" s="1114">
        <v>50300</v>
      </c>
      <c r="D143" s="1103" t="s">
        <v>197</v>
      </c>
      <c r="E143" s="1105">
        <v>5</v>
      </c>
      <c r="K143" s="1111" t="s">
        <v>36</v>
      </c>
      <c r="Q143" s="1107"/>
      <c r="R143" s="1111" t="s">
        <v>36</v>
      </c>
      <c r="AE143" s="1114"/>
      <c r="AG143" s="1103"/>
      <c r="AR143" s="1107"/>
      <c r="AS143" s="1111" t="s">
        <v>2793</v>
      </c>
      <c r="AU143" s="1105">
        <f t="shared" si="19"/>
        <v>0</v>
      </c>
      <c r="AV143" s="1105">
        <f t="shared" si="20"/>
        <v>0</v>
      </c>
    </row>
    <row r="144" spans="1:48" ht="24" customHeight="1">
      <c r="B144" s="1103" t="s">
        <v>220</v>
      </c>
      <c r="H144" s="1103" t="s">
        <v>3135</v>
      </c>
      <c r="K144" s="1115">
        <f>SUM(K138:K142)</f>
        <v>1864.56</v>
      </c>
      <c r="O144" s="1103" t="s">
        <v>2861</v>
      </c>
      <c r="Q144" s="1107"/>
      <c r="R144" s="1114">
        <f>SUM(R140:R142)</f>
        <v>546.6</v>
      </c>
      <c r="AE144" s="1114"/>
      <c r="AG144" s="1103"/>
      <c r="AR144" s="1107"/>
      <c r="AU144" s="1105">
        <f t="shared" si="19"/>
        <v>0</v>
      </c>
      <c r="AV144" s="1105">
        <f t="shared" si="20"/>
        <v>0</v>
      </c>
    </row>
    <row r="145" spans="1:48" ht="24" customHeight="1">
      <c r="A145" s="1122">
        <f>(A143+1)</f>
        <v>87</v>
      </c>
      <c r="B145" s="1103" t="s">
        <v>3136</v>
      </c>
      <c r="C145" s="1114">
        <v>7.5</v>
      </c>
      <c r="D145" s="1103" t="s">
        <v>2851</v>
      </c>
      <c r="K145" s="1111" t="s">
        <v>36</v>
      </c>
      <c r="O145" s="1103" t="s">
        <v>3137</v>
      </c>
      <c r="Q145" s="1107"/>
      <c r="R145" s="1111" t="s">
        <v>36</v>
      </c>
      <c r="AE145" s="1114"/>
      <c r="AG145" s="1103"/>
      <c r="AO145" s="1114" t="s">
        <v>3138</v>
      </c>
      <c r="AP145" s="1103" t="s">
        <v>3139</v>
      </c>
      <c r="AR145" s="1107"/>
      <c r="AU145" s="1105">
        <f t="shared" si="19"/>
        <v>0</v>
      </c>
      <c r="AV145" s="1105">
        <f t="shared" si="20"/>
        <v>0</v>
      </c>
    </row>
    <row r="146" spans="1:48" ht="24" customHeight="1">
      <c r="B146" s="1103" t="s">
        <v>3140</v>
      </c>
      <c r="C146" s="1114">
        <v>15.5</v>
      </c>
      <c r="F146" s="1104" t="s">
        <v>3141</v>
      </c>
      <c r="G146" s="1114" t="s">
        <v>1363</v>
      </c>
      <c r="H146" s="1103" t="s">
        <v>3142</v>
      </c>
      <c r="AE146" s="1114"/>
      <c r="AP146" s="1111" t="s">
        <v>36</v>
      </c>
      <c r="AR146" s="1107"/>
      <c r="AU146" s="1105">
        <f t="shared" si="19"/>
        <v>0</v>
      </c>
      <c r="AV146" s="1105">
        <f t="shared" si="20"/>
        <v>0</v>
      </c>
    </row>
    <row r="147" spans="1:48" ht="24" customHeight="1">
      <c r="A147" s="1122">
        <f>(A145+1)</f>
        <v>88</v>
      </c>
      <c r="B147" s="1103" t="s">
        <v>3143</v>
      </c>
      <c r="C147" s="1114">
        <v>15.25</v>
      </c>
      <c r="D147" s="1103" t="s">
        <v>165</v>
      </c>
      <c r="H147" s="1103" t="s">
        <v>3144</v>
      </c>
      <c r="M147" s="1104" t="s">
        <v>3112</v>
      </c>
      <c r="N147" s="1114" t="s">
        <v>1363</v>
      </c>
      <c r="O147" s="1103" t="s">
        <v>3113</v>
      </c>
      <c r="Q147" s="1107"/>
      <c r="AE147" s="1114"/>
      <c r="AN147" s="1114">
        <v>1.1000000000000001</v>
      </c>
      <c r="AO147" s="1114" t="s">
        <v>2839</v>
      </c>
      <c r="AP147" s="1103" t="s">
        <v>3145</v>
      </c>
      <c r="AQ147" s="1114">
        <f>(AS142)</f>
        <v>6504.1273307718384</v>
      </c>
      <c r="AR147" s="1103" t="s">
        <v>2839</v>
      </c>
      <c r="AS147" s="1114">
        <f>(AN147*AQ147)</f>
        <v>7154.5400638490228</v>
      </c>
      <c r="AU147" s="1105">
        <f t="shared" si="19"/>
        <v>1623.3651404873433</v>
      </c>
      <c r="AV147" s="1105">
        <f t="shared" si="20"/>
        <v>5531.1749233616792</v>
      </c>
    </row>
    <row r="148" spans="1:48" ht="24" customHeight="1">
      <c r="A148" s="1122">
        <f>(A147+1)</f>
        <v>89</v>
      </c>
      <c r="B148" s="1103" t="s">
        <v>3146</v>
      </c>
      <c r="C148" s="1114">
        <v>143.80000000000001</v>
      </c>
      <c r="D148" s="1103" t="s">
        <v>165</v>
      </c>
      <c r="H148" s="1103" t="s">
        <v>3147</v>
      </c>
      <c r="O148" s="1103" t="s">
        <v>3148</v>
      </c>
      <c r="Q148" s="1107"/>
      <c r="AE148" s="1114"/>
      <c r="AN148" s="1114">
        <v>1</v>
      </c>
      <c r="AO148" s="1114" t="s">
        <v>2941</v>
      </c>
      <c r="AP148" s="1103" t="s">
        <v>3051</v>
      </c>
      <c r="AQ148" s="1114">
        <f>AQ134</f>
        <v>861</v>
      </c>
      <c r="AR148" s="1103" t="s">
        <v>2838</v>
      </c>
      <c r="AS148" s="1114">
        <f>(AN148*AQ148)</f>
        <v>861</v>
      </c>
      <c r="AU148" s="1105">
        <f t="shared" si="19"/>
        <v>195.36090000000002</v>
      </c>
      <c r="AV148" s="1105">
        <f t="shared" si="20"/>
        <v>665.63909999999998</v>
      </c>
    </row>
    <row r="149" spans="1:48" ht="24" customHeight="1">
      <c r="H149" s="1103" t="s">
        <v>3149</v>
      </c>
      <c r="O149" s="1111" t="s">
        <v>36</v>
      </c>
      <c r="Q149" s="1107"/>
      <c r="AE149" s="1114"/>
      <c r="AO149" s="1114" t="s">
        <v>2851</v>
      </c>
      <c r="AP149" s="1103" t="s">
        <v>2852</v>
      </c>
      <c r="AQ149" s="1103" t="s">
        <v>220</v>
      </c>
      <c r="AR149" s="1103" t="s">
        <v>2851</v>
      </c>
      <c r="AS149" s="1114">
        <v>0</v>
      </c>
      <c r="AU149" s="1105">
        <f t="shared" si="19"/>
        <v>0</v>
      </c>
      <c r="AV149" s="1105">
        <f t="shared" si="20"/>
        <v>0</v>
      </c>
    </row>
    <row r="150" spans="1:48" ht="24" customHeight="1">
      <c r="H150" s="1103" t="s">
        <v>3150</v>
      </c>
      <c r="M150" s="1114">
        <v>1</v>
      </c>
      <c r="N150" s="1114" t="s">
        <v>2839</v>
      </c>
      <c r="O150" s="1103" t="s">
        <v>3151</v>
      </c>
      <c r="P150" s="1114">
        <f>AC43</f>
        <v>332.08</v>
      </c>
      <c r="Q150" s="1103" t="s">
        <v>2839</v>
      </c>
      <c r="R150" s="1114">
        <f>(M150*P150)</f>
        <v>332.08</v>
      </c>
      <c r="AE150" s="1114"/>
      <c r="AR150" s="1107"/>
      <c r="AS150" s="1111" t="s">
        <v>36</v>
      </c>
      <c r="AU150" s="1105">
        <f t="shared" si="19"/>
        <v>0</v>
      </c>
      <c r="AV150" s="1105">
        <f t="shared" si="20"/>
        <v>0</v>
      </c>
    </row>
    <row r="151" spans="1:48" ht="24" customHeight="1">
      <c r="H151" s="1111" t="s">
        <v>36</v>
      </c>
      <c r="M151" s="1114">
        <v>1</v>
      </c>
      <c r="N151" s="1114" t="s">
        <v>2839</v>
      </c>
      <c r="O151" s="1103" t="s">
        <v>2922</v>
      </c>
      <c r="P151" s="1114">
        <f>AE28</f>
        <v>33.6</v>
      </c>
      <c r="Q151" s="1103" t="s">
        <v>2839</v>
      </c>
      <c r="R151" s="1114">
        <f>(M151*P151)</f>
        <v>33.6</v>
      </c>
      <c r="AE151" s="1114"/>
      <c r="AP151" s="1103" t="s">
        <v>3152</v>
      </c>
      <c r="AR151" s="1107"/>
      <c r="AS151" s="1115">
        <f>SUM(AS147:AS149)</f>
        <v>8015.5400638490228</v>
      </c>
      <c r="AU151" s="1105">
        <f t="shared" si="19"/>
        <v>1818.7260404873432</v>
      </c>
      <c r="AV151" s="1105">
        <f t="shared" si="20"/>
        <v>6196.8140233616796</v>
      </c>
    </row>
    <row r="152" spans="1:48" ht="24" customHeight="1">
      <c r="F152" s="1114">
        <v>0.7</v>
      </c>
      <c r="G152" s="1114" t="s">
        <v>2839</v>
      </c>
      <c r="H152" s="1103" t="s">
        <v>2904</v>
      </c>
      <c r="I152" s="1114">
        <f>C79</f>
        <v>1835.06</v>
      </c>
      <c r="J152" s="1103" t="s">
        <v>2839</v>
      </c>
      <c r="K152" s="1114">
        <f t="shared" ref="K152:K157" si="22">(F152*I152)</f>
        <v>1284.5419999999999</v>
      </c>
      <c r="N152" s="1114" t="s">
        <v>2851</v>
      </c>
      <c r="O152" s="1103" t="s">
        <v>2852</v>
      </c>
      <c r="P152" s="1103" t="s">
        <v>220</v>
      </c>
      <c r="Q152" s="1103" t="s">
        <v>2851</v>
      </c>
      <c r="R152" s="1114">
        <v>0</v>
      </c>
      <c r="AE152" s="1114"/>
      <c r="AR152" s="1107"/>
      <c r="AS152" s="1111" t="s">
        <v>36</v>
      </c>
      <c r="AU152" s="1105">
        <f t="shared" si="19"/>
        <v>0</v>
      </c>
      <c r="AV152" s="1105">
        <f t="shared" si="20"/>
        <v>0</v>
      </c>
    </row>
    <row r="153" spans="1:48" ht="24" customHeight="1">
      <c r="F153" s="1114">
        <v>0.7</v>
      </c>
      <c r="G153" s="1114" t="s">
        <v>2839</v>
      </c>
      <c r="H153" s="1103" t="s">
        <v>3153</v>
      </c>
      <c r="I153" s="1114">
        <f>C812</f>
        <v>3.15</v>
      </c>
      <c r="J153" s="1103" t="s">
        <v>2839</v>
      </c>
      <c r="K153" s="1114">
        <f t="shared" si="22"/>
        <v>2.2049999999999996</v>
      </c>
      <c r="Q153" s="1107"/>
      <c r="R153" s="1111" t="s">
        <v>36</v>
      </c>
      <c r="AE153" s="1114"/>
      <c r="AP153" s="1103" t="s">
        <v>3154</v>
      </c>
      <c r="AR153" s="1107"/>
      <c r="AS153" s="1114">
        <f>(AS151/10)</f>
        <v>801.55400638490232</v>
      </c>
      <c r="AU153" s="1105">
        <f t="shared" si="19"/>
        <v>181.87260404873436</v>
      </c>
      <c r="AV153" s="1105">
        <f t="shared" si="20"/>
        <v>619.68140233616793</v>
      </c>
    </row>
    <row r="154" spans="1:48" ht="24" customHeight="1">
      <c r="F154" s="1114">
        <v>0.72</v>
      </c>
      <c r="G154" s="1114" t="s">
        <v>2839</v>
      </c>
      <c r="H154" s="1103" t="s">
        <v>3155</v>
      </c>
      <c r="I154" s="1114">
        <f>C35</f>
        <v>513</v>
      </c>
      <c r="J154" s="1103" t="s">
        <v>2839</v>
      </c>
      <c r="K154" s="1114">
        <f t="shared" si="22"/>
        <v>369.36</v>
      </c>
      <c r="O154" s="1103" t="s">
        <v>2861</v>
      </c>
      <c r="Q154" s="1107"/>
      <c r="R154" s="1114">
        <f>SUM(R150:R152)</f>
        <v>365.68</v>
      </c>
      <c r="AE154" s="1114"/>
      <c r="AR154" s="1107"/>
      <c r="AS154" s="1111" t="s">
        <v>2793</v>
      </c>
      <c r="AU154" s="1105">
        <f t="shared" si="19"/>
        <v>0</v>
      </c>
      <c r="AV154" s="1105">
        <f t="shared" si="20"/>
        <v>0</v>
      </c>
    </row>
    <row r="155" spans="1:48" ht="24" customHeight="1">
      <c r="F155" s="1114">
        <v>0.72</v>
      </c>
      <c r="G155" s="1114" t="s">
        <v>2839</v>
      </c>
      <c r="H155" s="1103" t="s">
        <v>3153</v>
      </c>
      <c r="I155" s="1114">
        <f>C812</f>
        <v>3.15</v>
      </c>
      <c r="J155" s="1103" t="s">
        <v>2839</v>
      </c>
      <c r="K155" s="1114">
        <f t="shared" si="22"/>
        <v>2.2679999999999998</v>
      </c>
      <c r="O155" s="1103" t="s">
        <v>3137</v>
      </c>
      <c r="Q155" s="1107"/>
      <c r="R155" s="1111" t="s">
        <v>36</v>
      </c>
      <c r="AE155" s="1114"/>
      <c r="AP155" s="1103" t="s">
        <v>3062</v>
      </c>
      <c r="AR155" s="1107">
        <f>AS155-AS153</f>
        <v>7.4800000000000182</v>
      </c>
      <c r="AS155" s="1115">
        <f>(AS153+C19/10*AN147)</f>
        <v>809.03400638490234</v>
      </c>
      <c r="AT155" s="1105">
        <f>AS153-AS155</f>
        <v>-7.4800000000000182</v>
      </c>
      <c r="AU155" s="1105">
        <f t="shared" si="19"/>
        <v>183.56981604873437</v>
      </c>
      <c r="AV155" s="1105">
        <f t="shared" si="20"/>
        <v>625.46419033616803</v>
      </c>
    </row>
    <row r="156" spans="1:48" ht="24" customHeight="1">
      <c r="F156" s="1114">
        <v>1</v>
      </c>
      <c r="G156" s="1114" t="s">
        <v>2839</v>
      </c>
      <c r="H156" s="1103" t="s">
        <v>2915</v>
      </c>
      <c r="I156" s="1114">
        <f>C18</f>
        <v>100</v>
      </c>
      <c r="J156" s="1103" t="s">
        <v>2839</v>
      </c>
      <c r="K156" s="1114">
        <f t="shared" si="22"/>
        <v>100</v>
      </c>
      <c r="AE156" s="1114"/>
      <c r="AP156" s="1103" t="s">
        <v>3066</v>
      </c>
      <c r="AR156" s="1107">
        <f>AS156-AS155</f>
        <v>15.091999999999985</v>
      </c>
      <c r="AS156" s="1115">
        <f>(AS155+C20/10*AN147)</f>
        <v>824.12600638490233</v>
      </c>
      <c r="AT156" s="1105">
        <f>AS156-AS155</f>
        <v>15.091999999999985</v>
      </c>
      <c r="AU156" s="1105">
        <f t="shared" si="19"/>
        <v>186.99419084873435</v>
      </c>
      <c r="AV156" s="1105">
        <f t="shared" si="20"/>
        <v>637.13181553616801</v>
      </c>
    </row>
    <row r="157" spans="1:48" ht="24" customHeight="1">
      <c r="F157" s="1114">
        <v>1</v>
      </c>
      <c r="G157" s="1114" t="s">
        <v>2839</v>
      </c>
      <c r="H157" s="1103" t="s">
        <v>3156</v>
      </c>
      <c r="I157" s="1114">
        <f>C146</f>
        <v>15.5</v>
      </c>
      <c r="J157" s="1103" t="s">
        <v>2839</v>
      </c>
      <c r="K157" s="1114">
        <f t="shared" si="22"/>
        <v>15.5</v>
      </c>
      <c r="AE157" s="1114"/>
      <c r="AP157" s="1103" t="s">
        <v>3069</v>
      </c>
      <c r="AR157" s="1107">
        <f>AS157-AS156</f>
        <v>15.091999999999985</v>
      </c>
      <c r="AS157" s="1115">
        <f>(AS156+C21/10*AN147)</f>
        <v>839.21800638490231</v>
      </c>
      <c r="AU157" s="1105">
        <f t="shared" si="19"/>
        <v>190.41856564873433</v>
      </c>
      <c r="AV157" s="1105">
        <f t="shared" si="20"/>
        <v>648.79944073616798</v>
      </c>
    </row>
    <row r="158" spans="1:48" ht="24" customHeight="1">
      <c r="H158" s="1103" t="s">
        <v>3157</v>
      </c>
      <c r="AE158" s="1114"/>
      <c r="AP158" s="1103" t="s">
        <v>3071</v>
      </c>
      <c r="AR158" s="1107">
        <f>AS158-AS157</f>
        <v>15.091999999999985</v>
      </c>
      <c r="AS158" s="1115">
        <f>(AS157+C21/10*AN147)</f>
        <v>854.31000638490229</v>
      </c>
      <c r="AU158" s="1105">
        <f t="shared" si="19"/>
        <v>193.84294044873434</v>
      </c>
      <c r="AV158" s="1105">
        <f t="shared" si="20"/>
        <v>660.46706593616796</v>
      </c>
    </row>
    <row r="159" spans="1:48" ht="24" customHeight="1">
      <c r="G159" s="1114" t="s">
        <v>2851</v>
      </c>
      <c r="H159" s="1103" t="s">
        <v>2852</v>
      </c>
      <c r="I159" s="1103" t="s">
        <v>220</v>
      </c>
      <c r="J159" s="1103" t="s">
        <v>2851</v>
      </c>
      <c r="K159" s="1114">
        <v>0</v>
      </c>
      <c r="AE159" s="1114"/>
      <c r="AP159" s="1103" t="s">
        <v>3158</v>
      </c>
      <c r="AR159" s="1107">
        <f>AS159-AS158</f>
        <v>15.091999999999985</v>
      </c>
      <c r="AS159" s="1115">
        <f>(AS158+C21/10*AN147)</f>
        <v>869.40200638490228</v>
      </c>
      <c r="AU159" s="1105">
        <f t="shared" si="19"/>
        <v>197.26731524873435</v>
      </c>
      <c r="AV159" s="1105">
        <f t="shared" si="20"/>
        <v>672.13469113616793</v>
      </c>
    </row>
    <row r="160" spans="1:48" ht="24" customHeight="1">
      <c r="K160" s="1111" t="s">
        <v>36</v>
      </c>
      <c r="M160" s="1104" t="s">
        <v>3159</v>
      </c>
      <c r="N160" s="1114" t="s">
        <v>1363</v>
      </c>
      <c r="O160" s="1103" t="s">
        <v>3160</v>
      </c>
      <c r="Q160" s="1107"/>
      <c r="AE160" s="1114"/>
      <c r="AN160" s="1141">
        <v>11</v>
      </c>
      <c r="AO160" s="1115" t="s">
        <v>1363</v>
      </c>
      <c r="AP160" s="1106" t="s">
        <v>3161</v>
      </c>
      <c r="AQ160" s="1119"/>
      <c r="AR160" s="1136"/>
      <c r="AS160" s="1119"/>
      <c r="AU160" s="1105">
        <f t="shared" si="19"/>
        <v>0</v>
      </c>
      <c r="AV160" s="1105">
        <f t="shared" si="20"/>
        <v>0</v>
      </c>
    </row>
    <row r="161" spans="1:48" ht="24" customHeight="1">
      <c r="H161" s="1118" t="s">
        <v>3135</v>
      </c>
      <c r="K161" s="1115">
        <f>SUM(K152:K159)</f>
        <v>1773.875</v>
      </c>
      <c r="O161" s="1103" t="s">
        <v>3162</v>
      </c>
      <c r="Q161" s="1107"/>
      <c r="AE161" s="1114"/>
      <c r="AN161" s="1119"/>
      <c r="AO161" s="1119"/>
      <c r="AP161" s="1115" t="str">
        <f>AP61</f>
        <v>Bricks of size 23x11x7 cm</v>
      </c>
      <c r="AQ161" s="1119"/>
      <c r="AR161" s="1136"/>
      <c r="AS161" s="1119"/>
      <c r="AU161" s="1105">
        <f t="shared" si="19"/>
        <v>0</v>
      </c>
      <c r="AV161" s="1105">
        <f t="shared" si="20"/>
        <v>0</v>
      </c>
    </row>
    <row r="162" spans="1:48" ht="24" customHeight="1">
      <c r="K162" s="1111" t="s">
        <v>36</v>
      </c>
      <c r="O162" s="1111" t="s">
        <v>36</v>
      </c>
      <c r="Q162" s="1107"/>
      <c r="AE162" s="1114"/>
      <c r="AP162" s="1111" t="s">
        <v>36</v>
      </c>
      <c r="AR162" s="1107"/>
      <c r="AU162" s="1105">
        <f t="shared" si="19"/>
        <v>0</v>
      </c>
      <c r="AV162" s="1105">
        <f t="shared" si="20"/>
        <v>0</v>
      </c>
    </row>
    <row r="163" spans="1:48" ht="24" customHeight="1">
      <c r="H163" s="1103" t="s">
        <v>220</v>
      </c>
      <c r="K163" s="1103" t="s">
        <v>220</v>
      </c>
      <c r="M163" s="1114">
        <v>9</v>
      </c>
      <c r="N163" s="1114" t="s">
        <v>2839</v>
      </c>
      <c r="O163" s="1103" t="s">
        <v>3163</v>
      </c>
      <c r="P163" s="1114">
        <f>I195</f>
        <v>1584.06</v>
      </c>
      <c r="Q163" s="1103" t="s">
        <v>2839</v>
      </c>
      <c r="R163" s="1114">
        <f>(M163*P163)</f>
        <v>14256.539999999999</v>
      </c>
      <c r="AE163" s="1114"/>
      <c r="AN163" s="1114">
        <f>AN63</f>
        <v>1300</v>
      </c>
      <c r="AO163" s="1114" t="s">
        <v>3046</v>
      </c>
      <c r="AP163" s="1114" t="str">
        <f>AP61</f>
        <v>Bricks of size 23x11x7 cm</v>
      </c>
      <c r="AQ163" s="1114">
        <f>AC45</f>
        <v>6435</v>
      </c>
      <c r="AR163" s="1103" t="s">
        <v>3164</v>
      </c>
      <c r="AS163" s="1114">
        <f>(AN163*AQ163)/1000</f>
        <v>8365.5</v>
      </c>
      <c r="AU163" s="1105">
        <f t="shared" si="19"/>
        <v>1898.13195</v>
      </c>
      <c r="AV163" s="1105">
        <f t="shared" si="20"/>
        <v>6467.36805</v>
      </c>
    </row>
    <row r="164" spans="1:48" ht="24" customHeight="1">
      <c r="K164" s="1103" t="s">
        <v>220</v>
      </c>
      <c r="M164" s="1114">
        <v>4.5</v>
      </c>
      <c r="N164" s="1114" t="s">
        <v>2839</v>
      </c>
      <c r="O164" s="1103" t="s">
        <v>2963</v>
      </c>
      <c r="P164" s="1114">
        <f>K40</f>
        <v>4080.66</v>
      </c>
      <c r="Q164" s="1103" t="s">
        <v>2839</v>
      </c>
      <c r="R164" s="1114">
        <f>(M164*P164)</f>
        <v>18362.97</v>
      </c>
      <c r="AE164" s="1114"/>
      <c r="AN164" s="1128">
        <f>AN133</f>
        <v>0.70799999999999996</v>
      </c>
      <c r="AO164" s="1114" t="s">
        <v>2839</v>
      </c>
      <c r="AP164" s="1103" t="s">
        <v>2963</v>
      </c>
      <c r="AQ164" s="1114">
        <f>AQ133</f>
        <v>4080.66</v>
      </c>
      <c r="AR164" s="1103" t="s">
        <v>2839</v>
      </c>
      <c r="AS164" s="1114">
        <f>(AN164*AQ164)</f>
        <v>2889.1072799999997</v>
      </c>
      <c r="AU164" s="1105">
        <f t="shared" ref="AU164:AU217" si="23">AS164*22.69/100</f>
        <v>655.53844183199999</v>
      </c>
      <c r="AV164" s="1105">
        <f t="shared" ref="AV164:AV217" si="24">AS164-AU164</f>
        <v>2233.5688381679997</v>
      </c>
    </row>
    <row r="165" spans="1:48" ht="24" customHeight="1">
      <c r="A165" s="1142">
        <v>2.2999999999999998</v>
      </c>
      <c r="B165" s="1103" t="s">
        <v>3165</v>
      </c>
      <c r="C165" s="1105">
        <f>AC19+I168</f>
        <v>919.9</v>
      </c>
      <c r="F165" s="1131">
        <v>2.6</v>
      </c>
      <c r="G165" s="1114" t="s">
        <v>1363</v>
      </c>
      <c r="H165" s="1103" t="s">
        <v>3166</v>
      </c>
      <c r="M165" s="1114">
        <v>1.8</v>
      </c>
      <c r="N165" s="1114" t="s">
        <v>2838</v>
      </c>
      <c r="O165" s="1103" t="s">
        <v>3017</v>
      </c>
      <c r="P165" s="1114">
        <f>I197</f>
        <v>804</v>
      </c>
      <c r="Q165" s="1103" t="s">
        <v>2838</v>
      </c>
      <c r="R165" s="1114">
        <f>(M165*P165)</f>
        <v>1447.2</v>
      </c>
      <c r="AE165" s="1114"/>
      <c r="AN165" s="1114">
        <v>1</v>
      </c>
      <c r="AO165" s="1114" t="s">
        <v>2838</v>
      </c>
      <c r="AP165" s="1103" t="s">
        <v>3051</v>
      </c>
      <c r="AQ165" s="1114">
        <f>AQ134</f>
        <v>861</v>
      </c>
      <c r="AR165" s="1103" t="s">
        <v>2838</v>
      </c>
      <c r="AS165" s="1114">
        <f>(AN165*AQ165)</f>
        <v>861</v>
      </c>
      <c r="AU165" s="1105">
        <f t="shared" si="23"/>
        <v>195.36090000000002</v>
      </c>
      <c r="AV165" s="1105">
        <f t="shared" si="24"/>
        <v>665.63909999999998</v>
      </c>
    </row>
    <row r="166" spans="1:48" ht="24" customHeight="1">
      <c r="A166" s="1142">
        <v>2.4</v>
      </c>
      <c r="B166" s="1103" t="s">
        <v>3167</v>
      </c>
      <c r="C166" s="1105">
        <f>AC20+I168</f>
        <v>998.9</v>
      </c>
      <c r="H166" s="1111" t="s">
        <v>36</v>
      </c>
      <c r="M166" s="1114">
        <v>17.7</v>
      </c>
      <c r="N166" s="1114" t="s">
        <v>2838</v>
      </c>
      <c r="O166" s="1103" t="s">
        <v>3020</v>
      </c>
      <c r="P166" s="1114">
        <f>I198</f>
        <v>562</v>
      </c>
      <c r="Q166" s="1103" t="s">
        <v>2838</v>
      </c>
      <c r="R166" s="1114">
        <f>(M166*P166)</f>
        <v>9947.4</v>
      </c>
      <c r="AE166" s="1114"/>
      <c r="AN166" s="1114">
        <v>3</v>
      </c>
      <c r="AO166" s="1114" t="s">
        <v>2838</v>
      </c>
      <c r="AP166" s="1103" t="s">
        <v>3017</v>
      </c>
      <c r="AQ166" s="1114">
        <f>AQ135</f>
        <v>804</v>
      </c>
      <c r="AR166" s="1103" t="s">
        <v>2838</v>
      </c>
      <c r="AS166" s="1114">
        <f>(AN166*AQ166)</f>
        <v>2412</v>
      </c>
      <c r="AU166" s="1105">
        <f t="shared" si="23"/>
        <v>547.28280000000007</v>
      </c>
      <c r="AV166" s="1105">
        <f t="shared" si="24"/>
        <v>1864.7172</v>
      </c>
    </row>
    <row r="167" spans="1:48" ht="24" customHeight="1">
      <c r="F167" s="1114">
        <v>1</v>
      </c>
      <c r="G167" s="1114" t="s">
        <v>2839</v>
      </c>
      <c r="H167" s="1103" t="s">
        <v>3168</v>
      </c>
      <c r="I167" s="1114">
        <f>AC15</f>
        <v>1584.06</v>
      </c>
      <c r="J167" s="1103" t="s">
        <v>2839</v>
      </c>
      <c r="K167" s="1114">
        <f>(F167*I167)</f>
        <v>1584.06</v>
      </c>
      <c r="M167" s="1114">
        <v>14.1</v>
      </c>
      <c r="N167" s="1114" t="s">
        <v>2838</v>
      </c>
      <c r="O167" s="1103" t="s">
        <v>3026</v>
      </c>
      <c r="P167" s="1114">
        <f>I199</f>
        <v>461</v>
      </c>
      <c r="Q167" s="1103" t="s">
        <v>2838</v>
      </c>
      <c r="R167" s="1114">
        <f>(M167*P167)</f>
        <v>6500.0999999999995</v>
      </c>
      <c r="AE167" s="1114"/>
      <c r="AN167" s="1114">
        <v>2</v>
      </c>
      <c r="AO167" s="1114" t="s">
        <v>2838</v>
      </c>
      <c r="AP167" s="1103" t="s">
        <v>3020</v>
      </c>
      <c r="AQ167" s="1114">
        <f>AQ136</f>
        <v>562</v>
      </c>
      <c r="AR167" s="1103" t="s">
        <v>2838</v>
      </c>
      <c r="AS167" s="1114">
        <f>(AN167*AQ167)</f>
        <v>1124</v>
      </c>
      <c r="AU167" s="1105">
        <f t="shared" si="23"/>
        <v>255.03560000000002</v>
      </c>
      <c r="AV167" s="1105">
        <f t="shared" si="24"/>
        <v>868.96439999999996</v>
      </c>
    </row>
    <row r="168" spans="1:48" ht="24" customHeight="1">
      <c r="F168" s="1114">
        <v>1</v>
      </c>
      <c r="G168" s="1114" t="s">
        <v>2839</v>
      </c>
      <c r="H168" s="1103" t="s">
        <v>2922</v>
      </c>
      <c r="I168" s="1114">
        <f>C26</f>
        <v>33.6</v>
      </c>
      <c r="J168" s="1103" t="s">
        <v>2839</v>
      </c>
      <c r="K168" s="1114">
        <f>(F168*I168)</f>
        <v>33.6</v>
      </c>
      <c r="N168" s="1114" t="s">
        <v>2851</v>
      </c>
      <c r="O168" s="1103" t="s">
        <v>2852</v>
      </c>
      <c r="Q168" s="1103" t="s">
        <v>2851</v>
      </c>
      <c r="R168" s="1114">
        <v>0</v>
      </c>
      <c r="AE168" s="1114"/>
      <c r="AN168" s="1114">
        <v>6</v>
      </c>
      <c r="AO168" s="1114" t="s">
        <v>2838</v>
      </c>
      <c r="AP168" s="1103" t="s">
        <v>3026</v>
      </c>
      <c r="AQ168" s="1114">
        <f>AQ137</f>
        <v>461</v>
      </c>
      <c r="AR168" s="1103" t="s">
        <v>2838</v>
      </c>
      <c r="AS168" s="1114">
        <f>(AN168*AQ168)</f>
        <v>2766</v>
      </c>
      <c r="AU168" s="1105">
        <f t="shared" si="23"/>
        <v>627.60540000000003</v>
      </c>
      <c r="AV168" s="1105">
        <f t="shared" si="24"/>
        <v>2138.3946000000001</v>
      </c>
    </row>
    <row r="169" spans="1:48" ht="24" customHeight="1">
      <c r="G169" s="1114" t="s">
        <v>2851</v>
      </c>
      <c r="H169" s="1103" t="s">
        <v>2852</v>
      </c>
      <c r="I169" s="1103" t="s">
        <v>220</v>
      </c>
      <c r="J169" s="1103" t="s">
        <v>2851</v>
      </c>
      <c r="K169" s="1114">
        <v>0</v>
      </c>
      <c r="Q169" s="1107"/>
      <c r="R169" s="1111" t="s">
        <v>36</v>
      </c>
      <c r="AE169" s="1114"/>
      <c r="AO169" s="1114" t="s">
        <v>2851</v>
      </c>
      <c r="AP169" s="1103" t="s">
        <v>2852</v>
      </c>
      <c r="AQ169" s="1103" t="s">
        <v>220</v>
      </c>
      <c r="AR169" s="1103" t="s">
        <v>2851</v>
      </c>
      <c r="AS169" s="1114">
        <v>0</v>
      </c>
      <c r="AU169" s="1105">
        <f t="shared" si="23"/>
        <v>0</v>
      </c>
      <c r="AV169" s="1105">
        <f t="shared" si="24"/>
        <v>0</v>
      </c>
    </row>
    <row r="170" spans="1:48" ht="24" customHeight="1">
      <c r="K170" s="1111" t="s">
        <v>36</v>
      </c>
      <c r="Q170" s="1107"/>
      <c r="R170" s="1114">
        <f>SUM(R163:R168)</f>
        <v>50514.21</v>
      </c>
      <c r="AE170" s="1114"/>
      <c r="AR170" s="1107"/>
      <c r="AS170" s="1111" t="s">
        <v>36</v>
      </c>
      <c r="AU170" s="1105">
        <f t="shared" si="23"/>
        <v>0</v>
      </c>
      <c r="AV170" s="1105">
        <f t="shared" si="24"/>
        <v>0</v>
      </c>
    </row>
    <row r="171" spans="1:48" ht="24" customHeight="1">
      <c r="H171" s="1118" t="s">
        <v>3135</v>
      </c>
      <c r="K171" s="1115">
        <f>SUM(K166:K169)</f>
        <v>1617.6599999999999</v>
      </c>
      <c r="O171" s="1104" t="s">
        <v>3033</v>
      </c>
      <c r="Q171" s="1107"/>
      <c r="R171" s="1111" t="s">
        <v>36</v>
      </c>
      <c r="AE171" s="1114"/>
      <c r="AP171" s="1103" t="s">
        <v>3033</v>
      </c>
      <c r="AR171" s="1107"/>
      <c r="AS171" s="1114">
        <f>SUM(AS163:AS169)</f>
        <v>18417.60728</v>
      </c>
      <c r="AU171" s="1105">
        <f t="shared" si="23"/>
        <v>4178.9550918320001</v>
      </c>
      <c r="AV171" s="1105">
        <f t="shared" si="24"/>
        <v>14238.652188168</v>
      </c>
    </row>
    <row r="172" spans="1:48" ht="24" customHeight="1">
      <c r="K172" s="1111" t="s">
        <v>36</v>
      </c>
      <c r="Q172" s="1107"/>
      <c r="R172" s="1115">
        <f>(R170/10)</f>
        <v>5051.4210000000003</v>
      </c>
      <c r="AE172" s="1114"/>
      <c r="AR172" s="1107"/>
      <c r="AS172" s="1111" t="s">
        <v>36</v>
      </c>
      <c r="AU172" s="1105">
        <f t="shared" si="23"/>
        <v>0</v>
      </c>
      <c r="AV172" s="1105">
        <f t="shared" si="24"/>
        <v>0</v>
      </c>
    </row>
    <row r="173" spans="1:48" ht="24" customHeight="1">
      <c r="F173" s="1131">
        <v>2.7</v>
      </c>
      <c r="G173" s="1114" t="s">
        <v>1363</v>
      </c>
      <c r="H173" s="1103" t="s">
        <v>3169</v>
      </c>
      <c r="O173" s="1118" t="s">
        <v>2946</v>
      </c>
      <c r="Q173" s="1107"/>
      <c r="R173" s="1111" t="s">
        <v>2793</v>
      </c>
      <c r="AE173" s="1114"/>
      <c r="AP173" s="1103" t="s">
        <v>2946</v>
      </c>
      <c r="AR173" s="1107"/>
      <c r="AS173" s="1114">
        <f>(AS171/2.83168)</f>
        <v>6504.1273307718384</v>
      </c>
      <c r="AU173" s="1105">
        <f t="shared" si="23"/>
        <v>1475.7864913521303</v>
      </c>
      <c r="AV173" s="1105">
        <f t="shared" si="24"/>
        <v>5028.3408394197086</v>
      </c>
    </row>
    <row r="174" spans="1:48" ht="24" customHeight="1">
      <c r="H174" s="1111" t="s">
        <v>36</v>
      </c>
      <c r="AE174" s="1114"/>
      <c r="AR174" s="1107"/>
      <c r="AS174" s="1111" t="s">
        <v>2793</v>
      </c>
      <c r="AU174" s="1105">
        <f t="shared" si="23"/>
        <v>0</v>
      </c>
      <c r="AV174" s="1105">
        <f t="shared" si="24"/>
        <v>0</v>
      </c>
    </row>
    <row r="175" spans="1:48" ht="24" customHeight="1">
      <c r="F175" s="1114">
        <v>1</v>
      </c>
      <c r="G175" s="1114" t="s">
        <v>2839</v>
      </c>
      <c r="H175" s="1103" t="s">
        <v>3170</v>
      </c>
      <c r="I175" s="1114">
        <f>AC14</f>
        <v>1987.06</v>
      </c>
      <c r="J175" s="1103" t="s">
        <v>2839</v>
      </c>
      <c r="K175" s="1114">
        <f>(F175*I175)</f>
        <v>1987.06</v>
      </c>
      <c r="AE175" s="1114"/>
      <c r="AN175" s="1103" t="s">
        <v>2568</v>
      </c>
      <c r="AR175" s="1107"/>
      <c r="AU175" s="1105">
        <f t="shared" si="23"/>
        <v>0</v>
      </c>
      <c r="AV175" s="1105">
        <f t="shared" si="24"/>
        <v>0</v>
      </c>
    </row>
    <row r="176" spans="1:48" ht="24" customHeight="1">
      <c r="F176" s="1114">
        <v>1</v>
      </c>
      <c r="G176" s="1114" t="s">
        <v>2839</v>
      </c>
      <c r="H176" s="1103" t="s">
        <v>2922</v>
      </c>
      <c r="I176" s="1114">
        <f>C26</f>
        <v>33.6</v>
      </c>
      <c r="J176" s="1103" t="s">
        <v>2839</v>
      </c>
      <c r="K176" s="1114">
        <f>(F176*I176)</f>
        <v>33.6</v>
      </c>
      <c r="AE176" s="1114"/>
      <c r="AR176" s="1107"/>
      <c r="AU176" s="1105">
        <f t="shared" si="23"/>
        <v>0</v>
      </c>
      <c r="AV176" s="1105">
        <f t="shared" si="24"/>
        <v>0</v>
      </c>
    </row>
    <row r="177" spans="1:48" ht="24" customHeight="1">
      <c r="G177" s="1114" t="s">
        <v>2851</v>
      </c>
      <c r="H177" s="1103" t="s">
        <v>2852</v>
      </c>
      <c r="I177" s="1103" t="s">
        <v>220</v>
      </c>
      <c r="J177" s="1103" t="s">
        <v>2851</v>
      </c>
      <c r="K177" s="1114">
        <v>0</v>
      </c>
      <c r="AE177" s="1114"/>
      <c r="AO177" s="1114" t="s">
        <v>3171</v>
      </c>
      <c r="AP177" s="1103" t="s">
        <v>3172</v>
      </c>
      <c r="AR177" s="1107"/>
      <c r="AU177" s="1105">
        <f t="shared" si="23"/>
        <v>0</v>
      </c>
      <c r="AV177" s="1105">
        <f t="shared" si="24"/>
        <v>0</v>
      </c>
    </row>
    <row r="178" spans="1:48" ht="24" customHeight="1">
      <c r="K178" s="1111" t="s">
        <v>36</v>
      </c>
      <c r="AE178" s="1114"/>
      <c r="AP178" s="1111" t="s">
        <v>36</v>
      </c>
      <c r="AR178" s="1107"/>
      <c r="AU178" s="1105">
        <f t="shared" si="23"/>
        <v>0</v>
      </c>
      <c r="AV178" s="1105">
        <f t="shared" si="24"/>
        <v>0</v>
      </c>
    </row>
    <row r="179" spans="1:48" ht="24" customHeight="1">
      <c r="H179" s="1118" t="s">
        <v>3135</v>
      </c>
      <c r="K179" s="1115">
        <f>SUM(K174:K177)</f>
        <v>2020.6599999999999</v>
      </c>
      <c r="AE179" s="1114"/>
      <c r="AN179" s="1114">
        <v>0.7</v>
      </c>
      <c r="AO179" s="1114" t="s">
        <v>2839</v>
      </c>
      <c r="AP179" s="1103" t="s">
        <v>3173</v>
      </c>
      <c r="AQ179" s="1114">
        <f>AQ147</f>
        <v>6504.1273307718384</v>
      </c>
      <c r="AR179" s="1103" t="s">
        <v>2838</v>
      </c>
      <c r="AS179" s="1114">
        <f>(AN179*AQ179)</f>
        <v>4552.8891315402861</v>
      </c>
      <c r="AU179" s="1105">
        <f t="shared" si="23"/>
        <v>1033.050543946491</v>
      </c>
      <c r="AV179" s="1105">
        <f t="shared" si="24"/>
        <v>3519.8385875937952</v>
      </c>
    </row>
    <row r="180" spans="1:48" ht="24" customHeight="1">
      <c r="K180" s="1111" t="s">
        <v>36</v>
      </c>
      <c r="M180" s="1114">
        <v>2.5</v>
      </c>
      <c r="N180" s="1103" t="s">
        <v>2839</v>
      </c>
      <c r="O180" s="1103" t="s">
        <v>3013</v>
      </c>
      <c r="P180" s="1114">
        <f>(K58)</f>
        <v>3365.46</v>
      </c>
      <c r="Q180" s="1103" t="s">
        <v>2839</v>
      </c>
      <c r="R180" s="1114">
        <f>(M180*P180)</f>
        <v>8413.65</v>
      </c>
      <c r="AE180" s="1114"/>
      <c r="AG180" s="1103"/>
      <c r="AN180" s="1114">
        <v>1</v>
      </c>
      <c r="AO180" s="1114" t="s">
        <v>2941</v>
      </c>
      <c r="AP180" s="1103" t="s">
        <v>3051</v>
      </c>
      <c r="AQ180" s="1114">
        <f>AQ165</f>
        <v>861</v>
      </c>
      <c r="AR180" s="1103" t="s">
        <v>2838</v>
      </c>
      <c r="AS180" s="1114">
        <f>(AN180*AQ180)</f>
        <v>861</v>
      </c>
      <c r="AU180" s="1105">
        <f t="shared" si="23"/>
        <v>195.36090000000002</v>
      </c>
      <c r="AV180" s="1105">
        <f t="shared" si="24"/>
        <v>665.63909999999998</v>
      </c>
    </row>
    <row r="181" spans="1:48" ht="24" customHeight="1">
      <c r="H181" s="1103" t="s">
        <v>220</v>
      </c>
      <c r="M181" s="1114">
        <v>3.5</v>
      </c>
      <c r="N181" s="1103" t="s">
        <v>2838</v>
      </c>
      <c r="O181" s="1103" t="s">
        <v>3051</v>
      </c>
      <c r="P181" s="1114">
        <f>(C10)</f>
        <v>861</v>
      </c>
      <c r="Q181" s="1103" t="s">
        <v>2838</v>
      </c>
      <c r="R181" s="1114">
        <f>(M181*P181)</f>
        <v>3013.5</v>
      </c>
      <c r="AE181" s="1114"/>
      <c r="AG181" s="1103"/>
      <c r="AO181" s="1114" t="s">
        <v>2851</v>
      </c>
      <c r="AP181" s="1103" t="s">
        <v>2852</v>
      </c>
      <c r="AQ181" s="1103" t="s">
        <v>220</v>
      </c>
      <c r="AR181" s="1103" t="s">
        <v>2851</v>
      </c>
      <c r="AS181" s="1114">
        <v>0</v>
      </c>
      <c r="AU181" s="1105">
        <f t="shared" si="23"/>
        <v>0</v>
      </c>
      <c r="AV181" s="1105">
        <f t="shared" si="24"/>
        <v>0</v>
      </c>
    </row>
    <row r="182" spans="1:48" ht="24" customHeight="1">
      <c r="F182" s="1104" t="s">
        <v>3174</v>
      </c>
      <c r="H182" s="1103" t="s">
        <v>3175</v>
      </c>
      <c r="AE182" s="1114"/>
      <c r="AR182" s="1107"/>
      <c r="AS182" s="1111" t="s">
        <v>36</v>
      </c>
      <c r="AU182" s="1105">
        <f t="shared" si="23"/>
        <v>0</v>
      </c>
      <c r="AV182" s="1105">
        <f t="shared" si="24"/>
        <v>0</v>
      </c>
    </row>
    <row r="183" spans="1:48" ht="24" customHeight="1">
      <c r="AE183" s="1114"/>
      <c r="AP183" s="1103" t="s">
        <v>3152</v>
      </c>
      <c r="AR183" s="1107"/>
      <c r="AS183" s="1115">
        <f>SUM(AS179:AS181)</f>
        <v>5413.8891315402861</v>
      </c>
      <c r="AU183" s="1105">
        <f t="shared" si="23"/>
        <v>1228.4114439464911</v>
      </c>
      <c r="AV183" s="1105">
        <f t="shared" si="24"/>
        <v>4185.4776875937951</v>
      </c>
    </row>
    <row r="184" spans="1:48" ht="24" customHeight="1">
      <c r="F184" s="1114">
        <v>1</v>
      </c>
      <c r="G184" s="1114" t="s">
        <v>2839</v>
      </c>
      <c r="H184" s="1103" t="s">
        <v>3176</v>
      </c>
      <c r="I184" s="1114">
        <f>C35</f>
        <v>513</v>
      </c>
      <c r="J184" s="1103" t="s">
        <v>2839</v>
      </c>
      <c r="K184" s="1114">
        <f>(F184*I184)</f>
        <v>513</v>
      </c>
      <c r="AE184" s="1114"/>
      <c r="AR184" s="1107"/>
      <c r="AS184" s="1111" t="s">
        <v>36</v>
      </c>
      <c r="AU184" s="1105">
        <f t="shared" si="23"/>
        <v>0</v>
      </c>
      <c r="AV184" s="1105">
        <f t="shared" si="24"/>
        <v>0</v>
      </c>
    </row>
    <row r="185" spans="1:48" ht="24" customHeight="1">
      <c r="F185" s="1114">
        <v>1</v>
      </c>
      <c r="G185" s="1114" t="s">
        <v>2839</v>
      </c>
      <c r="H185" s="1103" t="s">
        <v>3153</v>
      </c>
      <c r="I185" s="1114">
        <f>C812</f>
        <v>3.15</v>
      </c>
      <c r="J185" s="1103" t="s">
        <v>2839</v>
      </c>
      <c r="K185" s="1114">
        <f>(F185*I185)</f>
        <v>3.15</v>
      </c>
      <c r="AE185" s="1114"/>
      <c r="AP185" s="1103" t="s">
        <v>3154</v>
      </c>
      <c r="AR185" s="1107"/>
      <c r="AS185" s="1114">
        <f>(AS183/10)</f>
        <v>541.38891315402861</v>
      </c>
      <c r="AU185" s="1105">
        <f t="shared" si="23"/>
        <v>122.84114439464909</v>
      </c>
      <c r="AV185" s="1105">
        <f t="shared" si="24"/>
        <v>418.54776875937955</v>
      </c>
    </row>
    <row r="186" spans="1:48" ht="24" customHeight="1">
      <c r="F186" s="1114">
        <v>1</v>
      </c>
      <c r="G186" s="1114" t="s">
        <v>2839</v>
      </c>
      <c r="H186" s="1103" t="s">
        <v>3156</v>
      </c>
      <c r="I186" s="1114">
        <f>C146</f>
        <v>15.5</v>
      </c>
      <c r="J186" s="1103" t="s">
        <v>2839</v>
      </c>
      <c r="K186" s="1114">
        <f>(F186*I186)</f>
        <v>15.5</v>
      </c>
      <c r="AE186" s="1114"/>
      <c r="AR186" s="1107"/>
      <c r="AS186" s="1111" t="s">
        <v>2793</v>
      </c>
      <c r="AU186" s="1105">
        <f t="shared" si="23"/>
        <v>0</v>
      </c>
      <c r="AV186" s="1105">
        <f t="shared" si="24"/>
        <v>0</v>
      </c>
    </row>
    <row r="187" spans="1:48" ht="24" customHeight="1">
      <c r="H187" s="1103" t="s">
        <v>3157</v>
      </c>
      <c r="AE187" s="1114"/>
      <c r="AP187" s="1103" t="s">
        <v>3062</v>
      </c>
      <c r="AR187" s="1107">
        <f>AS187-AS185</f>
        <v>4.7599999999999909</v>
      </c>
      <c r="AS187" s="1115">
        <f>(AS185+C19/10*AN179)</f>
        <v>546.14891315402861</v>
      </c>
      <c r="AU187" s="1105">
        <f t="shared" si="23"/>
        <v>123.92118839464909</v>
      </c>
      <c r="AV187" s="1105">
        <f t="shared" si="24"/>
        <v>422.2277247593795</v>
      </c>
    </row>
    <row r="188" spans="1:48" ht="24" customHeight="1">
      <c r="K188" s="1111" t="s">
        <v>36</v>
      </c>
      <c r="AE188" s="1114"/>
      <c r="AP188" s="1103" t="s">
        <v>3066</v>
      </c>
      <c r="AR188" s="1107">
        <f>AS188-AS187</f>
        <v>9.6040000000000418</v>
      </c>
      <c r="AS188" s="1115">
        <f>(AS187+C20/10*AN179)</f>
        <v>555.75291315402865</v>
      </c>
      <c r="AU188" s="1105">
        <f t="shared" si="23"/>
        <v>126.1003359946491</v>
      </c>
      <c r="AV188" s="1105">
        <f t="shared" si="24"/>
        <v>429.65257715937958</v>
      </c>
    </row>
    <row r="189" spans="1:48" ht="24" customHeight="1">
      <c r="H189" s="1118" t="s">
        <v>3135</v>
      </c>
      <c r="K189" s="1115">
        <f>SUM(K182:K187)</f>
        <v>531.65</v>
      </c>
      <c r="AE189" s="1114"/>
      <c r="AP189" s="1103" t="s">
        <v>3069</v>
      </c>
      <c r="AR189" s="1107">
        <f>AS189-AS188</f>
        <v>9.6040000000000418</v>
      </c>
      <c r="AS189" s="1115">
        <f>(AS188+C21/10*AN179)</f>
        <v>565.35691315402869</v>
      </c>
      <c r="AU189" s="1105">
        <f t="shared" si="23"/>
        <v>128.27948359464912</v>
      </c>
      <c r="AV189" s="1105">
        <f t="shared" si="24"/>
        <v>437.07742955937954</v>
      </c>
    </row>
    <row r="190" spans="1:48" ht="24" customHeight="1">
      <c r="F190" s="1103" t="s">
        <v>220</v>
      </c>
      <c r="K190" s="1111" t="s">
        <v>36</v>
      </c>
      <c r="AE190" s="1114"/>
      <c r="AP190" s="1103" t="s">
        <v>3071</v>
      </c>
      <c r="AR190" s="1107">
        <f>AS190-AS189</f>
        <v>9.6040000000000418</v>
      </c>
      <c r="AS190" s="1115">
        <f>(AS189+C21/10*AN179)</f>
        <v>574.96091315402873</v>
      </c>
      <c r="AU190" s="1105">
        <f t="shared" si="23"/>
        <v>130.45863119464914</v>
      </c>
      <c r="AV190" s="1105">
        <f t="shared" si="24"/>
        <v>444.50228195937962</v>
      </c>
    </row>
    <row r="191" spans="1:48" ht="24" customHeight="1">
      <c r="K191" s="1103" t="s">
        <v>220</v>
      </c>
      <c r="AE191" s="1114"/>
      <c r="AP191" s="1103" t="s">
        <v>3177</v>
      </c>
      <c r="AR191" s="1107">
        <f>AS191-AS190</f>
        <v>9.6040000000000418</v>
      </c>
      <c r="AS191" s="1115">
        <f>(AS190+C21/10*AN179)</f>
        <v>584.56491315402877</v>
      </c>
      <c r="AU191" s="1105">
        <f t="shared" si="23"/>
        <v>132.63777879464914</v>
      </c>
      <c r="AV191" s="1105">
        <f t="shared" si="24"/>
        <v>451.92713435937964</v>
      </c>
    </row>
    <row r="192" spans="1:48" ht="24" customHeight="1">
      <c r="A192" s="1122">
        <f>(A148+1)</f>
        <v>90</v>
      </c>
      <c r="B192" s="1103" t="s">
        <v>3178</v>
      </c>
      <c r="C192" s="1114">
        <v>65</v>
      </c>
      <c r="D192" s="1103" t="s">
        <v>3179</v>
      </c>
      <c r="F192" s="1104" t="s">
        <v>3159</v>
      </c>
      <c r="G192" s="1114" t="s">
        <v>1363</v>
      </c>
      <c r="H192" s="1103" t="s">
        <v>3180</v>
      </c>
      <c r="M192" s="1104" t="s">
        <v>3159</v>
      </c>
      <c r="N192" s="1114" t="s">
        <v>1363</v>
      </c>
      <c r="O192" s="1103" t="s">
        <v>3181</v>
      </c>
      <c r="Q192" s="1107"/>
      <c r="S192" s="1104" t="s">
        <v>3159</v>
      </c>
      <c r="T192" s="1114" t="s">
        <v>1363</v>
      </c>
      <c r="U192" s="1103" t="s">
        <v>3181</v>
      </c>
      <c r="W192" s="1107"/>
      <c r="AE192" s="1114"/>
      <c r="AG192" s="1103"/>
      <c r="AP192" s="1103"/>
      <c r="AR192" s="1107"/>
      <c r="AS192" s="1115"/>
      <c r="AU192" s="1105">
        <f t="shared" si="23"/>
        <v>0</v>
      </c>
      <c r="AV192" s="1105">
        <f t="shared" si="24"/>
        <v>0</v>
      </c>
    </row>
    <row r="193" spans="1:48" ht="24" customHeight="1">
      <c r="A193" s="1122">
        <f t="shared" ref="A193:A208" si="25">(A192+1)</f>
        <v>91</v>
      </c>
      <c r="B193" s="1103" t="s">
        <v>3182</v>
      </c>
      <c r="C193" s="1114">
        <v>25</v>
      </c>
      <c r="D193" s="1103" t="s">
        <v>3179</v>
      </c>
      <c r="H193" s="1103" t="s">
        <v>3162</v>
      </c>
      <c r="O193" s="1103" t="s">
        <v>3045</v>
      </c>
      <c r="Q193" s="1107"/>
      <c r="S193" s="1105"/>
      <c r="U193" s="1103" t="s">
        <v>3162</v>
      </c>
      <c r="W193" s="1107"/>
      <c r="AE193" s="1114"/>
      <c r="AG193" s="1103"/>
      <c r="AP193" s="1103"/>
      <c r="AR193" s="1107"/>
      <c r="AS193" s="1115"/>
      <c r="AU193" s="1105">
        <f t="shared" si="23"/>
        <v>0</v>
      </c>
      <c r="AV193" s="1105">
        <f t="shared" si="24"/>
        <v>0</v>
      </c>
    </row>
    <row r="194" spans="1:48" ht="24" customHeight="1">
      <c r="A194" s="1122">
        <f t="shared" si="25"/>
        <v>92</v>
      </c>
      <c r="B194" s="1103" t="s">
        <v>3183</v>
      </c>
      <c r="C194" s="1114">
        <v>268.60000000000002</v>
      </c>
      <c r="D194" s="1103" t="s">
        <v>3179</v>
      </c>
      <c r="H194" s="1111" t="s">
        <v>36</v>
      </c>
      <c r="O194" s="1111" t="s">
        <v>36</v>
      </c>
      <c r="Q194" s="1107"/>
      <c r="S194" s="1105"/>
      <c r="U194" s="1111" t="s">
        <v>36</v>
      </c>
      <c r="W194" s="1107"/>
      <c r="AE194" s="1114"/>
      <c r="AG194" s="1103"/>
      <c r="AU194" s="1105">
        <f t="shared" si="23"/>
        <v>0</v>
      </c>
      <c r="AV194" s="1105">
        <f t="shared" si="24"/>
        <v>0</v>
      </c>
    </row>
    <row r="195" spans="1:48" ht="24" customHeight="1">
      <c r="A195" s="1122">
        <f t="shared" si="25"/>
        <v>93</v>
      </c>
      <c r="B195" s="1103" t="s">
        <v>3184</v>
      </c>
      <c r="C195" s="1114">
        <v>236.6</v>
      </c>
      <c r="D195" s="1114">
        <v>96.11</v>
      </c>
      <c r="F195" s="1114">
        <v>9</v>
      </c>
      <c r="G195" s="1114" t="s">
        <v>2839</v>
      </c>
      <c r="H195" s="1103" t="s">
        <v>3163</v>
      </c>
      <c r="I195" s="1114">
        <f>(C74)</f>
        <v>1584.06</v>
      </c>
      <c r="J195" s="1103" t="s">
        <v>2839</v>
      </c>
      <c r="K195" s="1114">
        <f>(F195*I195)</f>
        <v>14256.539999999999</v>
      </c>
      <c r="M195" s="1114">
        <v>9</v>
      </c>
      <c r="N195" s="1114" t="s">
        <v>2839</v>
      </c>
      <c r="O195" s="1103" t="s">
        <v>3185</v>
      </c>
      <c r="P195" s="1114">
        <f>(C73)</f>
        <v>1987.06</v>
      </c>
      <c r="Q195" s="1103" t="s">
        <v>2839</v>
      </c>
      <c r="R195" s="1114">
        <f>(M195*P195)</f>
        <v>17883.54</v>
      </c>
      <c r="S195" s="1114">
        <v>9</v>
      </c>
      <c r="T195" s="1114" t="s">
        <v>2839</v>
      </c>
      <c r="U195" s="1103" t="s">
        <v>3163</v>
      </c>
      <c r="V195" s="1114">
        <f>(C74)</f>
        <v>1584.06</v>
      </c>
      <c r="W195" s="1103" t="s">
        <v>2839</v>
      </c>
      <c r="X195" s="1114">
        <f>(S195*V195)</f>
        <v>14256.539999999999</v>
      </c>
      <c r="AE195" s="1114"/>
      <c r="AG195" s="1103"/>
      <c r="AP195" s="1103"/>
      <c r="AR195" s="1107"/>
      <c r="AS195" s="1115"/>
      <c r="AU195" s="1105">
        <f t="shared" si="23"/>
        <v>0</v>
      </c>
      <c r="AV195" s="1105">
        <f t="shared" si="24"/>
        <v>0</v>
      </c>
    </row>
    <row r="196" spans="1:48" ht="24" customHeight="1">
      <c r="A196" s="1122">
        <f t="shared" si="25"/>
        <v>94</v>
      </c>
      <c r="B196" s="1103" t="s">
        <v>3186</v>
      </c>
      <c r="C196" s="1114">
        <v>146.1</v>
      </c>
      <c r="D196" s="1103" t="s">
        <v>3179</v>
      </c>
      <c r="F196" s="1114">
        <v>4.5</v>
      </c>
      <c r="G196" s="1114" t="s">
        <v>2839</v>
      </c>
      <c r="H196" s="1103" t="s">
        <v>2991</v>
      </c>
      <c r="I196" s="1114">
        <f>(K49)</f>
        <v>3651.54</v>
      </c>
      <c r="J196" s="1103" t="s">
        <v>2839</v>
      </c>
      <c r="K196" s="1114">
        <f>(F196*I196)</f>
        <v>16431.93</v>
      </c>
      <c r="M196" s="1114">
        <v>4.5</v>
      </c>
      <c r="N196" s="1114" t="s">
        <v>2839</v>
      </c>
      <c r="O196" s="1103" t="s">
        <v>2921</v>
      </c>
      <c r="P196" s="1114">
        <f>K32</f>
        <v>4795.8599999999997</v>
      </c>
      <c r="Q196" s="1103" t="s">
        <v>2839</v>
      </c>
      <c r="R196" s="1114">
        <f>(M196*P196)</f>
        <v>21581.37</v>
      </c>
      <c r="S196" s="1114">
        <v>4.5</v>
      </c>
      <c r="T196" s="1114" t="s">
        <v>2839</v>
      </c>
      <c r="U196" s="1103" t="s">
        <v>2921</v>
      </c>
      <c r="V196" s="1114">
        <f>P196</f>
        <v>4795.8599999999997</v>
      </c>
      <c r="W196" s="1103" t="s">
        <v>2839</v>
      </c>
      <c r="X196" s="1114">
        <f>(S196*V196)</f>
        <v>21581.37</v>
      </c>
      <c r="AE196" s="1114"/>
      <c r="AG196" s="1103"/>
      <c r="AP196" s="1103"/>
      <c r="AS196" s="1115"/>
      <c r="AU196" s="1105">
        <f t="shared" si="23"/>
        <v>0</v>
      </c>
      <c r="AV196" s="1105">
        <f t="shared" si="24"/>
        <v>0</v>
      </c>
    </row>
    <row r="197" spans="1:48" ht="24" customHeight="1">
      <c r="A197" s="1122">
        <f t="shared" si="25"/>
        <v>95</v>
      </c>
      <c r="B197" s="1103" t="s">
        <v>3187</v>
      </c>
      <c r="C197" s="1114">
        <v>0.25</v>
      </c>
      <c r="D197" s="1103" t="s">
        <v>2838</v>
      </c>
      <c r="F197" s="1114">
        <v>1.8</v>
      </c>
      <c r="G197" s="1114" t="s">
        <v>2838</v>
      </c>
      <c r="H197" s="1103" t="s">
        <v>3017</v>
      </c>
      <c r="I197" s="1114">
        <f>(C11)</f>
        <v>804</v>
      </c>
      <c r="J197" s="1103" t="s">
        <v>2838</v>
      </c>
      <c r="K197" s="1114">
        <f>(F197*I197)</f>
        <v>1447.2</v>
      </c>
      <c r="M197" s="1114">
        <v>1.8</v>
      </c>
      <c r="N197" s="1114" t="s">
        <v>2838</v>
      </c>
      <c r="O197" s="1103" t="s">
        <v>3017</v>
      </c>
      <c r="P197" s="1114">
        <f>I197</f>
        <v>804</v>
      </c>
      <c r="Q197" s="1103" t="s">
        <v>2838</v>
      </c>
      <c r="R197" s="1114">
        <f>(M197*P197)</f>
        <v>1447.2</v>
      </c>
      <c r="S197" s="1114">
        <v>1.8</v>
      </c>
      <c r="T197" s="1114" t="s">
        <v>2838</v>
      </c>
      <c r="U197" s="1103" t="s">
        <v>3017</v>
      </c>
      <c r="V197" s="1114">
        <f>P197</f>
        <v>804</v>
      </c>
      <c r="W197" s="1103" t="s">
        <v>2838</v>
      </c>
      <c r="X197" s="1114">
        <f>(S197*V197)</f>
        <v>1447.2</v>
      </c>
      <c r="AE197" s="1114"/>
      <c r="AG197" s="1103"/>
      <c r="AP197" s="1103"/>
      <c r="AS197" s="1115"/>
      <c r="AU197" s="1105">
        <f t="shared" si="23"/>
        <v>0</v>
      </c>
      <c r="AV197" s="1105">
        <f t="shared" si="24"/>
        <v>0</v>
      </c>
    </row>
    <row r="198" spans="1:48" ht="24" customHeight="1">
      <c r="A198" s="1122">
        <f t="shared" si="25"/>
        <v>96</v>
      </c>
      <c r="B198" s="1103" t="s">
        <v>3188</v>
      </c>
      <c r="C198" s="1114">
        <v>36.299999999999997</v>
      </c>
      <c r="D198" s="1103" t="s">
        <v>3189</v>
      </c>
      <c r="F198" s="1114">
        <v>17.7</v>
      </c>
      <c r="G198" s="1114" t="s">
        <v>2838</v>
      </c>
      <c r="H198" s="1103" t="s">
        <v>3020</v>
      </c>
      <c r="I198" s="1114">
        <f>(C12)</f>
        <v>562</v>
      </c>
      <c r="J198" s="1103" t="s">
        <v>2838</v>
      </c>
      <c r="K198" s="1114">
        <f>(F198*I198)</f>
        <v>9947.4</v>
      </c>
      <c r="M198" s="1114">
        <v>17.7</v>
      </c>
      <c r="N198" s="1114" t="s">
        <v>2838</v>
      </c>
      <c r="O198" s="1103" t="s">
        <v>3020</v>
      </c>
      <c r="P198" s="1114">
        <f>I198</f>
        <v>562</v>
      </c>
      <c r="Q198" s="1103" t="s">
        <v>2838</v>
      </c>
      <c r="R198" s="1114">
        <f>(M198*P198)</f>
        <v>9947.4</v>
      </c>
      <c r="S198" s="1114">
        <v>17.7</v>
      </c>
      <c r="T198" s="1114" t="s">
        <v>2838</v>
      </c>
      <c r="U198" s="1103" t="s">
        <v>3020</v>
      </c>
      <c r="V198" s="1114">
        <f>P198</f>
        <v>562</v>
      </c>
      <c r="W198" s="1103" t="s">
        <v>2838</v>
      </c>
      <c r="X198" s="1114">
        <f>(S198*V198)</f>
        <v>9947.4</v>
      </c>
      <c r="AE198" s="1114"/>
      <c r="AG198" s="1103"/>
      <c r="AP198" s="1103"/>
      <c r="AS198" s="1115"/>
      <c r="AU198" s="1105">
        <f t="shared" si="23"/>
        <v>0</v>
      </c>
      <c r="AV198" s="1105">
        <f t="shared" si="24"/>
        <v>0</v>
      </c>
    </row>
    <row r="199" spans="1:48" ht="24" customHeight="1">
      <c r="A199" s="1122">
        <f t="shared" si="25"/>
        <v>97</v>
      </c>
      <c r="B199" s="1103" t="s">
        <v>3190</v>
      </c>
      <c r="C199" s="1114">
        <v>339</v>
      </c>
      <c r="D199" s="1114">
        <v>91</v>
      </c>
      <c r="E199" s="1103" t="s">
        <v>3189</v>
      </c>
      <c r="F199" s="1114">
        <v>14.1</v>
      </c>
      <c r="G199" s="1114" t="s">
        <v>2838</v>
      </c>
      <c r="H199" s="1103" t="s">
        <v>3026</v>
      </c>
      <c r="I199" s="1114">
        <f>(C13)</f>
        <v>461</v>
      </c>
      <c r="J199" s="1103" t="s">
        <v>2838</v>
      </c>
      <c r="K199" s="1114">
        <f>(F199*I199)</f>
        <v>6500.0999999999995</v>
      </c>
      <c r="M199" s="1114">
        <v>14.1</v>
      </c>
      <c r="N199" s="1114" t="s">
        <v>2838</v>
      </c>
      <c r="O199" s="1103" t="s">
        <v>3026</v>
      </c>
      <c r="P199" s="1114">
        <f>I199</f>
        <v>461</v>
      </c>
      <c r="Q199" s="1103" t="s">
        <v>2838</v>
      </c>
      <c r="R199" s="1114">
        <f>(M199*P199)</f>
        <v>6500.0999999999995</v>
      </c>
      <c r="S199" s="1114">
        <v>14.1</v>
      </c>
      <c r="T199" s="1114" t="s">
        <v>2838</v>
      </c>
      <c r="U199" s="1103" t="s">
        <v>3026</v>
      </c>
      <c r="V199" s="1114">
        <f>P199</f>
        <v>461</v>
      </c>
      <c r="W199" s="1103" t="s">
        <v>2838</v>
      </c>
      <c r="X199" s="1114">
        <f>(S199*V199)</f>
        <v>6500.0999999999995</v>
      </c>
      <c r="AE199" s="1114"/>
      <c r="AG199" s="1103"/>
      <c r="AP199" s="1103"/>
      <c r="AS199" s="1115"/>
      <c r="AU199" s="1105">
        <f t="shared" si="23"/>
        <v>0</v>
      </c>
      <c r="AV199" s="1105">
        <f t="shared" si="24"/>
        <v>0</v>
      </c>
    </row>
    <row r="200" spans="1:48" ht="24" customHeight="1">
      <c r="A200" s="1122">
        <f t="shared" si="25"/>
        <v>98</v>
      </c>
      <c r="B200" s="1103" t="s">
        <v>3191</v>
      </c>
      <c r="C200" s="1114">
        <v>164</v>
      </c>
      <c r="D200" s="1103" t="s">
        <v>2941</v>
      </c>
      <c r="G200" s="1114" t="s">
        <v>2851</v>
      </c>
      <c r="H200" s="1103" t="s">
        <v>2852</v>
      </c>
      <c r="J200" s="1103" t="s">
        <v>2851</v>
      </c>
      <c r="K200" s="1114">
        <v>0</v>
      </c>
      <c r="N200" s="1114" t="s">
        <v>2851</v>
      </c>
      <c r="O200" s="1103" t="s">
        <v>2852</v>
      </c>
      <c r="Q200" s="1103" t="s">
        <v>2851</v>
      </c>
      <c r="R200" s="1114">
        <v>0</v>
      </c>
      <c r="S200" s="1105"/>
      <c r="T200" s="1114" t="s">
        <v>2851</v>
      </c>
      <c r="U200" s="1103" t="s">
        <v>2852</v>
      </c>
      <c r="W200" s="1103" t="s">
        <v>2851</v>
      </c>
      <c r="X200" s="1114">
        <v>0</v>
      </c>
      <c r="AE200" s="1114"/>
      <c r="AG200" s="1103"/>
      <c r="AU200" s="1105">
        <f t="shared" si="23"/>
        <v>0</v>
      </c>
      <c r="AV200" s="1105">
        <f t="shared" si="24"/>
        <v>0</v>
      </c>
    </row>
    <row r="201" spans="1:48" ht="24" customHeight="1">
      <c r="A201" s="1122">
        <f t="shared" si="25"/>
        <v>99</v>
      </c>
      <c r="B201" s="1103" t="s">
        <v>3192</v>
      </c>
      <c r="C201" s="1114">
        <v>1190</v>
      </c>
      <c r="D201" s="1103" t="s">
        <v>2941</v>
      </c>
      <c r="K201" s="1111" t="s">
        <v>36</v>
      </c>
      <c r="Q201" s="1107"/>
      <c r="R201" s="1111" t="s">
        <v>36</v>
      </c>
      <c r="S201" s="1105"/>
      <c r="W201" s="1107"/>
      <c r="X201" s="1111" t="s">
        <v>36</v>
      </c>
      <c r="AE201" s="1114"/>
      <c r="AG201" s="1103"/>
      <c r="AU201" s="1105">
        <f t="shared" si="23"/>
        <v>0</v>
      </c>
      <c r="AV201" s="1105">
        <f t="shared" si="24"/>
        <v>0</v>
      </c>
    </row>
    <row r="202" spans="1:48" ht="24" customHeight="1">
      <c r="A202" s="1122">
        <f t="shared" si="25"/>
        <v>100</v>
      </c>
      <c r="B202" s="1103" t="s">
        <v>3193</v>
      </c>
      <c r="C202" s="1114">
        <v>47.2</v>
      </c>
      <c r="D202" s="1103" t="s">
        <v>2941</v>
      </c>
      <c r="H202" s="1104" t="s">
        <v>3033</v>
      </c>
      <c r="K202" s="1114">
        <f>SUM(K195:K200)</f>
        <v>48583.17</v>
      </c>
      <c r="O202" s="1103" t="s">
        <v>3033</v>
      </c>
      <c r="Q202" s="1107"/>
      <c r="R202" s="1114">
        <f>SUM(R195:R200)</f>
        <v>57359.61</v>
      </c>
      <c r="S202" s="1105"/>
      <c r="W202" s="1107"/>
      <c r="X202" s="1114">
        <f>SUM(X195:X200)</f>
        <v>53732.609999999993</v>
      </c>
      <c r="AE202" s="1114"/>
      <c r="AG202" s="1103"/>
      <c r="AU202" s="1105">
        <f t="shared" si="23"/>
        <v>0</v>
      </c>
      <c r="AV202" s="1105">
        <f t="shared" si="24"/>
        <v>0</v>
      </c>
    </row>
    <row r="203" spans="1:48" ht="24" customHeight="1">
      <c r="A203" s="1122">
        <f t="shared" si="25"/>
        <v>101</v>
      </c>
      <c r="B203" s="1103" t="s">
        <v>3194</v>
      </c>
      <c r="C203" s="1114">
        <v>126.8</v>
      </c>
      <c r="D203" s="1103" t="s">
        <v>2941</v>
      </c>
      <c r="E203" s="1105">
        <v>164.5</v>
      </c>
      <c r="K203" s="1111" t="s">
        <v>36</v>
      </c>
      <c r="Q203" s="1107"/>
      <c r="R203" s="1111" t="s">
        <v>36</v>
      </c>
      <c r="S203" s="1105"/>
      <c r="U203" s="1103" t="s">
        <v>3033</v>
      </c>
      <c r="W203" s="1107"/>
      <c r="X203" s="1111" t="s">
        <v>36</v>
      </c>
      <c r="AE203" s="1114"/>
      <c r="AG203" s="1103"/>
      <c r="AU203" s="1105">
        <f t="shared" si="23"/>
        <v>0</v>
      </c>
      <c r="AV203" s="1105">
        <f t="shared" si="24"/>
        <v>0</v>
      </c>
    </row>
    <row r="204" spans="1:48" ht="24" customHeight="1">
      <c r="A204" s="1122">
        <f t="shared" si="25"/>
        <v>102</v>
      </c>
      <c r="B204" s="1103" t="s">
        <v>3195</v>
      </c>
      <c r="C204" s="1114">
        <v>62.8</v>
      </c>
      <c r="D204" s="1103" t="s">
        <v>2941</v>
      </c>
      <c r="H204" s="1118" t="s">
        <v>2946</v>
      </c>
      <c r="K204" s="1115">
        <f>(K202/10)</f>
        <v>4858.317</v>
      </c>
      <c r="O204" s="1103" t="s">
        <v>2946</v>
      </c>
      <c r="Q204" s="1107"/>
      <c r="R204" s="1114">
        <f>(R202/10)</f>
        <v>5735.9610000000002</v>
      </c>
      <c r="S204" s="1105"/>
      <c r="W204" s="1107"/>
      <c r="X204" s="1114">
        <f>(X202/10)</f>
        <v>5373.2609999999995</v>
      </c>
      <c r="AE204" s="1114"/>
      <c r="AU204" s="1105">
        <f t="shared" si="23"/>
        <v>0</v>
      </c>
      <c r="AV204" s="1105">
        <f t="shared" si="24"/>
        <v>0</v>
      </c>
    </row>
    <row r="205" spans="1:48" ht="24" customHeight="1">
      <c r="A205" s="1122">
        <f t="shared" si="25"/>
        <v>103</v>
      </c>
      <c r="B205" s="1103" t="s">
        <v>3196</v>
      </c>
      <c r="C205" s="1114">
        <v>101</v>
      </c>
      <c r="D205" s="1103" t="s">
        <v>2941</v>
      </c>
      <c r="H205" s="1118"/>
      <c r="K205" s="1111" t="s">
        <v>2793</v>
      </c>
      <c r="O205" s="1103"/>
      <c r="Q205" s="1107"/>
      <c r="R205" s="1111" t="s">
        <v>2793</v>
      </c>
      <c r="S205" s="1105"/>
      <c r="U205" s="1103" t="s">
        <v>2946</v>
      </c>
      <c r="W205" s="1107"/>
      <c r="X205" s="1111" t="s">
        <v>2793</v>
      </c>
      <c r="AE205" s="1114"/>
      <c r="AU205" s="1105">
        <f t="shared" si="23"/>
        <v>0</v>
      </c>
      <c r="AV205" s="1105">
        <f t="shared" si="24"/>
        <v>0</v>
      </c>
    </row>
    <row r="206" spans="1:48" ht="24" customHeight="1">
      <c r="A206" s="1122">
        <f t="shared" si="25"/>
        <v>104</v>
      </c>
      <c r="B206" s="1103" t="s">
        <v>3197</v>
      </c>
      <c r="C206" s="1114">
        <v>100.6</v>
      </c>
      <c r="D206" s="1103" t="s">
        <v>2941</v>
      </c>
      <c r="E206" s="1105">
        <v>139.30000000000001</v>
      </c>
      <c r="AE206" s="1114"/>
      <c r="AG206" s="1103"/>
      <c r="AU206" s="1105">
        <f t="shared" si="23"/>
        <v>0</v>
      </c>
      <c r="AV206" s="1105">
        <f t="shared" si="24"/>
        <v>0</v>
      </c>
    </row>
    <row r="207" spans="1:48" ht="24" customHeight="1">
      <c r="A207" s="1122">
        <f t="shared" si="25"/>
        <v>105</v>
      </c>
      <c r="B207" s="1103" t="s">
        <v>3198</v>
      </c>
      <c r="C207" s="1114">
        <v>225.4</v>
      </c>
      <c r="D207" s="1103" t="s">
        <v>3199</v>
      </c>
      <c r="F207" s="1104" t="s">
        <v>3200</v>
      </c>
      <c r="G207" s="1114" t="s">
        <v>1363</v>
      </c>
      <c r="H207" s="1103" t="s">
        <v>3201</v>
      </c>
      <c r="AE207" s="1114"/>
      <c r="AU207" s="1105">
        <f t="shared" si="23"/>
        <v>0</v>
      </c>
      <c r="AV207" s="1105">
        <f t="shared" si="24"/>
        <v>0</v>
      </c>
    </row>
    <row r="208" spans="1:48" ht="24" customHeight="1">
      <c r="A208" s="1122">
        <f t="shared" si="25"/>
        <v>106</v>
      </c>
      <c r="B208" s="1103" t="s">
        <v>3202</v>
      </c>
      <c r="C208" s="1114">
        <v>164.5</v>
      </c>
      <c r="D208" s="1103" t="s">
        <v>2941</v>
      </c>
      <c r="H208" s="1103" t="s">
        <v>3045</v>
      </c>
      <c r="N208" s="1103" t="s">
        <v>3203</v>
      </c>
      <c r="O208" s="1103" t="s">
        <v>3204</v>
      </c>
      <c r="AE208" s="1114"/>
      <c r="AU208" s="1105">
        <f t="shared" si="23"/>
        <v>0</v>
      </c>
      <c r="AV208" s="1105">
        <f t="shared" si="24"/>
        <v>0</v>
      </c>
    </row>
    <row r="209" spans="6:48" ht="24" customHeight="1">
      <c r="H209" s="1111" t="s">
        <v>36</v>
      </c>
      <c r="O209" s="1111" t="s">
        <v>36</v>
      </c>
      <c r="AE209" s="1114"/>
      <c r="AU209" s="1105">
        <f t="shared" si="23"/>
        <v>0</v>
      </c>
      <c r="AV209" s="1105">
        <f t="shared" si="24"/>
        <v>0</v>
      </c>
    </row>
    <row r="210" spans="6:48" ht="24" customHeight="1">
      <c r="F210" s="1114">
        <v>9</v>
      </c>
      <c r="G210" s="1114" t="s">
        <v>2839</v>
      </c>
      <c r="H210" s="1103" t="s">
        <v>3185</v>
      </c>
      <c r="I210" s="1114">
        <f>C73</f>
        <v>1987.06</v>
      </c>
      <c r="J210" s="1103" t="s">
        <v>2839</v>
      </c>
      <c r="K210" s="1114">
        <f>(F210*I210)</f>
        <v>17883.54</v>
      </c>
      <c r="M210" s="1143">
        <v>1.153E-2</v>
      </c>
      <c r="N210" s="1103" t="s">
        <v>2839</v>
      </c>
      <c r="O210" s="1103" t="s">
        <v>3205</v>
      </c>
      <c r="P210" s="1114">
        <f>C88</f>
        <v>111600</v>
      </c>
      <c r="Q210" s="1103" t="s">
        <v>2839</v>
      </c>
      <c r="R210" s="1114">
        <f t="shared" ref="R210:R219" si="26">(M210*P210)</f>
        <v>1286.748</v>
      </c>
      <c r="AE210" s="1114"/>
      <c r="AU210" s="1105">
        <f t="shared" si="23"/>
        <v>0</v>
      </c>
      <c r="AV210" s="1105">
        <f t="shared" si="24"/>
        <v>0</v>
      </c>
    </row>
    <row r="211" spans="6:48" ht="24" customHeight="1">
      <c r="F211" s="1114">
        <v>4.5</v>
      </c>
      <c r="G211" s="1114" t="s">
        <v>2839</v>
      </c>
      <c r="H211" s="1103" t="s">
        <v>2870</v>
      </c>
      <c r="I211" s="1114">
        <f>K23</f>
        <v>6226.26</v>
      </c>
      <c r="J211" s="1103" t="s">
        <v>2839</v>
      </c>
      <c r="K211" s="1114">
        <f>(F211*I211)</f>
        <v>28018.170000000002</v>
      </c>
      <c r="M211" s="1143">
        <v>1.013E-2</v>
      </c>
      <c r="N211" s="1103" t="s">
        <v>2839</v>
      </c>
      <c r="O211" s="1103" t="s">
        <v>3206</v>
      </c>
      <c r="P211" s="1114">
        <f>C89</f>
        <v>99400</v>
      </c>
      <c r="Q211" s="1103" t="s">
        <v>2839</v>
      </c>
      <c r="R211" s="1114">
        <f t="shared" si="26"/>
        <v>1006.922</v>
      </c>
      <c r="AE211" s="1114"/>
      <c r="AU211" s="1105">
        <f t="shared" si="23"/>
        <v>0</v>
      </c>
      <c r="AV211" s="1105">
        <f t="shared" si="24"/>
        <v>0</v>
      </c>
    </row>
    <row r="212" spans="6:48" ht="24" customHeight="1">
      <c r="F212" s="1114">
        <v>1.8</v>
      </c>
      <c r="G212" s="1114" t="s">
        <v>2838</v>
      </c>
      <c r="H212" s="1103" t="s">
        <v>3017</v>
      </c>
      <c r="I212" s="1114">
        <f>C11</f>
        <v>804</v>
      </c>
      <c r="J212" s="1103" t="s">
        <v>2838</v>
      </c>
      <c r="K212" s="1114">
        <f>(F212*I212)</f>
        <v>1447.2</v>
      </c>
      <c r="M212" s="1143">
        <v>0.77780000000000005</v>
      </c>
      <c r="N212" s="1103" t="s">
        <v>3189</v>
      </c>
      <c r="O212" s="1103" t="s">
        <v>3207</v>
      </c>
      <c r="P212" s="1114">
        <f>C783</f>
        <v>387.4</v>
      </c>
      <c r="Q212" s="1103" t="s">
        <v>3189</v>
      </c>
      <c r="R212" s="1114">
        <f t="shared" si="26"/>
        <v>301.31972000000002</v>
      </c>
      <c r="AE212" s="1114"/>
      <c r="AU212" s="1105">
        <f t="shared" si="23"/>
        <v>0</v>
      </c>
      <c r="AV212" s="1105">
        <f t="shared" si="24"/>
        <v>0</v>
      </c>
    </row>
    <row r="213" spans="6:48" ht="24" customHeight="1">
      <c r="F213" s="1114">
        <v>17.7</v>
      </c>
      <c r="G213" s="1114" t="s">
        <v>2838</v>
      </c>
      <c r="H213" s="1103" t="s">
        <v>3020</v>
      </c>
      <c r="I213" s="1114">
        <f>C12</f>
        <v>562</v>
      </c>
      <c r="J213" s="1103" t="s">
        <v>2838</v>
      </c>
      <c r="K213" s="1114">
        <f>(F213*I213)</f>
        <v>9947.4</v>
      </c>
      <c r="M213" s="1143">
        <v>1.23</v>
      </c>
      <c r="N213" s="1103" t="s">
        <v>3189</v>
      </c>
      <c r="O213" s="1103" t="s">
        <v>3208</v>
      </c>
      <c r="P213" s="1114">
        <f>D30</f>
        <v>1105</v>
      </c>
      <c r="Q213" s="1103" t="s">
        <v>3189</v>
      </c>
      <c r="R213" s="1114">
        <f t="shared" si="26"/>
        <v>1359.15</v>
      </c>
      <c r="AE213" s="1114"/>
      <c r="AU213" s="1105">
        <f t="shared" si="23"/>
        <v>0</v>
      </c>
      <c r="AV213" s="1105">
        <f t="shared" si="24"/>
        <v>0</v>
      </c>
    </row>
    <row r="214" spans="6:48" ht="24" customHeight="1">
      <c r="F214" s="1114">
        <v>14.1</v>
      </c>
      <c r="G214" s="1114" t="s">
        <v>2838</v>
      </c>
      <c r="H214" s="1103" t="s">
        <v>3026</v>
      </c>
      <c r="I214" s="1114">
        <f>C13</f>
        <v>461</v>
      </c>
      <c r="J214" s="1103" t="s">
        <v>2838</v>
      </c>
      <c r="K214" s="1114">
        <f>(F214*I214)</f>
        <v>6500.0999999999995</v>
      </c>
      <c r="M214" s="1114">
        <v>2</v>
      </c>
      <c r="N214" s="1103" t="s">
        <v>2838</v>
      </c>
      <c r="O214" s="1103" t="s">
        <v>3209</v>
      </c>
      <c r="P214" s="1114">
        <f>C284</f>
        <v>60</v>
      </c>
      <c r="Q214" s="1103" t="s">
        <v>2838</v>
      </c>
      <c r="R214" s="1114">
        <f t="shared" si="26"/>
        <v>120</v>
      </c>
      <c r="AE214" s="1114"/>
      <c r="AU214" s="1105">
        <f t="shared" si="23"/>
        <v>0</v>
      </c>
      <c r="AV214" s="1105">
        <f t="shared" si="24"/>
        <v>0</v>
      </c>
    </row>
    <row r="215" spans="6:48" ht="24" customHeight="1">
      <c r="G215" s="1114" t="s">
        <v>2851</v>
      </c>
      <c r="H215" s="1103" t="s">
        <v>2852</v>
      </c>
      <c r="J215" s="1103" t="s">
        <v>2851</v>
      </c>
      <c r="K215" s="1114">
        <v>0</v>
      </c>
      <c r="M215" s="1114">
        <v>3</v>
      </c>
      <c r="N215" s="1103" t="s">
        <v>2838</v>
      </c>
      <c r="O215" s="1103" t="s">
        <v>3210</v>
      </c>
      <c r="P215" s="1114">
        <f>C279</f>
        <v>83</v>
      </c>
      <c r="Q215" s="1103" t="s">
        <v>2838</v>
      </c>
      <c r="R215" s="1114">
        <f t="shared" si="26"/>
        <v>249</v>
      </c>
      <c r="AE215" s="1114"/>
      <c r="AU215" s="1105">
        <f t="shared" si="23"/>
        <v>0</v>
      </c>
      <c r="AV215" s="1105">
        <f t="shared" si="24"/>
        <v>0</v>
      </c>
    </row>
    <row r="216" spans="6:48" ht="24" customHeight="1">
      <c r="K216" s="1111" t="s">
        <v>36</v>
      </c>
      <c r="M216" s="1114">
        <v>1</v>
      </c>
      <c r="N216" s="1103" t="s">
        <v>2838</v>
      </c>
      <c r="O216" s="1103" t="s">
        <v>3211</v>
      </c>
      <c r="P216" s="1114">
        <f>C286</f>
        <v>167.6</v>
      </c>
      <c r="Q216" s="1103" t="s">
        <v>2838</v>
      </c>
      <c r="R216" s="1114">
        <f t="shared" si="26"/>
        <v>167.6</v>
      </c>
      <c r="T216" s="1105">
        <v>0</v>
      </c>
      <c r="AE216" s="1114"/>
      <c r="AU216" s="1105">
        <f t="shared" si="23"/>
        <v>0</v>
      </c>
      <c r="AV216" s="1105">
        <f t="shared" si="24"/>
        <v>0</v>
      </c>
    </row>
    <row r="217" spans="6:48" ht="24" customHeight="1">
      <c r="K217" s="1114">
        <f>SUM(K210:K215)</f>
        <v>63796.41</v>
      </c>
      <c r="M217" s="1114">
        <v>1</v>
      </c>
      <c r="N217" s="1103" t="s">
        <v>2838</v>
      </c>
      <c r="O217" s="1103" t="s">
        <v>3212</v>
      </c>
      <c r="P217" s="1114">
        <f>C288</f>
        <v>7.3</v>
      </c>
      <c r="Q217" s="1103" t="s">
        <v>2838</v>
      </c>
      <c r="R217" s="1114">
        <f t="shared" si="26"/>
        <v>7.3</v>
      </c>
      <c r="AE217" s="1114"/>
      <c r="AU217" s="1105">
        <f t="shared" si="23"/>
        <v>0</v>
      </c>
      <c r="AV217" s="1105">
        <f t="shared" si="24"/>
        <v>0</v>
      </c>
    </row>
    <row r="218" spans="6:48" ht="24" customHeight="1">
      <c r="H218" s="1103" t="s">
        <v>3033</v>
      </c>
      <c r="K218" s="1111" t="s">
        <v>36</v>
      </c>
      <c r="M218" s="1114">
        <v>1</v>
      </c>
      <c r="N218" s="1103" t="s">
        <v>2838</v>
      </c>
      <c r="O218" s="1103" t="s">
        <v>3213</v>
      </c>
      <c r="P218" s="1114">
        <f>C598</f>
        <v>53.4</v>
      </c>
      <c r="Q218" s="1103" t="s">
        <v>2838</v>
      </c>
      <c r="R218" s="1114">
        <f t="shared" si="26"/>
        <v>53.4</v>
      </c>
      <c r="AE218" s="1114"/>
    </row>
    <row r="219" spans="6:48" ht="24" customHeight="1">
      <c r="K219" s="1115">
        <f>(K217/10)</f>
        <v>6379.6410000000005</v>
      </c>
      <c r="M219" s="1114">
        <v>1</v>
      </c>
      <c r="N219" s="1103" t="s">
        <v>2838</v>
      </c>
      <c r="O219" s="1103" t="s">
        <v>3214</v>
      </c>
      <c r="P219" s="1114">
        <f>D598</f>
        <v>45.9</v>
      </c>
      <c r="Q219" s="1103" t="s">
        <v>2838</v>
      </c>
      <c r="R219" s="1114">
        <f t="shared" si="26"/>
        <v>45.9</v>
      </c>
      <c r="AE219" s="1114"/>
    </row>
    <row r="220" spans="6:48" ht="24" customHeight="1">
      <c r="H220" s="1118" t="s">
        <v>2946</v>
      </c>
      <c r="K220" s="1111" t="s">
        <v>2793</v>
      </c>
      <c r="R220" s="1111" t="s">
        <v>36</v>
      </c>
      <c r="AE220" s="1114"/>
    </row>
    <row r="221" spans="6:48" ht="24" customHeight="1">
      <c r="O221" s="1104" t="s">
        <v>3215</v>
      </c>
      <c r="R221" s="1114">
        <f>SUM(R210:R219)</f>
        <v>4597.3397199999999</v>
      </c>
      <c r="AE221" s="1114"/>
    </row>
    <row r="222" spans="6:48" ht="24" customHeight="1">
      <c r="F222" s="1104" t="s">
        <v>3216</v>
      </c>
      <c r="G222" s="1114" t="s">
        <v>1363</v>
      </c>
      <c r="H222" s="1103" t="s">
        <v>3217</v>
      </c>
      <c r="N222" s="1103" t="s">
        <v>220</v>
      </c>
      <c r="R222" s="1111" t="s">
        <v>36</v>
      </c>
      <c r="AE222" s="1114"/>
    </row>
    <row r="223" spans="6:48" ht="24" customHeight="1">
      <c r="H223" s="1103" t="s">
        <v>3218</v>
      </c>
      <c r="M223" s="1103" t="s">
        <v>220</v>
      </c>
      <c r="AE223" s="1114"/>
    </row>
    <row r="224" spans="6:48" ht="24" customHeight="1">
      <c r="H224" s="1111" t="s">
        <v>36</v>
      </c>
      <c r="O224" s="1104" t="s">
        <v>3154</v>
      </c>
      <c r="R224" s="1114">
        <f>R221/M213</f>
        <v>3737.6745691056913</v>
      </c>
      <c r="AE224" s="1114"/>
    </row>
    <row r="225" spans="6:31" ht="24" customHeight="1">
      <c r="F225" s="1114">
        <v>9</v>
      </c>
      <c r="G225" s="1114" t="s">
        <v>2839</v>
      </c>
      <c r="H225" s="1103" t="s">
        <v>3219</v>
      </c>
      <c r="I225" s="1114">
        <f>AC20</f>
        <v>965.3</v>
      </c>
      <c r="J225" s="1103" t="s">
        <v>2839</v>
      </c>
      <c r="K225" s="1114">
        <f>(F225*I225)</f>
        <v>8687.6999999999989</v>
      </c>
      <c r="M225" s="1103" t="s">
        <v>3220</v>
      </c>
      <c r="AE225" s="1114"/>
    </row>
    <row r="226" spans="6:31" ht="24" customHeight="1">
      <c r="F226" s="1114">
        <v>4.5</v>
      </c>
      <c r="G226" s="1114" t="s">
        <v>2839</v>
      </c>
      <c r="H226" s="1103" t="s">
        <v>3014</v>
      </c>
      <c r="I226" s="1114">
        <f>K77</f>
        <v>3007.8599999999997</v>
      </c>
      <c r="J226" s="1103" t="s">
        <v>2839</v>
      </c>
      <c r="K226" s="1114">
        <f>(F226*I226)</f>
        <v>13535.369999999999</v>
      </c>
      <c r="AE226" s="1114"/>
    </row>
    <row r="227" spans="6:31" ht="24" customHeight="1">
      <c r="F227" s="1114">
        <v>1.8</v>
      </c>
      <c r="G227" s="1114" t="s">
        <v>2838</v>
      </c>
      <c r="H227" s="1103" t="s">
        <v>3017</v>
      </c>
      <c r="I227" s="1114">
        <f>C11</f>
        <v>804</v>
      </c>
      <c r="J227" s="1103" t="s">
        <v>2838</v>
      </c>
      <c r="K227" s="1114">
        <f>(F227*I227)</f>
        <v>1447.2</v>
      </c>
      <c r="AE227" s="1114"/>
    </row>
    <row r="228" spans="6:31" ht="24" customHeight="1">
      <c r="F228" s="1114">
        <v>17.7</v>
      </c>
      <c r="G228" s="1114" t="s">
        <v>2838</v>
      </c>
      <c r="H228" s="1103" t="s">
        <v>3020</v>
      </c>
      <c r="I228" s="1114">
        <f>C12</f>
        <v>562</v>
      </c>
      <c r="J228" s="1103" t="s">
        <v>2838</v>
      </c>
      <c r="K228" s="1114">
        <f>(F228*I228)</f>
        <v>9947.4</v>
      </c>
      <c r="M228" s="1104" t="s">
        <v>3216</v>
      </c>
      <c r="N228" s="1114" t="s">
        <v>1363</v>
      </c>
      <c r="O228" s="1103" t="s">
        <v>3221</v>
      </c>
      <c r="Q228" s="1107"/>
      <c r="AE228" s="1114"/>
    </row>
    <row r="229" spans="6:31" ht="24" customHeight="1">
      <c r="F229" s="1114">
        <v>14.1</v>
      </c>
      <c r="G229" s="1114" t="s">
        <v>2838</v>
      </c>
      <c r="H229" s="1103" t="s">
        <v>3026</v>
      </c>
      <c r="I229" s="1114">
        <f>C13</f>
        <v>461</v>
      </c>
      <c r="J229" s="1103" t="s">
        <v>2838</v>
      </c>
      <c r="K229" s="1114">
        <f>(F229*I229)</f>
        <v>6500.0999999999995</v>
      </c>
      <c r="O229" s="1103" t="s">
        <v>3222</v>
      </c>
      <c r="Q229" s="1107"/>
      <c r="AE229" s="1114"/>
    </row>
    <row r="230" spans="6:31" ht="24" customHeight="1">
      <c r="G230" s="1114" t="s">
        <v>2851</v>
      </c>
      <c r="H230" s="1103" t="s">
        <v>2852</v>
      </c>
      <c r="J230" s="1103" t="s">
        <v>2851</v>
      </c>
      <c r="K230" s="1114">
        <v>0</v>
      </c>
      <c r="O230" s="1111" t="s">
        <v>36</v>
      </c>
      <c r="Q230" s="1107"/>
      <c r="AE230" s="1114"/>
    </row>
    <row r="231" spans="6:31" ht="24" customHeight="1">
      <c r="K231" s="1111" t="s">
        <v>36</v>
      </c>
      <c r="M231" s="1114">
        <v>9</v>
      </c>
      <c r="N231" s="1114" t="s">
        <v>2839</v>
      </c>
      <c r="O231" s="1103" t="s">
        <v>3223</v>
      </c>
      <c r="P231" s="1114">
        <f>AC15</f>
        <v>1584.06</v>
      </c>
      <c r="Q231" s="1103" t="s">
        <v>2839</v>
      </c>
      <c r="R231" s="1114">
        <f>(M231*P231)</f>
        <v>14256.539999999999</v>
      </c>
      <c r="AE231" s="1114"/>
    </row>
    <row r="232" spans="6:31" ht="24" customHeight="1">
      <c r="K232" s="1114">
        <f>SUM(K225:K230)</f>
        <v>40117.769999999997</v>
      </c>
      <c r="M232" s="1114">
        <v>4.5</v>
      </c>
      <c r="N232" s="1114" t="s">
        <v>2839</v>
      </c>
      <c r="O232" s="1103" t="s">
        <v>2963</v>
      </c>
      <c r="P232" s="1114">
        <f>K40</f>
        <v>4080.66</v>
      </c>
      <c r="Q232" s="1103" t="s">
        <v>2839</v>
      </c>
      <c r="R232" s="1114">
        <f>(M232*P232)</f>
        <v>18362.97</v>
      </c>
      <c r="AE232" s="1114"/>
    </row>
    <row r="233" spans="6:31" ht="24" customHeight="1">
      <c r="H233" s="1103" t="s">
        <v>3033</v>
      </c>
      <c r="K233" s="1111" t="s">
        <v>36</v>
      </c>
      <c r="M233" s="1114">
        <v>1.8</v>
      </c>
      <c r="N233" s="1114" t="s">
        <v>2838</v>
      </c>
      <c r="O233" s="1103" t="s">
        <v>3017</v>
      </c>
      <c r="P233" s="1114">
        <f>I227</f>
        <v>804</v>
      </c>
      <c r="Q233" s="1103" t="s">
        <v>2838</v>
      </c>
      <c r="R233" s="1114">
        <f>(M233*P233)</f>
        <v>1447.2</v>
      </c>
      <c r="AE233" s="1114"/>
    </row>
    <row r="234" spans="6:31" ht="24" customHeight="1">
      <c r="K234" s="1115">
        <f>(K232/10)</f>
        <v>4011.7769999999996</v>
      </c>
      <c r="M234" s="1114">
        <v>17.7</v>
      </c>
      <c r="N234" s="1114" t="s">
        <v>2838</v>
      </c>
      <c r="O234" s="1103" t="s">
        <v>3020</v>
      </c>
      <c r="P234" s="1114">
        <f>I228</f>
        <v>562</v>
      </c>
      <c r="Q234" s="1103" t="s">
        <v>2838</v>
      </c>
      <c r="R234" s="1114">
        <f>(M234*P234)</f>
        <v>9947.4</v>
      </c>
      <c r="AE234" s="1114"/>
    </row>
    <row r="235" spans="6:31" ht="24" customHeight="1">
      <c r="H235" s="1118" t="s">
        <v>2946</v>
      </c>
      <c r="K235" s="1111" t="s">
        <v>2793</v>
      </c>
      <c r="M235" s="1114">
        <v>14.1</v>
      </c>
      <c r="N235" s="1114" t="s">
        <v>2838</v>
      </c>
      <c r="O235" s="1103" t="s">
        <v>3026</v>
      </c>
      <c r="P235" s="1114">
        <f>I229</f>
        <v>461</v>
      </c>
      <c r="Q235" s="1103" t="s">
        <v>2838</v>
      </c>
      <c r="R235" s="1114">
        <f>(M235*P235)</f>
        <v>6500.0999999999995</v>
      </c>
      <c r="AE235" s="1114"/>
    </row>
    <row r="236" spans="6:31" ht="24" customHeight="1">
      <c r="N236" s="1114" t="s">
        <v>2851</v>
      </c>
      <c r="O236" s="1103" t="s">
        <v>2852</v>
      </c>
      <c r="Q236" s="1103" t="s">
        <v>2851</v>
      </c>
      <c r="R236" s="1114">
        <v>0</v>
      </c>
      <c r="AE236" s="1114"/>
    </row>
    <row r="237" spans="6:31" ht="24" customHeight="1">
      <c r="Q237" s="1107"/>
      <c r="R237" s="1111" t="s">
        <v>36</v>
      </c>
      <c r="AE237" s="1114"/>
    </row>
    <row r="238" spans="6:31" ht="24" customHeight="1">
      <c r="F238" s="1131">
        <v>3.6</v>
      </c>
      <c r="H238" s="1103" t="s">
        <v>3224</v>
      </c>
      <c r="Q238" s="1107"/>
      <c r="R238" s="1114">
        <f>SUM(R231:R236)</f>
        <v>50514.21</v>
      </c>
      <c r="AE238" s="1114"/>
    </row>
    <row r="239" spans="6:31" ht="24" customHeight="1">
      <c r="H239" s="1103" t="s">
        <v>3225</v>
      </c>
      <c r="O239" s="1103" t="s">
        <v>3033</v>
      </c>
      <c r="Q239" s="1107"/>
      <c r="R239" s="1111" t="s">
        <v>36</v>
      </c>
      <c r="AE239" s="1114"/>
    </row>
    <row r="240" spans="6:31" ht="24" customHeight="1">
      <c r="H240" s="1111" t="s">
        <v>2793</v>
      </c>
      <c r="Q240" s="1107"/>
      <c r="R240" s="1115">
        <f>(R238/10)</f>
        <v>5051.4210000000003</v>
      </c>
      <c r="AE240" s="1114"/>
    </row>
    <row r="241" spans="6:31" ht="24" customHeight="1">
      <c r="F241" s="1114">
        <v>1.25</v>
      </c>
      <c r="G241" s="1114" t="s">
        <v>204</v>
      </c>
      <c r="H241" s="1103" t="s">
        <v>3226</v>
      </c>
      <c r="I241" s="1114">
        <f>C812</f>
        <v>3.15</v>
      </c>
      <c r="J241" s="1103" t="s">
        <v>204</v>
      </c>
      <c r="K241" s="1114">
        <f>(F241*I241)</f>
        <v>3.9375</v>
      </c>
      <c r="O241" s="1118" t="s">
        <v>2946</v>
      </c>
      <c r="Q241" s="1107"/>
      <c r="R241" s="1111" t="s">
        <v>2793</v>
      </c>
      <c r="AE241" s="1114"/>
    </row>
    <row r="242" spans="6:31" ht="24" customHeight="1">
      <c r="F242" s="1114">
        <v>0.75</v>
      </c>
      <c r="G242" s="1114" t="s">
        <v>204</v>
      </c>
      <c r="H242" s="1103" t="s">
        <v>3227</v>
      </c>
      <c r="I242" s="1114">
        <f>AC37</f>
        <v>1435.31</v>
      </c>
      <c r="J242" s="1103" t="s">
        <v>204</v>
      </c>
      <c r="K242" s="1114">
        <f>(F242*I242)</f>
        <v>1076.4825000000001</v>
      </c>
      <c r="AE242" s="1114"/>
    </row>
    <row r="243" spans="6:31" ht="24" customHeight="1">
      <c r="F243" s="1114">
        <v>0.5</v>
      </c>
      <c r="G243" s="1114" t="s">
        <v>204</v>
      </c>
      <c r="H243" s="1103" t="s">
        <v>3228</v>
      </c>
      <c r="I243" s="1114">
        <f>AC36</f>
        <v>1596.56</v>
      </c>
      <c r="J243" s="1103" t="s">
        <v>204</v>
      </c>
      <c r="K243" s="1114">
        <f>(F243*I243)</f>
        <v>798.28</v>
      </c>
      <c r="AE243" s="1114"/>
    </row>
    <row r="244" spans="6:31" ht="24" customHeight="1">
      <c r="F244" s="1114">
        <v>0.45</v>
      </c>
      <c r="G244" s="1114" t="s">
        <v>204</v>
      </c>
      <c r="H244" s="1103" t="s">
        <v>3229</v>
      </c>
      <c r="I244" s="1114">
        <f>AC38</f>
        <v>513</v>
      </c>
      <c r="J244" s="1103" t="s">
        <v>204</v>
      </c>
      <c r="K244" s="1114">
        <f>(F244*I244)</f>
        <v>230.85</v>
      </c>
      <c r="AE244" s="1114"/>
    </row>
    <row r="245" spans="6:31" ht="24" customHeight="1">
      <c r="F245" s="1114">
        <v>10</v>
      </c>
      <c r="G245" s="1114" t="s">
        <v>833</v>
      </c>
      <c r="H245" s="1103" t="s">
        <v>3230</v>
      </c>
      <c r="I245" s="1114">
        <v>17.82</v>
      </c>
      <c r="J245" s="1103" t="s">
        <v>833</v>
      </c>
      <c r="K245" s="1114">
        <f>(F245*I245)</f>
        <v>178.2</v>
      </c>
      <c r="AE245" s="1114"/>
    </row>
    <row r="246" spans="6:31" ht="24" customHeight="1">
      <c r="H246" s="1103" t="s">
        <v>3231</v>
      </c>
      <c r="K246" s="1111" t="s">
        <v>36</v>
      </c>
      <c r="AE246" s="1114"/>
    </row>
    <row r="247" spans="6:31" ht="24" customHeight="1">
      <c r="H247" s="1103" t="s">
        <v>3232</v>
      </c>
      <c r="K247" s="1114">
        <f>SUM(K241:K245)</f>
        <v>2287.75</v>
      </c>
      <c r="AE247" s="1114"/>
    </row>
    <row r="248" spans="6:31" ht="24" customHeight="1">
      <c r="K248" s="1111" t="s">
        <v>36</v>
      </c>
      <c r="AE248" s="1114"/>
    </row>
    <row r="249" spans="6:31" ht="24" customHeight="1">
      <c r="H249" s="1118" t="s">
        <v>3233</v>
      </c>
      <c r="K249" s="1115">
        <f>K247/10</f>
        <v>228.77500000000001</v>
      </c>
      <c r="AE249" s="1114"/>
    </row>
    <row r="250" spans="6:31" ht="24" customHeight="1">
      <c r="K250" s="1111" t="s">
        <v>2793</v>
      </c>
      <c r="AE250" s="1114"/>
    </row>
    <row r="251" spans="6:31" ht="24" customHeight="1">
      <c r="AE251" s="1114"/>
    </row>
    <row r="252" spans="6:31" ht="24" customHeight="1">
      <c r="F252" s="1131">
        <v>3.7</v>
      </c>
      <c r="H252" s="1103" t="s">
        <v>3234</v>
      </c>
      <c r="AE252" s="1114"/>
    </row>
    <row r="253" spans="6:31" ht="24" customHeight="1">
      <c r="H253" s="1111" t="s">
        <v>36</v>
      </c>
      <c r="AE253" s="1114"/>
    </row>
    <row r="254" spans="6:31" ht="24" customHeight="1">
      <c r="F254" s="1114">
        <v>2.7</v>
      </c>
      <c r="G254" s="1114" t="s">
        <v>204</v>
      </c>
      <c r="H254" s="1103" t="s">
        <v>3235</v>
      </c>
      <c r="I254" s="1114">
        <f>AC35</f>
        <v>1479.06</v>
      </c>
      <c r="J254" s="1103" t="s">
        <v>204</v>
      </c>
      <c r="K254" s="1114">
        <f>(F254*I254)</f>
        <v>3993.462</v>
      </c>
      <c r="AE254" s="1114"/>
    </row>
    <row r="255" spans="6:31" ht="24" customHeight="1">
      <c r="F255" s="1144">
        <v>0.14499999999999999</v>
      </c>
      <c r="G255" s="1114" t="s">
        <v>204</v>
      </c>
      <c r="H255" s="1103" t="s">
        <v>509</v>
      </c>
      <c r="I255" s="1114">
        <f>AC17</f>
        <v>1835.06</v>
      </c>
      <c r="J255" s="1103" t="s">
        <v>204</v>
      </c>
      <c r="K255" s="1114">
        <f>(F255*I255)</f>
        <v>266.08369999999996</v>
      </c>
      <c r="AE255" s="1114"/>
    </row>
    <row r="256" spans="6:31" ht="24" customHeight="1">
      <c r="F256" s="1114">
        <v>218.8</v>
      </c>
      <c r="G256" s="1114" t="s">
        <v>3236</v>
      </c>
      <c r="H256" s="1103" t="s">
        <v>3237</v>
      </c>
      <c r="I256" s="1114">
        <f>C142</f>
        <v>43563.69</v>
      </c>
      <c r="J256" s="1103" t="s">
        <v>3236</v>
      </c>
      <c r="K256" s="1114">
        <f>(F256*I256)/1000</f>
        <v>9531.735372000001</v>
      </c>
      <c r="AE256" s="1114"/>
    </row>
    <row r="257" spans="1:33" ht="24" customHeight="1">
      <c r="F257" s="1114">
        <v>100</v>
      </c>
      <c r="G257" s="1114" t="s">
        <v>833</v>
      </c>
      <c r="H257" s="1103" t="s">
        <v>3238</v>
      </c>
      <c r="I257" s="1114">
        <v>14.3</v>
      </c>
      <c r="J257" s="1103" t="s">
        <v>833</v>
      </c>
      <c r="K257" s="1114">
        <f>(F257*I257)</f>
        <v>1430</v>
      </c>
      <c r="AE257" s="1114"/>
    </row>
    <row r="258" spans="1:33" ht="24" customHeight="1">
      <c r="K258" s="1111" t="s">
        <v>36</v>
      </c>
      <c r="AE258" s="1114"/>
    </row>
    <row r="259" spans="1:33" ht="24" customHeight="1">
      <c r="H259" s="1103" t="s">
        <v>3239</v>
      </c>
      <c r="K259" s="1114">
        <f>SUM(K254:K257)</f>
        <v>15221.281072000002</v>
      </c>
      <c r="AE259" s="1114"/>
    </row>
    <row r="260" spans="1:33" ht="24" customHeight="1">
      <c r="K260" s="1111" t="s">
        <v>36</v>
      </c>
      <c r="AE260" s="1114"/>
    </row>
    <row r="261" spans="1:33" ht="24" customHeight="1">
      <c r="H261" s="1118" t="s">
        <v>3233</v>
      </c>
      <c r="K261" s="1115">
        <f>K259/100</f>
        <v>152.21281072000002</v>
      </c>
      <c r="AE261" s="1114"/>
    </row>
    <row r="262" spans="1:33" ht="24" customHeight="1">
      <c r="F262" s="1103" t="s">
        <v>220</v>
      </c>
      <c r="G262" s="1114" t="s">
        <v>220</v>
      </c>
      <c r="K262" s="1111" t="s">
        <v>2793</v>
      </c>
      <c r="AE262" s="1114"/>
    </row>
    <row r="263" spans="1:33" ht="24" customHeight="1">
      <c r="AE263" s="1114"/>
    </row>
    <row r="264" spans="1:33" ht="24" customHeight="1">
      <c r="AE264" s="1114"/>
    </row>
    <row r="265" spans="1:33" ht="24" customHeight="1">
      <c r="A265" s="1122">
        <f>(A206+1)</f>
        <v>105</v>
      </c>
      <c r="B265" s="1103" t="s">
        <v>3240</v>
      </c>
      <c r="C265" s="1114">
        <v>139.30000000000001</v>
      </c>
      <c r="D265" s="1103" t="s">
        <v>2941</v>
      </c>
      <c r="F265" s="1104" t="s">
        <v>3241</v>
      </c>
      <c r="H265" s="1103" t="s">
        <v>3242</v>
      </c>
      <c r="N265" s="1103" t="s">
        <v>3138</v>
      </c>
      <c r="O265" s="1103" t="s">
        <v>3243</v>
      </c>
      <c r="AE265" s="1114"/>
      <c r="AG265" s="1103"/>
    </row>
    <row r="266" spans="1:33" ht="24" customHeight="1">
      <c r="A266" s="1122">
        <f t="shared" ref="A266:A280" si="27">(A265+1)</f>
        <v>106</v>
      </c>
      <c r="B266" s="1103" t="s">
        <v>3244</v>
      </c>
      <c r="C266" s="1114">
        <v>168.7</v>
      </c>
      <c r="D266" s="1103" t="s">
        <v>2941</v>
      </c>
      <c r="H266" s="1111" t="s">
        <v>2793</v>
      </c>
      <c r="O266" s="1111" t="s">
        <v>36</v>
      </c>
      <c r="AE266" s="1114"/>
      <c r="AG266" s="1103"/>
    </row>
    <row r="267" spans="1:33" ht="24" customHeight="1">
      <c r="A267" s="1122">
        <f t="shared" si="27"/>
        <v>107</v>
      </c>
      <c r="B267" s="1103" t="s">
        <v>3245</v>
      </c>
      <c r="C267" s="1114">
        <v>63</v>
      </c>
      <c r="D267" s="1114">
        <v>148.6</v>
      </c>
      <c r="G267" s="1114" t="s">
        <v>1363</v>
      </c>
      <c r="H267" s="1103" t="s">
        <v>3246</v>
      </c>
      <c r="M267" s="1114">
        <v>1.1399999999999999</v>
      </c>
      <c r="N267" s="1103" t="s">
        <v>2839</v>
      </c>
      <c r="O267" s="1103" t="s">
        <v>3173</v>
      </c>
      <c r="P267" s="1114">
        <f>(K420)</f>
        <v>5989.0889399999996</v>
      </c>
      <c r="Q267" s="1103" t="s">
        <v>2838</v>
      </c>
      <c r="R267" s="1114">
        <f>(M267*P267)</f>
        <v>6827.5613915999993</v>
      </c>
      <c r="AE267" s="1114"/>
      <c r="AG267" s="1103"/>
    </row>
    <row r="268" spans="1:33" ht="39" customHeight="1">
      <c r="A268" s="1122">
        <f t="shared" si="27"/>
        <v>108</v>
      </c>
      <c r="B268" s="1129" t="s">
        <v>3247</v>
      </c>
      <c r="C268" s="1114">
        <v>17600</v>
      </c>
      <c r="D268" s="1103" t="s">
        <v>2839</v>
      </c>
      <c r="H268" s="1103" t="s">
        <v>3248</v>
      </c>
      <c r="M268" s="1114">
        <v>1</v>
      </c>
      <c r="N268" s="1103" t="s">
        <v>2941</v>
      </c>
      <c r="O268" s="1103" t="s">
        <v>3051</v>
      </c>
      <c r="P268" s="1114">
        <f>(C10)</f>
        <v>861</v>
      </c>
      <c r="Q268" s="1103" t="s">
        <v>2838</v>
      </c>
      <c r="R268" s="1114">
        <f>(M268*P268)</f>
        <v>861</v>
      </c>
      <c r="AE268" s="1114"/>
      <c r="AG268" s="1103"/>
    </row>
    <row r="269" spans="1:33" ht="24" customHeight="1">
      <c r="A269" s="1122">
        <f t="shared" si="27"/>
        <v>109</v>
      </c>
      <c r="B269" s="1103" t="s">
        <v>3249</v>
      </c>
      <c r="C269" s="1114">
        <v>15500</v>
      </c>
      <c r="D269" s="1103" t="s">
        <v>2839</v>
      </c>
      <c r="H269" s="1111" t="s">
        <v>36</v>
      </c>
      <c r="N269" s="1103" t="s">
        <v>2851</v>
      </c>
      <c r="O269" s="1103" t="s">
        <v>2852</v>
      </c>
      <c r="P269" s="1103" t="s">
        <v>220</v>
      </c>
      <c r="Q269" s="1103" t="s">
        <v>2851</v>
      </c>
      <c r="R269" s="1114">
        <v>0.05</v>
      </c>
      <c r="AE269" s="1114"/>
      <c r="AG269" s="1103"/>
    </row>
    <row r="270" spans="1:33" ht="24" customHeight="1">
      <c r="A270" s="1122">
        <f t="shared" si="27"/>
        <v>110</v>
      </c>
      <c r="B270" s="1103" t="s">
        <v>3250</v>
      </c>
      <c r="C270" s="1114">
        <v>25.2</v>
      </c>
      <c r="D270" s="1103" t="s">
        <v>2941</v>
      </c>
      <c r="F270" s="1114">
        <v>9</v>
      </c>
      <c r="G270" s="1114" t="s">
        <v>2839</v>
      </c>
      <c r="H270" s="1103" t="s">
        <v>3251</v>
      </c>
      <c r="I270" s="1114">
        <f>(C73)</f>
        <v>1987.06</v>
      </c>
      <c r="J270" s="1103" t="s">
        <v>2839</v>
      </c>
      <c r="K270" s="1114">
        <f t="shared" ref="K270:K275" si="28">(F270*I270)</f>
        <v>17883.54</v>
      </c>
      <c r="R270" s="1111" t="s">
        <v>36</v>
      </c>
      <c r="AE270" s="1114"/>
      <c r="AG270" s="1103"/>
    </row>
    <row r="271" spans="1:33" ht="24" customHeight="1">
      <c r="A271" s="1122">
        <f t="shared" si="27"/>
        <v>111</v>
      </c>
      <c r="B271" s="1103" t="s">
        <v>3252</v>
      </c>
      <c r="C271" s="1114">
        <v>49.4</v>
      </c>
      <c r="D271" s="1103" t="s">
        <v>165</v>
      </c>
      <c r="E271" s="1105">
        <v>155</v>
      </c>
      <c r="F271" s="1128">
        <v>3.2309999999999999</v>
      </c>
      <c r="G271" s="1114" t="s">
        <v>197</v>
      </c>
      <c r="H271" s="1103" t="s">
        <v>2830</v>
      </c>
      <c r="I271" s="1114">
        <f>(C67)</f>
        <v>5960</v>
      </c>
      <c r="J271" s="1103" t="s">
        <v>197</v>
      </c>
      <c r="K271" s="1114">
        <f t="shared" si="28"/>
        <v>19256.759999999998</v>
      </c>
      <c r="O271" s="1103" t="s">
        <v>3152</v>
      </c>
      <c r="R271" s="1114">
        <f>SUM(R267:R269)</f>
        <v>7688.6113915999995</v>
      </c>
      <c r="AE271" s="1114"/>
      <c r="AG271" s="1103"/>
    </row>
    <row r="272" spans="1:33" ht="24" customHeight="1">
      <c r="A272" s="1122">
        <f t="shared" si="27"/>
        <v>112</v>
      </c>
      <c r="B272" s="1103" t="s">
        <v>3253</v>
      </c>
      <c r="C272" s="1114">
        <v>303.89999999999998</v>
      </c>
      <c r="D272" s="1114">
        <v>452.09</v>
      </c>
      <c r="E272" s="1105">
        <v>250</v>
      </c>
      <c r="F272" s="1114">
        <v>4.5</v>
      </c>
      <c r="G272" s="1114" t="s">
        <v>2839</v>
      </c>
      <c r="H272" s="1103" t="s">
        <v>2840</v>
      </c>
      <c r="I272" s="1114">
        <f>(C78)</f>
        <v>1835.06</v>
      </c>
      <c r="J272" s="1103" t="s">
        <v>2839</v>
      </c>
      <c r="K272" s="1114">
        <f t="shared" si="28"/>
        <v>8257.77</v>
      </c>
      <c r="R272" s="1111" t="s">
        <v>36</v>
      </c>
      <c r="AE272" s="1114"/>
      <c r="AG272" s="1103"/>
    </row>
    <row r="273" spans="1:33" ht="24" customHeight="1">
      <c r="A273" s="1122">
        <f t="shared" si="27"/>
        <v>113</v>
      </c>
      <c r="B273" s="1103" t="s">
        <v>3254</v>
      </c>
      <c r="C273" s="1114">
        <v>142.69999999999999</v>
      </c>
      <c r="D273" s="1103" t="s">
        <v>1790</v>
      </c>
      <c r="F273" s="1114">
        <v>3.5</v>
      </c>
      <c r="G273" s="1114" t="s">
        <v>2838</v>
      </c>
      <c r="H273" s="1103" t="s">
        <v>3017</v>
      </c>
      <c r="I273" s="1114">
        <f>(C11)</f>
        <v>804</v>
      </c>
      <c r="J273" s="1103" t="s">
        <v>2838</v>
      </c>
      <c r="K273" s="1114">
        <f t="shared" si="28"/>
        <v>2814</v>
      </c>
      <c r="O273" s="1103" t="s">
        <v>3154</v>
      </c>
      <c r="R273" s="1114">
        <f>(R271/10)</f>
        <v>768.86113915999999</v>
      </c>
      <c r="AE273" s="1114"/>
      <c r="AG273" s="1103"/>
    </row>
    <row r="274" spans="1:33" ht="24" customHeight="1">
      <c r="A274" s="1122">
        <f t="shared" si="27"/>
        <v>114</v>
      </c>
      <c r="B274" s="1103" t="s">
        <v>3255</v>
      </c>
      <c r="C274" s="1114">
        <v>51.8</v>
      </c>
      <c r="D274" s="1103" t="s">
        <v>2941</v>
      </c>
      <c r="F274" s="1114">
        <v>21.2</v>
      </c>
      <c r="G274" s="1114" t="s">
        <v>2838</v>
      </c>
      <c r="H274" s="1103" t="s">
        <v>3020</v>
      </c>
      <c r="I274" s="1114">
        <f>(C12)</f>
        <v>562</v>
      </c>
      <c r="J274" s="1103" t="s">
        <v>2838</v>
      </c>
      <c r="K274" s="1114">
        <f t="shared" si="28"/>
        <v>11914.4</v>
      </c>
      <c r="R274" s="1111" t="s">
        <v>2793</v>
      </c>
      <c r="Y274" s="1108">
        <v>1.51</v>
      </c>
      <c r="Z274" s="1108">
        <v>1.08</v>
      </c>
      <c r="AB274" s="1105">
        <v>55.07</v>
      </c>
      <c r="AC274" s="1105">
        <f>Y274*AB274</f>
        <v>83.155699999999996</v>
      </c>
      <c r="AD274" s="1105">
        <f>Z274*AB274</f>
        <v>59.475600000000007</v>
      </c>
      <c r="AE274" s="1114"/>
      <c r="AG274" s="1103"/>
    </row>
    <row r="275" spans="1:33" ht="24" customHeight="1">
      <c r="A275" s="1122">
        <f t="shared" si="27"/>
        <v>115</v>
      </c>
      <c r="B275" s="1103" t="s">
        <v>3256</v>
      </c>
      <c r="C275" s="1114">
        <v>45.25</v>
      </c>
      <c r="D275" s="1103" t="s">
        <v>2941</v>
      </c>
      <c r="F275" s="1114">
        <v>35.299999999999997</v>
      </c>
      <c r="G275" s="1114" t="s">
        <v>2838</v>
      </c>
      <c r="H275" s="1103" t="s">
        <v>3026</v>
      </c>
      <c r="I275" s="1114">
        <f>(C13)</f>
        <v>461</v>
      </c>
      <c r="J275" s="1103" t="s">
        <v>2838</v>
      </c>
      <c r="K275" s="1114">
        <f t="shared" si="28"/>
        <v>16273.3</v>
      </c>
      <c r="N275" s="1103" t="s">
        <v>3257</v>
      </c>
      <c r="O275" s="1103" t="s">
        <v>3062</v>
      </c>
      <c r="R275" s="1114">
        <f>(R273+C19/10*M267)</f>
        <v>776.61313915999995</v>
      </c>
      <c r="Y275" s="1108">
        <v>0.216</v>
      </c>
      <c r="Z275" s="1108">
        <v>0.216</v>
      </c>
      <c r="AB275" s="1105">
        <v>993.48</v>
      </c>
      <c r="AC275" s="1105">
        <f>Y275*AB275</f>
        <v>214.59168</v>
      </c>
      <c r="AD275" s="1105">
        <f>Z275*AB275</f>
        <v>214.59168</v>
      </c>
      <c r="AE275" s="1114"/>
      <c r="AG275" s="1103"/>
    </row>
    <row r="276" spans="1:33" ht="24" customHeight="1">
      <c r="A276" s="1122">
        <f t="shared" si="27"/>
        <v>116</v>
      </c>
      <c r="B276" s="1103" t="s">
        <v>3258</v>
      </c>
      <c r="C276" s="1114">
        <v>16.440000000000001</v>
      </c>
      <c r="D276" s="1103" t="s">
        <v>2941</v>
      </c>
      <c r="G276" s="1114" t="s">
        <v>2851</v>
      </c>
      <c r="H276" s="1103" t="s">
        <v>2852</v>
      </c>
      <c r="I276" s="1103" t="s">
        <v>220</v>
      </c>
      <c r="J276" s="1103" t="s">
        <v>2851</v>
      </c>
      <c r="K276" s="1114">
        <v>0</v>
      </c>
      <c r="N276" s="1103" t="s">
        <v>3259</v>
      </c>
      <c r="O276" s="1103" t="s">
        <v>3066</v>
      </c>
      <c r="R276" s="1114">
        <f>(R275+C20/10*M267)</f>
        <v>792.25393915999996</v>
      </c>
      <c r="Y276" s="1108">
        <v>0.71599999999999997</v>
      </c>
      <c r="Z276" s="1108">
        <v>0.48699999999999999</v>
      </c>
      <c r="AB276" s="1105">
        <v>1762.91</v>
      </c>
      <c r="AC276" s="1105">
        <f>Y276*AB276</f>
        <v>1262.2435600000001</v>
      </c>
      <c r="AD276" s="1105">
        <f>Z276*AB276</f>
        <v>858.53717000000006</v>
      </c>
      <c r="AE276" s="1114"/>
      <c r="AG276" s="1103"/>
    </row>
    <row r="277" spans="1:33" ht="24" customHeight="1">
      <c r="A277" s="1122">
        <f t="shared" si="27"/>
        <v>117</v>
      </c>
      <c r="B277" s="1103" t="s">
        <v>3260</v>
      </c>
      <c r="C277" s="1114">
        <v>31.8</v>
      </c>
      <c r="D277" s="1114">
        <v>6.25</v>
      </c>
      <c r="K277" s="1111" t="s">
        <v>36</v>
      </c>
      <c r="N277" s="1103" t="s">
        <v>3261</v>
      </c>
      <c r="O277" s="1103" t="s">
        <v>3069</v>
      </c>
      <c r="R277" s="1114">
        <f>(R276+C21/10*M267)</f>
        <v>807.89473915999997</v>
      </c>
      <c r="Y277" s="1108">
        <v>7.35</v>
      </c>
      <c r="Z277" s="1108">
        <v>5.36</v>
      </c>
      <c r="AB277" s="1105">
        <v>69.709999999999994</v>
      </c>
      <c r="AC277" s="1105">
        <f>Y277*AB277</f>
        <v>512.36849999999993</v>
      </c>
      <c r="AD277" s="1105">
        <f>Z277*AB277</f>
        <v>373.6456</v>
      </c>
      <c r="AE277" s="1114"/>
      <c r="AG277" s="1103"/>
    </row>
    <row r="278" spans="1:33" ht="24" customHeight="1">
      <c r="A278" s="1122">
        <f t="shared" si="27"/>
        <v>118</v>
      </c>
      <c r="B278" s="1103" t="s">
        <v>3262</v>
      </c>
      <c r="C278" s="1114">
        <v>361</v>
      </c>
      <c r="D278" s="1103" t="s">
        <v>3189</v>
      </c>
      <c r="H278" s="1103" t="s">
        <v>3263</v>
      </c>
      <c r="K278" s="1114">
        <f>SUM(K270:K276)</f>
        <v>76399.77</v>
      </c>
      <c r="N278" s="1103" t="s">
        <v>3264</v>
      </c>
      <c r="O278" s="1103" t="s">
        <v>3071</v>
      </c>
      <c r="R278" s="1114">
        <f>(R277+C21/10*M267)</f>
        <v>823.53553915999998</v>
      </c>
      <c r="Y278" s="1108">
        <v>3.2000000000000001E-2</v>
      </c>
      <c r="Z278" s="1108">
        <v>3.2000000000000001E-2</v>
      </c>
      <c r="AB278" s="1105">
        <v>2824.15</v>
      </c>
      <c r="AC278" s="1105">
        <f>Y278*AB278</f>
        <v>90.372799999999998</v>
      </c>
      <c r="AD278" s="1105">
        <f>Z278*AB278</f>
        <v>90.372799999999998</v>
      </c>
      <c r="AE278" s="1114"/>
      <c r="AG278" s="1103"/>
    </row>
    <row r="279" spans="1:33" ht="24" customHeight="1">
      <c r="A279" s="1122">
        <f t="shared" si="27"/>
        <v>119</v>
      </c>
      <c r="B279" s="1103" t="s">
        <v>3265</v>
      </c>
      <c r="C279" s="1114">
        <v>83</v>
      </c>
      <c r="D279" s="1103" t="s">
        <v>2941</v>
      </c>
      <c r="K279" s="1111" t="s">
        <v>36</v>
      </c>
      <c r="Z279" s="1108"/>
      <c r="AD279" s="1105">
        <v>13.38</v>
      </c>
      <c r="AE279" s="1114"/>
      <c r="AG279" s="1103"/>
    </row>
    <row r="280" spans="1:33" ht="24" customHeight="1">
      <c r="A280" s="1122">
        <f t="shared" si="27"/>
        <v>120</v>
      </c>
      <c r="B280" s="1103" t="s">
        <v>3266</v>
      </c>
      <c r="C280" s="1114">
        <v>66.599999999999994</v>
      </c>
      <c r="D280" s="1103" t="s">
        <v>2941</v>
      </c>
      <c r="H280" s="1118" t="s">
        <v>2946</v>
      </c>
      <c r="K280" s="1115">
        <f>(K278/10)</f>
        <v>7639.9770000000008</v>
      </c>
      <c r="R280" s="1103" t="s">
        <v>220</v>
      </c>
      <c r="AC280" s="1105">
        <f>SUM(AC274:AC279)</f>
        <v>2162.7322400000003</v>
      </c>
      <c r="AD280" s="1105">
        <f>SUM(AD274:AD279)</f>
        <v>1610.0028500000003</v>
      </c>
      <c r="AE280" s="1114"/>
      <c r="AG280" s="1103"/>
    </row>
    <row r="281" spans="1:33" ht="24" customHeight="1">
      <c r="F281" s="1103" t="s">
        <v>220</v>
      </c>
      <c r="N281" s="1103" t="s">
        <v>3138</v>
      </c>
      <c r="O281" s="1103" t="s">
        <v>3267</v>
      </c>
      <c r="AE281" s="1114"/>
    </row>
    <row r="282" spans="1:33" ht="24" customHeight="1">
      <c r="A282" s="1122">
        <f>(A280+1)</f>
        <v>121</v>
      </c>
      <c r="B282" s="1103" t="s">
        <v>3268</v>
      </c>
      <c r="C282" s="1114">
        <v>45.7</v>
      </c>
      <c r="D282" s="1103" t="s">
        <v>2941</v>
      </c>
      <c r="O282" s="1103" t="s">
        <v>3269</v>
      </c>
      <c r="AE282" s="1114"/>
      <c r="AG282" s="1103"/>
    </row>
    <row r="283" spans="1:33" ht="24" customHeight="1">
      <c r="A283" s="1122">
        <f t="shared" ref="A283:A346" si="29">(A282+1)</f>
        <v>122</v>
      </c>
      <c r="B283" s="1103" t="s">
        <v>3270</v>
      </c>
      <c r="C283" s="1114">
        <v>36.9</v>
      </c>
      <c r="D283" s="1103" t="s">
        <v>2941</v>
      </c>
      <c r="F283" s="1114">
        <v>1</v>
      </c>
      <c r="G283" s="1114" t="s">
        <v>2839</v>
      </c>
      <c r="H283" s="1103" t="s">
        <v>3271</v>
      </c>
      <c r="K283" s="1114">
        <f>(C25)</f>
        <v>81.3</v>
      </c>
      <c r="O283" s="1111" t="s">
        <v>36</v>
      </c>
      <c r="AE283" s="1114"/>
      <c r="AG283" s="1103"/>
    </row>
    <row r="284" spans="1:33" ht="24" customHeight="1">
      <c r="A284" s="1122">
        <f t="shared" si="29"/>
        <v>123</v>
      </c>
      <c r="B284" s="1103" t="s">
        <v>3272</v>
      </c>
      <c r="C284" s="1114">
        <v>60</v>
      </c>
      <c r="D284" s="1103" t="s">
        <v>2941</v>
      </c>
      <c r="K284" s="1111" t="s">
        <v>36</v>
      </c>
      <c r="M284" s="1114">
        <v>10</v>
      </c>
      <c r="N284" s="1103" t="s">
        <v>3189</v>
      </c>
      <c r="O284" s="1103" t="s">
        <v>3273</v>
      </c>
      <c r="P284" s="1114">
        <f>(K1241)</f>
        <v>1106.0350599999999</v>
      </c>
      <c r="Q284" s="1103" t="s">
        <v>3189</v>
      </c>
      <c r="R284" s="1114">
        <f>(M284*P284)</f>
        <v>11060.3506</v>
      </c>
      <c r="AE284" s="1114"/>
      <c r="AG284" s="1103"/>
    </row>
    <row r="285" spans="1:33" ht="24" customHeight="1">
      <c r="A285" s="1122">
        <f t="shared" si="29"/>
        <v>124</v>
      </c>
      <c r="B285" s="1103" t="s">
        <v>3274</v>
      </c>
      <c r="C285" s="1114">
        <v>36.799999999999997</v>
      </c>
      <c r="D285" s="1103" t="s">
        <v>2941</v>
      </c>
      <c r="E285" s="1105">
        <v>50.3</v>
      </c>
      <c r="H285" s="1103" t="s">
        <v>3275</v>
      </c>
      <c r="K285" s="1115">
        <f>SUM(K280:K283)</f>
        <v>7721.277000000001</v>
      </c>
      <c r="M285" s="1114">
        <v>1.1000000000000001</v>
      </c>
      <c r="N285" s="1103" t="s">
        <v>2838</v>
      </c>
      <c r="O285" s="1103" t="s">
        <v>3017</v>
      </c>
      <c r="P285" s="1114">
        <f>(C11)</f>
        <v>804</v>
      </c>
      <c r="Q285" s="1103" t="s">
        <v>2838</v>
      </c>
      <c r="R285" s="1114">
        <f>(M285*P285)</f>
        <v>884.40000000000009</v>
      </c>
      <c r="AE285" s="1114"/>
      <c r="AG285" s="1103"/>
    </row>
    <row r="286" spans="1:33" ht="24" customHeight="1">
      <c r="A286" s="1122">
        <f t="shared" si="29"/>
        <v>125</v>
      </c>
      <c r="B286" s="1103" t="s">
        <v>3276</v>
      </c>
      <c r="C286" s="1114">
        <v>167.6</v>
      </c>
      <c r="D286" s="1103" t="s">
        <v>2941</v>
      </c>
      <c r="K286" s="1111" t="s">
        <v>36</v>
      </c>
      <c r="M286" s="1114">
        <v>1.1000000000000001</v>
      </c>
      <c r="N286" s="1103" t="s">
        <v>2838</v>
      </c>
      <c r="O286" s="1103" t="s">
        <v>3020</v>
      </c>
      <c r="P286" s="1114">
        <f>(C12)</f>
        <v>562</v>
      </c>
      <c r="Q286" s="1103" t="s">
        <v>2838</v>
      </c>
      <c r="R286" s="1114">
        <f>(M286*P286)</f>
        <v>618.20000000000005</v>
      </c>
      <c r="AE286" s="1114"/>
      <c r="AG286" s="1103"/>
    </row>
    <row r="287" spans="1:33" ht="24" customHeight="1">
      <c r="A287" s="1122">
        <f t="shared" si="29"/>
        <v>126</v>
      </c>
      <c r="B287" s="1103" t="s">
        <v>3277</v>
      </c>
      <c r="C287" s="1114">
        <v>94.1</v>
      </c>
      <c r="D287" s="1103" t="s">
        <v>2941</v>
      </c>
      <c r="H287" s="1103" t="s">
        <v>3062</v>
      </c>
      <c r="K287" s="1115">
        <f>(K285+C22)</f>
        <v>7824.5770000000011</v>
      </c>
      <c r="L287" s="1105">
        <v>54</v>
      </c>
      <c r="M287" s="1114">
        <v>1.1000000000000001</v>
      </c>
      <c r="N287" s="1103" t="s">
        <v>2838</v>
      </c>
      <c r="O287" s="1103" t="s">
        <v>2568</v>
      </c>
      <c r="P287" s="1114">
        <f>(C13)</f>
        <v>461</v>
      </c>
      <c r="Q287" s="1103" t="s">
        <v>2838</v>
      </c>
      <c r="R287" s="1114">
        <f>(M287*P287)</f>
        <v>507.1</v>
      </c>
      <c r="AE287" s="1114"/>
      <c r="AG287" s="1103"/>
    </row>
    <row r="288" spans="1:33" ht="24" customHeight="1">
      <c r="A288" s="1122">
        <f t="shared" si="29"/>
        <v>127</v>
      </c>
      <c r="B288" s="1103" t="s">
        <v>3278</v>
      </c>
      <c r="C288" s="1114">
        <v>7.3</v>
      </c>
      <c r="D288" s="1103" t="s">
        <v>2941</v>
      </c>
      <c r="H288" s="1103" t="s">
        <v>3066</v>
      </c>
      <c r="K288" s="1115">
        <f>(K287+C23)</f>
        <v>8028.0770000000011</v>
      </c>
      <c r="L288" s="1105">
        <v>107</v>
      </c>
      <c r="R288" s="1111" t="s">
        <v>36</v>
      </c>
      <c r="AE288" s="1114"/>
      <c r="AG288" s="1103"/>
    </row>
    <row r="289" spans="1:33" ht="24" customHeight="1">
      <c r="A289" s="1122">
        <f t="shared" si="29"/>
        <v>128</v>
      </c>
      <c r="B289" s="1103" t="s">
        <v>3279</v>
      </c>
      <c r="C289" s="1114">
        <v>7.3</v>
      </c>
      <c r="D289" s="1103" t="s">
        <v>2941</v>
      </c>
      <c r="H289" s="1103" t="s">
        <v>3069</v>
      </c>
      <c r="K289" s="1115">
        <f>(K288+C24)</f>
        <v>8231.5770000000011</v>
      </c>
      <c r="O289" s="1103" t="s">
        <v>3152</v>
      </c>
      <c r="R289" s="1114">
        <f>SUM(R284:R287)</f>
        <v>13070.0506</v>
      </c>
      <c r="AE289" s="1114"/>
      <c r="AG289" s="1103"/>
    </row>
    <row r="290" spans="1:33" ht="24" customHeight="1">
      <c r="A290" s="1122">
        <f t="shared" si="29"/>
        <v>129</v>
      </c>
      <c r="B290" s="1103" t="s">
        <v>3280</v>
      </c>
      <c r="C290" s="1114">
        <v>2.9</v>
      </c>
      <c r="D290" s="1103" t="s">
        <v>3281</v>
      </c>
      <c r="H290" s="1103" t="s">
        <v>3071</v>
      </c>
      <c r="K290" s="1115">
        <f>(K289+C24)</f>
        <v>8435.0770000000011</v>
      </c>
      <c r="R290" s="1111" t="s">
        <v>36</v>
      </c>
      <c r="AE290" s="1114"/>
      <c r="AG290" s="1103"/>
    </row>
    <row r="291" spans="1:33" ht="24" customHeight="1">
      <c r="A291" s="1122">
        <f t="shared" si="29"/>
        <v>130</v>
      </c>
      <c r="B291" s="1103" t="s">
        <v>3282</v>
      </c>
      <c r="C291" s="1114">
        <v>11.8</v>
      </c>
      <c r="D291" s="1103" t="s">
        <v>3281</v>
      </c>
      <c r="H291" s="1103" t="s">
        <v>3075</v>
      </c>
      <c r="K291" s="1115">
        <f>(K290+C24)</f>
        <v>8638.5770000000011</v>
      </c>
      <c r="O291" s="1103" t="s">
        <v>3154</v>
      </c>
      <c r="R291" s="1114">
        <f>(R289/10)</f>
        <v>1307.00506</v>
      </c>
      <c r="AE291" s="1114"/>
      <c r="AG291" s="1103"/>
    </row>
    <row r="292" spans="1:33" ht="24" customHeight="1">
      <c r="A292" s="1122">
        <f t="shared" si="29"/>
        <v>131</v>
      </c>
      <c r="B292" s="1103" t="s">
        <v>3283</v>
      </c>
      <c r="C292" s="1114">
        <v>8.9</v>
      </c>
      <c r="D292" s="1103" t="s">
        <v>2941</v>
      </c>
      <c r="R292" s="1111" t="s">
        <v>2793</v>
      </c>
      <c r="AE292" s="1114"/>
      <c r="AG292" s="1103"/>
    </row>
    <row r="293" spans="1:33" ht="24" customHeight="1">
      <c r="A293" s="1122">
        <f t="shared" si="29"/>
        <v>132</v>
      </c>
      <c r="B293" s="1103" t="s">
        <v>3284</v>
      </c>
      <c r="C293" s="1114">
        <v>6.1</v>
      </c>
      <c r="D293" s="1103" t="s">
        <v>2941</v>
      </c>
      <c r="F293" s="1104" t="s">
        <v>2857</v>
      </c>
      <c r="G293" s="1114" t="s">
        <v>1363</v>
      </c>
      <c r="H293" s="1103" t="s">
        <v>3285</v>
      </c>
      <c r="AE293" s="1114"/>
      <c r="AG293" s="1103"/>
    </row>
    <row r="294" spans="1:33" ht="24" customHeight="1">
      <c r="A294" s="1122">
        <f t="shared" si="29"/>
        <v>133</v>
      </c>
      <c r="B294" s="1103" t="s">
        <v>3286</v>
      </c>
      <c r="C294" s="1114">
        <v>5.75</v>
      </c>
      <c r="D294" s="1103" t="s">
        <v>2941</v>
      </c>
      <c r="H294" s="1111" t="s">
        <v>2793</v>
      </c>
      <c r="N294" s="1103" t="s">
        <v>1363</v>
      </c>
      <c r="O294" s="1103" t="s">
        <v>3287</v>
      </c>
      <c r="AE294" s="1114"/>
      <c r="AG294" s="1103"/>
    </row>
    <row r="295" spans="1:33" ht="24" customHeight="1">
      <c r="A295" s="1122">
        <f t="shared" si="29"/>
        <v>134</v>
      </c>
      <c r="B295" s="1103" t="s">
        <v>3288</v>
      </c>
      <c r="C295" s="1114">
        <v>8.5</v>
      </c>
      <c r="D295" s="1103" t="s">
        <v>2941</v>
      </c>
      <c r="F295" s="1114">
        <v>10</v>
      </c>
      <c r="G295" s="1114" t="s">
        <v>2839</v>
      </c>
      <c r="H295" s="1103" t="s">
        <v>3289</v>
      </c>
      <c r="I295" s="1114">
        <f>(C68)</f>
        <v>1000.06</v>
      </c>
      <c r="J295" s="1103" t="s">
        <v>2839</v>
      </c>
      <c r="K295" s="1114">
        <f t="shared" ref="K295:K301" si="30">(F295*I295)</f>
        <v>10000.599999999999</v>
      </c>
      <c r="O295" s="1111" t="s">
        <v>36</v>
      </c>
      <c r="AE295" s="1114"/>
      <c r="AG295" s="1103"/>
    </row>
    <row r="296" spans="1:33" ht="24" customHeight="1">
      <c r="A296" s="1122">
        <f t="shared" si="29"/>
        <v>135</v>
      </c>
      <c r="B296" s="1103" t="s">
        <v>3290</v>
      </c>
      <c r="C296" s="1114">
        <v>10</v>
      </c>
      <c r="D296" s="1103" t="s">
        <v>2941</v>
      </c>
      <c r="F296" s="1114">
        <v>1</v>
      </c>
      <c r="G296" s="1114" t="s">
        <v>2839</v>
      </c>
      <c r="H296" s="1103" t="s">
        <v>3054</v>
      </c>
      <c r="I296" s="1114">
        <f>(C69)</f>
        <v>1197.06</v>
      </c>
      <c r="J296" s="1103" t="s">
        <v>2839</v>
      </c>
      <c r="K296" s="1114">
        <f t="shared" si="30"/>
        <v>1197.06</v>
      </c>
      <c r="M296" s="1114">
        <v>0.14000000000000001</v>
      </c>
      <c r="N296" s="1103" t="s">
        <v>2839</v>
      </c>
      <c r="O296" s="1103" t="s">
        <v>2921</v>
      </c>
      <c r="P296" s="1114">
        <f>(K32)</f>
        <v>4795.8599999999997</v>
      </c>
      <c r="Q296" s="1103" t="s">
        <v>2839</v>
      </c>
      <c r="R296" s="1114">
        <f>(M296*P296)</f>
        <v>671.42039999999997</v>
      </c>
      <c r="AE296" s="1114"/>
      <c r="AG296" s="1103"/>
    </row>
    <row r="297" spans="1:33" ht="24" customHeight="1">
      <c r="A297" s="1122">
        <f t="shared" si="29"/>
        <v>136</v>
      </c>
      <c r="B297" s="1103" t="s">
        <v>3291</v>
      </c>
      <c r="C297" s="1114">
        <v>7</v>
      </c>
      <c r="D297" s="1103" t="s">
        <v>2941</v>
      </c>
      <c r="F297" s="1114">
        <v>3.4</v>
      </c>
      <c r="G297" s="1114" t="s">
        <v>2839</v>
      </c>
      <c r="H297" s="1103" t="s">
        <v>2991</v>
      </c>
      <c r="I297" s="1114">
        <f>(K49)</f>
        <v>3651.54</v>
      </c>
      <c r="J297" s="1103" t="s">
        <v>2839</v>
      </c>
      <c r="K297" s="1114">
        <f t="shared" si="30"/>
        <v>12415.235999999999</v>
      </c>
      <c r="M297" s="1114">
        <v>1.1000000000000001</v>
      </c>
      <c r="N297" s="1103" t="s">
        <v>2838</v>
      </c>
      <c r="O297" s="1103" t="s">
        <v>3051</v>
      </c>
      <c r="P297" s="1114">
        <f>(C10)</f>
        <v>861</v>
      </c>
      <c r="Q297" s="1103" t="s">
        <v>2838</v>
      </c>
      <c r="R297" s="1114">
        <f>(M297*P297)</f>
        <v>947.1</v>
      </c>
      <c r="AE297" s="1114"/>
      <c r="AG297" s="1103"/>
    </row>
    <row r="298" spans="1:33" ht="24" customHeight="1">
      <c r="A298" s="1122">
        <f t="shared" si="29"/>
        <v>137</v>
      </c>
      <c r="B298" s="1103" t="s">
        <v>3292</v>
      </c>
      <c r="C298" s="1114">
        <v>2.2000000000000002</v>
      </c>
      <c r="D298" s="1103" t="s">
        <v>2941</v>
      </c>
      <c r="F298" s="1114">
        <v>7.1</v>
      </c>
      <c r="G298" s="1114" t="s">
        <v>2838</v>
      </c>
      <c r="H298" s="1103" t="s">
        <v>3051</v>
      </c>
      <c r="I298" s="1114">
        <f>(C10)</f>
        <v>861</v>
      </c>
      <c r="J298" s="1103" t="s">
        <v>2838</v>
      </c>
      <c r="K298" s="1114">
        <f t="shared" si="30"/>
        <v>6113.0999999999995</v>
      </c>
      <c r="M298" s="1114">
        <v>0.5</v>
      </c>
      <c r="N298" s="1103" t="s">
        <v>2838</v>
      </c>
      <c r="O298" s="1103" t="s">
        <v>3020</v>
      </c>
      <c r="P298" s="1114">
        <f>(C12)</f>
        <v>562</v>
      </c>
      <c r="Q298" s="1103" t="s">
        <v>2838</v>
      </c>
      <c r="R298" s="1114">
        <f>(M298*P298)</f>
        <v>281</v>
      </c>
      <c r="AE298" s="1114"/>
      <c r="AG298" s="1103"/>
    </row>
    <row r="299" spans="1:33" ht="24" customHeight="1">
      <c r="A299" s="1122">
        <f t="shared" si="29"/>
        <v>138</v>
      </c>
      <c r="B299" s="1103" t="s">
        <v>3293</v>
      </c>
      <c r="C299" s="1114">
        <v>10.5</v>
      </c>
      <c r="D299" s="1103" t="s">
        <v>2941</v>
      </c>
      <c r="F299" s="1114">
        <v>10.6</v>
      </c>
      <c r="G299" s="1114" t="s">
        <v>2838</v>
      </c>
      <c r="H299" s="1103" t="s">
        <v>3017</v>
      </c>
      <c r="I299" s="1114">
        <f>(C11)</f>
        <v>804</v>
      </c>
      <c r="J299" s="1103" t="s">
        <v>2838</v>
      </c>
      <c r="K299" s="1114">
        <f t="shared" si="30"/>
        <v>8522.4</v>
      </c>
      <c r="M299" s="1114">
        <v>1.1000000000000001</v>
      </c>
      <c r="N299" s="1103" t="s">
        <v>2838</v>
      </c>
      <c r="O299" s="1103" t="s">
        <v>3026</v>
      </c>
      <c r="P299" s="1114">
        <f>(C13)</f>
        <v>461</v>
      </c>
      <c r="Q299" s="1103" t="s">
        <v>2838</v>
      </c>
      <c r="R299" s="1114">
        <f>(M299*P299)</f>
        <v>507.1</v>
      </c>
      <c r="AE299" s="1114"/>
      <c r="AG299" s="1103"/>
    </row>
    <row r="300" spans="1:33" ht="24" customHeight="1">
      <c r="A300" s="1122">
        <f t="shared" si="29"/>
        <v>139</v>
      </c>
      <c r="B300" s="1103" t="s">
        <v>3294</v>
      </c>
      <c r="C300" s="1114">
        <v>5.5</v>
      </c>
      <c r="D300" s="1103" t="s">
        <v>2941</v>
      </c>
      <c r="F300" s="1114">
        <v>14.1</v>
      </c>
      <c r="G300" s="1114" t="s">
        <v>2838</v>
      </c>
      <c r="H300" s="1103" t="s">
        <v>3020</v>
      </c>
      <c r="I300" s="1114">
        <f>(C12)</f>
        <v>562</v>
      </c>
      <c r="J300" s="1103" t="s">
        <v>2838</v>
      </c>
      <c r="K300" s="1114">
        <f t="shared" si="30"/>
        <v>7924.2</v>
      </c>
      <c r="N300" s="1103" t="s">
        <v>2851</v>
      </c>
      <c r="O300" s="1103" t="s">
        <v>2852</v>
      </c>
      <c r="P300" s="1103" t="s">
        <v>220</v>
      </c>
      <c r="Q300" s="1103" t="s">
        <v>2851</v>
      </c>
      <c r="R300" s="1114">
        <v>0</v>
      </c>
      <c r="AE300" s="1114"/>
      <c r="AG300" s="1103"/>
    </row>
    <row r="301" spans="1:33" ht="24" customHeight="1">
      <c r="A301" s="1122">
        <f t="shared" si="29"/>
        <v>140</v>
      </c>
      <c r="B301" s="1103" t="s">
        <v>3295</v>
      </c>
      <c r="C301" s="1114">
        <v>21</v>
      </c>
      <c r="D301" s="1103" t="s">
        <v>2941</v>
      </c>
      <c r="F301" s="1114">
        <v>14.1</v>
      </c>
      <c r="G301" s="1114" t="s">
        <v>2838</v>
      </c>
      <c r="H301" s="1103" t="s">
        <v>3026</v>
      </c>
      <c r="I301" s="1114">
        <f>(C13)</f>
        <v>461</v>
      </c>
      <c r="J301" s="1103" t="s">
        <v>2838</v>
      </c>
      <c r="K301" s="1114">
        <f t="shared" si="30"/>
        <v>6500.0999999999995</v>
      </c>
      <c r="R301" s="1111" t="s">
        <v>36</v>
      </c>
      <c r="AE301" s="1114"/>
      <c r="AG301" s="1103"/>
    </row>
    <row r="302" spans="1:33" ht="24" customHeight="1">
      <c r="A302" s="1122">
        <f t="shared" si="29"/>
        <v>141</v>
      </c>
      <c r="B302" s="1103" t="s">
        <v>3296</v>
      </c>
      <c r="C302" s="1114">
        <v>10</v>
      </c>
      <c r="D302" s="1103" t="s">
        <v>2941</v>
      </c>
      <c r="G302" s="1114" t="s">
        <v>2851</v>
      </c>
      <c r="H302" s="1103" t="s">
        <v>2852</v>
      </c>
      <c r="J302" s="1103" t="s">
        <v>2851</v>
      </c>
      <c r="K302" s="1114">
        <v>0</v>
      </c>
      <c r="O302" s="1103" t="s">
        <v>220</v>
      </c>
      <c r="R302" s="1114">
        <f>SUM(R296:R300)</f>
        <v>2406.6203999999998</v>
      </c>
      <c r="AE302" s="1114"/>
      <c r="AG302" s="1103"/>
    </row>
    <row r="303" spans="1:33" ht="24" customHeight="1">
      <c r="A303" s="1122">
        <f t="shared" si="29"/>
        <v>142</v>
      </c>
      <c r="B303" s="1103" t="s">
        <v>3297</v>
      </c>
      <c r="C303" s="1114">
        <v>7.3</v>
      </c>
      <c r="D303" s="1103" t="s">
        <v>2941</v>
      </c>
      <c r="K303" s="1111" t="s">
        <v>36</v>
      </c>
      <c r="R303" s="1111" t="s">
        <v>36</v>
      </c>
      <c r="AE303" s="1114"/>
      <c r="AG303" s="1103"/>
    </row>
    <row r="304" spans="1:33" ht="24" customHeight="1">
      <c r="A304" s="1122">
        <f t="shared" si="29"/>
        <v>143</v>
      </c>
      <c r="B304" s="1103" t="s">
        <v>3279</v>
      </c>
      <c r="C304" s="1114">
        <v>8</v>
      </c>
      <c r="D304" s="1103" t="s">
        <v>2838</v>
      </c>
      <c r="H304" s="1103" t="s">
        <v>3033</v>
      </c>
      <c r="K304" s="1114">
        <f>SUM(K295:K302)</f>
        <v>52672.695999999989</v>
      </c>
      <c r="O304" s="1103" t="s">
        <v>3154</v>
      </c>
      <c r="R304" s="1114">
        <f>(R302/10)</f>
        <v>240.66203999999999</v>
      </c>
      <c r="AE304" s="1114"/>
      <c r="AG304" s="1103"/>
    </row>
    <row r="305" spans="1:33" ht="24" customHeight="1">
      <c r="A305" s="1122">
        <f t="shared" si="29"/>
        <v>144</v>
      </c>
      <c r="B305" s="1103" t="s">
        <v>3280</v>
      </c>
      <c r="C305" s="1114">
        <v>8.5</v>
      </c>
      <c r="D305" s="1103" t="s">
        <v>2941</v>
      </c>
      <c r="K305" s="1111" t="s">
        <v>36</v>
      </c>
      <c r="N305" s="1103" t="s">
        <v>1363</v>
      </c>
      <c r="O305" s="1103" t="s">
        <v>3298</v>
      </c>
      <c r="R305" s="1111" t="s">
        <v>2793</v>
      </c>
      <c r="AE305" s="1114"/>
      <c r="AG305" s="1103"/>
    </row>
    <row r="306" spans="1:33" ht="24" customHeight="1">
      <c r="A306" s="1122">
        <f t="shared" si="29"/>
        <v>145</v>
      </c>
      <c r="B306" s="1103" t="s">
        <v>3299</v>
      </c>
      <c r="C306" s="1114">
        <v>2.8</v>
      </c>
      <c r="D306" s="1103" t="s">
        <v>2941</v>
      </c>
      <c r="H306" s="1118" t="s">
        <v>2946</v>
      </c>
      <c r="K306" s="1115">
        <f>(K304/10)</f>
        <v>5267.2695999999987</v>
      </c>
      <c r="O306" s="1111" t="s">
        <v>36</v>
      </c>
      <c r="AE306" s="1114"/>
      <c r="AG306" s="1103"/>
    </row>
    <row r="307" spans="1:33" ht="24" customHeight="1">
      <c r="A307" s="1122">
        <f t="shared" si="29"/>
        <v>146</v>
      </c>
      <c r="B307" s="1103" t="s">
        <v>3300</v>
      </c>
      <c r="C307" s="1114">
        <v>1.8</v>
      </c>
      <c r="D307" s="1103" t="s">
        <v>2941</v>
      </c>
      <c r="K307" s="1111" t="s">
        <v>2793</v>
      </c>
      <c r="M307" s="1114">
        <v>0.14000000000000001</v>
      </c>
      <c r="N307" s="1103" t="s">
        <v>2839</v>
      </c>
      <c r="O307" s="1103" t="s">
        <v>2870</v>
      </c>
      <c r="P307" s="1114">
        <f>(K23)</f>
        <v>6226.26</v>
      </c>
      <c r="Q307" s="1103" t="s">
        <v>2839</v>
      </c>
      <c r="R307" s="1114">
        <f>(M307*P307)</f>
        <v>871.67640000000006</v>
      </c>
      <c r="AE307" s="1114"/>
      <c r="AG307" s="1103"/>
    </row>
    <row r="308" spans="1:33" ht="24" customHeight="1">
      <c r="A308" s="1122">
        <f t="shared" si="29"/>
        <v>147</v>
      </c>
      <c r="B308" s="1114" t="s">
        <v>3301</v>
      </c>
      <c r="C308" s="1114">
        <v>3</v>
      </c>
      <c r="D308" s="1103" t="s">
        <v>2941</v>
      </c>
      <c r="F308" s="1131">
        <v>6.5</v>
      </c>
      <c r="G308" s="1114" t="s">
        <v>1363</v>
      </c>
      <c r="H308" s="1103" t="s">
        <v>3302</v>
      </c>
      <c r="M308" s="1114">
        <v>1.1000000000000001</v>
      </c>
      <c r="N308" s="1103" t="s">
        <v>2838</v>
      </c>
      <c r="O308" s="1103" t="s">
        <v>3051</v>
      </c>
      <c r="P308" s="1114">
        <f>(C10)</f>
        <v>861</v>
      </c>
      <c r="Q308" s="1103" t="s">
        <v>2838</v>
      </c>
      <c r="R308" s="1114">
        <f>(M308*P308)</f>
        <v>947.1</v>
      </c>
      <c r="S308" s="1108">
        <v>6.1</v>
      </c>
      <c r="T308" s="1105" t="s">
        <v>1363</v>
      </c>
      <c r="U308" s="1105" t="s">
        <v>3303</v>
      </c>
      <c r="AB308" s="1126">
        <v>6</v>
      </c>
      <c r="AC308" s="1114" t="s">
        <v>1363</v>
      </c>
      <c r="AD308" s="1103" t="s">
        <v>3304</v>
      </c>
      <c r="AF308" s="1107"/>
    </row>
    <row r="309" spans="1:33" ht="24" customHeight="1">
      <c r="A309" s="1122">
        <f t="shared" si="29"/>
        <v>148</v>
      </c>
      <c r="B309" s="1103" t="s">
        <v>3305</v>
      </c>
      <c r="C309" s="1103" t="s">
        <v>220</v>
      </c>
      <c r="H309" s="1103" t="s">
        <v>3306</v>
      </c>
      <c r="M309" s="1114">
        <v>0.5</v>
      </c>
      <c r="N309" s="1103" t="s">
        <v>2838</v>
      </c>
      <c r="O309" s="1103" t="s">
        <v>3020</v>
      </c>
      <c r="P309" s="1114">
        <f>(C12)</f>
        <v>562</v>
      </c>
      <c r="Q309" s="1103" t="s">
        <v>2838</v>
      </c>
      <c r="R309" s="1114">
        <f>(M309*P309)</f>
        <v>281</v>
      </c>
      <c r="U309" s="1105" t="s">
        <v>3307</v>
      </c>
      <c r="AD309" s="1103" t="s">
        <v>3308</v>
      </c>
      <c r="AF309" s="1107"/>
    </row>
    <row r="310" spans="1:33" ht="24" customHeight="1">
      <c r="A310" s="1122">
        <f t="shared" si="29"/>
        <v>149</v>
      </c>
      <c r="B310" s="1103" t="s">
        <v>3309</v>
      </c>
      <c r="C310" s="1114">
        <v>66.44</v>
      </c>
      <c r="D310" s="1103" t="s">
        <v>1790</v>
      </c>
      <c r="H310" s="1111" t="s">
        <v>36</v>
      </c>
      <c r="M310" s="1114">
        <v>1.1000000000000001</v>
      </c>
      <c r="N310" s="1103" t="s">
        <v>2838</v>
      </c>
      <c r="O310" s="1103" t="s">
        <v>3026</v>
      </c>
      <c r="P310" s="1114">
        <f>(C13)</f>
        <v>461</v>
      </c>
      <c r="Q310" s="1103" t="s">
        <v>2838</v>
      </c>
      <c r="R310" s="1114">
        <f>(M310*P310)</f>
        <v>507.1</v>
      </c>
      <c r="U310" s="1105" t="s">
        <v>36</v>
      </c>
      <c r="AD310" s="1111" t="s">
        <v>36</v>
      </c>
      <c r="AF310" s="1107"/>
    </row>
    <row r="311" spans="1:33" ht="15.75">
      <c r="A311" s="1122">
        <f t="shared" si="29"/>
        <v>150</v>
      </c>
      <c r="B311" s="1103" t="s">
        <v>3310</v>
      </c>
      <c r="C311" s="1114">
        <v>83.5</v>
      </c>
      <c r="D311" s="1103" t="s">
        <v>1790</v>
      </c>
      <c r="F311" s="1114">
        <v>4800</v>
      </c>
      <c r="G311" s="1114" t="s">
        <v>3046</v>
      </c>
      <c r="H311" s="1114" t="str">
        <f>H309</f>
        <v>Bricks of size 22x11x7 cm</v>
      </c>
      <c r="I311" s="1114">
        <f>C80</f>
        <v>5813.3</v>
      </c>
      <c r="J311" s="1103" t="s">
        <v>3047</v>
      </c>
      <c r="K311" s="1114">
        <f>(F311*I311)/1000</f>
        <v>27903.84</v>
      </c>
      <c r="N311" s="1103" t="s">
        <v>2851</v>
      </c>
      <c r="O311" s="1103" t="s">
        <v>2852</v>
      </c>
      <c r="P311" s="1103" t="s">
        <v>220</v>
      </c>
      <c r="Q311" s="1103" t="s">
        <v>2851</v>
      </c>
      <c r="R311" s="1114">
        <v>0</v>
      </c>
      <c r="S311" s="1108">
        <v>4600</v>
      </c>
      <c r="T311" s="1105" t="s">
        <v>3046</v>
      </c>
      <c r="U311" s="1105" t="s">
        <v>3307</v>
      </c>
      <c r="V311" s="1145">
        <f>AC41</f>
        <v>6435</v>
      </c>
      <c r="W311" s="1108" t="s">
        <v>3311</v>
      </c>
      <c r="X311" s="1105">
        <f>(V311*S311)/1000</f>
        <v>29601</v>
      </c>
      <c r="AB311" s="1114">
        <v>4240</v>
      </c>
      <c r="AC311" s="1114" t="s">
        <v>3046</v>
      </c>
      <c r="AD311" s="1114" t="str">
        <f>AD309</f>
        <v>Bricks of size 23x11.4x7.5 cm</v>
      </c>
      <c r="AE311" s="1114">
        <f>AC42</f>
        <v>6630</v>
      </c>
      <c r="AF311" s="1103" t="s">
        <v>3047</v>
      </c>
      <c r="AG311" s="1114">
        <f>(AB311*AE311)/1000</f>
        <v>28111.200000000001</v>
      </c>
    </row>
    <row r="312" spans="1:33" ht="24" customHeight="1">
      <c r="A312" s="1122">
        <f t="shared" si="29"/>
        <v>151</v>
      </c>
      <c r="B312" s="1103" t="s">
        <v>3312</v>
      </c>
      <c r="C312" s="1114">
        <v>102.12</v>
      </c>
      <c r="D312" s="1103" t="s">
        <v>1790</v>
      </c>
      <c r="F312" s="1114">
        <v>2.5</v>
      </c>
      <c r="G312" s="1114" t="s">
        <v>2839</v>
      </c>
      <c r="H312" s="1103" t="s">
        <v>2991</v>
      </c>
      <c r="I312" s="1114">
        <f>K49</f>
        <v>3651.54</v>
      </c>
      <c r="J312" s="1103" t="s">
        <v>2839</v>
      </c>
      <c r="K312" s="1114">
        <f>(F312*I312)</f>
        <v>9128.85</v>
      </c>
      <c r="R312" s="1111" t="s">
        <v>36</v>
      </c>
      <c r="S312" s="1108">
        <v>2.5</v>
      </c>
      <c r="T312" s="1105" t="s">
        <v>2839</v>
      </c>
      <c r="U312" s="1105" t="s">
        <v>2991</v>
      </c>
      <c r="V312" s="1145">
        <f>K49</f>
        <v>3651.54</v>
      </c>
      <c r="W312" s="1105" t="s">
        <v>2839</v>
      </c>
      <c r="X312" s="1105">
        <f>V312*S312</f>
        <v>9128.85</v>
      </c>
      <c r="AB312" s="1114">
        <v>2</v>
      </c>
      <c r="AC312" s="1114" t="s">
        <v>2839</v>
      </c>
      <c r="AD312" s="1103" t="s">
        <v>2991</v>
      </c>
      <c r="AE312" s="1114">
        <f>K49</f>
        <v>3651.54</v>
      </c>
      <c r="AF312" s="1103" t="s">
        <v>2839</v>
      </c>
      <c r="AG312" s="1114">
        <f>(AB312*AE312)</f>
        <v>7303.08</v>
      </c>
    </row>
    <row r="313" spans="1:33" ht="24" customHeight="1">
      <c r="A313" s="1122">
        <f t="shared" si="29"/>
        <v>152</v>
      </c>
      <c r="B313" s="1103" t="s">
        <v>3313</v>
      </c>
      <c r="C313" s="1114">
        <v>182.52</v>
      </c>
      <c r="D313" s="1103" t="s">
        <v>1790</v>
      </c>
      <c r="F313" s="1114">
        <v>3.5</v>
      </c>
      <c r="G313" s="1114" t="s">
        <v>2838</v>
      </c>
      <c r="H313" s="1103" t="s">
        <v>3051</v>
      </c>
      <c r="I313" s="1114">
        <f>C10</f>
        <v>861</v>
      </c>
      <c r="J313" s="1103" t="s">
        <v>2838</v>
      </c>
      <c r="K313" s="1114">
        <f>(F313*I313)</f>
        <v>3013.5</v>
      </c>
      <c r="O313" s="1103" t="s">
        <v>3152</v>
      </c>
      <c r="R313" s="1114">
        <f>SUM(R307:R311)</f>
        <v>2606.8764000000001</v>
      </c>
      <c r="S313" s="1108">
        <v>3.5</v>
      </c>
      <c r="T313" s="1105" t="s">
        <v>2838</v>
      </c>
      <c r="U313" s="1105" t="s">
        <v>3051</v>
      </c>
      <c r="V313" s="1145">
        <f>I313</f>
        <v>861</v>
      </c>
      <c r="W313" s="1105" t="s">
        <v>2838</v>
      </c>
      <c r="X313" s="1105">
        <f>V313*S313</f>
        <v>3013.5</v>
      </c>
      <c r="AB313" s="1114">
        <v>3.5</v>
      </c>
      <c r="AC313" s="1114" t="s">
        <v>2838</v>
      </c>
      <c r="AD313" s="1103" t="s">
        <v>3051</v>
      </c>
      <c r="AE313" s="1114">
        <f>V313</f>
        <v>861</v>
      </c>
      <c r="AF313" s="1103" t="s">
        <v>2838</v>
      </c>
      <c r="AG313" s="1114">
        <f>(AB313*AE313)</f>
        <v>3013.5</v>
      </c>
    </row>
    <row r="314" spans="1:33" ht="24" customHeight="1">
      <c r="A314" s="1122">
        <f t="shared" si="29"/>
        <v>153</v>
      </c>
      <c r="B314" s="1103" t="s">
        <v>3314</v>
      </c>
      <c r="F314" s="1114">
        <v>10.6</v>
      </c>
      <c r="G314" s="1114" t="s">
        <v>2838</v>
      </c>
      <c r="H314" s="1103" t="s">
        <v>3017</v>
      </c>
      <c r="I314" s="1114">
        <f>C11</f>
        <v>804</v>
      </c>
      <c r="J314" s="1103" t="s">
        <v>2838</v>
      </c>
      <c r="K314" s="1114">
        <f>(F314*I314)</f>
        <v>8522.4</v>
      </c>
      <c r="R314" s="1111" t="s">
        <v>36</v>
      </c>
      <c r="S314" s="1108">
        <v>10.6</v>
      </c>
      <c r="T314" s="1105" t="s">
        <v>2838</v>
      </c>
      <c r="U314" s="1105" t="s">
        <v>3017</v>
      </c>
      <c r="V314" s="1145">
        <f>I314</f>
        <v>804</v>
      </c>
      <c r="W314" s="1105" t="s">
        <v>2838</v>
      </c>
      <c r="X314" s="1105">
        <f>V314*S314</f>
        <v>8522.4</v>
      </c>
      <c r="AB314" s="1114">
        <v>10.6</v>
      </c>
      <c r="AC314" s="1114" t="s">
        <v>2838</v>
      </c>
      <c r="AD314" s="1103" t="s">
        <v>3017</v>
      </c>
      <c r="AE314" s="1114">
        <f>V314</f>
        <v>804</v>
      </c>
      <c r="AF314" s="1103" t="s">
        <v>2838</v>
      </c>
      <c r="AG314" s="1114">
        <f>(AB314*AE314)</f>
        <v>8522.4</v>
      </c>
    </row>
    <row r="315" spans="1:33" ht="24" customHeight="1">
      <c r="A315" s="1122">
        <f t="shared" si="29"/>
        <v>154</v>
      </c>
      <c r="B315" s="1103" t="s">
        <v>3309</v>
      </c>
      <c r="C315" s="1114">
        <v>26.62</v>
      </c>
      <c r="D315" s="1103" t="s">
        <v>2941</v>
      </c>
      <c r="F315" s="1114">
        <v>7.1</v>
      </c>
      <c r="G315" s="1114" t="s">
        <v>2838</v>
      </c>
      <c r="H315" s="1103" t="s">
        <v>3020</v>
      </c>
      <c r="I315" s="1114">
        <f>C12</f>
        <v>562</v>
      </c>
      <c r="J315" s="1103" t="s">
        <v>2838</v>
      </c>
      <c r="K315" s="1114">
        <f>(F315*I315)</f>
        <v>3990.2</v>
      </c>
      <c r="O315" s="1103" t="s">
        <v>3154</v>
      </c>
      <c r="R315" s="1114">
        <f>(R313/10)</f>
        <v>260.68763999999999</v>
      </c>
      <c r="S315" s="1108">
        <v>7.1</v>
      </c>
      <c r="T315" s="1105" t="s">
        <v>2838</v>
      </c>
      <c r="U315" s="1105" t="s">
        <v>3020</v>
      </c>
      <c r="V315" s="1145">
        <f>I315</f>
        <v>562</v>
      </c>
      <c r="W315" s="1105" t="s">
        <v>2838</v>
      </c>
      <c r="X315" s="1105">
        <f>V315*S315</f>
        <v>3990.2</v>
      </c>
      <c r="AB315" s="1114">
        <v>7.1</v>
      </c>
      <c r="AC315" s="1114" t="s">
        <v>2838</v>
      </c>
      <c r="AD315" s="1103" t="s">
        <v>3020</v>
      </c>
      <c r="AE315" s="1114">
        <f>V315</f>
        <v>562</v>
      </c>
      <c r="AF315" s="1103" t="s">
        <v>2838</v>
      </c>
      <c r="AG315" s="1114">
        <f>(AB315*AE315)</f>
        <v>3990.2</v>
      </c>
    </row>
    <row r="316" spans="1:33" ht="24" customHeight="1">
      <c r="A316" s="1122">
        <f t="shared" si="29"/>
        <v>155</v>
      </c>
      <c r="B316" s="1103" t="s">
        <v>3310</v>
      </c>
      <c r="C316" s="1114">
        <v>34.869999999999997</v>
      </c>
      <c r="D316" s="1103" t="s">
        <v>2941</v>
      </c>
      <c r="F316" s="1114">
        <v>21.2</v>
      </c>
      <c r="G316" s="1114" t="s">
        <v>2838</v>
      </c>
      <c r="H316" s="1103" t="s">
        <v>3026</v>
      </c>
      <c r="I316" s="1114">
        <f>C13</f>
        <v>461</v>
      </c>
      <c r="J316" s="1103" t="s">
        <v>2838</v>
      </c>
      <c r="K316" s="1114">
        <f>(F316*I316)</f>
        <v>9773.1999999999989</v>
      </c>
      <c r="R316" s="1111" t="s">
        <v>2793</v>
      </c>
      <c r="S316" s="1108">
        <v>21.2</v>
      </c>
      <c r="T316" s="1105" t="s">
        <v>2838</v>
      </c>
      <c r="U316" s="1105" t="s">
        <v>3026</v>
      </c>
      <c r="V316" s="1145">
        <f>I316</f>
        <v>461</v>
      </c>
      <c r="W316" s="1105" t="s">
        <v>2838</v>
      </c>
      <c r="X316" s="1105">
        <f>V316*S316</f>
        <v>9773.1999999999989</v>
      </c>
      <c r="AB316" s="1114">
        <v>21.2</v>
      </c>
      <c r="AC316" s="1114" t="s">
        <v>2838</v>
      </c>
      <c r="AD316" s="1103" t="s">
        <v>3026</v>
      </c>
      <c r="AE316" s="1114">
        <f>V316</f>
        <v>461</v>
      </c>
      <c r="AF316" s="1103" t="s">
        <v>2838</v>
      </c>
      <c r="AG316" s="1114">
        <f>(AB316*AE316)</f>
        <v>9773.1999999999989</v>
      </c>
    </row>
    <row r="317" spans="1:33" ht="24" customHeight="1">
      <c r="A317" s="1122">
        <f t="shared" si="29"/>
        <v>156</v>
      </c>
      <c r="B317" s="1103" t="s">
        <v>3312</v>
      </c>
      <c r="C317" s="1114">
        <v>45</v>
      </c>
      <c r="D317" s="1103" t="s">
        <v>2941</v>
      </c>
      <c r="G317" s="1114" t="s">
        <v>2851</v>
      </c>
      <c r="H317" s="1103" t="s">
        <v>2852</v>
      </c>
      <c r="J317" s="1103" t="s">
        <v>2851</v>
      </c>
      <c r="K317" s="1114">
        <v>0</v>
      </c>
      <c r="N317" s="1103" t="s">
        <v>1363</v>
      </c>
      <c r="O317" s="1103" t="s">
        <v>3315</v>
      </c>
      <c r="T317" s="1105" t="s">
        <v>2851</v>
      </c>
      <c r="U317" s="1105" t="s">
        <v>2852</v>
      </c>
      <c r="W317" s="1105" t="s">
        <v>2851</v>
      </c>
      <c r="X317" s="1105">
        <v>0</v>
      </c>
      <c r="AC317" s="1114" t="s">
        <v>2851</v>
      </c>
      <c r="AD317" s="1103" t="s">
        <v>2852</v>
      </c>
      <c r="AF317" s="1103" t="s">
        <v>2851</v>
      </c>
      <c r="AG317" s="1114">
        <v>0</v>
      </c>
    </row>
    <row r="318" spans="1:33" ht="24" customHeight="1">
      <c r="A318" s="1122">
        <f t="shared" si="29"/>
        <v>157</v>
      </c>
      <c r="B318" s="1103" t="s">
        <v>3313</v>
      </c>
      <c r="C318" s="1114">
        <v>99.75</v>
      </c>
      <c r="D318" s="1103" t="s">
        <v>2941</v>
      </c>
      <c r="K318" s="1111" t="s">
        <v>36</v>
      </c>
      <c r="O318" s="1111" t="s">
        <v>36</v>
      </c>
      <c r="X318" s="1105" t="s">
        <v>36</v>
      </c>
      <c r="AF318" s="1107"/>
      <c r="AG318" s="1111" t="s">
        <v>36</v>
      </c>
    </row>
    <row r="319" spans="1:33" ht="24" customHeight="1">
      <c r="A319" s="1122">
        <f t="shared" si="29"/>
        <v>158</v>
      </c>
      <c r="B319" s="1103" t="s">
        <v>3316</v>
      </c>
      <c r="H319" s="1103" t="s">
        <v>3033</v>
      </c>
      <c r="K319" s="1114">
        <f>SUM(K311:K317)</f>
        <v>62331.99</v>
      </c>
      <c r="M319" s="1114">
        <v>0.1</v>
      </c>
      <c r="N319" s="1103" t="s">
        <v>2839</v>
      </c>
      <c r="O319" s="1103" t="s">
        <v>2870</v>
      </c>
      <c r="P319" s="1114">
        <f>(K23)</f>
        <v>6226.26</v>
      </c>
      <c r="Q319" s="1103" t="s">
        <v>2839</v>
      </c>
      <c r="R319" s="1114">
        <f>(M319*P319)</f>
        <v>622.62600000000009</v>
      </c>
      <c r="U319" s="1105" t="s">
        <v>3033</v>
      </c>
      <c r="X319" s="1105">
        <f>SUM(X311:X318)</f>
        <v>64029.149999999994</v>
      </c>
      <c r="AD319" s="1103" t="s">
        <v>3033</v>
      </c>
      <c r="AF319" s="1107"/>
      <c r="AG319" s="1114">
        <f>SUM(AG311:AG317)</f>
        <v>60713.579999999994</v>
      </c>
    </row>
    <row r="320" spans="1:33" ht="24" customHeight="1">
      <c r="A320" s="1122">
        <f t="shared" si="29"/>
        <v>159</v>
      </c>
      <c r="B320" s="1103" t="s">
        <v>3309</v>
      </c>
      <c r="C320" s="1114">
        <v>43.47</v>
      </c>
      <c r="D320" s="1103" t="s">
        <v>2941</v>
      </c>
      <c r="K320" s="1111" t="s">
        <v>36</v>
      </c>
      <c r="M320" s="1114">
        <v>1.1000000000000001</v>
      </c>
      <c r="N320" s="1103" t="s">
        <v>2838</v>
      </c>
      <c r="O320" s="1103" t="s">
        <v>3051</v>
      </c>
      <c r="P320" s="1114">
        <f>(C10)</f>
        <v>861</v>
      </c>
      <c r="Q320" s="1103" t="s">
        <v>2838</v>
      </c>
      <c r="R320" s="1114">
        <f>(M320*P320)</f>
        <v>947.1</v>
      </c>
      <c r="X320" s="1105" t="s">
        <v>36</v>
      </c>
      <c r="AF320" s="1107"/>
      <c r="AG320" s="1111" t="s">
        <v>36</v>
      </c>
    </row>
    <row r="321" spans="1:34" ht="24" customHeight="1">
      <c r="A321" s="1122">
        <f t="shared" si="29"/>
        <v>160</v>
      </c>
      <c r="B321" s="1103" t="s">
        <v>3310</v>
      </c>
      <c r="C321" s="1114">
        <v>50.34</v>
      </c>
      <c r="D321" s="1103" t="s">
        <v>2941</v>
      </c>
      <c r="H321" s="1118" t="s">
        <v>2946</v>
      </c>
      <c r="K321" s="1115">
        <f>(K319/10)</f>
        <v>6233.1989999999996</v>
      </c>
      <c r="M321" s="1114">
        <v>1.1000000000000001</v>
      </c>
      <c r="N321" s="1103" t="s">
        <v>2838</v>
      </c>
      <c r="O321" s="1103" t="s">
        <v>3020</v>
      </c>
      <c r="P321" s="1114">
        <f>(C12)</f>
        <v>562</v>
      </c>
      <c r="Q321" s="1103" t="s">
        <v>2838</v>
      </c>
      <c r="R321" s="1114">
        <f>(M321*P321)</f>
        <v>618.20000000000005</v>
      </c>
      <c r="U321" s="1105" t="s">
        <v>2946</v>
      </c>
      <c r="X321" s="1119">
        <f>X319/10</f>
        <v>6402.9149999999991</v>
      </c>
      <c r="AD321" s="1118" t="s">
        <v>2946</v>
      </c>
      <c r="AF321" s="1107"/>
      <c r="AG321" s="1115">
        <f>(AG319/10)</f>
        <v>6071.3579999999993</v>
      </c>
    </row>
    <row r="322" spans="1:34" ht="24" customHeight="1">
      <c r="A322" s="1122">
        <f t="shared" si="29"/>
        <v>161</v>
      </c>
      <c r="B322" s="1103" t="s">
        <v>3312</v>
      </c>
      <c r="C322" s="1114">
        <v>65.209999999999994</v>
      </c>
      <c r="D322" s="1103" t="s">
        <v>2941</v>
      </c>
      <c r="K322" s="1111" t="s">
        <v>2793</v>
      </c>
      <c r="M322" s="1114">
        <v>1.1000000000000001</v>
      </c>
      <c r="N322" s="1103" t="s">
        <v>2838</v>
      </c>
      <c r="O322" s="1103" t="s">
        <v>3026</v>
      </c>
      <c r="P322" s="1114">
        <f>(C13)</f>
        <v>461</v>
      </c>
      <c r="Q322" s="1103" t="s">
        <v>2838</v>
      </c>
      <c r="R322" s="1114">
        <f>(M322*P322)</f>
        <v>507.1</v>
      </c>
      <c r="AF322" s="1107"/>
      <c r="AG322" s="1111" t="s">
        <v>2793</v>
      </c>
    </row>
    <row r="323" spans="1:34" ht="24" customHeight="1">
      <c r="A323" s="1122">
        <f t="shared" si="29"/>
        <v>162</v>
      </c>
      <c r="B323" s="1103" t="s">
        <v>3313</v>
      </c>
      <c r="C323" s="1114">
        <v>145.29</v>
      </c>
      <c r="D323" s="1103" t="s">
        <v>2941</v>
      </c>
      <c r="H323" s="1103" t="s">
        <v>3062</v>
      </c>
      <c r="K323" s="1114">
        <f>(K321+C19)</f>
        <v>6301.1989999999996</v>
      </c>
      <c r="L323" s="1105">
        <f>K323-K321</f>
        <v>68</v>
      </c>
      <c r="N323" s="1103" t="s">
        <v>2851</v>
      </c>
      <c r="O323" s="1103" t="s">
        <v>2852</v>
      </c>
      <c r="P323" s="1103" t="s">
        <v>220</v>
      </c>
      <c r="Q323" s="1103" t="s">
        <v>2851</v>
      </c>
      <c r="R323" s="1114">
        <v>0</v>
      </c>
      <c r="U323" s="1105" t="s">
        <v>3062</v>
      </c>
      <c r="X323" s="1105">
        <f>X321+C19</f>
        <v>6470.9149999999991</v>
      </c>
      <c r="Y323" s="1105">
        <f>X323-X321</f>
        <v>68</v>
      </c>
      <c r="AD323" s="1103" t="s">
        <v>3062</v>
      </c>
      <c r="AF323" s="1107"/>
      <c r="AG323" s="1114">
        <f>AG321+C19</f>
        <v>6139.3579999999993</v>
      </c>
      <c r="AH323" s="1105">
        <f>AG323-AG321</f>
        <v>68</v>
      </c>
    </row>
    <row r="324" spans="1:34" ht="24" customHeight="1">
      <c r="A324" s="1122">
        <f t="shared" si="29"/>
        <v>163</v>
      </c>
      <c r="B324" s="1103" t="s">
        <v>3317</v>
      </c>
      <c r="H324" s="1103" t="s">
        <v>3066</v>
      </c>
      <c r="K324" s="1114">
        <f>(K323+C20)</f>
        <v>6438.3989999999994</v>
      </c>
      <c r="L324" s="1105">
        <f>K324-K323</f>
        <v>137.19999999999982</v>
      </c>
      <c r="R324" s="1111" t="s">
        <v>36</v>
      </c>
      <c r="U324" s="1105" t="s">
        <v>3066</v>
      </c>
      <c r="X324" s="1105">
        <f>X323+C20</f>
        <v>6608.1149999999989</v>
      </c>
      <c r="Y324" s="1105">
        <f>X324-X323</f>
        <v>137.19999999999982</v>
      </c>
      <c r="AD324" s="1103" t="s">
        <v>3066</v>
      </c>
      <c r="AF324" s="1107"/>
      <c r="AG324" s="1114">
        <f>AG323+C20</f>
        <v>6276.5579999999991</v>
      </c>
      <c r="AH324" s="1105">
        <f>AG324-AG323</f>
        <v>137.19999999999982</v>
      </c>
    </row>
    <row r="325" spans="1:34" ht="24" customHeight="1">
      <c r="A325" s="1122">
        <f t="shared" si="29"/>
        <v>164</v>
      </c>
      <c r="B325" s="1103" t="s">
        <v>3309</v>
      </c>
      <c r="C325" s="1114">
        <v>14.91</v>
      </c>
      <c r="D325" s="1103" t="s">
        <v>1790</v>
      </c>
      <c r="H325" s="1103" t="s">
        <v>3069</v>
      </c>
      <c r="K325" s="1114">
        <f>(K324+C21)</f>
        <v>6575.5989999999993</v>
      </c>
      <c r="M325" s="1105">
        <f>(K325+K324)/2</f>
        <v>6506.9989999999998</v>
      </c>
      <c r="O325" s="1103" t="s">
        <v>3152</v>
      </c>
      <c r="R325" s="1114">
        <f>SUM(R319:R323)</f>
        <v>2695.0260000000003</v>
      </c>
      <c r="U325" s="1105" t="s">
        <v>3069</v>
      </c>
      <c r="X325" s="1105">
        <f>X324+C20</f>
        <v>6745.3149999999987</v>
      </c>
      <c r="AD325" s="1103" t="s">
        <v>3069</v>
      </c>
      <c r="AF325" s="1107"/>
      <c r="AG325" s="1114">
        <f>AG324+C20</f>
        <v>6413.7579999999989</v>
      </c>
      <c r="AH325" s="1105">
        <f>AG324-AG323</f>
        <v>137.19999999999982</v>
      </c>
    </row>
    <row r="326" spans="1:34" ht="24" customHeight="1">
      <c r="A326" s="1122">
        <f t="shared" si="29"/>
        <v>165</v>
      </c>
      <c r="B326" s="1103" t="s">
        <v>3310</v>
      </c>
      <c r="C326" s="1114">
        <v>19.41</v>
      </c>
      <c r="D326" s="1103" t="s">
        <v>1790</v>
      </c>
      <c r="H326" s="1103" t="s">
        <v>3071</v>
      </c>
      <c r="K326" s="1114">
        <f>(K325+C21)</f>
        <v>6712.7989999999991</v>
      </c>
      <c r="R326" s="1111" t="s">
        <v>36</v>
      </c>
      <c r="U326" s="1105" t="s">
        <v>3071</v>
      </c>
      <c r="X326" s="1105">
        <f>X325+C20</f>
        <v>6882.5149999999985</v>
      </c>
      <c r="AD326" s="1103" t="s">
        <v>3071</v>
      </c>
      <c r="AF326" s="1107"/>
      <c r="AG326" s="1114">
        <f>AG325+C20</f>
        <v>6550.9579999999987</v>
      </c>
    </row>
    <row r="327" spans="1:34" ht="24" customHeight="1">
      <c r="A327" s="1122">
        <f t="shared" si="29"/>
        <v>166</v>
      </c>
      <c r="B327" s="1103" t="s">
        <v>3312</v>
      </c>
      <c r="C327" s="1114">
        <v>22.22</v>
      </c>
      <c r="D327" s="1103" t="s">
        <v>1790</v>
      </c>
      <c r="H327" s="1103" t="s">
        <v>3075</v>
      </c>
      <c r="K327" s="1114">
        <f>(K326+C21)</f>
        <v>6849.9989999999989</v>
      </c>
      <c r="O327" s="1103" t="s">
        <v>3154</v>
      </c>
      <c r="R327" s="1114">
        <f>(R325/10)</f>
        <v>269.50260000000003</v>
      </c>
      <c r="U327" s="1105" t="s">
        <v>3075</v>
      </c>
      <c r="X327" s="1105">
        <f>X326+C20</f>
        <v>7019.7149999999983</v>
      </c>
      <c r="AD327" s="1103" t="s">
        <v>3075</v>
      </c>
      <c r="AF327" s="1107"/>
      <c r="AG327" s="1114">
        <f>AG326+C20</f>
        <v>6688.1579999999985</v>
      </c>
    </row>
    <row r="328" spans="1:34" ht="24" customHeight="1">
      <c r="A328" s="1122"/>
      <c r="B328" s="1103"/>
      <c r="C328" s="1114"/>
      <c r="D328" s="1103"/>
      <c r="H328" s="1103"/>
      <c r="K328" s="1114"/>
      <c r="O328" s="1103"/>
      <c r="R328" s="1114"/>
      <c r="AE328" s="1114"/>
      <c r="AG328" s="1103"/>
    </row>
    <row r="329" spans="1:34" ht="24" customHeight="1">
      <c r="A329" s="1122"/>
      <c r="B329" s="1103"/>
      <c r="C329" s="1114"/>
      <c r="D329" s="1103"/>
      <c r="F329" s="1104" t="s">
        <v>3318</v>
      </c>
      <c r="H329" s="1103" t="s">
        <v>3319</v>
      </c>
      <c r="K329" s="1106">
        <v>712</v>
      </c>
      <c r="L329" s="1105" t="s">
        <v>3320</v>
      </c>
      <c r="O329" s="1103"/>
      <c r="R329" s="1114"/>
      <c r="AE329" s="1114"/>
      <c r="AG329" s="1103"/>
    </row>
    <row r="330" spans="1:34" ht="24" customHeight="1">
      <c r="A330" s="1122"/>
      <c r="B330" s="1103"/>
      <c r="C330" s="1114"/>
      <c r="D330" s="1103"/>
      <c r="H330" s="1103" t="s">
        <v>3321</v>
      </c>
      <c r="K330" s="1111" t="s">
        <v>2793</v>
      </c>
      <c r="O330" s="1103"/>
      <c r="R330" s="1114"/>
      <c r="AE330" s="1114"/>
      <c r="AG330" s="1103"/>
    </row>
    <row r="331" spans="1:34" ht="24" customHeight="1">
      <c r="A331" s="1122"/>
      <c r="B331" s="1103"/>
      <c r="C331" s="1114"/>
      <c r="D331" s="1103"/>
      <c r="H331" s="1103"/>
      <c r="K331" s="1114"/>
      <c r="O331" s="1103"/>
      <c r="R331" s="1114"/>
      <c r="AE331" s="1114"/>
      <c r="AG331" s="1103"/>
    </row>
    <row r="332" spans="1:34" ht="24" customHeight="1">
      <c r="A332" s="1122">
        <f>(A327+1)</f>
        <v>167</v>
      </c>
      <c r="B332" s="1103" t="s">
        <v>3313</v>
      </c>
      <c r="C332" s="1114">
        <v>46.42</v>
      </c>
      <c r="D332" s="1103" t="s">
        <v>1790</v>
      </c>
      <c r="F332" s="1126">
        <v>9</v>
      </c>
      <c r="G332" s="1114" t="s">
        <v>1363</v>
      </c>
      <c r="H332" s="1103" t="s">
        <v>3322</v>
      </c>
      <c r="R332" s="1111" t="s">
        <v>2793</v>
      </c>
      <c r="S332" s="1108">
        <v>9</v>
      </c>
      <c r="T332" s="1105" t="s">
        <v>1363</v>
      </c>
      <c r="U332" s="1105" t="s">
        <v>3323</v>
      </c>
      <c r="AB332" s="1126">
        <v>9</v>
      </c>
      <c r="AC332" s="1114" t="s">
        <v>1363</v>
      </c>
      <c r="AD332" s="1103" t="s">
        <v>3324</v>
      </c>
      <c r="AF332" s="1107"/>
    </row>
    <row r="333" spans="1:34" ht="24" customHeight="1">
      <c r="A333" s="1122">
        <f t="shared" si="29"/>
        <v>168</v>
      </c>
      <c r="B333" s="1103" t="s">
        <v>3325</v>
      </c>
      <c r="H333" s="1103" t="str">
        <f>H309</f>
        <v>Bricks of size 22x11x7 cm</v>
      </c>
      <c r="U333" s="1105" t="s">
        <v>3307</v>
      </c>
      <c r="AD333" s="1103" t="str">
        <f>AD309</f>
        <v>Bricks of size 23x11.4x7.5 cm</v>
      </c>
      <c r="AF333" s="1107"/>
    </row>
    <row r="334" spans="1:34" ht="24" customHeight="1">
      <c r="A334" s="1122">
        <f t="shared" si="29"/>
        <v>169</v>
      </c>
      <c r="B334" s="1103" t="s">
        <v>3309</v>
      </c>
      <c r="C334" s="1114">
        <v>8.58</v>
      </c>
      <c r="D334" s="1103" t="s">
        <v>2941</v>
      </c>
      <c r="H334" s="1111" t="s">
        <v>36</v>
      </c>
      <c r="N334" s="1103" t="s">
        <v>1363</v>
      </c>
      <c r="O334" s="1103" t="s">
        <v>3326</v>
      </c>
      <c r="U334" s="1105" t="s">
        <v>36</v>
      </c>
      <c r="AD334" s="1111" t="s">
        <v>36</v>
      </c>
      <c r="AF334" s="1107"/>
    </row>
    <row r="335" spans="1:34" ht="24" customHeight="1">
      <c r="A335" s="1122">
        <f t="shared" si="29"/>
        <v>170</v>
      </c>
      <c r="B335" s="1103" t="s">
        <v>3310</v>
      </c>
      <c r="C335" s="1114">
        <v>12.26</v>
      </c>
      <c r="D335" s="1103" t="s">
        <v>2941</v>
      </c>
      <c r="F335" s="1114">
        <f>F311</f>
        <v>4800</v>
      </c>
      <c r="G335" s="1114" t="s">
        <v>3046</v>
      </c>
      <c r="H335" s="1114" t="str">
        <f>H309</f>
        <v>Bricks of size 22x11x7 cm</v>
      </c>
      <c r="I335" s="1114">
        <f>C80</f>
        <v>5813.3</v>
      </c>
      <c r="J335" s="1103" t="s">
        <v>3047</v>
      </c>
      <c r="K335" s="1114">
        <f>(F335*I335)/1000</f>
        <v>27903.84</v>
      </c>
      <c r="O335" s="1111" t="s">
        <v>36</v>
      </c>
      <c r="S335" s="1108">
        <v>4600</v>
      </c>
      <c r="T335" s="1105" t="s">
        <v>3046</v>
      </c>
      <c r="U335" s="1105" t="s">
        <v>3307</v>
      </c>
      <c r="V335" s="1105">
        <f>AC41</f>
        <v>6435</v>
      </c>
      <c r="W335" s="1105" t="s">
        <v>3047</v>
      </c>
      <c r="X335" s="1105">
        <f>V335*S335/1000</f>
        <v>29601</v>
      </c>
      <c r="AB335" s="1114">
        <f>AB311</f>
        <v>4240</v>
      </c>
      <c r="AC335" s="1114" t="s">
        <v>3046</v>
      </c>
      <c r="AD335" s="1114" t="str">
        <f>AD309</f>
        <v>Bricks of size 23x11.4x7.5 cm</v>
      </c>
      <c r="AE335" s="1114">
        <f>AC42</f>
        <v>6630</v>
      </c>
      <c r="AF335" s="1103" t="s">
        <v>3047</v>
      </c>
      <c r="AG335" s="1114">
        <f>AE335*AB335/1000</f>
        <v>28111.200000000001</v>
      </c>
    </row>
    <row r="336" spans="1:34" ht="24" customHeight="1">
      <c r="A336" s="1122">
        <f t="shared" si="29"/>
        <v>171</v>
      </c>
      <c r="B336" s="1103" t="s">
        <v>3312</v>
      </c>
      <c r="C336" s="1114">
        <v>13.89</v>
      </c>
      <c r="D336" s="1103" t="s">
        <v>2941</v>
      </c>
      <c r="F336" s="1114">
        <f>F312</f>
        <v>2.5</v>
      </c>
      <c r="G336" s="1114" t="s">
        <v>2839</v>
      </c>
      <c r="H336" s="1103" t="s">
        <v>3013</v>
      </c>
      <c r="I336" s="1114">
        <f>K58</f>
        <v>3365.46</v>
      </c>
      <c r="J336" s="1103" t="s">
        <v>2839</v>
      </c>
      <c r="K336" s="1114">
        <f>(F336*I336)</f>
        <v>8413.65</v>
      </c>
      <c r="M336" s="1114">
        <v>0.22</v>
      </c>
      <c r="N336" s="1103" t="s">
        <v>2839</v>
      </c>
      <c r="O336" s="1103" t="s">
        <v>2991</v>
      </c>
      <c r="P336" s="1114">
        <f>(K49)</f>
        <v>3651.54</v>
      </c>
      <c r="Q336" s="1103" t="s">
        <v>2839</v>
      </c>
      <c r="R336" s="1114">
        <f>(M336*P336)</f>
        <v>803.33879999999999</v>
      </c>
      <c r="S336" s="1108">
        <v>2.5</v>
      </c>
      <c r="T336" s="1105" t="s">
        <v>2839</v>
      </c>
      <c r="U336" s="1105" t="s">
        <v>3013</v>
      </c>
      <c r="V336" s="1105">
        <f>I336</f>
        <v>3365.46</v>
      </c>
      <c r="W336" s="1105" t="s">
        <v>2839</v>
      </c>
      <c r="X336" s="1105">
        <f t="shared" ref="X336:X341" si="31">V336*S336</f>
        <v>8413.65</v>
      </c>
      <c r="AB336" s="1114">
        <f>AB312</f>
        <v>2</v>
      </c>
      <c r="AC336" s="1114" t="s">
        <v>2839</v>
      </c>
      <c r="AD336" s="1103" t="s">
        <v>3013</v>
      </c>
      <c r="AE336" s="1114">
        <f>V336</f>
        <v>3365.46</v>
      </c>
      <c r="AF336" s="1103" t="s">
        <v>2839</v>
      </c>
      <c r="AG336" s="1114">
        <f>AE336*AB336</f>
        <v>6730.92</v>
      </c>
    </row>
    <row r="337" spans="1:33" ht="24" customHeight="1">
      <c r="A337" s="1122">
        <f t="shared" si="29"/>
        <v>172</v>
      </c>
      <c r="B337" s="1103" t="s">
        <v>3313</v>
      </c>
      <c r="C337" s="1114">
        <v>36.25</v>
      </c>
      <c r="D337" s="1103" t="s">
        <v>2941</v>
      </c>
      <c r="F337" s="1114">
        <v>3.5</v>
      </c>
      <c r="G337" s="1114" t="s">
        <v>2838</v>
      </c>
      <c r="H337" s="1103" t="s">
        <v>3051</v>
      </c>
      <c r="I337" s="1114">
        <f>C10</f>
        <v>861</v>
      </c>
      <c r="J337" s="1103" t="s">
        <v>2838</v>
      </c>
      <c r="K337" s="1114">
        <f>(F337*I337)</f>
        <v>3013.5</v>
      </c>
      <c r="M337" s="1114">
        <v>2.2000000000000002</v>
      </c>
      <c r="N337" s="1103" t="s">
        <v>2838</v>
      </c>
      <c r="O337" s="1103" t="s">
        <v>3051</v>
      </c>
      <c r="P337" s="1114">
        <f>(C10)</f>
        <v>861</v>
      </c>
      <c r="Q337" s="1103" t="s">
        <v>2838</v>
      </c>
      <c r="R337" s="1114">
        <f>(M337*P337)</f>
        <v>1894.2</v>
      </c>
      <c r="S337" s="1108">
        <v>3.5</v>
      </c>
      <c r="T337" s="1105" t="s">
        <v>2838</v>
      </c>
      <c r="U337" s="1105" t="s">
        <v>3051</v>
      </c>
      <c r="V337" s="1105">
        <f>I337</f>
        <v>861</v>
      </c>
      <c r="W337" s="1105" t="s">
        <v>2838</v>
      </c>
      <c r="X337" s="1105">
        <f t="shared" si="31"/>
        <v>3013.5</v>
      </c>
      <c r="AB337" s="1114">
        <v>3.5</v>
      </c>
      <c r="AC337" s="1114" t="s">
        <v>2838</v>
      </c>
      <c r="AD337" s="1103" t="s">
        <v>3051</v>
      </c>
      <c r="AE337" s="1114">
        <f>V337</f>
        <v>861</v>
      </c>
      <c r="AF337" s="1103" t="s">
        <v>2838</v>
      </c>
      <c r="AG337" s="1114">
        <f>AE337*AB337</f>
        <v>3013.5</v>
      </c>
    </row>
    <row r="338" spans="1:33" ht="24" customHeight="1">
      <c r="A338" s="1122">
        <f t="shared" si="29"/>
        <v>173</v>
      </c>
      <c r="B338" s="1103" t="s">
        <v>3327</v>
      </c>
      <c r="F338" s="1114">
        <v>10.6</v>
      </c>
      <c r="G338" s="1114" t="s">
        <v>2838</v>
      </c>
      <c r="H338" s="1103" t="s">
        <v>3017</v>
      </c>
      <c r="I338" s="1114">
        <f>C11</f>
        <v>804</v>
      </c>
      <c r="J338" s="1103" t="s">
        <v>2838</v>
      </c>
      <c r="K338" s="1114">
        <f>(F338*I338)</f>
        <v>8522.4</v>
      </c>
      <c r="M338" s="1114">
        <v>0.5</v>
      </c>
      <c r="N338" s="1103" t="s">
        <v>2838</v>
      </c>
      <c r="O338" s="1103" t="s">
        <v>3020</v>
      </c>
      <c r="P338" s="1114">
        <f>(C12)</f>
        <v>562</v>
      </c>
      <c r="Q338" s="1103" t="s">
        <v>2838</v>
      </c>
      <c r="R338" s="1114">
        <f>(M338*P338)</f>
        <v>281</v>
      </c>
      <c r="S338" s="1108">
        <v>10.6</v>
      </c>
      <c r="T338" s="1105" t="s">
        <v>2838</v>
      </c>
      <c r="U338" s="1105" t="s">
        <v>3017</v>
      </c>
      <c r="V338" s="1105">
        <f>I338</f>
        <v>804</v>
      </c>
      <c r="W338" s="1105" t="s">
        <v>2838</v>
      </c>
      <c r="X338" s="1105">
        <f t="shared" si="31"/>
        <v>8522.4</v>
      </c>
      <c r="AB338" s="1114">
        <v>10.6</v>
      </c>
      <c r="AC338" s="1114" t="s">
        <v>2838</v>
      </c>
      <c r="AD338" s="1103" t="s">
        <v>3017</v>
      </c>
      <c r="AE338" s="1114">
        <f>V338</f>
        <v>804</v>
      </c>
      <c r="AF338" s="1103" t="s">
        <v>2838</v>
      </c>
      <c r="AG338" s="1114">
        <f>AE338*AB338</f>
        <v>8522.4</v>
      </c>
    </row>
    <row r="339" spans="1:33" ht="24" customHeight="1">
      <c r="A339" s="1122">
        <f t="shared" si="29"/>
        <v>174</v>
      </c>
      <c r="B339" s="1103" t="s">
        <v>3309</v>
      </c>
      <c r="C339" s="1114">
        <v>15.7</v>
      </c>
      <c r="D339" s="1103" t="s">
        <v>2941</v>
      </c>
      <c r="F339" s="1114">
        <v>7.1</v>
      </c>
      <c r="G339" s="1114" t="s">
        <v>2838</v>
      </c>
      <c r="H339" s="1103" t="s">
        <v>3020</v>
      </c>
      <c r="I339" s="1114">
        <f>C12</f>
        <v>562</v>
      </c>
      <c r="J339" s="1103" t="s">
        <v>2838</v>
      </c>
      <c r="K339" s="1114">
        <f>(F339*I339)</f>
        <v>3990.2</v>
      </c>
      <c r="M339" s="1114">
        <v>3.2</v>
      </c>
      <c r="N339" s="1103" t="s">
        <v>2838</v>
      </c>
      <c r="O339" s="1103" t="s">
        <v>3026</v>
      </c>
      <c r="P339" s="1114">
        <f>(C13)</f>
        <v>461</v>
      </c>
      <c r="Q339" s="1103" t="s">
        <v>2838</v>
      </c>
      <c r="R339" s="1114">
        <f>(M339*P339)</f>
        <v>1475.2</v>
      </c>
      <c r="S339" s="1108">
        <v>7.1</v>
      </c>
      <c r="T339" s="1105" t="s">
        <v>2838</v>
      </c>
      <c r="U339" s="1105" t="s">
        <v>3020</v>
      </c>
      <c r="V339" s="1105">
        <f>I339</f>
        <v>562</v>
      </c>
      <c r="W339" s="1105" t="s">
        <v>2838</v>
      </c>
      <c r="X339" s="1105">
        <f t="shared" si="31"/>
        <v>3990.2</v>
      </c>
      <c r="AB339" s="1114">
        <v>7.1</v>
      </c>
      <c r="AC339" s="1114" t="s">
        <v>2838</v>
      </c>
      <c r="AD339" s="1103" t="s">
        <v>3020</v>
      </c>
      <c r="AE339" s="1114">
        <f>V339</f>
        <v>562</v>
      </c>
      <c r="AF339" s="1103" t="s">
        <v>2838</v>
      </c>
      <c r="AG339" s="1114">
        <f>AE339*AB339</f>
        <v>3990.2</v>
      </c>
    </row>
    <row r="340" spans="1:33" ht="24" customHeight="1">
      <c r="A340" s="1122">
        <f t="shared" si="29"/>
        <v>175</v>
      </c>
      <c r="B340" s="1103" t="s">
        <v>3310</v>
      </c>
      <c r="C340" s="1114">
        <v>22.31</v>
      </c>
      <c r="D340" s="1103" t="s">
        <v>2941</v>
      </c>
      <c r="F340" s="1114">
        <v>21.2</v>
      </c>
      <c r="G340" s="1114" t="s">
        <v>2838</v>
      </c>
      <c r="H340" s="1103" t="s">
        <v>3026</v>
      </c>
      <c r="I340" s="1114">
        <f>C13</f>
        <v>461</v>
      </c>
      <c r="J340" s="1103" t="s">
        <v>2838</v>
      </c>
      <c r="K340" s="1114">
        <f>(F340*I340)</f>
        <v>9773.1999999999989</v>
      </c>
      <c r="N340" s="1103" t="s">
        <v>2851</v>
      </c>
      <c r="O340" s="1103" t="s">
        <v>2852</v>
      </c>
      <c r="P340" s="1103" t="s">
        <v>220</v>
      </c>
      <c r="Q340" s="1103" t="s">
        <v>2851</v>
      </c>
      <c r="R340" s="1114">
        <v>0</v>
      </c>
      <c r="S340" s="1108">
        <v>21.2</v>
      </c>
      <c r="T340" s="1105" t="s">
        <v>2838</v>
      </c>
      <c r="U340" s="1105" t="s">
        <v>3026</v>
      </c>
      <c r="V340" s="1105">
        <f>I340</f>
        <v>461</v>
      </c>
      <c r="W340" s="1105" t="s">
        <v>2838</v>
      </c>
      <c r="X340" s="1105">
        <f t="shared" si="31"/>
        <v>9773.1999999999989</v>
      </c>
      <c r="AB340" s="1114">
        <v>21.2</v>
      </c>
      <c r="AC340" s="1114" t="s">
        <v>2838</v>
      </c>
      <c r="AD340" s="1103" t="s">
        <v>3026</v>
      </c>
      <c r="AE340" s="1114">
        <f>V340</f>
        <v>461</v>
      </c>
      <c r="AF340" s="1103" t="s">
        <v>2838</v>
      </c>
      <c r="AG340" s="1114">
        <f>AE340*AB340</f>
        <v>9773.1999999999989</v>
      </c>
    </row>
    <row r="341" spans="1:33" ht="24" customHeight="1">
      <c r="A341" s="1122">
        <f t="shared" si="29"/>
        <v>176</v>
      </c>
      <c r="B341" s="1103" t="s">
        <v>3312</v>
      </c>
      <c r="C341" s="1114">
        <v>25.24</v>
      </c>
      <c r="D341" s="1103" t="s">
        <v>2941</v>
      </c>
      <c r="G341" s="1114" t="s">
        <v>2851</v>
      </c>
      <c r="H341" s="1103" t="s">
        <v>2852</v>
      </c>
      <c r="J341" s="1103" t="s">
        <v>2851</v>
      </c>
      <c r="K341" s="1114">
        <v>0</v>
      </c>
      <c r="R341" s="1111" t="s">
        <v>36</v>
      </c>
      <c r="T341" s="1105" t="s">
        <v>2851</v>
      </c>
      <c r="U341" s="1105" t="s">
        <v>2852</v>
      </c>
      <c r="W341" s="1105" t="s">
        <v>2851</v>
      </c>
      <c r="X341" s="1105">
        <f t="shared" si="31"/>
        <v>0</v>
      </c>
      <c r="AC341" s="1114" t="s">
        <v>2851</v>
      </c>
      <c r="AD341" s="1103" t="s">
        <v>2852</v>
      </c>
      <c r="AF341" s="1103" t="s">
        <v>2851</v>
      </c>
      <c r="AG341" s="1114">
        <v>0</v>
      </c>
    </row>
    <row r="342" spans="1:33" ht="24" customHeight="1">
      <c r="A342" s="1122">
        <f t="shared" si="29"/>
        <v>177</v>
      </c>
      <c r="B342" s="1103" t="s">
        <v>3313</v>
      </c>
      <c r="C342" s="1114">
        <v>52.34</v>
      </c>
      <c r="D342" s="1103" t="s">
        <v>2941</v>
      </c>
      <c r="K342" s="1111" t="s">
        <v>36</v>
      </c>
      <c r="O342" s="1103" t="s">
        <v>3152</v>
      </c>
      <c r="R342" s="1114">
        <f>SUM(R336:R340)</f>
        <v>4453.7388000000001</v>
      </c>
      <c r="X342" s="1111" t="s">
        <v>36</v>
      </c>
      <c r="AF342" s="1107"/>
      <c r="AG342" s="1111" t="s">
        <v>36</v>
      </c>
    </row>
    <row r="343" spans="1:33" ht="24" customHeight="1">
      <c r="A343" s="1122">
        <f t="shared" si="29"/>
        <v>178</v>
      </c>
      <c r="B343" s="1103" t="s">
        <v>3328</v>
      </c>
      <c r="H343" s="1103" t="s">
        <v>3033</v>
      </c>
      <c r="K343" s="1114">
        <f>SUM(K335:K341)</f>
        <v>61616.789999999994</v>
      </c>
      <c r="R343" s="1111" t="s">
        <v>36</v>
      </c>
      <c r="U343" s="1105" t="s">
        <v>3033</v>
      </c>
      <c r="X343" s="1105">
        <f>SUM(X335:X342)</f>
        <v>63313.95</v>
      </c>
      <c r="AD343" s="1103" t="s">
        <v>3033</v>
      </c>
      <c r="AF343" s="1107"/>
      <c r="AG343" s="1114">
        <f>SUM(AG335:AG341)</f>
        <v>60141.42</v>
      </c>
    </row>
    <row r="344" spans="1:33" ht="24" customHeight="1">
      <c r="A344" s="1122">
        <f t="shared" si="29"/>
        <v>179</v>
      </c>
      <c r="B344" s="1103" t="s">
        <v>3309</v>
      </c>
      <c r="C344" s="1114">
        <v>13.73</v>
      </c>
      <c r="D344" s="1103" t="s">
        <v>2941</v>
      </c>
      <c r="K344" s="1111" t="s">
        <v>36</v>
      </c>
      <c r="O344" s="1103" t="s">
        <v>3154</v>
      </c>
      <c r="R344" s="1114">
        <f>(R342/10)</f>
        <v>445.37387999999999</v>
      </c>
      <c r="X344" s="1111" t="s">
        <v>36</v>
      </c>
      <c r="AF344" s="1107"/>
      <c r="AG344" s="1111" t="s">
        <v>36</v>
      </c>
    </row>
    <row r="345" spans="1:33" ht="24" customHeight="1">
      <c r="A345" s="1122">
        <f t="shared" si="29"/>
        <v>180</v>
      </c>
      <c r="B345" s="1103" t="s">
        <v>3310</v>
      </c>
      <c r="C345" s="1114">
        <v>20.16</v>
      </c>
      <c r="D345" s="1103" t="s">
        <v>2941</v>
      </c>
      <c r="H345" s="1104" t="s">
        <v>2946</v>
      </c>
      <c r="K345" s="1114">
        <f>(K343/10)</f>
        <v>6161.6789999999992</v>
      </c>
      <c r="R345" s="1111" t="s">
        <v>2793</v>
      </c>
      <c r="U345" s="1105" t="s">
        <v>2946</v>
      </c>
      <c r="X345" s="1105">
        <f>X343/10</f>
        <v>6331.3949999999995</v>
      </c>
      <c r="AD345" s="1104" t="s">
        <v>2946</v>
      </c>
      <c r="AF345" s="1107"/>
      <c r="AG345" s="1114">
        <f>(AG343/10)</f>
        <v>6014.1419999999998</v>
      </c>
    </row>
    <row r="346" spans="1:33" ht="24" customHeight="1">
      <c r="A346" s="1122">
        <f t="shared" si="29"/>
        <v>181</v>
      </c>
      <c r="B346" s="1103" t="s">
        <v>3312</v>
      </c>
      <c r="C346" s="1114">
        <v>22.73</v>
      </c>
      <c r="D346" s="1103" t="s">
        <v>2941</v>
      </c>
      <c r="K346" s="1111" t="s">
        <v>2793</v>
      </c>
      <c r="N346" s="1103" t="s">
        <v>1363</v>
      </c>
      <c r="O346" s="1103" t="s">
        <v>3329</v>
      </c>
      <c r="X346" s="1132" t="s">
        <v>3330</v>
      </c>
      <c r="AF346" s="1107"/>
      <c r="AG346" s="1111" t="s">
        <v>2793</v>
      </c>
    </row>
    <row r="347" spans="1:33" ht="24" customHeight="1">
      <c r="A347" s="1122">
        <f t="shared" ref="A347:A410" si="32">(A346+1)</f>
        <v>182</v>
      </c>
      <c r="B347" s="1103" t="s">
        <v>3313</v>
      </c>
      <c r="C347" s="1114">
        <v>46.98</v>
      </c>
      <c r="D347" s="1103" t="s">
        <v>220</v>
      </c>
      <c r="H347" s="1103" t="s">
        <v>3062</v>
      </c>
      <c r="K347" s="1115">
        <f>(K345+C19)</f>
        <v>6229.6789999999992</v>
      </c>
      <c r="L347" s="1105">
        <f>K347-K345</f>
        <v>68</v>
      </c>
      <c r="O347" s="1111" t="s">
        <v>36</v>
      </c>
      <c r="U347" s="1119" t="s">
        <v>3062</v>
      </c>
      <c r="X347" s="1119">
        <f>X345+C19</f>
        <v>6399.3949999999995</v>
      </c>
      <c r="AD347" s="1103" t="s">
        <v>3062</v>
      </c>
      <c r="AF347" s="1107"/>
      <c r="AG347" s="1115">
        <f>(AG345+C19)</f>
        <v>6082.1419999999998</v>
      </c>
    </row>
    <row r="348" spans="1:33" ht="24" customHeight="1">
      <c r="A348" s="1122">
        <f t="shared" si="32"/>
        <v>183</v>
      </c>
      <c r="B348" s="1103" t="s">
        <v>3331</v>
      </c>
      <c r="H348" s="1103" t="s">
        <v>3066</v>
      </c>
      <c r="K348" s="1115">
        <f>(K347+C20)</f>
        <v>6366.878999999999</v>
      </c>
      <c r="L348" s="1105">
        <f>K348-K347</f>
        <v>137.19999999999982</v>
      </c>
      <c r="M348" s="1114">
        <v>0.22</v>
      </c>
      <c r="N348" s="1103" t="s">
        <v>2839</v>
      </c>
      <c r="O348" s="1103" t="s">
        <v>2921</v>
      </c>
      <c r="P348" s="1114">
        <f>(K32)</f>
        <v>4795.8599999999997</v>
      </c>
      <c r="Q348" s="1103" t="s">
        <v>2839</v>
      </c>
      <c r="R348" s="1114">
        <f>(M348*P348)</f>
        <v>1055.0891999999999</v>
      </c>
      <c r="U348" s="1119" t="s">
        <v>3066</v>
      </c>
      <c r="X348" s="1119">
        <f>X347+C20</f>
        <v>6536.5949999999993</v>
      </c>
      <c r="AD348" s="1103" t="s">
        <v>3066</v>
      </c>
      <c r="AF348" s="1107"/>
      <c r="AG348" s="1115">
        <f>(AG347+C20)</f>
        <v>6219.3419999999996</v>
      </c>
    </row>
    <row r="349" spans="1:33" ht="24" customHeight="1">
      <c r="A349" s="1122">
        <f t="shared" si="32"/>
        <v>184</v>
      </c>
      <c r="B349" s="1103" t="s">
        <v>3309</v>
      </c>
      <c r="C349" s="1114">
        <v>19.3</v>
      </c>
      <c r="D349" s="1103" t="s">
        <v>2941</v>
      </c>
      <c r="H349" s="1103" t="s">
        <v>3069</v>
      </c>
      <c r="K349" s="1115">
        <f>(K348+C20)</f>
        <v>6504.0789999999988</v>
      </c>
      <c r="L349" s="1105">
        <f>K349-K348</f>
        <v>137.19999999999982</v>
      </c>
      <c r="M349" s="1114">
        <v>2.2000000000000002</v>
      </c>
      <c r="N349" s="1103" t="s">
        <v>2838</v>
      </c>
      <c r="O349" s="1103" t="s">
        <v>3051</v>
      </c>
      <c r="P349" s="1114">
        <f>(C10)</f>
        <v>861</v>
      </c>
      <c r="Q349" s="1103" t="s">
        <v>2838</v>
      </c>
      <c r="R349" s="1114">
        <f>(M349*P349)</f>
        <v>1894.2</v>
      </c>
      <c r="U349" s="1119" t="s">
        <v>3069</v>
      </c>
      <c r="X349" s="1119">
        <f>X348+C20</f>
        <v>6673.7949999999992</v>
      </c>
      <c r="AD349" s="1103" t="s">
        <v>3069</v>
      </c>
      <c r="AF349" s="1107"/>
      <c r="AG349" s="1115">
        <f>(AG348+C20)</f>
        <v>6356.5419999999995</v>
      </c>
    </row>
    <row r="350" spans="1:33" ht="24" customHeight="1">
      <c r="A350" s="1122">
        <f t="shared" si="32"/>
        <v>185</v>
      </c>
      <c r="B350" s="1103" t="s">
        <v>3312</v>
      </c>
      <c r="C350" s="1114">
        <v>33.46</v>
      </c>
      <c r="D350" s="1103" t="s">
        <v>2941</v>
      </c>
      <c r="H350" s="1103" t="s">
        <v>3071</v>
      </c>
      <c r="K350" s="1115">
        <f>(K349+C21)</f>
        <v>6641.2789999999986</v>
      </c>
      <c r="M350" s="1114">
        <v>0.5</v>
      </c>
      <c r="N350" s="1103" t="s">
        <v>2838</v>
      </c>
      <c r="O350" s="1103" t="s">
        <v>3020</v>
      </c>
      <c r="P350" s="1114">
        <f>(C12)</f>
        <v>562</v>
      </c>
      <c r="Q350" s="1103" t="s">
        <v>2838</v>
      </c>
      <c r="R350" s="1114">
        <f>(M350*P350)</f>
        <v>281</v>
      </c>
      <c r="U350" s="1119" t="s">
        <v>3071</v>
      </c>
      <c r="X350" s="1119">
        <f>X349+C20</f>
        <v>6810.994999999999</v>
      </c>
      <c r="AD350" s="1103" t="s">
        <v>3071</v>
      </c>
      <c r="AF350" s="1107"/>
      <c r="AG350" s="1115">
        <f>(AG349+C20)</f>
        <v>6493.7419999999993</v>
      </c>
    </row>
    <row r="351" spans="1:33" ht="24" customHeight="1">
      <c r="A351" s="1122">
        <f t="shared" si="32"/>
        <v>186</v>
      </c>
      <c r="B351" s="1103" t="s">
        <v>3313</v>
      </c>
      <c r="C351" s="1114">
        <v>53.62</v>
      </c>
      <c r="D351" s="1103" t="s">
        <v>2941</v>
      </c>
      <c r="F351" s="1103" t="s">
        <v>220</v>
      </c>
      <c r="H351" s="1103" t="s">
        <v>3075</v>
      </c>
      <c r="K351" s="1115">
        <f>(K350+C21)</f>
        <v>6778.4789999999985</v>
      </c>
      <c r="L351" s="1105">
        <f>K351-K350</f>
        <v>137.19999999999982</v>
      </c>
      <c r="M351" s="1114">
        <v>3.2</v>
      </c>
      <c r="N351" s="1103" t="s">
        <v>2838</v>
      </c>
      <c r="O351" s="1103" t="s">
        <v>3026</v>
      </c>
      <c r="P351" s="1114">
        <f>(C13)</f>
        <v>461</v>
      </c>
      <c r="Q351" s="1103" t="s">
        <v>2838</v>
      </c>
      <c r="R351" s="1114">
        <f>(M351*P351)</f>
        <v>1475.2</v>
      </c>
      <c r="S351" s="1108" t="s">
        <v>220</v>
      </c>
      <c r="U351" s="1119" t="s">
        <v>3075</v>
      </c>
      <c r="X351" s="1119">
        <f>X350+C20</f>
        <v>6948.1949999999988</v>
      </c>
      <c r="AB351" s="1103" t="s">
        <v>220</v>
      </c>
      <c r="AD351" s="1103" t="s">
        <v>3075</v>
      </c>
      <c r="AF351" s="1107"/>
      <c r="AG351" s="1115">
        <f>(AG350+C20)</f>
        <v>6630.9419999999991</v>
      </c>
    </row>
    <row r="352" spans="1:33" ht="24" customHeight="1">
      <c r="A352" s="1122">
        <f t="shared" si="32"/>
        <v>187</v>
      </c>
      <c r="B352" s="1103" t="s">
        <v>3332</v>
      </c>
      <c r="F352" s="1126">
        <v>27</v>
      </c>
      <c r="G352" s="1114" t="s">
        <v>1363</v>
      </c>
      <c r="H352" s="1103" t="s">
        <v>3333</v>
      </c>
      <c r="L352" s="1105">
        <f>K351+L351</f>
        <v>6915.6789999999983</v>
      </c>
      <c r="N352" s="1103" t="s">
        <v>2851</v>
      </c>
      <c r="O352" s="1103" t="s">
        <v>2852</v>
      </c>
      <c r="P352" s="1103" t="s">
        <v>220</v>
      </c>
      <c r="Q352" s="1103" t="s">
        <v>2851</v>
      </c>
      <c r="R352" s="1114">
        <v>0</v>
      </c>
      <c r="S352" s="1108">
        <v>27</v>
      </c>
      <c r="T352" s="1105" t="s">
        <v>1363</v>
      </c>
      <c r="U352" s="1105" t="s">
        <v>3334</v>
      </c>
      <c r="AB352" s="1103"/>
      <c r="AD352" s="1103">
        <v>5</v>
      </c>
      <c r="AF352" s="1107"/>
      <c r="AG352" s="1115">
        <f>(AG351+C20)</f>
        <v>6768.1419999999989</v>
      </c>
    </row>
    <row r="353" spans="1:34" ht="24" customHeight="1">
      <c r="A353" s="1122">
        <f t="shared" si="32"/>
        <v>188</v>
      </c>
      <c r="B353" s="1103" t="s">
        <v>3309</v>
      </c>
      <c r="C353" s="1114">
        <v>13.73</v>
      </c>
      <c r="D353" s="1103" t="s">
        <v>2941</v>
      </c>
      <c r="H353" s="1103" t="str">
        <f>H333</f>
        <v>Bricks of size 22x11x7 cm</v>
      </c>
      <c r="L353" s="1105">
        <f>L352+L351</f>
        <v>7052.8789999999981</v>
      </c>
      <c r="R353" s="1111" t="s">
        <v>36</v>
      </c>
      <c r="U353" s="1105" t="s">
        <v>3307</v>
      </c>
      <c r="AB353" s="1103"/>
      <c r="AD353" s="1103">
        <v>6</v>
      </c>
      <c r="AF353" s="1107"/>
      <c r="AG353" s="1115">
        <f>(AG352+C20)</f>
        <v>6905.3419999999987</v>
      </c>
    </row>
    <row r="354" spans="1:34" ht="24" customHeight="1">
      <c r="A354" s="1122">
        <f t="shared" si="32"/>
        <v>189</v>
      </c>
      <c r="B354" s="1103" t="s">
        <v>3310</v>
      </c>
      <c r="C354" s="1114">
        <v>20.16</v>
      </c>
      <c r="D354" s="1103" t="s">
        <v>2941</v>
      </c>
      <c r="H354" s="1111" t="s">
        <v>36</v>
      </c>
      <c r="O354" s="1103" t="s">
        <v>3152</v>
      </c>
      <c r="R354" s="1114">
        <f>SUM(R348:R352)</f>
        <v>4705.4892</v>
      </c>
      <c r="U354" s="1105" t="s">
        <v>36</v>
      </c>
      <c r="AB354" s="1103"/>
      <c r="AD354" s="1103">
        <v>7</v>
      </c>
      <c r="AF354" s="1107"/>
      <c r="AG354" s="1115">
        <f>(AG353+C20)</f>
        <v>7042.5419999999986</v>
      </c>
    </row>
    <row r="355" spans="1:34" ht="24" customHeight="1">
      <c r="A355" s="1122">
        <f t="shared" si="32"/>
        <v>190</v>
      </c>
      <c r="B355" s="1103" t="s">
        <v>3312</v>
      </c>
      <c r="C355" s="1114">
        <v>22.73</v>
      </c>
      <c r="D355" s="1103" t="s">
        <v>2941</v>
      </c>
      <c r="F355" s="1114">
        <v>4800</v>
      </c>
      <c r="G355" s="1114" t="s">
        <v>3046</v>
      </c>
      <c r="H355" s="1114" t="str">
        <f>H309</f>
        <v>Bricks of size 22x11x7 cm</v>
      </c>
      <c r="I355" s="1114">
        <f>C80</f>
        <v>5813.3</v>
      </c>
      <c r="J355" s="1103" t="s">
        <v>3047</v>
      </c>
      <c r="K355" s="1114">
        <f>(F355*I355)/1000</f>
        <v>27903.84</v>
      </c>
      <c r="R355" s="1111" t="s">
        <v>36</v>
      </c>
      <c r="S355" s="1108">
        <v>4600</v>
      </c>
      <c r="T355" s="1105" t="s">
        <v>3046</v>
      </c>
      <c r="U355" s="1105" t="s">
        <v>3307</v>
      </c>
      <c r="V355" s="1105">
        <f>AC41</f>
        <v>6435</v>
      </c>
      <c r="W355" s="1105" t="s">
        <v>3047</v>
      </c>
      <c r="X355" s="1105">
        <f>V355*S355/1000</f>
        <v>29601</v>
      </c>
      <c r="AB355" s="1103"/>
      <c r="AD355" s="1103">
        <v>8</v>
      </c>
      <c r="AF355" s="1107"/>
      <c r="AG355" s="1115">
        <f>(AG354+C20)</f>
        <v>7179.7419999999984</v>
      </c>
    </row>
    <row r="356" spans="1:34" ht="24" customHeight="1">
      <c r="A356" s="1122">
        <f t="shared" si="32"/>
        <v>191</v>
      </c>
      <c r="B356" s="1103" t="s">
        <v>3313</v>
      </c>
      <c r="C356" s="1114">
        <v>46.98</v>
      </c>
      <c r="D356" s="1103" t="s">
        <v>2941</v>
      </c>
      <c r="F356" s="1114">
        <v>2.5</v>
      </c>
      <c r="G356" s="1114" t="s">
        <v>2839</v>
      </c>
      <c r="H356" s="1103" t="s">
        <v>2963</v>
      </c>
      <c r="I356" s="1114">
        <f>K40</f>
        <v>4080.66</v>
      </c>
      <c r="J356" s="1103" t="s">
        <v>2839</v>
      </c>
      <c r="K356" s="1114">
        <f>(F356*I356)</f>
        <v>10201.65</v>
      </c>
      <c r="O356" s="1103" t="s">
        <v>3154</v>
      </c>
      <c r="R356" s="1114">
        <f>(R354/10)</f>
        <v>470.54892000000001</v>
      </c>
      <c r="S356" s="1108">
        <v>2.5</v>
      </c>
      <c r="T356" s="1105" t="s">
        <v>2839</v>
      </c>
      <c r="U356" s="1105" t="s">
        <v>2963</v>
      </c>
      <c r="V356" s="1105">
        <f>I356</f>
        <v>4080.66</v>
      </c>
      <c r="W356" s="1105" t="s">
        <v>2839</v>
      </c>
      <c r="X356" s="1105">
        <f>V356*S356</f>
        <v>10201.65</v>
      </c>
      <c r="AB356" s="1103"/>
      <c r="AD356" s="1103">
        <v>9</v>
      </c>
      <c r="AF356" s="1107"/>
      <c r="AG356" s="1115">
        <f>(AG355+C20)</f>
        <v>7316.9419999999982</v>
      </c>
    </row>
    <row r="357" spans="1:34" ht="24" customHeight="1">
      <c r="A357" s="1122">
        <f t="shared" si="32"/>
        <v>192</v>
      </c>
      <c r="B357" s="1103" t="s">
        <v>3335</v>
      </c>
      <c r="F357" s="1114">
        <v>3.5</v>
      </c>
      <c r="G357" s="1114" t="s">
        <v>2838</v>
      </c>
      <c r="H357" s="1103" t="s">
        <v>3051</v>
      </c>
      <c r="I357" s="1114">
        <f>(C10)</f>
        <v>861</v>
      </c>
      <c r="J357" s="1103" t="s">
        <v>2838</v>
      </c>
      <c r="K357" s="1114">
        <f>(F357*I357)</f>
        <v>3013.5</v>
      </c>
      <c r="R357" s="1111" t="s">
        <v>2793</v>
      </c>
      <c r="S357" s="1108">
        <v>3.5</v>
      </c>
      <c r="T357" s="1105" t="s">
        <v>2838</v>
      </c>
      <c r="U357" s="1105" t="s">
        <v>3051</v>
      </c>
      <c r="V357" s="1105">
        <f>I357</f>
        <v>861</v>
      </c>
      <c r="W357" s="1105" t="s">
        <v>2838</v>
      </c>
      <c r="X357" s="1105">
        <f>V357*S357</f>
        <v>3013.5</v>
      </c>
      <c r="AB357" s="1103"/>
      <c r="AD357" s="1103">
        <v>10</v>
      </c>
      <c r="AF357" s="1107"/>
      <c r="AG357" s="1115">
        <f>(AG356+C20)</f>
        <v>7454.141999999998</v>
      </c>
    </row>
    <row r="358" spans="1:34" ht="24" customHeight="1">
      <c r="A358" s="1122">
        <f t="shared" si="32"/>
        <v>193</v>
      </c>
      <c r="B358" s="1103" t="s">
        <v>3309</v>
      </c>
      <c r="C358" s="1114">
        <v>19.3</v>
      </c>
      <c r="D358" s="1103" t="s">
        <v>2941</v>
      </c>
      <c r="F358" s="1114">
        <v>10.6</v>
      </c>
      <c r="G358" s="1114" t="s">
        <v>2838</v>
      </c>
      <c r="H358" s="1103" t="s">
        <v>3017</v>
      </c>
      <c r="I358" s="1114">
        <f>(C11)</f>
        <v>804</v>
      </c>
      <c r="J358" s="1103" t="s">
        <v>2838</v>
      </c>
      <c r="K358" s="1114">
        <f>(F358*I358)</f>
        <v>8522.4</v>
      </c>
      <c r="N358" s="1103" t="s">
        <v>1363</v>
      </c>
      <c r="O358" s="1103" t="s">
        <v>3336</v>
      </c>
      <c r="S358" s="1108">
        <v>10.6</v>
      </c>
      <c r="T358" s="1105" t="s">
        <v>2838</v>
      </c>
      <c r="U358" s="1105" t="s">
        <v>3017</v>
      </c>
      <c r="V358" s="1105">
        <f>I358</f>
        <v>804</v>
      </c>
      <c r="W358" s="1105" t="s">
        <v>2838</v>
      </c>
      <c r="X358" s="1105">
        <f>V358*S358</f>
        <v>8522.4</v>
      </c>
      <c r="AB358" s="1103"/>
      <c r="AD358" s="1103">
        <v>11</v>
      </c>
      <c r="AF358" s="1107"/>
      <c r="AG358" s="1115">
        <f>(AG357+C20)</f>
        <v>7591.3419999999978</v>
      </c>
    </row>
    <row r="359" spans="1:34" ht="24" customHeight="1">
      <c r="A359" s="1122">
        <f t="shared" si="32"/>
        <v>194</v>
      </c>
      <c r="B359" s="1103" t="s">
        <v>3310</v>
      </c>
      <c r="C359" s="1114">
        <v>25.74</v>
      </c>
      <c r="D359" s="1103" t="s">
        <v>2941</v>
      </c>
      <c r="F359" s="1114">
        <v>7.1</v>
      </c>
      <c r="G359" s="1114" t="s">
        <v>2838</v>
      </c>
      <c r="H359" s="1103" t="s">
        <v>3020</v>
      </c>
      <c r="I359" s="1114">
        <f>(C12)</f>
        <v>562</v>
      </c>
      <c r="J359" s="1103" t="s">
        <v>2838</v>
      </c>
      <c r="K359" s="1114">
        <f>(F359*I359)</f>
        <v>3990.2</v>
      </c>
      <c r="O359" s="1103" t="s">
        <v>3337</v>
      </c>
      <c r="S359" s="1108">
        <v>7.1</v>
      </c>
      <c r="T359" s="1105" t="s">
        <v>2838</v>
      </c>
      <c r="U359" s="1105" t="s">
        <v>3020</v>
      </c>
      <c r="V359" s="1105">
        <f>I359</f>
        <v>562</v>
      </c>
      <c r="W359" s="1105" t="s">
        <v>2838</v>
      </c>
      <c r="X359" s="1105">
        <f>V359*S359</f>
        <v>3990.2</v>
      </c>
      <c r="AB359" s="1103"/>
      <c r="AD359" s="1103">
        <v>12</v>
      </c>
      <c r="AF359" s="1107"/>
      <c r="AG359" s="1115">
        <f>(AG358+C20)</f>
        <v>7728.5419999999976</v>
      </c>
    </row>
    <row r="360" spans="1:34" ht="24" customHeight="1">
      <c r="A360" s="1122">
        <f t="shared" si="32"/>
        <v>195</v>
      </c>
      <c r="B360" s="1103" t="s">
        <v>3312</v>
      </c>
      <c r="C360" s="1114">
        <v>33.46</v>
      </c>
      <c r="D360" s="1103" t="s">
        <v>2941</v>
      </c>
      <c r="F360" s="1114">
        <v>21.2</v>
      </c>
      <c r="G360" s="1114" t="s">
        <v>2838</v>
      </c>
      <c r="H360" s="1103" t="s">
        <v>3026</v>
      </c>
      <c r="I360" s="1114">
        <f>(C13)</f>
        <v>461</v>
      </c>
      <c r="J360" s="1103" t="s">
        <v>2838</v>
      </c>
      <c r="K360" s="1114">
        <f>(F360*I360)</f>
        <v>9773.1999999999989</v>
      </c>
      <c r="O360" s="1103" t="s">
        <v>3338</v>
      </c>
      <c r="S360" s="1108">
        <v>21.2</v>
      </c>
      <c r="T360" s="1105" t="s">
        <v>2838</v>
      </c>
      <c r="U360" s="1105" t="s">
        <v>3026</v>
      </c>
      <c r="V360" s="1105">
        <f>I360</f>
        <v>461</v>
      </c>
      <c r="W360" s="1105" t="s">
        <v>2838</v>
      </c>
      <c r="X360" s="1105">
        <f>V360*S360</f>
        <v>9773.1999999999989</v>
      </c>
      <c r="AB360" s="1103"/>
      <c r="AD360" s="1103">
        <v>13</v>
      </c>
      <c r="AF360" s="1107"/>
      <c r="AG360" s="1115">
        <f>(AG359+C20)</f>
        <v>7865.7419999999975</v>
      </c>
    </row>
    <row r="361" spans="1:34" ht="24" customHeight="1">
      <c r="A361" s="1122">
        <f t="shared" si="32"/>
        <v>196</v>
      </c>
      <c r="B361" s="1103" t="s">
        <v>3313</v>
      </c>
      <c r="C361" s="1114">
        <v>53.62</v>
      </c>
      <c r="D361" s="1103" t="s">
        <v>220</v>
      </c>
      <c r="G361" s="1114" t="s">
        <v>2851</v>
      </c>
      <c r="H361" s="1103" t="s">
        <v>2852</v>
      </c>
      <c r="J361" s="1103" t="s">
        <v>2851</v>
      </c>
      <c r="K361" s="1114">
        <v>0</v>
      </c>
      <c r="O361" s="1111" t="s">
        <v>36</v>
      </c>
      <c r="T361" s="1105" t="s">
        <v>2851</v>
      </c>
      <c r="U361" s="1105" t="s">
        <v>2852</v>
      </c>
      <c r="W361" s="1105" t="s">
        <v>2851</v>
      </c>
      <c r="X361" s="1105">
        <v>0</v>
      </c>
      <c r="AB361" s="1126">
        <v>27</v>
      </c>
      <c r="AC361" s="1114" t="s">
        <v>1363</v>
      </c>
      <c r="AD361" s="1103" t="s">
        <v>3339</v>
      </c>
      <c r="AF361" s="1107"/>
    </row>
    <row r="362" spans="1:34" ht="24" customHeight="1">
      <c r="A362" s="1122">
        <f t="shared" si="32"/>
        <v>197</v>
      </c>
      <c r="B362" s="1103" t="s">
        <v>3340</v>
      </c>
      <c r="K362" s="1111" t="s">
        <v>36</v>
      </c>
      <c r="M362" s="1114">
        <v>0.22</v>
      </c>
      <c r="N362" s="1103" t="s">
        <v>2839</v>
      </c>
      <c r="O362" s="1103" t="s">
        <v>2963</v>
      </c>
      <c r="P362" s="1114">
        <f>(K40)</f>
        <v>4080.66</v>
      </c>
      <c r="Q362" s="1103" t="s">
        <v>2839</v>
      </c>
      <c r="R362" s="1114">
        <f t="shared" ref="R362:R367" si="33">(M362*P362)</f>
        <v>897.74519999999995</v>
      </c>
      <c r="X362" s="1111" t="s">
        <v>36</v>
      </c>
      <c r="AD362" s="1103" t="str">
        <f>AD333</f>
        <v>Bricks of size 23x11.4x7.5 cm</v>
      </c>
      <c r="AF362" s="1107"/>
    </row>
    <row r="363" spans="1:34" ht="24" customHeight="1">
      <c r="A363" s="1122">
        <f t="shared" si="32"/>
        <v>198</v>
      </c>
      <c r="B363" s="1103" t="s">
        <v>3309</v>
      </c>
      <c r="C363" s="1114">
        <v>26.16</v>
      </c>
      <c r="D363" s="1103" t="s">
        <v>2941</v>
      </c>
      <c r="H363" s="1103" t="s">
        <v>3033</v>
      </c>
      <c r="K363" s="1114">
        <f>SUM(K355:K361)</f>
        <v>63404.789999999994</v>
      </c>
      <c r="M363" s="1114">
        <v>2.2000000000000002</v>
      </c>
      <c r="N363" s="1103" t="s">
        <v>2838</v>
      </c>
      <c r="O363" s="1103" t="s">
        <v>3051</v>
      </c>
      <c r="P363" s="1114">
        <f>(C10)</f>
        <v>861</v>
      </c>
      <c r="Q363" s="1103" t="s">
        <v>2838</v>
      </c>
      <c r="R363" s="1114">
        <f t="shared" si="33"/>
        <v>1894.2</v>
      </c>
      <c r="U363" s="1105" t="s">
        <v>3033</v>
      </c>
      <c r="X363" s="1105">
        <f>SUM(X355:X361)</f>
        <v>65101.95</v>
      </c>
      <c r="AD363" s="1111" t="s">
        <v>36</v>
      </c>
      <c r="AF363" s="1107"/>
    </row>
    <row r="364" spans="1:34" ht="24" customHeight="1">
      <c r="A364" s="1122">
        <f t="shared" si="32"/>
        <v>199</v>
      </c>
      <c r="B364" s="1103" t="s">
        <v>3310</v>
      </c>
      <c r="C364" s="1114">
        <v>34.32</v>
      </c>
      <c r="D364" s="1103" t="s">
        <v>2941</v>
      </c>
      <c r="K364" s="1111" t="s">
        <v>36</v>
      </c>
      <c r="M364" s="1114">
        <v>0.5</v>
      </c>
      <c r="N364" s="1103" t="s">
        <v>2838</v>
      </c>
      <c r="O364" s="1103" t="s">
        <v>3020</v>
      </c>
      <c r="P364" s="1114">
        <f>(C12)</f>
        <v>562</v>
      </c>
      <c r="Q364" s="1103" t="s">
        <v>2838</v>
      </c>
      <c r="R364" s="1114">
        <f t="shared" si="33"/>
        <v>281</v>
      </c>
      <c r="X364" s="1111" t="s">
        <v>36</v>
      </c>
      <c r="AB364" s="1114">
        <v>4240</v>
      </c>
      <c r="AC364" s="1114" t="s">
        <v>3046</v>
      </c>
      <c r="AD364" s="1114" t="str">
        <f>AD309</f>
        <v>Bricks of size 23x11.4x7.5 cm</v>
      </c>
      <c r="AE364" s="1114">
        <f>AC42</f>
        <v>6630</v>
      </c>
      <c r="AF364" s="1103" t="s">
        <v>3047</v>
      </c>
      <c r="AG364" s="1114">
        <f>(AB364*AE364)/1000</f>
        <v>28111.200000000001</v>
      </c>
    </row>
    <row r="365" spans="1:34" ht="24" customHeight="1">
      <c r="A365" s="1122">
        <f t="shared" si="32"/>
        <v>200</v>
      </c>
      <c r="B365" s="1103" t="s">
        <v>3312</v>
      </c>
      <c r="C365" s="1114">
        <v>40.33</v>
      </c>
      <c r="D365" s="1103" t="s">
        <v>2941</v>
      </c>
      <c r="H365" s="1103" t="s">
        <v>2946</v>
      </c>
      <c r="K365" s="1114">
        <f>(K363/10)</f>
        <v>6340.4789999999994</v>
      </c>
      <c r="M365" s="1114">
        <v>1.1000000000000001</v>
      </c>
      <c r="N365" s="1103" t="s">
        <v>3341</v>
      </c>
      <c r="O365" s="1103" t="s">
        <v>3342</v>
      </c>
      <c r="P365" s="1114">
        <f>(C10)</f>
        <v>861</v>
      </c>
      <c r="Q365" s="1103" t="s">
        <v>2838</v>
      </c>
      <c r="R365" s="1114">
        <f t="shared" si="33"/>
        <v>947.1</v>
      </c>
      <c r="U365" s="1105" t="s">
        <v>2946</v>
      </c>
      <c r="X365" s="1105">
        <f>X363/10</f>
        <v>6510.1949999999997</v>
      </c>
      <c r="AB365" s="1114">
        <v>2</v>
      </c>
      <c r="AC365" s="1114" t="s">
        <v>2839</v>
      </c>
      <c r="AD365" s="1103" t="s">
        <v>2963</v>
      </c>
      <c r="AE365" s="1114">
        <f>V356</f>
        <v>4080.66</v>
      </c>
      <c r="AF365" s="1103" t="s">
        <v>2839</v>
      </c>
      <c r="AG365" s="1114">
        <f>(AB365*AE365)</f>
        <v>8161.32</v>
      </c>
    </row>
    <row r="366" spans="1:34" ht="24" customHeight="1">
      <c r="A366" s="1122">
        <f t="shared" si="32"/>
        <v>201</v>
      </c>
      <c r="B366" s="1103" t="s">
        <v>3343</v>
      </c>
      <c r="D366" s="1103" t="s">
        <v>220</v>
      </c>
      <c r="K366" s="1111" t="s">
        <v>2793</v>
      </c>
      <c r="M366" s="1114">
        <v>3.2</v>
      </c>
      <c r="N366" s="1103" t="s">
        <v>2838</v>
      </c>
      <c r="O366" s="1103" t="s">
        <v>3026</v>
      </c>
      <c r="P366" s="1114">
        <f>(C13)</f>
        <v>461</v>
      </c>
      <c r="Q366" s="1103" t="s">
        <v>2838</v>
      </c>
      <c r="R366" s="1114">
        <f t="shared" si="33"/>
        <v>1475.2</v>
      </c>
      <c r="X366" s="1132" t="s">
        <v>3330</v>
      </c>
      <c r="AB366" s="1114">
        <v>3.5</v>
      </c>
      <c r="AC366" s="1114" t="s">
        <v>2838</v>
      </c>
      <c r="AD366" s="1103" t="s">
        <v>3051</v>
      </c>
      <c r="AE366" s="1114">
        <f>V357</f>
        <v>861</v>
      </c>
      <c r="AF366" s="1103" t="s">
        <v>2838</v>
      </c>
      <c r="AG366" s="1114">
        <f>(AB366*AE366)</f>
        <v>3013.5</v>
      </c>
    </row>
    <row r="367" spans="1:34" ht="24" customHeight="1">
      <c r="A367" s="1122">
        <f t="shared" si="32"/>
        <v>202</v>
      </c>
      <c r="B367" s="1103" t="s">
        <v>3309</v>
      </c>
      <c r="C367" s="1114">
        <v>20.329999999999998</v>
      </c>
      <c r="D367" s="1103" t="s">
        <v>2941</v>
      </c>
      <c r="H367" s="1103" t="s">
        <v>3062</v>
      </c>
      <c r="J367" s="1107">
        <f>K367-K365</f>
        <v>68</v>
      </c>
      <c r="K367" s="1114">
        <f>(K365+C19)</f>
        <v>6408.4789999999994</v>
      </c>
      <c r="M367" s="1114">
        <v>9.8000000000000007</v>
      </c>
      <c r="N367" s="1103" t="s">
        <v>165</v>
      </c>
      <c r="O367" s="1103" t="s">
        <v>3344</v>
      </c>
      <c r="P367" s="1114">
        <f>(C148)</f>
        <v>143.80000000000001</v>
      </c>
      <c r="Q367" s="1103" t="s">
        <v>165</v>
      </c>
      <c r="R367" s="1114">
        <f t="shared" si="33"/>
        <v>1409.2400000000002</v>
      </c>
      <c r="U367" s="1105" t="s">
        <v>3062</v>
      </c>
      <c r="X367" s="1105">
        <f>X365+C19</f>
        <v>6578.1949999999997</v>
      </c>
      <c r="Y367" s="1105">
        <f>X365+X367+X368+X369+X370+X371</f>
        <v>40773.17</v>
      </c>
      <c r="Z367" s="1105">
        <f>Y367/6</f>
        <v>6795.5283333333327</v>
      </c>
      <c r="AB367" s="1114">
        <v>10.6</v>
      </c>
      <c r="AC367" s="1114" t="s">
        <v>2838</v>
      </c>
      <c r="AD367" s="1103" t="s">
        <v>3017</v>
      </c>
      <c r="AE367" s="1114">
        <f>V358</f>
        <v>804</v>
      </c>
      <c r="AF367" s="1103" t="s">
        <v>2838</v>
      </c>
      <c r="AG367" s="1114">
        <f>(AB367*AE367)</f>
        <v>8522.4</v>
      </c>
    </row>
    <row r="368" spans="1:34" ht="24" customHeight="1">
      <c r="A368" s="1122">
        <f t="shared" si="32"/>
        <v>203</v>
      </c>
      <c r="B368" s="1103" t="s">
        <v>3310</v>
      </c>
      <c r="C368" s="1114">
        <v>26.6</v>
      </c>
      <c r="D368" s="1103" t="s">
        <v>2941</v>
      </c>
      <c r="H368" s="1103" t="s">
        <v>3066</v>
      </c>
      <c r="J368" s="1107">
        <f>K368-K367</f>
        <v>137.19999999999982</v>
      </c>
      <c r="K368" s="1114">
        <f>(K367+C20)</f>
        <v>6545.6789999999992</v>
      </c>
      <c r="L368" s="1105">
        <f>(K367+K368)/2</f>
        <v>6477.0789999999997</v>
      </c>
      <c r="N368" s="1103" t="s">
        <v>2851</v>
      </c>
      <c r="O368" s="1103" t="s">
        <v>2852</v>
      </c>
      <c r="P368" s="1103" t="s">
        <v>220</v>
      </c>
      <c r="Q368" s="1103" t="s">
        <v>2851</v>
      </c>
      <c r="R368" s="1114">
        <v>0</v>
      </c>
      <c r="U368" s="1105" t="s">
        <v>3066</v>
      </c>
      <c r="X368" s="1105">
        <f>X367+C20</f>
        <v>6715.3949999999995</v>
      </c>
      <c r="Y368" s="1105">
        <f>SUM(X367:X368)/2</f>
        <v>6646.7950000000001</v>
      </c>
      <c r="AB368" s="1114">
        <v>7.1</v>
      </c>
      <c r="AC368" s="1114" t="s">
        <v>2838</v>
      </c>
      <c r="AD368" s="1103" t="s">
        <v>3020</v>
      </c>
      <c r="AE368" s="1114">
        <f>V359</f>
        <v>562</v>
      </c>
      <c r="AF368" s="1103" t="s">
        <v>2838</v>
      </c>
      <c r="AG368" s="1114">
        <f>(AB368*AE368)</f>
        <v>3990.2</v>
      </c>
      <c r="AH368" s="1105">
        <f>(AG377+AG376)/2</f>
        <v>6293.7819999999992</v>
      </c>
    </row>
    <row r="369" spans="1:34" ht="24" customHeight="1">
      <c r="A369" s="1122">
        <f t="shared" si="32"/>
        <v>204</v>
      </c>
      <c r="B369" s="1103" t="s">
        <v>3312</v>
      </c>
      <c r="C369" s="1114">
        <v>33.89</v>
      </c>
      <c r="D369" s="1103" t="s">
        <v>2941</v>
      </c>
      <c r="H369" s="1103" t="s">
        <v>3069</v>
      </c>
      <c r="J369" s="1107">
        <f>K369-K368</f>
        <v>137.19999999999982</v>
      </c>
      <c r="K369" s="1114">
        <f>(K368+C21)</f>
        <v>6682.878999999999</v>
      </c>
      <c r="L369" s="1105">
        <f>SUM(K367:K369)/3</f>
        <v>6545.6789999999992</v>
      </c>
      <c r="R369" s="1111" t="s">
        <v>36</v>
      </c>
      <c r="U369" s="1105" t="s">
        <v>3069</v>
      </c>
      <c r="X369" s="1105">
        <f>X368+C20</f>
        <v>6852.5949999999993</v>
      </c>
      <c r="Y369" s="1105">
        <f>SUM(X367:X369)/3</f>
        <v>6715.3949999999995</v>
      </c>
      <c r="AB369" s="1114">
        <v>21.2</v>
      </c>
      <c r="AC369" s="1114" t="s">
        <v>2838</v>
      </c>
      <c r="AD369" s="1103" t="s">
        <v>3026</v>
      </c>
      <c r="AE369" s="1114">
        <f>V360</f>
        <v>461</v>
      </c>
      <c r="AF369" s="1103" t="s">
        <v>2838</v>
      </c>
      <c r="AG369" s="1114">
        <f>(AB369*AE369)</f>
        <v>9773.1999999999989</v>
      </c>
      <c r="AH369" s="1105">
        <f>SUM(AG376:AG378)/3</f>
        <v>6362.3819999999987</v>
      </c>
    </row>
    <row r="370" spans="1:34" ht="24" customHeight="1">
      <c r="A370" s="1122">
        <f t="shared" si="32"/>
        <v>205</v>
      </c>
      <c r="B370" s="1103" t="s">
        <v>3345</v>
      </c>
      <c r="H370" s="1103" t="s">
        <v>3071</v>
      </c>
      <c r="J370" s="1107">
        <f>K370-K369</f>
        <v>137.19999999999982</v>
      </c>
      <c r="K370" s="1114">
        <f>K369+C21</f>
        <v>6820.0789999999988</v>
      </c>
      <c r="O370" s="1103" t="s">
        <v>3152</v>
      </c>
      <c r="R370" s="1114">
        <f>SUM(R362:R368)</f>
        <v>6904.485200000001</v>
      </c>
      <c r="U370" s="1105" t="s">
        <v>3071</v>
      </c>
      <c r="X370" s="1105">
        <f>X369+C20</f>
        <v>6989.7949999999992</v>
      </c>
      <c r="AC370" s="1114" t="s">
        <v>2851</v>
      </c>
      <c r="AD370" s="1103" t="s">
        <v>2852</v>
      </c>
      <c r="AF370" s="1103" t="s">
        <v>2851</v>
      </c>
      <c r="AG370" s="1114">
        <v>0</v>
      </c>
    </row>
    <row r="371" spans="1:34" ht="24" customHeight="1">
      <c r="A371" s="1122">
        <f t="shared" si="32"/>
        <v>206</v>
      </c>
      <c r="B371" s="1103" t="s">
        <v>3309</v>
      </c>
      <c r="C371" s="1114">
        <v>13.29</v>
      </c>
      <c r="D371" s="1103" t="s">
        <v>2941</v>
      </c>
      <c r="H371" s="1103" t="s">
        <v>3075</v>
      </c>
      <c r="J371" s="1107">
        <f>K371-K370</f>
        <v>137.19999999999982</v>
      </c>
      <c r="K371" s="1114">
        <f>K370+C21</f>
        <v>6957.2789999999986</v>
      </c>
      <c r="R371" s="1111" t="s">
        <v>36</v>
      </c>
      <c r="U371" s="1105" t="s">
        <v>3075</v>
      </c>
      <c r="X371" s="1105">
        <f>X370+C20</f>
        <v>7126.994999999999</v>
      </c>
      <c r="AF371" s="1107"/>
      <c r="AG371" s="1111" t="s">
        <v>36</v>
      </c>
    </row>
    <row r="372" spans="1:34" ht="24" customHeight="1">
      <c r="A372" s="1122">
        <f t="shared" si="32"/>
        <v>207</v>
      </c>
      <c r="B372" s="1103" t="s">
        <v>3310</v>
      </c>
      <c r="C372" s="1114">
        <v>18.02</v>
      </c>
      <c r="D372" s="1103" t="s">
        <v>2941</v>
      </c>
      <c r="H372" s="1103" t="s">
        <v>3115</v>
      </c>
      <c r="J372" s="1107">
        <f>SUM(K367+K368+K369)/3</f>
        <v>6545.6789999999992</v>
      </c>
      <c r="K372" s="1114">
        <f>(K367+K368+K369+K370)/4</f>
        <v>6614.2789999999986</v>
      </c>
      <c r="O372" s="1103" t="s">
        <v>3154</v>
      </c>
      <c r="R372" s="1114">
        <f>(R370/10)</f>
        <v>690.44852000000014</v>
      </c>
      <c r="U372" s="1105" t="s">
        <v>3115</v>
      </c>
      <c r="W372" s="1105">
        <v>2171.31</v>
      </c>
      <c r="X372" s="1105">
        <f>SUM(X367:X370)/4</f>
        <v>6783.994999999999</v>
      </c>
      <c r="AD372" s="1103" t="s">
        <v>3033</v>
      </c>
      <c r="AF372" s="1107"/>
      <c r="AG372" s="1114">
        <f>SUM(AG364:AG370)</f>
        <v>61571.82</v>
      </c>
    </row>
    <row r="373" spans="1:34" ht="24" customHeight="1">
      <c r="A373" s="1122">
        <f t="shared" si="32"/>
        <v>208</v>
      </c>
      <c r="B373" s="1103" t="s">
        <v>3312</v>
      </c>
      <c r="C373" s="1114">
        <v>23.17</v>
      </c>
      <c r="D373" s="1103" t="s">
        <v>2941</v>
      </c>
      <c r="R373" s="1111" t="s">
        <v>2793</v>
      </c>
      <c r="AF373" s="1107"/>
      <c r="AG373" s="1111" t="s">
        <v>36</v>
      </c>
    </row>
    <row r="374" spans="1:34" ht="24" customHeight="1">
      <c r="A374" s="1122">
        <f t="shared" si="32"/>
        <v>209</v>
      </c>
      <c r="B374" s="1103" t="s">
        <v>3346</v>
      </c>
      <c r="D374" s="1103" t="s">
        <v>220</v>
      </c>
      <c r="H374" s="1104" t="s">
        <v>3117</v>
      </c>
      <c r="N374" s="1103" t="s">
        <v>1363</v>
      </c>
      <c r="O374" s="1103" t="s">
        <v>3347</v>
      </c>
      <c r="U374" s="1105" t="s">
        <v>3117</v>
      </c>
      <c r="AD374" s="1103" t="s">
        <v>2946</v>
      </c>
      <c r="AF374" s="1107"/>
      <c r="AG374" s="1114">
        <f>(AG372/10)</f>
        <v>6157.1819999999998</v>
      </c>
    </row>
    <row r="375" spans="1:34" ht="24" customHeight="1">
      <c r="A375" s="1122">
        <f t="shared" si="32"/>
        <v>210</v>
      </c>
      <c r="B375" s="1103" t="s">
        <v>3309</v>
      </c>
      <c r="C375" s="1114">
        <v>9</v>
      </c>
      <c r="D375" s="1103" t="s">
        <v>2941</v>
      </c>
      <c r="H375" s="1111" t="s">
        <v>36</v>
      </c>
      <c r="O375" s="1111" t="s">
        <v>36</v>
      </c>
      <c r="U375" s="1105" t="s">
        <v>36</v>
      </c>
      <c r="AF375" s="1107"/>
      <c r="AG375" s="1111" t="s">
        <v>2793</v>
      </c>
    </row>
    <row r="376" spans="1:34" ht="24" customHeight="1">
      <c r="A376" s="1122">
        <f t="shared" si="32"/>
        <v>211</v>
      </c>
      <c r="B376" s="1103" t="s">
        <v>3310</v>
      </c>
      <c r="C376" s="1114">
        <v>11.58</v>
      </c>
      <c r="D376" s="1103" t="s">
        <v>2941</v>
      </c>
      <c r="F376" s="1126">
        <v>10</v>
      </c>
      <c r="G376" s="1114" t="s">
        <v>1363</v>
      </c>
      <c r="H376" s="1103" t="s">
        <v>3348</v>
      </c>
      <c r="M376" s="1114">
        <v>0.05</v>
      </c>
      <c r="N376" s="1103" t="s">
        <v>2839</v>
      </c>
      <c r="O376" s="1103" t="s">
        <v>3087</v>
      </c>
      <c r="P376" s="1114">
        <f>(C84)</f>
        <v>1322</v>
      </c>
      <c r="Q376" s="1103" t="s">
        <v>2839</v>
      </c>
      <c r="R376" s="1114">
        <f>(M376*P376)</f>
        <v>66.100000000000009</v>
      </c>
      <c r="S376" s="1108">
        <v>10</v>
      </c>
      <c r="T376" s="1105" t="s">
        <v>1363</v>
      </c>
      <c r="U376" s="1105" t="s">
        <v>3349</v>
      </c>
      <c r="AD376" s="1103" t="s">
        <v>3062</v>
      </c>
      <c r="AF376" s="1107"/>
      <c r="AG376" s="1114">
        <f>(AG374+C19)</f>
        <v>6225.1819999999998</v>
      </c>
    </row>
    <row r="377" spans="1:34" ht="24" customHeight="1">
      <c r="A377" s="1122">
        <f t="shared" si="32"/>
        <v>212</v>
      </c>
      <c r="B377" s="1103" t="s">
        <v>3312</v>
      </c>
      <c r="C377" s="1114">
        <v>14.15</v>
      </c>
      <c r="D377" s="1103" t="s">
        <v>2941</v>
      </c>
      <c r="H377" s="1114" t="str">
        <f>H309</f>
        <v>Bricks of size 22x11x7 cm</v>
      </c>
      <c r="M377" s="1114">
        <v>1.1000000000000001</v>
      </c>
      <c r="N377" s="1103" t="s">
        <v>2838</v>
      </c>
      <c r="O377" s="1103" t="s">
        <v>3017</v>
      </c>
      <c r="P377" s="1114">
        <f>(C11)</f>
        <v>804</v>
      </c>
      <c r="Q377" s="1103" t="s">
        <v>2838</v>
      </c>
      <c r="R377" s="1114">
        <f>(M377*P377)</f>
        <v>884.40000000000009</v>
      </c>
      <c r="U377" s="1105" t="s">
        <v>3307</v>
      </c>
      <c r="AD377" s="1103" t="s">
        <v>3066</v>
      </c>
      <c r="AF377" s="1107"/>
      <c r="AG377" s="1114">
        <f>(AG376+C20)</f>
        <v>6362.3819999999996</v>
      </c>
    </row>
    <row r="378" spans="1:34" ht="24" customHeight="1">
      <c r="A378" s="1122">
        <f t="shared" si="32"/>
        <v>213</v>
      </c>
      <c r="B378" s="1103" t="s">
        <v>3350</v>
      </c>
      <c r="H378" s="1111" t="s">
        <v>36</v>
      </c>
      <c r="M378" s="1114">
        <v>0.3</v>
      </c>
      <c r="N378" s="1103" t="s">
        <v>2838</v>
      </c>
      <c r="O378" s="1103" t="s">
        <v>3020</v>
      </c>
      <c r="P378" s="1114">
        <f>(C12)</f>
        <v>562</v>
      </c>
      <c r="Q378" s="1103" t="s">
        <v>2838</v>
      </c>
      <c r="R378" s="1114">
        <f>(M378*P378)</f>
        <v>168.6</v>
      </c>
      <c r="U378" s="1105" t="s">
        <v>36</v>
      </c>
      <c r="AD378" s="1103" t="s">
        <v>3069</v>
      </c>
      <c r="AF378" s="1107"/>
      <c r="AG378" s="1114">
        <f>(AG377+C20)</f>
        <v>6499.5819999999994</v>
      </c>
    </row>
    <row r="379" spans="1:34" ht="24" customHeight="1">
      <c r="A379" s="1122">
        <f t="shared" si="32"/>
        <v>214</v>
      </c>
      <c r="B379" s="1103" t="s">
        <v>3309</v>
      </c>
      <c r="C379" s="1114">
        <v>4.29</v>
      </c>
      <c r="D379" s="1103" t="s">
        <v>2941</v>
      </c>
      <c r="F379" s="1114">
        <f>F311</f>
        <v>4800</v>
      </c>
      <c r="G379" s="1114" t="s">
        <v>3046</v>
      </c>
      <c r="H379" s="1114" t="str">
        <f>H309</f>
        <v>Bricks of size 22x11x7 cm</v>
      </c>
      <c r="I379" s="1114">
        <f>(C80)</f>
        <v>5813.3</v>
      </c>
      <c r="J379" s="1103" t="s">
        <v>3047</v>
      </c>
      <c r="K379" s="1114">
        <f>(F379*I379)/1000</f>
        <v>27903.84</v>
      </c>
      <c r="M379" s="1114">
        <v>1.9</v>
      </c>
      <c r="N379" s="1103" t="s">
        <v>2838</v>
      </c>
      <c r="O379" s="1103" t="s">
        <v>3026</v>
      </c>
      <c r="P379" s="1114">
        <f>(C13)</f>
        <v>461</v>
      </c>
      <c r="Q379" s="1103" t="s">
        <v>2838</v>
      </c>
      <c r="R379" s="1114">
        <f>(M379*P379)</f>
        <v>875.9</v>
      </c>
      <c r="S379" s="1108">
        <v>4600</v>
      </c>
      <c r="T379" s="1105" t="s">
        <v>3046</v>
      </c>
      <c r="U379" s="1105" t="s">
        <v>3307</v>
      </c>
      <c r="V379" s="1105">
        <f>AC41</f>
        <v>6435</v>
      </c>
      <c r="W379" s="1105" t="s">
        <v>3047</v>
      </c>
      <c r="X379" s="1105">
        <f>S379*V379/1000</f>
        <v>29601</v>
      </c>
      <c r="AD379" s="1103" t="s">
        <v>3071</v>
      </c>
      <c r="AF379" s="1107"/>
      <c r="AG379" s="1114">
        <f>AG378+C20</f>
        <v>6636.7819999999992</v>
      </c>
    </row>
    <row r="380" spans="1:34" ht="24" customHeight="1">
      <c r="A380" s="1122">
        <f t="shared" si="32"/>
        <v>215</v>
      </c>
      <c r="B380" s="1103" t="s">
        <v>3310</v>
      </c>
      <c r="C380" s="1114">
        <v>6.01</v>
      </c>
      <c r="D380" s="1103" t="s">
        <v>2941</v>
      </c>
      <c r="F380" s="1114">
        <v>1.59</v>
      </c>
      <c r="G380" s="1114" t="s">
        <v>2839</v>
      </c>
      <c r="H380" s="1103" t="s">
        <v>2963</v>
      </c>
      <c r="I380" s="1114">
        <f>(K40)</f>
        <v>4080.66</v>
      </c>
      <c r="J380" s="1103" t="s">
        <v>2839</v>
      </c>
      <c r="K380" s="1114">
        <f>(F380*I380)</f>
        <v>6488.2493999999997</v>
      </c>
      <c r="N380" s="1103" t="s">
        <v>2851</v>
      </c>
      <c r="O380" s="1103" t="s">
        <v>3351</v>
      </c>
      <c r="P380" s="1103" t="s">
        <v>220</v>
      </c>
      <c r="Q380" s="1103" t="s">
        <v>2851</v>
      </c>
      <c r="R380" s="1114">
        <v>1.46</v>
      </c>
      <c r="S380" s="1108">
        <v>1.59</v>
      </c>
      <c r="T380" s="1105" t="s">
        <v>2839</v>
      </c>
      <c r="U380" s="1105" t="s">
        <v>2963</v>
      </c>
      <c r="V380" s="1105">
        <f>I380</f>
        <v>4080.66</v>
      </c>
      <c r="W380" s="1105" t="s">
        <v>2839</v>
      </c>
      <c r="X380" s="1105">
        <f>V380*S380</f>
        <v>6488.2493999999997</v>
      </c>
      <c r="AD380" s="1103" t="s">
        <v>3075</v>
      </c>
      <c r="AF380" s="1107"/>
      <c r="AG380" s="1114">
        <f>AG379+C20</f>
        <v>6773.9819999999991</v>
      </c>
    </row>
    <row r="381" spans="1:34" ht="24" customHeight="1">
      <c r="A381" s="1122">
        <f t="shared" si="32"/>
        <v>216</v>
      </c>
      <c r="B381" s="1103" t="s">
        <v>3312</v>
      </c>
      <c r="C381" s="1114">
        <v>6.86</v>
      </c>
      <c r="D381" s="1103" t="s">
        <v>2941</v>
      </c>
      <c r="F381" s="1114">
        <v>7</v>
      </c>
      <c r="G381" s="1114" t="s">
        <v>2838</v>
      </c>
      <c r="H381" s="1103" t="s">
        <v>3051</v>
      </c>
      <c r="I381" s="1114">
        <f>(C10)</f>
        <v>861</v>
      </c>
      <c r="J381" s="1103" t="s">
        <v>2838</v>
      </c>
      <c r="K381" s="1114">
        <f>(F381*I381)</f>
        <v>6027</v>
      </c>
      <c r="R381" s="1111" t="s">
        <v>36</v>
      </c>
      <c r="S381" s="1108">
        <v>7</v>
      </c>
      <c r="T381" s="1105" t="s">
        <v>2838</v>
      </c>
      <c r="U381" s="1105" t="s">
        <v>3051</v>
      </c>
      <c r="V381" s="1105">
        <f>I381</f>
        <v>861</v>
      </c>
      <c r="W381" s="1105" t="s">
        <v>2838</v>
      </c>
      <c r="X381" s="1105">
        <f>V381*S381</f>
        <v>6027</v>
      </c>
      <c r="AD381" s="1103" t="s">
        <v>3115</v>
      </c>
      <c r="AF381" s="1107"/>
      <c r="AG381" s="1114">
        <f>(AG376+AG377+AG378+AG379)/4</f>
        <v>6430.9819999999991</v>
      </c>
    </row>
    <row r="382" spans="1:34" ht="24" customHeight="1">
      <c r="A382" s="1122">
        <f t="shared" si="32"/>
        <v>217</v>
      </c>
      <c r="B382" s="1103" t="s">
        <v>3352</v>
      </c>
      <c r="D382" s="1103" t="s">
        <v>220</v>
      </c>
      <c r="F382" s="1114">
        <v>7.1</v>
      </c>
      <c r="G382" s="1114" t="s">
        <v>2838</v>
      </c>
      <c r="H382" s="1103" t="s">
        <v>3017</v>
      </c>
      <c r="I382" s="1114">
        <f>(C11)</f>
        <v>804</v>
      </c>
      <c r="J382" s="1103" t="s">
        <v>2838</v>
      </c>
      <c r="K382" s="1114">
        <f>(F382*I382)</f>
        <v>5708.4</v>
      </c>
      <c r="O382" s="1103" t="s">
        <v>3353</v>
      </c>
      <c r="R382" s="1114">
        <f>SUM(R375:R380)</f>
        <v>1996.46</v>
      </c>
      <c r="S382" s="1108">
        <v>7.1</v>
      </c>
      <c r="T382" s="1105" t="s">
        <v>2838</v>
      </c>
      <c r="U382" s="1105" t="s">
        <v>3017</v>
      </c>
      <c r="V382" s="1105">
        <f>I382</f>
        <v>804</v>
      </c>
      <c r="W382" s="1105" t="s">
        <v>2838</v>
      </c>
      <c r="X382" s="1105">
        <f>V382*S382</f>
        <v>5708.4</v>
      </c>
      <c r="AF382" s="1107"/>
    </row>
    <row r="383" spans="1:34" ht="24" customHeight="1">
      <c r="A383" s="1122">
        <f t="shared" si="32"/>
        <v>218</v>
      </c>
      <c r="B383" s="1103" t="s">
        <v>3309</v>
      </c>
      <c r="C383" s="1114">
        <v>14.91</v>
      </c>
      <c r="D383" s="1103" t="s">
        <v>2941</v>
      </c>
      <c r="F383" s="1114">
        <v>7.1</v>
      </c>
      <c r="G383" s="1114" t="s">
        <v>2838</v>
      </c>
      <c r="H383" s="1103" t="s">
        <v>3020</v>
      </c>
      <c r="I383" s="1114">
        <f>(C12)</f>
        <v>562</v>
      </c>
      <c r="J383" s="1103" t="s">
        <v>2838</v>
      </c>
      <c r="K383" s="1114">
        <f>(F383*I383)</f>
        <v>3990.2</v>
      </c>
      <c r="R383" s="1111" t="s">
        <v>36</v>
      </c>
      <c r="S383" s="1108">
        <v>7.1</v>
      </c>
      <c r="T383" s="1105" t="s">
        <v>2838</v>
      </c>
      <c r="U383" s="1105" t="s">
        <v>3020</v>
      </c>
      <c r="V383" s="1105">
        <f>I383</f>
        <v>562</v>
      </c>
      <c r="W383" s="1105" t="s">
        <v>2838</v>
      </c>
      <c r="X383" s="1105">
        <f>V383*S383</f>
        <v>3990.2</v>
      </c>
      <c r="AD383" s="1104" t="s">
        <v>3117</v>
      </c>
      <c r="AF383" s="1107"/>
    </row>
    <row r="384" spans="1:34" ht="24" customHeight="1">
      <c r="A384" s="1122">
        <f t="shared" si="32"/>
        <v>219</v>
      </c>
      <c r="B384" s="1103" t="s">
        <v>3310</v>
      </c>
      <c r="C384" s="1114">
        <v>17.579999999999998</v>
      </c>
      <c r="D384" s="1103" t="s">
        <v>2941</v>
      </c>
      <c r="F384" s="1114">
        <v>21.2</v>
      </c>
      <c r="G384" s="1114" t="s">
        <v>2838</v>
      </c>
      <c r="H384" s="1103" t="s">
        <v>3026</v>
      </c>
      <c r="I384" s="1114">
        <f>(C13)</f>
        <v>461</v>
      </c>
      <c r="J384" s="1103" t="s">
        <v>2838</v>
      </c>
      <c r="K384" s="1114">
        <f>(F384*I384)</f>
        <v>9773.1999999999989</v>
      </c>
      <c r="O384" s="1103" t="s">
        <v>3154</v>
      </c>
      <c r="R384" s="1114">
        <f>(R382/100)</f>
        <v>19.964600000000001</v>
      </c>
      <c r="S384" s="1108">
        <v>21.2</v>
      </c>
      <c r="T384" s="1105" t="s">
        <v>2838</v>
      </c>
      <c r="U384" s="1105" t="s">
        <v>3026</v>
      </c>
      <c r="V384" s="1105">
        <f>I384</f>
        <v>461</v>
      </c>
      <c r="W384" s="1105" t="s">
        <v>2838</v>
      </c>
      <c r="X384" s="1105">
        <f>V384*S384</f>
        <v>9773.1999999999989</v>
      </c>
      <c r="AD384" s="1111" t="s">
        <v>36</v>
      </c>
      <c r="AF384" s="1107"/>
    </row>
    <row r="385" spans="1:33" ht="24" customHeight="1">
      <c r="A385" s="1122">
        <f t="shared" si="32"/>
        <v>220</v>
      </c>
      <c r="B385" s="1103" t="s">
        <v>3312</v>
      </c>
      <c r="C385" s="1114">
        <v>19.3</v>
      </c>
      <c r="D385" s="1103" t="s">
        <v>2941</v>
      </c>
      <c r="G385" s="1114" t="s">
        <v>2851</v>
      </c>
      <c r="H385" s="1103" t="s">
        <v>2852</v>
      </c>
      <c r="I385" s="1103" t="s">
        <v>220</v>
      </c>
      <c r="J385" s="1103" t="s">
        <v>2851</v>
      </c>
      <c r="K385" s="1114">
        <v>0</v>
      </c>
      <c r="R385" s="1111" t="s">
        <v>2793</v>
      </c>
      <c r="T385" s="1105" t="s">
        <v>2851</v>
      </c>
      <c r="U385" s="1105" t="s">
        <v>2852</v>
      </c>
      <c r="V385" s="1105" t="s">
        <v>220</v>
      </c>
      <c r="W385" s="1105" t="s">
        <v>2851</v>
      </c>
      <c r="X385" s="1105">
        <v>0</v>
      </c>
      <c r="AB385" s="1126">
        <v>10</v>
      </c>
      <c r="AC385" s="1114" t="s">
        <v>1363</v>
      </c>
      <c r="AD385" s="1103" t="s">
        <v>3354</v>
      </c>
      <c r="AF385" s="1107"/>
    </row>
    <row r="386" spans="1:33" ht="24" customHeight="1">
      <c r="A386" s="1122">
        <f t="shared" si="32"/>
        <v>221</v>
      </c>
      <c r="B386" s="1103" t="s">
        <v>3355</v>
      </c>
      <c r="K386" s="1111" t="s">
        <v>36</v>
      </c>
      <c r="X386" s="1132" t="s">
        <v>3356</v>
      </c>
      <c r="AD386" s="1114" t="str">
        <f>AD309</f>
        <v>Bricks of size 23x11.4x7.5 cm</v>
      </c>
      <c r="AF386" s="1107"/>
    </row>
    <row r="387" spans="1:33" ht="24" customHeight="1">
      <c r="A387" s="1122">
        <f t="shared" si="32"/>
        <v>222</v>
      </c>
      <c r="B387" s="1103" t="s">
        <v>3309</v>
      </c>
      <c r="C387" s="1114">
        <v>15.87</v>
      </c>
      <c r="D387" s="1103" t="s">
        <v>2941</v>
      </c>
      <c r="H387" s="1103" t="s">
        <v>3033</v>
      </c>
      <c r="K387" s="1114">
        <f>SUM(K379:K385)</f>
        <v>59890.889399999993</v>
      </c>
      <c r="U387" s="1105" t="s">
        <v>3033</v>
      </c>
      <c r="X387" s="1105">
        <f>SUM(X379:X386)</f>
        <v>61588.049399999996</v>
      </c>
      <c r="AD387" s="1111" t="s">
        <v>36</v>
      </c>
      <c r="AF387" s="1107"/>
    </row>
    <row r="388" spans="1:33" ht="24" customHeight="1">
      <c r="A388" s="1122">
        <f t="shared" si="32"/>
        <v>223</v>
      </c>
      <c r="B388" s="1103" t="s">
        <v>3310</v>
      </c>
      <c r="C388" s="1114">
        <v>20.16</v>
      </c>
      <c r="D388" s="1103" t="s">
        <v>2941</v>
      </c>
      <c r="K388" s="1111" t="s">
        <v>36</v>
      </c>
      <c r="N388" s="1103" t="s">
        <v>3138</v>
      </c>
      <c r="O388" s="1103" t="s">
        <v>3357</v>
      </c>
      <c r="X388" s="1132" t="s">
        <v>3356</v>
      </c>
      <c r="AB388" s="1114">
        <f>AB311</f>
        <v>4240</v>
      </c>
      <c r="AC388" s="1114" t="s">
        <v>3046</v>
      </c>
      <c r="AD388" s="1114" t="str">
        <f>AD309</f>
        <v>Bricks of size 23x11.4x7.5 cm</v>
      </c>
      <c r="AE388" s="1114">
        <f>AC42</f>
        <v>6630</v>
      </c>
      <c r="AF388" s="1103" t="s">
        <v>3047</v>
      </c>
      <c r="AG388" s="1114">
        <f>(AB388*AE388)/1000</f>
        <v>28111.200000000001</v>
      </c>
    </row>
    <row r="389" spans="1:33" ht="24" customHeight="1">
      <c r="A389" s="1122">
        <f t="shared" si="32"/>
        <v>224</v>
      </c>
      <c r="B389" s="1103" t="s">
        <v>3312</v>
      </c>
      <c r="C389" s="1114">
        <v>22.31</v>
      </c>
      <c r="D389" s="1103" t="s">
        <v>2941</v>
      </c>
      <c r="H389" s="1103" t="s">
        <v>2946</v>
      </c>
      <c r="K389" s="1114">
        <f>(K387/10)</f>
        <v>5989.0889399999996</v>
      </c>
      <c r="O389" s="1111" t="s">
        <v>36</v>
      </c>
      <c r="U389" s="1105" t="s">
        <v>2946</v>
      </c>
      <c r="X389" s="1105">
        <f>X387/10</f>
        <v>6158.80494</v>
      </c>
      <c r="AB389" s="1114">
        <v>1.27</v>
      </c>
      <c r="AC389" s="1114" t="s">
        <v>2839</v>
      </c>
      <c r="AD389" s="1103" t="s">
        <v>2963</v>
      </c>
      <c r="AE389" s="1114">
        <f>V380</f>
        <v>4080.66</v>
      </c>
      <c r="AF389" s="1103" t="s">
        <v>2839</v>
      </c>
      <c r="AG389" s="1114">
        <f>(AB389*AE389)</f>
        <v>5182.4381999999996</v>
      </c>
    </row>
    <row r="390" spans="1:33" ht="24" customHeight="1">
      <c r="A390" s="1122">
        <f t="shared" si="32"/>
        <v>225</v>
      </c>
      <c r="B390" s="1106" t="s">
        <v>3358</v>
      </c>
      <c r="D390" s="1103" t="s">
        <v>220</v>
      </c>
      <c r="K390" s="1111" t="s">
        <v>2793</v>
      </c>
      <c r="M390" s="1114">
        <v>7.0000000000000007E-2</v>
      </c>
      <c r="N390" s="1103" t="s">
        <v>2839</v>
      </c>
      <c r="O390" s="1103" t="s">
        <v>3087</v>
      </c>
      <c r="P390" s="1114">
        <f>(C84)</f>
        <v>1322</v>
      </c>
      <c r="Q390" s="1103" t="s">
        <v>2839</v>
      </c>
      <c r="R390" s="1114">
        <f>(M390*P390)</f>
        <v>92.54</v>
      </c>
      <c r="X390" s="1132" t="s">
        <v>3359</v>
      </c>
      <c r="AB390" s="1114">
        <v>7</v>
      </c>
      <c r="AC390" s="1114" t="s">
        <v>2838</v>
      </c>
      <c r="AD390" s="1103" t="s">
        <v>3051</v>
      </c>
      <c r="AE390" s="1114">
        <f>V381</f>
        <v>861</v>
      </c>
      <c r="AF390" s="1103" t="s">
        <v>2838</v>
      </c>
      <c r="AG390" s="1114">
        <f>(AB390*AE390)</f>
        <v>6027</v>
      </c>
    </row>
    <row r="391" spans="1:33" ht="24" customHeight="1">
      <c r="A391" s="1122">
        <f t="shared" si="32"/>
        <v>226</v>
      </c>
      <c r="B391" s="1103" t="s">
        <v>3360</v>
      </c>
      <c r="C391" s="1114">
        <v>69.8</v>
      </c>
      <c r="D391" s="1103" t="s">
        <v>1790</v>
      </c>
      <c r="M391" s="1114">
        <v>1.6</v>
      </c>
      <c r="N391" s="1103" t="s">
        <v>2838</v>
      </c>
      <c r="O391" s="1103" t="s">
        <v>3017</v>
      </c>
      <c r="P391" s="1114">
        <f>(C11)</f>
        <v>804</v>
      </c>
      <c r="Q391" s="1103" t="s">
        <v>2838</v>
      </c>
      <c r="R391" s="1114">
        <f>(M391*P391)</f>
        <v>1286.4000000000001</v>
      </c>
      <c r="AB391" s="1114">
        <v>7.1</v>
      </c>
      <c r="AC391" s="1114" t="s">
        <v>2838</v>
      </c>
      <c r="AD391" s="1103" t="s">
        <v>3017</v>
      </c>
      <c r="AE391" s="1114">
        <f>V382</f>
        <v>804</v>
      </c>
      <c r="AF391" s="1103" t="s">
        <v>2838</v>
      </c>
      <c r="AG391" s="1114">
        <f>(AB391*AE391)</f>
        <v>5708.4</v>
      </c>
    </row>
    <row r="392" spans="1:33" ht="24" customHeight="1">
      <c r="A392" s="1122">
        <f t="shared" si="32"/>
        <v>227</v>
      </c>
      <c r="B392" s="1103" t="s">
        <v>3361</v>
      </c>
      <c r="C392" s="1114">
        <v>98.6</v>
      </c>
      <c r="D392" s="1103" t="s">
        <v>1790</v>
      </c>
      <c r="G392" s="1114" t="s">
        <v>3138</v>
      </c>
      <c r="H392" s="1103" t="s">
        <v>3139</v>
      </c>
      <c r="M392" s="1114">
        <v>0.5</v>
      </c>
      <c r="N392" s="1103" t="s">
        <v>2838</v>
      </c>
      <c r="O392" s="1103" t="s">
        <v>3020</v>
      </c>
      <c r="P392" s="1114">
        <f>(C12)</f>
        <v>562</v>
      </c>
      <c r="Q392" s="1103" t="s">
        <v>2838</v>
      </c>
      <c r="R392" s="1114">
        <f>(M392*P392)</f>
        <v>281</v>
      </c>
      <c r="T392" s="1105" t="s">
        <v>3138</v>
      </c>
      <c r="U392" s="1105" t="s">
        <v>3362</v>
      </c>
      <c r="AB392" s="1114">
        <v>7.1</v>
      </c>
      <c r="AC392" s="1114" t="s">
        <v>2838</v>
      </c>
      <c r="AD392" s="1103" t="s">
        <v>3020</v>
      </c>
      <c r="AE392" s="1114">
        <f>V383</f>
        <v>562</v>
      </c>
      <c r="AF392" s="1103" t="s">
        <v>2838</v>
      </c>
      <c r="AG392" s="1114">
        <f>(AB392*AE392)</f>
        <v>3990.2</v>
      </c>
    </row>
    <row r="393" spans="1:33" ht="24" customHeight="1">
      <c r="A393" s="1122">
        <f t="shared" si="32"/>
        <v>228</v>
      </c>
      <c r="B393" s="1103" t="s">
        <v>3363</v>
      </c>
      <c r="C393" s="1114">
        <v>128</v>
      </c>
      <c r="D393" s="1103" t="s">
        <v>1790</v>
      </c>
      <c r="H393" s="1111" t="s">
        <v>36</v>
      </c>
      <c r="M393" s="1114">
        <v>2.7</v>
      </c>
      <c r="N393" s="1103" t="s">
        <v>2838</v>
      </c>
      <c r="O393" s="1103" t="s">
        <v>3026</v>
      </c>
      <c r="P393" s="1114">
        <f>(C13)</f>
        <v>461</v>
      </c>
      <c r="Q393" s="1103" t="s">
        <v>2838</v>
      </c>
      <c r="R393" s="1114">
        <f>(M393*P393)</f>
        <v>1244.7</v>
      </c>
      <c r="U393" s="1105" t="s">
        <v>36</v>
      </c>
      <c r="AB393" s="1114">
        <v>21.2</v>
      </c>
      <c r="AC393" s="1114" t="s">
        <v>2838</v>
      </c>
      <c r="AD393" s="1103" t="s">
        <v>3026</v>
      </c>
      <c r="AE393" s="1114">
        <f>V384</f>
        <v>461</v>
      </c>
      <c r="AF393" s="1103" t="s">
        <v>2838</v>
      </c>
      <c r="AG393" s="1114">
        <f>(AB393*AE393)</f>
        <v>9773.1999999999989</v>
      </c>
    </row>
    <row r="394" spans="1:33" ht="24" customHeight="1">
      <c r="A394" s="1122">
        <f t="shared" si="32"/>
        <v>229</v>
      </c>
      <c r="B394" s="1103" t="s">
        <v>3364</v>
      </c>
      <c r="C394" s="1114">
        <v>151.4</v>
      </c>
      <c r="D394" s="1103" t="s">
        <v>1790</v>
      </c>
      <c r="F394" s="1114">
        <v>1.1000000000000001</v>
      </c>
      <c r="G394" s="1114" t="s">
        <v>2839</v>
      </c>
      <c r="H394" s="1103" t="s">
        <v>3145</v>
      </c>
      <c r="I394" s="1114">
        <f>(K389)</f>
        <v>5989.0889399999996</v>
      </c>
      <c r="J394" s="1103" t="s">
        <v>2839</v>
      </c>
      <c r="K394" s="1114">
        <f>(F394*I394)</f>
        <v>6587.9978339999998</v>
      </c>
      <c r="N394" s="1103" t="s">
        <v>2851</v>
      </c>
      <c r="O394" s="1103" t="s">
        <v>3351</v>
      </c>
      <c r="P394" s="1103" t="s">
        <v>220</v>
      </c>
      <c r="Q394" s="1103" t="s">
        <v>2851</v>
      </c>
      <c r="R394" s="1114">
        <v>2.09</v>
      </c>
      <c r="S394" s="1108">
        <v>1.1200000000000001</v>
      </c>
      <c r="T394" s="1105" t="s">
        <v>2839</v>
      </c>
      <c r="U394" s="1105" t="s">
        <v>3145</v>
      </c>
      <c r="V394" s="1105">
        <f>X389</f>
        <v>6158.80494</v>
      </c>
      <c r="W394" s="1105" t="s">
        <v>2839</v>
      </c>
      <c r="X394" s="1105">
        <f>V394*S394</f>
        <v>6897.8615328000005</v>
      </c>
      <c r="AC394" s="1114" t="s">
        <v>2851</v>
      </c>
      <c r="AD394" s="1103" t="s">
        <v>2852</v>
      </c>
      <c r="AE394" s="1103" t="s">
        <v>220</v>
      </c>
      <c r="AF394" s="1103" t="s">
        <v>2851</v>
      </c>
      <c r="AG394" s="1114">
        <v>0</v>
      </c>
    </row>
    <row r="395" spans="1:33" ht="24" customHeight="1">
      <c r="A395" s="1122">
        <f t="shared" si="32"/>
        <v>230</v>
      </c>
      <c r="B395" s="1103" t="s">
        <v>3365</v>
      </c>
      <c r="C395" s="1114">
        <v>163</v>
      </c>
      <c r="D395" s="1103" t="s">
        <v>1790</v>
      </c>
      <c r="F395" s="1114">
        <v>1</v>
      </c>
      <c r="G395" s="1114" t="s">
        <v>2941</v>
      </c>
      <c r="H395" s="1103" t="s">
        <v>3051</v>
      </c>
      <c r="I395" s="1114">
        <f>(C10)</f>
        <v>861</v>
      </c>
      <c r="J395" s="1103" t="s">
        <v>2838</v>
      </c>
      <c r="K395" s="1114">
        <f>(F395*I395)</f>
        <v>861</v>
      </c>
      <c r="R395" s="1111" t="s">
        <v>36</v>
      </c>
      <c r="S395" s="1108">
        <v>1</v>
      </c>
      <c r="T395" s="1105" t="s">
        <v>2941</v>
      </c>
      <c r="U395" s="1105" t="s">
        <v>3051</v>
      </c>
      <c r="V395" s="1105">
        <f>I395</f>
        <v>861</v>
      </c>
      <c r="W395" s="1105" t="s">
        <v>2838</v>
      </c>
      <c r="X395" s="1105">
        <f>V395*S395</f>
        <v>861</v>
      </c>
      <c r="AF395" s="1107"/>
      <c r="AG395" s="1111" t="s">
        <v>36</v>
      </c>
    </row>
    <row r="396" spans="1:33" ht="24" customHeight="1">
      <c r="A396" s="1122">
        <f t="shared" si="32"/>
        <v>231</v>
      </c>
      <c r="B396" s="1103" t="s">
        <v>3309</v>
      </c>
      <c r="C396" s="1114">
        <v>209</v>
      </c>
      <c r="D396" s="1103" t="s">
        <v>1790</v>
      </c>
      <c r="G396" s="1114" t="s">
        <v>2851</v>
      </c>
      <c r="H396" s="1103" t="s">
        <v>2852</v>
      </c>
      <c r="I396" s="1103" t="s">
        <v>220</v>
      </c>
      <c r="J396" s="1103" t="s">
        <v>2851</v>
      </c>
      <c r="K396" s="1114">
        <v>0</v>
      </c>
      <c r="O396" s="1103" t="s">
        <v>3353</v>
      </c>
      <c r="R396" s="1114">
        <f>SUM(R389:R394)</f>
        <v>2906.7300000000005</v>
      </c>
      <c r="T396" s="1105" t="s">
        <v>2851</v>
      </c>
      <c r="U396" s="1105" t="s">
        <v>2852</v>
      </c>
      <c r="V396" s="1105" t="s">
        <v>220</v>
      </c>
      <c r="W396" s="1105" t="s">
        <v>2851</v>
      </c>
      <c r="X396" s="1105">
        <v>0</v>
      </c>
      <c r="AD396" s="1103" t="s">
        <v>3033</v>
      </c>
      <c r="AF396" s="1107"/>
      <c r="AG396" s="1114">
        <f>SUM(AG388:AG394)</f>
        <v>58792.438199999997</v>
      </c>
    </row>
    <row r="397" spans="1:33" ht="24" customHeight="1">
      <c r="A397" s="1122">
        <f t="shared" si="32"/>
        <v>232</v>
      </c>
      <c r="B397" s="1103" t="s">
        <v>3366</v>
      </c>
      <c r="C397" s="1114">
        <v>244.4</v>
      </c>
      <c r="D397" s="1103" t="s">
        <v>1790</v>
      </c>
      <c r="K397" s="1111" t="s">
        <v>36</v>
      </c>
      <c r="R397" s="1111" t="s">
        <v>36</v>
      </c>
      <c r="X397" s="1132" t="s">
        <v>3356</v>
      </c>
      <c r="AF397" s="1107"/>
      <c r="AG397" s="1111" t="s">
        <v>36</v>
      </c>
    </row>
    <row r="398" spans="1:33" ht="24" customHeight="1">
      <c r="A398" s="1122">
        <f t="shared" si="32"/>
        <v>233</v>
      </c>
      <c r="B398" s="1106" t="s">
        <v>3367</v>
      </c>
      <c r="H398" s="1103" t="s">
        <v>3152</v>
      </c>
      <c r="K398" s="1114">
        <f>SUM(K394:K396)</f>
        <v>7448.9978339999998</v>
      </c>
      <c r="O398" s="1103" t="s">
        <v>3154</v>
      </c>
      <c r="R398" s="1114">
        <f>(R396/100)</f>
        <v>29.067300000000003</v>
      </c>
      <c r="U398" s="1105" t="s">
        <v>3152</v>
      </c>
      <c r="X398" s="1105">
        <f>SUM(X394:X396)</f>
        <v>7758.8615328000005</v>
      </c>
      <c r="AD398" s="1103" t="s">
        <v>2946</v>
      </c>
      <c r="AF398" s="1107"/>
      <c r="AG398" s="1114">
        <f>(AG396/10)</f>
        <v>5879.2438199999997</v>
      </c>
    </row>
    <row r="399" spans="1:33" ht="24" customHeight="1">
      <c r="A399" s="1122">
        <f t="shared" si="32"/>
        <v>234</v>
      </c>
      <c r="B399" s="1103" t="s">
        <v>3368</v>
      </c>
      <c r="C399" s="1114">
        <v>13.6</v>
      </c>
      <c r="D399" s="1103" t="s">
        <v>2838</v>
      </c>
      <c r="K399" s="1111" t="s">
        <v>36</v>
      </c>
      <c r="R399" s="1111" t="s">
        <v>2793</v>
      </c>
      <c r="X399" s="1132" t="s">
        <v>3356</v>
      </c>
      <c r="AF399" s="1107"/>
      <c r="AG399" s="1111" t="s">
        <v>2793</v>
      </c>
    </row>
    <row r="400" spans="1:33" ht="24" customHeight="1">
      <c r="A400" s="1122">
        <f t="shared" si="32"/>
        <v>235</v>
      </c>
      <c r="B400" s="1103" t="s">
        <v>3361</v>
      </c>
      <c r="C400" s="1114">
        <v>23.2</v>
      </c>
      <c r="D400" s="1103" t="s">
        <v>2838</v>
      </c>
      <c r="H400" s="1103" t="s">
        <v>3154</v>
      </c>
      <c r="K400" s="1115">
        <f>(K398/10)</f>
        <v>744.89978339999993</v>
      </c>
      <c r="N400" s="1103" t="s">
        <v>3138</v>
      </c>
      <c r="O400" s="1103" t="s">
        <v>3369</v>
      </c>
      <c r="U400" s="1105" t="s">
        <v>3154</v>
      </c>
      <c r="X400" s="1105">
        <f>X398/10</f>
        <v>775.88615328000003</v>
      </c>
      <c r="AF400" s="1107"/>
    </row>
    <row r="401" spans="1:33" ht="24" customHeight="1">
      <c r="A401" s="1122">
        <f t="shared" si="32"/>
        <v>236</v>
      </c>
      <c r="B401" s="1103" t="s">
        <v>3363</v>
      </c>
      <c r="C401" s="1114">
        <v>52</v>
      </c>
      <c r="D401" s="1103" t="s">
        <v>2838</v>
      </c>
      <c r="K401" s="1111" t="s">
        <v>2793</v>
      </c>
      <c r="O401" s="1111" t="s">
        <v>36</v>
      </c>
      <c r="X401" s="1132" t="s">
        <v>3359</v>
      </c>
      <c r="AC401" s="1114" t="s">
        <v>3138</v>
      </c>
      <c r="AD401" s="1103" t="s">
        <v>3370</v>
      </c>
      <c r="AF401" s="1107"/>
    </row>
    <row r="402" spans="1:33" ht="24" customHeight="1">
      <c r="A402" s="1122">
        <f t="shared" si="32"/>
        <v>237</v>
      </c>
      <c r="B402" s="1103" t="s">
        <v>3364</v>
      </c>
      <c r="C402" s="1114">
        <v>69.8</v>
      </c>
      <c r="D402" s="1103" t="s">
        <v>2838</v>
      </c>
      <c r="H402" s="1103" t="s">
        <v>3062</v>
      </c>
      <c r="J402" s="1107">
        <f>K402-K400</f>
        <v>7.4800000000000182</v>
      </c>
      <c r="K402" s="1115">
        <f>(K400+C19/10*F394)</f>
        <v>752.37978339999995</v>
      </c>
      <c r="M402" s="1114">
        <v>10</v>
      </c>
      <c r="N402" s="1103" t="s">
        <v>3189</v>
      </c>
      <c r="O402" s="1103" t="s">
        <v>3357</v>
      </c>
      <c r="P402" s="1114">
        <f>(R398)</f>
        <v>29.067300000000003</v>
      </c>
      <c r="Q402" s="1103" t="s">
        <v>3189</v>
      </c>
      <c r="R402" s="1114">
        <f>(M402*P402)</f>
        <v>290.673</v>
      </c>
      <c r="U402" s="1119" t="s">
        <v>3062</v>
      </c>
      <c r="W402" s="1105">
        <f>0.112*C19</f>
        <v>7.6160000000000005</v>
      </c>
      <c r="X402" s="1119">
        <f>X400+W402</f>
        <v>783.50215328000002</v>
      </c>
      <c r="AD402" s="1111" t="s">
        <v>36</v>
      </c>
      <c r="AF402" s="1107"/>
    </row>
    <row r="403" spans="1:33" ht="24" customHeight="1">
      <c r="A403" s="1122">
        <f t="shared" si="32"/>
        <v>238</v>
      </c>
      <c r="B403" s="1103" t="s">
        <v>3365</v>
      </c>
      <c r="C403" s="1114">
        <v>87</v>
      </c>
      <c r="D403" s="1103" t="s">
        <v>2838</v>
      </c>
      <c r="H403" s="1103" t="s">
        <v>3066</v>
      </c>
      <c r="J403" s="1107">
        <f>K403-K402</f>
        <v>15.091999999999985</v>
      </c>
      <c r="K403" s="1115">
        <f>(K402+C20/10*F394)</f>
        <v>767.47178339999994</v>
      </c>
      <c r="M403" s="1114">
        <v>10</v>
      </c>
      <c r="N403" s="1103" t="s">
        <v>3189</v>
      </c>
      <c r="O403" s="1103" t="s">
        <v>3371</v>
      </c>
      <c r="P403" s="1114">
        <f>(R398/2)</f>
        <v>14.533650000000002</v>
      </c>
      <c r="Q403" s="1103" t="s">
        <v>3189</v>
      </c>
      <c r="R403" s="1114">
        <f>(M403*P403)</f>
        <v>145.3365</v>
      </c>
      <c r="U403" s="1119" t="s">
        <v>3066</v>
      </c>
      <c r="W403" s="1105">
        <f>0.112*C20</f>
        <v>15.366399999999999</v>
      </c>
      <c r="X403" s="1119">
        <f>X402+W403</f>
        <v>798.86855328000001</v>
      </c>
      <c r="AB403" s="1114">
        <v>1.1399999999999999</v>
      </c>
      <c r="AC403" s="1114" t="s">
        <v>2839</v>
      </c>
      <c r="AD403" s="1103" t="s">
        <v>3145</v>
      </c>
      <c r="AE403" s="1114">
        <f>(AG398)</f>
        <v>5879.2438199999997</v>
      </c>
      <c r="AF403" s="1103" t="s">
        <v>2839</v>
      </c>
      <c r="AG403" s="1114">
        <f>(AB403*AE403)</f>
        <v>6702.3379547999994</v>
      </c>
    </row>
    <row r="404" spans="1:33" ht="24" customHeight="1">
      <c r="A404" s="1122">
        <f t="shared" si="32"/>
        <v>239</v>
      </c>
      <c r="B404" s="1103" t="s">
        <v>3309</v>
      </c>
      <c r="C404" s="1114">
        <v>116.3</v>
      </c>
      <c r="D404" s="1103" t="s">
        <v>2838</v>
      </c>
      <c r="H404" s="1103" t="s">
        <v>3069</v>
      </c>
      <c r="K404" s="1115">
        <f>(K403+C21/10*F394)</f>
        <v>782.56378339999992</v>
      </c>
      <c r="O404" s="1103" t="s">
        <v>3372</v>
      </c>
      <c r="R404" s="1111" t="s">
        <v>36</v>
      </c>
      <c r="U404" s="1119" t="s">
        <v>3069</v>
      </c>
      <c r="W404" s="1105">
        <f>W403</f>
        <v>15.366399999999999</v>
      </c>
      <c r="X404" s="1119">
        <f>X403+W404</f>
        <v>814.23495328000001</v>
      </c>
      <c r="AB404" s="1114">
        <v>1</v>
      </c>
      <c r="AC404" s="1114" t="s">
        <v>2941</v>
      </c>
      <c r="AD404" s="1103" t="s">
        <v>3051</v>
      </c>
      <c r="AE404" s="1114">
        <f>AE390</f>
        <v>861</v>
      </c>
      <c r="AF404" s="1103" t="s">
        <v>2838</v>
      </c>
      <c r="AG404" s="1114">
        <f>(AB404*AE404)</f>
        <v>861</v>
      </c>
    </row>
    <row r="405" spans="1:33" ht="24" customHeight="1">
      <c r="A405" s="1122">
        <f t="shared" si="32"/>
        <v>240</v>
      </c>
      <c r="B405" s="1103" t="s">
        <v>3373</v>
      </c>
      <c r="C405" s="1114">
        <v>242.55</v>
      </c>
      <c r="D405" s="1103" t="s">
        <v>2838</v>
      </c>
      <c r="H405" s="1103" t="s">
        <v>3071</v>
      </c>
      <c r="K405" s="1115">
        <f>(K404+C21/10*F394)</f>
        <v>797.6557833999999</v>
      </c>
      <c r="R405" s="1114">
        <f>SUM(R402:R403)</f>
        <v>436.0095</v>
      </c>
      <c r="U405" s="1119" t="s">
        <v>3071</v>
      </c>
      <c r="W405" s="1105">
        <f>W403</f>
        <v>15.366399999999999</v>
      </c>
      <c r="X405" s="1119">
        <f>X404+W405</f>
        <v>829.60135328000001</v>
      </c>
      <c r="AC405" s="1114" t="s">
        <v>2851</v>
      </c>
      <c r="AD405" s="1103" t="s">
        <v>2852</v>
      </c>
      <c r="AE405" s="1103" t="s">
        <v>220</v>
      </c>
      <c r="AF405" s="1103" t="s">
        <v>2851</v>
      </c>
      <c r="AG405" s="1114">
        <v>0</v>
      </c>
    </row>
    <row r="406" spans="1:33" ht="24" customHeight="1">
      <c r="A406" s="1122">
        <f t="shared" si="32"/>
        <v>241</v>
      </c>
      <c r="B406" s="1106" t="s">
        <v>3374</v>
      </c>
      <c r="D406" s="1103" t="s">
        <v>220</v>
      </c>
      <c r="H406" s="1103" t="s">
        <v>3158</v>
      </c>
      <c r="K406" s="1115">
        <f>(K405+C21/10*F394)</f>
        <v>812.74778339999989</v>
      </c>
      <c r="L406" s="1105">
        <f>K406-K405</f>
        <v>15.091999999999985</v>
      </c>
      <c r="O406" s="1103" t="s">
        <v>3152</v>
      </c>
      <c r="R406" s="1111" t="s">
        <v>36</v>
      </c>
      <c r="U406" s="1119" t="s">
        <v>3158</v>
      </c>
      <c r="W406" s="1105">
        <f>W405</f>
        <v>15.366399999999999</v>
      </c>
      <c r="X406" s="1119">
        <f>X405+W406</f>
        <v>844.96775328000001</v>
      </c>
      <c r="AF406" s="1107"/>
      <c r="AG406" s="1111" t="s">
        <v>36</v>
      </c>
    </row>
    <row r="407" spans="1:33" ht="24" customHeight="1">
      <c r="A407" s="1122">
        <f t="shared" si="32"/>
        <v>242</v>
      </c>
      <c r="B407" s="1103" t="s">
        <v>3368</v>
      </c>
      <c r="C407" s="1114">
        <v>13.6</v>
      </c>
      <c r="D407" s="1103" t="s">
        <v>2838</v>
      </c>
      <c r="F407" s="1126">
        <v>11</v>
      </c>
      <c r="G407" s="1114" t="s">
        <v>1363</v>
      </c>
      <c r="H407" s="1103" t="s">
        <v>3375</v>
      </c>
      <c r="L407" s="1105">
        <f>K406+L406</f>
        <v>827.83978339999987</v>
      </c>
      <c r="R407" s="1114">
        <f>(R405/10)</f>
        <v>43.600949999999997</v>
      </c>
      <c r="S407" s="1108">
        <v>11</v>
      </c>
      <c r="T407" s="1105" t="s">
        <v>1363</v>
      </c>
      <c r="U407" s="1105" t="s">
        <v>3375</v>
      </c>
      <c r="AD407" s="1103" t="s">
        <v>3152</v>
      </c>
      <c r="AF407" s="1107"/>
      <c r="AG407" s="1114">
        <f>SUM(AG403:AG405)</f>
        <v>7563.3379547999994</v>
      </c>
    </row>
    <row r="408" spans="1:33" ht="24" customHeight="1">
      <c r="A408" s="1122">
        <f t="shared" si="32"/>
        <v>243</v>
      </c>
      <c r="B408" s="1103" t="s">
        <v>3361</v>
      </c>
      <c r="C408" s="1114">
        <v>15.9</v>
      </c>
      <c r="D408" s="1103" t="s">
        <v>2838</v>
      </c>
      <c r="H408" s="1114" t="str">
        <f>H309</f>
        <v>Bricks of size 22x11x7 cm</v>
      </c>
      <c r="O408" s="1103" t="s">
        <v>3154</v>
      </c>
      <c r="R408" s="1111" t="s">
        <v>2793</v>
      </c>
      <c r="U408" s="1105" t="s">
        <v>3307</v>
      </c>
      <c r="AF408" s="1107"/>
      <c r="AG408" s="1111" t="s">
        <v>36</v>
      </c>
    </row>
    <row r="409" spans="1:33" ht="24" customHeight="1">
      <c r="A409" s="1122">
        <f t="shared" si="32"/>
        <v>244</v>
      </c>
      <c r="B409" s="1103" t="s">
        <v>3363</v>
      </c>
      <c r="C409" s="1114">
        <v>28.6</v>
      </c>
      <c r="D409" s="1103" t="s">
        <v>2838</v>
      </c>
      <c r="H409" s="1111" t="s">
        <v>36</v>
      </c>
      <c r="U409" s="1105" t="s">
        <v>36</v>
      </c>
      <c r="AD409" s="1103" t="s">
        <v>3154</v>
      </c>
      <c r="AF409" s="1107"/>
      <c r="AG409" s="1115">
        <f>(AG407/10)</f>
        <v>756.33379547999994</v>
      </c>
    </row>
    <row r="410" spans="1:33" ht="24" customHeight="1">
      <c r="A410" s="1122">
        <f t="shared" si="32"/>
        <v>245</v>
      </c>
      <c r="B410" s="1103" t="s">
        <v>3364</v>
      </c>
      <c r="C410" s="1114">
        <v>46.5</v>
      </c>
      <c r="D410" s="1103" t="s">
        <v>2838</v>
      </c>
      <c r="F410" s="1114">
        <f>F311</f>
        <v>4800</v>
      </c>
      <c r="G410" s="1114" t="s">
        <v>3046</v>
      </c>
      <c r="H410" s="1114" t="str">
        <f>H309</f>
        <v>Bricks of size 22x11x7 cm</v>
      </c>
      <c r="I410" s="1114">
        <f>(C80)</f>
        <v>5813.3</v>
      </c>
      <c r="J410" s="1103" t="s">
        <v>3164</v>
      </c>
      <c r="K410" s="1114">
        <f>(F410*I410)/1000</f>
        <v>27903.84</v>
      </c>
      <c r="N410" s="1103" t="s">
        <v>1363</v>
      </c>
      <c r="O410" s="1103" t="s">
        <v>3376</v>
      </c>
      <c r="S410" s="1108">
        <v>4600</v>
      </c>
      <c r="T410" s="1105" t="s">
        <v>3046</v>
      </c>
      <c r="U410" s="1105" t="s">
        <v>3307</v>
      </c>
      <c r="V410" s="1105">
        <f t="shared" ref="V410:V415" si="34">V379</f>
        <v>6435</v>
      </c>
      <c r="W410" s="1105" t="s">
        <v>3164</v>
      </c>
      <c r="X410" s="1105">
        <f>V410*S410/1000</f>
        <v>29601</v>
      </c>
      <c r="AF410" s="1107"/>
      <c r="AG410" s="1111" t="s">
        <v>2793</v>
      </c>
    </row>
    <row r="411" spans="1:33" ht="24" customHeight="1">
      <c r="A411" s="1122">
        <f t="shared" ref="A411:A421" si="35">(A410+1)</f>
        <v>246</v>
      </c>
      <c r="B411" s="1103" t="s">
        <v>3365</v>
      </c>
      <c r="C411" s="1114">
        <v>58.1</v>
      </c>
      <c r="D411" s="1103" t="s">
        <v>2838</v>
      </c>
      <c r="F411" s="1114">
        <f>F380</f>
        <v>1.59</v>
      </c>
      <c r="G411" s="1114" t="s">
        <v>2839</v>
      </c>
      <c r="H411" s="1103" t="s">
        <v>2963</v>
      </c>
      <c r="I411" s="1114">
        <f>(K40)</f>
        <v>4080.66</v>
      </c>
      <c r="J411" s="1103" t="s">
        <v>2839</v>
      </c>
      <c r="K411" s="1114">
        <f>(F411*I411)</f>
        <v>6488.2493999999997</v>
      </c>
      <c r="O411" s="1103" t="s">
        <v>3377</v>
      </c>
      <c r="S411" s="1108">
        <v>1.59</v>
      </c>
      <c r="T411" s="1105" t="s">
        <v>2839</v>
      </c>
      <c r="U411" s="1105" t="s">
        <v>2963</v>
      </c>
      <c r="V411" s="1105">
        <f t="shared" si="34"/>
        <v>4080.66</v>
      </c>
      <c r="W411" s="1105" t="s">
        <v>2839</v>
      </c>
      <c r="X411" s="1105">
        <f t="shared" ref="X411:X416" si="36">V411*S411</f>
        <v>6488.2493999999997</v>
      </c>
      <c r="AD411" s="1103" t="s">
        <v>3062</v>
      </c>
      <c r="AF411" s="1107">
        <f>C19*0.114</f>
        <v>7.7520000000000007</v>
      </c>
      <c r="AG411" s="1115">
        <f>AG409+AF411</f>
        <v>764.08579547999989</v>
      </c>
    </row>
    <row r="412" spans="1:33" ht="24" customHeight="1">
      <c r="A412" s="1122">
        <f t="shared" si="35"/>
        <v>247</v>
      </c>
      <c r="B412" s="1103" t="s">
        <v>3309</v>
      </c>
      <c r="C412" s="1114">
        <v>69.8</v>
      </c>
      <c r="D412" s="1103" t="s">
        <v>2838</v>
      </c>
      <c r="F412" s="1114">
        <v>7</v>
      </c>
      <c r="G412" s="1114" t="s">
        <v>2838</v>
      </c>
      <c r="H412" s="1103" t="s">
        <v>3051</v>
      </c>
      <c r="I412" s="1114">
        <f>(C10)</f>
        <v>861</v>
      </c>
      <c r="J412" s="1103" t="s">
        <v>2838</v>
      </c>
      <c r="K412" s="1114">
        <f>(F412*I412)</f>
        <v>6027</v>
      </c>
      <c r="O412" s="1111" t="s">
        <v>36</v>
      </c>
      <c r="S412" s="1108">
        <v>7</v>
      </c>
      <c r="T412" s="1105" t="s">
        <v>2838</v>
      </c>
      <c r="U412" s="1105" t="s">
        <v>3051</v>
      </c>
      <c r="V412" s="1105">
        <f t="shared" si="34"/>
        <v>861</v>
      </c>
      <c r="W412" s="1105" t="s">
        <v>2838</v>
      </c>
      <c r="X412" s="1105">
        <f t="shared" si="36"/>
        <v>6027</v>
      </c>
      <c r="AD412" s="1103" t="s">
        <v>3066</v>
      </c>
      <c r="AF412" s="1107">
        <f>C20*0.114</f>
        <v>15.640799999999999</v>
      </c>
      <c r="AG412" s="1115">
        <f t="shared" ref="AG412:AG420" si="37">AG411+AF412</f>
        <v>779.7265954799999</v>
      </c>
    </row>
    <row r="413" spans="1:33" ht="24" customHeight="1">
      <c r="A413" s="1122">
        <f t="shared" si="35"/>
        <v>248</v>
      </c>
      <c r="B413" s="1103" t="s">
        <v>3373</v>
      </c>
      <c r="C413" s="1114">
        <v>207.9</v>
      </c>
      <c r="D413" s="1103" t="s">
        <v>2838</v>
      </c>
      <c r="F413" s="1114">
        <v>7.1</v>
      </c>
      <c r="G413" s="1114" t="s">
        <v>2838</v>
      </c>
      <c r="H413" s="1103" t="s">
        <v>3017</v>
      </c>
      <c r="I413" s="1114">
        <f>(C11)</f>
        <v>804</v>
      </c>
      <c r="J413" s="1103" t="s">
        <v>2838</v>
      </c>
      <c r="K413" s="1114">
        <f>(F413*I413)</f>
        <v>5708.4</v>
      </c>
      <c r="M413" s="1114">
        <v>10</v>
      </c>
      <c r="N413" s="1103" t="s">
        <v>3189</v>
      </c>
      <c r="O413" s="1103" t="s">
        <v>3347</v>
      </c>
      <c r="P413" s="1114">
        <f>(R384)</f>
        <v>19.964600000000001</v>
      </c>
      <c r="Q413" s="1103" t="s">
        <v>3189</v>
      </c>
      <c r="R413" s="1114">
        <f>(M413*P413)</f>
        <v>199.64600000000002</v>
      </c>
      <c r="S413" s="1108">
        <v>7.1</v>
      </c>
      <c r="T413" s="1105" t="s">
        <v>2838</v>
      </c>
      <c r="U413" s="1105" t="s">
        <v>3017</v>
      </c>
      <c r="V413" s="1105">
        <f t="shared" si="34"/>
        <v>804</v>
      </c>
      <c r="W413" s="1105" t="s">
        <v>2838</v>
      </c>
      <c r="X413" s="1105">
        <f t="shared" si="36"/>
        <v>5708.4</v>
      </c>
      <c r="AD413" s="1103" t="s">
        <v>3069</v>
      </c>
      <c r="AF413" s="1107">
        <f t="shared" ref="AF413:AF422" si="38">AF412</f>
        <v>15.640799999999999</v>
      </c>
      <c r="AG413" s="1115">
        <f t="shared" si="37"/>
        <v>795.36739547999991</v>
      </c>
    </row>
    <row r="414" spans="1:33" ht="24" customHeight="1">
      <c r="A414" s="1122">
        <f t="shared" si="35"/>
        <v>249</v>
      </c>
      <c r="B414" s="1106" t="s">
        <v>3378</v>
      </c>
      <c r="D414" s="1103" t="s">
        <v>220</v>
      </c>
      <c r="F414" s="1114">
        <v>7.1</v>
      </c>
      <c r="G414" s="1114" t="s">
        <v>2838</v>
      </c>
      <c r="H414" s="1103" t="s">
        <v>3020</v>
      </c>
      <c r="I414" s="1114">
        <f>(C12)</f>
        <v>562</v>
      </c>
      <c r="J414" s="1103" t="s">
        <v>2838</v>
      </c>
      <c r="K414" s="1114">
        <f>(F414*I414)</f>
        <v>3990.2</v>
      </c>
      <c r="M414" s="1114">
        <v>10</v>
      </c>
      <c r="N414" s="1103" t="s">
        <v>3189</v>
      </c>
      <c r="O414" s="1103" t="s">
        <v>3369</v>
      </c>
      <c r="P414" s="1114">
        <f>(R407)</f>
        <v>43.600949999999997</v>
      </c>
      <c r="Q414" s="1103" t="s">
        <v>3189</v>
      </c>
      <c r="R414" s="1114">
        <f>(M414*P414)</f>
        <v>436.0095</v>
      </c>
      <c r="S414" s="1108">
        <v>7.1</v>
      </c>
      <c r="T414" s="1105" t="s">
        <v>2838</v>
      </c>
      <c r="U414" s="1105" t="s">
        <v>3020</v>
      </c>
      <c r="V414" s="1105">
        <f t="shared" si="34"/>
        <v>562</v>
      </c>
      <c r="W414" s="1105" t="s">
        <v>2838</v>
      </c>
      <c r="X414" s="1105">
        <f t="shared" si="36"/>
        <v>3990.2</v>
      </c>
      <c r="AD414" s="1103" t="s">
        <v>3071</v>
      </c>
      <c r="AF414" s="1107">
        <f t="shared" si="38"/>
        <v>15.640799999999999</v>
      </c>
      <c r="AG414" s="1115">
        <f t="shared" si="37"/>
        <v>811.00819547999993</v>
      </c>
    </row>
    <row r="415" spans="1:33" ht="24" customHeight="1">
      <c r="A415" s="1122">
        <f t="shared" si="35"/>
        <v>250</v>
      </c>
      <c r="B415" s="1103" t="s">
        <v>3368</v>
      </c>
      <c r="C415" s="1114">
        <v>15.9</v>
      </c>
      <c r="D415" s="1103" t="s">
        <v>2838</v>
      </c>
      <c r="F415" s="1114">
        <v>21.2</v>
      </c>
      <c r="G415" s="1114" t="s">
        <v>2838</v>
      </c>
      <c r="H415" s="1103" t="s">
        <v>3026</v>
      </c>
      <c r="I415" s="1114">
        <f>(C13)</f>
        <v>461</v>
      </c>
      <c r="J415" s="1103" t="s">
        <v>2838</v>
      </c>
      <c r="K415" s="1114">
        <f>(F415*I415)</f>
        <v>9773.1999999999989</v>
      </c>
      <c r="O415" s="1103" t="s">
        <v>220</v>
      </c>
      <c r="R415" s="1111" t="s">
        <v>36</v>
      </c>
      <c r="S415" s="1108">
        <v>21.2</v>
      </c>
      <c r="T415" s="1105" t="s">
        <v>2838</v>
      </c>
      <c r="U415" s="1105" t="s">
        <v>3026</v>
      </c>
      <c r="V415" s="1105">
        <f t="shared" si="34"/>
        <v>461</v>
      </c>
      <c r="W415" s="1105" t="s">
        <v>2838</v>
      </c>
      <c r="X415" s="1105">
        <f t="shared" si="36"/>
        <v>9773.1999999999989</v>
      </c>
      <c r="AD415" s="1103" t="s">
        <v>3158</v>
      </c>
      <c r="AF415" s="1107">
        <f t="shared" si="38"/>
        <v>15.640799999999999</v>
      </c>
      <c r="AG415" s="1115">
        <f t="shared" si="37"/>
        <v>826.64899547999994</v>
      </c>
    </row>
    <row r="416" spans="1:33" ht="24" customHeight="1">
      <c r="A416" s="1122">
        <f t="shared" si="35"/>
        <v>251</v>
      </c>
      <c r="B416" s="1103" t="s">
        <v>3361</v>
      </c>
      <c r="C416" s="1114">
        <v>25.4</v>
      </c>
      <c r="D416" s="1103" t="s">
        <v>2838</v>
      </c>
      <c r="G416" s="1114" t="s">
        <v>2851</v>
      </c>
      <c r="H416" s="1103" t="s">
        <v>2852</v>
      </c>
      <c r="I416" s="1103" t="s">
        <v>220</v>
      </c>
      <c r="J416" s="1103" t="s">
        <v>2851</v>
      </c>
      <c r="K416" s="1114">
        <v>0</v>
      </c>
      <c r="R416" s="1114">
        <f>SUM(R413:R414)</f>
        <v>635.65550000000007</v>
      </c>
      <c r="T416" s="1105" t="s">
        <v>2851</v>
      </c>
      <c r="U416" s="1105" t="s">
        <v>2852</v>
      </c>
      <c r="V416" s="1105" t="s">
        <v>220</v>
      </c>
      <c r="W416" s="1105" t="s">
        <v>2851</v>
      </c>
      <c r="X416" s="1105">
        <f t="shared" si="36"/>
        <v>0</v>
      </c>
      <c r="AD416" s="1103" t="s">
        <v>3379</v>
      </c>
      <c r="AF416" s="1107">
        <f t="shared" si="38"/>
        <v>15.640799999999999</v>
      </c>
      <c r="AG416" s="1115">
        <f t="shared" si="37"/>
        <v>842.28979547999995</v>
      </c>
    </row>
    <row r="417" spans="1:35" ht="24" customHeight="1">
      <c r="A417" s="1122">
        <f t="shared" si="35"/>
        <v>252</v>
      </c>
      <c r="B417" s="1103" t="s">
        <v>3363</v>
      </c>
      <c r="C417" s="1114">
        <v>58.1</v>
      </c>
      <c r="D417" s="1103" t="s">
        <v>2838</v>
      </c>
      <c r="K417" s="1111" t="s">
        <v>36</v>
      </c>
      <c r="O417" s="1103" t="s">
        <v>3152</v>
      </c>
      <c r="R417" s="1111" t="s">
        <v>36</v>
      </c>
      <c r="X417" s="1132" t="s">
        <v>3356</v>
      </c>
      <c r="AD417" s="1103" t="s">
        <v>3380</v>
      </c>
      <c r="AF417" s="1107">
        <f t="shared" si="38"/>
        <v>15.640799999999999</v>
      </c>
      <c r="AG417" s="1115">
        <f t="shared" si="37"/>
        <v>857.93059547999997</v>
      </c>
    </row>
    <row r="418" spans="1:35" ht="24" customHeight="1">
      <c r="A418" s="1122">
        <f t="shared" si="35"/>
        <v>253</v>
      </c>
      <c r="B418" s="1103" t="s">
        <v>3364</v>
      </c>
      <c r="C418" s="1114">
        <v>87</v>
      </c>
      <c r="D418" s="1103" t="s">
        <v>2838</v>
      </c>
      <c r="H418" s="1103" t="s">
        <v>3033</v>
      </c>
      <c r="K418" s="1114">
        <f>SUM(K410:K416)</f>
        <v>59890.889399999993</v>
      </c>
      <c r="R418" s="1114">
        <f>(R416/10)</f>
        <v>63.565550000000009</v>
      </c>
      <c r="U418" s="1105" t="s">
        <v>3033</v>
      </c>
      <c r="X418" s="1105">
        <f>SUM(X410:X416)</f>
        <v>61588.049399999996</v>
      </c>
      <c r="AD418" s="1103" t="s">
        <v>3381</v>
      </c>
      <c r="AF418" s="1107">
        <f t="shared" si="38"/>
        <v>15.640799999999999</v>
      </c>
      <c r="AG418" s="1115">
        <f t="shared" si="37"/>
        <v>873.57139547999998</v>
      </c>
    </row>
    <row r="419" spans="1:35" ht="24" customHeight="1">
      <c r="A419" s="1122">
        <f t="shared" si="35"/>
        <v>254</v>
      </c>
      <c r="B419" s="1103" t="s">
        <v>3365</v>
      </c>
      <c r="C419" s="1114">
        <v>98.6</v>
      </c>
      <c r="D419" s="1103" t="s">
        <v>2838</v>
      </c>
      <c r="K419" s="1111" t="s">
        <v>36</v>
      </c>
      <c r="O419" s="1103" t="s">
        <v>3154</v>
      </c>
      <c r="R419" s="1111" t="s">
        <v>2793</v>
      </c>
      <c r="X419" s="1132" t="s">
        <v>3356</v>
      </c>
      <c r="AD419" s="1103" t="s">
        <v>3382</v>
      </c>
      <c r="AF419" s="1107">
        <f t="shared" si="38"/>
        <v>15.640799999999999</v>
      </c>
      <c r="AG419" s="1115">
        <f>AG418+AF419</f>
        <v>889.21219547999999</v>
      </c>
    </row>
    <row r="420" spans="1:35" ht="24" customHeight="1">
      <c r="A420" s="1122">
        <f t="shared" si="35"/>
        <v>255</v>
      </c>
      <c r="B420" s="1103" t="s">
        <v>3309</v>
      </c>
      <c r="C420" s="1114">
        <v>128</v>
      </c>
      <c r="D420" s="1103" t="s">
        <v>2838</v>
      </c>
      <c r="H420" s="1103" t="s">
        <v>2946</v>
      </c>
      <c r="K420" s="1114">
        <f>(K418/10)</f>
        <v>5989.0889399999996</v>
      </c>
      <c r="U420" s="1105" t="s">
        <v>2946</v>
      </c>
      <c r="X420" s="1105">
        <f>X418/10</f>
        <v>6158.80494</v>
      </c>
      <c r="AD420" s="1103" t="s">
        <v>3383</v>
      </c>
      <c r="AF420" s="1107">
        <f t="shared" si="38"/>
        <v>15.640799999999999</v>
      </c>
      <c r="AG420" s="1115">
        <f t="shared" si="37"/>
        <v>904.85299548</v>
      </c>
    </row>
    <row r="421" spans="1:35" ht="24" customHeight="1">
      <c r="A421" s="1122">
        <f t="shared" si="35"/>
        <v>256</v>
      </c>
      <c r="B421" s="1103" t="s">
        <v>3373</v>
      </c>
      <c r="C421" s="1114">
        <v>280</v>
      </c>
      <c r="D421" s="1103" t="s">
        <v>2838</v>
      </c>
      <c r="K421" s="1111" t="s">
        <v>2793</v>
      </c>
      <c r="X421" s="1132" t="s">
        <v>3359</v>
      </c>
      <c r="AB421" s="1126">
        <v>11</v>
      </c>
      <c r="AC421" s="1114" t="s">
        <v>1363</v>
      </c>
      <c r="AD421" s="1103" t="s">
        <v>3375</v>
      </c>
      <c r="AF421" s="1107">
        <f t="shared" si="38"/>
        <v>15.640799999999999</v>
      </c>
      <c r="AG421" s="1115">
        <f>AG420+AF421</f>
        <v>920.49379548000002</v>
      </c>
    </row>
    <row r="422" spans="1:35" ht="24" customHeight="1">
      <c r="F422" s="1103" t="s">
        <v>2568</v>
      </c>
      <c r="S422" s="1108" t="s">
        <v>2568</v>
      </c>
      <c r="AD422" s="1114">
        <f>AD307</f>
        <v>0</v>
      </c>
      <c r="AF422" s="1107">
        <f t="shared" si="38"/>
        <v>15.640799999999999</v>
      </c>
      <c r="AG422" s="1115">
        <f>AG421+AF422</f>
        <v>936.13459548000003</v>
      </c>
      <c r="AH422" s="1105" t="s">
        <v>3384</v>
      </c>
      <c r="AI422" s="1105">
        <f>AG422+AF422</f>
        <v>951.77539548000004</v>
      </c>
    </row>
    <row r="423" spans="1:35" ht="24" customHeight="1">
      <c r="A423" s="1122">
        <f>(A421+1)</f>
        <v>257</v>
      </c>
      <c r="B423" s="1106" t="s">
        <v>3385</v>
      </c>
      <c r="D423" s="1103" t="s">
        <v>220</v>
      </c>
      <c r="O423" s="1104" t="s">
        <v>3386</v>
      </c>
      <c r="AD423" s="1111" t="s">
        <v>36</v>
      </c>
      <c r="AF423" s="1107"/>
      <c r="AH423" s="1105" t="s">
        <v>3387</v>
      </c>
      <c r="AI423" s="1105">
        <f>AI422+AF422</f>
        <v>967.41619548000006</v>
      </c>
    </row>
    <row r="424" spans="1:35" ht="24" customHeight="1">
      <c r="A424" s="1122">
        <f t="shared" ref="A424:A487" si="39">(A423+1)</f>
        <v>258</v>
      </c>
      <c r="B424" s="1103" t="s">
        <v>3368</v>
      </c>
      <c r="C424" s="1114">
        <v>58.1</v>
      </c>
      <c r="D424" s="1103" t="s">
        <v>2838</v>
      </c>
      <c r="G424" s="1114" t="s">
        <v>3171</v>
      </c>
      <c r="H424" s="1103" t="s">
        <v>3172</v>
      </c>
      <c r="O424" s="1111" t="s">
        <v>36</v>
      </c>
      <c r="T424" s="1105" t="s">
        <v>3171</v>
      </c>
      <c r="U424" s="1105" t="s">
        <v>3172</v>
      </c>
      <c r="AB424" s="1114">
        <f>AB311</f>
        <v>4240</v>
      </c>
      <c r="AC424" s="1114" t="s">
        <v>3046</v>
      </c>
      <c r="AD424" s="1114" t="str">
        <f>AD311</f>
        <v>Bricks of size 23x11.4x7.5 cm</v>
      </c>
      <c r="AE424" s="1114">
        <f t="shared" ref="AE424:AE429" si="40">AE388</f>
        <v>6630</v>
      </c>
      <c r="AF424" s="1103" t="s">
        <v>3164</v>
      </c>
      <c r="AG424" s="1114">
        <f>(AB424*AE424)/1000</f>
        <v>28111.200000000001</v>
      </c>
    </row>
    <row r="425" spans="1:35" ht="24" customHeight="1">
      <c r="A425" s="1122">
        <f t="shared" si="39"/>
        <v>259</v>
      </c>
      <c r="B425" s="1103" t="s">
        <v>3361</v>
      </c>
      <c r="C425" s="1114">
        <v>69.8</v>
      </c>
      <c r="D425" s="1103" t="s">
        <v>2838</v>
      </c>
      <c r="H425" s="1111" t="s">
        <v>36</v>
      </c>
      <c r="N425" s="1103" t="s">
        <v>1363</v>
      </c>
      <c r="O425" s="1103" t="s">
        <v>3388</v>
      </c>
      <c r="U425" s="1105" t="s">
        <v>36</v>
      </c>
      <c r="AB425" s="1114">
        <v>1.27</v>
      </c>
      <c r="AC425" s="1114" t="s">
        <v>2839</v>
      </c>
      <c r="AD425" s="1103" t="s">
        <v>2963</v>
      </c>
      <c r="AE425" s="1114">
        <f t="shared" si="40"/>
        <v>4080.66</v>
      </c>
      <c r="AF425" s="1103" t="s">
        <v>2839</v>
      </c>
      <c r="AG425" s="1114">
        <f>(AB425*AE425)</f>
        <v>5182.4381999999996</v>
      </c>
    </row>
    <row r="426" spans="1:35" ht="24" customHeight="1">
      <c r="A426" s="1122">
        <f t="shared" si="39"/>
        <v>260</v>
      </c>
      <c r="B426" s="1103" t="s">
        <v>3363</v>
      </c>
      <c r="C426" s="1114">
        <v>98.6</v>
      </c>
      <c r="D426" s="1103" t="s">
        <v>2838</v>
      </c>
      <c r="F426" s="1114">
        <v>0.7</v>
      </c>
      <c r="G426" s="1114" t="s">
        <v>2839</v>
      </c>
      <c r="H426" s="1103" t="s">
        <v>3173</v>
      </c>
      <c r="I426" s="1114">
        <f>(K420)</f>
        <v>5989.0889399999996</v>
      </c>
      <c r="J426" s="1103" t="s">
        <v>2838</v>
      </c>
      <c r="K426" s="1114">
        <f>(F426*I426)</f>
        <v>4192.3622579999992</v>
      </c>
      <c r="O426" s="1103" t="s">
        <v>3389</v>
      </c>
      <c r="S426" s="1108">
        <v>0.7</v>
      </c>
      <c r="T426" s="1105" t="s">
        <v>2839</v>
      </c>
      <c r="U426" s="1105" t="s">
        <v>3173</v>
      </c>
      <c r="V426" s="1105">
        <f>X420</f>
        <v>6158.80494</v>
      </c>
      <c r="W426" s="1105" t="s">
        <v>2838</v>
      </c>
      <c r="X426" s="1105">
        <f>V426*S426</f>
        <v>4311.163458</v>
      </c>
      <c r="AB426" s="1114">
        <v>7</v>
      </c>
      <c r="AC426" s="1114" t="s">
        <v>2838</v>
      </c>
      <c r="AD426" s="1103" t="s">
        <v>3051</v>
      </c>
      <c r="AE426" s="1114">
        <f t="shared" si="40"/>
        <v>861</v>
      </c>
      <c r="AF426" s="1103" t="s">
        <v>2838</v>
      </c>
      <c r="AG426" s="1114">
        <f>(AB426*AE426)</f>
        <v>6027</v>
      </c>
    </row>
    <row r="427" spans="1:35" ht="24" customHeight="1">
      <c r="A427" s="1122">
        <f t="shared" si="39"/>
        <v>261</v>
      </c>
      <c r="B427" s="1103" t="s">
        <v>3364</v>
      </c>
      <c r="C427" s="1114">
        <v>127.5</v>
      </c>
      <c r="D427" s="1103" t="s">
        <v>2838</v>
      </c>
      <c r="F427" s="1114">
        <v>1</v>
      </c>
      <c r="G427" s="1114" t="s">
        <v>2941</v>
      </c>
      <c r="H427" s="1103" t="s">
        <v>3051</v>
      </c>
      <c r="I427" s="1114">
        <f>(C10)</f>
        <v>861</v>
      </c>
      <c r="J427" s="1103" t="s">
        <v>2838</v>
      </c>
      <c r="K427" s="1114">
        <f>(F427*I427)</f>
        <v>861</v>
      </c>
      <c r="O427" s="1103" t="s">
        <v>3390</v>
      </c>
      <c r="S427" s="1108">
        <v>1</v>
      </c>
      <c r="T427" s="1105" t="s">
        <v>2941</v>
      </c>
      <c r="U427" s="1105" t="s">
        <v>3051</v>
      </c>
      <c r="V427" s="1105">
        <f>V395</f>
        <v>861</v>
      </c>
      <c r="W427" s="1105" t="s">
        <v>2838</v>
      </c>
      <c r="X427" s="1105">
        <f>V427*S427</f>
        <v>861</v>
      </c>
      <c r="AB427" s="1114">
        <v>7.1</v>
      </c>
      <c r="AC427" s="1114" t="s">
        <v>2838</v>
      </c>
      <c r="AD427" s="1103" t="s">
        <v>3017</v>
      </c>
      <c r="AE427" s="1114">
        <f t="shared" si="40"/>
        <v>804</v>
      </c>
      <c r="AF427" s="1103" t="s">
        <v>2838</v>
      </c>
      <c r="AG427" s="1114">
        <f>(AB427*AE427)</f>
        <v>5708.4</v>
      </c>
    </row>
    <row r="428" spans="1:35" ht="24" customHeight="1">
      <c r="A428" s="1122">
        <f t="shared" si="39"/>
        <v>262</v>
      </c>
      <c r="B428" s="1103" t="s">
        <v>3365</v>
      </c>
      <c r="C428" s="1114">
        <v>197.5</v>
      </c>
      <c r="D428" s="1103" t="s">
        <v>2838</v>
      </c>
      <c r="G428" s="1114" t="s">
        <v>2851</v>
      </c>
      <c r="H428" s="1103" t="s">
        <v>2852</v>
      </c>
      <c r="I428" s="1103" t="s">
        <v>220</v>
      </c>
      <c r="J428" s="1103" t="s">
        <v>2851</v>
      </c>
      <c r="K428" s="1114">
        <v>0</v>
      </c>
      <c r="O428" s="1111" t="s">
        <v>36</v>
      </c>
      <c r="T428" s="1105" t="s">
        <v>2851</v>
      </c>
      <c r="U428" s="1105" t="s">
        <v>2852</v>
      </c>
      <c r="V428" s="1105" t="s">
        <v>220</v>
      </c>
      <c r="W428" s="1105" t="s">
        <v>2851</v>
      </c>
      <c r="X428" s="1105">
        <v>0</v>
      </c>
      <c r="AB428" s="1114">
        <f>AB315</f>
        <v>7.1</v>
      </c>
      <c r="AC428" s="1114" t="s">
        <v>2838</v>
      </c>
      <c r="AD428" s="1103" t="s">
        <v>3020</v>
      </c>
      <c r="AE428" s="1114">
        <f t="shared" si="40"/>
        <v>562</v>
      </c>
      <c r="AF428" s="1103" t="s">
        <v>2838</v>
      </c>
      <c r="AG428" s="1114">
        <f>(AB428*AE428)</f>
        <v>3990.2</v>
      </c>
    </row>
    <row r="429" spans="1:35" ht="39" customHeight="1">
      <c r="A429" s="1122">
        <f t="shared" si="39"/>
        <v>263</v>
      </c>
      <c r="B429" s="1103" t="s">
        <v>3309</v>
      </c>
      <c r="C429" s="1114">
        <v>266.3</v>
      </c>
      <c r="D429" s="1103" t="s">
        <v>2838</v>
      </c>
      <c r="K429" s="1111" t="s">
        <v>36</v>
      </c>
      <c r="N429" s="1103" t="s">
        <v>3391</v>
      </c>
      <c r="O429" s="1104" t="s">
        <v>3392</v>
      </c>
      <c r="X429" s="1132" t="s">
        <v>3356</v>
      </c>
      <c r="AB429" s="1114">
        <f>AB316</f>
        <v>21.2</v>
      </c>
      <c r="AC429" s="1114" t="s">
        <v>2838</v>
      </c>
      <c r="AD429" s="1103" t="s">
        <v>3026</v>
      </c>
      <c r="AE429" s="1114">
        <f t="shared" si="40"/>
        <v>461</v>
      </c>
      <c r="AF429" s="1103" t="s">
        <v>2838</v>
      </c>
      <c r="AG429" s="1114">
        <f>(AB429*AE429)</f>
        <v>9773.1999999999989</v>
      </c>
    </row>
    <row r="430" spans="1:35" ht="34.5" customHeight="1">
      <c r="A430" s="1122">
        <f t="shared" si="39"/>
        <v>264</v>
      </c>
      <c r="B430" s="1103" t="s">
        <v>3393</v>
      </c>
      <c r="C430" s="1114">
        <v>551</v>
      </c>
      <c r="D430" s="1103" t="s">
        <v>2838</v>
      </c>
      <c r="H430" s="1103" t="s">
        <v>3152</v>
      </c>
      <c r="K430" s="1114">
        <f>SUM(K426:K428)</f>
        <v>5053.3622579999992</v>
      </c>
      <c r="O430" s="1111" t="s">
        <v>36</v>
      </c>
      <c r="U430" s="1105" t="s">
        <v>3152</v>
      </c>
      <c r="X430" s="1105">
        <f>SUM(X426:X428)</f>
        <v>5172.163458</v>
      </c>
      <c r="AB430" s="1114">
        <f>AB317</f>
        <v>0</v>
      </c>
      <c r="AC430" s="1114" t="s">
        <v>2851</v>
      </c>
      <c r="AD430" s="1103" t="s">
        <v>2852</v>
      </c>
      <c r="AE430" s="1103" t="s">
        <v>220</v>
      </c>
      <c r="AF430" s="1103" t="s">
        <v>2851</v>
      </c>
      <c r="AG430" s="1114">
        <v>0</v>
      </c>
    </row>
    <row r="431" spans="1:35" ht="24" customHeight="1">
      <c r="A431" s="1122">
        <f t="shared" si="39"/>
        <v>265</v>
      </c>
      <c r="B431" s="1106" t="s">
        <v>3394</v>
      </c>
      <c r="D431" s="1103" t="s">
        <v>220</v>
      </c>
      <c r="K431" s="1111" t="s">
        <v>36</v>
      </c>
      <c r="M431" s="1114">
        <v>8.1</v>
      </c>
      <c r="N431" s="1103" t="s">
        <v>2839</v>
      </c>
      <c r="O431" s="1103" t="s">
        <v>3395</v>
      </c>
      <c r="P431" s="1114">
        <f>(C61)*2</f>
        <v>193.2</v>
      </c>
      <c r="Q431" s="1103" t="s">
        <v>2839</v>
      </c>
      <c r="R431" s="1114">
        <f>(M431*P431)</f>
        <v>1564.9199999999998</v>
      </c>
      <c r="X431" s="1132" t="s">
        <v>3356</v>
      </c>
      <c r="AB431" s="1114">
        <f>AB318</f>
        <v>0</v>
      </c>
      <c r="AF431" s="1107"/>
      <c r="AG431" s="1111" t="s">
        <v>36</v>
      </c>
    </row>
    <row r="432" spans="1:35" ht="30.75" customHeight="1">
      <c r="A432" s="1122">
        <f t="shared" si="39"/>
        <v>266</v>
      </c>
      <c r="B432" s="1103" t="s">
        <v>3368</v>
      </c>
      <c r="C432" s="1114">
        <v>1.8</v>
      </c>
      <c r="D432" s="1103" t="s">
        <v>2838</v>
      </c>
      <c r="H432" s="1103" t="s">
        <v>3154</v>
      </c>
      <c r="K432" s="1114">
        <f>(K430/10)</f>
        <v>505.33622579999991</v>
      </c>
      <c r="M432" s="1114">
        <v>8.1</v>
      </c>
      <c r="N432" s="1103" t="s">
        <v>2839</v>
      </c>
      <c r="O432" s="1103" t="s">
        <v>3396</v>
      </c>
      <c r="P432" s="1114">
        <f>(C26)</f>
        <v>33.6</v>
      </c>
      <c r="Q432" s="1103" t="s">
        <v>2839</v>
      </c>
      <c r="R432" s="1114">
        <f>(M432*P432)</f>
        <v>272.16000000000003</v>
      </c>
      <c r="U432" s="1105" t="s">
        <v>3154</v>
      </c>
      <c r="X432" s="1105">
        <f>X430/10</f>
        <v>517.2163458</v>
      </c>
      <c r="AB432" s="1114">
        <f>AB319</f>
        <v>0</v>
      </c>
      <c r="AD432" s="1103" t="s">
        <v>3033</v>
      </c>
      <c r="AF432" s="1107"/>
      <c r="AG432" s="1114">
        <f>SUM(AG424:AG431)</f>
        <v>58792.438199999997</v>
      </c>
    </row>
    <row r="433" spans="1:33" ht="42" customHeight="1">
      <c r="A433" s="1122">
        <f t="shared" si="39"/>
        <v>267</v>
      </c>
      <c r="B433" s="1103" t="s">
        <v>3361</v>
      </c>
      <c r="C433" s="1114">
        <v>2.9</v>
      </c>
      <c r="D433" s="1103" t="s">
        <v>2838</v>
      </c>
      <c r="K433" s="1111" t="s">
        <v>2793</v>
      </c>
      <c r="M433" s="1114">
        <v>30</v>
      </c>
      <c r="N433" s="1103" t="s">
        <v>1790</v>
      </c>
      <c r="O433" s="1103" t="s">
        <v>3397</v>
      </c>
      <c r="P433" s="1114">
        <f>(C42)</f>
        <v>5</v>
      </c>
      <c r="Q433" s="1103" t="s">
        <v>1790</v>
      </c>
      <c r="R433" s="1114">
        <f>(M433*P433)</f>
        <v>150</v>
      </c>
      <c r="X433" s="1132" t="s">
        <v>3359</v>
      </c>
      <c r="AF433" s="1107"/>
      <c r="AG433" s="1111" t="s">
        <v>36</v>
      </c>
    </row>
    <row r="434" spans="1:33" ht="24" customHeight="1">
      <c r="A434" s="1122">
        <f t="shared" si="39"/>
        <v>268</v>
      </c>
      <c r="B434" s="1103" t="s">
        <v>3363</v>
      </c>
      <c r="C434" s="1114">
        <v>4</v>
      </c>
      <c r="D434" s="1103" t="s">
        <v>2838</v>
      </c>
      <c r="H434" s="1103" t="s">
        <v>3062</v>
      </c>
      <c r="K434" s="1115">
        <f>(K432+C19/10*F426)</f>
        <v>510.0962257999999</v>
      </c>
      <c r="O434" s="1103" t="s">
        <v>3398</v>
      </c>
      <c r="U434" s="1119" t="s">
        <v>3062</v>
      </c>
      <c r="W434" s="1105">
        <f>0.07*C19</f>
        <v>4.7600000000000007</v>
      </c>
      <c r="X434" s="1119">
        <f>X432+W434</f>
        <v>521.97634579999999</v>
      </c>
      <c r="AD434" s="1103" t="s">
        <v>2946</v>
      </c>
      <c r="AF434" s="1107"/>
      <c r="AG434" s="1114">
        <f>(AG432/10)</f>
        <v>5879.2438199999997</v>
      </c>
    </row>
    <row r="435" spans="1:33" ht="24" customHeight="1">
      <c r="A435" s="1122">
        <f t="shared" si="39"/>
        <v>269</v>
      </c>
      <c r="B435" s="1103" t="s">
        <v>3364</v>
      </c>
      <c r="C435" s="1114">
        <v>6.86</v>
      </c>
      <c r="D435" s="1103" t="s">
        <v>2838</v>
      </c>
      <c r="H435" s="1103" t="s">
        <v>3066</v>
      </c>
      <c r="K435" s="1115">
        <f>(K434+C20/10*F426)</f>
        <v>519.70022579999988</v>
      </c>
      <c r="O435" s="1103" t="s">
        <v>3399</v>
      </c>
      <c r="U435" s="1119" t="s">
        <v>3066</v>
      </c>
      <c r="W435" s="1105">
        <f>0.07*C20</f>
        <v>9.604000000000001</v>
      </c>
      <c r="X435" s="1119">
        <f>X434+W435</f>
        <v>531.58034580000003</v>
      </c>
      <c r="AF435" s="1107"/>
      <c r="AG435" s="1111" t="s">
        <v>2793</v>
      </c>
    </row>
    <row r="436" spans="1:33" ht="24" customHeight="1">
      <c r="A436" s="1122">
        <f t="shared" si="39"/>
        <v>270</v>
      </c>
      <c r="B436" s="1103" t="s">
        <v>3365</v>
      </c>
      <c r="C436" s="1114">
        <v>9.15</v>
      </c>
      <c r="D436" s="1103" t="s">
        <v>2838</v>
      </c>
      <c r="H436" s="1103" t="s">
        <v>3069</v>
      </c>
      <c r="K436" s="1115">
        <f>(K435+C21/10*F426)</f>
        <v>529.30422579999993</v>
      </c>
      <c r="O436" s="1103" t="s">
        <v>3400</v>
      </c>
      <c r="U436" s="1119" t="s">
        <v>3069</v>
      </c>
      <c r="W436" s="1105">
        <f>W435</f>
        <v>9.604000000000001</v>
      </c>
      <c r="X436" s="1119">
        <f>X435+W436</f>
        <v>541.18434580000007</v>
      </c>
      <c r="AB436" s="1103" t="s">
        <v>2568</v>
      </c>
      <c r="AF436" s="1107"/>
    </row>
    <row r="437" spans="1:33" ht="24" customHeight="1">
      <c r="A437" s="1122">
        <f t="shared" si="39"/>
        <v>271</v>
      </c>
      <c r="B437" s="1103" t="s">
        <v>3309</v>
      </c>
      <c r="C437" s="1114">
        <v>14.59</v>
      </c>
      <c r="D437" s="1103" t="s">
        <v>2838</v>
      </c>
      <c r="H437" s="1103" t="s">
        <v>3071</v>
      </c>
      <c r="K437" s="1115">
        <f>(K436+C21/10*F426)</f>
        <v>538.90822579999997</v>
      </c>
      <c r="O437" s="1103" t="s">
        <v>3401</v>
      </c>
      <c r="U437" s="1119" t="s">
        <v>3071</v>
      </c>
      <c r="W437" s="1105">
        <f>W436</f>
        <v>9.604000000000001</v>
      </c>
      <c r="X437" s="1119">
        <f>X436+W437</f>
        <v>550.78834580000012</v>
      </c>
      <c r="AF437" s="1107"/>
    </row>
    <row r="438" spans="1:33" ht="24" customHeight="1">
      <c r="A438" s="1122"/>
      <c r="B438" s="1103"/>
      <c r="C438" s="1114"/>
      <c r="D438" s="1103"/>
      <c r="H438" s="1103" t="s">
        <v>3177</v>
      </c>
      <c r="K438" s="1115">
        <f>(K437+C20/10*F426)</f>
        <v>548.51222580000001</v>
      </c>
      <c r="O438" s="1103"/>
      <c r="U438" s="1119" t="s">
        <v>3177</v>
      </c>
      <c r="W438" s="1105">
        <f>W437</f>
        <v>9.604000000000001</v>
      </c>
      <c r="X438" s="1119">
        <f>X437+W438</f>
        <v>560.39234580000016</v>
      </c>
      <c r="AC438" s="1114" t="s">
        <v>3171</v>
      </c>
      <c r="AD438" s="1103" t="s">
        <v>3402</v>
      </c>
      <c r="AF438" s="1107"/>
    </row>
    <row r="439" spans="1:33" ht="24" customHeight="1">
      <c r="A439" s="1122">
        <f>(A437+1)</f>
        <v>272</v>
      </c>
      <c r="B439" s="1103" t="s">
        <v>3403</v>
      </c>
      <c r="C439" s="1114">
        <v>21.74</v>
      </c>
      <c r="D439" s="1103" t="s">
        <v>2838</v>
      </c>
      <c r="H439" s="1104" t="s">
        <v>3404</v>
      </c>
      <c r="M439" s="1114">
        <v>8</v>
      </c>
      <c r="N439" s="1103" t="s">
        <v>2941</v>
      </c>
      <c r="O439" s="1103" t="s">
        <v>3405</v>
      </c>
      <c r="P439" s="1114">
        <f>(C43)</f>
        <v>8.1</v>
      </c>
      <c r="Q439" s="1103" t="s">
        <v>2941</v>
      </c>
      <c r="R439" s="1114">
        <f>(M439*P439)</f>
        <v>64.8</v>
      </c>
      <c r="AD439" s="1111" t="s">
        <v>36</v>
      </c>
      <c r="AF439" s="1107"/>
    </row>
    <row r="440" spans="1:33" ht="24" customHeight="1">
      <c r="A440" s="1122">
        <f t="shared" si="39"/>
        <v>273</v>
      </c>
      <c r="B440" s="1106" t="s">
        <v>3406</v>
      </c>
      <c r="D440" s="1103" t="s">
        <v>220</v>
      </c>
      <c r="H440" s="1104" t="s">
        <v>3407</v>
      </c>
      <c r="M440" s="1114">
        <v>8</v>
      </c>
      <c r="N440" s="1103" t="s">
        <v>2941</v>
      </c>
      <c r="O440" s="1103" t="s">
        <v>3408</v>
      </c>
      <c r="P440" s="1114">
        <f>(C50)</f>
        <v>11.5</v>
      </c>
      <c r="Q440" s="1103" t="s">
        <v>2941</v>
      </c>
      <c r="R440" s="1114">
        <f>(M440*P440)</f>
        <v>92</v>
      </c>
      <c r="AB440" s="1114">
        <v>0.75</v>
      </c>
      <c r="AC440" s="1114" t="s">
        <v>2839</v>
      </c>
      <c r="AD440" s="1103" t="s">
        <v>3173</v>
      </c>
      <c r="AE440" s="1114">
        <f>AG434</f>
        <v>5879.2438199999997</v>
      </c>
      <c r="AF440" s="1103" t="s">
        <v>2838</v>
      </c>
      <c r="AG440" s="1114">
        <f>(AB440*AE440)</f>
        <v>4409.4328649999998</v>
      </c>
    </row>
    <row r="441" spans="1:33" ht="38.25" customHeight="1">
      <c r="A441" s="1122">
        <f t="shared" si="39"/>
        <v>274</v>
      </c>
      <c r="B441" s="1103" t="s">
        <v>3368</v>
      </c>
      <c r="C441" s="1114">
        <v>28.6</v>
      </c>
      <c r="D441" s="1103" t="s">
        <v>2838</v>
      </c>
      <c r="F441" s="1126">
        <v>12</v>
      </c>
      <c r="G441" s="1114" t="s">
        <v>1363</v>
      </c>
      <c r="H441" s="1103" t="s">
        <v>3409</v>
      </c>
      <c r="M441" s="1114">
        <v>1</v>
      </c>
      <c r="N441" s="1103" t="s">
        <v>2851</v>
      </c>
      <c r="O441" s="1103" t="s">
        <v>3410</v>
      </c>
      <c r="P441" s="1114">
        <f>(C56)</f>
        <v>12.1</v>
      </c>
      <c r="Q441" s="1103" t="s">
        <v>2851</v>
      </c>
      <c r="R441" s="1114">
        <f>(M441*P441)</f>
        <v>12.1</v>
      </c>
      <c r="AB441" s="1114">
        <v>1</v>
      </c>
      <c r="AC441" s="1114" t="s">
        <v>2941</v>
      </c>
      <c r="AD441" s="1103" t="s">
        <v>3051</v>
      </c>
      <c r="AE441" s="1114">
        <f>AE426</f>
        <v>861</v>
      </c>
      <c r="AF441" s="1103" t="s">
        <v>2838</v>
      </c>
      <c r="AG441" s="1114">
        <f>(AB441*AE441)</f>
        <v>861</v>
      </c>
    </row>
    <row r="442" spans="1:33" ht="24" customHeight="1">
      <c r="A442" s="1122">
        <f t="shared" si="39"/>
        <v>275</v>
      </c>
      <c r="B442" s="1103" t="s">
        <v>3361</v>
      </c>
      <c r="C442" s="1114">
        <v>34.700000000000003</v>
      </c>
      <c r="D442" s="1103" t="s">
        <v>2838</v>
      </c>
      <c r="H442" s="1103" t="s">
        <v>3073</v>
      </c>
      <c r="M442" s="1114">
        <v>1</v>
      </c>
      <c r="N442" s="1103" t="s">
        <v>2851</v>
      </c>
      <c r="O442" s="1103" t="s">
        <v>2852</v>
      </c>
      <c r="Q442" s="1103" t="s">
        <v>2851</v>
      </c>
      <c r="R442" s="1114">
        <v>0</v>
      </c>
      <c r="AC442" s="1114" t="s">
        <v>2851</v>
      </c>
      <c r="AD442" s="1103" t="s">
        <v>2852</v>
      </c>
      <c r="AE442" s="1103" t="s">
        <v>220</v>
      </c>
      <c r="AF442" s="1103" t="s">
        <v>2851</v>
      </c>
      <c r="AG442" s="1114">
        <v>0</v>
      </c>
    </row>
    <row r="443" spans="1:33" ht="24" customHeight="1">
      <c r="A443" s="1122">
        <f t="shared" si="39"/>
        <v>276</v>
      </c>
      <c r="B443" s="1103" t="s">
        <v>3363</v>
      </c>
      <c r="C443" s="1114">
        <v>81.400000000000006</v>
      </c>
      <c r="D443" s="1103" t="s">
        <v>2838</v>
      </c>
      <c r="H443" s="1111" t="s">
        <v>36</v>
      </c>
      <c r="R443" s="1111" t="s">
        <v>36</v>
      </c>
      <c r="AF443" s="1107"/>
      <c r="AG443" s="1111" t="s">
        <v>36</v>
      </c>
    </row>
    <row r="444" spans="1:33" ht="24" customHeight="1">
      <c r="A444" s="1122">
        <f t="shared" si="39"/>
        <v>277</v>
      </c>
      <c r="B444" s="1103" t="s">
        <v>3364</v>
      </c>
      <c r="C444" s="1114">
        <v>98.6</v>
      </c>
      <c r="D444" s="1103" t="s">
        <v>2838</v>
      </c>
      <c r="F444" s="1114">
        <v>6570</v>
      </c>
      <c r="G444" s="1114" t="s">
        <v>3046</v>
      </c>
      <c r="H444" s="1103" t="s">
        <v>3411</v>
      </c>
      <c r="I444" s="1114">
        <f>(C77)</f>
        <v>4438.3</v>
      </c>
      <c r="J444" s="1103" t="s">
        <v>3047</v>
      </c>
      <c r="K444" s="1114">
        <f>(F444*I444)/1000</f>
        <v>29159.631000000001</v>
      </c>
      <c r="O444" s="1103" t="s">
        <v>3412</v>
      </c>
      <c r="R444" s="1114">
        <f>SUM(R431:R442)</f>
        <v>2155.98</v>
      </c>
      <c r="AD444" s="1103" t="s">
        <v>3152</v>
      </c>
      <c r="AF444" s="1107"/>
      <c r="AG444" s="1114">
        <f>SUM(AG440:AG442)</f>
        <v>5270.4328649999998</v>
      </c>
    </row>
    <row r="445" spans="1:33" ht="24" customHeight="1">
      <c r="A445" s="1122">
        <f t="shared" si="39"/>
        <v>278</v>
      </c>
      <c r="B445" s="1103" t="s">
        <v>3365</v>
      </c>
      <c r="C445" s="1114">
        <v>110.2</v>
      </c>
      <c r="D445" s="1103" t="s">
        <v>2838</v>
      </c>
      <c r="F445" s="1114">
        <v>1.91</v>
      </c>
      <c r="G445" s="1114" t="s">
        <v>2839</v>
      </c>
      <c r="H445" s="1103" t="s">
        <v>2963</v>
      </c>
      <c r="I445" s="1114">
        <f>(K40)</f>
        <v>4080.66</v>
      </c>
      <c r="J445" s="1103" t="s">
        <v>2839</v>
      </c>
      <c r="K445" s="1114">
        <f>(F445*I445)</f>
        <v>7794.0605999999998</v>
      </c>
      <c r="R445" s="1111" t="s">
        <v>36</v>
      </c>
      <c r="AF445" s="1107"/>
      <c r="AG445" s="1111" t="s">
        <v>36</v>
      </c>
    </row>
    <row r="446" spans="1:33" ht="24" customHeight="1">
      <c r="A446" s="1122">
        <f t="shared" si="39"/>
        <v>279</v>
      </c>
      <c r="B446" s="1103" t="s">
        <v>3309</v>
      </c>
      <c r="C446" s="1114">
        <v>139.80000000000001</v>
      </c>
      <c r="D446" s="1103" t="s">
        <v>2838</v>
      </c>
      <c r="F446" s="1114">
        <v>7</v>
      </c>
      <c r="G446" s="1114" t="s">
        <v>2838</v>
      </c>
      <c r="H446" s="1103" t="s">
        <v>3051</v>
      </c>
      <c r="I446" s="1114">
        <f>(C10)</f>
        <v>861</v>
      </c>
      <c r="J446" s="1103" t="s">
        <v>2838</v>
      </c>
      <c r="K446" s="1114">
        <f>(F446*I446)</f>
        <v>6027</v>
      </c>
      <c r="O446" s="1103" t="s">
        <v>3413</v>
      </c>
      <c r="R446" s="1114">
        <f>(R444/30)</f>
        <v>71.866</v>
      </c>
      <c r="AD446" s="1103" t="s">
        <v>3154</v>
      </c>
      <c r="AF446" s="1107"/>
      <c r="AG446" s="1114">
        <f>(AG444/10)</f>
        <v>527.04328650000002</v>
      </c>
    </row>
    <row r="447" spans="1:33" ht="24" customHeight="1">
      <c r="A447" s="1122">
        <f t="shared" si="39"/>
        <v>280</v>
      </c>
      <c r="B447" s="1103" t="s">
        <v>3414</v>
      </c>
      <c r="C447" s="1114">
        <v>363</v>
      </c>
      <c r="D447" s="1103" t="s">
        <v>2838</v>
      </c>
      <c r="F447" s="1114">
        <v>3.6</v>
      </c>
      <c r="G447" s="1114" t="s">
        <v>2838</v>
      </c>
      <c r="H447" s="1103" t="s">
        <v>3017</v>
      </c>
      <c r="I447" s="1114">
        <f>(C11)</f>
        <v>804</v>
      </c>
      <c r="J447" s="1103" t="s">
        <v>2838</v>
      </c>
      <c r="K447" s="1114">
        <f>(F447*I447)</f>
        <v>2894.4</v>
      </c>
      <c r="R447" s="1111" t="s">
        <v>36</v>
      </c>
      <c r="AF447" s="1107"/>
      <c r="AG447" s="1111" t="s">
        <v>2793</v>
      </c>
    </row>
    <row r="448" spans="1:33" ht="24" customHeight="1">
      <c r="A448" s="1122">
        <f t="shared" si="39"/>
        <v>281</v>
      </c>
      <c r="B448" s="1106" t="s">
        <v>3415</v>
      </c>
      <c r="D448" s="1103" t="s">
        <v>220</v>
      </c>
      <c r="F448" s="1114">
        <v>7.1</v>
      </c>
      <c r="G448" s="1114" t="s">
        <v>2838</v>
      </c>
      <c r="H448" s="1103" t="s">
        <v>3020</v>
      </c>
      <c r="I448" s="1114">
        <f>(C12)</f>
        <v>562</v>
      </c>
      <c r="J448" s="1103" t="s">
        <v>2838</v>
      </c>
      <c r="K448" s="1114">
        <f>(F448*I448)</f>
        <v>3990.2</v>
      </c>
      <c r="N448" s="1103" t="s">
        <v>75</v>
      </c>
      <c r="O448" s="1104" t="s">
        <v>3416</v>
      </c>
      <c r="AD448" s="1103" t="s">
        <v>3062</v>
      </c>
      <c r="AF448" s="1107">
        <f>C19*0.075</f>
        <v>5.0999999999999996</v>
      </c>
      <c r="AG448" s="1115">
        <f>AG446+AF448</f>
        <v>532.14328650000004</v>
      </c>
    </row>
    <row r="449" spans="1:36" ht="24" customHeight="1">
      <c r="A449" s="1122">
        <f t="shared" si="39"/>
        <v>282</v>
      </c>
      <c r="B449" s="1103" t="s">
        <v>3368</v>
      </c>
      <c r="C449" s="1114">
        <v>23.2</v>
      </c>
      <c r="D449" s="1103" t="s">
        <v>2838</v>
      </c>
      <c r="F449" s="1114">
        <v>14.1</v>
      </c>
      <c r="G449" s="1114" t="s">
        <v>2838</v>
      </c>
      <c r="H449" s="1103" t="s">
        <v>3026</v>
      </c>
      <c r="I449" s="1114">
        <f>(C13)</f>
        <v>461</v>
      </c>
      <c r="J449" s="1103" t="s">
        <v>2838</v>
      </c>
      <c r="K449" s="1114">
        <f>(F449*I449)</f>
        <v>6500.0999999999995</v>
      </c>
      <c r="O449" s="1111" t="s">
        <v>36</v>
      </c>
      <c r="AD449" s="1103" t="s">
        <v>3066</v>
      </c>
      <c r="AF449" s="1107">
        <f>C20*0.075</f>
        <v>10.29</v>
      </c>
      <c r="AG449" s="1115">
        <f t="shared" ref="AG449:AG458" si="41">AG448+AF449</f>
        <v>542.43328650000001</v>
      </c>
    </row>
    <row r="450" spans="1:36" ht="39" customHeight="1">
      <c r="A450" s="1122">
        <f t="shared" si="39"/>
        <v>283</v>
      </c>
      <c r="B450" s="1103" t="s">
        <v>3361</v>
      </c>
      <c r="C450" s="1114">
        <v>34.700000000000003</v>
      </c>
      <c r="D450" s="1103" t="s">
        <v>2838</v>
      </c>
      <c r="G450" s="1114" t="s">
        <v>2851</v>
      </c>
      <c r="H450" s="1103" t="s">
        <v>2852</v>
      </c>
      <c r="I450" s="1103" t="s">
        <v>220</v>
      </c>
      <c r="J450" s="1103" t="s">
        <v>2851</v>
      </c>
      <c r="K450" s="1114">
        <v>0</v>
      </c>
      <c r="M450" s="1114">
        <v>8.1</v>
      </c>
      <c r="N450" s="1103" t="s">
        <v>2839</v>
      </c>
      <c r="O450" s="1103" t="s">
        <v>3395</v>
      </c>
      <c r="P450" s="1114">
        <f>(C61)*2</f>
        <v>193.2</v>
      </c>
      <c r="Q450" s="1103" t="s">
        <v>2839</v>
      </c>
      <c r="R450" s="1114">
        <f>(M450*P450)</f>
        <v>1564.9199999999998</v>
      </c>
      <c r="AD450" s="1103" t="s">
        <v>3069</v>
      </c>
      <c r="AF450" s="1107">
        <f>C21*0.075</f>
        <v>10.29</v>
      </c>
      <c r="AG450" s="1115">
        <f t="shared" si="41"/>
        <v>552.72328649999997</v>
      </c>
    </row>
    <row r="451" spans="1:36" ht="24" customHeight="1">
      <c r="A451" s="1122">
        <f t="shared" si="39"/>
        <v>284</v>
      </c>
      <c r="B451" s="1103" t="s">
        <v>3363</v>
      </c>
      <c r="C451" s="1114">
        <v>43.7</v>
      </c>
      <c r="D451" s="1103" t="s">
        <v>2838</v>
      </c>
      <c r="K451" s="1111" t="s">
        <v>36</v>
      </c>
      <c r="M451" s="1114">
        <v>8.1</v>
      </c>
      <c r="N451" s="1103" t="s">
        <v>2839</v>
      </c>
      <c r="O451" s="1103" t="s">
        <v>3396</v>
      </c>
      <c r="P451" s="1114">
        <f>(C26)</f>
        <v>33.6</v>
      </c>
      <c r="Q451" s="1103" t="s">
        <v>2839</v>
      </c>
      <c r="R451" s="1114">
        <f>(M451*P451)</f>
        <v>272.16000000000003</v>
      </c>
      <c r="AD451" s="1103" t="s">
        <v>3071</v>
      </c>
      <c r="AF451" s="1107">
        <f t="shared" ref="AF451:AF458" si="42">AF450</f>
        <v>10.29</v>
      </c>
      <c r="AG451" s="1115">
        <f t="shared" si="41"/>
        <v>563.01328649999994</v>
      </c>
    </row>
    <row r="452" spans="1:36" ht="24" customHeight="1">
      <c r="A452" s="1122">
        <f t="shared" si="39"/>
        <v>285</v>
      </c>
      <c r="B452" s="1103" t="s">
        <v>3364</v>
      </c>
      <c r="C452" s="1114">
        <v>58.1</v>
      </c>
      <c r="D452" s="1103" t="s">
        <v>2838</v>
      </c>
      <c r="H452" s="1103" t="s">
        <v>3033</v>
      </c>
      <c r="K452" s="1114">
        <f>SUM(K444:K450)</f>
        <v>56365.391599999995</v>
      </c>
      <c r="M452" s="1114">
        <v>30</v>
      </c>
      <c r="N452" s="1103" t="s">
        <v>1790</v>
      </c>
      <c r="O452" s="1103" t="s">
        <v>3397</v>
      </c>
      <c r="P452" s="1114">
        <f>(C42)</f>
        <v>5</v>
      </c>
      <c r="Q452" s="1103" t="s">
        <v>1790</v>
      </c>
      <c r="R452" s="1114">
        <f>(M452*P452)</f>
        <v>150</v>
      </c>
      <c r="AD452" s="1103" t="s">
        <v>3177</v>
      </c>
      <c r="AF452" s="1107">
        <f t="shared" si="42"/>
        <v>10.29</v>
      </c>
      <c r="AG452" s="1115">
        <f t="shared" si="41"/>
        <v>573.3032864999999</v>
      </c>
      <c r="AJ452" s="1105">
        <f>40.81*0.075</f>
        <v>3.0607500000000001</v>
      </c>
    </row>
    <row r="453" spans="1:36" ht="24" customHeight="1">
      <c r="A453" s="1122">
        <f t="shared" si="39"/>
        <v>286</v>
      </c>
      <c r="B453" s="1103" t="s">
        <v>3365</v>
      </c>
      <c r="C453" s="1114">
        <v>69.8</v>
      </c>
      <c r="D453" s="1103" t="s">
        <v>2838</v>
      </c>
      <c r="K453" s="1111" t="s">
        <v>36</v>
      </c>
      <c r="O453" s="1103" t="s">
        <v>3398</v>
      </c>
      <c r="AD453" s="1103" t="s">
        <v>3379</v>
      </c>
      <c r="AE453" s="1114">
        <f t="shared" ref="AE453:AE458" si="43">AG453</f>
        <v>583.59328649999986</v>
      </c>
      <c r="AF453" s="1107">
        <f t="shared" si="42"/>
        <v>10.29</v>
      </c>
      <c r="AG453" s="1115">
        <f t="shared" si="41"/>
        <v>583.59328649999986</v>
      </c>
    </row>
    <row r="454" spans="1:36" ht="24" customHeight="1">
      <c r="A454" s="1122">
        <f t="shared" si="39"/>
        <v>287</v>
      </c>
      <c r="B454" s="1103" t="s">
        <v>3309</v>
      </c>
      <c r="C454" s="1114">
        <v>87</v>
      </c>
      <c r="D454" s="1103" t="s">
        <v>2838</v>
      </c>
      <c r="H454" s="1103" t="s">
        <v>2946</v>
      </c>
      <c r="K454" s="1114">
        <f>(K452/10)</f>
        <v>5636.5391599999994</v>
      </c>
      <c r="O454" s="1103" t="s">
        <v>3399</v>
      </c>
      <c r="AD454" s="1103" t="s">
        <v>3380</v>
      </c>
      <c r="AE454" s="1114">
        <f t="shared" si="43"/>
        <v>593.88328649999983</v>
      </c>
      <c r="AF454" s="1107">
        <f t="shared" si="42"/>
        <v>10.29</v>
      </c>
      <c r="AG454" s="1115">
        <f t="shared" si="41"/>
        <v>593.88328649999983</v>
      </c>
    </row>
    <row r="455" spans="1:36" ht="24" customHeight="1">
      <c r="A455" s="1122">
        <f t="shared" si="39"/>
        <v>288</v>
      </c>
      <c r="B455" s="1103" t="s">
        <v>3414</v>
      </c>
      <c r="C455" s="1114">
        <v>180.6</v>
      </c>
      <c r="D455" s="1103" t="s">
        <v>2838</v>
      </c>
      <c r="K455" s="1111" t="s">
        <v>2793</v>
      </c>
      <c r="O455" s="1103" t="s">
        <v>3400</v>
      </c>
      <c r="AD455" s="1103" t="s">
        <v>3381</v>
      </c>
      <c r="AE455" s="1114">
        <f t="shared" si="43"/>
        <v>604.17328649999979</v>
      </c>
      <c r="AF455" s="1107">
        <f t="shared" si="42"/>
        <v>10.29</v>
      </c>
      <c r="AG455" s="1115">
        <f t="shared" si="41"/>
        <v>604.17328649999979</v>
      </c>
    </row>
    <row r="456" spans="1:36" ht="24" customHeight="1">
      <c r="A456" s="1122">
        <f t="shared" si="39"/>
        <v>289</v>
      </c>
      <c r="B456" s="1106" t="s">
        <v>3417</v>
      </c>
      <c r="D456" s="1103" t="s">
        <v>220</v>
      </c>
      <c r="O456" s="1103" t="s">
        <v>3401</v>
      </c>
      <c r="AD456" s="1103" t="s">
        <v>3382</v>
      </c>
      <c r="AE456" s="1114">
        <f t="shared" si="43"/>
        <v>614.46328649999975</v>
      </c>
      <c r="AF456" s="1107">
        <f t="shared" si="42"/>
        <v>10.29</v>
      </c>
      <c r="AG456" s="1115">
        <f t="shared" si="41"/>
        <v>614.46328649999975</v>
      </c>
    </row>
    <row r="457" spans="1:36" ht="24" customHeight="1">
      <c r="A457" s="1122">
        <f t="shared" si="39"/>
        <v>290</v>
      </c>
      <c r="B457" s="1103" t="s">
        <v>3368</v>
      </c>
      <c r="C457" s="1114">
        <v>158.91999999999999</v>
      </c>
      <c r="D457" s="1103" t="s">
        <v>2838</v>
      </c>
      <c r="G457" s="1114" t="s">
        <v>1363</v>
      </c>
      <c r="H457" s="1103" t="s">
        <v>3418</v>
      </c>
      <c r="M457" s="1114">
        <v>8</v>
      </c>
      <c r="N457" s="1103" t="s">
        <v>2941</v>
      </c>
      <c r="O457" s="1103" t="s">
        <v>3405</v>
      </c>
      <c r="P457" s="1114">
        <f>(C44)</f>
        <v>8.1</v>
      </c>
      <c r="Q457" s="1103" t="s">
        <v>2941</v>
      </c>
      <c r="R457" s="1114">
        <f>(M457*P457)</f>
        <v>64.8</v>
      </c>
      <c r="AD457" s="1103" t="s">
        <v>3383</v>
      </c>
      <c r="AE457" s="1114">
        <f t="shared" si="43"/>
        <v>624.75328649999972</v>
      </c>
      <c r="AF457" s="1107">
        <f t="shared" si="42"/>
        <v>10.29</v>
      </c>
      <c r="AG457" s="1115">
        <f t="shared" si="41"/>
        <v>624.75328649999972</v>
      </c>
    </row>
    <row r="458" spans="1:36" ht="24" customHeight="1">
      <c r="A458" s="1122">
        <f t="shared" si="39"/>
        <v>291</v>
      </c>
      <c r="B458" s="1103" t="s">
        <v>3361</v>
      </c>
      <c r="C458" s="1114">
        <v>263.04000000000002</v>
      </c>
      <c r="D458" s="1103" t="s">
        <v>2838</v>
      </c>
      <c r="H458" s="1111" t="s">
        <v>36</v>
      </c>
      <c r="M458" s="1114">
        <v>8</v>
      </c>
      <c r="N458" s="1103" t="s">
        <v>2941</v>
      </c>
      <c r="O458" s="1103" t="s">
        <v>3408</v>
      </c>
      <c r="P458" s="1114">
        <f>(C51)</f>
        <v>11.7</v>
      </c>
      <c r="Q458" s="1103" t="s">
        <v>2941</v>
      </c>
      <c r="R458" s="1114">
        <f>(M458*P458)</f>
        <v>93.6</v>
      </c>
      <c r="AE458" s="1114">
        <f t="shared" si="43"/>
        <v>635.04328649999968</v>
      </c>
      <c r="AF458" s="1107">
        <f t="shared" si="42"/>
        <v>10.29</v>
      </c>
      <c r="AG458" s="1115">
        <f t="shared" si="41"/>
        <v>635.04328649999968</v>
      </c>
    </row>
    <row r="459" spans="1:36" ht="24" customHeight="1">
      <c r="A459" s="1122">
        <f t="shared" si="39"/>
        <v>292</v>
      </c>
      <c r="B459" s="1103" t="s">
        <v>3363</v>
      </c>
      <c r="D459" s="1103" t="s">
        <v>220</v>
      </c>
      <c r="F459" s="1114">
        <v>0.5</v>
      </c>
      <c r="G459" s="1114" t="s">
        <v>2839</v>
      </c>
      <c r="H459" s="1103" t="s">
        <v>3173</v>
      </c>
      <c r="I459" s="1114">
        <f>(K454)</f>
        <v>5636.5391599999994</v>
      </c>
      <c r="J459" s="1103" t="s">
        <v>2838</v>
      </c>
      <c r="K459" s="1114">
        <f>(F459*I459)</f>
        <v>2818.2695799999997</v>
      </c>
      <c r="M459" s="1114">
        <v>1</v>
      </c>
      <c r="N459" s="1103" t="s">
        <v>2851</v>
      </c>
      <c r="O459" s="1103" t="s">
        <v>3410</v>
      </c>
      <c r="P459" s="1114">
        <f>(C56)</f>
        <v>12.1</v>
      </c>
      <c r="Q459" s="1103" t="s">
        <v>2851</v>
      </c>
      <c r="R459" s="1114">
        <f>(M459*P459)</f>
        <v>12.1</v>
      </c>
      <c r="U459" s="1146" t="s">
        <v>3419</v>
      </c>
      <c r="Y459" s="1108"/>
      <c r="AA459" s="1146" t="s">
        <v>3420</v>
      </c>
      <c r="AE459" s="1114">
        <f>AG459</f>
        <v>645.33328649999964</v>
      </c>
      <c r="AF459" s="1107">
        <f>AF458</f>
        <v>10.29</v>
      </c>
      <c r="AG459" s="1115">
        <f>AG458+AF459</f>
        <v>645.33328649999964</v>
      </c>
    </row>
    <row r="460" spans="1:36" ht="24" customHeight="1">
      <c r="A460" s="1122">
        <f t="shared" si="39"/>
        <v>293</v>
      </c>
      <c r="B460" s="1103" t="s">
        <v>3015</v>
      </c>
      <c r="C460" s="1114">
        <f>AE51</f>
        <v>3.65</v>
      </c>
      <c r="D460" s="1103" t="s">
        <v>2838</v>
      </c>
      <c r="F460" s="1114">
        <v>1</v>
      </c>
      <c r="G460" s="1114" t="s">
        <v>2941</v>
      </c>
      <c r="H460" s="1103" t="s">
        <v>3051</v>
      </c>
      <c r="I460" s="1114">
        <f>(C10)</f>
        <v>861</v>
      </c>
      <c r="J460" s="1103" t="s">
        <v>2838</v>
      </c>
      <c r="K460" s="1114">
        <f>(F460*I460)</f>
        <v>861</v>
      </c>
      <c r="M460" s="1114">
        <v>1</v>
      </c>
      <c r="N460" s="1103" t="s">
        <v>2851</v>
      </c>
      <c r="O460" s="1103" t="s">
        <v>2852</v>
      </c>
      <c r="Q460" s="1103" t="s">
        <v>2851</v>
      </c>
      <c r="R460" s="1114">
        <v>0</v>
      </c>
      <c r="S460" s="1104" t="s">
        <v>3421</v>
      </c>
      <c r="T460" s="1114" t="s">
        <v>1363</v>
      </c>
      <c r="U460" s="1103" t="s">
        <v>3422</v>
      </c>
      <c r="W460" s="1107"/>
      <c r="Y460" s="1104" t="s">
        <v>3421</v>
      </c>
      <c r="Z460" s="1114" t="s">
        <v>1363</v>
      </c>
      <c r="AA460" s="1103" t="s">
        <v>3422</v>
      </c>
      <c r="AC460" s="1107"/>
      <c r="AE460" s="1114">
        <f>AG460</f>
        <v>655.62328649999961</v>
      </c>
      <c r="AF460" s="1107">
        <f>AF459</f>
        <v>10.29</v>
      </c>
      <c r="AG460" s="1115">
        <f>AG459+AF460</f>
        <v>655.62328649999961</v>
      </c>
    </row>
    <row r="461" spans="1:36" ht="24" customHeight="1">
      <c r="A461" s="1122">
        <f t="shared" si="39"/>
        <v>294</v>
      </c>
      <c r="B461" s="1103" t="s">
        <v>3018</v>
      </c>
      <c r="C461" s="1114">
        <f>AG52</f>
        <v>5.0599999999999996</v>
      </c>
      <c r="D461" s="1103" t="s">
        <v>2838</v>
      </c>
      <c r="G461" s="1114" t="s">
        <v>2851</v>
      </c>
      <c r="H461" s="1103" t="s">
        <v>2852</v>
      </c>
      <c r="I461" s="1103" t="s">
        <v>220</v>
      </c>
      <c r="J461" s="1103" t="s">
        <v>2851</v>
      </c>
      <c r="K461" s="1114">
        <v>0</v>
      </c>
      <c r="R461" s="1111" t="s">
        <v>36</v>
      </c>
      <c r="S461" s="1105"/>
      <c r="U461" s="1103" t="s">
        <v>3423</v>
      </c>
      <c r="W461" s="1107"/>
      <c r="AA461" s="1103" t="s">
        <v>3423</v>
      </c>
      <c r="AC461" s="1107"/>
      <c r="AE461" s="1114">
        <f t="shared" ref="AE461:AE524" si="44">AG461</f>
        <v>665.91328649999957</v>
      </c>
      <c r="AF461" s="1107">
        <f>AF460</f>
        <v>10.29</v>
      </c>
      <c r="AG461" s="1115">
        <f>AG460+AF461</f>
        <v>665.91328649999957</v>
      </c>
    </row>
    <row r="462" spans="1:36" ht="24" customHeight="1">
      <c r="A462" s="1122">
        <f t="shared" si="39"/>
        <v>295</v>
      </c>
      <c r="B462" s="1103" t="s">
        <v>3424</v>
      </c>
      <c r="C462" s="1114">
        <v>350</v>
      </c>
      <c r="D462" s="1114">
        <v>375</v>
      </c>
      <c r="K462" s="1111" t="s">
        <v>36</v>
      </c>
      <c r="O462" s="1103" t="s">
        <v>3412</v>
      </c>
      <c r="R462" s="1114">
        <f>SUM(R450:R460)</f>
        <v>2157.58</v>
      </c>
      <c r="S462" s="1105"/>
      <c r="U462" s="1103" t="s">
        <v>3425</v>
      </c>
      <c r="W462" s="1107"/>
      <c r="AA462" s="1103" t="s">
        <v>3425</v>
      </c>
      <c r="AC462" s="1107"/>
      <c r="AE462" s="1114">
        <f t="shared" si="44"/>
        <v>676.20328649999954</v>
      </c>
      <c r="AF462" s="1107">
        <f>AF461</f>
        <v>10.29</v>
      </c>
      <c r="AG462" s="1115">
        <f>AG461+AF462</f>
        <v>676.20328649999954</v>
      </c>
    </row>
    <row r="463" spans="1:36" ht="24" customHeight="1">
      <c r="A463" s="1122">
        <f t="shared" si="39"/>
        <v>296</v>
      </c>
      <c r="B463" s="1103" t="s">
        <v>3426</v>
      </c>
      <c r="C463" s="1114">
        <v>400</v>
      </c>
      <c r="D463" s="1114">
        <v>425</v>
      </c>
      <c r="H463" s="1103" t="s">
        <v>3152</v>
      </c>
      <c r="K463" s="1114">
        <f>SUM(K459:K461)</f>
        <v>3679.2695799999997</v>
      </c>
      <c r="R463" s="1111" t="s">
        <v>36</v>
      </c>
      <c r="S463" s="1105"/>
      <c r="U463" s="1111" t="s">
        <v>36</v>
      </c>
      <c r="W463" s="1107"/>
      <c r="AA463" s="1111" t="s">
        <v>36</v>
      </c>
      <c r="AC463" s="1107"/>
      <c r="AE463" s="1114">
        <f t="shared" si="44"/>
        <v>686.4932864999995</v>
      </c>
      <c r="AF463" s="1107">
        <f>AF462</f>
        <v>10.29</v>
      </c>
      <c r="AG463" s="1115">
        <f>AG462+AF463</f>
        <v>686.4932864999995</v>
      </c>
    </row>
    <row r="464" spans="1:36" ht="60.75" customHeight="1">
      <c r="A464" s="1122">
        <f t="shared" si="39"/>
        <v>297</v>
      </c>
      <c r="B464" s="1103" t="s">
        <v>3427</v>
      </c>
      <c r="C464" s="1114">
        <v>450</v>
      </c>
      <c r="D464" s="1114">
        <v>500</v>
      </c>
      <c r="K464" s="1111" t="s">
        <v>36</v>
      </c>
      <c r="O464" s="1103" t="s">
        <v>3413</v>
      </c>
      <c r="R464" s="1114">
        <f>(R462/30)</f>
        <v>71.919333333333327</v>
      </c>
      <c r="S464" s="1114">
        <v>0.01</v>
      </c>
      <c r="T464" s="1114" t="s">
        <v>2839</v>
      </c>
      <c r="U464" s="1129" t="s">
        <v>3428</v>
      </c>
      <c r="V464" s="1114">
        <f>Z718</f>
        <v>7594.5976077000005</v>
      </c>
      <c r="W464" s="1103" t="s">
        <v>2839</v>
      </c>
      <c r="X464" s="1114">
        <f>(S464*V464)</f>
        <v>75.945976077000012</v>
      </c>
      <c r="Y464" s="1114">
        <v>0.01</v>
      </c>
      <c r="Z464" s="1114" t="s">
        <v>2839</v>
      </c>
      <c r="AA464" s="1129" t="s">
        <v>3429</v>
      </c>
      <c r="AB464" s="1114">
        <f>Y688</f>
        <v>8132.0113076999987</v>
      </c>
      <c r="AC464" s="1103" t="s">
        <v>2839</v>
      </c>
      <c r="AD464" s="1114">
        <f>(Y464*AB464)</f>
        <v>81.320113076999988</v>
      </c>
      <c r="AE464" s="1114" t="str">
        <f t="shared" si="44"/>
        <v>|</v>
      </c>
      <c r="AG464" s="1103" t="s">
        <v>3430</v>
      </c>
    </row>
    <row r="465" spans="1:33" ht="24" customHeight="1">
      <c r="A465" s="1122">
        <f t="shared" si="39"/>
        <v>298</v>
      </c>
      <c r="B465" s="1103" t="s">
        <v>3431</v>
      </c>
      <c r="C465" s="1114">
        <v>77.819999999999993</v>
      </c>
      <c r="D465" s="1103" t="s">
        <v>2838</v>
      </c>
      <c r="H465" s="1103" t="s">
        <v>3154</v>
      </c>
      <c r="K465" s="1114">
        <f>(K463/10)</f>
        <v>367.92695799999996</v>
      </c>
      <c r="R465" s="1111" t="s">
        <v>36</v>
      </c>
      <c r="S465" s="1114">
        <v>0.01</v>
      </c>
      <c r="T465" s="1114" t="s">
        <v>2839</v>
      </c>
      <c r="U465" s="1103" t="s">
        <v>3432</v>
      </c>
      <c r="V465" s="1114"/>
      <c r="W465" s="1103" t="s">
        <v>2851</v>
      </c>
      <c r="X465" s="1114">
        <v>1.1499999999999999</v>
      </c>
      <c r="Y465" s="1114">
        <v>0.01</v>
      </c>
      <c r="Z465" s="1114" t="s">
        <v>2839</v>
      </c>
      <c r="AA465" s="1103" t="s">
        <v>3432</v>
      </c>
      <c r="AB465" s="1114"/>
      <c r="AC465" s="1103" t="s">
        <v>2851</v>
      </c>
      <c r="AD465" s="1114">
        <v>1.1499999999999999</v>
      </c>
      <c r="AE465" s="1114" t="str">
        <f t="shared" si="44"/>
        <v>|</v>
      </c>
      <c r="AG465" s="1103" t="s">
        <v>3430</v>
      </c>
    </row>
    <row r="466" spans="1:33" ht="24" customHeight="1">
      <c r="A466" s="1122">
        <f t="shared" si="39"/>
        <v>299</v>
      </c>
      <c r="B466" s="1103" t="s">
        <v>3433</v>
      </c>
      <c r="C466" s="1114">
        <v>99.74</v>
      </c>
      <c r="D466" s="1103" t="s">
        <v>2838</v>
      </c>
      <c r="K466" s="1111" t="s">
        <v>2793</v>
      </c>
      <c r="N466" s="1103" t="s">
        <v>2222</v>
      </c>
      <c r="O466" s="1104" t="s">
        <v>3434</v>
      </c>
      <c r="S466" s="1105"/>
      <c r="U466" s="1103" t="s">
        <v>3435</v>
      </c>
      <c r="V466" s="1114"/>
      <c r="W466" s="1107"/>
      <c r="AA466" s="1103" t="s">
        <v>3435</v>
      </c>
      <c r="AB466" s="1114"/>
      <c r="AC466" s="1107"/>
      <c r="AE466" s="1114" t="str">
        <f t="shared" si="44"/>
        <v>|</v>
      </c>
      <c r="AG466" s="1103" t="s">
        <v>3430</v>
      </c>
    </row>
    <row r="467" spans="1:33" ht="24" customHeight="1">
      <c r="A467" s="1122">
        <f t="shared" si="39"/>
        <v>300</v>
      </c>
      <c r="B467" s="1103" t="s">
        <v>3363</v>
      </c>
      <c r="C467" s="1114">
        <v>165</v>
      </c>
      <c r="D467" s="1103" t="s">
        <v>2838</v>
      </c>
      <c r="H467" s="1103" t="s">
        <v>3062</v>
      </c>
      <c r="K467" s="1115">
        <f>(K465+C19/10*F459)</f>
        <v>371.32695799999993</v>
      </c>
      <c r="O467" s="1111" t="s">
        <v>36</v>
      </c>
      <c r="S467" s="1105"/>
      <c r="V467" s="1114"/>
      <c r="W467" s="1107"/>
      <c r="X467" s="1111" t="s">
        <v>36</v>
      </c>
      <c r="AB467" s="1114"/>
      <c r="AC467" s="1107"/>
      <c r="AD467" s="1111" t="s">
        <v>36</v>
      </c>
      <c r="AE467" s="1114" t="str">
        <f t="shared" si="44"/>
        <v>|</v>
      </c>
      <c r="AG467" s="1103" t="s">
        <v>3430</v>
      </c>
    </row>
    <row r="468" spans="1:33" ht="24" customHeight="1">
      <c r="A468" s="1122">
        <f t="shared" si="39"/>
        <v>301</v>
      </c>
      <c r="B468" s="1103" t="s">
        <v>3364</v>
      </c>
      <c r="C468" s="1114">
        <v>258</v>
      </c>
      <c r="D468" s="1103" t="s">
        <v>2838</v>
      </c>
      <c r="H468" s="1103" t="s">
        <v>3066</v>
      </c>
      <c r="K468" s="1115">
        <f>(K467+C20/10*F459)</f>
        <v>378.18695799999995</v>
      </c>
      <c r="M468" s="1114">
        <v>8.1</v>
      </c>
      <c r="N468" s="1103" t="s">
        <v>2839</v>
      </c>
      <c r="O468" s="1103" t="s">
        <v>3395</v>
      </c>
      <c r="P468" s="1114">
        <f>(C61)*2</f>
        <v>193.2</v>
      </c>
      <c r="Q468" s="1103" t="s">
        <v>2839</v>
      </c>
      <c r="R468" s="1114">
        <f>(M468*P468)</f>
        <v>1564.9199999999998</v>
      </c>
      <c r="S468" s="1105"/>
      <c r="U468" s="1103" t="s">
        <v>3436</v>
      </c>
      <c r="V468" s="1114"/>
      <c r="W468" s="1107"/>
      <c r="X468" s="1114">
        <f>SUM(X464:X466)</f>
        <v>77.095976077000017</v>
      </c>
      <c r="AA468" s="1103" t="s">
        <v>3436</v>
      </c>
      <c r="AB468" s="1114"/>
      <c r="AC468" s="1107"/>
      <c r="AD468" s="1114">
        <f>SUM(AD464:AD466)</f>
        <v>82.470113076999993</v>
      </c>
      <c r="AE468" s="1114" t="str">
        <f t="shared" si="44"/>
        <v>|</v>
      </c>
      <c r="AG468" s="1103" t="s">
        <v>3430</v>
      </c>
    </row>
    <row r="469" spans="1:33" ht="24" customHeight="1">
      <c r="A469" s="1122">
        <f t="shared" si="39"/>
        <v>302</v>
      </c>
      <c r="B469" s="1103" t="s">
        <v>3365</v>
      </c>
      <c r="C469" s="1114">
        <v>298</v>
      </c>
      <c r="D469" s="1103" t="s">
        <v>2838</v>
      </c>
      <c r="H469" s="1103" t="s">
        <v>3069</v>
      </c>
      <c r="K469" s="1115">
        <f>(K468+C21/10*F459)</f>
        <v>385.04695799999996</v>
      </c>
      <c r="M469" s="1114">
        <v>8.1</v>
      </c>
      <c r="N469" s="1103" t="s">
        <v>2839</v>
      </c>
      <c r="O469" s="1103" t="s">
        <v>3396</v>
      </c>
      <c r="P469" s="1114">
        <f>(C26)</f>
        <v>33.6</v>
      </c>
      <c r="Q469" s="1103" t="s">
        <v>2839</v>
      </c>
      <c r="R469" s="1114">
        <f>(M469*P469)</f>
        <v>272.16000000000003</v>
      </c>
      <c r="S469" s="1105"/>
      <c r="V469" s="1114"/>
      <c r="W469" s="1107"/>
      <c r="X469" s="1111" t="s">
        <v>36</v>
      </c>
      <c r="AB469" s="1114"/>
      <c r="AC469" s="1107"/>
      <c r="AD469" s="1111" t="s">
        <v>36</v>
      </c>
      <c r="AE469" s="1114" t="str">
        <f t="shared" si="44"/>
        <v>|</v>
      </c>
      <c r="AG469" s="1103" t="s">
        <v>3430</v>
      </c>
    </row>
    <row r="470" spans="1:33" ht="24" customHeight="1">
      <c r="A470" s="1122">
        <f t="shared" si="39"/>
        <v>303</v>
      </c>
      <c r="B470" s="1103" t="s">
        <v>3309</v>
      </c>
      <c r="C470" s="1114">
        <v>398</v>
      </c>
      <c r="D470" s="1103" t="s">
        <v>2838</v>
      </c>
      <c r="H470" s="1103" t="s">
        <v>3071</v>
      </c>
      <c r="K470" s="1115">
        <f>(K469+C21/10*F459)</f>
        <v>391.90695799999997</v>
      </c>
      <c r="L470" s="1105">
        <f t="shared" ref="L470:L476" si="45">K470-K469</f>
        <v>6.8600000000000136</v>
      </c>
      <c r="M470" s="1114">
        <v>30</v>
      </c>
      <c r="N470" s="1103" t="s">
        <v>1790</v>
      </c>
      <c r="O470" s="1103" t="s">
        <v>3397</v>
      </c>
      <c r="P470" s="1114">
        <f>(C42)</f>
        <v>5</v>
      </c>
      <c r="Q470" s="1103" t="s">
        <v>1790</v>
      </c>
      <c r="R470" s="1114">
        <f>(M470*P470)</f>
        <v>150</v>
      </c>
      <c r="S470" s="1105"/>
      <c r="U470" s="1103" t="s">
        <v>2946</v>
      </c>
      <c r="V470" s="1114"/>
      <c r="W470" s="1107"/>
      <c r="X470" s="1114">
        <f>ROUND(X468*100,0)</f>
        <v>7710</v>
      </c>
      <c r="AA470" s="1103" t="s">
        <v>2946</v>
      </c>
      <c r="AB470" s="1114"/>
      <c r="AC470" s="1107"/>
      <c r="AD470" s="1114">
        <f>ROUND(AD468*100,0)</f>
        <v>8247</v>
      </c>
      <c r="AE470" s="1114" t="str">
        <f t="shared" si="44"/>
        <v>|</v>
      </c>
      <c r="AG470" s="1103" t="s">
        <v>3430</v>
      </c>
    </row>
    <row r="471" spans="1:33" ht="15.75">
      <c r="A471" s="1122">
        <f t="shared" si="39"/>
        <v>304</v>
      </c>
      <c r="B471" s="1103" t="s">
        <v>3403</v>
      </c>
      <c r="D471" s="1103" t="s">
        <v>2838</v>
      </c>
      <c r="H471" s="1103" t="s">
        <v>3158</v>
      </c>
      <c r="K471" s="1115">
        <f>(K470+C21/10*F459)</f>
        <v>398.76695799999999</v>
      </c>
      <c r="L471" s="1105">
        <f t="shared" si="45"/>
        <v>6.8600000000000136</v>
      </c>
      <c r="O471" s="1103" t="s">
        <v>3398</v>
      </c>
      <c r="S471" s="1103" t="s">
        <v>220</v>
      </c>
      <c r="V471" s="1114"/>
      <c r="W471" s="1107"/>
      <c r="Y471" s="1103" t="s">
        <v>220</v>
      </c>
      <c r="AB471" s="1114"/>
      <c r="AC471" s="1107"/>
      <c r="AE471" s="1114" t="str">
        <f t="shared" si="44"/>
        <v>|</v>
      </c>
      <c r="AG471" s="1103" t="s">
        <v>3430</v>
      </c>
    </row>
    <row r="472" spans="1:33" ht="15.75">
      <c r="A472" s="1122"/>
      <c r="B472" s="1103"/>
      <c r="D472" s="1103"/>
      <c r="H472" s="1103">
        <v>5</v>
      </c>
      <c r="K472" s="1115">
        <f>(K471+C21/10*F459)</f>
        <v>405.626958</v>
      </c>
      <c r="L472" s="1105">
        <f t="shared" si="45"/>
        <v>6.8600000000000136</v>
      </c>
      <c r="O472" s="1103"/>
      <c r="S472" s="1105"/>
      <c r="V472" s="1114"/>
      <c r="W472" s="1107"/>
      <c r="X472" s="1111" t="s">
        <v>2793</v>
      </c>
      <c r="AB472" s="1114"/>
      <c r="AC472" s="1107"/>
      <c r="AD472" s="1111" t="s">
        <v>2793</v>
      </c>
      <c r="AE472" s="1114"/>
      <c r="AG472" s="1103"/>
    </row>
    <row r="473" spans="1:33" ht="15.75">
      <c r="A473" s="1122"/>
      <c r="B473" s="1103"/>
      <c r="D473" s="1103"/>
      <c r="H473" s="1103">
        <v>6</v>
      </c>
      <c r="K473" s="1115">
        <f>(K472+C21/10*F459)</f>
        <v>412.48695800000002</v>
      </c>
      <c r="L473" s="1105">
        <f t="shared" si="45"/>
        <v>6.8600000000000136</v>
      </c>
      <c r="O473" s="1103"/>
      <c r="S473" s="1105"/>
      <c r="T473" s="1114" t="s">
        <v>3138</v>
      </c>
      <c r="U473" s="1103" t="s">
        <v>3437</v>
      </c>
      <c r="V473" s="1114"/>
      <c r="W473" s="1107"/>
      <c r="Z473" s="1114" t="s">
        <v>3138</v>
      </c>
      <c r="AA473" s="1103" t="s">
        <v>3437</v>
      </c>
      <c r="AB473" s="1114"/>
      <c r="AC473" s="1107"/>
      <c r="AE473" s="1114"/>
      <c r="AG473" s="1103"/>
    </row>
    <row r="474" spans="1:33" ht="15.75">
      <c r="A474" s="1122"/>
      <c r="B474" s="1103"/>
      <c r="D474" s="1103"/>
      <c r="H474" s="1103">
        <v>7</v>
      </c>
      <c r="K474" s="1115">
        <f>(K473+C21/10*F459)</f>
        <v>419.34695800000003</v>
      </c>
      <c r="L474" s="1105">
        <f t="shared" si="45"/>
        <v>6.8600000000000136</v>
      </c>
      <c r="O474" s="1103"/>
      <c r="S474" s="1105"/>
      <c r="U474" s="1103" t="s">
        <v>3438</v>
      </c>
      <c r="V474" s="1114"/>
      <c r="W474" s="1107"/>
      <c r="AA474" s="1103" t="s">
        <v>3438</v>
      </c>
      <c r="AB474" s="1114"/>
      <c r="AC474" s="1107"/>
      <c r="AE474" s="1114"/>
      <c r="AG474" s="1103"/>
    </row>
    <row r="475" spans="1:33" ht="15.75">
      <c r="A475" s="1122"/>
      <c r="B475" s="1103"/>
      <c r="D475" s="1103"/>
      <c r="H475" s="1103">
        <v>8</v>
      </c>
      <c r="K475" s="1115">
        <f>(K474+C21/10*F459)</f>
        <v>426.20695800000004</v>
      </c>
      <c r="L475" s="1105">
        <f t="shared" si="45"/>
        <v>6.8600000000000136</v>
      </c>
      <c r="O475" s="1103"/>
      <c r="S475" s="1105"/>
      <c r="U475" s="1111" t="s">
        <v>36</v>
      </c>
      <c r="V475" s="1114"/>
      <c r="W475" s="1107"/>
      <c r="AA475" s="1111" t="s">
        <v>36</v>
      </c>
      <c r="AB475" s="1114"/>
      <c r="AC475" s="1107"/>
      <c r="AE475" s="1114"/>
      <c r="AG475" s="1103"/>
    </row>
    <row r="476" spans="1:33" ht="15.75">
      <c r="A476" s="1122"/>
      <c r="B476" s="1103"/>
      <c r="D476" s="1103"/>
      <c r="H476" s="1103">
        <v>9</v>
      </c>
      <c r="K476" s="1115">
        <f>(K475+C21/10*F459)</f>
        <v>433.06695800000006</v>
      </c>
      <c r="L476" s="1105">
        <f t="shared" si="45"/>
        <v>6.8600000000000136</v>
      </c>
      <c r="O476" s="1103"/>
      <c r="S476" s="1128">
        <v>1.4E-2</v>
      </c>
      <c r="T476" s="1114" t="s">
        <v>2839</v>
      </c>
      <c r="U476" s="1103" t="s">
        <v>3439</v>
      </c>
      <c r="V476" s="1114">
        <f>X470</f>
        <v>7710</v>
      </c>
      <c r="W476" s="1103" t="s">
        <v>2839</v>
      </c>
      <c r="X476" s="1114">
        <f>(S476*V476)</f>
        <v>107.94</v>
      </c>
      <c r="Y476" s="1128">
        <v>1.4E-2</v>
      </c>
      <c r="Z476" s="1114" t="s">
        <v>2839</v>
      </c>
      <c r="AA476" s="1103" t="s">
        <v>3439</v>
      </c>
      <c r="AB476" s="1114">
        <f>AD470</f>
        <v>8247</v>
      </c>
      <c r="AC476" s="1103" t="s">
        <v>2839</v>
      </c>
      <c r="AD476" s="1114">
        <f>(Y476*AB476)</f>
        <v>115.458</v>
      </c>
      <c r="AE476" s="1114"/>
      <c r="AG476" s="1103"/>
    </row>
    <row r="477" spans="1:33" ht="15.75">
      <c r="A477" s="1122"/>
      <c r="B477" s="1103"/>
      <c r="D477" s="1103"/>
      <c r="H477" s="1103">
        <v>10</v>
      </c>
      <c r="K477" s="1115">
        <f>(K476+C21/10*F459)</f>
        <v>439.92695800000007</v>
      </c>
      <c r="L477" s="1105">
        <f>K477-K476</f>
        <v>6.8600000000000136</v>
      </c>
      <c r="O477" s="1103"/>
      <c r="S477" s="1128"/>
      <c r="U477" s="1103" t="s">
        <v>3440</v>
      </c>
      <c r="V477" s="1114"/>
      <c r="W477" s="1107"/>
      <c r="X477" s="1103" t="s">
        <v>220</v>
      </c>
      <c r="Y477" s="1128"/>
      <c r="AA477" s="1103" t="s">
        <v>3440</v>
      </c>
      <c r="AB477" s="1114"/>
      <c r="AC477" s="1107"/>
      <c r="AD477" s="1103" t="s">
        <v>220</v>
      </c>
      <c r="AE477" s="1114"/>
      <c r="AG477" s="1103"/>
    </row>
    <row r="478" spans="1:33" ht="15.75">
      <c r="A478" s="1122"/>
      <c r="B478" s="1103"/>
      <c r="D478" s="1103"/>
      <c r="H478" s="1103"/>
      <c r="K478" s="1115">
        <f>(K477+C21/10*F459)</f>
        <v>446.78695800000008</v>
      </c>
      <c r="L478" s="1105">
        <f>K478-K477</f>
        <v>6.8600000000000136</v>
      </c>
      <c r="O478" s="1103"/>
      <c r="S478" s="1114">
        <v>0.5</v>
      </c>
      <c r="T478" s="1114" t="s">
        <v>2941</v>
      </c>
      <c r="U478" s="1103" t="s">
        <v>3051</v>
      </c>
      <c r="V478" s="1114">
        <f>C10</f>
        <v>861</v>
      </c>
      <c r="W478" s="1103" t="s">
        <v>2941</v>
      </c>
      <c r="X478" s="1114">
        <f>(S478*V478)</f>
        <v>430.5</v>
      </c>
      <c r="Y478" s="1114">
        <v>0.5</v>
      </c>
      <c r="Z478" s="1114" t="s">
        <v>2941</v>
      </c>
      <c r="AA478" s="1103" t="s">
        <v>3051</v>
      </c>
      <c r="AB478" s="1114">
        <f>V478</f>
        <v>861</v>
      </c>
      <c r="AC478" s="1103" t="s">
        <v>2941</v>
      </c>
      <c r="AD478" s="1114">
        <f>(Y478*AB478)</f>
        <v>430.5</v>
      </c>
      <c r="AE478" s="1114"/>
      <c r="AG478" s="1103"/>
    </row>
    <row r="479" spans="1:33" ht="15.75">
      <c r="A479" s="1122">
        <f>(A471+1)</f>
        <v>305</v>
      </c>
      <c r="B479" s="1106" t="s">
        <v>3441</v>
      </c>
      <c r="D479" s="1103" t="s">
        <v>2838</v>
      </c>
      <c r="F479" s="1104" t="s">
        <v>3442</v>
      </c>
      <c r="G479" s="1114" t="s">
        <v>1363</v>
      </c>
      <c r="H479" s="1103" t="s">
        <v>3443</v>
      </c>
      <c r="K479" s="1115">
        <f>(K478+C21/10*F459)</f>
        <v>453.6469580000001</v>
      </c>
      <c r="L479" s="1105">
        <f>K479-K478</f>
        <v>6.8600000000000136</v>
      </c>
      <c r="O479" s="1103" t="s">
        <v>3399</v>
      </c>
      <c r="S479" s="1114">
        <v>0.75</v>
      </c>
      <c r="T479" s="1114" t="s">
        <v>2941</v>
      </c>
      <c r="U479" s="1103" t="s">
        <v>3020</v>
      </c>
      <c r="V479" s="1114">
        <f>C12</f>
        <v>562</v>
      </c>
      <c r="W479" s="1103" t="s">
        <v>2941</v>
      </c>
      <c r="X479" s="1114">
        <f>(S479*V479)</f>
        <v>421.5</v>
      </c>
      <c r="Y479" s="1114">
        <v>0.75</v>
      </c>
      <c r="Z479" s="1114" t="s">
        <v>2941</v>
      </c>
      <c r="AA479" s="1103" t="s">
        <v>3020</v>
      </c>
      <c r="AB479" s="1114">
        <f>V479</f>
        <v>562</v>
      </c>
      <c r="AC479" s="1103" t="s">
        <v>2941</v>
      </c>
      <c r="AD479" s="1114">
        <f>(Y479*AB479)</f>
        <v>421.5</v>
      </c>
      <c r="AE479" s="1114" t="str">
        <f t="shared" si="44"/>
        <v>|</v>
      </c>
      <c r="AG479" s="1103" t="s">
        <v>3430</v>
      </c>
    </row>
    <row r="480" spans="1:33" ht="50.25" customHeight="1">
      <c r="A480" s="1122">
        <f t="shared" si="39"/>
        <v>306</v>
      </c>
      <c r="B480" s="1103" t="s">
        <v>3368</v>
      </c>
      <c r="C480" s="1114">
        <v>130</v>
      </c>
      <c r="D480" s="1103" t="s">
        <v>2838</v>
      </c>
      <c r="H480" s="1103" t="s">
        <v>3444</v>
      </c>
      <c r="O480" s="1103" t="s">
        <v>3400</v>
      </c>
      <c r="S480" s="1105"/>
      <c r="T480" s="1114" t="s">
        <v>2851</v>
      </c>
      <c r="U480" s="1103" t="s">
        <v>2852</v>
      </c>
      <c r="V480" s="1114"/>
      <c r="W480" s="1103" t="s">
        <v>2851</v>
      </c>
      <c r="X480" s="1114">
        <v>0</v>
      </c>
      <c r="Z480" s="1114" t="s">
        <v>2851</v>
      </c>
      <c r="AA480" s="1103" t="s">
        <v>2852</v>
      </c>
      <c r="AB480" s="1114">
        <f>V480</f>
        <v>0</v>
      </c>
      <c r="AC480" s="1103" t="s">
        <v>2851</v>
      </c>
      <c r="AD480" s="1114">
        <v>0</v>
      </c>
      <c r="AE480" s="1114" t="str">
        <f t="shared" si="44"/>
        <v>|</v>
      </c>
      <c r="AG480" s="1103" t="s">
        <v>3430</v>
      </c>
    </row>
    <row r="481" spans="1:33" ht="30.75" customHeight="1">
      <c r="A481" s="1122">
        <f t="shared" si="39"/>
        <v>307</v>
      </c>
      <c r="B481" s="1103" t="s">
        <v>3361</v>
      </c>
      <c r="C481" s="1114">
        <v>347</v>
      </c>
      <c r="D481" s="1103" t="s">
        <v>2838</v>
      </c>
      <c r="H481" s="1111" t="s">
        <v>36</v>
      </c>
      <c r="O481" s="1103" t="s">
        <v>3401</v>
      </c>
      <c r="S481" s="1105"/>
      <c r="V481" s="1114"/>
      <c r="W481" s="1107"/>
      <c r="X481" s="1111" t="s">
        <v>36</v>
      </c>
      <c r="AB481" s="1114"/>
      <c r="AC481" s="1107"/>
      <c r="AD481" s="1111" t="s">
        <v>36</v>
      </c>
      <c r="AE481" s="1114" t="str">
        <f t="shared" si="44"/>
        <v>|</v>
      </c>
      <c r="AG481" s="1103" t="s">
        <v>3430</v>
      </c>
    </row>
    <row r="482" spans="1:33" ht="24" customHeight="1">
      <c r="A482" s="1122">
        <f t="shared" si="39"/>
        <v>308</v>
      </c>
      <c r="B482" s="1103" t="s">
        <v>3363</v>
      </c>
      <c r="C482" s="1114">
        <v>587</v>
      </c>
      <c r="D482" s="1103" t="s">
        <v>2838</v>
      </c>
      <c r="F482" s="1114">
        <v>1</v>
      </c>
      <c r="G482" s="1114" t="s">
        <v>2839</v>
      </c>
      <c r="H482" s="1103" t="s">
        <v>3445</v>
      </c>
      <c r="I482" s="1114">
        <f>(C26)</f>
        <v>33.6</v>
      </c>
      <c r="J482" s="1103" t="s">
        <v>2839</v>
      </c>
      <c r="K482" s="1115">
        <f>(F482*I482)</f>
        <v>33.6</v>
      </c>
      <c r="M482" s="1114">
        <v>8</v>
      </c>
      <c r="N482" s="1103" t="s">
        <v>2941</v>
      </c>
      <c r="O482" s="1103" t="s">
        <v>3405</v>
      </c>
      <c r="P482" s="1114">
        <f>(C45)</f>
        <v>9.6999999999999993</v>
      </c>
      <c r="Q482" s="1103" t="s">
        <v>2941</v>
      </c>
      <c r="R482" s="1114">
        <f>(M482*P482)</f>
        <v>77.599999999999994</v>
      </c>
      <c r="S482" s="1105"/>
      <c r="U482" s="1103" t="s">
        <v>3446</v>
      </c>
      <c r="V482" s="1114"/>
      <c r="W482" s="1107"/>
      <c r="X482" s="1114">
        <f>SUM(X476:X480)</f>
        <v>959.94</v>
      </c>
      <c r="AA482" s="1103" t="s">
        <v>3446</v>
      </c>
      <c r="AB482" s="1114"/>
      <c r="AC482" s="1107"/>
      <c r="AD482" s="1114">
        <f>SUM(AD476:AD480)</f>
        <v>967.45799999999997</v>
      </c>
      <c r="AE482" s="1114" t="str">
        <f t="shared" si="44"/>
        <v>|</v>
      </c>
      <c r="AG482" s="1103" t="s">
        <v>3430</v>
      </c>
    </row>
    <row r="483" spans="1:33" ht="24" customHeight="1">
      <c r="A483" s="1122">
        <f t="shared" si="39"/>
        <v>309</v>
      </c>
      <c r="B483" s="1103" t="s">
        <v>3364</v>
      </c>
      <c r="C483" s="1114">
        <v>753</v>
      </c>
      <c r="D483" s="1103" t="s">
        <v>2838</v>
      </c>
      <c r="K483" s="1111" t="s">
        <v>2793</v>
      </c>
      <c r="M483" s="1114">
        <v>8</v>
      </c>
      <c r="N483" s="1103" t="s">
        <v>2941</v>
      </c>
      <c r="O483" s="1103" t="s">
        <v>3408</v>
      </c>
      <c r="P483" s="1114">
        <f>(C52)</f>
        <v>24.2</v>
      </c>
      <c r="Q483" s="1103" t="s">
        <v>2941</v>
      </c>
      <c r="R483" s="1114">
        <f>(M483*P483)</f>
        <v>193.6</v>
      </c>
      <c r="S483" s="1105"/>
      <c r="V483" s="1114"/>
      <c r="W483" s="1107"/>
      <c r="X483" s="1111" t="s">
        <v>36</v>
      </c>
      <c r="AB483" s="1114"/>
      <c r="AC483" s="1107"/>
      <c r="AD483" s="1111" t="s">
        <v>36</v>
      </c>
      <c r="AE483" s="1114" t="str">
        <f t="shared" si="44"/>
        <v>|</v>
      </c>
      <c r="AG483" s="1103" t="s">
        <v>3430</v>
      </c>
    </row>
    <row r="484" spans="1:33" ht="24" customHeight="1">
      <c r="A484" s="1122">
        <f t="shared" si="39"/>
        <v>310</v>
      </c>
      <c r="B484" s="1103" t="s">
        <v>3365</v>
      </c>
      <c r="C484" s="1114">
        <v>968</v>
      </c>
      <c r="D484" s="1103" t="s">
        <v>2838</v>
      </c>
      <c r="F484" s="1131">
        <v>7.3</v>
      </c>
      <c r="G484" s="1114" t="s">
        <v>1363</v>
      </c>
      <c r="H484" s="1103" t="s">
        <v>3447</v>
      </c>
      <c r="M484" s="1114">
        <v>1</v>
      </c>
      <c r="N484" s="1103" t="s">
        <v>2851</v>
      </c>
      <c r="O484" s="1103" t="s">
        <v>3410</v>
      </c>
      <c r="P484" s="1114">
        <f>(C56)</f>
        <v>12.1</v>
      </c>
      <c r="Q484" s="1103" t="s">
        <v>2851</v>
      </c>
      <c r="R484" s="1114">
        <f>(M484*P484)</f>
        <v>12.1</v>
      </c>
      <c r="S484" s="1105"/>
      <c r="U484" s="1103" t="s">
        <v>3154</v>
      </c>
      <c r="W484" s="1107"/>
      <c r="X484" s="1114">
        <f>(X482/0.372)</f>
        <v>2580.483870967742</v>
      </c>
      <c r="AA484" s="1103" t="s">
        <v>3154</v>
      </c>
      <c r="AC484" s="1107"/>
      <c r="AD484" s="1114">
        <f>(AD482/0.372)</f>
        <v>2600.6935483870966</v>
      </c>
      <c r="AE484" s="1114" t="str">
        <f t="shared" si="44"/>
        <v>|</v>
      </c>
      <c r="AG484" s="1103" t="s">
        <v>3430</v>
      </c>
    </row>
    <row r="485" spans="1:33" ht="24" customHeight="1">
      <c r="A485" s="1122">
        <f t="shared" si="39"/>
        <v>311</v>
      </c>
      <c r="B485" s="1103" t="s">
        <v>3309</v>
      </c>
      <c r="C485" s="1114">
        <v>1229</v>
      </c>
      <c r="D485" s="1103" t="s">
        <v>2838</v>
      </c>
      <c r="F485" s="1103" t="s">
        <v>220</v>
      </c>
      <c r="H485" s="1103" t="s">
        <v>3448</v>
      </c>
      <c r="M485" s="1114">
        <v>1</v>
      </c>
      <c r="N485" s="1103" t="s">
        <v>2851</v>
      </c>
      <c r="O485" s="1103" t="s">
        <v>2852</v>
      </c>
      <c r="Q485" s="1103" t="s">
        <v>2851</v>
      </c>
      <c r="R485" s="1114">
        <v>0</v>
      </c>
      <c r="S485" s="1105"/>
      <c r="W485" s="1107"/>
      <c r="X485" s="1111" t="s">
        <v>2793</v>
      </c>
      <c r="AC485" s="1107"/>
      <c r="AD485" s="1111" t="s">
        <v>2793</v>
      </c>
      <c r="AE485" s="1114" t="str">
        <f t="shared" si="44"/>
        <v>|</v>
      </c>
      <c r="AG485" s="1103" t="s">
        <v>3430</v>
      </c>
    </row>
    <row r="486" spans="1:33" ht="24" customHeight="1">
      <c r="A486" s="1122">
        <f t="shared" si="39"/>
        <v>312</v>
      </c>
      <c r="B486" s="1103" t="s">
        <v>3403</v>
      </c>
      <c r="C486" s="1105">
        <v>1508</v>
      </c>
      <c r="D486" s="1103" t="s">
        <v>2838</v>
      </c>
      <c r="F486" s="1103" t="s">
        <v>220</v>
      </c>
      <c r="H486" s="1111" t="s">
        <v>3449</v>
      </c>
      <c r="R486" s="1111" t="s">
        <v>36</v>
      </c>
      <c r="S486" s="1105"/>
      <c r="U486" s="1103" t="s">
        <v>3062</v>
      </c>
      <c r="V486" s="1105">
        <f>X484</f>
        <v>2580.483870967742</v>
      </c>
      <c r="W486" s="1107">
        <f>J659</f>
        <v>3.8876344086021506</v>
      </c>
      <c r="X486" s="1115">
        <f>V486+W486</f>
        <v>2584.371505376344</v>
      </c>
      <c r="AA486" s="1103" t="s">
        <v>3062</v>
      </c>
      <c r="AB486" s="1105">
        <f>AD484</f>
        <v>2600.6935483870966</v>
      </c>
      <c r="AC486" s="1107">
        <f t="shared" ref="AC486:AC491" si="46">W486</f>
        <v>3.8876344086021506</v>
      </c>
      <c r="AD486" s="1115">
        <f>AB486+AC486</f>
        <v>2604.5811827956986</v>
      </c>
      <c r="AE486" s="1114" t="str">
        <f t="shared" si="44"/>
        <v>|</v>
      </c>
      <c r="AG486" s="1103" t="s">
        <v>3430</v>
      </c>
    </row>
    <row r="487" spans="1:33" ht="24" customHeight="1">
      <c r="A487" s="1122">
        <f t="shared" si="39"/>
        <v>313</v>
      </c>
      <c r="B487" s="1106" t="s">
        <v>3450</v>
      </c>
      <c r="D487" s="1103"/>
      <c r="F487" s="1114">
        <v>0.13</v>
      </c>
      <c r="G487" s="1114" t="s">
        <v>2839</v>
      </c>
      <c r="H487" s="1103" t="s">
        <v>2963</v>
      </c>
      <c r="I487" s="1114">
        <f>(K40)</f>
        <v>4080.66</v>
      </c>
      <c r="J487" s="1103" t="s">
        <v>2839</v>
      </c>
      <c r="K487" s="1114">
        <f t="shared" ref="K487:K492" si="47">(F487*I487)</f>
        <v>530.48580000000004</v>
      </c>
      <c r="O487" s="1103" t="s">
        <v>3412</v>
      </c>
      <c r="R487" s="1114">
        <f>SUM(R468:R485)</f>
        <v>2270.3799999999997</v>
      </c>
      <c r="S487" s="1105"/>
      <c r="U487" s="1103" t="s">
        <v>3066</v>
      </c>
      <c r="V487" s="1105">
        <f>X486</f>
        <v>2584.371505376344</v>
      </c>
      <c r="W487" s="1107">
        <f>J662</f>
        <v>7.6586021505376349</v>
      </c>
      <c r="X487" s="1115">
        <f>V487+W487</f>
        <v>2592.0301075268817</v>
      </c>
      <c r="AA487" s="1103" t="s">
        <v>3066</v>
      </c>
      <c r="AB487" s="1105">
        <f>AD486</f>
        <v>2604.5811827956986</v>
      </c>
      <c r="AC487" s="1107">
        <f t="shared" si="46"/>
        <v>7.6586021505376349</v>
      </c>
      <c r="AD487" s="1115">
        <f>AB487+AC487</f>
        <v>2612.2397849462363</v>
      </c>
      <c r="AE487" s="1114" t="str">
        <f t="shared" si="44"/>
        <v>|</v>
      </c>
      <c r="AG487" s="1103" t="s">
        <v>3430</v>
      </c>
    </row>
    <row r="488" spans="1:33" ht="24" customHeight="1">
      <c r="A488" s="1122">
        <f t="shared" ref="A488:A494" si="48">(A487+1)</f>
        <v>314</v>
      </c>
      <c r="B488" s="1103" t="s">
        <v>3368</v>
      </c>
      <c r="C488" s="1114">
        <v>168</v>
      </c>
      <c r="D488" s="1103" t="s">
        <v>2838</v>
      </c>
      <c r="F488" s="1114">
        <v>0.7</v>
      </c>
      <c r="G488" s="1114" t="s">
        <v>2941</v>
      </c>
      <c r="H488" s="1103" t="s">
        <v>3051</v>
      </c>
      <c r="I488" s="1114">
        <f>(C10)</f>
        <v>861</v>
      </c>
      <c r="J488" s="1103" t="s">
        <v>2941</v>
      </c>
      <c r="K488" s="1114">
        <f t="shared" si="47"/>
        <v>602.69999999999993</v>
      </c>
      <c r="R488" s="1111" t="s">
        <v>36</v>
      </c>
      <c r="S488" s="1105"/>
      <c r="U488" s="1103" t="s">
        <v>3069</v>
      </c>
      <c r="V488" s="1105">
        <f>X487</f>
        <v>2592.0301075268817</v>
      </c>
      <c r="W488" s="1107">
        <f>J663</f>
        <v>7.6586021505376349</v>
      </c>
      <c r="X488" s="1115">
        <f>V488+W488</f>
        <v>2599.6887096774194</v>
      </c>
      <c r="AA488" s="1103" t="s">
        <v>3069</v>
      </c>
      <c r="AB488" s="1105">
        <f>AD487</f>
        <v>2612.2397849462363</v>
      </c>
      <c r="AC488" s="1107">
        <f t="shared" si="46"/>
        <v>7.6586021505376349</v>
      </c>
      <c r="AD488" s="1115">
        <f>AB488+AC488</f>
        <v>2619.8983870967741</v>
      </c>
      <c r="AE488" s="1114" t="str">
        <f t="shared" si="44"/>
        <v>|</v>
      </c>
      <c r="AG488" s="1103" t="s">
        <v>3430</v>
      </c>
    </row>
    <row r="489" spans="1:33" ht="33.75" customHeight="1">
      <c r="A489" s="1122">
        <f t="shared" si="48"/>
        <v>315</v>
      </c>
      <c r="B489" s="1103" t="s">
        <v>3361</v>
      </c>
      <c r="C489" s="1114">
        <v>239</v>
      </c>
      <c r="D489" s="1103" t="s">
        <v>2838</v>
      </c>
      <c r="F489" s="1114">
        <v>0.7</v>
      </c>
      <c r="G489" s="1114" t="s">
        <v>2941</v>
      </c>
      <c r="H489" s="1103" t="s">
        <v>3017</v>
      </c>
      <c r="I489" s="1114">
        <f>(C11)</f>
        <v>804</v>
      </c>
      <c r="J489" s="1103" t="s">
        <v>2941</v>
      </c>
      <c r="K489" s="1114">
        <f t="shared" si="47"/>
        <v>562.79999999999995</v>
      </c>
      <c r="O489" s="1103" t="s">
        <v>3413</v>
      </c>
      <c r="R489" s="1114">
        <f>(R487/30)</f>
        <v>75.679333333333318</v>
      </c>
      <c r="S489" s="1105"/>
      <c r="U489" s="1103" t="s">
        <v>3071</v>
      </c>
      <c r="V489" s="1105">
        <f>X488</f>
        <v>2599.6887096774194</v>
      </c>
      <c r="W489" s="1107">
        <f>J664</f>
        <v>7.6586021505376349</v>
      </c>
      <c r="X489" s="1115">
        <f>V489+W489</f>
        <v>2607.3473118279571</v>
      </c>
      <c r="AA489" s="1103" t="s">
        <v>3071</v>
      </c>
      <c r="AB489" s="1105">
        <f>AD488</f>
        <v>2619.8983870967741</v>
      </c>
      <c r="AC489" s="1107">
        <f t="shared" si="46"/>
        <v>7.6586021505376349</v>
      </c>
      <c r="AD489" s="1115">
        <f>AB489+AC489</f>
        <v>2627.5569892473118</v>
      </c>
      <c r="AE489" s="1114" t="str">
        <f t="shared" si="44"/>
        <v>|</v>
      </c>
      <c r="AG489" s="1103" t="s">
        <v>3430</v>
      </c>
    </row>
    <row r="490" spans="1:33" ht="24" customHeight="1">
      <c r="A490" s="1122">
        <f t="shared" si="48"/>
        <v>316</v>
      </c>
      <c r="B490" s="1103" t="s">
        <v>3363</v>
      </c>
      <c r="C490" s="1114">
        <v>348</v>
      </c>
      <c r="D490" s="1103" t="s">
        <v>2838</v>
      </c>
      <c r="F490" s="1114">
        <v>1.5</v>
      </c>
      <c r="G490" s="1114" t="s">
        <v>2941</v>
      </c>
      <c r="H490" s="1103" t="s">
        <v>3020</v>
      </c>
      <c r="I490" s="1114">
        <f>(C12)</f>
        <v>562</v>
      </c>
      <c r="J490" s="1103" t="s">
        <v>2941</v>
      </c>
      <c r="K490" s="1114">
        <f t="shared" si="47"/>
        <v>843</v>
      </c>
      <c r="R490" s="1111" t="s">
        <v>36</v>
      </c>
      <c r="S490" s="1105"/>
      <c r="U490" s="1103" t="s">
        <v>3451</v>
      </c>
      <c r="V490" s="1105">
        <f>X489</f>
        <v>2607.3473118279571</v>
      </c>
      <c r="W490" s="1107">
        <f>J665</f>
        <v>7.6586021505376349</v>
      </c>
      <c r="X490" s="1115">
        <f>V490+W490</f>
        <v>2615.0059139784948</v>
      </c>
      <c r="AA490" s="1103" t="s">
        <v>3451</v>
      </c>
      <c r="AB490" s="1105">
        <f>AD489</f>
        <v>2627.5569892473118</v>
      </c>
      <c r="AC490" s="1107">
        <f t="shared" si="46"/>
        <v>7.6586021505376349</v>
      </c>
      <c r="AD490" s="1115">
        <f>AB490+AC490</f>
        <v>2635.2155913978495</v>
      </c>
      <c r="AE490" s="1114" t="str">
        <f t="shared" si="44"/>
        <v>|</v>
      </c>
      <c r="AG490" s="1103" t="s">
        <v>3430</v>
      </c>
    </row>
    <row r="491" spans="1:33" ht="24" customHeight="1">
      <c r="A491" s="1122">
        <f t="shared" si="48"/>
        <v>317</v>
      </c>
      <c r="B491" s="1103" t="s">
        <v>3364</v>
      </c>
      <c r="C491" s="1114">
        <v>508</v>
      </c>
      <c r="D491" s="1103" t="s">
        <v>2838</v>
      </c>
      <c r="F491" s="1114">
        <v>0.5</v>
      </c>
      <c r="G491" s="1114" t="s">
        <v>2941</v>
      </c>
      <c r="H491" s="1103" t="s">
        <v>3026</v>
      </c>
      <c r="I491" s="1114">
        <f>(C13)</f>
        <v>461</v>
      </c>
      <c r="J491" s="1103" t="s">
        <v>2941</v>
      </c>
      <c r="K491" s="1114">
        <f t="shared" si="47"/>
        <v>230.5</v>
      </c>
      <c r="M491" s="1103" t="s">
        <v>220</v>
      </c>
      <c r="Y491" s="1108"/>
      <c r="AC491" s="1107">
        <f t="shared" si="46"/>
        <v>0</v>
      </c>
      <c r="AE491" s="1114" t="str">
        <f t="shared" si="44"/>
        <v>|</v>
      </c>
      <c r="AG491" s="1103" t="s">
        <v>3430</v>
      </c>
    </row>
    <row r="492" spans="1:33" ht="24" customHeight="1">
      <c r="A492" s="1122">
        <f t="shared" si="48"/>
        <v>318</v>
      </c>
      <c r="B492" s="1103" t="s">
        <v>3365</v>
      </c>
      <c r="C492" s="1114">
        <v>646</v>
      </c>
      <c r="D492" s="1103" t="s">
        <v>2838</v>
      </c>
      <c r="F492" s="1114">
        <v>0.94</v>
      </c>
      <c r="G492" s="1114" t="s">
        <v>165</v>
      </c>
      <c r="H492" s="1103" t="s">
        <v>3452</v>
      </c>
      <c r="I492" s="1114">
        <f>C653</f>
        <v>42.3</v>
      </c>
      <c r="J492" s="1103" t="s">
        <v>165</v>
      </c>
      <c r="K492" s="1114">
        <f t="shared" si="47"/>
        <v>39.761999999999993</v>
      </c>
      <c r="N492" s="1103" t="s">
        <v>1363</v>
      </c>
      <c r="O492" s="1103" t="s">
        <v>3388</v>
      </c>
      <c r="Y492" s="1108"/>
      <c r="AE492" s="1114" t="str">
        <f t="shared" si="44"/>
        <v>|</v>
      </c>
      <c r="AG492" s="1103" t="s">
        <v>3430</v>
      </c>
    </row>
    <row r="493" spans="1:33" ht="24" customHeight="1">
      <c r="A493" s="1122">
        <f t="shared" si="48"/>
        <v>319</v>
      </c>
      <c r="B493" s="1103" t="s">
        <v>3309</v>
      </c>
      <c r="C493" s="1114">
        <v>584</v>
      </c>
      <c r="D493" s="1103" t="s">
        <v>2838</v>
      </c>
      <c r="H493" s="1103" t="s">
        <v>2852</v>
      </c>
      <c r="I493" s="1103" t="s">
        <v>220</v>
      </c>
      <c r="J493" s="1103" t="s">
        <v>2851</v>
      </c>
      <c r="K493" s="1114">
        <v>0</v>
      </c>
      <c r="O493" s="1103" t="s">
        <v>3389</v>
      </c>
      <c r="Y493" s="1108"/>
      <c r="AE493" s="1114" t="str">
        <f t="shared" si="44"/>
        <v>|</v>
      </c>
      <c r="AG493" s="1103" t="s">
        <v>3430</v>
      </c>
    </row>
    <row r="494" spans="1:33" ht="24" customHeight="1">
      <c r="A494" s="1122">
        <f t="shared" si="48"/>
        <v>320</v>
      </c>
      <c r="B494" s="1103" t="s">
        <v>3403</v>
      </c>
      <c r="D494" s="1103" t="s">
        <v>2838</v>
      </c>
      <c r="K494" s="1111" t="s">
        <v>36</v>
      </c>
      <c r="O494" s="1103" t="s">
        <v>3453</v>
      </c>
      <c r="Y494" s="1108"/>
      <c r="AE494" s="1114" t="str">
        <f t="shared" si="44"/>
        <v>|</v>
      </c>
      <c r="AG494" s="1103" t="s">
        <v>3430</v>
      </c>
    </row>
    <row r="495" spans="1:33" ht="24" customHeight="1">
      <c r="A495" s="1122">
        <f>(A494+1)</f>
        <v>321</v>
      </c>
      <c r="B495" s="1106" t="s">
        <v>3454</v>
      </c>
      <c r="D495" s="1103" t="s">
        <v>2838</v>
      </c>
      <c r="H495" s="1103" t="s">
        <v>3152</v>
      </c>
      <c r="K495" s="1114">
        <f>SUM(K486:K493)</f>
        <v>2809.2478000000001</v>
      </c>
      <c r="O495" s="1111" t="s">
        <v>36</v>
      </c>
      <c r="Y495" s="1108"/>
      <c r="AE495" s="1114" t="str">
        <f t="shared" si="44"/>
        <v>|</v>
      </c>
      <c r="AG495" s="1103" t="s">
        <v>3430</v>
      </c>
    </row>
    <row r="496" spans="1:33" ht="24" customHeight="1">
      <c r="A496" s="1122">
        <f>(A495+1)</f>
        <v>322</v>
      </c>
      <c r="B496" s="1103" t="s">
        <v>3455</v>
      </c>
      <c r="C496" s="1114">
        <v>20.3</v>
      </c>
      <c r="D496" s="1103" t="s">
        <v>2838</v>
      </c>
      <c r="K496" s="1111" t="s">
        <v>36</v>
      </c>
      <c r="N496" s="1103" t="s">
        <v>3391</v>
      </c>
      <c r="O496" s="1104" t="s">
        <v>3456</v>
      </c>
      <c r="Y496" s="1108"/>
      <c r="AE496" s="1114" t="str">
        <f t="shared" si="44"/>
        <v>|</v>
      </c>
      <c r="AG496" s="1103" t="s">
        <v>3430</v>
      </c>
    </row>
    <row r="497" spans="1:33" ht="33.75" customHeight="1">
      <c r="A497" s="1122">
        <f>(A496+1)</f>
        <v>323</v>
      </c>
      <c r="B497" s="1103" t="s">
        <v>3457</v>
      </c>
      <c r="C497" s="1114">
        <v>11.5</v>
      </c>
      <c r="D497" s="1103" t="s">
        <v>2838</v>
      </c>
      <c r="H497" s="1118" t="s">
        <v>3154</v>
      </c>
      <c r="K497" s="1115">
        <f>(K495/10)</f>
        <v>280.92478</v>
      </c>
      <c r="O497" s="1111" t="s">
        <v>36</v>
      </c>
      <c r="Y497" s="1108"/>
      <c r="AE497" s="1114" t="str">
        <f t="shared" si="44"/>
        <v>|</v>
      </c>
      <c r="AG497" s="1103" t="s">
        <v>3430</v>
      </c>
    </row>
    <row r="498" spans="1:33" ht="36" customHeight="1">
      <c r="F498" s="1103" t="s">
        <v>220</v>
      </c>
      <c r="AE498" s="1114" t="str">
        <f t="shared" si="44"/>
        <v>|</v>
      </c>
      <c r="AG498" s="1103" t="s">
        <v>3430</v>
      </c>
    </row>
    <row r="499" spans="1:33" ht="24" customHeight="1">
      <c r="A499" s="1122">
        <f>(A497+1)</f>
        <v>324</v>
      </c>
      <c r="B499" s="1103" t="s">
        <v>3458</v>
      </c>
      <c r="C499" s="1114">
        <v>28.6</v>
      </c>
      <c r="D499" s="1103" t="s">
        <v>2838</v>
      </c>
      <c r="K499" s="1111" t="s">
        <v>2793</v>
      </c>
      <c r="M499" s="1114">
        <v>30</v>
      </c>
      <c r="N499" s="1103" t="s">
        <v>1790</v>
      </c>
      <c r="O499" s="1103" t="s">
        <v>3459</v>
      </c>
      <c r="P499" s="1114">
        <f>(C42)</f>
        <v>5</v>
      </c>
      <c r="Q499" s="1103" t="s">
        <v>1790</v>
      </c>
      <c r="R499" s="1114">
        <f>(M499*P499)</f>
        <v>150</v>
      </c>
      <c r="AE499" s="1114" t="str">
        <f t="shared" si="44"/>
        <v>|</v>
      </c>
      <c r="AG499" s="1103" t="s">
        <v>3430</v>
      </c>
    </row>
    <row r="500" spans="1:33" ht="24" customHeight="1">
      <c r="A500" s="1122">
        <f t="shared" ref="A500:A562" si="49">(A499+1)</f>
        <v>325</v>
      </c>
      <c r="B500" s="1103" t="s">
        <v>3460</v>
      </c>
      <c r="C500" s="1114">
        <v>56.74</v>
      </c>
      <c r="D500" s="1103" t="s">
        <v>2838</v>
      </c>
      <c r="F500" s="1104"/>
      <c r="G500" s="1114" t="s">
        <v>1363</v>
      </c>
      <c r="H500" s="1103" t="s">
        <v>3461</v>
      </c>
      <c r="M500" s="1103" t="s">
        <v>220</v>
      </c>
      <c r="O500" s="1103" t="s">
        <v>3462</v>
      </c>
      <c r="P500" s="1103" t="s">
        <v>220</v>
      </c>
      <c r="R500" s="1103" t="s">
        <v>220</v>
      </c>
      <c r="AE500" s="1114" t="str">
        <f t="shared" si="44"/>
        <v>|</v>
      </c>
      <c r="AG500" s="1103" t="s">
        <v>3430</v>
      </c>
    </row>
    <row r="501" spans="1:33" ht="24" customHeight="1">
      <c r="A501" s="1122">
        <f t="shared" si="49"/>
        <v>326</v>
      </c>
      <c r="B501" s="1103" t="s">
        <v>3463</v>
      </c>
      <c r="C501" s="1114">
        <v>56.74</v>
      </c>
      <c r="D501" s="1103" t="s">
        <v>2838</v>
      </c>
      <c r="H501" s="1103" t="s">
        <v>3248</v>
      </c>
      <c r="M501" s="1114">
        <v>8</v>
      </c>
      <c r="N501" s="1103" t="s">
        <v>2838</v>
      </c>
      <c r="O501" s="1103" t="s">
        <v>3405</v>
      </c>
      <c r="P501" s="1114">
        <f>(C43)</f>
        <v>8.1</v>
      </c>
      <c r="Q501" s="1103" t="s">
        <v>2838</v>
      </c>
      <c r="R501" s="1114">
        <f t="shared" ref="R501:R506" si="50">(M501*P501)</f>
        <v>64.8</v>
      </c>
      <c r="AE501" s="1114" t="str">
        <f t="shared" si="44"/>
        <v>|</v>
      </c>
      <c r="AG501" s="1103" t="s">
        <v>3430</v>
      </c>
    </row>
    <row r="502" spans="1:33" ht="45.75" customHeight="1">
      <c r="A502" s="1122">
        <f t="shared" si="49"/>
        <v>327</v>
      </c>
      <c r="B502" s="1106" t="s">
        <v>3464</v>
      </c>
      <c r="D502" s="1103" t="s">
        <v>220</v>
      </c>
      <c r="H502" s="1111" t="s">
        <v>36</v>
      </c>
      <c r="M502" s="1114">
        <v>8</v>
      </c>
      <c r="N502" s="1103" t="s">
        <v>2838</v>
      </c>
      <c r="O502" s="1103" t="s">
        <v>3408</v>
      </c>
      <c r="P502" s="1114">
        <f>(C50)</f>
        <v>11.5</v>
      </c>
      <c r="Q502" s="1103" t="s">
        <v>2838</v>
      </c>
      <c r="R502" s="1114">
        <f t="shared" si="50"/>
        <v>92</v>
      </c>
      <c r="AE502" s="1114" t="str">
        <f t="shared" si="44"/>
        <v>|</v>
      </c>
      <c r="AG502" s="1103" t="s">
        <v>3430</v>
      </c>
    </row>
    <row r="503" spans="1:33" ht="24" customHeight="1">
      <c r="A503" s="1122">
        <f t="shared" si="49"/>
        <v>328</v>
      </c>
      <c r="B503" s="1103" t="s">
        <v>3465</v>
      </c>
      <c r="C503" s="1114">
        <v>69.8</v>
      </c>
      <c r="D503" s="1103" t="s">
        <v>2838</v>
      </c>
      <c r="F503" s="1114">
        <v>9</v>
      </c>
      <c r="G503" s="1114" t="s">
        <v>2839</v>
      </c>
      <c r="H503" s="1103" t="s">
        <v>3466</v>
      </c>
      <c r="I503" s="1114">
        <f>(C70)</f>
        <v>1299.3899999999999</v>
      </c>
      <c r="J503" s="1103" t="s">
        <v>2839</v>
      </c>
      <c r="K503" s="1114">
        <f t="shared" ref="K503:K508" si="51">(F503*I503)</f>
        <v>11694.509999999998</v>
      </c>
      <c r="M503" s="1114">
        <v>3</v>
      </c>
      <c r="N503" s="1103" t="s">
        <v>2838</v>
      </c>
      <c r="O503" s="1103" t="s">
        <v>3467</v>
      </c>
      <c r="P503" s="1114">
        <f>(C41)</f>
        <v>637</v>
      </c>
      <c r="Q503" s="1103" t="s">
        <v>2838</v>
      </c>
      <c r="R503" s="1114">
        <f t="shared" si="50"/>
        <v>1911</v>
      </c>
      <c r="AE503" s="1114" t="str">
        <f t="shared" si="44"/>
        <v>|</v>
      </c>
      <c r="AG503" s="1103" t="s">
        <v>3430</v>
      </c>
    </row>
    <row r="504" spans="1:33" ht="24" customHeight="1">
      <c r="A504" s="1122">
        <f t="shared" si="49"/>
        <v>329</v>
      </c>
      <c r="B504" s="1103" t="s">
        <v>3457</v>
      </c>
      <c r="C504" s="1114">
        <v>15.6</v>
      </c>
      <c r="D504" s="1103" t="s">
        <v>2838</v>
      </c>
      <c r="F504" s="1128">
        <v>3.2309999999999999</v>
      </c>
      <c r="G504" s="1114" t="s">
        <v>197</v>
      </c>
      <c r="H504" s="1103" t="s">
        <v>2830</v>
      </c>
      <c r="I504" s="1114">
        <f>(C67)</f>
        <v>5960</v>
      </c>
      <c r="J504" s="1103" t="s">
        <v>197</v>
      </c>
      <c r="K504" s="1114">
        <f t="shared" si="51"/>
        <v>19256.759999999998</v>
      </c>
      <c r="M504" s="1114">
        <v>1</v>
      </c>
      <c r="N504" s="1103" t="s">
        <v>2838</v>
      </c>
      <c r="O504" s="1103" t="s">
        <v>3468</v>
      </c>
      <c r="P504" s="1114">
        <f>(C10)</f>
        <v>861</v>
      </c>
      <c r="Q504" s="1103" t="s">
        <v>2838</v>
      </c>
      <c r="R504" s="1114">
        <f t="shared" si="50"/>
        <v>861</v>
      </c>
      <c r="AE504" s="1114" t="str">
        <f t="shared" si="44"/>
        <v>|</v>
      </c>
      <c r="AG504" s="1103" t="s">
        <v>3430</v>
      </c>
    </row>
    <row r="505" spans="1:33" ht="24" customHeight="1">
      <c r="A505" s="1122">
        <f t="shared" si="49"/>
        <v>330</v>
      </c>
      <c r="B505" s="1103" t="s">
        <v>3469</v>
      </c>
      <c r="C505" s="1114">
        <v>75.3</v>
      </c>
      <c r="D505" s="1103" t="s">
        <v>2838</v>
      </c>
      <c r="F505" s="1114">
        <v>4.5</v>
      </c>
      <c r="G505" s="1114" t="s">
        <v>2839</v>
      </c>
      <c r="H505" s="1103" t="s">
        <v>2840</v>
      </c>
      <c r="I505" s="1114">
        <f>(C78)</f>
        <v>1835.06</v>
      </c>
      <c r="J505" s="1103" t="s">
        <v>2839</v>
      </c>
      <c r="K505" s="1114">
        <f t="shared" si="51"/>
        <v>8257.77</v>
      </c>
      <c r="M505" s="1114">
        <v>2</v>
      </c>
      <c r="N505" s="1103" t="s">
        <v>2838</v>
      </c>
      <c r="O505" s="1103" t="s">
        <v>3020</v>
      </c>
      <c r="P505" s="1114">
        <f>(C12)</f>
        <v>562</v>
      </c>
      <c r="Q505" s="1103" t="s">
        <v>2838</v>
      </c>
      <c r="R505" s="1114">
        <f t="shared" si="50"/>
        <v>1124</v>
      </c>
      <c r="AE505" s="1114" t="str">
        <f t="shared" si="44"/>
        <v>|</v>
      </c>
      <c r="AG505" s="1103" t="s">
        <v>3430</v>
      </c>
    </row>
    <row r="506" spans="1:33" ht="24" customHeight="1">
      <c r="A506" s="1122">
        <f t="shared" si="49"/>
        <v>331</v>
      </c>
      <c r="B506" s="1103" t="s">
        <v>3460</v>
      </c>
      <c r="C506" s="1114">
        <v>100.3</v>
      </c>
      <c r="D506" s="1103" t="s">
        <v>2838</v>
      </c>
      <c r="F506" s="1114">
        <v>3.5</v>
      </c>
      <c r="G506" s="1114" t="s">
        <v>2838</v>
      </c>
      <c r="H506" s="1103" t="s">
        <v>3017</v>
      </c>
      <c r="I506" s="1114">
        <f>(C11)</f>
        <v>804</v>
      </c>
      <c r="J506" s="1103" t="s">
        <v>2838</v>
      </c>
      <c r="K506" s="1114">
        <f t="shared" si="51"/>
        <v>2814</v>
      </c>
      <c r="M506" s="1114">
        <v>1</v>
      </c>
      <c r="N506" s="1103" t="s">
        <v>2838</v>
      </c>
      <c r="O506" s="1103" t="s">
        <v>3026</v>
      </c>
      <c r="P506" s="1114">
        <f>(C13)</f>
        <v>461</v>
      </c>
      <c r="Q506" s="1103" t="s">
        <v>2838</v>
      </c>
      <c r="R506" s="1114">
        <f t="shared" si="50"/>
        <v>461</v>
      </c>
      <c r="AE506" s="1114" t="str">
        <f t="shared" si="44"/>
        <v>|</v>
      </c>
      <c r="AG506" s="1103" t="s">
        <v>3430</v>
      </c>
    </row>
    <row r="507" spans="1:33" ht="24" customHeight="1">
      <c r="A507" s="1122">
        <f t="shared" si="49"/>
        <v>332</v>
      </c>
      <c r="B507" s="1103" t="s">
        <v>3463</v>
      </c>
      <c r="C507" s="1114">
        <v>100.3</v>
      </c>
      <c r="D507" s="1103" t="s">
        <v>2838</v>
      </c>
      <c r="F507" s="1114">
        <v>21.2</v>
      </c>
      <c r="G507" s="1114" t="s">
        <v>2838</v>
      </c>
      <c r="H507" s="1103" t="s">
        <v>3020</v>
      </c>
      <c r="I507" s="1114">
        <f>(C12)</f>
        <v>562</v>
      </c>
      <c r="J507" s="1103" t="s">
        <v>2838</v>
      </c>
      <c r="K507" s="1114">
        <f t="shared" si="51"/>
        <v>11914.4</v>
      </c>
      <c r="N507" s="1103" t="s">
        <v>2851</v>
      </c>
      <c r="O507" s="1103" t="s">
        <v>3470</v>
      </c>
      <c r="P507" s="1103" t="s">
        <v>220</v>
      </c>
      <c r="Q507" s="1103" t="s">
        <v>2851</v>
      </c>
      <c r="R507" s="1114">
        <f>(C56)</f>
        <v>12.1</v>
      </c>
      <c r="AE507" s="1114" t="str">
        <f t="shared" si="44"/>
        <v>|</v>
      </c>
      <c r="AG507" s="1103" t="s">
        <v>3430</v>
      </c>
    </row>
    <row r="508" spans="1:33" ht="24" customHeight="1">
      <c r="A508" s="1122">
        <f t="shared" si="49"/>
        <v>333</v>
      </c>
      <c r="B508" s="1106" t="s">
        <v>3471</v>
      </c>
      <c r="D508" s="1103" t="s">
        <v>220</v>
      </c>
      <c r="F508" s="1114">
        <v>35.299999999999997</v>
      </c>
      <c r="G508" s="1114" t="s">
        <v>2838</v>
      </c>
      <c r="H508" s="1103" t="s">
        <v>3026</v>
      </c>
      <c r="I508" s="1114">
        <f>(C13)</f>
        <v>461</v>
      </c>
      <c r="J508" s="1103" t="s">
        <v>2838</v>
      </c>
      <c r="K508" s="1114">
        <f t="shared" si="51"/>
        <v>16273.3</v>
      </c>
      <c r="O508" s="1103" t="s">
        <v>3472</v>
      </c>
      <c r="P508" s="1103" t="s">
        <v>220</v>
      </c>
      <c r="R508" s="1103" t="s">
        <v>220</v>
      </c>
      <c r="AE508" s="1114" t="str">
        <f t="shared" si="44"/>
        <v>|</v>
      </c>
      <c r="AG508" s="1103" t="s">
        <v>3430</v>
      </c>
    </row>
    <row r="509" spans="1:33" ht="24" customHeight="1">
      <c r="A509" s="1122">
        <f t="shared" si="49"/>
        <v>334</v>
      </c>
      <c r="B509" s="1103" t="s">
        <v>3465</v>
      </c>
      <c r="C509" s="1114">
        <v>40.4</v>
      </c>
      <c r="D509" s="1103" t="s">
        <v>2838</v>
      </c>
      <c r="G509" s="1114" t="s">
        <v>2851</v>
      </c>
      <c r="H509" s="1103" t="s">
        <v>2852</v>
      </c>
      <c r="I509" s="1103" t="s">
        <v>220</v>
      </c>
      <c r="J509" s="1103" t="s">
        <v>2851</v>
      </c>
      <c r="K509" s="1114">
        <v>0</v>
      </c>
      <c r="N509" s="1103" t="s">
        <v>2851</v>
      </c>
      <c r="O509" s="1103" t="s">
        <v>2852</v>
      </c>
      <c r="Q509" s="1103" t="s">
        <v>2851</v>
      </c>
      <c r="R509" s="1114">
        <v>0</v>
      </c>
      <c r="AE509" s="1114" t="str">
        <f t="shared" si="44"/>
        <v>|</v>
      </c>
      <c r="AG509" s="1103" t="s">
        <v>3430</v>
      </c>
    </row>
    <row r="510" spans="1:33" ht="24" customHeight="1">
      <c r="A510" s="1122">
        <f t="shared" si="49"/>
        <v>335</v>
      </c>
      <c r="B510" s="1103" t="s">
        <v>3457</v>
      </c>
      <c r="C510" s="1114">
        <v>47</v>
      </c>
      <c r="D510" s="1103" t="s">
        <v>2838</v>
      </c>
      <c r="K510" s="1111" t="s">
        <v>36</v>
      </c>
      <c r="R510" s="1111" t="s">
        <v>36</v>
      </c>
      <c r="AE510" s="1114" t="str">
        <f t="shared" si="44"/>
        <v>|</v>
      </c>
      <c r="AG510" s="1103" t="s">
        <v>3430</v>
      </c>
    </row>
    <row r="511" spans="1:33" ht="24" customHeight="1">
      <c r="A511" s="1122">
        <f t="shared" si="49"/>
        <v>336</v>
      </c>
      <c r="B511" s="1103" t="s">
        <v>3469</v>
      </c>
      <c r="C511" s="1114">
        <v>52</v>
      </c>
      <c r="D511" s="1103" t="s">
        <v>2838</v>
      </c>
      <c r="H511" s="1103" t="s">
        <v>3263</v>
      </c>
      <c r="K511" s="1114">
        <f>SUM(K503:K509)</f>
        <v>70210.739999999991</v>
      </c>
      <c r="O511" s="1103" t="s">
        <v>3473</v>
      </c>
      <c r="R511" s="1114">
        <f>SUM(R499:R509)</f>
        <v>4675.9000000000005</v>
      </c>
      <c r="AE511" s="1114" t="str">
        <f t="shared" si="44"/>
        <v>|</v>
      </c>
      <c r="AG511" s="1103" t="s">
        <v>3430</v>
      </c>
    </row>
    <row r="512" spans="1:33" ht="24" customHeight="1">
      <c r="A512" s="1122">
        <f t="shared" si="49"/>
        <v>337</v>
      </c>
      <c r="B512" s="1103" t="s">
        <v>3474</v>
      </c>
      <c r="C512" s="1114">
        <v>36.61</v>
      </c>
      <c r="D512" s="1103" t="s">
        <v>2838</v>
      </c>
      <c r="K512" s="1111" t="s">
        <v>36</v>
      </c>
      <c r="R512" s="1111" t="s">
        <v>36</v>
      </c>
      <c r="AE512" s="1114" t="str">
        <f t="shared" si="44"/>
        <v>|</v>
      </c>
      <c r="AG512" s="1103" t="s">
        <v>3430</v>
      </c>
    </row>
    <row r="513" spans="1:33" ht="24" customHeight="1">
      <c r="A513" s="1122">
        <f t="shared" si="49"/>
        <v>338</v>
      </c>
      <c r="B513" s="1103" t="s">
        <v>3460</v>
      </c>
      <c r="C513" s="1114">
        <v>78.709999999999994</v>
      </c>
      <c r="D513" s="1103" t="s">
        <v>2838</v>
      </c>
      <c r="H513" s="1103" t="s">
        <v>2946</v>
      </c>
      <c r="K513" s="1114">
        <f>(K511/10)+0.01</f>
        <v>7021.0839999999989</v>
      </c>
      <c r="O513" s="1103" t="s">
        <v>3413</v>
      </c>
      <c r="R513" s="1114">
        <f>(R511/30)</f>
        <v>155.86333333333334</v>
      </c>
      <c r="AE513" s="1114" t="str">
        <f t="shared" si="44"/>
        <v>|</v>
      </c>
      <c r="AG513" s="1103" t="s">
        <v>3430</v>
      </c>
    </row>
    <row r="514" spans="1:33" ht="24" customHeight="1">
      <c r="A514" s="1122">
        <f t="shared" si="49"/>
        <v>339</v>
      </c>
      <c r="B514" s="1103" t="s">
        <v>3463</v>
      </c>
      <c r="C514" s="1114">
        <v>78.709999999999994</v>
      </c>
      <c r="D514" s="1103" t="s">
        <v>2838</v>
      </c>
      <c r="R514" s="1111" t="s">
        <v>36</v>
      </c>
      <c r="AE514" s="1114">
        <f t="shared" si="44"/>
        <v>0</v>
      </c>
    </row>
    <row r="515" spans="1:33" ht="24" customHeight="1">
      <c r="A515" s="1122">
        <f t="shared" si="49"/>
        <v>340</v>
      </c>
      <c r="B515" s="1106" t="s">
        <v>3475</v>
      </c>
      <c r="D515" s="1103" t="s">
        <v>3476</v>
      </c>
      <c r="F515" s="1114">
        <v>1</v>
      </c>
      <c r="G515" s="1114" t="s">
        <v>2839</v>
      </c>
      <c r="H515" s="1103" t="s">
        <v>3271</v>
      </c>
      <c r="K515" s="1114">
        <f>C25</f>
        <v>81.3</v>
      </c>
      <c r="N515" s="1103" t="s">
        <v>75</v>
      </c>
      <c r="O515" s="1104" t="s">
        <v>3477</v>
      </c>
      <c r="AE515" s="1114" t="str">
        <f t="shared" si="44"/>
        <v>|</v>
      </c>
      <c r="AG515" s="1103" t="s">
        <v>3430</v>
      </c>
    </row>
    <row r="516" spans="1:33" ht="24" customHeight="1">
      <c r="A516" s="1122">
        <f t="shared" si="49"/>
        <v>341</v>
      </c>
      <c r="B516" s="1103" t="s">
        <v>3478</v>
      </c>
      <c r="C516" s="1114">
        <v>20.55</v>
      </c>
      <c r="D516" s="1103" t="s">
        <v>1790</v>
      </c>
      <c r="K516" s="1111" t="s">
        <v>36</v>
      </c>
      <c r="O516" s="1111" t="s">
        <v>36</v>
      </c>
      <c r="AE516" s="1114" t="str">
        <f t="shared" si="44"/>
        <v>|</v>
      </c>
      <c r="AG516" s="1103" t="s">
        <v>3430</v>
      </c>
    </row>
    <row r="517" spans="1:33" ht="24" customHeight="1">
      <c r="A517" s="1122">
        <f t="shared" si="49"/>
        <v>342</v>
      </c>
      <c r="B517" s="1103" t="s">
        <v>3479</v>
      </c>
      <c r="C517" s="1114">
        <v>26</v>
      </c>
      <c r="D517" s="1103" t="s">
        <v>1790</v>
      </c>
      <c r="E517" s="1105">
        <v>97.7</v>
      </c>
      <c r="H517" s="1103" t="s">
        <v>3480</v>
      </c>
      <c r="K517" s="1114">
        <f>SUM(K513:K515)</f>
        <v>7102.3839999999991</v>
      </c>
      <c r="M517" s="1114">
        <v>30</v>
      </c>
      <c r="N517" s="1103" t="s">
        <v>1790</v>
      </c>
      <c r="O517" s="1103" t="s">
        <v>3459</v>
      </c>
      <c r="P517" s="1114">
        <f>(C42)</f>
        <v>5</v>
      </c>
      <c r="Q517" s="1103" t="s">
        <v>1790</v>
      </c>
      <c r="R517" s="1114">
        <f>(M517*P517)</f>
        <v>150</v>
      </c>
      <c r="AE517" s="1114" t="str">
        <f t="shared" si="44"/>
        <v>|</v>
      </c>
      <c r="AG517" s="1103" t="s">
        <v>3430</v>
      </c>
    </row>
    <row r="518" spans="1:33" ht="24" customHeight="1">
      <c r="A518" s="1122">
        <f t="shared" si="49"/>
        <v>343</v>
      </c>
      <c r="B518" s="1103" t="s">
        <v>3481</v>
      </c>
      <c r="C518" s="1114">
        <v>35</v>
      </c>
      <c r="D518" s="1103" t="s">
        <v>1790</v>
      </c>
      <c r="K518" s="1111" t="s">
        <v>36</v>
      </c>
      <c r="M518" s="1103" t="s">
        <v>220</v>
      </c>
      <c r="O518" s="1103" t="s">
        <v>3462</v>
      </c>
      <c r="P518" s="1103" t="s">
        <v>220</v>
      </c>
      <c r="R518" s="1103" t="s">
        <v>220</v>
      </c>
      <c r="AE518" s="1114" t="str">
        <f t="shared" si="44"/>
        <v>|</v>
      </c>
      <c r="AG518" s="1103" t="s">
        <v>3430</v>
      </c>
    </row>
    <row r="519" spans="1:33" ht="24" customHeight="1">
      <c r="A519" s="1122">
        <f t="shared" si="49"/>
        <v>344</v>
      </c>
      <c r="B519" s="1103" t="s">
        <v>3482</v>
      </c>
      <c r="C519" s="1114">
        <v>52</v>
      </c>
      <c r="D519" s="1103" t="s">
        <v>1790</v>
      </c>
      <c r="G519" s="1114" t="s">
        <v>3483</v>
      </c>
      <c r="H519" s="1103" t="s">
        <v>3062</v>
      </c>
      <c r="K519" s="1114">
        <f>(K517+C22)</f>
        <v>7205.6839999999993</v>
      </c>
      <c r="L519" s="1105">
        <f>K519-K517</f>
        <v>103.30000000000018</v>
      </c>
      <c r="M519" s="1114">
        <v>8</v>
      </c>
      <c r="N519" s="1103" t="s">
        <v>2838</v>
      </c>
      <c r="O519" s="1103" t="s">
        <v>3405</v>
      </c>
      <c r="P519" s="1114">
        <f>(C44)</f>
        <v>8.1</v>
      </c>
      <c r="Q519" s="1103" t="s">
        <v>2838</v>
      </c>
      <c r="R519" s="1114">
        <f t="shared" ref="R519:R524" si="52">(M519*P519)</f>
        <v>64.8</v>
      </c>
      <c r="AE519" s="1114" t="str">
        <f t="shared" si="44"/>
        <v>|</v>
      </c>
      <c r="AG519" s="1103" t="s">
        <v>3430</v>
      </c>
    </row>
    <row r="520" spans="1:33" ht="24" customHeight="1">
      <c r="A520" s="1122">
        <f t="shared" si="49"/>
        <v>345</v>
      </c>
      <c r="B520" s="1103" t="s">
        <v>3484</v>
      </c>
      <c r="C520" s="1114">
        <v>65</v>
      </c>
      <c r="D520" s="1114">
        <v>21</v>
      </c>
      <c r="G520" s="1114" t="s">
        <v>3485</v>
      </c>
      <c r="H520" s="1103" t="s">
        <v>3066</v>
      </c>
      <c r="K520" s="1114">
        <f>(K519+C23)</f>
        <v>7409.1839999999993</v>
      </c>
      <c r="M520" s="1114">
        <v>8</v>
      </c>
      <c r="N520" s="1103" t="s">
        <v>2838</v>
      </c>
      <c r="O520" s="1103" t="s">
        <v>3408</v>
      </c>
      <c r="P520" s="1114">
        <f>(C51)</f>
        <v>11.7</v>
      </c>
      <c r="Q520" s="1103" t="s">
        <v>2838</v>
      </c>
      <c r="R520" s="1114">
        <f t="shared" si="52"/>
        <v>93.6</v>
      </c>
      <c r="AE520" s="1114" t="str">
        <f t="shared" si="44"/>
        <v>|</v>
      </c>
      <c r="AG520" s="1103" t="s">
        <v>3430</v>
      </c>
    </row>
    <row r="521" spans="1:33" ht="24" customHeight="1">
      <c r="A521" s="1122">
        <f t="shared" si="49"/>
        <v>346</v>
      </c>
      <c r="B521" s="1103" t="s">
        <v>3486</v>
      </c>
      <c r="C521" s="1114">
        <v>82</v>
      </c>
      <c r="D521" s="1114">
        <v>37.15</v>
      </c>
      <c r="G521" s="1114" t="s">
        <v>3487</v>
      </c>
      <c r="H521" s="1103" t="s">
        <v>3069</v>
      </c>
      <c r="K521" s="1114">
        <f>(K520+C24)</f>
        <v>7612.6839999999993</v>
      </c>
      <c r="M521" s="1114">
        <v>3</v>
      </c>
      <c r="N521" s="1103" t="s">
        <v>2838</v>
      </c>
      <c r="O521" s="1103" t="s">
        <v>3467</v>
      </c>
      <c r="P521" s="1114">
        <f>(C41)</f>
        <v>637</v>
      </c>
      <c r="Q521" s="1103" t="s">
        <v>2838</v>
      </c>
      <c r="R521" s="1114">
        <f t="shared" si="52"/>
        <v>1911</v>
      </c>
      <c r="AE521" s="1114" t="str">
        <f t="shared" si="44"/>
        <v>|</v>
      </c>
      <c r="AG521" s="1103" t="s">
        <v>3430</v>
      </c>
    </row>
    <row r="522" spans="1:33" ht="24" customHeight="1">
      <c r="A522" s="1122">
        <f t="shared" si="49"/>
        <v>347</v>
      </c>
      <c r="B522" s="1106" t="s">
        <v>3488</v>
      </c>
      <c r="D522" s="1103" t="s">
        <v>220</v>
      </c>
      <c r="G522" s="1114" t="s">
        <v>3489</v>
      </c>
      <c r="H522" s="1103" t="s">
        <v>3071</v>
      </c>
      <c r="K522" s="1114">
        <f>(K521+C24)</f>
        <v>7816.1839999999993</v>
      </c>
      <c r="M522" s="1114">
        <v>1</v>
      </c>
      <c r="N522" s="1103" t="s">
        <v>2838</v>
      </c>
      <c r="O522" s="1103" t="s">
        <v>3468</v>
      </c>
      <c r="P522" s="1114">
        <f>(C10)</f>
        <v>861</v>
      </c>
      <c r="Q522" s="1103" t="s">
        <v>2838</v>
      </c>
      <c r="R522" s="1114">
        <f t="shared" si="52"/>
        <v>861</v>
      </c>
      <c r="AE522" s="1114" t="str">
        <f t="shared" si="44"/>
        <v>|::</v>
      </c>
      <c r="AG522" s="1103" t="s">
        <v>3220</v>
      </c>
    </row>
    <row r="523" spans="1:33" ht="24" customHeight="1">
      <c r="A523" s="1122">
        <f t="shared" si="49"/>
        <v>348</v>
      </c>
      <c r="B523" s="1103" t="s">
        <v>3368</v>
      </c>
      <c r="C523" s="1114">
        <v>4.1900000000000004</v>
      </c>
      <c r="D523" s="1103" t="s">
        <v>2838</v>
      </c>
      <c r="M523" s="1114">
        <v>2</v>
      </c>
      <c r="N523" s="1103" t="s">
        <v>2838</v>
      </c>
      <c r="O523" s="1103" t="s">
        <v>3020</v>
      </c>
      <c r="P523" s="1114">
        <f>(C12)</f>
        <v>562</v>
      </c>
      <c r="Q523" s="1103" t="s">
        <v>2838</v>
      </c>
      <c r="R523" s="1114">
        <f t="shared" si="52"/>
        <v>1124</v>
      </c>
      <c r="AE523" s="1114">
        <f t="shared" si="44"/>
        <v>0</v>
      </c>
    </row>
    <row r="524" spans="1:33" ht="24" customHeight="1">
      <c r="A524" s="1122">
        <f t="shared" si="49"/>
        <v>349</v>
      </c>
      <c r="B524" s="1103" t="s">
        <v>3361</v>
      </c>
      <c r="C524" s="1114">
        <v>5</v>
      </c>
      <c r="D524" s="1103" t="s">
        <v>2838</v>
      </c>
      <c r="F524" s="1104" t="s">
        <v>1454</v>
      </c>
      <c r="G524" s="1114" t="s">
        <v>1363</v>
      </c>
      <c r="H524" s="1103" t="s">
        <v>3490</v>
      </c>
      <c r="M524" s="1114">
        <v>1</v>
      </c>
      <c r="N524" s="1103" t="s">
        <v>2838</v>
      </c>
      <c r="O524" s="1103" t="s">
        <v>3026</v>
      </c>
      <c r="P524" s="1114">
        <f>(C13)</f>
        <v>461</v>
      </c>
      <c r="Q524" s="1103" t="s">
        <v>2838</v>
      </c>
      <c r="R524" s="1114">
        <f t="shared" si="52"/>
        <v>461</v>
      </c>
      <c r="AE524" s="1114">
        <f t="shared" si="44"/>
        <v>0</v>
      </c>
    </row>
    <row r="525" spans="1:33" ht="24" customHeight="1">
      <c r="A525" s="1122">
        <f t="shared" si="49"/>
        <v>350</v>
      </c>
      <c r="B525" s="1103" t="s">
        <v>3363</v>
      </c>
      <c r="C525" s="1114">
        <v>8.06</v>
      </c>
      <c r="D525" s="1103" t="s">
        <v>2838</v>
      </c>
      <c r="H525" s="1111" t="s">
        <v>36</v>
      </c>
      <c r="N525" s="1103" t="s">
        <v>2851</v>
      </c>
      <c r="O525" s="1103" t="s">
        <v>3470</v>
      </c>
      <c r="P525" s="1103" t="s">
        <v>220</v>
      </c>
      <c r="Q525" s="1103" t="s">
        <v>2851</v>
      </c>
      <c r="R525" s="1114">
        <f>(C56)</f>
        <v>12.1</v>
      </c>
      <c r="U525" s="1147" t="s">
        <v>3491</v>
      </c>
      <c r="AA525" s="1147" t="s">
        <v>3492</v>
      </c>
      <c r="AE525" s="1114" t="str">
        <f t="shared" ref="AE525:AE596" si="53">AG525</f>
        <v>|</v>
      </c>
      <c r="AG525" s="1103" t="s">
        <v>3430</v>
      </c>
    </row>
    <row r="526" spans="1:33" ht="24" customHeight="1">
      <c r="A526" s="1122">
        <f t="shared" si="49"/>
        <v>351</v>
      </c>
      <c r="B526" s="1103" t="s">
        <v>3364</v>
      </c>
      <c r="C526" s="1114">
        <v>11.86</v>
      </c>
      <c r="D526" s="1103" t="s">
        <v>2838</v>
      </c>
      <c r="F526" s="1128">
        <v>1.4999999999999999E-2</v>
      </c>
      <c r="G526" s="1114" t="s">
        <v>2839</v>
      </c>
      <c r="H526" s="1103" t="s">
        <v>3493</v>
      </c>
      <c r="I526" s="1114">
        <f>(K513)</f>
        <v>7021.0839999999989</v>
      </c>
      <c r="J526" s="1103" t="s">
        <v>2839</v>
      </c>
      <c r="K526" s="1114">
        <f>(F526*I526)</f>
        <v>105.31625999999999</v>
      </c>
      <c r="O526" s="1103" t="s">
        <v>3472</v>
      </c>
      <c r="P526" s="1103" t="s">
        <v>220</v>
      </c>
      <c r="R526" s="1103" t="s">
        <v>220</v>
      </c>
      <c r="S526" s="1104" t="s">
        <v>1454</v>
      </c>
      <c r="T526" s="1114" t="s">
        <v>1363</v>
      </c>
      <c r="U526" s="1103" t="s">
        <v>3494</v>
      </c>
      <c r="W526" s="1107"/>
      <c r="Y526" s="1104" t="s">
        <v>1454</v>
      </c>
      <c r="Z526" s="1114" t="s">
        <v>1363</v>
      </c>
      <c r="AA526" s="1103" t="s">
        <v>3495</v>
      </c>
      <c r="AC526" s="1107"/>
      <c r="AE526" s="1114" t="str">
        <f t="shared" si="53"/>
        <v>|</v>
      </c>
      <c r="AG526" s="1103" t="s">
        <v>3430</v>
      </c>
    </row>
    <row r="527" spans="1:33" ht="24" customHeight="1">
      <c r="A527" s="1122">
        <f t="shared" si="49"/>
        <v>352</v>
      </c>
      <c r="B527" s="1103" t="s">
        <v>3365</v>
      </c>
      <c r="C527" s="1114">
        <v>18.88</v>
      </c>
      <c r="D527" s="1103" t="s">
        <v>2838</v>
      </c>
      <c r="F527" s="1114">
        <v>0.5</v>
      </c>
      <c r="G527" s="1114" t="s">
        <v>2941</v>
      </c>
      <c r="H527" s="1103" t="s">
        <v>3051</v>
      </c>
      <c r="I527" s="1114">
        <f>(C10)</f>
        <v>861</v>
      </c>
      <c r="J527" s="1103" t="s">
        <v>2941</v>
      </c>
      <c r="K527" s="1114">
        <f>(F527*I527)</f>
        <v>430.5</v>
      </c>
      <c r="N527" s="1103" t="s">
        <v>2851</v>
      </c>
      <c r="O527" s="1103" t="s">
        <v>2852</v>
      </c>
      <c r="Q527" s="1103" t="s">
        <v>2851</v>
      </c>
      <c r="R527" s="1114">
        <v>0</v>
      </c>
      <c r="S527" s="1105"/>
      <c r="U527" s="1111" t="s">
        <v>36</v>
      </c>
      <c r="W527" s="1107"/>
      <c r="AA527" s="1111" t="s">
        <v>36</v>
      </c>
      <c r="AC527" s="1107"/>
      <c r="AE527" s="1114" t="str">
        <f t="shared" si="53"/>
        <v>|</v>
      </c>
      <c r="AG527" s="1103" t="s">
        <v>3430</v>
      </c>
    </row>
    <row r="528" spans="1:33" ht="24" customHeight="1">
      <c r="A528" s="1122">
        <f t="shared" si="49"/>
        <v>353</v>
      </c>
      <c r="B528" s="1103" t="s">
        <v>3309</v>
      </c>
      <c r="C528" s="1114">
        <v>26</v>
      </c>
      <c r="D528" s="1103" t="s">
        <v>2838</v>
      </c>
      <c r="F528" s="1114">
        <v>0.75</v>
      </c>
      <c r="G528" s="1114" t="s">
        <v>2941</v>
      </c>
      <c r="H528" s="1103" t="s">
        <v>3020</v>
      </c>
      <c r="I528" s="1114">
        <f>(C12)</f>
        <v>562</v>
      </c>
      <c r="J528" s="1103" t="s">
        <v>2941</v>
      </c>
      <c r="K528" s="1114">
        <f>(F528*I528)</f>
        <v>421.5</v>
      </c>
      <c r="R528" s="1111" t="s">
        <v>36</v>
      </c>
      <c r="S528" s="1128">
        <v>1.4999999999999999E-2</v>
      </c>
      <c r="T528" s="1114" t="s">
        <v>2839</v>
      </c>
      <c r="U528" s="1103" t="s">
        <v>3493</v>
      </c>
      <c r="V528" s="1114">
        <f>X657</f>
        <v>7113.5080271999996</v>
      </c>
      <c r="W528" s="1103" t="s">
        <v>2839</v>
      </c>
      <c r="X528" s="1114">
        <f>(S528*V528)</f>
        <v>106.70262040799999</v>
      </c>
      <c r="Y528" s="1128">
        <v>1.4999999999999999E-2</v>
      </c>
      <c r="Z528" s="1114" t="s">
        <v>2839</v>
      </c>
      <c r="AA528" s="1103" t="s">
        <v>3493</v>
      </c>
      <c r="AB528" s="1114">
        <f>AF657</f>
        <v>7650.9217271999996</v>
      </c>
      <c r="AC528" s="1103" t="s">
        <v>2839</v>
      </c>
      <c r="AD528" s="1114">
        <f>(Y528*AB528)</f>
        <v>114.76382590799999</v>
      </c>
      <c r="AE528" s="1114" t="str">
        <f t="shared" si="53"/>
        <v>|</v>
      </c>
      <c r="AG528" s="1103" t="s">
        <v>3430</v>
      </c>
    </row>
    <row r="529" spans="1:33" ht="24" customHeight="1">
      <c r="A529" s="1122">
        <f t="shared" si="49"/>
        <v>354</v>
      </c>
      <c r="B529" s="1106" t="s">
        <v>3496</v>
      </c>
      <c r="D529" s="1103" t="s">
        <v>220</v>
      </c>
      <c r="G529" s="1114" t="s">
        <v>2851</v>
      </c>
      <c r="H529" s="1103" t="s">
        <v>2852</v>
      </c>
      <c r="J529" s="1103" t="s">
        <v>2851</v>
      </c>
      <c r="K529" s="1114">
        <v>0</v>
      </c>
      <c r="O529" s="1103" t="s">
        <v>3473</v>
      </c>
      <c r="R529" s="1114">
        <f>SUM(R517:R527)</f>
        <v>4677.5</v>
      </c>
      <c r="S529" s="1114">
        <v>0.5</v>
      </c>
      <c r="T529" s="1114" t="s">
        <v>2941</v>
      </c>
      <c r="U529" s="1103" t="s">
        <v>3051</v>
      </c>
      <c r="V529" s="1114">
        <f>C10</f>
        <v>861</v>
      </c>
      <c r="W529" s="1103" t="s">
        <v>2941</v>
      </c>
      <c r="X529" s="1114">
        <f>(S529*V529)</f>
        <v>430.5</v>
      </c>
      <c r="Y529" s="1114">
        <v>0.5</v>
      </c>
      <c r="Z529" s="1114" t="s">
        <v>2941</v>
      </c>
      <c r="AA529" s="1103" t="s">
        <v>3051</v>
      </c>
      <c r="AB529" s="1114">
        <f>V529</f>
        <v>861</v>
      </c>
      <c r="AC529" s="1103" t="s">
        <v>2941</v>
      </c>
      <c r="AD529" s="1114">
        <f>(Y529*AB529)</f>
        <v>430.5</v>
      </c>
      <c r="AE529" s="1114" t="str">
        <f t="shared" si="53"/>
        <v>|</v>
      </c>
      <c r="AG529" s="1103" t="s">
        <v>3430</v>
      </c>
    </row>
    <row r="530" spans="1:33" ht="24" customHeight="1">
      <c r="A530" s="1122">
        <f t="shared" si="49"/>
        <v>355</v>
      </c>
      <c r="B530" s="1103" t="s">
        <v>3368</v>
      </c>
      <c r="C530" s="1114">
        <v>5.9</v>
      </c>
      <c r="D530" s="1103" t="s">
        <v>2838</v>
      </c>
      <c r="K530" s="1111" t="s">
        <v>36</v>
      </c>
      <c r="R530" s="1111" t="s">
        <v>36</v>
      </c>
      <c r="S530" s="1114">
        <v>0.75</v>
      </c>
      <c r="T530" s="1114" t="s">
        <v>2941</v>
      </c>
      <c r="U530" s="1103" t="s">
        <v>3020</v>
      </c>
      <c r="V530" s="1114">
        <f>C12</f>
        <v>562</v>
      </c>
      <c r="W530" s="1103" t="s">
        <v>2941</v>
      </c>
      <c r="X530" s="1114">
        <f>(S530*V530)</f>
        <v>421.5</v>
      </c>
      <c r="Y530" s="1114">
        <v>0.75</v>
      </c>
      <c r="Z530" s="1114" t="s">
        <v>2941</v>
      </c>
      <c r="AA530" s="1103" t="s">
        <v>3020</v>
      </c>
      <c r="AB530" s="1114">
        <f>V530</f>
        <v>562</v>
      </c>
      <c r="AC530" s="1103" t="s">
        <v>2941</v>
      </c>
      <c r="AD530" s="1114">
        <f>(Y530*AB530)</f>
        <v>421.5</v>
      </c>
      <c r="AE530" s="1114" t="str">
        <f t="shared" si="53"/>
        <v>|</v>
      </c>
      <c r="AG530" s="1103" t="s">
        <v>3430</v>
      </c>
    </row>
    <row r="531" spans="1:33" ht="24" customHeight="1">
      <c r="A531" s="1122">
        <f t="shared" si="49"/>
        <v>356</v>
      </c>
      <c r="B531" s="1103" t="s">
        <v>3361</v>
      </c>
      <c r="C531" s="1114">
        <v>6.7</v>
      </c>
      <c r="D531" s="1103" t="s">
        <v>2838</v>
      </c>
      <c r="H531" s="1103" t="s">
        <v>3497</v>
      </c>
      <c r="K531" s="1114">
        <f>SUM(K526:K529)</f>
        <v>957.31625999999994</v>
      </c>
      <c r="O531" s="1103" t="s">
        <v>3413</v>
      </c>
      <c r="R531" s="1114">
        <f>(R529/30)</f>
        <v>155.91666666666666</v>
      </c>
      <c r="S531" s="1105"/>
      <c r="T531" s="1114" t="s">
        <v>2851</v>
      </c>
      <c r="U531" s="1103" t="s">
        <v>2852</v>
      </c>
      <c r="W531" s="1103" t="s">
        <v>2851</v>
      </c>
      <c r="X531" s="1114">
        <v>0</v>
      </c>
      <c r="Z531" s="1114" t="s">
        <v>2851</v>
      </c>
      <c r="AA531" s="1103" t="s">
        <v>2852</v>
      </c>
      <c r="AB531" s="1114">
        <f>V531</f>
        <v>0</v>
      </c>
      <c r="AC531" s="1103" t="s">
        <v>2851</v>
      </c>
      <c r="AD531" s="1114">
        <v>0</v>
      </c>
      <c r="AE531" s="1114" t="str">
        <f t="shared" si="53"/>
        <v>|</v>
      </c>
      <c r="AG531" s="1103" t="s">
        <v>3430</v>
      </c>
    </row>
    <row r="532" spans="1:33" ht="24" customHeight="1">
      <c r="A532" s="1122">
        <f t="shared" si="49"/>
        <v>357</v>
      </c>
      <c r="B532" s="1103" t="s">
        <v>3363</v>
      </c>
      <c r="C532" s="1114">
        <v>9.5</v>
      </c>
      <c r="D532" s="1103" t="s">
        <v>2838</v>
      </c>
      <c r="K532" s="1111" t="s">
        <v>36</v>
      </c>
      <c r="R532" s="1111" t="s">
        <v>36</v>
      </c>
      <c r="S532" s="1105"/>
      <c r="W532" s="1107"/>
      <c r="X532" s="1111" t="s">
        <v>36</v>
      </c>
      <c r="AC532" s="1107"/>
      <c r="AD532" s="1111" t="s">
        <v>36</v>
      </c>
      <c r="AE532" s="1114" t="str">
        <f t="shared" si="53"/>
        <v>|</v>
      </c>
      <c r="AG532" s="1103" t="s">
        <v>3430</v>
      </c>
    </row>
    <row r="533" spans="1:33" ht="24" customHeight="1">
      <c r="A533" s="1122">
        <f t="shared" si="49"/>
        <v>358</v>
      </c>
      <c r="B533" s="1103" t="s">
        <v>3364</v>
      </c>
      <c r="C533" s="1114">
        <v>13.6</v>
      </c>
      <c r="D533" s="1103" t="s">
        <v>2838</v>
      </c>
      <c r="H533" s="1103" t="s">
        <v>3154</v>
      </c>
      <c r="K533" s="1114">
        <f>(K531/0.743)</f>
        <v>1288.4471870794077</v>
      </c>
      <c r="S533" s="1105"/>
      <c r="U533" s="1103" t="s">
        <v>3497</v>
      </c>
      <c r="W533" s="1107"/>
      <c r="X533" s="1114">
        <f>SUM(X528:X531)</f>
        <v>958.70262040800003</v>
      </c>
      <c r="AA533" s="1103" t="s">
        <v>3497</v>
      </c>
      <c r="AC533" s="1107"/>
      <c r="AD533" s="1114">
        <f>SUM(AD528:AD531)</f>
        <v>966.76382590799994</v>
      </c>
      <c r="AE533" s="1114" t="str">
        <f t="shared" si="53"/>
        <v>|</v>
      </c>
      <c r="AG533" s="1103" t="s">
        <v>3430</v>
      </c>
    </row>
    <row r="534" spans="1:33" ht="24" customHeight="1">
      <c r="A534" s="1122">
        <f t="shared" si="49"/>
        <v>359</v>
      </c>
      <c r="B534" s="1103" t="s">
        <v>3365</v>
      </c>
      <c r="C534" s="1114">
        <v>19.2</v>
      </c>
      <c r="D534" s="1103" t="s">
        <v>2838</v>
      </c>
      <c r="K534" s="1111" t="s">
        <v>2793</v>
      </c>
      <c r="S534" s="1105"/>
      <c r="W534" s="1107"/>
      <c r="X534" s="1111" t="s">
        <v>36</v>
      </c>
      <c r="AC534" s="1107"/>
      <c r="AD534" s="1111" t="s">
        <v>36</v>
      </c>
      <c r="AE534" s="1114" t="str">
        <f t="shared" si="53"/>
        <v>|</v>
      </c>
      <c r="AG534" s="1103" t="s">
        <v>3430</v>
      </c>
    </row>
    <row r="535" spans="1:33" ht="24" customHeight="1">
      <c r="A535" s="1122">
        <f t="shared" si="49"/>
        <v>360</v>
      </c>
      <c r="B535" s="1103" t="s">
        <v>3309</v>
      </c>
      <c r="C535" s="1114">
        <v>27.4</v>
      </c>
      <c r="D535" s="1103" t="s">
        <v>2838</v>
      </c>
      <c r="H535" s="1103" t="s">
        <v>3062</v>
      </c>
      <c r="I535" s="1114">
        <f>K533</f>
        <v>1288.4471870794077</v>
      </c>
      <c r="J535" s="1103">
        <f>C22*0.015/0.743</f>
        <v>2.0854643337819647</v>
      </c>
      <c r="K535" s="1115">
        <f>I535+J535</f>
        <v>1290.5326514131898</v>
      </c>
      <c r="N535" s="1103" t="s">
        <v>2222</v>
      </c>
      <c r="O535" s="1104" t="s">
        <v>3498</v>
      </c>
      <c r="S535" s="1105"/>
      <c r="U535" s="1103" t="s">
        <v>3154</v>
      </c>
      <c r="W535" s="1107"/>
      <c r="X535" s="1114">
        <f>(X533/0.743)</f>
        <v>1290.3130826487215</v>
      </c>
      <c r="AA535" s="1103" t="s">
        <v>3154</v>
      </c>
      <c r="AC535" s="1107"/>
      <c r="AD535" s="1114">
        <f>(AD533/0.743)</f>
        <v>1301.1626189878868</v>
      </c>
      <c r="AE535" s="1114" t="str">
        <f t="shared" si="53"/>
        <v>|</v>
      </c>
      <c r="AG535" s="1103" t="s">
        <v>3430</v>
      </c>
    </row>
    <row r="536" spans="1:33" ht="24" customHeight="1">
      <c r="A536" s="1122">
        <f t="shared" si="49"/>
        <v>361</v>
      </c>
      <c r="B536" s="1106" t="s">
        <v>3499</v>
      </c>
      <c r="D536" s="1103" t="s">
        <v>220</v>
      </c>
      <c r="H536" s="1103" t="s">
        <v>3066</v>
      </c>
      <c r="I536" s="1114">
        <f>K535</f>
        <v>1290.5326514131898</v>
      </c>
      <c r="J536" s="1103">
        <f>C23*0.015/0.743</f>
        <v>4.1083445491251682</v>
      </c>
      <c r="K536" s="1115">
        <f>I536+J536</f>
        <v>1294.6409959623149</v>
      </c>
      <c r="O536" s="1111" t="s">
        <v>36</v>
      </c>
      <c r="S536" s="1105"/>
      <c r="W536" s="1107"/>
      <c r="X536" s="1111" t="s">
        <v>2793</v>
      </c>
      <c r="AC536" s="1107"/>
      <c r="AD536" s="1111" t="s">
        <v>2793</v>
      </c>
      <c r="AE536" s="1114" t="str">
        <f t="shared" si="53"/>
        <v>|</v>
      </c>
      <c r="AG536" s="1103" t="s">
        <v>3430</v>
      </c>
    </row>
    <row r="537" spans="1:33" ht="24" customHeight="1">
      <c r="A537" s="1122">
        <f t="shared" si="49"/>
        <v>362</v>
      </c>
      <c r="B537" s="1103" t="s">
        <v>3368</v>
      </c>
      <c r="C537" s="1114">
        <v>8.1</v>
      </c>
      <c r="D537" s="1103" t="s">
        <v>2838</v>
      </c>
      <c r="H537" s="1103" t="s">
        <v>3069</v>
      </c>
      <c r="I537" s="1114">
        <f>K536</f>
        <v>1294.6409959623149</v>
      </c>
      <c r="J537" s="1103">
        <f>J536</f>
        <v>4.1083445491251682</v>
      </c>
      <c r="K537" s="1115">
        <f>I537+J537</f>
        <v>1298.7493405114401</v>
      </c>
      <c r="M537" s="1114">
        <v>30</v>
      </c>
      <c r="N537" s="1103" t="s">
        <v>1790</v>
      </c>
      <c r="O537" s="1103" t="s">
        <v>3459</v>
      </c>
      <c r="P537" s="1114">
        <f>(C42)</f>
        <v>5</v>
      </c>
      <c r="Q537" s="1103" t="s">
        <v>1790</v>
      </c>
      <c r="R537" s="1114">
        <f>(M537*P537)</f>
        <v>150</v>
      </c>
      <c r="S537" s="1105"/>
      <c r="U537" s="1103" t="s">
        <v>3062</v>
      </c>
      <c r="V537" s="1114">
        <f>X535</f>
        <v>1290.3130826487215</v>
      </c>
      <c r="W537" s="1103">
        <f>J535</f>
        <v>2.0854643337819647</v>
      </c>
      <c r="X537" s="1115">
        <f>V537+W537</f>
        <v>1292.3985469825036</v>
      </c>
      <c r="AA537" s="1103" t="s">
        <v>3062</v>
      </c>
      <c r="AB537" s="1114">
        <f>AD535</f>
        <v>1301.1626189878868</v>
      </c>
      <c r="AC537" s="1103">
        <f>W537</f>
        <v>2.0854643337819647</v>
      </c>
      <c r="AD537" s="1115">
        <f>AB537+AC537</f>
        <v>1303.2480833216689</v>
      </c>
      <c r="AE537" s="1114" t="str">
        <f t="shared" si="53"/>
        <v>|</v>
      </c>
      <c r="AG537" s="1103" t="s">
        <v>3430</v>
      </c>
    </row>
    <row r="538" spans="1:33" ht="24" customHeight="1">
      <c r="A538" s="1122">
        <f t="shared" si="49"/>
        <v>363</v>
      </c>
      <c r="B538" s="1103" t="s">
        <v>3361</v>
      </c>
      <c r="C538" s="1114">
        <v>9.5</v>
      </c>
      <c r="D538" s="1103" t="s">
        <v>2838</v>
      </c>
      <c r="H538" s="1103" t="s">
        <v>3071</v>
      </c>
      <c r="I538" s="1114">
        <f>K537</f>
        <v>1298.7493405114401</v>
      </c>
      <c r="J538" s="1103">
        <f>J537</f>
        <v>4.1083445491251682</v>
      </c>
      <c r="K538" s="1115">
        <f>I538+J538</f>
        <v>1302.8576850605652</v>
      </c>
      <c r="M538" s="1103" t="s">
        <v>220</v>
      </c>
      <c r="O538" s="1103" t="s">
        <v>3462</v>
      </c>
      <c r="P538" s="1103" t="s">
        <v>220</v>
      </c>
      <c r="R538" s="1103" t="s">
        <v>220</v>
      </c>
      <c r="S538" s="1105"/>
      <c r="U538" s="1103" t="s">
        <v>3066</v>
      </c>
      <c r="V538" s="1114">
        <f>X537</f>
        <v>1292.3985469825036</v>
      </c>
      <c r="W538" s="1103">
        <f t="shared" ref="W538:W549" si="54">J538</f>
        <v>4.1083445491251682</v>
      </c>
      <c r="X538" s="1115">
        <f>V538+W538</f>
        <v>1296.5068915316288</v>
      </c>
      <c r="AA538" s="1103" t="s">
        <v>3066</v>
      </c>
      <c r="AB538" s="1114">
        <f>AD537</f>
        <v>1303.2480833216689</v>
      </c>
      <c r="AC538" s="1103">
        <f t="shared" ref="AC538:AC549" si="55">W538</f>
        <v>4.1083445491251682</v>
      </c>
      <c r="AD538" s="1115">
        <f>AB538+AC538</f>
        <v>1307.3564278707941</v>
      </c>
      <c r="AE538" s="1114" t="str">
        <f t="shared" si="53"/>
        <v>|</v>
      </c>
      <c r="AG538" s="1103" t="s">
        <v>3430</v>
      </c>
    </row>
    <row r="539" spans="1:33" ht="24" customHeight="1">
      <c r="A539" s="1122">
        <f t="shared" si="49"/>
        <v>364</v>
      </c>
      <c r="B539" s="1103" t="s">
        <v>3363</v>
      </c>
      <c r="C539" s="1114">
        <v>13.6</v>
      </c>
      <c r="D539" s="1103" t="s">
        <v>2838</v>
      </c>
      <c r="H539" s="1103" t="s">
        <v>3066</v>
      </c>
      <c r="I539" s="1114">
        <f>K538</f>
        <v>1302.8576850605652</v>
      </c>
      <c r="J539" s="1103">
        <f>J538</f>
        <v>4.1083445491251682</v>
      </c>
      <c r="K539" s="1115">
        <f>I539+J539</f>
        <v>1306.9660296096904</v>
      </c>
      <c r="M539" s="1114">
        <v>8</v>
      </c>
      <c r="N539" s="1103" t="s">
        <v>2838</v>
      </c>
      <c r="O539" s="1103" t="s">
        <v>3405</v>
      </c>
      <c r="P539" s="1114">
        <f>(C45)</f>
        <v>9.6999999999999993</v>
      </c>
      <c r="Q539" s="1103" t="s">
        <v>2838</v>
      </c>
      <c r="R539" s="1114">
        <f>(M539*P539)</f>
        <v>77.599999999999994</v>
      </c>
      <c r="S539" s="1105"/>
      <c r="U539" s="1103" t="s">
        <v>3069</v>
      </c>
      <c r="V539" s="1114">
        <f>X538</f>
        <v>1296.5068915316288</v>
      </c>
      <c r="W539" s="1103">
        <f t="shared" si="54"/>
        <v>4.1083445491251682</v>
      </c>
      <c r="X539" s="1115">
        <f>V539+W539</f>
        <v>1300.6152360807539</v>
      </c>
      <c r="AA539" s="1103" t="s">
        <v>3069</v>
      </c>
      <c r="AB539" s="1114">
        <f>AD538</f>
        <v>1307.3564278707941</v>
      </c>
      <c r="AC539" s="1103">
        <f t="shared" si="55"/>
        <v>4.1083445491251682</v>
      </c>
      <c r="AD539" s="1115">
        <f>AB539+AC539</f>
        <v>1311.4647724199192</v>
      </c>
      <c r="AE539" s="1114" t="str">
        <f t="shared" si="53"/>
        <v>|</v>
      </c>
      <c r="AG539" s="1103" t="s">
        <v>3430</v>
      </c>
    </row>
    <row r="540" spans="1:33" ht="24" customHeight="1">
      <c r="A540" s="1122"/>
      <c r="B540" s="1103"/>
      <c r="C540" s="1114"/>
      <c r="D540" s="1103"/>
      <c r="H540" s="1103">
        <v>5</v>
      </c>
      <c r="I540" s="1114">
        <f t="shared" ref="I540:I545" si="56">K539</f>
        <v>1306.9660296096904</v>
      </c>
      <c r="J540" s="1103">
        <f t="shared" ref="J540:J547" si="57">J539</f>
        <v>4.1083445491251682</v>
      </c>
      <c r="K540" s="1115">
        <f t="shared" ref="K540:K545" si="58">I540+J540</f>
        <v>1311.0743741588155</v>
      </c>
      <c r="M540" s="1114"/>
      <c r="N540" s="1103"/>
      <c r="O540" s="1103"/>
      <c r="P540" s="1114"/>
      <c r="Q540" s="1103"/>
      <c r="R540" s="1114"/>
      <c r="S540" s="1105"/>
      <c r="U540" s="1103" t="s">
        <v>3071</v>
      </c>
      <c r="V540" s="1114">
        <f>X539</f>
        <v>1300.6152360807539</v>
      </c>
      <c r="W540" s="1103">
        <f t="shared" si="54"/>
        <v>4.1083445491251682</v>
      </c>
      <c r="X540" s="1115">
        <f>V540+W540</f>
        <v>1304.7235806298791</v>
      </c>
      <c r="AA540" s="1103" t="s">
        <v>3071</v>
      </c>
      <c r="AB540" s="1114">
        <f>AD539</f>
        <v>1311.4647724199192</v>
      </c>
      <c r="AC540" s="1103">
        <f t="shared" si="55"/>
        <v>4.1083445491251682</v>
      </c>
      <c r="AD540" s="1115">
        <f>AB540+AC540</f>
        <v>1315.5731169690443</v>
      </c>
      <c r="AE540" s="1114"/>
      <c r="AG540" s="1103"/>
    </row>
    <row r="541" spans="1:33" ht="24" customHeight="1">
      <c r="A541" s="1122"/>
      <c r="B541" s="1103"/>
      <c r="C541" s="1114"/>
      <c r="D541" s="1103"/>
      <c r="H541" s="1103">
        <v>6</v>
      </c>
      <c r="I541" s="1114">
        <f t="shared" si="56"/>
        <v>1311.0743741588155</v>
      </c>
      <c r="J541" s="1103">
        <f t="shared" si="57"/>
        <v>4.1083445491251682</v>
      </c>
      <c r="K541" s="1115">
        <f t="shared" si="58"/>
        <v>1315.1827187079407</v>
      </c>
      <c r="M541" s="1114"/>
      <c r="N541" s="1103"/>
      <c r="O541" s="1103"/>
      <c r="P541" s="1114"/>
      <c r="Q541" s="1103"/>
      <c r="R541" s="1114"/>
      <c r="S541" s="1105"/>
      <c r="U541" s="1103" t="s">
        <v>3066</v>
      </c>
      <c r="V541" s="1114">
        <f>X540</f>
        <v>1304.7235806298791</v>
      </c>
      <c r="W541" s="1103">
        <f t="shared" si="54"/>
        <v>4.1083445491251682</v>
      </c>
      <c r="X541" s="1115">
        <f>V541+W541</f>
        <v>1308.8319251790042</v>
      </c>
      <c r="AA541" s="1103" t="s">
        <v>3066</v>
      </c>
      <c r="AB541" s="1114">
        <f>AD540</f>
        <v>1315.5731169690443</v>
      </c>
      <c r="AC541" s="1103">
        <f t="shared" si="55"/>
        <v>4.1083445491251682</v>
      </c>
      <c r="AD541" s="1115">
        <f>AB541+AC541</f>
        <v>1319.6814615181695</v>
      </c>
      <c r="AE541" s="1114"/>
      <c r="AG541" s="1103"/>
    </row>
    <row r="542" spans="1:33" ht="24" customHeight="1">
      <c r="A542" s="1122"/>
      <c r="B542" s="1103"/>
      <c r="C542" s="1114"/>
      <c r="D542" s="1103"/>
      <c r="H542" s="1103">
        <v>7</v>
      </c>
      <c r="I542" s="1114">
        <f t="shared" si="56"/>
        <v>1315.1827187079407</v>
      </c>
      <c r="J542" s="1103">
        <f t="shared" si="57"/>
        <v>4.1083445491251682</v>
      </c>
      <c r="K542" s="1115">
        <f t="shared" si="58"/>
        <v>1319.2910632570658</v>
      </c>
      <c r="M542" s="1114"/>
      <c r="N542" s="1103"/>
      <c r="O542" s="1103"/>
      <c r="P542" s="1114"/>
      <c r="Q542" s="1103"/>
      <c r="R542" s="1114"/>
      <c r="S542" s="1105"/>
      <c r="U542" s="1103">
        <v>5</v>
      </c>
      <c r="V542" s="1114">
        <f t="shared" ref="V542:V547" si="59">X541</f>
        <v>1308.8319251790042</v>
      </c>
      <c r="W542" s="1103">
        <f t="shared" si="54"/>
        <v>4.1083445491251682</v>
      </c>
      <c r="X542" s="1115">
        <f t="shared" ref="X542:X547" si="60">V542+W542</f>
        <v>1312.9402697281294</v>
      </c>
      <c r="AA542" s="1103">
        <v>5</v>
      </c>
      <c r="AB542" s="1114">
        <f t="shared" ref="AB542:AB547" si="61">AD541</f>
        <v>1319.6814615181695</v>
      </c>
      <c r="AC542" s="1103">
        <f t="shared" si="55"/>
        <v>4.1083445491251682</v>
      </c>
      <c r="AD542" s="1115">
        <f t="shared" ref="AD542:AD547" si="62">AB542+AC542</f>
        <v>1323.7898060672946</v>
      </c>
      <c r="AE542" s="1114"/>
      <c r="AG542" s="1103"/>
    </row>
    <row r="543" spans="1:33" ht="24" customHeight="1">
      <c r="A543" s="1122"/>
      <c r="B543" s="1103"/>
      <c r="C543" s="1114"/>
      <c r="D543" s="1103"/>
      <c r="H543" s="1103">
        <v>8</v>
      </c>
      <c r="I543" s="1114">
        <f t="shared" si="56"/>
        <v>1319.2910632570658</v>
      </c>
      <c r="J543" s="1103">
        <f t="shared" si="57"/>
        <v>4.1083445491251682</v>
      </c>
      <c r="K543" s="1115">
        <f t="shared" si="58"/>
        <v>1323.399407806191</v>
      </c>
      <c r="M543" s="1114"/>
      <c r="N543" s="1103"/>
      <c r="O543" s="1103"/>
      <c r="P543" s="1114"/>
      <c r="Q543" s="1103"/>
      <c r="R543" s="1114"/>
      <c r="S543" s="1105"/>
      <c r="U543" s="1103">
        <v>6</v>
      </c>
      <c r="V543" s="1114">
        <f t="shared" si="59"/>
        <v>1312.9402697281294</v>
      </c>
      <c r="W543" s="1103">
        <f t="shared" si="54"/>
        <v>4.1083445491251682</v>
      </c>
      <c r="X543" s="1115">
        <f t="shared" si="60"/>
        <v>1317.0486142772545</v>
      </c>
      <c r="AA543" s="1103">
        <v>6</v>
      </c>
      <c r="AB543" s="1114">
        <f t="shared" si="61"/>
        <v>1323.7898060672946</v>
      </c>
      <c r="AC543" s="1103">
        <f t="shared" si="55"/>
        <v>4.1083445491251682</v>
      </c>
      <c r="AD543" s="1115">
        <f t="shared" si="62"/>
        <v>1327.8981506164198</v>
      </c>
      <c r="AE543" s="1114"/>
      <c r="AG543" s="1103"/>
    </row>
    <row r="544" spans="1:33" ht="24" customHeight="1">
      <c r="A544" s="1122"/>
      <c r="B544" s="1103"/>
      <c r="C544" s="1114"/>
      <c r="D544" s="1103"/>
      <c r="H544" s="1103">
        <v>9</v>
      </c>
      <c r="I544" s="1114">
        <f t="shared" si="56"/>
        <v>1323.399407806191</v>
      </c>
      <c r="J544" s="1103">
        <f t="shared" si="57"/>
        <v>4.1083445491251682</v>
      </c>
      <c r="K544" s="1115">
        <f t="shared" si="58"/>
        <v>1327.5077523553161</v>
      </c>
      <c r="M544" s="1114"/>
      <c r="N544" s="1103"/>
      <c r="O544" s="1103"/>
      <c r="P544" s="1114"/>
      <c r="Q544" s="1103"/>
      <c r="R544" s="1114"/>
      <c r="S544" s="1105"/>
      <c r="U544" s="1103">
        <v>7</v>
      </c>
      <c r="V544" s="1114">
        <f t="shared" si="59"/>
        <v>1317.0486142772545</v>
      </c>
      <c r="W544" s="1103">
        <f t="shared" si="54"/>
        <v>4.1083445491251682</v>
      </c>
      <c r="X544" s="1115">
        <f t="shared" si="60"/>
        <v>1321.1569588263797</v>
      </c>
      <c r="AA544" s="1103">
        <v>7</v>
      </c>
      <c r="AB544" s="1114">
        <f t="shared" si="61"/>
        <v>1327.8981506164198</v>
      </c>
      <c r="AC544" s="1103">
        <f t="shared" si="55"/>
        <v>4.1083445491251682</v>
      </c>
      <c r="AD544" s="1115">
        <f t="shared" si="62"/>
        <v>1332.0064951655449</v>
      </c>
      <c r="AE544" s="1114"/>
      <c r="AG544" s="1103"/>
    </row>
    <row r="545" spans="1:33" ht="24" customHeight="1">
      <c r="A545" s="1122"/>
      <c r="B545" s="1103"/>
      <c r="C545" s="1114"/>
      <c r="D545" s="1103"/>
      <c r="H545" s="1103">
        <v>10</v>
      </c>
      <c r="I545" s="1114">
        <f t="shared" si="56"/>
        <v>1327.5077523553161</v>
      </c>
      <c r="J545" s="1103">
        <f t="shared" si="57"/>
        <v>4.1083445491251682</v>
      </c>
      <c r="K545" s="1115">
        <f t="shared" si="58"/>
        <v>1331.6160969044413</v>
      </c>
      <c r="M545" s="1114"/>
      <c r="N545" s="1103"/>
      <c r="O545" s="1103"/>
      <c r="P545" s="1114"/>
      <c r="Q545" s="1103"/>
      <c r="R545" s="1114"/>
      <c r="S545" s="1105"/>
      <c r="U545" s="1103">
        <v>8</v>
      </c>
      <c r="V545" s="1114">
        <f t="shared" si="59"/>
        <v>1321.1569588263797</v>
      </c>
      <c r="W545" s="1103">
        <f t="shared" si="54"/>
        <v>4.1083445491251682</v>
      </c>
      <c r="X545" s="1115">
        <f t="shared" si="60"/>
        <v>1325.2653033755048</v>
      </c>
      <c r="AA545" s="1103">
        <v>8</v>
      </c>
      <c r="AB545" s="1114">
        <f t="shared" si="61"/>
        <v>1332.0064951655449</v>
      </c>
      <c r="AC545" s="1103">
        <f t="shared" si="55"/>
        <v>4.1083445491251682</v>
      </c>
      <c r="AD545" s="1115">
        <f t="shared" si="62"/>
        <v>1336.1148397146701</v>
      </c>
      <c r="AE545" s="1114"/>
      <c r="AG545" s="1103"/>
    </row>
    <row r="546" spans="1:33" ht="24" customHeight="1">
      <c r="A546" s="1122"/>
      <c r="B546" s="1103"/>
      <c r="C546" s="1114"/>
      <c r="D546" s="1103"/>
      <c r="H546" s="1103">
        <v>11</v>
      </c>
      <c r="I546" s="1114">
        <f>K545</f>
        <v>1331.6160969044413</v>
      </c>
      <c r="J546" s="1103">
        <f t="shared" si="57"/>
        <v>4.1083445491251682</v>
      </c>
      <c r="K546" s="1115">
        <f>I546+J546</f>
        <v>1335.7244414535664</v>
      </c>
      <c r="M546" s="1114"/>
      <c r="N546" s="1103"/>
      <c r="O546" s="1103"/>
      <c r="P546" s="1114"/>
      <c r="Q546" s="1103"/>
      <c r="R546" s="1114"/>
      <c r="S546" s="1105"/>
      <c r="U546" s="1103">
        <v>9</v>
      </c>
      <c r="V546" s="1114">
        <f t="shared" si="59"/>
        <v>1325.2653033755048</v>
      </c>
      <c r="W546" s="1103">
        <f t="shared" si="54"/>
        <v>4.1083445491251682</v>
      </c>
      <c r="X546" s="1115">
        <f t="shared" si="60"/>
        <v>1329.3736479246299</v>
      </c>
      <c r="AA546" s="1103">
        <v>9</v>
      </c>
      <c r="AB546" s="1114">
        <f t="shared" si="61"/>
        <v>1336.1148397146701</v>
      </c>
      <c r="AC546" s="1103">
        <f t="shared" si="55"/>
        <v>4.1083445491251682</v>
      </c>
      <c r="AD546" s="1115">
        <f t="shared" si="62"/>
        <v>1340.2231842637952</v>
      </c>
      <c r="AE546" s="1114"/>
      <c r="AG546" s="1103"/>
    </row>
    <row r="547" spans="1:33" ht="24" customHeight="1">
      <c r="A547" s="1122"/>
      <c r="B547" s="1103"/>
      <c r="C547" s="1114"/>
      <c r="D547" s="1103"/>
      <c r="H547" s="1103">
        <v>12</v>
      </c>
      <c r="I547" s="1114">
        <f>K546</f>
        <v>1335.7244414535664</v>
      </c>
      <c r="J547" s="1103">
        <f t="shared" si="57"/>
        <v>4.1083445491251682</v>
      </c>
      <c r="K547" s="1115">
        <f>I547+J547</f>
        <v>1339.8327860026916</v>
      </c>
      <c r="M547" s="1114"/>
      <c r="N547" s="1103"/>
      <c r="O547" s="1103"/>
      <c r="P547" s="1114"/>
      <c r="Q547" s="1103"/>
      <c r="R547" s="1114"/>
      <c r="S547" s="1105"/>
      <c r="U547" s="1103">
        <v>10</v>
      </c>
      <c r="V547" s="1114">
        <f t="shared" si="59"/>
        <v>1329.3736479246299</v>
      </c>
      <c r="W547" s="1103">
        <f t="shared" si="54"/>
        <v>4.1083445491251682</v>
      </c>
      <c r="X547" s="1115">
        <f t="shared" si="60"/>
        <v>1333.4819924737551</v>
      </c>
      <c r="AA547" s="1103">
        <v>10</v>
      </c>
      <c r="AB547" s="1114">
        <f t="shared" si="61"/>
        <v>1340.2231842637952</v>
      </c>
      <c r="AC547" s="1103">
        <f t="shared" si="55"/>
        <v>4.1083445491251682</v>
      </c>
      <c r="AD547" s="1115">
        <f t="shared" si="62"/>
        <v>1344.3315288129204</v>
      </c>
      <c r="AE547" s="1114"/>
      <c r="AG547" s="1103"/>
    </row>
    <row r="548" spans="1:33" ht="24" customHeight="1">
      <c r="A548" s="1122">
        <f>(A539+1)</f>
        <v>365</v>
      </c>
      <c r="B548" s="1103" t="s">
        <v>3364</v>
      </c>
      <c r="C548" s="1114">
        <v>16.399999999999999</v>
      </c>
      <c r="D548" s="1103" t="s">
        <v>2838</v>
      </c>
      <c r="F548" s="1104" t="s">
        <v>39</v>
      </c>
      <c r="G548" s="1114" t="s">
        <v>1363</v>
      </c>
      <c r="H548" s="1103" t="s">
        <v>3500</v>
      </c>
      <c r="M548" s="1114">
        <v>8</v>
      </c>
      <c r="N548" s="1103" t="s">
        <v>2838</v>
      </c>
      <c r="O548" s="1103" t="s">
        <v>3408</v>
      </c>
      <c r="P548" s="1114">
        <f>(C52)</f>
        <v>24.2</v>
      </c>
      <c r="Q548" s="1103" t="s">
        <v>2838</v>
      </c>
      <c r="R548" s="1114">
        <f>(M548*P548)</f>
        <v>193.6</v>
      </c>
      <c r="S548" s="1105"/>
      <c r="U548" s="1103">
        <v>11</v>
      </c>
      <c r="V548" s="1114">
        <f>X547</f>
        <v>1333.4819924737551</v>
      </c>
      <c r="W548" s="1103">
        <f t="shared" si="54"/>
        <v>0</v>
      </c>
      <c r="X548" s="1115">
        <f>V548+W548</f>
        <v>1333.4819924737551</v>
      </c>
      <c r="AA548" s="1103">
        <v>11</v>
      </c>
      <c r="AB548" s="1114">
        <f>AD547</f>
        <v>1344.3315288129204</v>
      </c>
      <c r="AC548" s="1103">
        <f t="shared" si="55"/>
        <v>0</v>
      </c>
      <c r="AD548" s="1115">
        <f>AB548+AC548</f>
        <v>1344.3315288129204</v>
      </c>
      <c r="AE548" s="1114" t="str">
        <f t="shared" si="53"/>
        <v>|</v>
      </c>
      <c r="AG548" s="1103" t="s">
        <v>3430</v>
      </c>
    </row>
    <row r="549" spans="1:33" ht="45.75" customHeight="1">
      <c r="A549" s="1122">
        <f t="shared" si="49"/>
        <v>366</v>
      </c>
      <c r="B549" s="1103" t="s">
        <v>3365</v>
      </c>
      <c r="C549" s="1114">
        <v>27.4</v>
      </c>
      <c r="D549" s="1103" t="s">
        <v>2838</v>
      </c>
      <c r="H549" s="1111" t="s">
        <v>36</v>
      </c>
      <c r="M549" s="1114">
        <v>3</v>
      </c>
      <c r="N549" s="1103" t="s">
        <v>2838</v>
      </c>
      <c r="O549" s="1103" t="s">
        <v>3467</v>
      </c>
      <c r="P549" s="1114">
        <f>(C41)</f>
        <v>637</v>
      </c>
      <c r="Q549" s="1103" t="s">
        <v>2838</v>
      </c>
      <c r="R549" s="1114">
        <f>(M549*P549)</f>
        <v>1911</v>
      </c>
      <c r="S549" s="1105"/>
      <c r="U549" s="1103">
        <v>12</v>
      </c>
      <c r="V549" s="1114">
        <f>X548</f>
        <v>1333.4819924737551</v>
      </c>
      <c r="W549" s="1103">
        <f t="shared" si="54"/>
        <v>0</v>
      </c>
      <c r="X549" s="1115">
        <f>V549+W549</f>
        <v>1333.4819924737551</v>
      </c>
      <c r="AA549" s="1103">
        <v>12</v>
      </c>
      <c r="AB549" s="1114">
        <f>AD548</f>
        <v>1344.3315288129204</v>
      </c>
      <c r="AC549" s="1103">
        <f t="shared" si="55"/>
        <v>0</v>
      </c>
      <c r="AD549" s="1115">
        <f>AB549+AC549</f>
        <v>1344.3315288129204</v>
      </c>
      <c r="AE549" s="1114" t="str">
        <f t="shared" si="53"/>
        <v>|</v>
      </c>
      <c r="AG549" s="1103" t="s">
        <v>3430</v>
      </c>
    </row>
    <row r="550" spans="1:33" ht="52.5" customHeight="1">
      <c r="A550" s="1122">
        <f t="shared" si="49"/>
        <v>367</v>
      </c>
      <c r="B550" s="1103" t="s">
        <v>3309</v>
      </c>
      <c r="C550" s="1114">
        <v>41.2</v>
      </c>
      <c r="D550" s="1103" t="s">
        <v>2838</v>
      </c>
      <c r="F550" s="1114">
        <v>0.03</v>
      </c>
      <c r="G550" s="1114" t="s">
        <v>2839</v>
      </c>
      <c r="H550" s="1103" t="s">
        <v>3493</v>
      </c>
      <c r="I550" s="1114">
        <f>(K513)</f>
        <v>7021.0839999999989</v>
      </c>
      <c r="J550" s="1103" t="s">
        <v>2839</v>
      </c>
      <c r="K550" s="1114">
        <f>(F550*I550)</f>
        <v>210.63251999999997</v>
      </c>
      <c r="M550" s="1114">
        <v>1</v>
      </c>
      <c r="N550" s="1103" t="s">
        <v>2838</v>
      </c>
      <c r="O550" s="1103" t="s">
        <v>3468</v>
      </c>
      <c r="P550" s="1114">
        <f>(C10)</f>
        <v>861</v>
      </c>
      <c r="Q550" s="1103" t="s">
        <v>2838</v>
      </c>
      <c r="R550" s="1114">
        <f>(M550*P550)</f>
        <v>861</v>
      </c>
      <c r="S550" s="1104" t="s">
        <v>39</v>
      </c>
      <c r="T550" s="1114" t="s">
        <v>1363</v>
      </c>
      <c r="U550" s="1129" t="s">
        <v>3501</v>
      </c>
      <c r="W550" s="1103"/>
      <c r="Y550" s="1104" t="s">
        <v>39</v>
      </c>
      <c r="Z550" s="1114" t="s">
        <v>1363</v>
      </c>
      <c r="AA550" s="1498" t="s">
        <v>3501</v>
      </c>
      <c r="AB550" s="1498"/>
      <c r="AC550" s="1103"/>
      <c r="AE550" s="1114" t="str">
        <f t="shared" si="53"/>
        <v>|</v>
      </c>
      <c r="AG550" s="1103" t="s">
        <v>3430</v>
      </c>
    </row>
    <row r="551" spans="1:33" ht="24" customHeight="1">
      <c r="A551" s="1122">
        <f t="shared" si="49"/>
        <v>368</v>
      </c>
      <c r="B551" s="1103" t="s">
        <v>3502</v>
      </c>
      <c r="D551" s="1103" t="s">
        <v>220</v>
      </c>
      <c r="F551" s="1114">
        <v>0.5</v>
      </c>
      <c r="G551" s="1114" t="s">
        <v>2941</v>
      </c>
      <c r="H551" s="1103" t="s">
        <v>3051</v>
      </c>
      <c r="I551" s="1114">
        <f>(C10)</f>
        <v>861</v>
      </c>
      <c r="J551" s="1103" t="s">
        <v>2941</v>
      </c>
      <c r="K551" s="1114">
        <f>(F551*I551)</f>
        <v>430.5</v>
      </c>
      <c r="M551" s="1114">
        <v>2</v>
      </c>
      <c r="N551" s="1103" t="s">
        <v>2838</v>
      </c>
      <c r="O551" s="1103" t="s">
        <v>3020</v>
      </c>
      <c r="P551" s="1114">
        <f>(C12)</f>
        <v>562</v>
      </c>
      <c r="Q551" s="1103" t="s">
        <v>2838</v>
      </c>
      <c r="R551" s="1114">
        <f>(M551*P551)</f>
        <v>1124</v>
      </c>
      <c r="S551" s="1105"/>
      <c r="U551" s="1111" t="s">
        <v>36</v>
      </c>
      <c r="W551" s="1107"/>
      <c r="AA551" s="1111" t="s">
        <v>36</v>
      </c>
      <c r="AC551" s="1107"/>
      <c r="AE551" s="1114" t="str">
        <f t="shared" si="53"/>
        <v>|</v>
      </c>
      <c r="AG551" s="1103" t="s">
        <v>3430</v>
      </c>
    </row>
    <row r="552" spans="1:33" ht="24" customHeight="1">
      <c r="A552" s="1122">
        <f t="shared" si="49"/>
        <v>369</v>
      </c>
      <c r="B552" s="1103" t="s">
        <v>3465</v>
      </c>
      <c r="C552" s="1114">
        <v>4.75</v>
      </c>
      <c r="D552" s="1103" t="s">
        <v>2838</v>
      </c>
      <c r="F552" s="1114">
        <v>0.75</v>
      </c>
      <c r="G552" s="1114" t="s">
        <v>2941</v>
      </c>
      <c r="H552" s="1103" t="s">
        <v>3020</v>
      </c>
      <c r="I552" s="1114">
        <f>(C12)</f>
        <v>562</v>
      </c>
      <c r="J552" s="1103" t="s">
        <v>2941</v>
      </c>
      <c r="K552" s="1114">
        <f>(F552*I552)</f>
        <v>421.5</v>
      </c>
      <c r="M552" s="1114">
        <v>1</v>
      </c>
      <c r="N552" s="1103" t="s">
        <v>2838</v>
      </c>
      <c r="O552" s="1103" t="s">
        <v>3026</v>
      </c>
      <c r="P552" s="1114">
        <f>(C13)</f>
        <v>461</v>
      </c>
      <c r="Q552" s="1103" t="s">
        <v>2838</v>
      </c>
      <c r="R552" s="1114">
        <f>(M552*P552)</f>
        <v>461</v>
      </c>
      <c r="S552" s="1114">
        <v>0.03</v>
      </c>
      <c r="T552" s="1114" t="s">
        <v>2839</v>
      </c>
      <c r="U552" s="1103" t="s">
        <v>3503</v>
      </c>
      <c r="V552" s="1114">
        <f>V528</f>
        <v>7113.5080271999996</v>
      </c>
      <c r="W552" s="1103" t="s">
        <v>2839</v>
      </c>
      <c r="X552" s="1114">
        <f>(S552*V552)</f>
        <v>213.40524081599997</v>
      </c>
      <c r="Y552" s="1114">
        <v>0.03</v>
      </c>
      <c r="Z552" s="1114" t="s">
        <v>2839</v>
      </c>
      <c r="AA552" s="1103" t="s">
        <v>3503</v>
      </c>
      <c r="AB552" s="1114">
        <f>AB528</f>
        <v>7650.9217271999996</v>
      </c>
      <c r="AC552" s="1103" t="s">
        <v>2839</v>
      </c>
      <c r="AD552" s="1114">
        <f>(Y552*AB552)</f>
        <v>229.52765181599997</v>
      </c>
      <c r="AE552" s="1114" t="str">
        <f t="shared" si="53"/>
        <v>|</v>
      </c>
      <c r="AG552" s="1103" t="s">
        <v>3430</v>
      </c>
    </row>
    <row r="553" spans="1:33" ht="24" customHeight="1">
      <c r="A553" s="1122">
        <f t="shared" si="49"/>
        <v>370</v>
      </c>
      <c r="B553" s="1103" t="s">
        <v>3457</v>
      </c>
      <c r="C553" s="1114">
        <v>6.89</v>
      </c>
      <c r="D553" s="1103" t="s">
        <v>2838</v>
      </c>
      <c r="E553" s="1148">
        <f>0.03/40*75</f>
        <v>5.6250000000000001E-2</v>
      </c>
      <c r="G553" s="1114" t="s">
        <v>2851</v>
      </c>
      <c r="H553" s="1103" t="s">
        <v>2852</v>
      </c>
      <c r="J553" s="1103" t="s">
        <v>2851</v>
      </c>
      <c r="K553" s="1114">
        <v>0</v>
      </c>
      <c r="N553" s="1103" t="s">
        <v>2851</v>
      </c>
      <c r="O553" s="1103" t="s">
        <v>3470</v>
      </c>
      <c r="P553" s="1103" t="s">
        <v>220</v>
      </c>
      <c r="Q553" s="1103" t="s">
        <v>2851</v>
      </c>
      <c r="R553" s="1114">
        <f>(C56)</f>
        <v>12.1</v>
      </c>
      <c r="S553" s="1114">
        <v>0.5</v>
      </c>
      <c r="T553" s="1114" t="s">
        <v>2941</v>
      </c>
      <c r="U553" s="1103" t="s">
        <v>3051</v>
      </c>
      <c r="V553" s="1114">
        <f>V529</f>
        <v>861</v>
      </c>
      <c r="W553" s="1103" t="s">
        <v>2941</v>
      </c>
      <c r="X553" s="1114">
        <f>(S553*V553)</f>
        <v>430.5</v>
      </c>
      <c r="Y553" s="1114">
        <v>0.5</v>
      </c>
      <c r="Z553" s="1114" t="s">
        <v>2941</v>
      </c>
      <c r="AA553" s="1103" t="s">
        <v>3051</v>
      </c>
      <c r="AB553" s="1114">
        <f>AB529</f>
        <v>861</v>
      </c>
      <c r="AC553" s="1103" t="s">
        <v>2941</v>
      </c>
      <c r="AD553" s="1114">
        <f>(Y553*AB553)</f>
        <v>430.5</v>
      </c>
      <c r="AE553" s="1114" t="str">
        <f t="shared" si="53"/>
        <v>|</v>
      </c>
      <c r="AG553" s="1103" t="s">
        <v>3430</v>
      </c>
    </row>
    <row r="554" spans="1:33" ht="24" customHeight="1">
      <c r="A554" s="1122">
        <f t="shared" si="49"/>
        <v>371</v>
      </c>
      <c r="B554" s="1103" t="s">
        <v>3469</v>
      </c>
      <c r="C554" s="1114">
        <v>6.18</v>
      </c>
      <c r="D554" s="1103" t="s">
        <v>2838</v>
      </c>
      <c r="K554" s="1111" t="s">
        <v>36</v>
      </c>
      <c r="O554" s="1103" t="s">
        <v>3472</v>
      </c>
      <c r="P554" s="1103" t="s">
        <v>220</v>
      </c>
      <c r="R554" s="1103" t="s">
        <v>220</v>
      </c>
      <c r="S554" s="1114">
        <v>0.75</v>
      </c>
      <c r="T554" s="1114" t="s">
        <v>2941</v>
      </c>
      <c r="U554" s="1103" t="s">
        <v>3020</v>
      </c>
      <c r="V554" s="1114">
        <f>V530</f>
        <v>562</v>
      </c>
      <c r="W554" s="1103" t="s">
        <v>2941</v>
      </c>
      <c r="X554" s="1114">
        <f>(S554*V554)</f>
        <v>421.5</v>
      </c>
      <c r="Y554" s="1114">
        <v>0.75</v>
      </c>
      <c r="Z554" s="1114" t="s">
        <v>2941</v>
      </c>
      <c r="AA554" s="1103" t="s">
        <v>3020</v>
      </c>
      <c r="AB554" s="1114">
        <f>AB530</f>
        <v>562</v>
      </c>
      <c r="AC554" s="1103" t="s">
        <v>2941</v>
      </c>
      <c r="AD554" s="1114">
        <f>(Y554*AB554)</f>
        <v>421.5</v>
      </c>
      <c r="AE554" s="1114" t="str">
        <f t="shared" si="53"/>
        <v>|</v>
      </c>
      <c r="AG554" s="1103" t="s">
        <v>3430</v>
      </c>
    </row>
    <row r="555" spans="1:33" ht="24" customHeight="1">
      <c r="A555" s="1122">
        <f t="shared" si="49"/>
        <v>372</v>
      </c>
      <c r="B555" s="1103" t="s">
        <v>3504</v>
      </c>
      <c r="C555" s="1114">
        <v>13.29</v>
      </c>
      <c r="D555" s="1103" t="s">
        <v>2838</v>
      </c>
      <c r="H555" s="1103" t="s">
        <v>3497</v>
      </c>
      <c r="K555" s="1114">
        <f>SUM(K550:K553)</f>
        <v>1062.6325200000001</v>
      </c>
      <c r="N555" s="1103" t="s">
        <v>2851</v>
      </c>
      <c r="O555" s="1103" t="s">
        <v>2852</v>
      </c>
      <c r="Q555" s="1103" t="s">
        <v>2851</v>
      </c>
      <c r="R555" s="1114">
        <v>0</v>
      </c>
      <c r="S555" s="1105"/>
      <c r="T555" s="1114" t="s">
        <v>2851</v>
      </c>
      <c r="U555" s="1103" t="s">
        <v>2852</v>
      </c>
      <c r="V555" s="1114">
        <f>V531</f>
        <v>0</v>
      </c>
      <c r="W555" s="1103" t="s">
        <v>2851</v>
      </c>
      <c r="X555" s="1114">
        <v>0</v>
      </c>
      <c r="Z555" s="1114" t="s">
        <v>2851</v>
      </c>
      <c r="AA555" s="1103" t="s">
        <v>2852</v>
      </c>
      <c r="AB555" s="1114">
        <f>AB531</f>
        <v>0</v>
      </c>
      <c r="AC555" s="1103" t="s">
        <v>2851</v>
      </c>
      <c r="AD555" s="1114">
        <v>0</v>
      </c>
      <c r="AE555" s="1114" t="str">
        <f t="shared" si="53"/>
        <v>|</v>
      </c>
      <c r="AG555" s="1103" t="s">
        <v>3430</v>
      </c>
    </row>
    <row r="556" spans="1:33" ht="24" customHeight="1">
      <c r="A556" s="1122">
        <f t="shared" si="49"/>
        <v>373</v>
      </c>
      <c r="B556" s="1103" t="s">
        <v>3505</v>
      </c>
      <c r="C556" s="1114">
        <v>14.11</v>
      </c>
      <c r="D556" s="1103" t="s">
        <v>2838</v>
      </c>
      <c r="K556" s="1111" t="s">
        <v>36</v>
      </c>
      <c r="R556" s="1111" t="s">
        <v>36</v>
      </c>
      <c r="S556" s="1105"/>
      <c r="W556" s="1107"/>
      <c r="X556" s="1111" t="s">
        <v>36</v>
      </c>
      <c r="AC556" s="1107"/>
      <c r="AD556" s="1111" t="s">
        <v>36</v>
      </c>
      <c r="AE556" s="1114" t="str">
        <f t="shared" si="53"/>
        <v>|</v>
      </c>
      <c r="AG556" s="1103" t="s">
        <v>3430</v>
      </c>
    </row>
    <row r="557" spans="1:33" ht="24" customHeight="1">
      <c r="A557" s="1122">
        <f t="shared" si="49"/>
        <v>374</v>
      </c>
      <c r="B557" s="1103" t="s">
        <v>3506</v>
      </c>
      <c r="C557" s="1114">
        <v>14.69</v>
      </c>
      <c r="D557" s="1103" t="s">
        <v>2838</v>
      </c>
      <c r="H557" s="1103" t="s">
        <v>3154</v>
      </c>
      <c r="K557" s="1114">
        <f>(K555/0.743)</f>
        <v>1430.1918169582775</v>
      </c>
      <c r="O557" s="1103" t="s">
        <v>3473</v>
      </c>
      <c r="R557" s="1114">
        <f>SUM(R537:R555)</f>
        <v>4790.3</v>
      </c>
      <c r="S557" s="1105"/>
      <c r="U557" s="1103" t="s">
        <v>3497</v>
      </c>
      <c r="W557" s="1107"/>
      <c r="X557" s="1114">
        <f>SUM(X552:X555)</f>
        <v>1065.4052408160001</v>
      </c>
      <c r="AA557" s="1103" t="s">
        <v>3497</v>
      </c>
      <c r="AC557" s="1107"/>
      <c r="AD557" s="1114">
        <f>SUM(AD552:AD555)</f>
        <v>1081.5276518159999</v>
      </c>
      <c r="AE557" s="1114" t="str">
        <f t="shared" si="53"/>
        <v>|</v>
      </c>
      <c r="AG557" s="1103" t="s">
        <v>3430</v>
      </c>
    </row>
    <row r="558" spans="1:33" ht="24" customHeight="1">
      <c r="A558" s="1122">
        <f t="shared" si="49"/>
        <v>375</v>
      </c>
      <c r="B558" s="1106" t="s">
        <v>3507</v>
      </c>
      <c r="D558" s="1103" t="s">
        <v>220</v>
      </c>
      <c r="K558" s="1111" t="s">
        <v>2793</v>
      </c>
      <c r="R558" s="1111" t="s">
        <v>36</v>
      </c>
      <c r="S558" s="1105"/>
      <c r="W558" s="1107"/>
      <c r="X558" s="1111" t="s">
        <v>36</v>
      </c>
      <c r="AC558" s="1107"/>
      <c r="AD558" s="1111" t="s">
        <v>36</v>
      </c>
      <c r="AE558" s="1114" t="str">
        <f t="shared" si="53"/>
        <v>|</v>
      </c>
      <c r="AG558" s="1103" t="s">
        <v>3430</v>
      </c>
    </row>
    <row r="559" spans="1:33" ht="24" customHeight="1">
      <c r="A559" s="1122">
        <f t="shared" si="49"/>
        <v>376</v>
      </c>
      <c r="B559" s="1103" t="s">
        <v>3465</v>
      </c>
      <c r="C559" s="1114">
        <v>8.1</v>
      </c>
      <c r="D559" s="1103" t="s">
        <v>2838</v>
      </c>
      <c r="H559" s="1103" t="s">
        <v>3062</v>
      </c>
      <c r="I559" s="1114">
        <f>K557</f>
        <v>1430.1918169582775</v>
      </c>
      <c r="J559" s="1103">
        <f>C22*0.03/0.743</f>
        <v>4.1709286675639294</v>
      </c>
      <c r="K559" s="1115">
        <f>I559+J559</f>
        <v>1434.3627456258414</v>
      </c>
      <c r="M559" s="1105">
        <f>0.47*38.5</f>
        <v>18.094999999999999</v>
      </c>
      <c r="O559" s="1103" t="s">
        <v>3413</v>
      </c>
      <c r="R559" s="1114">
        <f>(R557/30)</f>
        <v>159.67666666666668</v>
      </c>
      <c r="S559" s="1105"/>
      <c r="U559" s="1103" t="s">
        <v>3508</v>
      </c>
      <c r="W559" s="1107"/>
      <c r="X559" s="1115">
        <f>(X557/0.743)</f>
        <v>1433.9236080969044</v>
      </c>
      <c r="AA559" s="1103" t="s">
        <v>3508</v>
      </c>
      <c r="AC559" s="1107"/>
      <c r="AD559" s="1115">
        <f>(AD557/0.743)</f>
        <v>1455.6226807752355</v>
      </c>
      <c r="AE559" s="1114" t="str">
        <f t="shared" si="53"/>
        <v>|</v>
      </c>
      <c r="AG559" s="1103" t="s">
        <v>3430</v>
      </c>
    </row>
    <row r="560" spans="1:33" ht="24" customHeight="1">
      <c r="A560" s="1122">
        <f t="shared" si="49"/>
        <v>377</v>
      </c>
      <c r="B560" s="1103" t="s">
        <v>3457</v>
      </c>
      <c r="C560" s="1114">
        <v>19.05</v>
      </c>
      <c r="D560" s="1103" t="s">
        <v>2838</v>
      </c>
      <c r="H560" s="1103" t="s">
        <v>3066</v>
      </c>
      <c r="I560" s="1114">
        <f>K559</f>
        <v>1434.3627456258414</v>
      </c>
      <c r="J560" s="1103">
        <f>C23*0.03/0.743</f>
        <v>8.2166890982503364</v>
      </c>
      <c r="K560" s="1115">
        <f>I560+J560</f>
        <v>1442.5794347240917</v>
      </c>
      <c r="M560" s="1105">
        <f>0.24*546</f>
        <v>131.04</v>
      </c>
      <c r="R560" s="1111" t="s">
        <v>36</v>
      </c>
      <c r="S560" s="1105"/>
      <c r="W560" s="1107"/>
      <c r="X560" s="1111" t="s">
        <v>2793</v>
      </c>
      <c r="AC560" s="1107"/>
      <c r="AD560" s="1111" t="s">
        <v>2793</v>
      </c>
      <c r="AE560" s="1114" t="str">
        <f t="shared" si="53"/>
        <v>|</v>
      </c>
      <c r="AG560" s="1103" t="s">
        <v>3430</v>
      </c>
    </row>
    <row r="561" spans="1:33" ht="24" customHeight="1">
      <c r="A561" s="1122">
        <f t="shared" si="49"/>
        <v>378</v>
      </c>
      <c r="B561" s="1103" t="s">
        <v>3469</v>
      </c>
      <c r="C561" s="1114">
        <v>9.5</v>
      </c>
      <c r="D561" s="1103" t="s">
        <v>2838</v>
      </c>
      <c r="H561" s="1103" t="s">
        <v>3069</v>
      </c>
      <c r="I561" s="1114">
        <f>K560</f>
        <v>1442.5794347240917</v>
      </c>
      <c r="J561" s="1103">
        <f>J560</f>
        <v>8.2166890982503364</v>
      </c>
      <c r="K561" s="1115">
        <f>I561+J561</f>
        <v>1450.796123822342</v>
      </c>
      <c r="M561" s="1105">
        <f>0.24*143.6</f>
        <v>34.463999999999999</v>
      </c>
      <c r="N561" s="1103" t="s">
        <v>1363</v>
      </c>
      <c r="O561" s="1103" t="s">
        <v>3388</v>
      </c>
      <c r="S561" s="1105"/>
      <c r="U561" s="1103" t="s">
        <v>3062</v>
      </c>
      <c r="V561" s="1114">
        <f>X559</f>
        <v>1433.9236080969044</v>
      </c>
      <c r="W561" s="1103">
        <f>J559</f>
        <v>4.1709286675639294</v>
      </c>
      <c r="X561" s="1115">
        <f>V561+W561</f>
        <v>1438.0945367644683</v>
      </c>
      <c r="AA561" s="1103" t="s">
        <v>3062</v>
      </c>
      <c r="AB561" s="1114">
        <f>AD559</f>
        <v>1455.6226807752355</v>
      </c>
      <c r="AC561" s="1103">
        <f t="shared" ref="AC561:AC566" si="63">W561</f>
        <v>4.1709286675639294</v>
      </c>
      <c r="AD561" s="1115">
        <f t="shared" ref="AD561:AD566" si="64">AB561+AC561</f>
        <v>1459.7936094427994</v>
      </c>
      <c r="AE561" s="1114" t="str">
        <f t="shared" si="53"/>
        <v>|</v>
      </c>
      <c r="AG561" s="1103" t="s">
        <v>3430</v>
      </c>
    </row>
    <row r="562" spans="1:33" ht="24" customHeight="1">
      <c r="A562" s="1122">
        <f t="shared" si="49"/>
        <v>379</v>
      </c>
      <c r="B562" s="1103" t="s">
        <v>3509</v>
      </c>
      <c r="C562" s="1114">
        <v>13.6</v>
      </c>
      <c r="D562" s="1103" t="s">
        <v>2838</v>
      </c>
      <c r="H562" s="1103" t="s">
        <v>3071</v>
      </c>
      <c r="I562" s="1114">
        <f>K561</f>
        <v>1450.796123822342</v>
      </c>
      <c r="J562" s="1103">
        <f>J561</f>
        <v>8.2166890982503364</v>
      </c>
      <c r="K562" s="1115">
        <f>I562+J562</f>
        <v>1459.0128129205923</v>
      </c>
      <c r="M562" s="1105">
        <f>0.79*328.9</f>
        <v>259.83100000000002</v>
      </c>
      <c r="O562" s="1103" t="s">
        <v>3510</v>
      </c>
      <c r="S562" s="1105"/>
      <c r="U562" s="1103" t="s">
        <v>3066</v>
      </c>
      <c r="V562" s="1114">
        <f>X561</f>
        <v>1438.0945367644683</v>
      </c>
      <c r="W562" s="1103">
        <f>J560</f>
        <v>8.2166890982503364</v>
      </c>
      <c r="X562" s="1115">
        <f>V562+W562</f>
        <v>1446.3112258627186</v>
      </c>
      <c r="AA562" s="1103" t="s">
        <v>3066</v>
      </c>
      <c r="AB562" s="1114">
        <f>AD561</f>
        <v>1459.7936094427994</v>
      </c>
      <c r="AC562" s="1103">
        <f t="shared" si="63"/>
        <v>8.2166890982503364</v>
      </c>
      <c r="AD562" s="1115">
        <f t="shared" si="64"/>
        <v>1468.0102985410497</v>
      </c>
      <c r="AE562" s="1114" t="str">
        <f t="shared" si="53"/>
        <v>|</v>
      </c>
      <c r="AG562" s="1103" t="s">
        <v>3430</v>
      </c>
    </row>
    <row r="563" spans="1:33" ht="24" customHeight="1">
      <c r="F563" s="1103" t="s">
        <v>220</v>
      </c>
      <c r="H563" s="1103" t="s">
        <v>3066</v>
      </c>
      <c r="I563" s="1114">
        <f>K562</f>
        <v>1459.0128129205923</v>
      </c>
      <c r="J563" s="1103">
        <f>J562</f>
        <v>8.2166890982503364</v>
      </c>
      <c r="K563" s="1115">
        <f>I563+J563</f>
        <v>1467.2295020188426</v>
      </c>
      <c r="M563" s="1105">
        <f>SUM(M559:M562)</f>
        <v>443.43</v>
      </c>
      <c r="S563" s="1105"/>
      <c r="U563" s="1103" t="s">
        <v>3069</v>
      </c>
      <c r="V563" s="1114">
        <f>X562</f>
        <v>1446.3112258627186</v>
      </c>
      <c r="W563" s="1103">
        <f>J561</f>
        <v>8.2166890982503364</v>
      </c>
      <c r="X563" s="1115">
        <f>V563+W563</f>
        <v>1454.5279149609689</v>
      </c>
      <c r="AA563" s="1103" t="s">
        <v>3069</v>
      </c>
      <c r="AB563" s="1114">
        <f>AD562</f>
        <v>1468.0102985410497</v>
      </c>
      <c r="AC563" s="1103">
        <f t="shared" si="63"/>
        <v>8.2166890982503364</v>
      </c>
      <c r="AD563" s="1115">
        <f t="shared" si="64"/>
        <v>1476.2269876393</v>
      </c>
      <c r="AE563" s="1114" t="str">
        <f t="shared" si="53"/>
        <v>|</v>
      </c>
      <c r="AG563" s="1103" t="s">
        <v>3430</v>
      </c>
    </row>
    <row r="564" spans="1:33" ht="15.75">
      <c r="A564" s="1122">
        <f>(A562+1)</f>
        <v>380</v>
      </c>
      <c r="B564" s="1103" t="s">
        <v>3505</v>
      </c>
      <c r="C564" s="1114">
        <v>38.35</v>
      </c>
      <c r="D564" s="1103" t="s">
        <v>2838</v>
      </c>
      <c r="H564" s="1103">
        <v>5</v>
      </c>
      <c r="I564" s="1114">
        <f t="shared" ref="I564:I569" si="65">K563</f>
        <v>1467.2295020188426</v>
      </c>
      <c r="J564" s="1103">
        <f t="shared" ref="J564:J571" si="66">J563</f>
        <v>8.2166890982503364</v>
      </c>
      <c r="K564" s="1115">
        <f t="shared" ref="K564:K569" si="67">I564+J564</f>
        <v>1475.4461911170929</v>
      </c>
      <c r="S564" s="1105"/>
      <c r="U564" s="1103" t="s">
        <v>3071</v>
      </c>
      <c r="V564" s="1114">
        <f>X563</f>
        <v>1454.5279149609689</v>
      </c>
      <c r="W564" s="1103">
        <f>J562</f>
        <v>8.2166890982503364</v>
      </c>
      <c r="X564" s="1115">
        <f>V564+W564</f>
        <v>1462.7446040592192</v>
      </c>
      <c r="AA564" s="1103" t="s">
        <v>3071</v>
      </c>
      <c r="AB564" s="1114">
        <f>AD563</f>
        <v>1476.2269876393</v>
      </c>
      <c r="AC564" s="1103">
        <f t="shared" si="63"/>
        <v>8.2166890982503364</v>
      </c>
      <c r="AD564" s="1115">
        <f t="shared" si="64"/>
        <v>1484.4436767375503</v>
      </c>
      <c r="AE564" s="1114" t="str">
        <f t="shared" si="53"/>
        <v>|</v>
      </c>
      <c r="AG564" s="1103" t="s">
        <v>3430</v>
      </c>
    </row>
    <row r="565" spans="1:33" ht="15.75">
      <c r="A565" s="1122"/>
      <c r="B565" s="1103"/>
      <c r="C565" s="1114"/>
      <c r="D565" s="1103"/>
      <c r="H565" s="1103">
        <v>6</v>
      </c>
      <c r="I565" s="1114">
        <f t="shared" si="65"/>
        <v>1475.4461911170929</v>
      </c>
      <c r="J565" s="1103">
        <f t="shared" si="66"/>
        <v>8.2166890982503364</v>
      </c>
      <c r="K565" s="1115">
        <f t="shared" si="67"/>
        <v>1483.6628802153432</v>
      </c>
      <c r="O565" s="1103"/>
      <c r="S565" s="1103" t="s">
        <v>220</v>
      </c>
      <c r="U565" s="1103" t="s">
        <v>3511</v>
      </c>
      <c r="V565" s="1114">
        <f>X564</f>
        <v>1462.7446040592192</v>
      </c>
      <c r="W565" s="1103">
        <f>J563</f>
        <v>8.2166890982503364</v>
      </c>
      <c r="X565" s="1115">
        <f>V565+W565</f>
        <v>1470.9612931574695</v>
      </c>
      <c r="AA565" s="1103" t="s">
        <v>3066</v>
      </c>
      <c r="AB565" s="1114">
        <f>AD564</f>
        <v>1484.4436767375503</v>
      </c>
      <c r="AC565" s="1103">
        <f t="shared" si="63"/>
        <v>8.2166890982503364</v>
      </c>
      <c r="AD565" s="1115">
        <f t="shared" si="64"/>
        <v>1492.6603658358006</v>
      </c>
      <c r="AE565" s="1114"/>
      <c r="AG565" s="1103"/>
    </row>
    <row r="566" spans="1:33" ht="15.75">
      <c r="A566" s="1122"/>
      <c r="B566" s="1103"/>
      <c r="C566" s="1114"/>
      <c r="D566" s="1103"/>
      <c r="H566" s="1103">
        <v>7</v>
      </c>
      <c r="I566" s="1114">
        <f t="shared" si="65"/>
        <v>1483.6628802153432</v>
      </c>
      <c r="J566" s="1103">
        <f t="shared" si="66"/>
        <v>8.2166890982503364</v>
      </c>
      <c r="K566" s="1115">
        <f t="shared" si="67"/>
        <v>1491.8795693135935</v>
      </c>
      <c r="O566" s="1103"/>
      <c r="AA566" s="1103" t="s">
        <v>3069</v>
      </c>
      <c r="AB566" s="1114">
        <f>AD565</f>
        <v>1492.6603658358006</v>
      </c>
      <c r="AC566" s="1103">
        <f t="shared" si="63"/>
        <v>0</v>
      </c>
      <c r="AD566" s="1115">
        <f t="shared" si="64"/>
        <v>1492.6603658358006</v>
      </c>
      <c r="AE566" s="1114"/>
      <c r="AG566" s="1103"/>
    </row>
    <row r="567" spans="1:33" ht="15.75">
      <c r="A567" s="1122"/>
      <c r="B567" s="1103"/>
      <c r="C567" s="1114"/>
      <c r="D567" s="1103"/>
      <c r="H567" s="1103">
        <v>8</v>
      </c>
      <c r="I567" s="1114">
        <f t="shared" si="65"/>
        <v>1491.8795693135935</v>
      </c>
      <c r="J567" s="1103">
        <f t="shared" si="66"/>
        <v>8.2166890982503364</v>
      </c>
      <c r="K567" s="1115">
        <f t="shared" si="67"/>
        <v>1500.0962584118438</v>
      </c>
      <c r="O567" s="1103"/>
      <c r="AE567" s="1114"/>
      <c r="AG567" s="1103"/>
    </row>
    <row r="568" spans="1:33" ht="15.75">
      <c r="A568" s="1122"/>
      <c r="B568" s="1103"/>
      <c r="C568" s="1114"/>
      <c r="D568" s="1103"/>
      <c r="H568" s="1103">
        <v>9</v>
      </c>
      <c r="I568" s="1114">
        <f t="shared" si="65"/>
        <v>1500.0962584118438</v>
      </c>
      <c r="J568" s="1103">
        <f t="shared" si="66"/>
        <v>8.2166890982503364</v>
      </c>
      <c r="K568" s="1115">
        <f t="shared" si="67"/>
        <v>1508.3129475100941</v>
      </c>
      <c r="O568" s="1103"/>
      <c r="AE568" s="1114"/>
      <c r="AG568" s="1103"/>
    </row>
    <row r="569" spans="1:33" ht="15.75">
      <c r="A569" s="1122"/>
      <c r="B569" s="1103"/>
      <c r="C569" s="1114"/>
      <c r="D569" s="1103"/>
      <c r="H569" s="1103">
        <v>10</v>
      </c>
      <c r="I569" s="1114">
        <f t="shared" si="65"/>
        <v>1508.3129475100941</v>
      </c>
      <c r="J569" s="1103">
        <f t="shared" si="66"/>
        <v>8.2166890982503364</v>
      </c>
      <c r="K569" s="1115">
        <f t="shared" si="67"/>
        <v>1516.5296366083444</v>
      </c>
      <c r="O569" s="1103"/>
      <c r="AE569" s="1114"/>
      <c r="AG569" s="1103"/>
    </row>
    <row r="570" spans="1:33" ht="15.75">
      <c r="A570" s="1122"/>
      <c r="B570" s="1103"/>
      <c r="C570" s="1114"/>
      <c r="D570" s="1103"/>
      <c r="H570" s="1103">
        <v>11</v>
      </c>
      <c r="I570" s="1114">
        <f>K569</f>
        <v>1516.5296366083444</v>
      </c>
      <c r="J570" s="1103">
        <f t="shared" si="66"/>
        <v>8.2166890982503364</v>
      </c>
      <c r="K570" s="1115">
        <f>I570+J570</f>
        <v>1524.7463257065947</v>
      </c>
      <c r="O570" s="1103"/>
      <c r="AE570" s="1114"/>
      <c r="AG570" s="1103"/>
    </row>
    <row r="571" spans="1:33" ht="15.75">
      <c r="A571" s="1122"/>
      <c r="B571" s="1103"/>
      <c r="C571" s="1114"/>
      <c r="D571" s="1103"/>
      <c r="H571" s="1103">
        <v>12</v>
      </c>
      <c r="I571" s="1114">
        <f>K570</f>
        <v>1524.7463257065947</v>
      </c>
      <c r="J571" s="1103">
        <f t="shared" si="66"/>
        <v>8.2166890982503364</v>
      </c>
      <c r="K571" s="1115">
        <f>I571+J571</f>
        <v>1532.963014804845</v>
      </c>
      <c r="O571" s="1103" t="s">
        <v>3390</v>
      </c>
      <c r="AE571" s="1114"/>
      <c r="AG571" s="1103"/>
    </row>
    <row r="572" spans="1:33" ht="15.75">
      <c r="A572" s="1122">
        <f>(A564+1)</f>
        <v>381</v>
      </c>
      <c r="B572" s="1103" t="s">
        <v>3506</v>
      </c>
      <c r="C572" s="1114">
        <v>16.399999999999999</v>
      </c>
      <c r="D572" s="1103" t="s">
        <v>2838</v>
      </c>
      <c r="F572" s="1131"/>
      <c r="G572" s="1114" t="s">
        <v>220</v>
      </c>
      <c r="H572" s="1103" t="s">
        <v>3512</v>
      </c>
      <c r="O572" s="1111" t="s">
        <v>36</v>
      </c>
      <c r="S572" s="1133"/>
      <c r="T572" s="1114" t="s">
        <v>220</v>
      </c>
      <c r="U572" s="1103" t="s">
        <v>3512</v>
      </c>
      <c r="W572" s="1107"/>
      <c r="AA572" s="1103" t="s">
        <v>3071</v>
      </c>
      <c r="AB572" s="1114">
        <f>AD571</f>
        <v>0</v>
      </c>
      <c r="AC572" s="1103">
        <f>W572</f>
        <v>0</v>
      </c>
      <c r="AD572" s="1115">
        <f>AB572+AC572</f>
        <v>0</v>
      </c>
      <c r="AE572" s="1114" t="str">
        <f t="shared" si="53"/>
        <v>|</v>
      </c>
      <c r="AG572" s="1103" t="s">
        <v>3430</v>
      </c>
    </row>
    <row r="573" spans="1:33" ht="24" customHeight="1">
      <c r="A573" s="1122">
        <f t="shared" ref="A573:A587" si="68">(A572+1)</f>
        <v>382</v>
      </c>
      <c r="B573" s="1106" t="s">
        <v>3513</v>
      </c>
      <c r="D573" s="1103" t="s">
        <v>220</v>
      </c>
      <c r="H573" s="1103" t="s">
        <v>3514</v>
      </c>
      <c r="U573" s="1103" t="s">
        <v>3514</v>
      </c>
      <c r="W573" s="1107"/>
      <c r="AE573" s="1114" t="str">
        <f t="shared" si="53"/>
        <v>|</v>
      </c>
      <c r="AG573" s="1103" t="s">
        <v>3430</v>
      </c>
    </row>
    <row r="574" spans="1:33" ht="24" customHeight="1">
      <c r="A574" s="1122">
        <f t="shared" si="68"/>
        <v>383</v>
      </c>
      <c r="B574" s="1103" t="s">
        <v>3465</v>
      </c>
      <c r="C574" s="1115">
        <v>6.7</v>
      </c>
      <c r="D574" s="1103" t="s">
        <v>2838</v>
      </c>
      <c r="H574" s="1103" t="s">
        <v>3515</v>
      </c>
      <c r="N574" s="1103" t="s">
        <v>3391</v>
      </c>
      <c r="O574" s="1103" t="s">
        <v>3516</v>
      </c>
      <c r="U574" s="1103" t="s">
        <v>3515</v>
      </c>
      <c r="W574" s="1107"/>
      <c r="AE574" s="1114" t="str">
        <f t="shared" si="53"/>
        <v>|</v>
      </c>
      <c r="AG574" s="1103" t="s">
        <v>3430</v>
      </c>
    </row>
    <row r="575" spans="1:33" ht="24" customHeight="1">
      <c r="A575" s="1122">
        <f t="shared" si="68"/>
        <v>384</v>
      </c>
      <c r="B575" s="1103" t="s">
        <v>3457</v>
      </c>
      <c r="C575" s="1114">
        <v>9.4499999999999993</v>
      </c>
      <c r="D575" s="1103" t="s">
        <v>2838</v>
      </c>
      <c r="H575" s="1103" t="s">
        <v>3517</v>
      </c>
      <c r="O575" s="1111" t="s">
        <v>36</v>
      </c>
      <c r="U575" s="1103" t="s">
        <v>3517</v>
      </c>
      <c r="W575" s="1107"/>
      <c r="AE575" s="1114" t="str">
        <f t="shared" si="53"/>
        <v>|</v>
      </c>
      <c r="AG575" s="1103" t="s">
        <v>3430</v>
      </c>
    </row>
    <row r="576" spans="1:33" ht="24" customHeight="1">
      <c r="A576" s="1122">
        <f t="shared" si="68"/>
        <v>385</v>
      </c>
      <c r="B576" s="1103" t="s">
        <v>3469</v>
      </c>
      <c r="C576" s="1114">
        <v>8.1</v>
      </c>
      <c r="D576" s="1103" t="s">
        <v>2838</v>
      </c>
      <c r="H576" s="1103" t="s">
        <v>3518</v>
      </c>
      <c r="M576" s="1114">
        <v>8.1</v>
      </c>
      <c r="N576" s="1103" t="s">
        <v>2839</v>
      </c>
      <c r="O576" s="1103" t="s">
        <v>3395</v>
      </c>
      <c r="P576" s="1114">
        <f>(C61)*2</f>
        <v>193.2</v>
      </c>
      <c r="Q576" s="1103" t="s">
        <v>2839</v>
      </c>
      <c r="R576" s="1114">
        <f>(M576*P576)</f>
        <v>1564.9199999999998</v>
      </c>
      <c r="U576" s="1103" t="s">
        <v>3518</v>
      </c>
      <c r="W576" s="1107"/>
      <c r="AE576" s="1114" t="str">
        <f t="shared" si="53"/>
        <v>|</v>
      </c>
      <c r="AG576" s="1103" t="s">
        <v>3430</v>
      </c>
    </row>
    <row r="577" spans="1:33" ht="24" customHeight="1">
      <c r="A577" s="1122">
        <f t="shared" si="68"/>
        <v>386</v>
      </c>
      <c r="B577" s="1103" t="s">
        <v>3509</v>
      </c>
      <c r="C577" s="1114">
        <v>10.8</v>
      </c>
      <c r="D577" s="1103" t="s">
        <v>2838</v>
      </c>
      <c r="H577" s="1103" t="s">
        <v>3519</v>
      </c>
      <c r="M577" s="1114">
        <v>8.1</v>
      </c>
      <c r="N577" s="1103" t="s">
        <v>2839</v>
      </c>
      <c r="O577" s="1103" t="s">
        <v>3396</v>
      </c>
      <c r="P577" s="1114">
        <f>(C26)</f>
        <v>33.6</v>
      </c>
      <c r="Q577" s="1103" t="s">
        <v>2839</v>
      </c>
      <c r="R577" s="1114">
        <f>(M577*P577)</f>
        <v>272.16000000000003</v>
      </c>
      <c r="U577" s="1103" t="s">
        <v>3519</v>
      </c>
      <c r="W577" s="1107"/>
      <c r="AE577" s="1114" t="str">
        <f t="shared" si="53"/>
        <v>|</v>
      </c>
      <c r="AG577" s="1103" t="s">
        <v>3430</v>
      </c>
    </row>
    <row r="578" spans="1:33" ht="24" customHeight="1">
      <c r="A578" s="1122">
        <f t="shared" si="68"/>
        <v>387</v>
      </c>
      <c r="B578" s="1103" t="s">
        <v>3520</v>
      </c>
      <c r="C578" s="1114">
        <v>13.6</v>
      </c>
      <c r="D578" s="1103" t="s">
        <v>2838</v>
      </c>
      <c r="H578" s="1103" t="s">
        <v>3521</v>
      </c>
      <c r="M578" s="1114">
        <v>30</v>
      </c>
      <c r="N578" s="1103" t="s">
        <v>1790</v>
      </c>
      <c r="O578" s="1103" t="s">
        <v>3397</v>
      </c>
      <c r="P578" s="1114">
        <f>(C661)</f>
        <v>9.1199999999999992</v>
      </c>
      <c r="Q578" s="1103" t="s">
        <v>1790</v>
      </c>
      <c r="R578" s="1114">
        <f>(M578*P578)</f>
        <v>273.59999999999997</v>
      </c>
      <c r="U578" s="1103" t="s">
        <v>3521</v>
      </c>
      <c r="W578" s="1107"/>
      <c r="AE578" s="1114" t="str">
        <f t="shared" si="53"/>
        <v>|</v>
      </c>
      <c r="AG578" s="1103" t="s">
        <v>3430</v>
      </c>
    </row>
    <row r="579" spans="1:33" ht="24" customHeight="1">
      <c r="A579" s="1122">
        <f t="shared" si="68"/>
        <v>388</v>
      </c>
      <c r="B579" s="1103" t="s">
        <v>3522</v>
      </c>
      <c r="C579" s="1114">
        <v>20.5</v>
      </c>
      <c r="D579" s="1103" t="s">
        <v>2838</v>
      </c>
      <c r="H579" s="1111" t="s">
        <v>36</v>
      </c>
      <c r="I579" s="1111" t="s">
        <v>36</v>
      </c>
      <c r="O579" s="1103" t="s">
        <v>3523</v>
      </c>
      <c r="U579" s="1111" t="s">
        <v>36</v>
      </c>
      <c r="V579" s="1111" t="s">
        <v>36</v>
      </c>
      <c r="W579" s="1107"/>
      <c r="AE579" s="1114" t="str">
        <f t="shared" si="53"/>
        <v>|</v>
      </c>
      <c r="AG579" s="1103" t="s">
        <v>3430</v>
      </c>
    </row>
    <row r="580" spans="1:33" ht="24" customHeight="1">
      <c r="A580" s="1122">
        <f t="shared" si="68"/>
        <v>389</v>
      </c>
      <c r="B580" s="1103" t="s">
        <v>3524</v>
      </c>
      <c r="C580" s="1114">
        <v>538</v>
      </c>
      <c r="D580" s="1103" t="s">
        <v>2838</v>
      </c>
      <c r="G580" s="1114" t="s">
        <v>3203</v>
      </c>
      <c r="H580" s="1103" t="s">
        <v>3525</v>
      </c>
      <c r="O580" s="1103" t="s">
        <v>3399</v>
      </c>
      <c r="T580" s="1114" t="s">
        <v>3203</v>
      </c>
      <c r="U580" s="1103" t="s">
        <v>3526</v>
      </c>
      <c r="W580" s="1107"/>
      <c r="AE580" s="1114" t="str">
        <f t="shared" si="53"/>
        <v>|</v>
      </c>
      <c r="AG580" s="1103" t="s">
        <v>3430</v>
      </c>
    </row>
    <row r="581" spans="1:33" ht="24" customHeight="1">
      <c r="A581" s="1122">
        <f t="shared" si="68"/>
        <v>390</v>
      </c>
      <c r="B581" s="1103" t="s">
        <v>3527</v>
      </c>
      <c r="C581" s="1114">
        <v>340</v>
      </c>
      <c r="D581" s="1103" t="s">
        <v>2838</v>
      </c>
      <c r="H581" s="1103" t="s">
        <v>3528</v>
      </c>
      <c r="O581" s="1103" t="s">
        <v>3400</v>
      </c>
      <c r="U581" s="1103" t="s">
        <v>3528</v>
      </c>
      <c r="W581" s="1107"/>
      <c r="AE581" s="1114" t="str">
        <f t="shared" si="53"/>
        <v>|</v>
      </c>
      <c r="AG581" s="1103" t="s">
        <v>3430</v>
      </c>
    </row>
    <row r="582" spans="1:33" ht="24" customHeight="1">
      <c r="A582" s="1122">
        <f t="shared" si="68"/>
        <v>391</v>
      </c>
      <c r="B582" s="1103" t="s">
        <v>3529</v>
      </c>
      <c r="C582" s="1114">
        <v>1039</v>
      </c>
      <c r="D582" s="1103" t="s">
        <v>2838</v>
      </c>
      <c r="F582" s="1114">
        <v>10</v>
      </c>
      <c r="G582" s="1114" t="s">
        <v>37</v>
      </c>
      <c r="H582" s="1103" t="s">
        <v>3530</v>
      </c>
      <c r="I582" s="1114">
        <f>C751</f>
        <v>373</v>
      </c>
      <c r="J582" s="1103" t="s">
        <v>37</v>
      </c>
      <c r="K582" s="1114">
        <f>(F582*I582)</f>
        <v>3730</v>
      </c>
      <c r="O582" s="1103" t="s">
        <v>3401</v>
      </c>
      <c r="S582" s="1128">
        <v>10</v>
      </c>
      <c r="T582" s="1114" t="s">
        <v>37</v>
      </c>
      <c r="U582" s="1103" t="s">
        <v>3530</v>
      </c>
      <c r="V582" s="1114">
        <f>I604</f>
        <v>404</v>
      </c>
      <c r="W582" s="1103" t="s">
        <v>37</v>
      </c>
      <c r="X582" s="1114">
        <f>(S582*V582)</f>
        <v>4040</v>
      </c>
      <c r="AE582" s="1114" t="str">
        <f t="shared" si="53"/>
        <v>|</v>
      </c>
      <c r="AG582" s="1103" t="s">
        <v>3430</v>
      </c>
    </row>
    <row r="583" spans="1:33" ht="24" customHeight="1">
      <c r="A583" s="1122">
        <f t="shared" si="68"/>
        <v>392</v>
      </c>
      <c r="B583" s="1103" t="s">
        <v>3531</v>
      </c>
      <c r="C583" s="1114">
        <v>228</v>
      </c>
      <c r="D583" s="1103" t="s">
        <v>2838</v>
      </c>
      <c r="F583" s="1114">
        <v>1</v>
      </c>
      <c r="G583" s="1114" t="s">
        <v>314</v>
      </c>
      <c r="H583" s="1103" t="s">
        <v>3532</v>
      </c>
      <c r="I583" s="1114">
        <f>C10</f>
        <v>861</v>
      </c>
      <c r="J583" s="1103" t="s">
        <v>522</v>
      </c>
      <c r="K583" s="1114">
        <f>(F583*I583)</f>
        <v>861</v>
      </c>
      <c r="M583" s="1114">
        <v>8</v>
      </c>
      <c r="N583" s="1103" t="s">
        <v>2941</v>
      </c>
      <c r="O583" s="1103" t="s">
        <v>3405</v>
      </c>
      <c r="P583" s="1114">
        <v>10.199999999999999</v>
      </c>
      <c r="Q583" s="1103" t="s">
        <v>2941</v>
      </c>
      <c r="R583" s="1114">
        <f>(M583*P583)</f>
        <v>81.599999999999994</v>
      </c>
      <c r="S583" s="1128">
        <v>1</v>
      </c>
      <c r="T583" s="1114" t="s">
        <v>314</v>
      </c>
      <c r="U583" s="1103" t="s">
        <v>3532</v>
      </c>
      <c r="V583" s="1114">
        <f>I583</f>
        <v>861</v>
      </c>
      <c r="W583" s="1103" t="s">
        <v>522</v>
      </c>
      <c r="X583" s="1114">
        <f>(S583*V583)</f>
        <v>861</v>
      </c>
      <c r="AE583" s="1114" t="str">
        <f t="shared" si="53"/>
        <v>|</v>
      </c>
      <c r="AG583" s="1103" t="s">
        <v>3430</v>
      </c>
    </row>
    <row r="584" spans="1:33" ht="24" customHeight="1">
      <c r="A584" s="1122">
        <f t="shared" si="68"/>
        <v>393</v>
      </c>
      <c r="B584" s="1103" t="s">
        <v>3533</v>
      </c>
      <c r="C584" s="1114">
        <v>31</v>
      </c>
      <c r="D584" s="1103" t="s">
        <v>3281</v>
      </c>
      <c r="F584" s="1114">
        <v>1</v>
      </c>
      <c r="G584" s="1114" t="s">
        <v>314</v>
      </c>
      <c r="H584" s="1103" t="s">
        <v>3534</v>
      </c>
      <c r="I584" s="1114">
        <f>C12</f>
        <v>562</v>
      </c>
      <c r="J584" s="1103" t="s">
        <v>522</v>
      </c>
      <c r="K584" s="1114">
        <f>(F584*I584)</f>
        <v>562</v>
      </c>
      <c r="M584" s="1114">
        <v>8</v>
      </c>
      <c r="N584" s="1103" t="s">
        <v>2941</v>
      </c>
      <c r="O584" s="1103" t="s">
        <v>3408</v>
      </c>
      <c r="P584" s="1114">
        <v>28.5</v>
      </c>
      <c r="Q584" s="1103" t="s">
        <v>2941</v>
      </c>
      <c r="R584" s="1114">
        <f>(M584*P584)</f>
        <v>228</v>
      </c>
      <c r="S584" s="1128">
        <v>1</v>
      </c>
      <c r="T584" s="1114" t="s">
        <v>314</v>
      </c>
      <c r="U584" s="1103" t="s">
        <v>3534</v>
      </c>
      <c r="V584" s="1114">
        <f>I584</f>
        <v>562</v>
      </c>
      <c r="W584" s="1103" t="s">
        <v>522</v>
      </c>
      <c r="X584" s="1114">
        <f>(S584*V584)</f>
        <v>562</v>
      </c>
      <c r="AE584" s="1114" t="str">
        <f t="shared" si="53"/>
        <v>|</v>
      </c>
      <c r="AG584" s="1103" t="s">
        <v>3430</v>
      </c>
    </row>
    <row r="585" spans="1:33" ht="24" customHeight="1">
      <c r="A585" s="1122">
        <f t="shared" si="68"/>
        <v>394</v>
      </c>
      <c r="B585" s="1103" t="s">
        <v>3535</v>
      </c>
      <c r="C585" s="1114">
        <v>204</v>
      </c>
      <c r="D585" s="1103" t="s">
        <v>2838</v>
      </c>
      <c r="G585" s="1114" t="s">
        <v>2851</v>
      </c>
      <c r="H585" s="1103" t="s">
        <v>3536</v>
      </c>
      <c r="J585" s="1103" t="s">
        <v>2851</v>
      </c>
      <c r="K585" s="1114">
        <v>120</v>
      </c>
      <c r="M585" s="1114">
        <v>1</v>
      </c>
      <c r="N585" s="1103" t="s">
        <v>2851</v>
      </c>
      <c r="O585" s="1103" t="s">
        <v>3410</v>
      </c>
      <c r="P585" s="1114">
        <f>(C673)</f>
        <v>4</v>
      </c>
      <c r="Q585" s="1103" t="s">
        <v>2851</v>
      </c>
      <c r="R585" s="1114">
        <f>(M585*P585)</f>
        <v>4</v>
      </c>
      <c r="T585" s="1114" t="s">
        <v>2851</v>
      </c>
      <c r="U585" s="1103" t="s">
        <v>3536</v>
      </c>
      <c r="V585" s="1114">
        <f>I585</f>
        <v>0</v>
      </c>
      <c r="W585" s="1103" t="s">
        <v>2851</v>
      </c>
      <c r="X585" s="1114">
        <v>120</v>
      </c>
      <c r="AE585" s="1114" t="str">
        <f t="shared" si="53"/>
        <v>|</v>
      </c>
      <c r="AG585" s="1103" t="s">
        <v>3430</v>
      </c>
    </row>
    <row r="586" spans="1:33" ht="24" customHeight="1">
      <c r="A586" s="1122">
        <f t="shared" si="68"/>
        <v>395</v>
      </c>
      <c r="B586" s="1103" t="s">
        <v>3537</v>
      </c>
      <c r="C586" s="1114">
        <v>82.2</v>
      </c>
      <c r="D586" s="1103" t="s">
        <v>2838</v>
      </c>
      <c r="H586" s="1103" t="s">
        <v>3538</v>
      </c>
      <c r="K586" s="1111" t="s">
        <v>36</v>
      </c>
      <c r="M586" s="1114">
        <v>1</v>
      </c>
      <c r="N586" s="1103" t="s">
        <v>2851</v>
      </c>
      <c r="O586" s="1103" t="s">
        <v>2852</v>
      </c>
      <c r="Q586" s="1103" t="s">
        <v>2851</v>
      </c>
      <c r="R586" s="1114">
        <v>0</v>
      </c>
      <c r="U586" s="1103" t="s">
        <v>3538</v>
      </c>
      <c r="W586" s="1107"/>
      <c r="X586" s="1111" t="s">
        <v>36</v>
      </c>
      <c r="AE586" s="1114">
        <f t="shared" si="53"/>
        <v>0</v>
      </c>
    </row>
    <row r="587" spans="1:33" ht="24" customHeight="1">
      <c r="A587" s="1122">
        <f t="shared" si="68"/>
        <v>396</v>
      </c>
      <c r="B587" s="1103" t="s">
        <v>3539</v>
      </c>
      <c r="C587" s="1114">
        <v>57.51</v>
      </c>
      <c r="D587" s="1103" t="s">
        <v>2838</v>
      </c>
      <c r="H587" s="1104" t="s">
        <v>3540</v>
      </c>
      <c r="K587" s="1114">
        <f>SUM(K582:K585)</f>
        <v>5273</v>
      </c>
      <c r="R587" s="1111" t="s">
        <v>36</v>
      </c>
      <c r="U587" s="1104" t="s">
        <v>3540</v>
      </c>
      <c r="W587" s="1107"/>
      <c r="X587" s="1114">
        <f>SUM(X582:X585)</f>
        <v>5583</v>
      </c>
      <c r="AE587" s="1114" t="str">
        <f t="shared" si="53"/>
        <v>|</v>
      </c>
      <c r="AG587" s="1103" t="s">
        <v>3430</v>
      </c>
    </row>
    <row r="588" spans="1:33" ht="24" customHeight="1">
      <c r="A588" s="1122">
        <f>(A587+1)</f>
        <v>397</v>
      </c>
      <c r="B588" s="1103" t="s">
        <v>3541</v>
      </c>
      <c r="C588" s="1114">
        <v>30</v>
      </c>
      <c r="D588" s="1103" t="s">
        <v>2838</v>
      </c>
      <c r="K588" s="1111" t="s">
        <v>36</v>
      </c>
      <c r="O588" s="1103">
        <v>18</v>
      </c>
      <c r="R588" s="1114">
        <f>SUM(R576:R586)</f>
        <v>2424.2799999999997</v>
      </c>
      <c r="W588" s="1107"/>
      <c r="X588" s="1111" t="s">
        <v>36</v>
      </c>
      <c r="AE588" s="1114" t="str">
        <f t="shared" si="53"/>
        <v>|</v>
      </c>
      <c r="AG588" s="1103" t="s">
        <v>3430</v>
      </c>
    </row>
    <row r="589" spans="1:33" ht="24" customHeight="1">
      <c r="A589" s="1122">
        <f t="shared" ref="A589:A636" si="69">(A588+1)</f>
        <v>398</v>
      </c>
      <c r="B589" s="1103" t="s">
        <v>3542</v>
      </c>
      <c r="C589" s="1114">
        <v>57.51</v>
      </c>
      <c r="D589" s="1103" t="s">
        <v>2838</v>
      </c>
      <c r="H589" s="1104" t="s">
        <v>3543</v>
      </c>
      <c r="K589" s="1114">
        <f>K587/10</f>
        <v>527.29999999999995</v>
      </c>
      <c r="R589" s="1111" t="s">
        <v>36</v>
      </c>
      <c r="U589" s="1104" t="s">
        <v>3543</v>
      </c>
      <c r="W589" s="1107"/>
      <c r="X589" s="1114">
        <f>X587/10</f>
        <v>558.29999999999995</v>
      </c>
      <c r="AE589" s="1114" t="str">
        <f t="shared" si="53"/>
        <v>|</v>
      </c>
      <c r="AG589" s="1103" t="s">
        <v>3430</v>
      </c>
    </row>
    <row r="590" spans="1:33" ht="24" customHeight="1">
      <c r="A590" s="1122">
        <f t="shared" si="69"/>
        <v>399</v>
      </c>
      <c r="B590" s="1103" t="s">
        <v>3544</v>
      </c>
      <c r="C590" s="1114">
        <v>20</v>
      </c>
      <c r="D590" s="1103" t="s">
        <v>2838</v>
      </c>
      <c r="H590" s="1103" t="s">
        <v>3062</v>
      </c>
      <c r="I590" s="1114">
        <f t="shared" ref="I590:I599" si="70">K589</f>
        <v>527.29999999999995</v>
      </c>
      <c r="J590" s="1103">
        <f>C22*0.02</f>
        <v>2.0659999999999998</v>
      </c>
      <c r="K590" s="1115">
        <f>I590+J590</f>
        <v>529.36599999999999</v>
      </c>
      <c r="O590" s="1103" t="s">
        <v>3413</v>
      </c>
      <c r="R590" s="1114">
        <f>(R588/30)</f>
        <v>80.809333333333328</v>
      </c>
      <c r="U590" s="1103" t="s">
        <v>3062</v>
      </c>
      <c r="V590" s="1114">
        <f>J612</f>
        <v>4.1319999999999997</v>
      </c>
      <c r="W590" s="1103">
        <f>P22*0.02</f>
        <v>36.7012</v>
      </c>
      <c r="X590" s="1115">
        <f>X589+V590</f>
        <v>562.4319999999999</v>
      </c>
      <c r="AE590" s="1114" t="str">
        <f t="shared" si="53"/>
        <v>|</v>
      </c>
      <c r="AG590" s="1103" t="s">
        <v>3430</v>
      </c>
    </row>
    <row r="591" spans="1:33" ht="24" customHeight="1">
      <c r="A591" s="1122">
        <f t="shared" si="69"/>
        <v>400</v>
      </c>
      <c r="B591" s="1103" t="s">
        <v>3545</v>
      </c>
      <c r="C591" s="1114">
        <v>21.92</v>
      </c>
      <c r="D591" s="1103" t="s">
        <v>2838</v>
      </c>
      <c r="H591" s="1103" t="s">
        <v>3066</v>
      </c>
      <c r="I591" s="1114">
        <f t="shared" si="70"/>
        <v>529.36599999999999</v>
      </c>
      <c r="J591" s="1103">
        <f>C23*0.02</f>
        <v>4.07</v>
      </c>
      <c r="K591" s="1115">
        <f>I591+J591</f>
        <v>533.43600000000004</v>
      </c>
      <c r="N591" s="1103" t="s">
        <v>1363</v>
      </c>
      <c r="O591" s="1103" t="s">
        <v>3546</v>
      </c>
      <c r="U591" s="1103" t="s">
        <v>3066</v>
      </c>
      <c r="V591" s="1114">
        <f>J613</f>
        <v>8.14</v>
      </c>
      <c r="W591" s="1103">
        <f>P23*0.02</f>
        <v>22.543600000000001</v>
      </c>
      <c r="X591" s="1115">
        <f>X590+V591</f>
        <v>570.57199999999989</v>
      </c>
      <c r="AE591" s="1114" t="str">
        <f t="shared" si="53"/>
        <v>|</v>
      </c>
      <c r="AG591" s="1103" t="s">
        <v>3430</v>
      </c>
    </row>
    <row r="592" spans="1:33" ht="24" customHeight="1">
      <c r="A592" s="1122">
        <f t="shared" si="69"/>
        <v>401</v>
      </c>
      <c r="B592" s="1103" t="s">
        <v>3547</v>
      </c>
      <c r="C592" s="1114">
        <v>128</v>
      </c>
      <c r="D592" s="1103" t="s">
        <v>2838</v>
      </c>
      <c r="H592" s="1103" t="s">
        <v>3069</v>
      </c>
      <c r="I592" s="1114">
        <f t="shared" si="70"/>
        <v>533.43600000000004</v>
      </c>
      <c r="J592" s="1103">
        <f>C23*0.02</f>
        <v>4.07</v>
      </c>
      <c r="K592" s="1115">
        <f>I592+J592</f>
        <v>537.50600000000009</v>
      </c>
      <c r="O592" s="1103" t="s">
        <v>3548</v>
      </c>
      <c r="U592" s="1103" t="s">
        <v>3069</v>
      </c>
      <c r="V592" s="1114">
        <f>J614</f>
        <v>8.14</v>
      </c>
      <c r="W592" s="1103">
        <f>P23*0.02</f>
        <v>22.543600000000001</v>
      </c>
      <c r="X592" s="1115">
        <f>X591+V592</f>
        <v>578.71199999999988</v>
      </c>
      <c r="AE592" s="1114" t="str">
        <f t="shared" si="53"/>
        <v>|</v>
      </c>
      <c r="AG592" s="1103" t="s">
        <v>3430</v>
      </c>
    </row>
    <row r="593" spans="1:33" ht="24" customHeight="1">
      <c r="A593" s="1122">
        <f t="shared" si="69"/>
        <v>402</v>
      </c>
      <c r="B593" s="1103" t="s">
        <v>3549</v>
      </c>
      <c r="C593" s="1114">
        <v>948</v>
      </c>
      <c r="D593" s="1103" t="s">
        <v>2838</v>
      </c>
      <c r="H593" s="1103" t="s">
        <v>3071</v>
      </c>
      <c r="I593" s="1114">
        <f t="shared" si="70"/>
        <v>537.50600000000009</v>
      </c>
      <c r="J593" s="1103">
        <f>C23*0.02</f>
        <v>4.07</v>
      </c>
      <c r="K593" s="1115">
        <f>I593+J593</f>
        <v>541.57600000000014</v>
      </c>
      <c r="O593" s="1111" t="s">
        <v>36</v>
      </c>
      <c r="U593" s="1103" t="s">
        <v>3071</v>
      </c>
      <c r="V593" s="1114">
        <f>J615</f>
        <v>8.14</v>
      </c>
      <c r="W593" s="1103">
        <f>P23*0.02</f>
        <v>22.543600000000001</v>
      </c>
      <c r="X593" s="1115">
        <f>X592+V593</f>
        <v>586.85199999999986</v>
      </c>
      <c r="AE593" s="1114" t="str">
        <f t="shared" si="53"/>
        <v>|</v>
      </c>
      <c r="AG593" s="1103" t="s">
        <v>3430</v>
      </c>
    </row>
    <row r="594" spans="1:33" ht="24" customHeight="1">
      <c r="A594" s="1122"/>
      <c r="B594" s="1103"/>
      <c r="C594" s="1114"/>
      <c r="D594" s="1103"/>
      <c r="H594" s="1103" t="s">
        <v>3451</v>
      </c>
      <c r="I594" s="1114">
        <f t="shared" si="70"/>
        <v>541.57600000000014</v>
      </c>
      <c r="J594" s="1103">
        <f>C23*0.02</f>
        <v>4.07</v>
      </c>
      <c r="K594" s="1115">
        <f t="shared" ref="K594:K599" si="71">I594+J594</f>
        <v>545.64600000000019</v>
      </c>
      <c r="O594" s="1111"/>
      <c r="U594" s="1103" t="s">
        <v>3451</v>
      </c>
      <c r="V594" s="1114">
        <f>J616</f>
        <v>8.14</v>
      </c>
      <c r="W594" s="1103">
        <f>P24*0.02</f>
        <v>2</v>
      </c>
      <c r="X594" s="1115">
        <f>X593+V594</f>
        <v>594.99199999999985</v>
      </c>
      <c r="AE594" s="1114" t="str">
        <f t="shared" si="53"/>
        <v>|::</v>
      </c>
      <c r="AG594" s="1103" t="s">
        <v>3220</v>
      </c>
    </row>
    <row r="595" spans="1:33" ht="24" customHeight="1">
      <c r="A595" s="1122">
        <f>(A593+1)</f>
        <v>403</v>
      </c>
      <c r="B595" s="1103" t="s">
        <v>3550</v>
      </c>
      <c r="C595" s="1114">
        <v>21</v>
      </c>
      <c r="D595" s="1103" t="s">
        <v>2838</v>
      </c>
      <c r="H595" s="1103" t="s">
        <v>3379</v>
      </c>
      <c r="I595" s="1114">
        <f t="shared" si="70"/>
        <v>545.64600000000019</v>
      </c>
      <c r="J595" s="1103">
        <f>C23*0.02</f>
        <v>4.07</v>
      </c>
      <c r="K595" s="1115">
        <f t="shared" si="71"/>
        <v>549.71600000000024</v>
      </c>
      <c r="M595" s="1114">
        <v>1.08</v>
      </c>
      <c r="N595" s="1103" t="s">
        <v>2839</v>
      </c>
      <c r="O595" s="1103" t="s">
        <v>3551</v>
      </c>
      <c r="P595" s="1114">
        <f>(K88)</f>
        <v>204.4</v>
      </c>
      <c r="Q595" s="1103" t="s">
        <v>2839</v>
      </c>
      <c r="R595" s="1114">
        <f>(M595*P595)</f>
        <v>220.75200000000001</v>
      </c>
      <c r="S595" s="1133">
        <v>15.2</v>
      </c>
      <c r="T595" s="1114" t="s">
        <v>3203</v>
      </c>
      <c r="U595" s="1103" t="s">
        <v>3552</v>
      </c>
      <c r="W595" s="1107"/>
      <c r="X595" s="1115">
        <f>X594+V594</f>
        <v>603.13199999999983</v>
      </c>
      <c r="AE595" s="1114">
        <f t="shared" si="53"/>
        <v>0</v>
      </c>
    </row>
    <row r="596" spans="1:33" ht="24" customHeight="1">
      <c r="A596" s="1122">
        <f t="shared" si="69"/>
        <v>404</v>
      </c>
      <c r="B596" s="1103" t="s">
        <v>3553</v>
      </c>
      <c r="C596" s="1114">
        <v>150</v>
      </c>
      <c r="D596" s="1103" t="s">
        <v>2838</v>
      </c>
      <c r="H596" s="1103" t="s">
        <v>3380</v>
      </c>
      <c r="I596" s="1114">
        <f t="shared" si="70"/>
        <v>549.71600000000024</v>
      </c>
      <c r="J596" s="1103">
        <f>C23*0.02</f>
        <v>4.07</v>
      </c>
      <c r="K596" s="1115">
        <f t="shared" si="71"/>
        <v>553.78600000000029</v>
      </c>
      <c r="M596" s="1128">
        <v>0.216</v>
      </c>
      <c r="N596" s="1103" t="s">
        <v>2839</v>
      </c>
      <c r="O596" s="1103" t="s">
        <v>3554</v>
      </c>
      <c r="P596" s="1114">
        <f>(R60)</f>
        <v>3940.6769999999997</v>
      </c>
      <c r="Q596" s="1103" t="s">
        <v>2839</v>
      </c>
      <c r="R596" s="1114">
        <f>(M596*P596)</f>
        <v>851.1862319999999</v>
      </c>
      <c r="AE596" s="1114">
        <f t="shared" si="53"/>
        <v>0</v>
      </c>
    </row>
    <row r="597" spans="1:33" ht="24" customHeight="1">
      <c r="A597" s="1122">
        <f t="shared" si="69"/>
        <v>405</v>
      </c>
      <c r="B597" s="1103" t="s">
        <v>3555</v>
      </c>
      <c r="C597" s="1114">
        <v>21.4</v>
      </c>
      <c r="D597" s="1103" t="s">
        <v>2838</v>
      </c>
      <c r="H597" s="1103" t="s">
        <v>3381</v>
      </c>
      <c r="I597" s="1114">
        <f t="shared" si="70"/>
        <v>553.78600000000029</v>
      </c>
      <c r="J597" s="1103">
        <f>C23*0.02</f>
        <v>4.07</v>
      </c>
      <c r="K597" s="1115">
        <f t="shared" si="71"/>
        <v>557.85600000000034</v>
      </c>
      <c r="M597" s="1128">
        <v>0.48699999999999999</v>
      </c>
      <c r="N597" s="1103" t="s">
        <v>2839</v>
      </c>
      <c r="O597" s="1103" t="s">
        <v>3556</v>
      </c>
      <c r="P597" s="1114">
        <f>(R89)</f>
        <v>6402.9149999999991</v>
      </c>
      <c r="Q597" s="1103" t="s">
        <v>2839</v>
      </c>
      <c r="R597" s="1114">
        <f>(M597*P597)</f>
        <v>3118.2196049999993</v>
      </c>
      <c r="AE597" s="1114" t="str">
        <f t="shared" ref="AE597:AE637" si="72">AG597</f>
        <v>|</v>
      </c>
      <c r="AG597" s="1103" t="s">
        <v>3430</v>
      </c>
    </row>
    <row r="598" spans="1:33" ht="33.75" customHeight="1">
      <c r="A598" s="1122">
        <f t="shared" si="69"/>
        <v>406</v>
      </c>
      <c r="B598" s="1129" t="s">
        <v>3557</v>
      </c>
      <c r="C598" s="1114">
        <v>53.4</v>
      </c>
      <c r="D598" s="1114">
        <v>45.9</v>
      </c>
      <c r="E598" s="1105" t="s">
        <v>3558</v>
      </c>
      <c r="H598" s="1103" t="s">
        <v>3559</v>
      </c>
      <c r="I598" s="1114">
        <f t="shared" si="70"/>
        <v>557.85600000000034</v>
      </c>
      <c r="J598" s="1103">
        <f>C23*0.02</f>
        <v>4.07</v>
      </c>
      <c r="K598" s="1115">
        <f t="shared" si="71"/>
        <v>561.92600000000039</v>
      </c>
      <c r="M598" s="1128">
        <v>5.36</v>
      </c>
      <c r="N598" s="1103" t="s">
        <v>3189</v>
      </c>
      <c r="O598" s="1103" t="s">
        <v>3560</v>
      </c>
      <c r="P598" s="1114">
        <f>(R304)</f>
        <v>240.66203999999999</v>
      </c>
      <c r="Q598" s="1103" t="s">
        <v>3189</v>
      </c>
      <c r="R598" s="1114">
        <f>(M598*P598)</f>
        <v>1289.9485344</v>
      </c>
      <c r="AE598" s="1114" t="str">
        <f t="shared" si="72"/>
        <v>|</v>
      </c>
      <c r="AG598" s="1103" t="s">
        <v>3430</v>
      </c>
    </row>
    <row r="599" spans="1:33" ht="24" customHeight="1">
      <c r="A599" s="1122">
        <f t="shared" si="69"/>
        <v>407</v>
      </c>
      <c r="B599" s="1103" t="s">
        <v>3561</v>
      </c>
      <c r="C599" s="1114">
        <v>208.5</v>
      </c>
      <c r="D599" s="1103" t="s">
        <v>2838</v>
      </c>
      <c r="H599" s="1103">
        <v>9</v>
      </c>
      <c r="I599" s="1114">
        <f t="shared" si="70"/>
        <v>561.92600000000039</v>
      </c>
      <c r="J599" s="1103">
        <f>C23*0.02</f>
        <v>4.07</v>
      </c>
      <c r="K599" s="1115">
        <f t="shared" si="71"/>
        <v>565.99600000000044</v>
      </c>
      <c r="M599" s="1128">
        <v>3.2000000000000001E-2</v>
      </c>
      <c r="N599" s="1103" t="s">
        <v>2839</v>
      </c>
      <c r="O599" s="1103" t="s">
        <v>3562</v>
      </c>
      <c r="P599" s="1114">
        <f>(K643)</f>
        <v>7755</v>
      </c>
      <c r="Q599" s="1103" t="s">
        <v>2839</v>
      </c>
      <c r="R599" s="1114">
        <f>(M599*P599)</f>
        <v>248.16</v>
      </c>
      <c r="AE599" s="1114" t="str">
        <f t="shared" si="72"/>
        <v>|</v>
      </c>
      <c r="AG599" s="1103" t="s">
        <v>3430</v>
      </c>
    </row>
    <row r="600" spans="1:33" ht="24" customHeight="1">
      <c r="A600" s="1122">
        <f t="shared" si="69"/>
        <v>408</v>
      </c>
      <c r="B600" s="1103" t="s">
        <v>3563</v>
      </c>
      <c r="C600" s="1114">
        <v>148.4</v>
      </c>
      <c r="D600" s="1103" t="s">
        <v>2838</v>
      </c>
      <c r="H600" s="1103"/>
      <c r="I600" s="1114"/>
      <c r="J600" s="1103"/>
      <c r="K600" s="1115"/>
      <c r="O600" s="1103" t="s">
        <v>3564</v>
      </c>
      <c r="R600" s="1103" t="s">
        <v>220</v>
      </c>
      <c r="AE600" s="1114" t="str">
        <f t="shared" si="72"/>
        <v>|</v>
      </c>
      <c r="AG600" s="1103" t="s">
        <v>3430</v>
      </c>
    </row>
    <row r="601" spans="1:33" ht="47.25" customHeight="1">
      <c r="A601" s="1122">
        <f t="shared" si="69"/>
        <v>409</v>
      </c>
      <c r="B601" s="1149" t="s">
        <v>3565</v>
      </c>
      <c r="C601" s="1127">
        <v>363.34</v>
      </c>
      <c r="D601" s="1103" t="s">
        <v>3189</v>
      </c>
      <c r="H601" s="1103"/>
      <c r="I601" s="1114"/>
      <c r="J601" s="1103"/>
      <c r="K601" s="1115"/>
      <c r="N601" s="1103" t="s">
        <v>2851</v>
      </c>
      <c r="O601" s="1103" t="s">
        <v>3566</v>
      </c>
      <c r="Q601" s="1103" t="s">
        <v>2851</v>
      </c>
      <c r="R601" s="1114">
        <v>2.92</v>
      </c>
      <c r="AE601" s="1114" t="str">
        <f t="shared" si="72"/>
        <v>|</v>
      </c>
      <c r="AG601" s="1103" t="s">
        <v>3430</v>
      </c>
    </row>
    <row r="602" spans="1:33" ht="31.5">
      <c r="A602" s="1122">
        <f t="shared" si="69"/>
        <v>410</v>
      </c>
      <c r="B602" s="1129" t="s">
        <v>3567</v>
      </c>
      <c r="C602" s="1114">
        <v>400</v>
      </c>
      <c r="D602" s="1103" t="s">
        <v>3189</v>
      </c>
      <c r="E602" s="1103">
        <f>7.7/0.02</f>
        <v>385</v>
      </c>
      <c r="F602" s="1131">
        <v>15.2</v>
      </c>
      <c r="G602" s="1114" t="s">
        <v>3203</v>
      </c>
      <c r="H602" s="1103" t="s">
        <v>3552</v>
      </c>
      <c r="K602" s="1115">
        <f>K594+J594</f>
        <v>549.71600000000024</v>
      </c>
      <c r="R602" s="1111" t="s">
        <v>36</v>
      </c>
      <c r="AE602" s="1114" t="str">
        <f t="shared" si="72"/>
        <v>|</v>
      </c>
      <c r="AG602" s="1103" t="s">
        <v>3430</v>
      </c>
    </row>
    <row r="603" spans="1:33" ht="24" customHeight="1">
      <c r="A603" s="1122">
        <f t="shared" si="69"/>
        <v>411</v>
      </c>
      <c r="B603" s="1103" t="s">
        <v>3568</v>
      </c>
      <c r="C603" s="1114">
        <v>75</v>
      </c>
      <c r="D603" s="1103" t="s">
        <v>2838</v>
      </c>
      <c r="H603" s="1103" t="s">
        <v>3528</v>
      </c>
      <c r="O603" s="1103" t="s">
        <v>3569</v>
      </c>
      <c r="R603" s="1114">
        <f>SUM(R595:R601)</f>
        <v>5731.1863713999992</v>
      </c>
      <c r="AE603" s="1114" t="str">
        <f t="shared" si="72"/>
        <v>|</v>
      </c>
      <c r="AG603" s="1103" t="s">
        <v>3430</v>
      </c>
    </row>
    <row r="604" spans="1:33" ht="24" customHeight="1">
      <c r="A604" s="1122">
        <f t="shared" si="69"/>
        <v>412</v>
      </c>
      <c r="B604" s="1103" t="s">
        <v>3570</v>
      </c>
      <c r="C604" s="1114">
        <v>125</v>
      </c>
      <c r="D604" s="1103" t="s">
        <v>2838</v>
      </c>
      <c r="F604" s="1114">
        <v>1</v>
      </c>
      <c r="G604" s="1114" t="s">
        <v>37</v>
      </c>
      <c r="H604" s="1103" t="s">
        <v>3530</v>
      </c>
      <c r="I604" s="1114">
        <f>D751</f>
        <v>404</v>
      </c>
      <c r="J604" s="1103" t="s">
        <v>37</v>
      </c>
      <c r="K604" s="1114">
        <f>(F604*I604)</f>
        <v>404</v>
      </c>
      <c r="R604" s="1111" t="s">
        <v>36</v>
      </c>
      <c r="AE604" s="1114" t="str">
        <f t="shared" si="72"/>
        <v>|</v>
      </c>
      <c r="AG604" s="1103" t="s">
        <v>3430</v>
      </c>
    </row>
    <row r="605" spans="1:33" ht="24" customHeight="1">
      <c r="A605" s="1122">
        <f t="shared" si="69"/>
        <v>413</v>
      </c>
      <c r="B605" s="1103" t="s">
        <v>3571</v>
      </c>
      <c r="C605" s="1114">
        <v>190</v>
      </c>
      <c r="D605" s="1103" t="s">
        <v>2838</v>
      </c>
      <c r="F605" s="1114">
        <v>0.75</v>
      </c>
      <c r="G605" s="1114" t="s">
        <v>314</v>
      </c>
      <c r="H605" s="1103" t="s">
        <v>3532</v>
      </c>
      <c r="I605" s="1114">
        <f>C10</f>
        <v>861</v>
      </c>
      <c r="J605" s="1103" t="s">
        <v>522</v>
      </c>
      <c r="K605" s="1114">
        <f>(F605*I605)</f>
        <v>645.75</v>
      </c>
      <c r="N605" s="1103" t="s">
        <v>1363</v>
      </c>
      <c r="O605" s="1103" t="s">
        <v>3546</v>
      </c>
      <c r="AE605" s="1114" t="str">
        <f t="shared" si="72"/>
        <v>|</v>
      </c>
      <c r="AG605" s="1103" t="s">
        <v>3430</v>
      </c>
    </row>
    <row r="606" spans="1:33" ht="24" customHeight="1">
      <c r="A606" s="1122">
        <f t="shared" si="69"/>
        <v>414</v>
      </c>
      <c r="B606" s="1103" t="s">
        <v>3572</v>
      </c>
      <c r="C606" s="1114">
        <v>16</v>
      </c>
      <c r="D606" s="1103" t="s">
        <v>2838</v>
      </c>
      <c r="F606" s="1114">
        <v>0.75</v>
      </c>
      <c r="G606" s="1114" t="s">
        <v>314</v>
      </c>
      <c r="H606" s="1103" t="s">
        <v>3534</v>
      </c>
      <c r="I606" s="1114">
        <f>C12</f>
        <v>562</v>
      </c>
      <c r="J606" s="1103" t="s">
        <v>522</v>
      </c>
      <c r="K606" s="1114">
        <f>(F606*I606)</f>
        <v>421.5</v>
      </c>
      <c r="O606" s="1103" t="s">
        <v>3573</v>
      </c>
      <c r="AE606" s="1114" t="str">
        <f t="shared" si="72"/>
        <v>|</v>
      </c>
      <c r="AG606" s="1103" t="s">
        <v>3430</v>
      </c>
    </row>
    <row r="607" spans="1:33" ht="24" customHeight="1">
      <c r="A607" s="1122">
        <f t="shared" si="69"/>
        <v>415</v>
      </c>
      <c r="B607" s="1103" t="s">
        <v>3574</v>
      </c>
      <c r="C607" s="1114">
        <v>11.7</v>
      </c>
      <c r="D607" s="1103" t="s">
        <v>165</v>
      </c>
      <c r="F607" s="1114">
        <v>0.5</v>
      </c>
      <c r="G607" s="1114" t="s">
        <v>314</v>
      </c>
      <c r="H607" s="1103" t="s">
        <v>3575</v>
      </c>
      <c r="I607" s="1114">
        <f>C41</f>
        <v>637</v>
      </c>
      <c r="J607" s="1103" t="s">
        <v>522</v>
      </c>
      <c r="K607" s="1114">
        <f>(F607*I607)</f>
        <v>318.5</v>
      </c>
      <c r="O607" s="1111" t="s">
        <v>36</v>
      </c>
      <c r="AE607" s="1114" t="str">
        <f t="shared" si="72"/>
        <v>|</v>
      </c>
      <c r="AG607" s="1103" t="s">
        <v>3430</v>
      </c>
    </row>
    <row r="608" spans="1:33" ht="24" customHeight="1">
      <c r="A608" s="1122">
        <f t="shared" si="69"/>
        <v>416</v>
      </c>
      <c r="B608" s="1103" t="s">
        <v>3576</v>
      </c>
      <c r="C608" s="1114">
        <v>24.7</v>
      </c>
      <c r="D608" s="1103" t="s">
        <v>165</v>
      </c>
      <c r="E608" s="1105">
        <f>22.2+26.8</f>
        <v>49</v>
      </c>
      <c r="G608" s="1114" t="s">
        <v>2851</v>
      </c>
      <c r="H608" s="1103" t="s">
        <v>3536</v>
      </c>
      <c r="J608" s="1103" t="s">
        <v>2851</v>
      </c>
      <c r="K608" s="1114">
        <v>53.5</v>
      </c>
      <c r="M608" s="1114">
        <v>1.3</v>
      </c>
      <c r="N608" s="1103" t="s">
        <v>2839</v>
      </c>
      <c r="O608" s="1103" t="s">
        <v>3551</v>
      </c>
      <c r="P608" s="1114">
        <f>(K88)</f>
        <v>204.4</v>
      </c>
      <c r="Q608" s="1103" t="s">
        <v>2839</v>
      </c>
      <c r="R608" s="1114">
        <f>(M608*P608)</f>
        <v>265.72000000000003</v>
      </c>
      <c r="AE608" s="1114" t="str">
        <f t="shared" si="72"/>
        <v>|</v>
      </c>
      <c r="AG608" s="1103" t="s">
        <v>3430</v>
      </c>
    </row>
    <row r="609" spans="1:33" ht="24" customHeight="1">
      <c r="A609" s="1122"/>
      <c r="B609" s="1103" t="s">
        <v>3577</v>
      </c>
      <c r="C609" s="1114">
        <v>22.4</v>
      </c>
      <c r="D609" s="1103" t="s">
        <v>165</v>
      </c>
      <c r="E609" s="1105">
        <f>E608/2</f>
        <v>24.5</v>
      </c>
      <c r="H609" s="1103" t="s">
        <v>3538</v>
      </c>
      <c r="K609" s="1111" t="s">
        <v>36</v>
      </c>
      <c r="M609" s="1114"/>
      <c r="N609" s="1103"/>
      <c r="O609" s="1103"/>
      <c r="P609" s="1114"/>
      <c r="Q609" s="1103"/>
      <c r="R609" s="1114"/>
      <c r="AE609" s="1114" t="str">
        <f t="shared" si="72"/>
        <v>|</v>
      </c>
      <c r="AG609" s="1103" t="s">
        <v>3430</v>
      </c>
    </row>
    <row r="610" spans="1:33" ht="24" customHeight="1">
      <c r="A610" s="1122">
        <f>(A608+1)</f>
        <v>417</v>
      </c>
      <c r="B610" s="1103" t="s">
        <v>3578</v>
      </c>
      <c r="C610" s="1114">
        <v>27</v>
      </c>
      <c r="D610" s="1103" t="s">
        <v>165</v>
      </c>
      <c r="H610" s="1104" t="s">
        <v>3579</v>
      </c>
      <c r="K610" s="1114">
        <f>SUM(K604:K608)</f>
        <v>1843.25</v>
      </c>
      <c r="M610" s="1128">
        <v>0.216</v>
      </c>
      <c r="N610" s="1103" t="s">
        <v>2839</v>
      </c>
      <c r="O610" s="1103" t="s">
        <v>3554</v>
      </c>
      <c r="P610" s="1114">
        <f>(R60)</f>
        <v>3940.6769999999997</v>
      </c>
      <c r="Q610" s="1103" t="s">
        <v>2839</v>
      </c>
      <c r="R610" s="1114">
        <f>(M610*P610)</f>
        <v>851.1862319999999</v>
      </c>
      <c r="AE610" s="1114">
        <f t="shared" si="72"/>
        <v>0</v>
      </c>
      <c r="AG610" s="1103"/>
    </row>
    <row r="611" spans="1:33" ht="24" customHeight="1">
      <c r="A611" s="1122">
        <f t="shared" si="69"/>
        <v>418</v>
      </c>
      <c r="B611" s="1103" t="s">
        <v>3580</v>
      </c>
      <c r="C611" s="1114">
        <v>7.5</v>
      </c>
      <c r="D611" s="1103" t="s">
        <v>2941</v>
      </c>
      <c r="K611" s="1111" t="s">
        <v>36</v>
      </c>
      <c r="M611" s="1128">
        <v>0.60099999999999998</v>
      </c>
      <c r="N611" s="1103" t="s">
        <v>2839</v>
      </c>
      <c r="O611" s="1103" t="s">
        <v>3556</v>
      </c>
      <c r="P611" s="1114">
        <f>(R89)</f>
        <v>6402.9149999999991</v>
      </c>
      <c r="Q611" s="1103" t="s">
        <v>2839</v>
      </c>
      <c r="R611" s="1114">
        <f>(M611*P611)</f>
        <v>3848.1519149999995</v>
      </c>
      <c r="AE611" s="1114" t="str">
        <f t="shared" si="72"/>
        <v>|</v>
      </c>
      <c r="AG611" s="1103" t="s">
        <v>3430</v>
      </c>
    </row>
    <row r="612" spans="1:33" ht="24" customHeight="1">
      <c r="A612" s="1122">
        <f t="shared" si="69"/>
        <v>419</v>
      </c>
      <c r="B612" s="1103" t="s">
        <v>3581</v>
      </c>
      <c r="C612" s="1114">
        <v>16</v>
      </c>
      <c r="D612" s="1103" t="s">
        <v>2941</v>
      </c>
      <c r="E612" s="1105" t="s">
        <v>3582</v>
      </c>
      <c r="H612" s="1103" t="s">
        <v>3062</v>
      </c>
      <c r="I612" s="1114">
        <f>K610</f>
        <v>1843.25</v>
      </c>
      <c r="J612" s="1103">
        <f>C22*0.04</f>
        <v>4.1319999999999997</v>
      </c>
      <c r="K612" s="1115">
        <f>(K610+C22*0.04)</f>
        <v>1847.3820000000001</v>
      </c>
      <c r="M612" s="1128">
        <v>6.35</v>
      </c>
      <c r="N612" s="1103" t="s">
        <v>3189</v>
      </c>
      <c r="O612" s="1103" t="s">
        <v>3560</v>
      </c>
      <c r="P612" s="1114">
        <f>(R304)</f>
        <v>240.66203999999999</v>
      </c>
      <c r="Q612" s="1103" t="s">
        <v>3189</v>
      </c>
      <c r="R612" s="1114">
        <f>(M612*P612)</f>
        <v>1528.2039539999998</v>
      </c>
      <c r="AE612" s="1114" t="str">
        <f t="shared" si="72"/>
        <v>|</v>
      </c>
      <c r="AG612" s="1103" t="s">
        <v>3430</v>
      </c>
    </row>
    <row r="613" spans="1:33" ht="24" customHeight="1">
      <c r="A613" s="1122">
        <f t="shared" si="69"/>
        <v>420</v>
      </c>
      <c r="B613" s="1103" t="s">
        <v>3583</v>
      </c>
      <c r="C613" s="1114">
        <v>3060</v>
      </c>
      <c r="D613" s="1103" t="s">
        <v>3584</v>
      </c>
      <c r="E613" s="1105">
        <v>3420</v>
      </c>
      <c r="H613" s="1103" t="s">
        <v>3066</v>
      </c>
      <c r="I613" s="1114">
        <f>K612</f>
        <v>1847.3820000000001</v>
      </c>
      <c r="J613" s="1103">
        <f>C23*0.04</f>
        <v>8.14</v>
      </c>
      <c r="K613" s="1115">
        <f>(K612+C23*0.04)</f>
        <v>1855.5220000000002</v>
      </c>
      <c r="M613" s="1128">
        <v>3.2000000000000001E-2</v>
      </c>
      <c r="N613" s="1103" t="s">
        <v>2839</v>
      </c>
      <c r="O613" s="1103" t="s">
        <v>3562</v>
      </c>
      <c r="P613" s="1114">
        <f>(K643)</f>
        <v>7755</v>
      </c>
      <c r="Q613" s="1103" t="s">
        <v>2839</v>
      </c>
      <c r="R613" s="1114">
        <f>(M613*P613)</f>
        <v>248.16</v>
      </c>
      <c r="AE613" s="1114" t="str">
        <f t="shared" si="72"/>
        <v>|</v>
      </c>
      <c r="AG613" s="1103" t="s">
        <v>3430</v>
      </c>
    </row>
    <row r="614" spans="1:33" ht="24" customHeight="1">
      <c r="A614" s="1122">
        <f t="shared" si="69"/>
        <v>421</v>
      </c>
      <c r="B614" s="1103" t="s">
        <v>3585</v>
      </c>
      <c r="C614" s="1114">
        <v>805</v>
      </c>
      <c r="D614" s="1103" t="s">
        <v>3584</v>
      </c>
      <c r="H614" s="1103" t="s">
        <v>3069</v>
      </c>
      <c r="I614" s="1114">
        <f>K613</f>
        <v>1855.5220000000002</v>
      </c>
      <c r="J614" s="1103">
        <f>C23*0.04</f>
        <v>8.14</v>
      </c>
      <c r="K614" s="1115">
        <f>(K613+C24*0.04)</f>
        <v>1863.6620000000003</v>
      </c>
      <c r="O614" s="1103" t="s">
        <v>3564</v>
      </c>
      <c r="R614" s="1103" t="s">
        <v>220</v>
      </c>
      <c r="AE614" s="1114" t="str">
        <f t="shared" si="72"/>
        <v>|</v>
      </c>
      <c r="AG614" s="1103" t="s">
        <v>3430</v>
      </c>
    </row>
    <row r="615" spans="1:33" ht="24" customHeight="1">
      <c r="A615" s="1122">
        <f t="shared" si="69"/>
        <v>422</v>
      </c>
      <c r="B615" s="1103" t="s">
        <v>3586</v>
      </c>
      <c r="C615" s="1114">
        <f>204+53</f>
        <v>257</v>
      </c>
      <c r="D615" s="1103" t="s">
        <v>3584</v>
      </c>
      <c r="H615" s="1103" t="s">
        <v>3071</v>
      </c>
      <c r="I615" s="1114">
        <f>K614</f>
        <v>1863.6620000000003</v>
      </c>
      <c r="J615" s="1103">
        <f>C23*0.04</f>
        <v>8.14</v>
      </c>
      <c r="K615" s="1115">
        <f>(K614+C24*0.04)</f>
        <v>1871.8020000000004</v>
      </c>
      <c r="N615" s="1103" t="s">
        <v>2851</v>
      </c>
      <c r="O615" s="1103" t="s">
        <v>3566</v>
      </c>
      <c r="Q615" s="1103" t="s">
        <v>2851</v>
      </c>
      <c r="R615" s="1114">
        <v>2.1</v>
      </c>
      <c r="AE615" s="1114" t="str">
        <f t="shared" si="72"/>
        <v>|</v>
      </c>
      <c r="AG615" s="1103" t="s">
        <v>3430</v>
      </c>
    </row>
    <row r="616" spans="1:33" ht="24" customHeight="1">
      <c r="A616" s="1122">
        <f t="shared" si="69"/>
        <v>423</v>
      </c>
      <c r="B616" s="1103" t="s">
        <v>3587</v>
      </c>
      <c r="C616" s="1114">
        <v>53</v>
      </c>
      <c r="D616" s="1103" t="s">
        <v>2941</v>
      </c>
      <c r="H616" s="1103" t="s">
        <v>3451</v>
      </c>
      <c r="I616" s="1114">
        <f>K615</f>
        <v>1871.8020000000004</v>
      </c>
      <c r="J616" s="1103">
        <f>C24*0.04</f>
        <v>8.14</v>
      </c>
      <c r="K616" s="1115">
        <f>(K615+C24*0.04)</f>
        <v>1879.9420000000005</v>
      </c>
      <c r="R616" s="1111" t="s">
        <v>36</v>
      </c>
      <c r="AE616" s="1114" t="str">
        <f t="shared" si="72"/>
        <v>|</v>
      </c>
      <c r="AG616" s="1103" t="s">
        <v>3430</v>
      </c>
    </row>
    <row r="617" spans="1:33" ht="24" customHeight="1">
      <c r="A617" s="1122">
        <f t="shared" si="69"/>
        <v>424</v>
      </c>
      <c r="B617" s="1103" t="s">
        <v>3588</v>
      </c>
      <c r="C617" s="1114">
        <v>1656</v>
      </c>
      <c r="D617" s="1103" t="s">
        <v>2941</v>
      </c>
      <c r="F617" s="1139">
        <v>15.1</v>
      </c>
      <c r="G617" s="1114" t="s">
        <v>3589</v>
      </c>
      <c r="H617" s="1103" t="s">
        <v>3590</v>
      </c>
      <c r="O617" s="1103" t="s">
        <v>3569</v>
      </c>
      <c r="R617" s="1114">
        <f>SUM(R608:R615)</f>
        <v>6743.5221009999996</v>
      </c>
      <c r="AE617" s="1114" t="str">
        <f t="shared" si="72"/>
        <v>|</v>
      </c>
      <c r="AG617" s="1103" t="s">
        <v>3430</v>
      </c>
    </row>
    <row r="618" spans="1:33" ht="24" customHeight="1">
      <c r="A618" s="1122">
        <f t="shared" si="69"/>
        <v>425</v>
      </c>
      <c r="B618" s="1103" t="s">
        <v>3591</v>
      </c>
      <c r="C618" s="1114">
        <v>196</v>
      </c>
      <c r="D618" s="1103" t="s">
        <v>2941</v>
      </c>
      <c r="H618" s="1103" t="s">
        <v>3528</v>
      </c>
      <c r="R618" s="1111" t="s">
        <v>36</v>
      </c>
      <c r="AE618" s="1114" t="str">
        <f t="shared" si="72"/>
        <v>|</v>
      </c>
      <c r="AG618" s="1103" t="s">
        <v>3430</v>
      </c>
    </row>
    <row r="619" spans="1:33" ht="24" customHeight="1">
      <c r="A619" s="1122">
        <f t="shared" si="69"/>
        <v>426</v>
      </c>
      <c r="B619" s="1103" t="s">
        <v>3592</v>
      </c>
      <c r="C619" s="1114">
        <v>931</v>
      </c>
      <c r="D619" s="1103" t="s">
        <v>2941</v>
      </c>
      <c r="F619" s="1114">
        <v>10</v>
      </c>
      <c r="G619" s="1114" t="s">
        <v>37</v>
      </c>
      <c r="H619" s="1103" t="s">
        <v>3593</v>
      </c>
      <c r="I619" s="1114">
        <f>C751</f>
        <v>373</v>
      </c>
      <c r="J619" s="1103" t="s">
        <v>37</v>
      </c>
      <c r="K619" s="1114">
        <f>(F619*I619)</f>
        <v>3730</v>
      </c>
      <c r="N619" s="1103" t="s">
        <v>1363</v>
      </c>
      <c r="O619" s="1103" t="s">
        <v>3594</v>
      </c>
      <c r="AE619" s="1114" t="str">
        <f t="shared" si="72"/>
        <v>|</v>
      </c>
      <c r="AG619" s="1103" t="s">
        <v>3430</v>
      </c>
    </row>
    <row r="620" spans="1:33" ht="24" customHeight="1">
      <c r="A620" s="1122">
        <f t="shared" si="69"/>
        <v>427</v>
      </c>
      <c r="B620" s="1103" t="s">
        <v>3595</v>
      </c>
      <c r="C620" s="1114">
        <v>193.05</v>
      </c>
      <c r="D620" s="1103">
        <v>120.54</v>
      </c>
      <c r="F620" s="1114">
        <v>0.12</v>
      </c>
      <c r="G620" s="1114" t="s">
        <v>2839</v>
      </c>
      <c r="H620" s="1103" t="s">
        <v>3596</v>
      </c>
      <c r="I620" s="1114">
        <f>K32</f>
        <v>4795.8599999999997</v>
      </c>
      <c r="J620" s="1103" t="s">
        <v>2839</v>
      </c>
      <c r="K620" s="1114">
        <f>(F620*I620)</f>
        <v>575.50319999999999</v>
      </c>
      <c r="O620" s="1103" t="s">
        <v>3597</v>
      </c>
      <c r="AE620" s="1114" t="str">
        <f t="shared" si="72"/>
        <v>|</v>
      </c>
      <c r="AG620" s="1103" t="s">
        <v>3430</v>
      </c>
    </row>
    <row r="621" spans="1:33" ht="24" customHeight="1">
      <c r="A621" s="1122">
        <f t="shared" si="69"/>
        <v>428</v>
      </c>
      <c r="B621" s="1103" t="s">
        <v>3598</v>
      </c>
      <c r="C621" s="1114">
        <v>115.85</v>
      </c>
      <c r="D621" s="1103" t="s">
        <v>1790</v>
      </c>
      <c r="F621" s="1114">
        <v>1</v>
      </c>
      <c r="G621" s="1114" t="s">
        <v>314</v>
      </c>
      <c r="H621" s="1103" t="s">
        <v>3532</v>
      </c>
      <c r="I621" s="1114">
        <f>C10</f>
        <v>861</v>
      </c>
      <c r="J621" s="1103" t="s">
        <v>522</v>
      </c>
      <c r="K621" s="1114">
        <f>(F621*I621)</f>
        <v>861</v>
      </c>
      <c r="O621" s="1111" t="s">
        <v>36</v>
      </c>
      <c r="AE621" s="1114" t="str">
        <f t="shared" si="72"/>
        <v>|</v>
      </c>
      <c r="AG621" s="1103" t="s">
        <v>3430</v>
      </c>
    </row>
    <row r="622" spans="1:33" ht="24" customHeight="1">
      <c r="A622" s="1122">
        <f t="shared" si="69"/>
        <v>429</v>
      </c>
      <c r="B622" s="1103" t="s">
        <v>3599</v>
      </c>
      <c r="D622" s="1103" t="s">
        <v>1790</v>
      </c>
      <c r="F622" s="1114">
        <v>1</v>
      </c>
      <c r="G622" s="1114" t="s">
        <v>314</v>
      </c>
      <c r="H622" s="1103" t="s">
        <v>3534</v>
      </c>
      <c r="I622" s="1114">
        <f>C12</f>
        <v>562</v>
      </c>
      <c r="J622" s="1103" t="s">
        <v>522</v>
      </c>
      <c r="K622" s="1114">
        <f>(F622*I622)</f>
        <v>562</v>
      </c>
      <c r="M622" s="1114">
        <v>10.37</v>
      </c>
      <c r="N622" s="1103" t="s">
        <v>2839</v>
      </c>
      <c r="O622" s="1103" t="s">
        <v>3600</v>
      </c>
      <c r="P622" s="1114">
        <f>(C61*2)</f>
        <v>193.2</v>
      </c>
      <c r="Q622" s="1103" t="s">
        <v>2839</v>
      </c>
      <c r="R622" s="1114">
        <f t="shared" ref="R622:R630" si="73">(M622*P622)</f>
        <v>2003.4839999999997</v>
      </c>
      <c r="AE622" s="1114" t="str">
        <f t="shared" si="72"/>
        <v>|</v>
      </c>
      <c r="AG622" s="1103" t="s">
        <v>3430</v>
      </c>
    </row>
    <row r="623" spans="1:33" ht="24" customHeight="1">
      <c r="A623" s="1122">
        <f t="shared" si="69"/>
        <v>430</v>
      </c>
      <c r="B623" s="1103" t="s">
        <v>3601</v>
      </c>
      <c r="C623" s="1114">
        <v>76</v>
      </c>
      <c r="D623" s="1103" t="s">
        <v>2838</v>
      </c>
      <c r="G623" s="1114" t="s">
        <v>2851</v>
      </c>
      <c r="H623" s="1103" t="s">
        <v>3536</v>
      </c>
      <c r="J623" s="1103" t="s">
        <v>2851</v>
      </c>
      <c r="K623" s="1114">
        <v>0.33</v>
      </c>
      <c r="M623" s="1114">
        <v>0.65</v>
      </c>
      <c r="N623" s="1103" t="s">
        <v>2839</v>
      </c>
      <c r="O623" s="1103" t="s">
        <v>3602</v>
      </c>
      <c r="P623" s="1114">
        <f>R60</f>
        <v>3940.6769999999997</v>
      </c>
      <c r="Q623" s="1103" t="s">
        <v>2839</v>
      </c>
      <c r="R623" s="1114">
        <f t="shared" si="73"/>
        <v>2561.4400499999997</v>
      </c>
      <c r="AE623" s="1114" t="str">
        <f t="shared" si="72"/>
        <v>|</v>
      </c>
      <c r="AG623" s="1103" t="s">
        <v>3430</v>
      </c>
    </row>
    <row r="624" spans="1:33" ht="24" customHeight="1">
      <c r="A624" s="1122">
        <f t="shared" si="69"/>
        <v>431</v>
      </c>
      <c r="B624" s="1103" t="s">
        <v>3603</v>
      </c>
      <c r="C624" s="1114">
        <v>45</v>
      </c>
      <c r="D624" s="1103" t="s">
        <v>2838</v>
      </c>
      <c r="H624" s="1103" t="s">
        <v>3538</v>
      </c>
      <c r="K624" s="1111" t="s">
        <v>36</v>
      </c>
      <c r="M624" s="1114">
        <v>1.1399999999999999</v>
      </c>
      <c r="N624" s="1103" t="s">
        <v>2839</v>
      </c>
      <c r="O624" s="1103" t="s">
        <v>3604</v>
      </c>
      <c r="P624" s="1114">
        <f>K321</f>
        <v>6233.1989999999996</v>
      </c>
      <c r="Q624" s="1103" t="s">
        <v>2839</v>
      </c>
      <c r="R624" s="1114">
        <f t="shared" si="73"/>
        <v>7105.8468599999987</v>
      </c>
      <c r="AE624" s="1114" t="str">
        <f t="shared" si="72"/>
        <v>|</v>
      </c>
      <c r="AG624" s="1103" t="s">
        <v>3430</v>
      </c>
    </row>
    <row r="625" spans="1:33" ht="24" customHeight="1">
      <c r="A625" s="1122">
        <f t="shared" si="69"/>
        <v>432</v>
      </c>
      <c r="B625" s="1103" t="s">
        <v>3605</v>
      </c>
      <c r="C625" s="1105">
        <v>33</v>
      </c>
      <c r="D625" s="1103" t="s">
        <v>2838</v>
      </c>
      <c r="H625" s="1104" t="s">
        <v>3606</v>
      </c>
      <c r="K625" s="1114">
        <f>SUM(K619:K623)</f>
        <v>5728.8332</v>
      </c>
      <c r="M625" s="1114">
        <v>0.85</v>
      </c>
      <c r="N625" s="1103" t="s">
        <v>2839</v>
      </c>
      <c r="O625" s="1103" t="s">
        <v>3607</v>
      </c>
      <c r="P625" s="1114">
        <f>K321-K312/10</f>
        <v>5320.3139999999994</v>
      </c>
      <c r="Q625" s="1103" t="s">
        <v>2839</v>
      </c>
      <c r="R625" s="1114">
        <f t="shared" si="73"/>
        <v>4522.2668999999996</v>
      </c>
      <c r="AE625" s="1114">
        <f t="shared" si="72"/>
        <v>0</v>
      </c>
      <c r="AG625" s="1103"/>
    </row>
    <row r="626" spans="1:33" ht="24" customHeight="1">
      <c r="A626" s="1122">
        <f t="shared" si="69"/>
        <v>433</v>
      </c>
      <c r="B626" s="1103" t="s">
        <v>3608</v>
      </c>
      <c r="C626" s="1114">
        <v>79.5</v>
      </c>
      <c r="D626" s="1103" t="s">
        <v>2838</v>
      </c>
      <c r="K626" s="1111" t="s">
        <v>36</v>
      </c>
      <c r="M626" s="1114">
        <v>0.98</v>
      </c>
      <c r="N626" s="1103" t="s">
        <v>2839</v>
      </c>
      <c r="O626" s="1103" t="s">
        <v>3609</v>
      </c>
      <c r="P626" s="1114">
        <f>(C73)</f>
        <v>1987.06</v>
      </c>
      <c r="Q626" s="1103" t="s">
        <v>2839</v>
      </c>
      <c r="R626" s="1114">
        <f t="shared" si="73"/>
        <v>1947.3188</v>
      </c>
      <c r="AE626" s="1114" t="str">
        <f t="shared" si="72"/>
        <v>|</v>
      </c>
      <c r="AG626" s="1103" t="s">
        <v>3430</v>
      </c>
    </row>
    <row r="627" spans="1:33" ht="24" customHeight="1">
      <c r="A627" s="1122">
        <f t="shared" si="69"/>
        <v>434</v>
      </c>
      <c r="B627" s="1103" t="s">
        <v>3610</v>
      </c>
      <c r="C627" s="1114">
        <v>36.520000000000003</v>
      </c>
      <c r="D627" s="1103" t="s">
        <v>2838</v>
      </c>
      <c r="H627" s="1104" t="s">
        <v>3611</v>
      </c>
      <c r="K627" s="1114">
        <f>K625/10</f>
        <v>572.88332000000003</v>
      </c>
      <c r="M627" s="1114">
        <v>2.68</v>
      </c>
      <c r="N627" s="1103" t="s">
        <v>2839</v>
      </c>
      <c r="O627" s="1103" t="s">
        <v>2878</v>
      </c>
      <c r="P627" s="1114">
        <f>(C79)</f>
        <v>1835.06</v>
      </c>
      <c r="Q627" s="1103" t="s">
        <v>2839</v>
      </c>
      <c r="R627" s="1114">
        <f t="shared" si="73"/>
        <v>4917.9607999999998</v>
      </c>
      <c r="AE627" s="1114" t="str">
        <f t="shared" si="72"/>
        <v>|</v>
      </c>
      <c r="AG627" s="1103" t="s">
        <v>3430</v>
      </c>
    </row>
    <row r="628" spans="1:33" ht="24" customHeight="1">
      <c r="A628" s="1122">
        <f t="shared" si="69"/>
        <v>435</v>
      </c>
      <c r="B628" s="1103" t="s">
        <v>3612</v>
      </c>
      <c r="D628" s="1103" t="s">
        <v>2838</v>
      </c>
      <c r="H628" s="1103" t="s">
        <v>3062</v>
      </c>
      <c r="I628" s="1105">
        <f>K627</f>
        <v>572.88332000000003</v>
      </c>
      <c r="J628" s="1107">
        <f>C22*0.02</f>
        <v>2.0659999999999998</v>
      </c>
      <c r="K628" s="1115">
        <f>I628+J628</f>
        <v>574.94932000000006</v>
      </c>
      <c r="M628" s="1114">
        <v>7.24</v>
      </c>
      <c r="N628" s="1103" t="s">
        <v>3189</v>
      </c>
      <c r="O628" s="1103" t="s">
        <v>3613</v>
      </c>
      <c r="P628" s="1114">
        <f>(K1400)</f>
        <v>225.14156000000003</v>
      </c>
      <c r="Q628" s="1103" t="s">
        <v>3189</v>
      </c>
      <c r="R628" s="1114">
        <f t="shared" si="73"/>
        <v>1630.0248944000002</v>
      </c>
      <c r="AE628" s="1114" t="str">
        <f t="shared" si="72"/>
        <v>|</v>
      </c>
      <c r="AG628" s="1103" t="s">
        <v>3430</v>
      </c>
    </row>
    <row r="629" spans="1:33" ht="24" customHeight="1">
      <c r="A629" s="1122">
        <f t="shared" si="69"/>
        <v>436</v>
      </c>
      <c r="B629" s="1103" t="s">
        <v>3614</v>
      </c>
      <c r="C629" s="1114">
        <v>99.2</v>
      </c>
      <c r="D629" s="1114">
        <v>93.72</v>
      </c>
      <c r="H629" s="1103" t="s">
        <v>3066</v>
      </c>
      <c r="I629" s="1105">
        <f>K628</f>
        <v>574.94932000000006</v>
      </c>
      <c r="J629" s="1107">
        <f>C23*0.02</f>
        <v>4.07</v>
      </c>
      <c r="K629" s="1115">
        <f>I629+J629</f>
        <v>579.01932000000011</v>
      </c>
      <c r="M629" s="1114">
        <v>1</v>
      </c>
      <c r="N629" s="1103" t="s">
        <v>2838</v>
      </c>
      <c r="O629" s="1103" t="s">
        <v>3615</v>
      </c>
      <c r="P629" s="1114">
        <f>(C203)</f>
        <v>126.8</v>
      </c>
      <c r="Q629" s="1103" t="s">
        <v>2838</v>
      </c>
      <c r="R629" s="1114">
        <f t="shared" si="73"/>
        <v>126.8</v>
      </c>
      <c r="AE629" s="1114" t="str">
        <f t="shared" si="72"/>
        <v>|</v>
      </c>
      <c r="AG629" s="1103" t="s">
        <v>3430</v>
      </c>
    </row>
    <row r="630" spans="1:33" ht="24" customHeight="1">
      <c r="A630" s="1122">
        <f t="shared" si="69"/>
        <v>437</v>
      </c>
      <c r="B630" s="1103" t="s">
        <v>3616</v>
      </c>
      <c r="C630" s="1114">
        <v>66.3</v>
      </c>
      <c r="D630" s="1103" t="s">
        <v>2838</v>
      </c>
      <c r="H630" s="1103" t="s">
        <v>3069</v>
      </c>
      <c r="I630" s="1105">
        <f>K629</f>
        <v>579.01932000000011</v>
      </c>
      <c r="J630" s="1107">
        <f>J629</f>
        <v>4.07</v>
      </c>
      <c r="K630" s="1115">
        <f>I630+J630</f>
        <v>583.08932000000016</v>
      </c>
      <c r="M630" s="1128">
        <v>0.13600000000000001</v>
      </c>
      <c r="N630" s="1103" t="s">
        <v>2839</v>
      </c>
      <c r="O630" s="1103" t="s">
        <v>3617</v>
      </c>
      <c r="P630" s="1114">
        <f>(K643)</f>
        <v>7755</v>
      </c>
      <c r="Q630" s="1103" t="s">
        <v>2839</v>
      </c>
      <c r="R630" s="1114">
        <f t="shared" si="73"/>
        <v>1054.68</v>
      </c>
      <c r="AE630" s="1114" t="str">
        <f t="shared" si="72"/>
        <v>|</v>
      </c>
      <c r="AG630" s="1103" t="s">
        <v>3430</v>
      </c>
    </row>
    <row r="631" spans="1:33" ht="24" customHeight="1">
      <c r="A631" s="1122">
        <f t="shared" si="69"/>
        <v>438</v>
      </c>
      <c r="B631" s="1103" t="s">
        <v>3618</v>
      </c>
      <c r="C631" s="1105">
        <v>30.25</v>
      </c>
      <c r="D631" s="1103" t="s">
        <v>2838</v>
      </c>
      <c r="H631" s="1103" t="s">
        <v>3071</v>
      </c>
      <c r="I631" s="1105">
        <f>K630</f>
        <v>583.08932000000016</v>
      </c>
      <c r="J631" s="1107">
        <f>J630</f>
        <v>4.07</v>
      </c>
      <c r="K631" s="1115">
        <f>I631+J631</f>
        <v>587.15932000000021</v>
      </c>
      <c r="O631" s="1103" t="s">
        <v>3619</v>
      </c>
      <c r="AE631" s="1114" t="str">
        <f t="shared" si="72"/>
        <v>|</v>
      </c>
      <c r="AG631" s="1103" t="s">
        <v>3430</v>
      </c>
    </row>
    <row r="632" spans="1:33" ht="24" customHeight="1">
      <c r="A632" s="1122">
        <f t="shared" si="69"/>
        <v>439</v>
      </c>
      <c r="B632" s="1103" t="s">
        <v>3620</v>
      </c>
      <c r="C632" s="1114">
        <v>159.19999999999999</v>
      </c>
      <c r="D632" s="1103" t="s">
        <v>2838</v>
      </c>
      <c r="H632" s="1103" t="s">
        <v>3451</v>
      </c>
      <c r="I632" s="1105">
        <f>K631</f>
        <v>587.15932000000021</v>
      </c>
      <c r="J632" s="1107">
        <f>J631</f>
        <v>4.07</v>
      </c>
      <c r="K632" s="1115">
        <f>I632+J632</f>
        <v>591.22932000000026</v>
      </c>
      <c r="N632" s="1103" t="s">
        <v>2851</v>
      </c>
      <c r="O632" s="1103" t="s">
        <v>3566</v>
      </c>
      <c r="Q632" s="1103" t="s">
        <v>2851</v>
      </c>
      <c r="R632" s="1114">
        <v>2.2400000000000002</v>
      </c>
      <c r="AE632" s="1114" t="str">
        <f t="shared" si="72"/>
        <v>|</v>
      </c>
      <c r="AG632" s="1103" t="s">
        <v>3430</v>
      </c>
    </row>
    <row r="633" spans="1:33" ht="24" customHeight="1">
      <c r="A633" s="1122">
        <f t="shared" si="69"/>
        <v>440</v>
      </c>
      <c r="B633" s="1103" t="s">
        <v>3621</v>
      </c>
      <c r="C633" s="1114">
        <v>99.2</v>
      </c>
      <c r="D633" s="1103" t="s">
        <v>2838</v>
      </c>
      <c r="F633" s="1104" t="s">
        <v>3421</v>
      </c>
      <c r="G633" s="1114" t="s">
        <v>1363</v>
      </c>
      <c r="H633" s="1103" t="s">
        <v>3422</v>
      </c>
      <c r="R633" s="1111" t="s">
        <v>36</v>
      </c>
      <c r="AE633" s="1114" t="str">
        <f t="shared" si="72"/>
        <v>|</v>
      </c>
      <c r="AG633" s="1103" t="s">
        <v>3430</v>
      </c>
    </row>
    <row r="634" spans="1:33" ht="24" customHeight="1">
      <c r="A634" s="1122">
        <f t="shared" si="69"/>
        <v>441</v>
      </c>
      <c r="B634" s="1103" t="s">
        <v>3622</v>
      </c>
      <c r="D634" s="1103" t="s">
        <v>2838</v>
      </c>
      <c r="H634" s="1103" t="s">
        <v>3423</v>
      </c>
      <c r="O634" s="1103" t="s">
        <v>3569</v>
      </c>
      <c r="R634" s="1114">
        <f>SUM(R622:R632)</f>
        <v>25872.062304400002</v>
      </c>
      <c r="AE634" s="1114" t="str">
        <f t="shared" si="72"/>
        <v>|</v>
      </c>
      <c r="AG634" s="1103" t="s">
        <v>3430</v>
      </c>
    </row>
    <row r="635" spans="1:33" ht="24" customHeight="1">
      <c r="A635" s="1122">
        <f t="shared" si="69"/>
        <v>442</v>
      </c>
      <c r="B635" s="1103" t="s">
        <v>3623</v>
      </c>
      <c r="C635" s="1114">
        <v>185.9</v>
      </c>
      <c r="D635" s="1103" t="s">
        <v>2838</v>
      </c>
      <c r="H635" s="1103" t="s">
        <v>3624</v>
      </c>
      <c r="R635" s="1111" t="s">
        <v>36</v>
      </c>
      <c r="AE635" s="1114" t="str">
        <f t="shared" si="72"/>
        <v>|</v>
      </c>
      <c r="AG635" s="1103" t="s">
        <v>3430</v>
      </c>
    </row>
    <row r="636" spans="1:33" ht="24" customHeight="1">
      <c r="A636" s="1122">
        <f t="shared" si="69"/>
        <v>443</v>
      </c>
      <c r="B636" s="1103" t="s">
        <v>3625</v>
      </c>
      <c r="C636" s="1114">
        <v>119.3</v>
      </c>
      <c r="D636" s="1103" t="s">
        <v>2838</v>
      </c>
      <c r="H636" s="1111" t="s">
        <v>36</v>
      </c>
      <c r="N636" s="1103" t="s">
        <v>1363</v>
      </c>
      <c r="O636" s="1103" t="s">
        <v>3626</v>
      </c>
      <c r="AE636" s="1114" t="str">
        <f t="shared" si="72"/>
        <v>|</v>
      </c>
      <c r="AG636" s="1103" t="s">
        <v>3430</v>
      </c>
    </row>
    <row r="637" spans="1:33" ht="24" customHeight="1">
      <c r="F637" s="1114">
        <v>0.01</v>
      </c>
      <c r="G637" s="1114" t="s">
        <v>2839</v>
      </c>
      <c r="H637" s="1103" t="s">
        <v>3627</v>
      </c>
      <c r="I637" s="1114">
        <f>(K280)</f>
        <v>7639.9770000000008</v>
      </c>
      <c r="J637" s="1103" t="s">
        <v>2839</v>
      </c>
      <c r="K637" s="1114">
        <f>(F637*I637)</f>
        <v>76.399770000000004</v>
      </c>
      <c r="AE637" s="1114" t="str">
        <f t="shared" si="72"/>
        <v>|</v>
      </c>
      <c r="AG637" s="1103" t="s">
        <v>3430</v>
      </c>
    </row>
    <row r="638" spans="1:33" ht="24" customHeight="1">
      <c r="A638" s="1122">
        <f>(A636+1)</f>
        <v>444</v>
      </c>
      <c r="B638" s="1103" t="s">
        <v>3628</v>
      </c>
      <c r="D638" s="1103" t="s">
        <v>2838</v>
      </c>
      <c r="F638" s="1114">
        <v>0.01</v>
      </c>
      <c r="G638" s="1114" t="s">
        <v>2839</v>
      </c>
      <c r="H638" s="1103" t="s">
        <v>3432</v>
      </c>
      <c r="J638" s="1103" t="s">
        <v>2851</v>
      </c>
      <c r="K638" s="1114">
        <v>1.1499999999999999</v>
      </c>
      <c r="O638" s="1103" t="s">
        <v>3629</v>
      </c>
      <c r="S638" s="1104" t="s">
        <v>3630</v>
      </c>
      <c r="T638" s="1114" t="s">
        <v>1363</v>
      </c>
      <c r="U638" s="1106" t="s">
        <v>3491</v>
      </c>
      <c r="W638" s="1107"/>
      <c r="AA638" s="1104" t="s">
        <v>3630</v>
      </c>
      <c r="AB638" s="1114" t="s">
        <v>1363</v>
      </c>
      <c r="AC638" s="1106" t="s">
        <v>3492</v>
      </c>
      <c r="AE638" s="1107"/>
    </row>
    <row r="639" spans="1:33" ht="24" customHeight="1">
      <c r="A639" s="1122">
        <f t="shared" ref="A639:A702" si="74">(A638+1)</f>
        <v>445</v>
      </c>
      <c r="B639" s="1103" t="s">
        <v>3631</v>
      </c>
      <c r="C639" s="1114">
        <v>284.39999999999998</v>
      </c>
      <c r="D639" s="1103" t="s">
        <v>2838</v>
      </c>
      <c r="H639" s="1103" t="s">
        <v>3435</v>
      </c>
      <c r="O639" s="1111" t="s">
        <v>36</v>
      </c>
      <c r="S639" s="1105"/>
      <c r="U639" s="1103" t="s">
        <v>3632</v>
      </c>
      <c r="W639" s="1107"/>
      <c r="AC639" s="1103" t="s">
        <v>3632</v>
      </c>
      <c r="AE639" s="1107"/>
    </row>
    <row r="640" spans="1:33" ht="24" customHeight="1">
      <c r="A640" s="1122">
        <f t="shared" si="74"/>
        <v>446</v>
      </c>
      <c r="B640" s="1103" t="s">
        <v>3633</v>
      </c>
      <c r="C640" s="1114">
        <v>198.2</v>
      </c>
      <c r="D640" s="1103" t="s">
        <v>2838</v>
      </c>
      <c r="K640" s="1111" t="s">
        <v>36</v>
      </c>
      <c r="M640" s="1114">
        <v>3</v>
      </c>
      <c r="N640" s="1103" t="s">
        <v>2839</v>
      </c>
      <c r="O640" s="1103" t="s">
        <v>3634</v>
      </c>
      <c r="P640" s="1114">
        <f>(C61*2)</f>
        <v>193.2</v>
      </c>
      <c r="Q640" s="1103" t="s">
        <v>2839</v>
      </c>
      <c r="R640" s="1114">
        <f>(M640*P640)</f>
        <v>579.59999999999991</v>
      </c>
      <c r="S640" s="1105"/>
      <c r="U640" s="1103" t="s">
        <v>3635</v>
      </c>
      <c r="W640" s="1107"/>
      <c r="AC640" s="1103" t="s">
        <v>3635</v>
      </c>
      <c r="AE640" s="1107"/>
    </row>
    <row r="641" spans="1:32" ht="24" customHeight="1">
      <c r="A641" s="1122">
        <f t="shared" si="74"/>
        <v>447</v>
      </c>
      <c r="B641" s="1103" t="s">
        <v>3636</v>
      </c>
      <c r="D641" s="1103" t="s">
        <v>2838</v>
      </c>
      <c r="H641" s="1103" t="s">
        <v>3436</v>
      </c>
      <c r="K641" s="1114">
        <f>SUM(K637:K639)</f>
        <v>77.549770000000009</v>
      </c>
      <c r="M641" s="1114">
        <v>2.4</v>
      </c>
      <c r="N641" s="1103" t="s">
        <v>2839</v>
      </c>
      <c r="O641" s="1103" t="s">
        <v>3637</v>
      </c>
      <c r="P641" s="1114">
        <f>(C81)</f>
        <v>886.3</v>
      </c>
      <c r="Q641" s="1103" t="s">
        <v>2839</v>
      </c>
      <c r="R641" s="1114">
        <f>(M641*P641)</f>
        <v>2127.12</v>
      </c>
      <c r="S641" s="1105"/>
      <c r="U641" s="1111" t="s">
        <v>36</v>
      </c>
      <c r="W641" s="1107"/>
      <c r="AC641" s="1111" t="s">
        <v>36</v>
      </c>
      <c r="AE641" s="1107"/>
    </row>
    <row r="642" spans="1:32" ht="24" customHeight="1">
      <c r="A642" s="1122">
        <f t="shared" si="74"/>
        <v>448</v>
      </c>
      <c r="B642" s="1103" t="s">
        <v>3638</v>
      </c>
      <c r="C642" s="1114">
        <v>152.30000000000001</v>
      </c>
      <c r="D642" s="1103" t="s">
        <v>2838</v>
      </c>
      <c r="K642" s="1111" t="s">
        <v>36</v>
      </c>
      <c r="M642" s="1114">
        <v>5</v>
      </c>
      <c r="N642" s="1103" t="s">
        <v>2838</v>
      </c>
      <c r="O642" s="1103" t="s">
        <v>3639</v>
      </c>
      <c r="P642" s="1114">
        <f>(C204)</f>
        <v>62.8</v>
      </c>
      <c r="Q642" s="1103" t="s">
        <v>2838</v>
      </c>
      <c r="R642" s="1114">
        <f>(M642*P642)</f>
        <v>314</v>
      </c>
      <c r="S642" s="1128">
        <v>8.3000000000000007</v>
      </c>
      <c r="T642" s="1114" t="s">
        <v>2839</v>
      </c>
      <c r="U642" s="1103" t="s">
        <v>3640</v>
      </c>
      <c r="V642" s="1114">
        <f>AC11</f>
        <v>1299.3899999999999</v>
      </c>
      <c r="W642" s="1103" t="s">
        <v>2839</v>
      </c>
      <c r="X642" s="1114">
        <f t="shared" ref="X642:X648" si="75">S642*V642</f>
        <v>10784.937</v>
      </c>
      <c r="AA642" s="1128">
        <v>8.3000000000000007</v>
      </c>
      <c r="AB642" s="1114" t="s">
        <v>2839</v>
      </c>
      <c r="AC642" s="1103" t="s">
        <v>3640</v>
      </c>
      <c r="AD642" s="1114">
        <f>V642</f>
        <v>1299.3899999999999</v>
      </c>
      <c r="AE642" s="1103" t="s">
        <v>2839</v>
      </c>
      <c r="AF642" s="1114">
        <f t="shared" ref="AF642:AF648" si="76">AA642*AD642</f>
        <v>10784.937</v>
      </c>
    </row>
    <row r="643" spans="1:32" ht="24" customHeight="1">
      <c r="A643" s="1122">
        <f t="shared" si="74"/>
        <v>449</v>
      </c>
      <c r="B643" s="1103" t="s">
        <v>3641</v>
      </c>
      <c r="C643" s="1114">
        <v>92.7</v>
      </c>
      <c r="D643" s="1103" t="s">
        <v>2838</v>
      </c>
      <c r="H643" s="1103" t="s">
        <v>2946</v>
      </c>
      <c r="K643" s="1114">
        <f>ROUND(K641*100,0)</f>
        <v>7755</v>
      </c>
      <c r="O643" s="1103" t="s">
        <v>2852</v>
      </c>
      <c r="Q643" s="1103" t="s">
        <v>2851</v>
      </c>
      <c r="R643" s="1114">
        <v>0.08</v>
      </c>
      <c r="S643" s="1128">
        <v>3.25</v>
      </c>
      <c r="T643" s="1114" t="s">
        <v>197</v>
      </c>
      <c r="U643" s="1103" t="s">
        <v>2830</v>
      </c>
      <c r="V643" s="1114">
        <f>I808</f>
        <v>5960</v>
      </c>
      <c r="W643" s="1103" t="s">
        <v>197</v>
      </c>
      <c r="X643" s="1114">
        <f t="shared" si="75"/>
        <v>19370</v>
      </c>
      <c r="AA643" s="1128">
        <v>4</v>
      </c>
      <c r="AB643" s="1114" t="s">
        <v>197</v>
      </c>
      <c r="AC643" s="1103" t="s">
        <v>2830</v>
      </c>
      <c r="AD643" s="1114">
        <f t="shared" ref="AD643:AD648" si="77">V643</f>
        <v>5960</v>
      </c>
      <c r="AE643" s="1103" t="s">
        <v>197</v>
      </c>
      <c r="AF643" s="1114">
        <f t="shared" si="76"/>
        <v>23840</v>
      </c>
    </row>
    <row r="644" spans="1:32" ht="24" customHeight="1">
      <c r="A644" s="1122">
        <f t="shared" si="74"/>
        <v>450</v>
      </c>
      <c r="B644" s="1103" t="s">
        <v>3642</v>
      </c>
      <c r="D644" s="1103" t="s">
        <v>2838</v>
      </c>
      <c r="F644" s="1103" t="s">
        <v>220</v>
      </c>
      <c r="R644" s="1111" t="s">
        <v>36</v>
      </c>
      <c r="S644" s="1128">
        <v>4.79</v>
      </c>
      <c r="T644" s="1114" t="s">
        <v>2839</v>
      </c>
      <c r="U644" s="1103" t="s">
        <v>2840</v>
      </c>
      <c r="V644" s="1114">
        <f>I809</f>
        <v>1835.06</v>
      </c>
      <c r="W644" s="1103" t="s">
        <v>2839</v>
      </c>
      <c r="X644" s="1114">
        <f t="shared" si="75"/>
        <v>8789.9374000000007</v>
      </c>
      <c r="AA644" s="1128">
        <v>4.79</v>
      </c>
      <c r="AB644" s="1114" t="s">
        <v>2839</v>
      </c>
      <c r="AC644" s="1103" t="s">
        <v>2840</v>
      </c>
      <c r="AD644" s="1114">
        <f t="shared" si="77"/>
        <v>1835.06</v>
      </c>
      <c r="AE644" s="1103" t="s">
        <v>2839</v>
      </c>
      <c r="AF644" s="1114">
        <f t="shared" si="76"/>
        <v>8789.9374000000007</v>
      </c>
    </row>
    <row r="645" spans="1:32" ht="24" customHeight="1">
      <c r="A645" s="1122">
        <f t="shared" si="74"/>
        <v>451</v>
      </c>
      <c r="B645" s="1103" t="s">
        <v>3643</v>
      </c>
      <c r="C645" s="1114">
        <v>178.9</v>
      </c>
      <c r="D645" s="1103" t="s">
        <v>2838</v>
      </c>
      <c r="K645" s="1111" t="s">
        <v>2793</v>
      </c>
      <c r="O645" s="1103" t="s">
        <v>3569</v>
      </c>
      <c r="R645" s="1114">
        <f>SUM(R640:R643)</f>
        <v>3020.7999999999997</v>
      </c>
      <c r="S645" s="1128">
        <v>3.5</v>
      </c>
      <c r="T645" s="1114" t="s">
        <v>2838</v>
      </c>
      <c r="U645" s="1103" t="s">
        <v>3017</v>
      </c>
      <c r="V645" s="1114">
        <f>C11</f>
        <v>804</v>
      </c>
      <c r="W645" s="1103" t="s">
        <v>2838</v>
      </c>
      <c r="X645" s="1114">
        <f t="shared" si="75"/>
        <v>2814</v>
      </c>
      <c r="AA645" s="1128">
        <v>3.5</v>
      </c>
      <c r="AB645" s="1114" t="s">
        <v>2838</v>
      </c>
      <c r="AC645" s="1103" t="s">
        <v>3017</v>
      </c>
      <c r="AD645" s="1114">
        <f t="shared" si="77"/>
        <v>804</v>
      </c>
      <c r="AE645" s="1103" t="s">
        <v>2838</v>
      </c>
      <c r="AF645" s="1114">
        <f t="shared" si="76"/>
        <v>2814</v>
      </c>
    </row>
    <row r="646" spans="1:32" ht="24" customHeight="1">
      <c r="A646" s="1122">
        <f t="shared" si="74"/>
        <v>452</v>
      </c>
      <c r="B646" s="1103" t="s">
        <v>3644</v>
      </c>
      <c r="C646" s="1114">
        <v>119.3</v>
      </c>
      <c r="D646" s="1103" t="s">
        <v>2838</v>
      </c>
      <c r="G646" s="1114" t="s">
        <v>3138</v>
      </c>
      <c r="H646" s="1103" t="s">
        <v>3437</v>
      </c>
      <c r="R646" s="1111" t="s">
        <v>36</v>
      </c>
      <c r="S646" s="1128">
        <v>21.2</v>
      </c>
      <c r="T646" s="1114" t="s">
        <v>2838</v>
      </c>
      <c r="U646" s="1103" t="s">
        <v>3020</v>
      </c>
      <c r="V646" s="1114">
        <f>C12</f>
        <v>562</v>
      </c>
      <c r="W646" s="1103" t="s">
        <v>2838</v>
      </c>
      <c r="X646" s="1114">
        <f t="shared" si="75"/>
        <v>11914.4</v>
      </c>
      <c r="AA646" s="1128">
        <v>21.2</v>
      </c>
      <c r="AB646" s="1114" t="s">
        <v>2838</v>
      </c>
      <c r="AC646" s="1103" t="s">
        <v>3020</v>
      </c>
      <c r="AD646" s="1114">
        <f t="shared" si="77"/>
        <v>562</v>
      </c>
      <c r="AE646" s="1103" t="s">
        <v>2838</v>
      </c>
      <c r="AF646" s="1114">
        <f t="shared" si="76"/>
        <v>11914.4</v>
      </c>
    </row>
    <row r="647" spans="1:32" ht="24" customHeight="1">
      <c r="A647" s="1122">
        <f t="shared" si="74"/>
        <v>453</v>
      </c>
      <c r="B647" s="1103" t="s">
        <v>3645</v>
      </c>
      <c r="D647" s="1103" t="s">
        <v>2838</v>
      </c>
      <c r="H647" s="1103" t="s">
        <v>3438</v>
      </c>
      <c r="S647" s="1128">
        <v>35.299999999999997</v>
      </c>
      <c r="T647" s="1114" t="s">
        <v>2838</v>
      </c>
      <c r="U647" s="1103" t="s">
        <v>3026</v>
      </c>
      <c r="V647" s="1114">
        <f>C13</f>
        <v>461</v>
      </c>
      <c r="W647" s="1103" t="s">
        <v>2838</v>
      </c>
      <c r="X647" s="1114">
        <f t="shared" si="75"/>
        <v>16273.3</v>
      </c>
      <c r="AA647" s="1128">
        <v>35.299999999999997</v>
      </c>
      <c r="AB647" s="1114" t="s">
        <v>2838</v>
      </c>
      <c r="AC647" s="1103" t="s">
        <v>3026</v>
      </c>
      <c r="AD647" s="1114">
        <f t="shared" si="77"/>
        <v>461</v>
      </c>
      <c r="AE647" s="1103" t="s">
        <v>2838</v>
      </c>
      <c r="AF647" s="1114">
        <f t="shared" si="76"/>
        <v>16273.3</v>
      </c>
    </row>
    <row r="648" spans="1:32" ht="24" customHeight="1">
      <c r="A648" s="1122">
        <f t="shared" si="74"/>
        <v>454</v>
      </c>
      <c r="B648" s="1103" t="s">
        <v>3646</v>
      </c>
      <c r="C648" s="1114">
        <v>78.400000000000006</v>
      </c>
      <c r="D648" s="1103" t="s">
        <v>2838</v>
      </c>
      <c r="H648" s="1111" t="s">
        <v>36</v>
      </c>
      <c r="N648" s="1103" t="s">
        <v>1363</v>
      </c>
      <c r="O648" s="1103" t="s">
        <v>3647</v>
      </c>
      <c r="S648" s="1127">
        <v>19.5</v>
      </c>
      <c r="U648" s="1103" t="s">
        <v>3648</v>
      </c>
      <c r="V648" s="1105">
        <v>42.8</v>
      </c>
      <c r="W648" s="1103" t="s">
        <v>2851</v>
      </c>
      <c r="X648" s="1114">
        <f t="shared" si="75"/>
        <v>834.59999999999991</v>
      </c>
      <c r="AA648" s="1127">
        <v>40</v>
      </c>
      <c r="AC648" s="1103" t="s">
        <v>3648</v>
      </c>
      <c r="AD648" s="1114">
        <f t="shared" si="77"/>
        <v>42.8</v>
      </c>
      <c r="AE648" s="1103" t="s">
        <v>2851</v>
      </c>
      <c r="AF648" s="1114">
        <f t="shared" si="76"/>
        <v>1712</v>
      </c>
    </row>
    <row r="649" spans="1:32" ht="24" customHeight="1">
      <c r="A649" s="1122">
        <f t="shared" si="74"/>
        <v>455</v>
      </c>
      <c r="B649" s="1103" t="s">
        <v>3649</v>
      </c>
      <c r="C649" s="1114">
        <v>52.9</v>
      </c>
      <c r="D649" s="1103" t="s">
        <v>2838</v>
      </c>
      <c r="F649" s="1128">
        <v>1.4E-2</v>
      </c>
      <c r="G649" s="1114" t="s">
        <v>2839</v>
      </c>
      <c r="H649" s="1103" t="s">
        <v>3439</v>
      </c>
      <c r="I649" s="1114">
        <f>(K643)</f>
        <v>7755</v>
      </c>
      <c r="J649" s="1103" t="s">
        <v>2839</v>
      </c>
      <c r="K649" s="1114">
        <f>(F649*I649)</f>
        <v>108.57000000000001</v>
      </c>
      <c r="O649" s="1103" t="s">
        <v>3650</v>
      </c>
      <c r="S649" s="1105"/>
      <c r="W649" s="1107"/>
      <c r="X649" s="1111" t="s">
        <v>36</v>
      </c>
      <c r="AE649" s="1107"/>
      <c r="AF649" s="1111" t="s">
        <v>36</v>
      </c>
    </row>
    <row r="650" spans="1:32" ht="24" customHeight="1">
      <c r="A650" s="1122">
        <f t="shared" si="74"/>
        <v>456</v>
      </c>
      <c r="B650" s="1103" t="s">
        <v>3651</v>
      </c>
      <c r="C650" s="1105">
        <v>32.799999999999997</v>
      </c>
      <c r="D650" s="1103" t="s">
        <v>2838</v>
      </c>
      <c r="F650" s="1128"/>
      <c r="H650" s="1103" t="s">
        <v>3440</v>
      </c>
      <c r="K650" s="1103" t="s">
        <v>220</v>
      </c>
      <c r="O650" s="1103" t="s">
        <v>3652</v>
      </c>
      <c r="S650" s="1105"/>
      <c r="U650" s="1104" t="s">
        <v>3033</v>
      </c>
      <c r="W650" s="1107"/>
      <c r="X650" s="1114">
        <f>SUM(X642:X648)</f>
        <v>70781.174400000004</v>
      </c>
      <c r="AC650" s="1104" t="s">
        <v>3033</v>
      </c>
      <c r="AE650" s="1107"/>
      <c r="AF650" s="1114">
        <f>SUM(AF642:AF648)</f>
        <v>76128.574399999998</v>
      </c>
    </row>
    <row r="651" spans="1:32" ht="24" customHeight="1">
      <c r="A651" s="1122">
        <f t="shared" si="74"/>
        <v>457</v>
      </c>
      <c r="B651" s="1103" t="s">
        <v>3653</v>
      </c>
      <c r="C651" s="1114">
        <v>155.32</v>
      </c>
      <c r="D651" s="1103" t="s">
        <v>2838</v>
      </c>
      <c r="F651" s="1114">
        <v>0.5</v>
      </c>
      <c r="G651" s="1114" t="s">
        <v>2941</v>
      </c>
      <c r="H651" s="1103" t="s">
        <v>3051</v>
      </c>
      <c r="I651" s="1114">
        <f>(C10)</f>
        <v>861</v>
      </c>
      <c r="J651" s="1103" t="s">
        <v>2941</v>
      </c>
      <c r="K651" s="1114">
        <f>(F651*I651)</f>
        <v>430.5</v>
      </c>
      <c r="O651" s="1111" t="s">
        <v>36</v>
      </c>
      <c r="S651" s="1105"/>
      <c r="W651" s="1107"/>
      <c r="X651" s="1111" t="s">
        <v>2793</v>
      </c>
      <c r="AE651" s="1107"/>
      <c r="AF651" s="1111" t="s">
        <v>2793</v>
      </c>
    </row>
    <row r="652" spans="1:32" ht="24" customHeight="1">
      <c r="A652" s="1122">
        <f t="shared" si="74"/>
        <v>458</v>
      </c>
      <c r="B652" s="1103" t="s">
        <v>3654</v>
      </c>
      <c r="C652" s="1114">
        <v>91.08</v>
      </c>
      <c r="D652" s="1103" t="s">
        <v>2838</v>
      </c>
      <c r="F652" s="1114">
        <v>0.75</v>
      </c>
      <c r="G652" s="1114" t="s">
        <v>2941</v>
      </c>
      <c r="H652" s="1103" t="s">
        <v>3020</v>
      </c>
      <c r="I652" s="1114">
        <f>(C12)</f>
        <v>562</v>
      </c>
      <c r="J652" s="1103" t="s">
        <v>2941</v>
      </c>
      <c r="K652" s="1114">
        <f>(F652*I652)</f>
        <v>421.5</v>
      </c>
      <c r="M652" s="1114">
        <v>9.5</v>
      </c>
      <c r="N652" s="1103" t="s">
        <v>2839</v>
      </c>
      <c r="O652" s="1103" t="s">
        <v>3634</v>
      </c>
      <c r="P652" s="1114">
        <f>(C61*2)</f>
        <v>193.2</v>
      </c>
      <c r="Q652" s="1103" t="s">
        <v>2839</v>
      </c>
      <c r="R652" s="1114">
        <f t="shared" ref="R652:R660" si="78">(M652*P652)</f>
        <v>1835.3999999999999</v>
      </c>
      <c r="S652" s="1105"/>
      <c r="U652" s="1103" t="s">
        <v>2946</v>
      </c>
      <c r="W652" s="1107"/>
      <c r="X652" s="1114">
        <f>X650/10</f>
        <v>7078.11744</v>
      </c>
      <c r="AC652" s="1103" t="s">
        <v>2946</v>
      </c>
      <c r="AE652" s="1107"/>
      <c r="AF652" s="1114">
        <f>AF650/10</f>
        <v>7612.8574399999998</v>
      </c>
    </row>
    <row r="653" spans="1:32" ht="24" customHeight="1">
      <c r="A653" s="1122">
        <f t="shared" si="74"/>
        <v>459</v>
      </c>
      <c r="B653" s="1103" t="s">
        <v>3655</v>
      </c>
      <c r="C653" s="1114">
        <v>42.3</v>
      </c>
      <c r="D653" s="1103" t="s">
        <v>165</v>
      </c>
      <c r="G653" s="1114" t="s">
        <v>2851</v>
      </c>
      <c r="H653" s="1103" t="s">
        <v>2852</v>
      </c>
      <c r="J653" s="1103" t="s">
        <v>2851</v>
      </c>
      <c r="K653" s="1114">
        <v>0</v>
      </c>
      <c r="M653" s="1114">
        <v>0.47</v>
      </c>
      <c r="N653" s="1103" t="s">
        <v>2839</v>
      </c>
      <c r="O653" s="1103" t="s">
        <v>3656</v>
      </c>
      <c r="P653" s="1114">
        <f>(R74)</f>
        <v>6379.6410000000005</v>
      </c>
      <c r="Q653" s="1103" t="s">
        <v>2839</v>
      </c>
      <c r="R653" s="1114">
        <f t="shared" si="78"/>
        <v>2998.43127</v>
      </c>
      <c r="S653" s="1114">
        <v>1</v>
      </c>
      <c r="T653" s="1114" t="s">
        <v>2839</v>
      </c>
      <c r="U653" s="1103" t="s">
        <v>3271</v>
      </c>
      <c r="V653" s="1114"/>
      <c r="W653" s="1107"/>
      <c r="X653" s="1114"/>
      <c r="AA653" s="1114">
        <v>1</v>
      </c>
      <c r="AB653" s="1114" t="s">
        <v>2839</v>
      </c>
      <c r="AC653" s="1103" t="s">
        <v>3271</v>
      </c>
      <c r="AD653" s="1114"/>
      <c r="AE653" s="1107"/>
      <c r="AF653" s="1114"/>
    </row>
    <row r="654" spans="1:32" ht="24" customHeight="1">
      <c r="A654" s="1122">
        <f t="shared" si="74"/>
        <v>460</v>
      </c>
      <c r="B654" s="1103" t="s">
        <v>3657</v>
      </c>
      <c r="C654" s="1114">
        <v>0.3</v>
      </c>
      <c r="D654" s="1103" t="s">
        <v>2838</v>
      </c>
      <c r="K654" s="1111" t="s">
        <v>36</v>
      </c>
      <c r="M654" s="1114">
        <v>1.62</v>
      </c>
      <c r="N654" s="1103" t="s">
        <v>2839</v>
      </c>
      <c r="O654" s="1103" t="s">
        <v>3556</v>
      </c>
      <c r="P654" s="1114">
        <f>(R89)</f>
        <v>6402.9149999999991</v>
      </c>
      <c r="Q654" s="1103" t="s">
        <v>2839</v>
      </c>
      <c r="R654" s="1114">
        <f t="shared" si="78"/>
        <v>10372.722299999999</v>
      </c>
      <c r="X654" s="1105">
        <f>SUM(X652:X653)</f>
        <v>7078.11744</v>
      </c>
      <c r="AA654" s="1108"/>
      <c r="AF654" s="1105">
        <f>SUM(AF652:AF653)</f>
        <v>7612.8574399999998</v>
      </c>
    </row>
    <row r="655" spans="1:32" ht="24" customHeight="1">
      <c r="A655" s="1122">
        <f t="shared" si="74"/>
        <v>461</v>
      </c>
      <c r="B655" s="1103" t="s">
        <v>3658</v>
      </c>
      <c r="C655" s="1114">
        <v>187.8</v>
      </c>
      <c r="D655" s="1103" t="s">
        <v>3189</v>
      </c>
      <c r="H655" s="1103" t="s">
        <v>3446</v>
      </c>
      <c r="K655" s="1114">
        <f>SUM(K649:K653)</f>
        <v>960.57</v>
      </c>
      <c r="M655" s="1114">
        <v>15.22</v>
      </c>
      <c r="N655" s="1103" t="s">
        <v>3189</v>
      </c>
      <c r="O655" s="1103" t="s">
        <v>3659</v>
      </c>
      <c r="P655" s="1114">
        <f>(R304)</f>
        <v>240.66203999999999</v>
      </c>
      <c r="Q655" s="1103" t="s">
        <v>3189</v>
      </c>
      <c r="R655" s="1114">
        <f t="shared" si="78"/>
        <v>3662.8762488000002</v>
      </c>
      <c r="S655" s="1105"/>
      <c r="U655" s="1105" t="s">
        <v>3660</v>
      </c>
      <c r="X655" s="1105">
        <f>X654*0.5%</f>
        <v>35.390587199999999</v>
      </c>
      <c r="AC655" s="1105" t="s">
        <v>3660</v>
      </c>
      <c r="AF655" s="1105">
        <f>AF654*0.5%</f>
        <v>38.064287200000003</v>
      </c>
    </row>
    <row r="656" spans="1:32" ht="24" customHeight="1">
      <c r="A656" s="1122">
        <f t="shared" si="74"/>
        <v>462</v>
      </c>
      <c r="B656" s="1103" t="s">
        <v>3661</v>
      </c>
      <c r="C656" s="1114">
        <v>97.31</v>
      </c>
      <c r="D656" s="1103" t="s">
        <v>3189</v>
      </c>
      <c r="K656" s="1111" t="s">
        <v>36</v>
      </c>
      <c r="M656" s="1114">
        <v>0.18</v>
      </c>
      <c r="N656" s="1103" t="s">
        <v>2839</v>
      </c>
      <c r="O656" s="1103" t="s">
        <v>3662</v>
      </c>
      <c r="P656" s="1114">
        <f>(K280)</f>
        <v>7639.9770000000008</v>
      </c>
      <c r="Q656" s="1103" t="s">
        <v>2839</v>
      </c>
      <c r="R656" s="1114">
        <f t="shared" si="78"/>
        <v>1375.19586</v>
      </c>
      <c r="S656" s="1105"/>
      <c r="W656" s="1107"/>
      <c r="X656" s="1111"/>
      <c r="AE656" s="1107"/>
      <c r="AF656" s="1111"/>
    </row>
    <row r="657" spans="1:32" ht="24" customHeight="1">
      <c r="A657" s="1122">
        <f t="shared" si="74"/>
        <v>463</v>
      </c>
      <c r="B657" s="1103" t="s">
        <v>3663</v>
      </c>
      <c r="C657" s="1114">
        <v>198.2</v>
      </c>
      <c r="D657" s="1103" t="s">
        <v>3281</v>
      </c>
      <c r="H657" s="1103" t="s">
        <v>3154</v>
      </c>
      <c r="K657" s="1114">
        <f>(K655/0.372)</f>
        <v>2582.177419354839</v>
      </c>
      <c r="M657" s="1114">
        <v>0.36</v>
      </c>
      <c r="N657" s="1103" t="s">
        <v>3189</v>
      </c>
      <c r="O657" s="1103" t="s">
        <v>3664</v>
      </c>
      <c r="P657" s="1114">
        <f>(K467)</f>
        <v>371.32695799999993</v>
      </c>
      <c r="Q657" s="1103" t="s">
        <v>3189</v>
      </c>
      <c r="R657" s="1114">
        <f t="shared" si="78"/>
        <v>133.67770487999996</v>
      </c>
      <c r="S657" s="1105"/>
      <c r="U657" s="1105" t="s">
        <v>3665</v>
      </c>
      <c r="W657" s="1107"/>
      <c r="X657" s="1115">
        <f>SUM(X654:X656)</f>
        <v>7113.5080271999996</v>
      </c>
      <c r="AC657" s="1105" t="s">
        <v>3665</v>
      </c>
      <c r="AE657" s="1107"/>
      <c r="AF657" s="1115">
        <f>SUM(AF654:AF656)</f>
        <v>7650.9217271999996</v>
      </c>
    </row>
    <row r="658" spans="1:32" ht="24" customHeight="1">
      <c r="A658" s="1122">
        <f t="shared" si="74"/>
        <v>464</v>
      </c>
      <c r="B658" s="1103" t="s">
        <v>3666</v>
      </c>
      <c r="C658" s="1114">
        <v>198.2</v>
      </c>
      <c r="D658" s="1103" t="s">
        <v>3281</v>
      </c>
      <c r="K658" s="1111" t="s">
        <v>2793</v>
      </c>
      <c r="M658" s="1114">
        <v>1</v>
      </c>
      <c r="N658" s="1103" t="s">
        <v>2838</v>
      </c>
      <c r="O658" s="1103" t="s">
        <v>3667</v>
      </c>
      <c r="P658" s="1114">
        <f>(C203)</f>
        <v>126.8</v>
      </c>
      <c r="Q658" s="1103" t="s">
        <v>2838</v>
      </c>
      <c r="R658" s="1114">
        <f t="shared" si="78"/>
        <v>126.8</v>
      </c>
      <c r="S658" s="1105"/>
      <c r="W658" s="1107"/>
      <c r="X658" s="1111" t="s">
        <v>36</v>
      </c>
      <c r="AE658" s="1107"/>
      <c r="AF658" s="1111" t="s">
        <v>36</v>
      </c>
    </row>
    <row r="659" spans="1:32" ht="24" customHeight="1">
      <c r="A659" s="1122">
        <f t="shared" si="74"/>
        <v>465</v>
      </c>
      <c r="B659" s="1103" t="s">
        <v>3668</v>
      </c>
      <c r="C659" s="1114">
        <v>3.84</v>
      </c>
      <c r="D659" s="1103" t="s">
        <v>2838</v>
      </c>
      <c r="E659" s="1105" t="s">
        <v>3669</v>
      </c>
      <c r="H659" s="1103" t="s">
        <v>3062</v>
      </c>
      <c r="I659" s="1105">
        <f>K657</f>
        <v>2582.177419354839</v>
      </c>
      <c r="J659" s="1107">
        <f>C22*0.014/0.372</f>
        <v>3.8876344086021506</v>
      </c>
      <c r="K659" s="1115">
        <f>I659+J659</f>
        <v>2586.065053763441</v>
      </c>
      <c r="M659" s="1114">
        <v>1.8</v>
      </c>
      <c r="N659" s="1103" t="s">
        <v>3670</v>
      </c>
      <c r="O659" s="1103" t="s">
        <v>3671</v>
      </c>
      <c r="P659" s="1114">
        <f>(C325)</f>
        <v>14.91</v>
      </c>
      <c r="Q659" s="1103" t="s">
        <v>3670</v>
      </c>
      <c r="R659" s="1114">
        <f t="shared" si="78"/>
        <v>26.838000000000001</v>
      </c>
      <c r="S659" s="1105"/>
      <c r="U659" s="1103" t="s">
        <v>3062</v>
      </c>
      <c r="W659" s="1107"/>
      <c r="X659" s="1115">
        <f>(X657+C23)</f>
        <v>7317.0080271999996</v>
      </c>
      <c r="AC659" s="1103" t="s">
        <v>3062</v>
      </c>
      <c r="AE659" s="1107"/>
      <c r="AF659" s="1115">
        <f>AF657+C23</f>
        <v>7854.4217271999996</v>
      </c>
    </row>
    <row r="660" spans="1:32" ht="24" customHeight="1">
      <c r="A660" s="1122">
        <f t="shared" si="74"/>
        <v>466</v>
      </c>
      <c r="B660" s="1103" t="s">
        <v>3672</v>
      </c>
      <c r="C660" s="1114">
        <v>62.6</v>
      </c>
      <c r="D660" s="1103">
        <v>61.5</v>
      </c>
      <c r="E660" s="1105" t="s">
        <v>3673</v>
      </c>
      <c r="H660" s="1103" t="s">
        <v>3066</v>
      </c>
      <c r="I660" s="1105">
        <f>K659</f>
        <v>2586.065053763441</v>
      </c>
      <c r="J660" s="1107">
        <f>C23*0.014/0.372</f>
        <v>7.6586021505376349</v>
      </c>
      <c r="K660" s="1115">
        <f>I660+J660</f>
        <v>2593.7236559139787</v>
      </c>
      <c r="M660" s="1114">
        <v>1</v>
      </c>
      <c r="N660" s="1103" t="s">
        <v>2838</v>
      </c>
      <c r="O660" s="1103" t="s">
        <v>3674</v>
      </c>
      <c r="P660" s="1114">
        <f>(C371)</f>
        <v>13.29</v>
      </c>
      <c r="Q660" s="1103" t="s">
        <v>2838</v>
      </c>
      <c r="R660" s="1114">
        <f t="shared" si="78"/>
        <v>13.29</v>
      </c>
      <c r="S660" s="1105"/>
      <c r="U660" s="1103" t="s">
        <v>3066</v>
      </c>
      <c r="W660" s="1107"/>
      <c r="X660" s="1115">
        <f>X659+C24</f>
        <v>7520.5080271999996</v>
      </c>
      <c r="AC660" s="1103" t="s">
        <v>3066</v>
      </c>
      <c r="AE660" s="1107"/>
      <c r="AF660" s="1115">
        <f>AF659+C24</f>
        <v>8057.9217271999996</v>
      </c>
    </row>
    <row r="661" spans="1:32" ht="32.25" customHeight="1">
      <c r="A661" s="1122">
        <f t="shared" si="74"/>
        <v>467</v>
      </c>
      <c r="B661" s="1150" t="s">
        <v>3675</v>
      </c>
      <c r="C661" s="1114">
        <v>9.1199999999999992</v>
      </c>
      <c r="D661" s="1103" t="s">
        <v>1790</v>
      </c>
      <c r="E661" s="1105">
        <v>15.53</v>
      </c>
      <c r="H661" s="1103" t="s">
        <v>3069</v>
      </c>
      <c r="I661" s="1105">
        <f>K660</f>
        <v>2593.7236559139787</v>
      </c>
      <c r="J661" s="1107">
        <f>J660</f>
        <v>7.6586021505376349</v>
      </c>
      <c r="K661" s="1115">
        <f>I661+J661</f>
        <v>2601.3822580645165</v>
      </c>
      <c r="N661" s="1103" t="s">
        <v>2851</v>
      </c>
      <c r="O661" s="1103" t="s">
        <v>3566</v>
      </c>
      <c r="Q661" s="1103" t="s">
        <v>2851</v>
      </c>
      <c r="R661" s="1114">
        <v>1.72</v>
      </c>
      <c r="S661" s="1105"/>
      <c r="U661" s="1103" t="s">
        <v>3069</v>
      </c>
      <c r="W661" s="1107"/>
      <c r="X661" s="1115">
        <f>X660+C25</f>
        <v>7601.8080271999997</v>
      </c>
      <c r="AC661" s="1103" t="s">
        <v>3069</v>
      </c>
      <c r="AE661" s="1107"/>
      <c r="AF661" s="1115">
        <f>AF660+C25</f>
        <v>8139.2217271999998</v>
      </c>
    </row>
    <row r="662" spans="1:32" ht="24" customHeight="1">
      <c r="A662" s="1122">
        <f t="shared" si="74"/>
        <v>468</v>
      </c>
      <c r="B662" s="1151" t="s">
        <v>3676</v>
      </c>
      <c r="C662" s="1114">
        <v>15.43</v>
      </c>
      <c r="D662" s="1103" t="s">
        <v>1790</v>
      </c>
      <c r="H662" s="1103" t="s">
        <v>3071</v>
      </c>
      <c r="I662" s="1105">
        <f>K661</f>
        <v>2601.3822580645165</v>
      </c>
      <c r="J662" s="1107">
        <f>J661</f>
        <v>7.6586021505376349</v>
      </c>
      <c r="K662" s="1115">
        <f>I662+J662</f>
        <v>2609.0408602150542</v>
      </c>
      <c r="R662" s="1103" t="s">
        <v>220</v>
      </c>
      <c r="S662" s="1105"/>
      <c r="U662" s="1103" t="s">
        <v>3071</v>
      </c>
      <c r="W662" s="1107"/>
      <c r="X662" s="1115">
        <f>X661+C25</f>
        <v>7683.1080271999999</v>
      </c>
      <c r="AC662" s="1103" t="s">
        <v>3071</v>
      </c>
      <c r="AE662" s="1107"/>
      <c r="AF662" s="1115">
        <f>AF661+C25</f>
        <v>8220.5217271999991</v>
      </c>
    </row>
    <row r="663" spans="1:32" ht="24" customHeight="1">
      <c r="A663" s="1122">
        <f t="shared" si="74"/>
        <v>469</v>
      </c>
      <c r="B663" s="1103" t="s">
        <v>3677</v>
      </c>
      <c r="C663" s="1114">
        <v>8.1</v>
      </c>
      <c r="D663" s="1103">
        <v>9.6999999999999993</v>
      </c>
      <c r="E663" s="1105">
        <v>2</v>
      </c>
      <c r="H663" s="1103" t="s">
        <v>3451</v>
      </c>
      <c r="I663" s="1105">
        <f>K662</f>
        <v>2609.0408602150542</v>
      </c>
      <c r="J663" s="1107">
        <f>J662</f>
        <v>7.6586021505376349</v>
      </c>
      <c r="K663" s="1115">
        <f>I663+J663</f>
        <v>2616.6994623655919</v>
      </c>
      <c r="R663" s="1111" t="s">
        <v>36</v>
      </c>
      <c r="S663" s="1105"/>
      <c r="U663" s="1103" t="s">
        <v>3158</v>
      </c>
      <c r="W663" s="1107"/>
      <c r="X663" s="1115">
        <f>X662+C25</f>
        <v>7764.4080272000001</v>
      </c>
      <c r="AC663" s="1103" t="s">
        <v>3158</v>
      </c>
      <c r="AE663" s="1107"/>
      <c r="AF663" s="1115">
        <f>AF662+K25</f>
        <v>8220.5217271999991</v>
      </c>
    </row>
    <row r="664" spans="1:32" ht="24" customHeight="1">
      <c r="A664" s="1122"/>
      <c r="B664" s="1103"/>
      <c r="C664" s="1114"/>
      <c r="D664" s="1103"/>
      <c r="H664" s="1103">
        <v>5</v>
      </c>
      <c r="I664" s="1105">
        <f t="shared" ref="I664:I670" si="79">K663</f>
        <v>2616.6994623655919</v>
      </c>
      <c r="J664" s="1107">
        <f t="shared" ref="J664:J670" si="80">J663</f>
        <v>7.6586021505376349</v>
      </c>
      <c r="K664" s="1115">
        <f t="shared" ref="K664:K670" si="81">I664+J664</f>
        <v>2624.3580645161296</v>
      </c>
      <c r="R664" s="1111"/>
      <c r="S664" s="1105"/>
      <c r="U664" s="1103">
        <v>5</v>
      </c>
      <c r="W664" s="1107"/>
      <c r="X664" s="1115">
        <f>X663+C25</f>
        <v>7845.7080272000003</v>
      </c>
      <c r="AC664" s="1103">
        <v>5</v>
      </c>
      <c r="AE664" s="1107"/>
      <c r="AF664" s="1115">
        <f>AF663+K25</f>
        <v>8220.5217271999991</v>
      </c>
    </row>
    <row r="665" spans="1:32" ht="24" customHeight="1">
      <c r="A665" s="1122"/>
      <c r="B665" s="1103"/>
      <c r="C665" s="1114"/>
      <c r="D665" s="1103"/>
      <c r="H665" s="1103">
        <v>6</v>
      </c>
      <c r="I665" s="1105">
        <f t="shared" si="79"/>
        <v>2624.3580645161296</v>
      </c>
      <c r="J665" s="1107">
        <f t="shared" si="80"/>
        <v>7.6586021505376349</v>
      </c>
      <c r="K665" s="1115">
        <f t="shared" si="81"/>
        <v>2632.0166666666673</v>
      </c>
      <c r="R665" s="1111"/>
      <c r="AA665" s="1108"/>
    </row>
    <row r="666" spans="1:32" ht="24" customHeight="1">
      <c r="A666" s="1122"/>
      <c r="B666" s="1103"/>
      <c r="C666" s="1114"/>
      <c r="D666" s="1103"/>
      <c r="H666" s="1103">
        <v>7</v>
      </c>
      <c r="I666" s="1105">
        <f t="shared" si="79"/>
        <v>2632.0166666666673</v>
      </c>
      <c r="J666" s="1107">
        <f t="shared" si="80"/>
        <v>7.6586021505376349</v>
      </c>
      <c r="K666" s="1115">
        <f t="shared" si="81"/>
        <v>2639.6752688172051</v>
      </c>
      <c r="R666" s="1111"/>
      <c r="AA666" s="1108"/>
    </row>
    <row r="667" spans="1:32" ht="24" customHeight="1">
      <c r="A667" s="1122"/>
      <c r="B667" s="1103"/>
      <c r="C667" s="1114"/>
      <c r="D667" s="1103"/>
      <c r="H667" s="1103">
        <v>8</v>
      </c>
      <c r="I667" s="1105">
        <f t="shared" si="79"/>
        <v>2639.6752688172051</v>
      </c>
      <c r="J667" s="1107">
        <f t="shared" si="80"/>
        <v>7.6586021505376349</v>
      </c>
      <c r="K667" s="1115">
        <f t="shared" si="81"/>
        <v>2647.3338709677428</v>
      </c>
      <c r="R667" s="1111"/>
      <c r="AA667" s="1108"/>
    </row>
    <row r="668" spans="1:32" ht="24" customHeight="1">
      <c r="A668" s="1122"/>
      <c r="B668" s="1103"/>
      <c r="C668" s="1114"/>
      <c r="D668" s="1103"/>
      <c r="H668" s="1103">
        <v>9</v>
      </c>
      <c r="I668" s="1105">
        <f t="shared" si="79"/>
        <v>2647.3338709677428</v>
      </c>
      <c r="J668" s="1107">
        <f t="shared" si="80"/>
        <v>7.6586021505376349</v>
      </c>
      <c r="K668" s="1115">
        <f t="shared" si="81"/>
        <v>2654.9924731182805</v>
      </c>
      <c r="R668" s="1111"/>
      <c r="AA668" s="1108"/>
    </row>
    <row r="669" spans="1:32" ht="24" customHeight="1">
      <c r="A669" s="1122"/>
      <c r="B669" s="1103"/>
      <c r="C669" s="1114"/>
      <c r="D669" s="1103"/>
      <c r="H669" s="1103">
        <v>10</v>
      </c>
      <c r="I669" s="1105">
        <f t="shared" si="79"/>
        <v>2654.9924731182805</v>
      </c>
      <c r="J669" s="1107">
        <f t="shared" si="80"/>
        <v>7.6586021505376349</v>
      </c>
      <c r="K669" s="1115">
        <f t="shared" si="81"/>
        <v>2662.6510752688182</v>
      </c>
      <c r="R669" s="1111"/>
      <c r="AA669" s="1108"/>
    </row>
    <row r="670" spans="1:32" ht="24" customHeight="1">
      <c r="A670" s="1122"/>
      <c r="B670" s="1103"/>
      <c r="C670" s="1114"/>
      <c r="D670" s="1103"/>
      <c r="H670" s="1103">
        <v>11</v>
      </c>
      <c r="I670" s="1105">
        <f t="shared" si="79"/>
        <v>2662.6510752688182</v>
      </c>
      <c r="J670" s="1107">
        <f t="shared" si="80"/>
        <v>7.6586021505376349</v>
      </c>
      <c r="K670" s="1115">
        <f t="shared" si="81"/>
        <v>2670.3096774193559</v>
      </c>
      <c r="R670" s="1111"/>
      <c r="AA670" s="1108"/>
    </row>
    <row r="671" spans="1:32" ht="24" customHeight="1">
      <c r="A671" s="1122"/>
      <c r="B671" s="1103"/>
      <c r="C671" s="1114"/>
      <c r="D671" s="1103"/>
      <c r="H671" s="1103"/>
      <c r="K671" s="1115"/>
      <c r="R671" s="1111"/>
      <c r="AA671" s="1108"/>
    </row>
    <row r="672" spans="1:32" ht="28.5" customHeight="1">
      <c r="A672" s="1122">
        <f>(A663+1)</f>
        <v>470</v>
      </c>
      <c r="B672" s="1103" t="s">
        <v>3678</v>
      </c>
      <c r="C672" s="1114">
        <v>11.5</v>
      </c>
      <c r="D672" s="1103">
        <v>11.7</v>
      </c>
      <c r="E672" s="1105">
        <v>3.7</v>
      </c>
      <c r="F672" s="1104" t="s">
        <v>3679</v>
      </c>
      <c r="H672" s="1103" t="s">
        <v>3680</v>
      </c>
      <c r="O672" s="1103" t="s">
        <v>3569</v>
      </c>
      <c r="R672" s="1114">
        <f>SUM(R652:R662)</f>
        <v>20546.95138368</v>
      </c>
      <c r="AA672" s="1108"/>
    </row>
    <row r="673" spans="1:33" ht="24" customHeight="1">
      <c r="A673" s="1122">
        <f t="shared" si="74"/>
        <v>471</v>
      </c>
      <c r="B673" s="1103" t="s">
        <v>3681</v>
      </c>
      <c r="C673" s="1114">
        <v>4</v>
      </c>
      <c r="D673" s="1103" t="s">
        <v>2851</v>
      </c>
      <c r="H673" s="1103" t="s">
        <v>3682</v>
      </c>
      <c r="R673" s="1111" t="s">
        <v>36</v>
      </c>
      <c r="AE673" s="1114" t="str">
        <f t="shared" ref="AE673:AE680" si="82">AG673</f>
        <v>|</v>
      </c>
      <c r="AG673" s="1103" t="s">
        <v>3430</v>
      </c>
    </row>
    <row r="674" spans="1:33" ht="24" customHeight="1">
      <c r="A674" s="1122">
        <f t="shared" si="74"/>
        <v>472</v>
      </c>
      <c r="B674" s="1103" t="s">
        <v>3683</v>
      </c>
      <c r="C674" s="1114">
        <v>5</v>
      </c>
      <c r="D674" s="1103" t="s">
        <v>2851</v>
      </c>
      <c r="H674" s="1103" t="s">
        <v>3684</v>
      </c>
      <c r="O674" s="1103" t="s">
        <v>3685</v>
      </c>
      <c r="T674" s="1119">
        <v>4.2</v>
      </c>
      <c r="U674" s="1119" t="s">
        <v>1633</v>
      </c>
      <c r="AE674" s="1114" t="str">
        <f t="shared" si="82"/>
        <v>|</v>
      </c>
      <c r="AG674" s="1103" t="s">
        <v>3430</v>
      </c>
    </row>
    <row r="675" spans="1:33" ht="24" customHeight="1">
      <c r="A675" s="1122">
        <f t="shared" si="74"/>
        <v>473</v>
      </c>
      <c r="B675" s="1103" t="s">
        <v>3686</v>
      </c>
      <c r="C675" s="1114">
        <v>96</v>
      </c>
      <c r="D675" s="1103" t="s">
        <v>2838</v>
      </c>
      <c r="H675" s="1103" t="s">
        <v>3687</v>
      </c>
      <c r="N675" s="1103" t="s">
        <v>1363</v>
      </c>
      <c r="O675" s="1103" t="s">
        <v>3688</v>
      </c>
      <c r="S675" s="1108">
        <v>5</v>
      </c>
      <c r="T675" s="1105" t="s">
        <v>204</v>
      </c>
      <c r="U675" s="1105" t="s">
        <v>3689</v>
      </c>
      <c r="V675" s="1105">
        <f>V705</f>
        <v>1987.06</v>
      </c>
      <c r="X675" s="1105">
        <f>V675*S675</f>
        <v>9935.2999999999993</v>
      </c>
      <c r="AE675" s="1114" t="str">
        <f t="shared" si="82"/>
        <v>|</v>
      </c>
      <c r="AG675" s="1103" t="s">
        <v>3430</v>
      </c>
    </row>
    <row r="676" spans="1:33" ht="24" customHeight="1">
      <c r="A676" s="1122">
        <f t="shared" si="74"/>
        <v>474</v>
      </c>
      <c r="B676" s="1103" t="s">
        <v>3690</v>
      </c>
      <c r="C676" s="1114">
        <v>75</v>
      </c>
      <c r="D676" s="1103" t="s">
        <v>2838</v>
      </c>
      <c r="H676" s="1103" t="s">
        <v>3691</v>
      </c>
      <c r="O676" s="1103" t="s">
        <v>3692</v>
      </c>
      <c r="S676" s="1108">
        <v>3.3</v>
      </c>
      <c r="T676" s="1105" t="s">
        <v>204</v>
      </c>
      <c r="U676" s="1105" t="s">
        <v>3693</v>
      </c>
      <c r="V676" s="1105">
        <f t="shared" ref="V676:V685" si="83">V706</f>
        <v>1708.06</v>
      </c>
      <c r="X676" s="1105">
        <f t="shared" ref="X676:X682" si="84">V676*S676</f>
        <v>5636.598</v>
      </c>
      <c r="AE676" s="1114" t="str">
        <f t="shared" si="82"/>
        <v>|</v>
      </c>
      <c r="AG676" s="1103" t="s">
        <v>3430</v>
      </c>
    </row>
    <row r="677" spans="1:33" ht="24" customHeight="1">
      <c r="A677" s="1122">
        <f t="shared" si="74"/>
        <v>475</v>
      </c>
      <c r="B677" s="1103" t="s">
        <v>3694</v>
      </c>
      <c r="C677" s="1114">
        <v>24.2</v>
      </c>
      <c r="D677" s="1114">
        <v>40.9</v>
      </c>
      <c r="E677" s="1105">
        <v>3</v>
      </c>
      <c r="H677" s="1103" t="s">
        <v>3695</v>
      </c>
      <c r="O677" s="1111" t="s">
        <v>36</v>
      </c>
      <c r="S677" s="1108">
        <v>4.79</v>
      </c>
      <c r="T677" s="1105" t="s">
        <v>204</v>
      </c>
      <c r="U677" s="1105" t="s">
        <v>3696</v>
      </c>
      <c r="V677" s="1105">
        <f t="shared" si="83"/>
        <v>1835.06</v>
      </c>
      <c r="X677" s="1105">
        <f t="shared" si="84"/>
        <v>8789.9374000000007</v>
      </c>
      <c r="AE677" s="1114" t="str">
        <f t="shared" si="82"/>
        <v>|</v>
      </c>
      <c r="AG677" s="1103" t="s">
        <v>3430</v>
      </c>
    </row>
    <row r="678" spans="1:33" ht="24" customHeight="1">
      <c r="A678" s="1122">
        <f t="shared" si="74"/>
        <v>476</v>
      </c>
      <c r="B678" s="1103" t="s">
        <v>3697</v>
      </c>
      <c r="C678" s="1114">
        <v>80</v>
      </c>
      <c r="D678" s="1103" t="s">
        <v>2838</v>
      </c>
      <c r="H678" s="1103" t="s">
        <v>3698</v>
      </c>
      <c r="M678" s="1114">
        <v>1</v>
      </c>
      <c r="N678" s="1103" t="s">
        <v>2838</v>
      </c>
      <c r="O678" s="1103" t="s">
        <v>3699</v>
      </c>
      <c r="P678" s="1114">
        <f>(C383)</f>
        <v>14.91</v>
      </c>
      <c r="Q678" s="1103" t="s">
        <v>2838</v>
      </c>
      <c r="R678" s="1114">
        <f>(M678*P678)</f>
        <v>14.91</v>
      </c>
      <c r="S678" s="1108">
        <v>4</v>
      </c>
      <c r="T678" s="1105" t="s">
        <v>58</v>
      </c>
      <c r="U678" s="1105" t="s">
        <v>2786</v>
      </c>
      <c r="V678" s="1105">
        <f t="shared" si="83"/>
        <v>5960</v>
      </c>
      <c r="X678" s="1105">
        <f t="shared" si="84"/>
        <v>23840</v>
      </c>
      <c r="AE678" s="1114" t="str">
        <f t="shared" si="82"/>
        <v>|</v>
      </c>
      <c r="AG678" s="1103" t="s">
        <v>3430</v>
      </c>
    </row>
    <row r="679" spans="1:33" ht="24" customHeight="1">
      <c r="A679" s="1122">
        <f t="shared" si="74"/>
        <v>477</v>
      </c>
      <c r="B679" s="1103" t="s">
        <v>3700</v>
      </c>
      <c r="C679" s="1114">
        <v>64</v>
      </c>
      <c r="D679" s="1103" t="s">
        <v>2838</v>
      </c>
      <c r="H679" s="1111" t="s">
        <v>36</v>
      </c>
      <c r="I679" s="1111" t="s">
        <v>36</v>
      </c>
      <c r="N679" s="1103" t="s">
        <v>2851</v>
      </c>
      <c r="O679" s="1103" t="s">
        <v>3701</v>
      </c>
      <c r="Q679" s="1103" t="s">
        <v>2851</v>
      </c>
      <c r="R679" s="1114">
        <v>2.09</v>
      </c>
      <c r="S679" s="1108">
        <v>40</v>
      </c>
      <c r="T679" s="1105" t="s">
        <v>165</v>
      </c>
      <c r="U679" s="1105" t="s">
        <v>3702</v>
      </c>
      <c r="V679" s="1105">
        <f>V648</f>
        <v>42.8</v>
      </c>
      <c r="X679" s="1105">
        <f t="shared" si="84"/>
        <v>1712</v>
      </c>
      <c r="AE679" s="1114" t="str">
        <f t="shared" si="82"/>
        <v>|</v>
      </c>
      <c r="AG679" s="1103" t="s">
        <v>3430</v>
      </c>
    </row>
    <row r="680" spans="1:33" ht="24" customHeight="1">
      <c r="A680" s="1122">
        <f t="shared" si="74"/>
        <v>478</v>
      </c>
      <c r="B680" s="1103" t="s">
        <v>3703</v>
      </c>
      <c r="C680" s="1114">
        <v>40.5</v>
      </c>
      <c r="D680" s="1103" t="s">
        <v>2838</v>
      </c>
      <c r="F680" s="1114">
        <v>1</v>
      </c>
      <c r="G680" s="1114" t="s">
        <v>3189</v>
      </c>
      <c r="H680" s="1103" t="s">
        <v>3704</v>
      </c>
      <c r="I680" s="1114">
        <f>D76</f>
        <v>290</v>
      </c>
      <c r="J680" s="1103" t="s">
        <v>3189</v>
      </c>
      <c r="K680" s="1114">
        <f>(F680*I680)</f>
        <v>290</v>
      </c>
      <c r="O680" s="1103" t="s">
        <v>3705</v>
      </c>
      <c r="R680" s="1103" t="s">
        <v>220</v>
      </c>
      <c r="S680" s="1108">
        <v>3.5</v>
      </c>
      <c r="T680" s="1105" t="s">
        <v>4</v>
      </c>
      <c r="U680" s="1105" t="s">
        <v>3706</v>
      </c>
      <c r="V680" s="1105">
        <f t="shared" si="83"/>
        <v>804</v>
      </c>
      <c r="X680" s="1105">
        <f>V680*S680</f>
        <v>2814</v>
      </c>
      <c r="AE680" s="1114" t="str">
        <f t="shared" si="82"/>
        <v>|</v>
      </c>
      <c r="AG680" s="1103" t="s">
        <v>3430</v>
      </c>
    </row>
    <row r="681" spans="1:33" ht="24" customHeight="1">
      <c r="A681" s="1122">
        <f t="shared" si="74"/>
        <v>479</v>
      </c>
      <c r="B681" s="1103" t="s">
        <v>3707</v>
      </c>
      <c r="C681" s="1114">
        <v>92</v>
      </c>
      <c r="D681" s="1103" t="s">
        <v>2838</v>
      </c>
      <c r="F681" s="1114">
        <v>1</v>
      </c>
      <c r="G681" s="1114" t="s">
        <v>3189</v>
      </c>
      <c r="H681" s="1103" t="s">
        <v>3708</v>
      </c>
      <c r="I681" s="1114">
        <f>C75</f>
        <v>175</v>
      </c>
      <c r="J681" s="1103" t="s">
        <v>3189</v>
      </c>
      <c r="K681" s="1114">
        <f>(F681*I681)</f>
        <v>175</v>
      </c>
      <c r="R681" s="1111" t="s">
        <v>36</v>
      </c>
      <c r="S681" s="1108">
        <v>21.2</v>
      </c>
      <c r="T681" s="1105" t="s">
        <v>4</v>
      </c>
      <c r="U681" s="1105" t="s">
        <v>3709</v>
      </c>
      <c r="V681" s="1105">
        <f t="shared" si="83"/>
        <v>562</v>
      </c>
      <c r="X681" s="1105">
        <f t="shared" si="84"/>
        <v>11914.4</v>
      </c>
      <c r="AE681" s="1114">
        <f>32.32*100</f>
        <v>3232</v>
      </c>
      <c r="AG681" s="1103" t="s">
        <v>3430</v>
      </c>
    </row>
    <row r="682" spans="1:33" ht="24" customHeight="1">
      <c r="A682" s="1122">
        <f t="shared" si="74"/>
        <v>480</v>
      </c>
      <c r="B682" s="1103" t="s">
        <v>3710</v>
      </c>
      <c r="C682" s="1114">
        <v>60</v>
      </c>
      <c r="D682" s="1103" t="s">
        <v>2838</v>
      </c>
      <c r="F682" s="1114">
        <v>1</v>
      </c>
      <c r="G682" s="1114" t="s">
        <v>2851</v>
      </c>
      <c r="H682" s="1103" t="s">
        <v>3711</v>
      </c>
      <c r="I682" s="1114">
        <v>15</v>
      </c>
      <c r="J682" s="1103" t="s">
        <v>2851</v>
      </c>
      <c r="K682" s="1114">
        <f>(F682*I682)</f>
        <v>15</v>
      </c>
      <c r="O682" s="1103" t="s">
        <v>3712</v>
      </c>
      <c r="R682" s="1114">
        <f>SUM(R678:R680)</f>
        <v>17</v>
      </c>
      <c r="S682" s="1108">
        <v>35.299999999999997</v>
      </c>
      <c r="T682" s="1105" t="s">
        <v>4</v>
      </c>
      <c r="U682" s="1105" t="s">
        <v>3713</v>
      </c>
      <c r="V682" s="1105">
        <f>V712</f>
        <v>461</v>
      </c>
      <c r="X682" s="1105">
        <f t="shared" si="84"/>
        <v>16273.3</v>
      </c>
      <c r="AE682" s="1114">
        <f>48.824*100</f>
        <v>4882.3999999999996</v>
      </c>
      <c r="AG682" s="1103" t="s">
        <v>3430</v>
      </c>
    </row>
    <row r="683" spans="1:33" ht="24" customHeight="1">
      <c r="A683" s="1122">
        <f t="shared" si="74"/>
        <v>481</v>
      </c>
      <c r="B683" s="1103" t="s">
        <v>3714</v>
      </c>
      <c r="C683" s="1114">
        <v>49.87</v>
      </c>
      <c r="D683" s="1103" t="s">
        <v>2838</v>
      </c>
      <c r="K683" s="1111" t="s">
        <v>36</v>
      </c>
      <c r="R683" s="1111" t="s">
        <v>36</v>
      </c>
      <c r="U683" s="1119" t="s">
        <v>3715</v>
      </c>
      <c r="X683" s="1119">
        <f>SUM(X675:X682)</f>
        <v>80915.535399999993</v>
      </c>
      <c r="AA683" s="1108">
        <f>22.77+26.054</f>
        <v>48.823999999999998</v>
      </c>
      <c r="AE683" s="1114">
        <f>0.52*100</f>
        <v>52</v>
      </c>
      <c r="AG683" s="1103" t="s">
        <v>3430</v>
      </c>
    </row>
    <row r="684" spans="1:33" ht="24" customHeight="1">
      <c r="A684" s="1122">
        <f t="shared" si="74"/>
        <v>482</v>
      </c>
      <c r="B684" s="1103" t="s">
        <v>3716</v>
      </c>
      <c r="C684" s="1114">
        <v>80</v>
      </c>
      <c r="D684" s="1103" t="s">
        <v>2838</v>
      </c>
      <c r="H684" s="1103" t="s">
        <v>3154</v>
      </c>
      <c r="K684" s="1114">
        <f>SUM(K678:K682)</f>
        <v>480</v>
      </c>
      <c r="U684" s="1119" t="s">
        <v>3717</v>
      </c>
      <c r="X684" s="1119">
        <f>X683/10</f>
        <v>8091.553539999999</v>
      </c>
      <c r="Y684" s="1105">
        <f>X684</f>
        <v>8091.553539999999</v>
      </c>
      <c r="AC684" s="1105">
        <f>26.19*0.02</f>
        <v>0.52380000000000004</v>
      </c>
      <c r="AE684" s="1114">
        <f>0.397*100</f>
        <v>39.700000000000003</v>
      </c>
      <c r="AF684" s="1105">
        <f>AE681+AE682+AE683+AE684</f>
        <v>8206.1</v>
      </c>
      <c r="AG684" s="1103" t="s">
        <v>3430</v>
      </c>
    </row>
    <row r="685" spans="1:33" ht="24" customHeight="1">
      <c r="A685" s="1122">
        <f t="shared" si="74"/>
        <v>483</v>
      </c>
      <c r="B685" s="1103" t="s">
        <v>3718</v>
      </c>
      <c r="C685" s="1114">
        <v>52</v>
      </c>
      <c r="D685" s="1103" t="s">
        <v>2838</v>
      </c>
      <c r="H685" s="1103" t="s">
        <v>3719</v>
      </c>
      <c r="K685" s="1111" t="s">
        <v>2793</v>
      </c>
      <c r="N685" s="1103" t="s">
        <v>1363</v>
      </c>
      <c r="O685" s="1103" t="s">
        <v>3720</v>
      </c>
      <c r="S685" s="1108">
        <v>1</v>
      </c>
      <c r="T685" s="1105" t="s">
        <v>204</v>
      </c>
      <c r="U685" s="1105" t="s">
        <v>3721</v>
      </c>
      <c r="V685" s="1105">
        <f t="shared" si="83"/>
        <v>81.3</v>
      </c>
      <c r="X685" s="1105">
        <f>V685</f>
        <v>81.3</v>
      </c>
      <c r="AC685" s="1108">
        <f>9.92*0.04</f>
        <v>0.39679999999999999</v>
      </c>
      <c r="AE685" s="1114" t="str">
        <f t="shared" ref="AE685:AE748" si="85">AG685</f>
        <v>|</v>
      </c>
      <c r="AG685" s="1103" t="s">
        <v>3430</v>
      </c>
    </row>
    <row r="686" spans="1:33" ht="24" customHeight="1">
      <c r="A686" s="1122">
        <f t="shared" si="74"/>
        <v>484</v>
      </c>
      <c r="B686" s="1103" t="s">
        <v>3722</v>
      </c>
      <c r="C686" s="1114">
        <v>39</v>
      </c>
      <c r="D686" s="1103" t="s">
        <v>2838</v>
      </c>
      <c r="H686" s="1103" t="s">
        <v>3062</v>
      </c>
      <c r="I686" s="1105">
        <f>K684</f>
        <v>480</v>
      </c>
      <c r="J686" s="1107">
        <f>C19*0.05</f>
        <v>3.4000000000000004</v>
      </c>
      <c r="K686" s="1115">
        <f>I686+J686</f>
        <v>483.4</v>
      </c>
      <c r="O686" s="1103" t="s">
        <v>3692</v>
      </c>
      <c r="U686" s="1105" t="s">
        <v>3723</v>
      </c>
      <c r="X686" s="1119">
        <f>SUM(X684:X685)</f>
        <v>8172.8535399999992</v>
      </c>
      <c r="Y686" s="1105">
        <f>SUM(Y684:Y685)</f>
        <v>8091.553539999999</v>
      </c>
      <c r="AE686" s="1114" t="str">
        <f t="shared" si="85"/>
        <v>|</v>
      </c>
      <c r="AF686" s="1105">
        <f>SUM(AF684:AF685)</f>
        <v>8206.1</v>
      </c>
      <c r="AG686" s="1103" t="s">
        <v>3430</v>
      </c>
    </row>
    <row r="687" spans="1:33" ht="24" customHeight="1">
      <c r="A687" s="1122">
        <f t="shared" si="74"/>
        <v>485</v>
      </c>
      <c r="B687" s="1103" t="s">
        <v>3724</v>
      </c>
      <c r="C687" s="1114">
        <v>90</v>
      </c>
      <c r="D687" s="1103" t="s">
        <v>2838</v>
      </c>
      <c r="H687" s="1103" t="s">
        <v>3066</v>
      </c>
      <c r="I687" s="1105">
        <f>K686</f>
        <v>483.4</v>
      </c>
      <c r="J687" s="1107">
        <f>C20*0.05</f>
        <v>6.8599999999999994</v>
      </c>
      <c r="K687" s="1115">
        <f>I687+J687</f>
        <v>490.26</v>
      </c>
      <c r="O687" s="1111" t="s">
        <v>36</v>
      </c>
      <c r="S687" s="1152" t="s">
        <v>1348</v>
      </c>
      <c r="U687" s="1105" t="s">
        <v>3725</v>
      </c>
      <c r="V687" s="1152" t="s">
        <v>1348</v>
      </c>
      <c r="X687" s="1105">
        <f>X686*0.5%</f>
        <v>40.864267699999999</v>
      </c>
      <c r="Y687" s="1105">
        <f>Y686*0.5/100</f>
        <v>40.457767699999998</v>
      </c>
      <c r="AE687" s="1114" t="str">
        <f t="shared" si="85"/>
        <v>|</v>
      </c>
      <c r="AF687" s="1105">
        <f>AF686/185.82</f>
        <v>44.16155419222904</v>
      </c>
      <c r="AG687" s="1103" t="s">
        <v>3430</v>
      </c>
    </row>
    <row r="688" spans="1:33" ht="30.75" customHeight="1">
      <c r="A688" s="1122">
        <f t="shared" si="74"/>
        <v>486</v>
      </c>
      <c r="B688" s="1103" t="s">
        <v>3726</v>
      </c>
      <c r="C688" s="1114">
        <v>60</v>
      </c>
      <c r="D688" s="1103" t="s">
        <v>2838</v>
      </c>
      <c r="H688" s="1103" t="s">
        <v>3069</v>
      </c>
      <c r="I688" s="1105">
        <f>K687</f>
        <v>490.26</v>
      </c>
      <c r="J688" s="1107">
        <f>J687</f>
        <v>6.8599999999999994</v>
      </c>
      <c r="K688" s="1115">
        <f>I688+J688</f>
        <v>497.12</v>
      </c>
      <c r="M688" s="1114">
        <v>1</v>
      </c>
      <c r="N688" s="1103" t="s">
        <v>2838</v>
      </c>
      <c r="O688" s="1103" t="s">
        <v>3727</v>
      </c>
      <c r="P688" s="1114">
        <f>(C384)</f>
        <v>17.579999999999998</v>
      </c>
      <c r="Q688" s="1103" t="s">
        <v>2838</v>
      </c>
      <c r="R688" s="1114">
        <f>(M688*P688)</f>
        <v>17.579999999999998</v>
      </c>
      <c r="U688" s="1119" t="s">
        <v>3665</v>
      </c>
      <c r="W688" s="1107"/>
      <c r="X688" s="1115">
        <f>SUM(X686:X687)</f>
        <v>8213.717807699999</v>
      </c>
      <c r="Y688" s="1119">
        <f>SUM(Y686:Y687)</f>
        <v>8132.0113076999987</v>
      </c>
      <c r="Z688" s="1153" t="s">
        <v>3728</v>
      </c>
      <c r="AE688" s="1114" t="str">
        <f t="shared" si="85"/>
        <v>|</v>
      </c>
      <c r="AF688" s="1105">
        <f>AF686/1000</f>
        <v>8.2061000000000011</v>
      </c>
      <c r="AG688" s="1103" t="s">
        <v>3430</v>
      </c>
    </row>
    <row r="689" spans="1:33" ht="17.25" customHeight="1">
      <c r="A689" s="1122">
        <f t="shared" si="74"/>
        <v>487</v>
      </c>
      <c r="B689" s="1103" t="s">
        <v>3729</v>
      </c>
      <c r="C689" s="1114">
        <v>43.5</v>
      </c>
      <c r="D689" s="1103" t="s">
        <v>2838</v>
      </c>
      <c r="H689" s="1103" t="s">
        <v>3071</v>
      </c>
      <c r="I689" s="1105">
        <f>K688</f>
        <v>497.12</v>
      </c>
      <c r="J689" s="1107">
        <f>J688</f>
        <v>6.8599999999999994</v>
      </c>
      <c r="K689" s="1115">
        <f>I689+J689</f>
        <v>503.98</v>
      </c>
      <c r="N689" s="1103" t="s">
        <v>2851</v>
      </c>
      <c r="O689" s="1103" t="s">
        <v>3701</v>
      </c>
      <c r="Q689" s="1103" t="s">
        <v>2851</v>
      </c>
      <c r="R689" s="1114">
        <v>2.09</v>
      </c>
      <c r="W689" s="1107"/>
      <c r="X689" s="1111" t="s">
        <v>36</v>
      </c>
      <c r="AE689" s="1114" t="str">
        <f t="shared" si="85"/>
        <v>|</v>
      </c>
      <c r="AF689" s="1105">
        <f>185.82*10.764</f>
        <v>2000.1664799999999</v>
      </c>
      <c r="AG689" s="1103" t="s">
        <v>3430</v>
      </c>
    </row>
    <row r="690" spans="1:33" ht="24" customHeight="1">
      <c r="A690" s="1122">
        <f t="shared" si="74"/>
        <v>488</v>
      </c>
      <c r="B690" s="1103" t="s">
        <v>3730</v>
      </c>
      <c r="C690" s="1114">
        <v>75</v>
      </c>
      <c r="D690" s="1103" t="s">
        <v>2838</v>
      </c>
      <c r="H690" s="1103" t="s">
        <v>3451</v>
      </c>
      <c r="I690" s="1105">
        <f>K689</f>
        <v>503.98</v>
      </c>
      <c r="J690" s="1107">
        <f>J689</f>
        <v>6.8599999999999994</v>
      </c>
      <c r="K690" s="1115">
        <f>I690+J690</f>
        <v>510.84000000000003</v>
      </c>
      <c r="O690" s="1103" t="s">
        <v>3705</v>
      </c>
      <c r="R690" s="1103" t="s">
        <v>220</v>
      </c>
      <c r="U690" s="1103" t="s">
        <v>3062</v>
      </c>
      <c r="W690" s="1107"/>
      <c r="X690" s="1115">
        <f>(X688+C22)</f>
        <v>8317.0178076999982</v>
      </c>
      <c r="AE690" s="1114" t="str">
        <f t="shared" si="85"/>
        <v>|</v>
      </c>
      <c r="AF690" s="1105">
        <f>AF686/AF689</f>
        <v>4.1027084905452478</v>
      </c>
      <c r="AG690" s="1103" t="s">
        <v>3430</v>
      </c>
    </row>
    <row r="691" spans="1:33" ht="24" customHeight="1">
      <c r="A691" s="1122">
        <f t="shared" si="74"/>
        <v>489</v>
      </c>
      <c r="B691" s="1103" t="s">
        <v>3731</v>
      </c>
      <c r="C691" s="1114">
        <v>52</v>
      </c>
      <c r="D691" s="1103" t="s">
        <v>2838</v>
      </c>
      <c r="F691" s="1104" t="s">
        <v>3732</v>
      </c>
      <c r="H691" s="1103" t="s">
        <v>3680</v>
      </c>
      <c r="R691" s="1111" t="s">
        <v>36</v>
      </c>
      <c r="U691" s="1103" t="s">
        <v>3066</v>
      </c>
      <c r="W691" s="1107"/>
      <c r="X691" s="1115">
        <f>(X690+C24)</f>
        <v>8520.5178076999982</v>
      </c>
      <c r="AE691" s="1114" t="str">
        <f t="shared" si="85"/>
        <v>|</v>
      </c>
      <c r="AF691" s="1105">
        <f>924.2/8.21</f>
        <v>112.5700365408039</v>
      </c>
      <c r="AG691" s="1103" t="s">
        <v>3430</v>
      </c>
    </row>
    <row r="692" spans="1:33" ht="24" customHeight="1">
      <c r="A692" s="1122">
        <f t="shared" si="74"/>
        <v>490</v>
      </c>
      <c r="B692" s="1103" t="s">
        <v>3722</v>
      </c>
      <c r="C692" s="1114">
        <v>35.25</v>
      </c>
      <c r="D692" s="1103" t="s">
        <v>2838</v>
      </c>
      <c r="H692" s="1103" t="s">
        <v>3733</v>
      </c>
      <c r="O692" s="1103" t="s">
        <v>3712</v>
      </c>
      <c r="R692" s="1114">
        <f>SUM(R688:R690)</f>
        <v>19.669999999999998</v>
      </c>
      <c r="U692" s="1103" t="s">
        <v>3069</v>
      </c>
      <c r="W692" s="1107"/>
      <c r="X692" s="1115">
        <f>(X691+C24)</f>
        <v>8724.0178076999982</v>
      </c>
      <c r="AE692" s="1114" t="str">
        <f t="shared" si="85"/>
        <v>|</v>
      </c>
      <c r="AG692" s="1103" t="s">
        <v>3430</v>
      </c>
    </row>
    <row r="693" spans="1:33" ht="24" customHeight="1">
      <c r="A693" s="1122">
        <f t="shared" si="74"/>
        <v>491</v>
      </c>
      <c r="B693" s="1103" t="s">
        <v>3734</v>
      </c>
      <c r="C693" s="1114">
        <v>37.5</v>
      </c>
      <c r="D693" s="1103" t="s">
        <v>2838</v>
      </c>
      <c r="H693" s="1103" t="s">
        <v>3684</v>
      </c>
      <c r="R693" s="1111" t="s">
        <v>36</v>
      </c>
      <c r="U693" s="1103" t="s">
        <v>3071</v>
      </c>
      <c r="W693" s="1107"/>
      <c r="X693" s="1115">
        <f>(X692+C24)</f>
        <v>8927.5178076999982</v>
      </c>
      <c r="AE693" s="1114" t="str">
        <f t="shared" si="85"/>
        <v>|</v>
      </c>
      <c r="AG693" s="1103" t="s">
        <v>3430</v>
      </c>
    </row>
    <row r="694" spans="1:33" ht="24" customHeight="1">
      <c r="A694" s="1122">
        <f t="shared" si="74"/>
        <v>492</v>
      </c>
      <c r="B694" s="1103" t="s">
        <v>3735</v>
      </c>
      <c r="C694" s="1114">
        <v>24</v>
      </c>
      <c r="D694" s="1103" t="s">
        <v>2838</v>
      </c>
      <c r="H694" s="1103" t="s">
        <v>3687</v>
      </c>
      <c r="O694" s="1105" t="s">
        <v>2568</v>
      </c>
      <c r="U694" s="1103" t="s">
        <v>3158</v>
      </c>
      <c r="W694" s="1107"/>
      <c r="X694" s="1115">
        <f>(X693+C24)</f>
        <v>9131.0178076999982</v>
      </c>
      <c r="AE694" s="1114" t="str">
        <f t="shared" si="85"/>
        <v>|</v>
      </c>
      <c r="AG694" s="1103" t="s">
        <v>3430</v>
      </c>
    </row>
    <row r="695" spans="1:33" ht="24" customHeight="1">
      <c r="A695" s="1122">
        <f t="shared" si="74"/>
        <v>493</v>
      </c>
      <c r="B695" s="1103" t="s">
        <v>3736</v>
      </c>
      <c r="C695" s="1114">
        <v>16</v>
      </c>
      <c r="D695" s="1103" t="s">
        <v>2838</v>
      </c>
      <c r="H695" s="1103" t="s">
        <v>3691</v>
      </c>
      <c r="N695" s="1103" t="s">
        <v>1363</v>
      </c>
      <c r="O695" s="1103" t="s">
        <v>3737</v>
      </c>
      <c r="AE695" s="1114" t="str">
        <f t="shared" si="85"/>
        <v>|</v>
      </c>
      <c r="AG695" s="1103" t="s">
        <v>3430</v>
      </c>
    </row>
    <row r="696" spans="1:33" ht="24" customHeight="1">
      <c r="A696" s="1122">
        <f t="shared" si="74"/>
        <v>494</v>
      </c>
      <c r="B696" s="1103" t="s">
        <v>3738</v>
      </c>
      <c r="C696" s="1114">
        <v>31.8</v>
      </c>
      <c r="D696" s="1103" t="s">
        <v>2838</v>
      </c>
      <c r="H696" s="1103" t="s">
        <v>3695</v>
      </c>
      <c r="O696" s="1103" t="s">
        <v>3692</v>
      </c>
      <c r="AE696" s="1114" t="str">
        <f t="shared" si="85"/>
        <v>|</v>
      </c>
      <c r="AG696" s="1103" t="s">
        <v>3430</v>
      </c>
    </row>
    <row r="697" spans="1:33" ht="24" customHeight="1">
      <c r="A697" s="1122">
        <f t="shared" si="74"/>
        <v>495</v>
      </c>
      <c r="B697" s="1103" t="s">
        <v>3739</v>
      </c>
      <c r="C697" s="1114">
        <v>6</v>
      </c>
      <c r="D697" s="1103" t="s">
        <v>2838</v>
      </c>
      <c r="H697" s="1103" t="s">
        <v>3740</v>
      </c>
      <c r="O697" s="1111" t="s">
        <v>36</v>
      </c>
      <c r="AE697" s="1114" t="str">
        <f t="shared" si="85"/>
        <v>|</v>
      </c>
      <c r="AG697" s="1103" t="s">
        <v>3430</v>
      </c>
    </row>
    <row r="698" spans="1:33" ht="24" customHeight="1">
      <c r="A698" s="1122">
        <f t="shared" si="74"/>
        <v>496</v>
      </c>
      <c r="B698" s="1103" t="s">
        <v>3741</v>
      </c>
      <c r="C698" s="1114">
        <v>152.5</v>
      </c>
      <c r="D698" s="1103" t="s">
        <v>1790</v>
      </c>
      <c r="E698" s="1105">
        <v>98.6</v>
      </c>
      <c r="F698" s="1105" t="s">
        <v>3742</v>
      </c>
      <c r="H698" s="1111" t="s">
        <v>36</v>
      </c>
      <c r="I698" s="1111" t="s">
        <v>36</v>
      </c>
      <c r="M698" s="1114">
        <v>1</v>
      </c>
      <c r="N698" s="1103" t="s">
        <v>2838</v>
      </c>
      <c r="O698" s="1103" t="s">
        <v>3743</v>
      </c>
      <c r="P698" s="1114">
        <f>(C385)</f>
        <v>19.3</v>
      </c>
      <c r="Q698" s="1103" t="s">
        <v>2838</v>
      </c>
      <c r="R698" s="1114">
        <f>(M698*P698)</f>
        <v>19.3</v>
      </c>
      <c r="AE698" s="1114" t="str">
        <f t="shared" si="85"/>
        <v>|</v>
      </c>
      <c r="AG698" s="1103" t="s">
        <v>3430</v>
      </c>
    </row>
    <row r="699" spans="1:33" ht="24" customHeight="1">
      <c r="A699" s="1122">
        <f t="shared" si="74"/>
        <v>497</v>
      </c>
      <c r="B699" s="1103" t="s">
        <v>3744</v>
      </c>
      <c r="C699" s="1114">
        <v>108.68</v>
      </c>
      <c r="D699" s="1103" t="s">
        <v>2838</v>
      </c>
      <c r="F699" s="1114">
        <v>1</v>
      </c>
      <c r="G699" s="1114" t="s">
        <v>3189</v>
      </c>
      <c r="H699" s="1103" t="s">
        <v>3745</v>
      </c>
      <c r="I699" s="1114">
        <f>C76</f>
        <v>460</v>
      </c>
      <c r="J699" s="1103" t="s">
        <v>3189</v>
      </c>
      <c r="K699" s="1114">
        <f>(F699*I699)</f>
        <v>460</v>
      </c>
      <c r="N699" s="1103" t="s">
        <v>2851</v>
      </c>
      <c r="O699" s="1103" t="s">
        <v>3701</v>
      </c>
      <c r="Q699" s="1103" t="s">
        <v>2851</v>
      </c>
      <c r="R699" s="1114">
        <v>2.09</v>
      </c>
      <c r="AE699" s="1114" t="str">
        <f t="shared" si="85"/>
        <v>|</v>
      </c>
      <c r="AG699" s="1103" t="s">
        <v>3430</v>
      </c>
    </row>
    <row r="700" spans="1:33" ht="24" customHeight="1">
      <c r="A700" s="1122">
        <f t="shared" si="74"/>
        <v>498</v>
      </c>
      <c r="B700" s="1103" t="s">
        <v>3746</v>
      </c>
      <c r="C700" s="1114">
        <v>119.89</v>
      </c>
      <c r="D700" s="1103" t="s">
        <v>2838</v>
      </c>
      <c r="F700" s="1114">
        <v>1</v>
      </c>
      <c r="G700" s="1114" t="s">
        <v>3189</v>
      </c>
      <c r="H700" s="1103" t="s">
        <v>3708</v>
      </c>
      <c r="I700" s="1114">
        <f>C75</f>
        <v>175</v>
      </c>
      <c r="J700" s="1103" t="s">
        <v>3189</v>
      </c>
      <c r="K700" s="1114">
        <f>(F700*I700)</f>
        <v>175</v>
      </c>
      <c r="O700" s="1103" t="s">
        <v>3705</v>
      </c>
      <c r="R700" s="1103" t="s">
        <v>220</v>
      </c>
      <c r="AE700" s="1114" t="str">
        <f t="shared" si="85"/>
        <v>|</v>
      </c>
      <c r="AG700" s="1103" t="s">
        <v>3430</v>
      </c>
    </row>
    <row r="701" spans="1:33" ht="24" customHeight="1">
      <c r="A701" s="1122">
        <f t="shared" si="74"/>
        <v>499</v>
      </c>
      <c r="B701" s="1103" t="s">
        <v>3747</v>
      </c>
      <c r="C701" s="1114">
        <v>297.44</v>
      </c>
      <c r="D701" s="1103" t="s">
        <v>2838</v>
      </c>
      <c r="F701" s="1114">
        <v>1</v>
      </c>
      <c r="G701" s="1114" t="s">
        <v>2851</v>
      </c>
      <c r="H701" s="1103" t="s">
        <v>3711</v>
      </c>
      <c r="I701" s="1114">
        <v>15</v>
      </c>
      <c r="J701" s="1103" t="s">
        <v>2851</v>
      </c>
      <c r="K701" s="1114">
        <f>(F701*I701)</f>
        <v>15</v>
      </c>
      <c r="R701" s="1111" t="s">
        <v>36</v>
      </c>
      <c r="AE701" s="1114" t="str">
        <f t="shared" si="85"/>
        <v>|</v>
      </c>
      <c r="AG701" s="1103" t="s">
        <v>3430</v>
      </c>
    </row>
    <row r="702" spans="1:33" ht="24" customHeight="1">
      <c r="A702" s="1122">
        <f t="shared" si="74"/>
        <v>500</v>
      </c>
      <c r="B702" s="1103" t="s">
        <v>3748</v>
      </c>
      <c r="C702" s="1114">
        <v>28.6</v>
      </c>
      <c r="D702" s="1103" t="s">
        <v>2838</v>
      </c>
      <c r="H702" s="1103" t="s">
        <v>2852</v>
      </c>
      <c r="J702" s="1103" t="s">
        <v>2851</v>
      </c>
      <c r="K702" s="1114">
        <v>0</v>
      </c>
      <c r="O702" s="1103" t="s">
        <v>3712</v>
      </c>
      <c r="R702" s="1114">
        <f>SUM(R698:R700)</f>
        <v>21.39</v>
      </c>
      <c r="AE702" s="1114" t="str">
        <f t="shared" si="85"/>
        <v>|</v>
      </c>
      <c r="AG702" s="1103" t="s">
        <v>3430</v>
      </c>
    </row>
    <row r="703" spans="1:33" ht="24" customHeight="1">
      <c r="A703" s="1122">
        <f t="shared" ref="A703" si="86">(A702+1)</f>
        <v>501</v>
      </c>
      <c r="B703" s="1103" t="s">
        <v>3749</v>
      </c>
      <c r="C703" s="1114">
        <v>228.86</v>
      </c>
      <c r="D703" s="1103" t="s">
        <v>2838</v>
      </c>
      <c r="K703" s="1111" t="s">
        <v>36</v>
      </c>
      <c r="R703" s="1111" t="s">
        <v>36</v>
      </c>
      <c r="AE703" s="1114" t="str">
        <f t="shared" si="85"/>
        <v>|</v>
      </c>
      <c r="AG703" s="1103" t="s">
        <v>3430</v>
      </c>
    </row>
    <row r="704" spans="1:33" ht="24" customHeight="1">
      <c r="B704" s="1105" t="s">
        <v>3750</v>
      </c>
      <c r="C704" s="1105">
        <v>3167</v>
      </c>
      <c r="D704" s="1105" t="s">
        <v>3189</v>
      </c>
      <c r="H704" s="1103" t="s">
        <v>3154</v>
      </c>
      <c r="K704" s="1114">
        <f>SUM(K699:K702)</f>
        <v>650</v>
      </c>
      <c r="U704" s="1119" t="s">
        <v>547</v>
      </c>
      <c r="AE704" s="1114" t="str">
        <f t="shared" si="85"/>
        <v>|</v>
      </c>
      <c r="AG704" s="1103" t="s">
        <v>3430</v>
      </c>
    </row>
    <row r="705" spans="1:33" ht="24" customHeight="1">
      <c r="A705" s="1122">
        <f>(A703+1)</f>
        <v>502</v>
      </c>
      <c r="B705" s="1103" t="s">
        <v>3751</v>
      </c>
      <c r="C705" s="1114">
        <v>70.47</v>
      </c>
      <c r="D705" s="1103" t="s">
        <v>2838</v>
      </c>
      <c r="H705" s="1103" t="s">
        <v>3719</v>
      </c>
      <c r="K705" s="1111" t="s">
        <v>2793</v>
      </c>
      <c r="S705" s="1108">
        <v>5</v>
      </c>
      <c r="T705" s="1105" t="s">
        <v>204</v>
      </c>
      <c r="U705" s="1105" t="s">
        <v>3752</v>
      </c>
      <c r="V705" s="1105">
        <f>AC14</f>
        <v>1987.06</v>
      </c>
      <c r="X705" s="1105">
        <f>V705*S705</f>
        <v>9935.2999999999993</v>
      </c>
      <c r="Z705" s="1105">
        <f>X705</f>
        <v>9935.2999999999993</v>
      </c>
      <c r="AE705" s="1114" t="str">
        <f t="shared" si="85"/>
        <v>|</v>
      </c>
      <c r="AG705" s="1103" t="s">
        <v>3430</v>
      </c>
    </row>
    <row r="706" spans="1:33" ht="24" customHeight="1">
      <c r="A706" s="1122">
        <f t="shared" ref="A706:A763" si="87">(A705+1)</f>
        <v>503</v>
      </c>
      <c r="B706" s="1103" t="s">
        <v>3753</v>
      </c>
      <c r="C706" s="1114">
        <v>133.62</v>
      </c>
      <c r="D706" s="1103" t="s">
        <v>2838</v>
      </c>
      <c r="H706" s="1103" t="s">
        <v>3062</v>
      </c>
      <c r="I706" s="1105">
        <f>K704</f>
        <v>650</v>
      </c>
      <c r="J706" s="1103">
        <f>C19*0.11</f>
        <v>7.48</v>
      </c>
      <c r="K706" s="1115">
        <f>I706+J706</f>
        <v>657.48</v>
      </c>
      <c r="N706" s="1103" t="s">
        <v>1363</v>
      </c>
      <c r="O706" s="1103" t="s">
        <v>3754</v>
      </c>
      <c r="S706" s="1108">
        <v>3.3</v>
      </c>
      <c r="T706" s="1105" t="s">
        <v>204</v>
      </c>
      <c r="U706" s="1105" t="s">
        <v>3755</v>
      </c>
      <c r="V706" s="1105">
        <f>(AC12+AC13)/2</f>
        <v>1708.06</v>
      </c>
      <c r="X706" s="1105">
        <f t="shared" ref="X706:X712" si="88">V706*S706</f>
        <v>5636.598</v>
      </c>
      <c r="Z706" s="1105">
        <f t="shared" ref="Z706:Z714" si="89">X706</f>
        <v>5636.598</v>
      </c>
      <c r="AE706" s="1114" t="str">
        <f t="shared" si="85"/>
        <v>|</v>
      </c>
      <c r="AG706" s="1103" t="s">
        <v>3430</v>
      </c>
    </row>
    <row r="707" spans="1:33" ht="24" customHeight="1">
      <c r="A707" s="1122">
        <f t="shared" si="87"/>
        <v>504</v>
      </c>
      <c r="B707" s="1103" t="s">
        <v>3756</v>
      </c>
      <c r="C707" s="1114">
        <v>133.62</v>
      </c>
      <c r="D707" s="1103" t="s">
        <v>2838</v>
      </c>
      <c r="H707" s="1103" t="s">
        <v>3066</v>
      </c>
      <c r="I707" s="1105">
        <f>K706</f>
        <v>657.48</v>
      </c>
      <c r="J707" s="1107">
        <f>C20*0.11</f>
        <v>15.091999999999999</v>
      </c>
      <c r="K707" s="1115">
        <f>I707+J707</f>
        <v>672.572</v>
      </c>
      <c r="O707" s="1103" t="s">
        <v>3757</v>
      </c>
      <c r="S707" s="1108">
        <v>4.79</v>
      </c>
      <c r="T707" s="1105" t="s">
        <v>204</v>
      </c>
      <c r="U707" s="1105" t="s">
        <v>3696</v>
      </c>
      <c r="V707" s="1105">
        <f>V644</f>
        <v>1835.06</v>
      </c>
      <c r="X707" s="1105">
        <f t="shared" si="88"/>
        <v>8789.9374000000007</v>
      </c>
      <c r="Z707" s="1105">
        <f t="shared" si="89"/>
        <v>8789.9374000000007</v>
      </c>
      <c r="AE707" s="1114" t="str">
        <f t="shared" si="85"/>
        <v>|</v>
      </c>
      <c r="AG707" s="1103" t="s">
        <v>3430</v>
      </c>
    </row>
    <row r="708" spans="1:33" ht="24" customHeight="1">
      <c r="A708" s="1122">
        <f t="shared" si="87"/>
        <v>505</v>
      </c>
      <c r="B708" s="1103" t="s">
        <v>3758</v>
      </c>
      <c r="C708" s="1114">
        <v>215</v>
      </c>
      <c r="D708" s="1103" t="s">
        <v>2838</v>
      </c>
      <c r="H708" s="1103" t="s">
        <v>3069</v>
      </c>
      <c r="I708" s="1105">
        <f>K707</f>
        <v>672.572</v>
      </c>
      <c r="J708" s="1107">
        <f>J707</f>
        <v>15.091999999999999</v>
      </c>
      <c r="K708" s="1115">
        <f>I708+J708</f>
        <v>687.66399999999999</v>
      </c>
      <c r="O708" s="1111" t="s">
        <v>36</v>
      </c>
      <c r="S708" s="1108">
        <v>3.25</v>
      </c>
      <c r="T708" s="1105" t="s">
        <v>58</v>
      </c>
      <c r="U708" s="1105" t="s">
        <v>2786</v>
      </c>
      <c r="V708" s="1105">
        <f>V643</f>
        <v>5960</v>
      </c>
      <c r="X708" s="1105">
        <f t="shared" si="88"/>
        <v>19370</v>
      </c>
      <c r="Z708" s="1105">
        <f t="shared" si="89"/>
        <v>19370</v>
      </c>
      <c r="AE708" s="1114" t="str">
        <f t="shared" si="85"/>
        <v>|</v>
      </c>
      <c r="AG708" s="1103" t="s">
        <v>3430</v>
      </c>
    </row>
    <row r="709" spans="1:33" ht="30.75" customHeight="1">
      <c r="A709" s="1122">
        <f t="shared" si="87"/>
        <v>506</v>
      </c>
      <c r="B709" s="1103" t="s">
        <v>3759</v>
      </c>
      <c r="C709" s="1114">
        <v>215</v>
      </c>
      <c r="D709" s="1103" t="s">
        <v>2838</v>
      </c>
      <c r="H709" s="1103" t="s">
        <v>3071</v>
      </c>
      <c r="I709" s="1105">
        <f>K708</f>
        <v>687.66399999999999</v>
      </c>
      <c r="J709" s="1107">
        <f>J708</f>
        <v>15.091999999999999</v>
      </c>
      <c r="K709" s="1115">
        <f>I709+J709</f>
        <v>702.75599999999997</v>
      </c>
      <c r="M709" s="1114">
        <v>1</v>
      </c>
      <c r="N709" s="1103" t="s">
        <v>2838</v>
      </c>
      <c r="O709" s="1103" t="s">
        <v>3760</v>
      </c>
      <c r="P709" s="1114">
        <f>(C393/1*0.3)</f>
        <v>38.4</v>
      </c>
      <c r="Q709" s="1103" t="s">
        <v>2838</v>
      </c>
      <c r="R709" s="1114">
        <f>(M709*P709)</f>
        <v>38.4</v>
      </c>
      <c r="S709" s="1108">
        <f>3250*0.6%</f>
        <v>19.5</v>
      </c>
      <c r="T709" s="1105" t="s">
        <v>165</v>
      </c>
      <c r="U709" s="1154" t="s">
        <v>3761</v>
      </c>
      <c r="V709" s="1105">
        <f>V648</f>
        <v>42.8</v>
      </c>
      <c r="X709" s="1105">
        <f t="shared" si="88"/>
        <v>834.59999999999991</v>
      </c>
      <c r="Z709" s="1105">
        <f t="shared" si="89"/>
        <v>834.59999999999991</v>
      </c>
      <c r="AE709" s="1114" t="str">
        <f t="shared" si="85"/>
        <v>|</v>
      </c>
      <c r="AG709" s="1103" t="s">
        <v>3430</v>
      </c>
    </row>
    <row r="710" spans="1:33" ht="24" customHeight="1">
      <c r="A710" s="1122">
        <f t="shared" si="87"/>
        <v>507</v>
      </c>
      <c r="B710" s="1103" t="s">
        <v>3762</v>
      </c>
      <c r="C710" s="1114">
        <v>107.64</v>
      </c>
      <c r="D710" s="1103" t="s">
        <v>3189</v>
      </c>
      <c r="H710" s="1103" t="s">
        <v>3451</v>
      </c>
      <c r="I710" s="1105">
        <f>K709</f>
        <v>702.75599999999997</v>
      </c>
      <c r="J710" s="1107">
        <f>J709</f>
        <v>15.091999999999999</v>
      </c>
      <c r="K710" s="1115">
        <f>I710+J710</f>
        <v>717.84799999999996</v>
      </c>
      <c r="N710" s="1103" t="s">
        <v>2851</v>
      </c>
      <c r="O710" s="1103" t="s">
        <v>3701</v>
      </c>
      <c r="Q710" s="1103" t="s">
        <v>2851</v>
      </c>
      <c r="R710" s="1114">
        <v>1.65</v>
      </c>
      <c r="S710" s="1108">
        <v>3.5</v>
      </c>
      <c r="T710" s="1105" t="s">
        <v>4</v>
      </c>
      <c r="U710" s="1105" t="s">
        <v>3706</v>
      </c>
      <c r="V710" s="1105">
        <f>C11</f>
        <v>804</v>
      </c>
      <c r="W710" s="1105">
        <f>J719</f>
        <v>0</v>
      </c>
      <c r="X710" s="1105">
        <f t="shared" si="88"/>
        <v>2814</v>
      </c>
      <c r="Z710" s="1105">
        <f t="shared" si="89"/>
        <v>2814</v>
      </c>
      <c r="AE710" s="1114" t="str">
        <f t="shared" si="85"/>
        <v>|</v>
      </c>
      <c r="AG710" s="1103" t="s">
        <v>3430</v>
      </c>
    </row>
    <row r="711" spans="1:33" ht="24" customHeight="1">
      <c r="A711" s="1122">
        <f t="shared" si="87"/>
        <v>508</v>
      </c>
      <c r="B711" s="1106" t="s">
        <v>3763</v>
      </c>
      <c r="F711" s="1103" t="s">
        <v>220</v>
      </c>
      <c r="O711" s="1103" t="s">
        <v>3705</v>
      </c>
      <c r="R711" s="1103" t="s">
        <v>220</v>
      </c>
      <c r="S711" s="1108">
        <v>21.2</v>
      </c>
      <c r="T711" s="1105" t="s">
        <v>4</v>
      </c>
      <c r="U711" s="1105" t="s">
        <v>3709</v>
      </c>
      <c r="V711" s="1105">
        <f>C12</f>
        <v>562</v>
      </c>
      <c r="X711" s="1105">
        <f t="shared" si="88"/>
        <v>11914.4</v>
      </c>
      <c r="Z711" s="1105">
        <f t="shared" si="89"/>
        <v>11914.4</v>
      </c>
      <c r="AE711" s="1114" t="str">
        <f t="shared" si="85"/>
        <v>|</v>
      </c>
      <c r="AG711" s="1103" t="s">
        <v>3430</v>
      </c>
    </row>
    <row r="712" spans="1:33" ht="24" customHeight="1">
      <c r="A712" s="1122">
        <f t="shared" si="87"/>
        <v>509</v>
      </c>
      <c r="B712" s="1103" t="s">
        <v>3764</v>
      </c>
      <c r="C712" s="1114">
        <v>6.7</v>
      </c>
      <c r="D712" s="1103" t="s">
        <v>2838</v>
      </c>
      <c r="R712" s="1111" t="s">
        <v>36</v>
      </c>
      <c r="S712" s="1108">
        <v>35.299999999999997</v>
      </c>
      <c r="T712" s="1105" t="s">
        <v>4</v>
      </c>
      <c r="U712" s="1105" t="s">
        <v>3713</v>
      </c>
      <c r="V712" s="1105">
        <f>C13</f>
        <v>461</v>
      </c>
      <c r="X712" s="1105">
        <f t="shared" si="88"/>
        <v>16273.3</v>
      </c>
      <c r="Z712" s="1105">
        <f t="shared" si="89"/>
        <v>16273.3</v>
      </c>
      <c r="AE712" s="1114" t="str">
        <f t="shared" si="85"/>
        <v>|</v>
      </c>
      <c r="AG712" s="1103" t="s">
        <v>3430</v>
      </c>
    </row>
    <row r="713" spans="1:33" ht="24" customHeight="1">
      <c r="A713" s="1122">
        <f t="shared" si="87"/>
        <v>510</v>
      </c>
      <c r="B713" s="1103" t="s">
        <v>3361</v>
      </c>
      <c r="C713" s="1114">
        <v>8.1</v>
      </c>
      <c r="D713" s="1103" t="s">
        <v>2838</v>
      </c>
      <c r="F713" s="1104" t="s">
        <v>2923</v>
      </c>
      <c r="H713" s="1103" t="s">
        <v>3765</v>
      </c>
      <c r="O713" s="1103" t="s">
        <v>3712</v>
      </c>
      <c r="R713" s="1114">
        <f>SUM(R709:R711)</f>
        <v>40.049999999999997</v>
      </c>
      <c r="U713" s="1105" t="s">
        <v>3715</v>
      </c>
      <c r="V713" s="1105">
        <f>V683</f>
        <v>0</v>
      </c>
      <c r="X713" s="1119">
        <f>SUM(X705:X712)</f>
        <v>75568.135399999999</v>
      </c>
      <c r="Z713" s="1105">
        <f t="shared" si="89"/>
        <v>75568.135399999999</v>
      </c>
      <c r="AE713" s="1114" t="str">
        <f t="shared" si="85"/>
        <v>|</v>
      </c>
      <c r="AG713" s="1103" t="s">
        <v>3430</v>
      </c>
    </row>
    <row r="714" spans="1:33" ht="27" customHeight="1">
      <c r="A714" s="1122">
        <f t="shared" si="87"/>
        <v>511</v>
      </c>
      <c r="B714" s="1103" t="s">
        <v>3363</v>
      </c>
      <c r="C714" s="1114">
        <v>10.8</v>
      </c>
      <c r="D714" s="1103" t="s">
        <v>2838</v>
      </c>
      <c r="H714" s="1103" t="s">
        <v>3766</v>
      </c>
      <c r="R714" s="1111" t="s">
        <v>36</v>
      </c>
      <c r="U714" s="1105" t="s">
        <v>3717</v>
      </c>
      <c r="V714" s="1105">
        <f>V684</f>
        <v>0</v>
      </c>
      <c r="X714" s="1119">
        <f>X713/10</f>
        <v>7556.8135400000001</v>
      </c>
      <c r="Z714" s="1105">
        <f t="shared" si="89"/>
        <v>7556.8135400000001</v>
      </c>
      <c r="AE714" s="1114" t="str">
        <f t="shared" si="85"/>
        <v>|</v>
      </c>
      <c r="AG714" s="1103" t="s">
        <v>3430</v>
      </c>
    </row>
    <row r="715" spans="1:33" ht="24" customHeight="1">
      <c r="A715" s="1122">
        <f t="shared" si="87"/>
        <v>512</v>
      </c>
      <c r="B715" s="1103" t="s">
        <v>3364</v>
      </c>
      <c r="C715" s="1114">
        <v>16.3</v>
      </c>
      <c r="D715" s="1103" t="s">
        <v>2838</v>
      </c>
      <c r="H715" s="1103" t="s">
        <v>3767</v>
      </c>
      <c r="O715" s="1104" t="s">
        <v>3768</v>
      </c>
      <c r="R715" s="1103" t="s">
        <v>220</v>
      </c>
      <c r="S715" s="1108">
        <v>1</v>
      </c>
      <c r="T715" s="1105" t="s">
        <v>204</v>
      </c>
      <c r="U715" s="1105" t="s">
        <v>3721</v>
      </c>
      <c r="V715" s="1105">
        <f>C25</f>
        <v>81.3</v>
      </c>
      <c r="X715" s="1105">
        <f>V715*S715</f>
        <v>81.3</v>
      </c>
      <c r="AE715" s="1114" t="str">
        <f t="shared" si="85"/>
        <v>|</v>
      </c>
      <c r="AG715" s="1103" t="s">
        <v>3430</v>
      </c>
    </row>
    <row r="716" spans="1:33" ht="24" customHeight="1">
      <c r="A716" s="1122">
        <f t="shared" si="87"/>
        <v>513</v>
      </c>
      <c r="B716" s="1103" t="s">
        <v>3365</v>
      </c>
      <c r="C716" s="1114">
        <v>21.9</v>
      </c>
      <c r="D716" s="1103" t="s">
        <v>2838</v>
      </c>
      <c r="H716" s="1111" t="s">
        <v>36</v>
      </c>
      <c r="M716" s="1144"/>
      <c r="O716" s="1104" t="s">
        <v>3769</v>
      </c>
      <c r="U716" s="1105" t="s">
        <v>3723</v>
      </c>
      <c r="V716" s="1105">
        <f>V686</f>
        <v>0</v>
      </c>
      <c r="X716" s="1119">
        <f>SUM(X714:X715)</f>
        <v>7638.1135400000003</v>
      </c>
      <c r="Z716" s="1105">
        <f>Z714</f>
        <v>7556.8135400000001</v>
      </c>
      <c r="AE716" s="1114" t="str">
        <f t="shared" si="85"/>
        <v>|</v>
      </c>
      <c r="AG716" s="1103" t="s">
        <v>3430</v>
      </c>
    </row>
    <row r="717" spans="1:33" ht="24" customHeight="1">
      <c r="A717" s="1122">
        <f t="shared" si="87"/>
        <v>514</v>
      </c>
      <c r="B717" s="1106" t="s">
        <v>3770</v>
      </c>
      <c r="D717" s="1103" t="s">
        <v>220</v>
      </c>
      <c r="F717" s="1114">
        <v>0.4</v>
      </c>
      <c r="G717" s="1114" t="s">
        <v>2839</v>
      </c>
      <c r="H717" s="1103" t="s">
        <v>3771</v>
      </c>
      <c r="I717" s="1114">
        <f>(C268)</f>
        <v>17600</v>
      </c>
      <c r="J717" s="1103" t="s">
        <v>2839</v>
      </c>
      <c r="K717" s="1114">
        <f>(F717*I717)</f>
        <v>7040</v>
      </c>
      <c r="M717" s="1104" t="s">
        <v>3171</v>
      </c>
      <c r="N717" s="1103" t="s">
        <v>3772</v>
      </c>
      <c r="O717" s="1103" t="s">
        <v>3773</v>
      </c>
      <c r="S717" s="1152" t="s">
        <v>1348</v>
      </c>
      <c r="U717" s="1105" t="s">
        <v>3725</v>
      </c>
      <c r="V717" s="1105" t="str">
        <f>V687</f>
        <v>LS</v>
      </c>
      <c r="X717" s="1105">
        <f>X716*0.5%</f>
        <v>38.190567700000003</v>
      </c>
      <c r="Z717" s="1105">
        <f>Z716*0.5/100</f>
        <v>37.784067700000001</v>
      </c>
      <c r="AE717" s="1114" t="str">
        <f t="shared" si="85"/>
        <v>|::</v>
      </c>
      <c r="AG717" s="1103" t="s">
        <v>3220</v>
      </c>
    </row>
    <row r="718" spans="1:33" ht="24" customHeight="1">
      <c r="A718" s="1122">
        <f t="shared" si="87"/>
        <v>515</v>
      </c>
      <c r="B718" s="1103" t="s">
        <v>3310</v>
      </c>
      <c r="C718" s="1114">
        <v>20</v>
      </c>
      <c r="D718" s="1103" t="s">
        <v>2838</v>
      </c>
      <c r="F718" s="1114">
        <v>0.12</v>
      </c>
      <c r="G718" s="1114" t="s">
        <v>2839</v>
      </c>
      <c r="H718" s="1103" t="s">
        <v>3774</v>
      </c>
      <c r="I718" s="1114">
        <f>(C269)</f>
        <v>15500</v>
      </c>
      <c r="J718" s="1103" t="s">
        <v>2839</v>
      </c>
      <c r="K718" s="1114">
        <f>(F718*I718)</f>
        <v>1860</v>
      </c>
      <c r="O718" s="1111" t="s">
        <v>36</v>
      </c>
      <c r="U718" s="1119" t="s">
        <v>3665</v>
      </c>
      <c r="W718" s="1107"/>
      <c r="X718" s="1115">
        <f>SUM(X716:X717)</f>
        <v>7676.3041077000007</v>
      </c>
      <c r="Z718" s="1119">
        <f>SUM(Z716:Z717)</f>
        <v>7594.5976077000005</v>
      </c>
      <c r="AE718" s="1114">
        <f t="shared" si="85"/>
        <v>0</v>
      </c>
    </row>
    <row r="719" spans="1:33" ht="24" customHeight="1">
      <c r="A719" s="1122">
        <f t="shared" si="87"/>
        <v>516</v>
      </c>
      <c r="B719" s="1103" t="s">
        <v>3775</v>
      </c>
      <c r="C719" s="1114">
        <v>45</v>
      </c>
      <c r="D719" s="1103" t="s">
        <v>2838</v>
      </c>
      <c r="H719" s="1103" t="s">
        <v>3776</v>
      </c>
      <c r="I719" s="1103" t="s">
        <v>220</v>
      </c>
      <c r="K719" s="1103" t="s">
        <v>220</v>
      </c>
      <c r="M719" s="1144">
        <v>2.69E-2</v>
      </c>
      <c r="N719" s="1103" t="s">
        <v>2839</v>
      </c>
      <c r="O719" s="1103" t="s">
        <v>3777</v>
      </c>
      <c r="P719" s="1114">
        <f>C86</f>
        <v>34300</v>
      </c>
      <c r="Q719" s="1103" t="s">
        <v>2839</v>
      </c>
      <c r="R719" s="1114">
        <f t="shared" ref="R719:R725" si="90">M719*P719</f>
        <v>922.67</v>
      </c>
      <c r="W719" s="1107"/>
      <c r="X719" s="1111" t="s">
        <v>36</v>
      </c>
      <c r="AE719" s="1114">
        <f t="shared" si="85"/>
        <v>0</v>
      </c>
    </row>
    <row r="720" spans="1:33" ht="24" customHeight="1">
      <c r="A720" s="1122">
        <f t="shared" si="87"/>
        <v>517</v>
      </c>
      <c r="B720" s="1106" t="s">
        <v>3778</v>
      </c>
      <c r="D720" s="1103" t="s">
        <v>2568</v>
      </c>
      <c r="F720" s="1114">
        <v>98.5</v>
      </c>
      <c r="G720" s="1114" t="s">
        <v>1790</v>
      </c>
      <c r="H720" s="1103" t="s">
        <v>3779</v>
      </c>
      <c r="I720" s="1114">
        <f>(C270)</f>
        <v>25.2</v>
      </c>
      <c r="J720" s="1103" t="s">
        <v>1790</v>
      </c>
      <c r="K720" s="1114">
        <f>(F720*I720)</f>
        <v>2482.1999999999998</v>
      </c>
      <c r="M720" s="1144">
        <v>1.2949999999999999</v>
      </c>
      <c r="N720" s="1103" t="s">
        <v>3189</v>
      </c>
      <c r="O720" s="1103" t="s">
        <v>3780</v>
      </c>
      <c r="P720" s="1114">
        <f>C783</f>
        <v>387.4</v>
      </c>
      <c r="Q720" s="1103" t="s">
        <v>3189</v>
      </c>
      <c r="R720" s="1114">
        <f t="shared" si="90"/>
        <v>501.68299999999994</v>
      </c>
      <c r="U720" s="1103" t="s">
        <v>3062</v>
      </c>
      <c r="W720" s="1107"/>
      <c r="X720" s="1115">
        <f>(X718+C22)</f>
        <v>7779.6041077000009</v>
      </c>
      <c r="AE720" s="1114">
        <f t="shared" si="85"/>
        <v>0</v>
      </c>
    </row>
    <row r="721" spans="1:33" ht="24" customHeight="1">
      <c r="A721" s="1122">
        <f t="shared" si="87"/>
        <v>518</v>
      </c>
      <c r="B721" s="1103" t="s">
        <v>3310</v>
      </c>
      <c r="C721" s="1114">
        <v>19.09</v>
      </c>
      <c r="D721" s="1103" t="s">
        <v>2838</v>
      </c>
      <c r="H721" s="1103" t="s">
        <v>3781</v>
      </c>
      <c r="I721" s="1103" t="s">
        <v>220</v>
      </c>
      <c r="K721" s="1103" t="s">
        <v>2568</v>
      </c>
      <c r="M721" s="1144">
        <v>1.8149999999999999</v>
      </c>
      <c r="N721" s="1103" t="s">
        <v>3189</v>
      </c>
      <c r="O721" s="1103" t="s">
        <v>3208</v>
      </c>
      <c r="P721" s="1114">
        <f>C31</f>
        <v>1325</v>
      </c>
      <c r="Q721" s="1103" t="s">
        <v>3189</v>
      </c>
      <c r="R721" s="1114">
        <f t="shared" si="90"/>
        <v>2404.875</v>
      </c>
      <c r="U721" s="1103" t="s">
        <v>3066</v>
      </c>
      <c r="W721" s="1107"/>
      <c r="X721" s="1115">
        <f>(X720+C24)</f>
        <v>7983.1041077000009</v>
      </c>
      <c r="AE721" s="1114" t="str">
        <f t="shared" si="85"/>
        <v>|</v>
      </c>
      <c r="AG721" s="1103" t="s">
        <v>3430</v>
      </c>
    </row>
    <row r="722" spans="1:33" ht="24" customHeight="1">
      <c r="A722" s="1122">
        <f t="shared" si="87"/>
        <v>519</v>
      </c>
      <c r="B722" s="1103" t="s">
        <v>3775</v>
      </c>
      <c r="C722" s="1114">
        <v>50.66</v>
      </c>
      <c r="D722" s="1103" t="s">
        <v>2838</v>
      </c>
      <c r="K722" s="1111" t="s">
        <v>36</v>
      </c>
      <c r="M722" s="1114">
        <v>2</v>
      </c>
      <c r="N722" s="1103" t="s">
        <v>2838</v>
      </c>
      <c r="O722" s="1103" t="s">
        <v>3782</v>
      </c>
      <c r="P722" s="1114">
        <f>C299</f>
        <v>10.5</v>
      </c>
      <c r="Q722" s="1103" t="s">
        <v>2838</v>
      </c>
      <c r="R722" s="1114">
        <f t="shared" si="90"/>
        <v>21</v>
      </c>
      <c r="U722" s="1103" t="s">
        <v>3069</v>
      </c>
      <c r="W722" s="1107"/>
      <c r="X722" s="1115">
        <f>(X721+C24)</f>
        <v>8186.6041077000009</v>
      </c>
      <c r="AE722" s="1114" t="str">
        <f t="shared" si="85"/>
        <v>|</v>
      </c>
      <c r="AG722" s="1103" t="s">
        <v>3430</v>
      </c>
    </row>
    <row r="723" spans="1:33" ht="24" customHeight="1">
      <c r="A723" s="1122">
        <f t="shared" si="87"/>
        <v>520</v>
      </c>
      <c r="B723" s="1103" t="s">
        <v>3783</v>
      </c>
      <c r="C723" s="1114">
        <v>1183.82</v>
      </c>
      <c r="D723" s="1103" t="s">
        <v>3189</v>
      </c>
      <c r="H723" s="1103" t="s">
        <v>3784</v>
      </c>
      <c r="K723" s="1114">
        <f>SUM(K717:K721)</f>
        <v>11382.2</v>
      </c>
      <c r="M723" s="1114">
        <v>3</v>
      </c>
      <c r="N723" s="1103" t="s">
        <v>2838</v>
      </c>
      <c r="O723" s="1103" t="s">
        <v>3785</v>
      </c>
      <c r="P723" s="1114">
        <f>C295</f>
        <v>8.5</v>
      </c>
      <c r="Q723" s="1103" t="s">
        <v>2838</v>
      </c>
      <c r="R723" s="1114">
        <f t="shared" si="90"/>
        <v>25.5</v>
      </c>
      <c r="U723" s="1103" t="s">
        <v>3071</v>
      </c>
      <c r="W723" s="1107"/>
      <c r="X723" s="1115">
        <f>(X722+C24)</f>
        <v>8390.1041077000009</v>
      </c>
      <c r="AE723" s="1114" t="str">
        <f t="shared" si="85"/>
        <v>|</v>
      </c>
      <c r="AG723" s="1103" t="s">
        <v>3430</v>
      </c>
    </row>
    <row r="724" spans="1:33" ht="24" customHeight="1">
      <c r="A724" s="1122">
        <f t="shared" si="87"/>
        <v>521</v>
      </c>
      <c r="B724" s="1103" t="s">
        <v>3786</v>
      </c>
      <c r="C724" s="1114">
        <v>1605</v>
      </c>
      <c r="D724" s="1103" t="s">
        <v>3189</v>
      </c>
      <c r="H724" s="1103" t="s">
        <v>220</v>
      </c>
      <c r="K724" s="1111" t="s">
        <v>36</v>
      </c>
      <c r="M724" s="1114">
        <v>1</v>
      </c>
      <c r="N724" s="1103" t="s">
        <v>2838</v>
      </c>
      <c r="O724" s="1103" t="s">
        <v>3787</v>
      </c>
      <c r="P724" s="1114">
        <f>C301</f>
        <v>21</v>
      </c>
      <c r="Q724" s="1103" t="s">
        <v>2838</v>
      </c>
      <c r="R724" s="1114">
        <f t="shared" si="90"/>
        <v>21</v>
      </c>
      <c r="U724" s="1103" t="s">
        <v>3158</v>
      </c>
      <c r="W724" s="1107"/>
      <c r="X724" s="1115">
        <f>(X723+C24)</f>
        <v>8593.6041077000009</v>
      </c>
      <c r="AE724" s="1114" t="str">
        <f t="shared" si="85"/>
        <v>|</v>
      </c>
      <c r="AG724" s="1103" t="s">
        <v>3430</v>
      </c>
    </row>
    <row r="725" spans="1:33" ht="24" customHeight="1">
      <c r="A725" s="1122">
        <f t="shared" si="87"/>
        <v>522</v>
      </c>
      <c r="B725" s="1103" t="s">
        <v>3788</v>
      </c>
      <c r="C725" s="1127">
        <v>9.6</v>
      </c>
      <c r="D725" s="1103" t="s">
        <v>3789</v>
      </c>
      <c r="F725" s="1114">
        <v>10</v>
      </c>
      <c r="G725" s="1114" t="s">
        <v>3189</v>
      </c>
      <c r="H725" s="1103" t="s">
        <v>3790</v>
      </c>
      <c r="I725" s="1114">
        <f>(K723/50)</f>
        <v>227.64400000000001</v>
      </c>
      <c r="J725" s="1103" t="s">
        <v>3189</v>
      </c>
      <c r="K725" s="1114">
        <f>(F725*I725)</f>
        <v>2276.44</v>
      </c>
      <c r="M725" s="1114">
        <v>1</v>
      </c>
      <c r="N725" s="1103" t="s">
        <v>2838</v>
      </c>
      <c r="O725" s="1103" t="s">
        <v>3212</v>
      </c>
      <c r="P725" s="1114">
        <f>C303</f>
        <v>7.3</v>
      </c>
      <c r="Q725" s="1103" t="s">
        <v>2838</v>
      </c>
      <c r="R725" s="1114">
        <f t="shared" si="90"/>
        <v>7.3</v>
      </c>
      <c r="AE725" s="1114" t="str">
        <f t="shared" si="85"/>
        <v>|</v>
      </c>
      <c r="AG725" s="1103" t="s">
        <v>3430</v>
      </c>
    </row>
    <row r="726" spans="1:33" ht="24" customHeight="1">
      <c r="A726" s="1122">
        <f t="shared" si="87"/>
        <v>523</v>
      </c>
      <c r="B726" s="1103" t="s">
        <v>3791</v>
      </c>
      <c r="C726" s="1114">
        <v>147.6</v>
      </c>
      <c r="D726" s="1103" t="s">
        <v>1790</v>
      </c>
      <c r="F726" s="1114">
        <v>3.8</v>
      </c>
      <c r="G726" s="1114" t="s">
        <v>2941</v>
      </c>
      <c r="H726" s="1103" t="s">
        <v>3792</v>
      </c>
      <c r="I726" s="1114">
        <f>(C16)</f>
        <v>842</v>
      </c>
      <c r="J726" s="1103" t="s">
        <v>2941</v>
      </c>
      <c r="K726" s="1114">
        <f>(F726*I726)</f>
        <v>3199.6</v>
      </c>
      <c r="N726" s="1103" t="s">
        <v>2851</v>
      </c>
      <c r="O726" s="1103" t="s">
        <v>2852</v>
      </c>
      <c r="Q726" s="1103" t="s">
        <v>2851</v>
      </c>
      <c r="R726" s="1114">
        <v>0</v>
      </c>
      <c r="AE726" s="1114" t="str">
        <f t="shared" si="85"/>
        <v>|</v>
      </c>
      <c r="AG726" s="1103" t="s">
        <v>3430</v>
      </c>
    </row>
    <row r="727" spans="1:33" ht="24" customHeight="1">
      <c r="A727" s="1122">
        <f t="shared" si="87"/>
        <v>524</v>
      </c>
      <c r="B727" s="1103" t="s">
        <v>3793</v>
      </c>
      <c r="C727" s="1114">
        <v>147.6</v>
      </c>
      <c r="D727" s="1103" t="s">
        <v>1790</v>
      </c>
      <c r="F727" s="1114">
        <v>5.4</v>
      </c>
      <c r="G727" s="1114" t="s">
        <v>2941</v>
      </c>
      <c r="H727" s="1103" t="s">
        <v>3020</v>
      </c>
      <c r="I727" s="1114">
        <f>(C12)</f>
        <v>562</v>
      </c>
      <c r="J727" s="1103" t="s">
        <v>2941</v>
      </c>
      <c r="K727" s="1114">
        <f>(F727*I727)</f>
        <v>3034.8</v>
      </c>
      <c r="R727" s="1111" t="s">
        <v>36</v>
      </c>
      <c r="AE727" s="1114" t="str">
        <f t="shared" si="85"/>
        <v>|</v>
      </c>
      <c r="AG727" s="1103" t="s">
        <v>3430</v>
      </c>
    </row>
    <row r="728" spans="1:33" ht="24" customHeight="1">
      <c r="A728" s="1122">
        <f t="shared" si="87"/>
        <v>525</v>
      </c>
      <c r="B728" s="1103" t="s">
        <v>3794</v>
      </c>
      <c r="C728" s="1114">
        <v>147.6</v>
      </c>
      <c r="D728" s="1103" t="s">
        <v>1790</v>
      </c>
      <c r="G728" s="1114" t="s">
        <v>2851</v>
      </c>
      <c r="H728" s="1103" t="s">
        <v>3795</v>
      </c>
      <c r="J728" s="1103" t="s">
        <v>2851</v>
      </c>
      <c r="K728" s="1114">
        <v>5</v>
      </c>
      <c r="O728" s="1104" t="s">
        <v>3796</v>
      </c>
      <c r="R728" s="1114">
        <f>SUM(R719:R726)</f>
        <v>3904.0280000000002</v>
      </c>
      <c r="AE728" s="1114" t="str">
        <f t="shared" si="85"/>
        <v>|</v>
      </c>
      <c r="AG728" s="1103" t="s">
        <v>3430</v>
      </c>
    </row>
    <row r="729" spans="1:33" ht="24" customHeight="1">
      <c r="A729" s="1122">
        <f t="shared" si="87"/>
        <v>526</v>
      </c>
      <c r="B729" s="1103" t="s">
        <v>3797</v>
      </c>
      <c r="C729" s="1114">
        <v>1250</v>
      </c>
      <c r="D729" s="1103" t="s">
        <v>3189</v>
      </c>
      <c r="K729" s="1111" t="s">
        <v>36</v>
      </c>
      <c r="R729" s="1111" t="s">
        <v>36</v>
      </c>
      <c r="AE729" s="1114" t="str">
        <f t="shared" si="85"/>
        <v>|</v>
      </c>
      <c r="AG729" s="1103" t="s">
        <v>3430</v>
      </c>
    </row>
    <row r="730" spans="1:33" ht="24" customHeight="1">
      <c r="A730" s="1122">
        <f t="shared" si="87"/>
        <v>527</v>
      </c>
      <c r="B730" s="1103" t="s">
        <v>3798</v>
      </c>
      <c r="C730" s="1114">
        <v>1250</v>
      </c>
      <c r="D730" s="1103" t="s">
        <v>3189</v>
      </c>
      <c r="H730" s="1103" t="s">
        <v>3152</v>
      </c>
      <c r="K730" s="1114">
        <f>SUM(K725:K728)</f>
        <v>8515.84</v>
      </c>
      <c r="N730" s="1103" t="s">
        <v>220</v>
      </c>
      <c r="O730" s="1104" t="s">
        <v>3154</v>
      </c>
      <c r="R730" s="1114">
        <f>R728/M720</f>
        <v>3014.6934362934367</v>
      </c>
      <c r="AE730" s="1114" t="str">
        <f t="shared" si="85"/>
        <v>|</v>
      </c>
      <c r="AG730" s="1103" t="s">
        <v>3430</v>
      </c>
    </row>
    <row r="731" spans="1:33" ht="24" customHeight="1">
      <c r="A731" s="1122">
        <f t="shared" si="87"/>
        <v>528</v>
      </c>
      <c r="B731" s="1103" t="s">
        <v>3799</v>
      </c>
      <c r="C731" s="1114">
        <v>1250</v>
      </c>
      <c r="D731" s="1103" t="s">
        <v>3189</v>
      </c>
      <c r="K731" s="1111" t="s">
        <v>36</v>
      </c>
      <c r="R731" s="1111" t="s">
        <v>2793</v>
      </c>
      <c r="AE731" s="1114" t="str">
        <f t="shared" si="85"/>
        <v>|</v>
      </c>
      <c r="AG731" s="1103" t="s">
        <v>3430</v>
      </c>
    </row>
    <row r="732" spans="1:33" ht="24" customHeight="1">
      <c r="A732" s="1122">
        <f t="shared" si="87"/>
        <v>529</v>
      </c>
      <c r="B732" s="1103" t="s">
        <v>3800</v>
      </c>
      <c r="C732" s="1114">
        <v>1250</v>
      </c>
      <c r="D732" s="1103" t="s">
        <v>3189</v>
      </c>
      <c r="H732" s="1103" t="s">
        <v>3154</v>
      </c>
      <c r="K732" s="1114">
        <f>(K730/10)</f>
        <v>851.58400000000006</v>
      </c>
      <c r="M732" s="1104" t="s">
        <v>3171</v>
      </c>
      <c r="N732" s="1103" t="s">
        <v>3801</v>
      </c>
      <c r="O732" s="1103" t="s">
        <v>3802</v>
      </c>
      <c r="AE732" s="1114" t="str">
        <f t="shared" si="85"/>
        <v>|</v>
      </c>
      <c r="AG732" s="1103" t="s">
        <v>3430</v>
      </c>
    </row>
    <row r="733" spans="1:33" ht="24" customHeight="1">
      <c r="A733" s="1122">
        <f t="shared" si="87"/>
        <v>530</v>
      </c>
      <c r="B733" s="1103" t="s">
        <v>3803</v>
      </c>
      <c r="C733" s="1114">
        <v>1250</v>
      </c>
      <c r="D733" s="1103" t="s">
        <v>3189</v>
      </c>
      <c r="K733" s="1111" t="s">
        <v>2793</v>
      </c>
      <c r="O733" s="1111" t="s">
        <v>36</v>
      </c>
      <c r="AE733" s="1114" t="str">
        <f t="shared" si="85"/>
        <v>|</v>
      </c>
      <c r="AG733" s="1103" t="s">
        <v>3430</v>
      </c>
    </row>
    <row r="734" spans="1:33" ht="24" customHeight="1">
      <c r="A734" s="1122">
        <f t="shared" si="87"/>
        <v>531</v>
      </c>
      <c r="B734" s="1103" t="s">
        <v>3804</v>
      </c>
      <c r="C734" s="1114">
        <v>1250</v>
      </c>
      <c r="D734" s="1103" t="s">
        <v>3189</v>
      </c>
      <c r="M734" s="1144">
        <v>2.5499999999999998E-2</v>
      </c>
      <c r="N734" s="1103" t="s">
        <v>2839</v>
      </c>
      <c r="O734" s="1103" t="s">
        <v>3805</v>
      </c>
      <c r="P734" s="1114">
        <f>C86</f>
        <v>34300</v>
      </c>
      <c r="Q734" s="1103" t="s">
        <v>2839</v>
      </c>
      <c r="R734" s="1114">
        <f t="shared" ref="R734:R740" si="91">M734*P734</f>
        <v>874.65</v>
      </c>
      <c r="AE734" s="1114" t="str">
        <f t="shared" si="85"/>
        <v>|</v>
      </c>
      <c r="AG734" s="1103" t="s">
        <v>3430</v>
      </c>
    </row>
    <row r="735" spans="1:33" ht="24" customHeight="1">
      <c r="A735" s="1122">
        <f t="shared" si="87"/>
        <v>532</v>
      </c>
      <c r="B735" s="1103" t="s">
        <v>3806</v>
      </c>
      <c r="C735" s="1114">
        <v>1250</v>
      </c>
      <c r="D735" s="1103" t="s">
        <v>3189</v>
      </c>
      <c r="F735" s="1104" t="s">
        <v>2928</v>
      </c>
      <c r="G735" s="1114" t="s">
        <v>1363</v>
      </c>
      <c r="H735" s="1103" t="s">
        <v>3807</v>
      </c>
      <c r="M735" s="1144">
        <v>1.1299999999999999</v>
      </c>
      <c r="N735" s="1103" t="s">
        <v>3189</v>
      </c>
      <c r="O735" s="1103" t="s">
        <v>3780</v>
      </c>
      <c r="P735" s="1114">
        <f>C783</f>
        <v>387.4</v>
      </c>
      <c r="Q735" s="1103" t="s">
        <v>3189</v>
      </c>
      <c r="R735" s="1114">
        <f t="shared" si="91"/>
        <v>437.76199999999994</v>
      </c>
      <c r="AE735" s="1114" t="str">
        <f t="shared" si="85"/>
        <v>|</v>
      </c>
      <c r="AG735" s="1103" t="s">
        <v>3430</v>
      </c>
    </row>
    <row r="736" spans="1:33" ht="24" customHeight="1">
      <c r="A736" s="1122">
        <f t="shared" si="87"/>
        <v>533</v>
      </c>
      <c r="B736" s="1103" t="s">
        <v>3808</v>
      </c>
      <c r="C736" s="1114">
        <v>1250</v>
      </c>
      <c r="D736" s="1103" t="s">
        <v>3189</v>
      </c>
      <c r="H736" s="1103" t="s">
        <v>3809</v>
      </c>
      <c r="M736" s="1144">
        <v>1.6191</v>
      </c>
      <c r="N736" s="1103" t="s">
        <v>3189</v>
      </c>
      <c r="O736" s="1103" t="s">
        <v>3208</v>
      </c>
      <c r="P736" s="1114">
        <f>C31</f>
        <v>1325</v>
      </c>
      <c r="Q736" s="1103" t="s">
        <v>3189</v>
      </c>
      <c r="R736" s="1114">
        <f t="shared" si="91"/>
        <v>2145.3074999999999</v>
      </c>
      <c r="AE736" s="1114" t="str">
        <f t="shared" si="85"/>
        <v>|</v>
      </c>
      <c r="AG736" s="1103" t="s">
        <v>3430</v>
      </c>
    </row>
    <row r="737" spans="1:33" ht="24" customHeight="1">
      <c r="A737" s="1122">
        <f t="shared" si="87"/>
        <v>534</v>
      </c>
      <c r="B737" s="1103" t="s">
        <v>3810</v>
      </c>
      <c r="C737" s="1114">
        <v>1250</v>
      </c>
      <c r="D737" s="1103" t="s">
        <v>3189</v>
      </c>
      <c r="H737" s="1103" t="s">
        <v>3811</v>
      </c>
      <c r="M737" s="1114">
        <v>2</v>
      </c>
      <c r="N737" s="1103" t="s">
        <v>2838</v>
      </c>
      <c r="O737" s="1103" t="s">
        <v>3782</v>
      </c>
      <c r="P737" s="1114">
        <f>C299</f>
        <v>10.5</v>
      </c>
      <c r="Q737" s="1103" t="s">
        <v>2838</v>
      </c>
      <c r="R737" s="1114">
        <f t="shared" si="91"/>
        <v>21</v>
      </c>
      <c r="AE737" s="1114" t="str">
        <f t="shared" si="85"/>
        <v>|</v>
      </c>
      <c r="AG737" s="1103" t="s">
        <v>3430</v>
      </c>
    </row>
    <row r="738" spans="1:33" ht="24" customHeight="1">
      <c r="A738" s="1122">
        <f t="shared" si="87"/>
        <v>535</v>
      </c>
      <c r="B738" s="1103" t="s">
        <v>3812</v>
      </c>
      <c r="C738" s="1114">
        <v>1250</v>
      </c>
      <c r="D738" s="1103" t="s">
        <v>3189</v>
      </c>
      <c r="H738" s="1103" t="s">
        <v>3813</v>
      </c>
      <c r="M738" s="1114">
        <v>3</v>
      </c>
      <c r="N738" s="1103" t="s">
        <v>2838</v>
      </c>
      <c r="O738" s="1103" t="s">
        <v>3785</v>
      </c>
      <c r="P738" s="1114">
        <f>C295</f>
        <v>8.5</v>
      </c>
      <c r="Q738" s="1103" t="s">
        <v>2838</v>
      </c>
      <c r="R738" s="1114">
        <f t="shared" si="91"/>
        <v>25.5</v>
      </c>
      <c r="AE738" s="1114" t="str">
        <f t="shared" si="85"/>
        <v>|</v>
      </c>
      <c r="AG738" s="1103" t="s">
        <v>3430</v>
      </c>
    </row>
    <row r="739" spans="1:33" ht="24" customHeight="1">
      <c r="A739" s="1122">
        <f t="shared" si="87"/>
        <v>536</v>
      </c>
      <c r="B739" s="1103" t="s">
        <v>3814</v>
      </c>
      <c r="C739" s="1114">
        <v>1250</v>
      </c>
      <c r="D739" s="1103" t="s">
        <v>3189</v>
      </c>
      <c r="H739" s="1103" t="s">
        <v>3815</v>
      </c>
      <c r="M739" s="1114">
        <v>1</v>
      </c>
      <c r="N739" s="1103" t="s">
        <v>2838</v>
      </c>
      <c r="O739" s="1103" t="s">
        <v>3787</v>
      </c>
      <c r="P739" s="1114">
        <f>C301</f>
        <v>21</v>
      </c>
      <c r="Q739" s="1103" t="s">
        <v>2838</v>
      </c>
      <c r="R739" s="1114">
        <f t="shared" si="91"/>
        <v>21</v>
      </c>
      <c r="AE739" s="1114" t="str">
        <f t="shared" si="85"/>
        <v>|</v>
      </c>
      <c r="AG739" s="1103" t="s">
        <v>3430</v>
      </c>
    </row>
    <row r="740" spans="1:33" ht="24" customHeight="1">
      <c r="A740" s="1122">
        <f t="shared" si="87"/>
        <v>537</v>
      </c>
      <c r="B740" s="1103" t="s">
        <v>3806</v>
      </c>
      <c r="C740" s="1114">
        <v>1250</v>
      </c>
      <c r="D740" s="1103" t="s">
        <v>3189</v>
      </c>
      <c r="H740" s="1103" t="s">
        <v>3816</v>
      </c>
      <c r="M740" s="1114">
        <v>1</v>
      </c>
      <c r="N740" s="1103" t="s">
        <v>2838</v>
      </c>
      <c r="O740" s="1103" t="s">
        <v>3212</v>
      </c>
      <c r="P740" s="1114">
        <f>C303</f>
        <v>7.3</v>
      </c>
      <c r="Q740" s="1103" t="s">
        <v>2838</v>
      </c>
      <c r="R740" s="1114">
        <f t="shared" si="91"/>
        <v>7.3</v>
      </c>
      <c r="AE740" s="1114" t="str">
        <f t="shared" si="85"/>
        <v>|</v>
      </c>
      <c r="AG740" s="1103" t="s">
        <v>3430</v>
      </c>
    </row>
    <row r="741" spans="1:33" ht="24" customHeight="1">
      <c r="A741" s="1122">
        <f t="shared" si="87"/>
        <v>538</v>
      </c>
      <c r="B741" s="1103" t="s">
        <v>3817</v>
      </c>
      <c r="D741" s="1103" t="s">
        <v>220</v>
      </c>
      <c r="H741" s="1103" t="s">
        <v>3818</v>
      </c>
      <c r="N741" s="1103" t="s">
        <v>2851</v>
      </c>
      <c r="O741" s="1103" t="s">
        <v>2852</v>
      </c>
      <c r="Q741" s="1103" t="s">
        <v>2851</v>
      </c>
      <c r="R741" s="1114">
        <v>0</v>
      </c>
      <c r="AE741" s="1114" t="str">
        <f t="shared" si="85"/>
        <v>|</v>
      </c>
      <c r="AG741" s="1103" t="s">
        <v>3430</v>
      </c>
    </row>
    <row r="742" spans="1:33" ht="24" customHeight="1">
      <c r="A742" s="1122">
        <f t="shared" si="87"/>
        <v>539</v>
      </c>
      <c r="B742" s="1103" t="s">
        <v>3819</v>
      </c>
      <c r="C742" s="1114">
        <v>65</v>
      </c>
      <c r="D742" s="1103" t="s">
        <v>3820</v>
      </c>
      <c r="H742" s="1111" t="s">
        <v>36</v>
      </c>
      <c r="I742" s="1111" t="s">
        <v>36</v>
      </c>
      <c r="J742" s="1103" t="s">
        <v>36</v>
      </c>
      <c r="R742" s="1111" t="s">
        <v>36</v>
      </c>
      <c r="AE742" s="1114" t="str">
        <f t="shared" si="85"/>
        <v>|</v>
      </c>
      <c r="AG742" s="1103" t="s">
        <v>3430</v>
      </c>
    </row>
    <row r="743" spans="1:33" ht="24" customHeight="1">
      <c r="A743" s="1122">
        <f t="shared" si="87"/>
        <v>540</v>
      </c>
      <c r="B743" s="1103" t="s">
        <v>3821</v>
      </c>
      <c r="C743" s="1114">
        <v>64.55</v>
      </c>
      <c r="D743" s="1103" t="s">
        <v>3820</v>
      </c>
      <c r="F743" s="1114">
        <v>13.46</v>
      </c>
      <c r="G743" s="1114" t="s">
        <v>271</v>
      </c>
      <c r="H743" s="1103" t="s">
        <v>3822</v>
      </c>
      <c r="I743" s="1114">
        <f>C34/1000</f>
        <v>47.3</v>
      </c>
      <c r="J743" s="1103" t="s">
        <v>271</v>
      </c>
      <c r="K743" s="1114">
        <f>(F743*I743)</f>
        <v>636.65800000000002</v>
      </c>
      <c r="O743" s="1104" t="s">
        <v>3823</v>
      </c>
      <c r="R743" s="1114">
        <f>SUM(R734:R741)</f>
        <v>3532.5194999999999</v>
      </c>
      <c r="AE743" s="1114" t="str">
        <f t="shared" si="85"/>
        <v>|</v>
      </c>
      <c r="AG743" s="1103" t="s">
        <v>3430</v>
      </c>
    </row>
    <row r="744" spans="1:33" ht="24" customHeight="1">
      <c r="A744" s="1122">
        <f t="shared" si="87"/>
        <v>541</v>
      </c>
      <c r="B744" s="1103" t="s">
        <v>3824</v>
      </c>
      <c r="C744" s="1114">
        <v>110.95</v>
      </c>
      <c r="D744" s="1103" t="s">
        <v>3820</v>
      </c>
      <c r="H744" s="1103" t="s">
        <v>3825</v>
      </c>
      <c r="R744" s="1111" t="s">
        <v>36</v>
      </c>
      <c r="AE744" s="1114" t="str">
        <f t="shared" si="85"/>
        <v>|</v>
      </c>
      <c r="AG744" s="1103" t="s">
        <v>3430</v>
      </c>
    </row>
    <row r="745" spans="1:33" ht="24" customHeight="1">
      <c r="A745" s="1122">
        <f t="shared" si="87"/>
        <v>542</v>
      </c>
      <c r="B745" s="1103" t="s">
        <v>3826</v>
      </c>
      <c r="C745" s="1114">
        <v>399</v>
      </c>
      <c r="D745" s="1103" t="s">
        <v>3820</v>
      </c>
      <c r="F745" s="1114">
        <v>4</v>
      </c>
      <c r="G745" s="1114" t="s">
        <v>271</v>
      </c>
      <c r="H745" s="1103" t="s">
        <v>3827</v>
      </c>
      <c r="I745" s="1114">
        <f>C34/1000</f>
        <v>47.3</v>
      </c>
      <c r="J745" s="1103" t="s">
        <v>271</v>
      </c>
      <c r="K745" s="1114">
        <f>(F745*I745)</f>
        <v>189.2</v>
      </c>
      <c r="O745" s="1104" t="s">
        <v>3154</v>
      </c>
      <c r="R745" s="1114">
        <f>R743/M736</f>
        <v>2181.7796924217159</v>
      </c>
      <c r="AE745" s="1114" t="str">
        <f t="shared" si="85"/>
        <v>|</v>
      </c>
      <c r="AG745" s="1103" t="s">
        <v>3430</v>
      </c>
    </row>
    <row r="746" spans="1:33" ht="24" customHeight="1">
      <c r="A746" s="1122">
        <f t="shared" si="87"/>
        <v>543</v>
      </c>
      <c r="B746" s="1103" t="s">
        <v>3828</v>
      </c>
      <c r="C746" s="1114">
        <v>92</v>
      </c>
      <c r="D746" s="1103" t="s">
        <v>3820</v>
      </c>
      <c r="H746" s="1103" t="s">
        <v>3829</v>
      </c>
      <c r="R746" s="1111" t="s">
        <v>2793</v>
      </c>
      <c r="AE746" s="1114" t="str">
        <f t="shared" si="85"/>
        <v>|</v>
      </c>
      <c r="AG746" s="1103" t="s">
        <v>3430</v>
      </c>
    </row>
    <row r="747" spans="1:33" ht="24" customHeight="1">
      <c r="A747" s="1122">
        <f t="shared" si="87"/>
        <v>544</v>
      </c>
      <c r="B747" s="1103" t="s">
        <v>3830</v>
      </c>
      <c r="C747" s="1114">
        <v>174.24</v>
      </c>
      <c r="D747" s="1103" t="s">
        <v>3820</v>
      </c>
      <c r="F747" s="1114"/>
      <c r="G747" s="1114" t="s">
        <v>2851</v>
      </c>
      <c r="H747" s="1103" t="s">
        <v>3831</v>
      </c>
      <c r="J747" s="1103" t="s">
        <v>2851</v>
      </c>
      <c r="K747" s="1114">
        <v>40</v>
      </c>
      <c r="AE747" s="1114" t="str">
        <f t="shared" si="85"/>
        <v>|</v>
      </c>
      <c r="AG747" s="1103" t="s">
        <v>3430</v>
      </c>
    </row>
    <row r="748" spans="1:33" ht="24" customHeight="1">
      <c r="A748" s="1122">
        <f t="shared" si="87"/>
        <v>545</v>
      </c>
      <c r="B748" s="1103" t="s">
        <v>3832</v>
      </c>
      <c r="C748" s="1114">
        <v>215.06</v>
      </c>
      <c r="D748" s="1103" t="s">
        <v>3820</v>
      </c>
      <c r="H748" s="1103" t="s">
        <v>3833</v>
      </c>
      <c r="K748" s="1111" t="s">
        <v>36</v>
      </c>
      <c r="M748" s="1104" t="s">
        <v>3171</v>
      </c>
      <c r="N748" s="1103" t="s">
        <v>2235</v>
      </c>
      <c r="O748" s="1103" t="s">
        <v>3834</v>
      </c>
      <c r="AE748" s="1114" t="str">
        <f t="shared" si="85"/>
        <v>|</v>
      </c>
      <c r="AG748" s="1103" t="s">
        <v>3430</v>
      </c>
    </row>
    <row r="749" spans="1:33" ht="24" customHeight="1">
      <c r="A749" s="1122">
        <f t="shared" si="87"/>
        <v>546</v>
      </c>
      <c r="B749" s="1103" t="s">
        <v>3835</v>
      </c>
      <c r="C749" s="1114">
        <v>97.24</v>
      </c>
      <c r="D749" s="1103" t="s">
        <v>3820</v>
      </c>
      <c r="H749" s="1104" t="s">
        <v>3836</v>
      </c>
      <c r="K749" s="1114">
        <f>SUM(K743:K747)</f>
        <v>865.85799999999995</v>
      </c>
      <c r="O749" s="1111" t="s">
        <v>36</v>
      </c>
      <c r="AE749" s="1114" t="str">
        <f t="shared" ref="AE749:AE812" si="92">AG749</f>
        <v>|</v>
      </c>
      <c r="AG749" s="1103" t="s">
        <v>3430</v>
      </c>
    </row>
    <row r="750" spans="1:33" ht="24" customHeight="1">
      <c r="A750" s="1122">
        <f t="shared" si="87"/>
        <v>547</v>
      </c>
      <c r="B750" s="1103" t="s">
        <v>3837</v>
      </c>
      <c r="C750" s="1114">
        <v>168.96</v>
      </c>
      <c r="D750" s="1103" t="s">
        <v>3820</v>
      </c>
      <c r="K750" s="1111" t="s">
        <v>36</v>
      </c>
      <c r="M750" s="1144">
        <v>2.35E-2</v>
      </c>
      <c r="N750" s="1103" t="s">
        <v>2839</v>
      </c>
      <c r="O750" s="1103" t="s">
        <v>3805</v>
      </c>
      <c r="P750" s="1114">
        <f>C86</f>
        <v>34300</v>
      </c>
      <c r="Q750" s="1103" t="s">
        <v>2839</v>
      </c>
      <c r="R750" s="1114">
        <f t="shared" ref="R750:R756" si="93">M750*P750</f>
        <v>806.05</v>
      </c>
      <c r="AE750" s="1114" t="str">
        <f t="shared" si="92"/>
        <v>|</v>
      </c>
      <c r="AG750" s="1103" t="s">
        <v>3430</v>
      </c>
    </row>
    <row r="751" spans="1:33" ht="24" customHeight="1">
      <c r="A751" s="1122">
        <f t="shared" si="87"/>
        <v>548</v>
      </c>
      <c r="B751" s="1103" t="s">
        <v>3838</v>
      </c>
      <c r="C751" s="1114">
        <v>373</v>
      </c>
      <c r="D751" s="1114">
        <v>404</v>
      </c>
      <c r="H751" s="1104" t="s">
        <v>3839</v>
      </c>
      <c r="K751" s="1114">
        <f>K749/40</f>
        <v>21.646449999999998</v>
      </c>
      <c r="M751" s="1144">
        <v>0.872</v>
      </c>
      <c r="N751" s="1103" t="s">
        <v>3189</v>
      </c>
      <c r="O751" s="1103" t="s">
        <v>3780</v>
      </c>
      <c r="P751" s="1114">
        <f>C783</f>
        <v>387.4</v>
      </c>
      <c r="Q751" s="1103" t="s">
        <v>3189</v>
      </c>
      <c r="R751" s="1114">
        <f t="shared" si="93"/>
        <v>337.81279999999998</v>
      </c>
      <c r="AE751" s="1114" t="str">
        <f t="shared" si="92"/>
        <v>|</v>
      </c>
      <c r="AG751" s="1103" t="s">
        <v>3430</v>
      </c>
    </row>
    <row r="752" spans="1:33" ht="24" customHeight="1">
      <c r="A752" s="1122">
        <f t="shared" si="87"/>
        <v>549</v>
      </c>
      <c r="B752" s="1103" t="s">
        <v>3840</v>
      </c>
      <c r="C752" s="1114">
        <v>762</v>
      </c>
      <c r="D752" s="1103" t="s">
        <v>3820</v>
      </c>
      <c r="K752" s="1111" t="s">
        <v>36</v>
      </c>
      <c r="M752" s="1144">
        <v>1.3247</v>
      </c>
      <c r="N752" s="1103" t="s">
        <v>3189</v>
      </c>
      <c r="O752" s="1103" t="s">
        <v>3208</v>
      </c>
      <c r="P752" s="1114">
        <f>C31</f>
        <v>1325</v>
      </c>
      <c r="Q752" s="1103" t="s">
        <v>3189</v>
      </c>
      <c r="R752" s="1114">
        <f t="shared" si="93"/>
        <v>1755.2275</v>
      </c>
      <c r="AE752" s="1114" t="str">
        <f t="shared" si="92"/>
        <v>|</v>
      </c>
      <c r="AG752" s="1103" t="s">
        <v>3430</v>
      </c>
    </row>
    <row r="753" spans="1:33" ht="24" customHeight="1">
      <c r="A753" s="1122">
        <f t="shared" si="87"/>
        <v>550</v>
      </c>
      <c r="B753" s="1103" t="s">
        <v>3841</v>
      </c>
      <c r="C753" s="1114">
        <v>210</v>
      </c>
      <c r="D753" s="1103" t="s">
        <v>3820</v>
      </c>
      <c r="H753" s="1103" t="s">
        <v>3842</v>
      </c>
      <c r="M753" s="1114">
        <v>1</v>
      </c>
      <c r="N753" s="1103" t="s">
        <v>2838</v>
      </c>
      <c r="O753" s="1103" t="s">
        <v>3782</v>
      </c>
      <c r="P753" s="1114">
        <f>C299</f>
        <v>10.5</v>
      </c>
      <c r="Q753" s="1103" t="s">
        <v>2838</v>
      </c>
      <c r="R753" s="1114">
        <f t="shared" si="93"/>
        <v>10.5</v>
      </c>
      <c r="AE753" s="1114" t="str">
        <f t="shared" si="92"/>
        <v>|</v>
      </c>
      <c r="AG753" s="1103" t="s">
        <v>3430</v>
      </c>
    </row>
    <row r="754" spans="1:33" ht="24" customHeight="1">
      <c r="A754" s="1122">
        <f t="shared" si="87"/>
        <v>551</v>
      </c>
      <c r="B754" s="1103" t="s">
        <v>3843</v>
      </c>
      <c r="C754" s="1114">
        <v>1448</v>
      </c>
      <c r="D754" s="1103" t="s">
        <v>3189</v>
      </c>
      <c r="H754" s="1103" t="s">
        <v>3844</v>
      </c>
      <c r="M754" s="1114">
        <v>3</v>
      </c>
      <c r="N754" s="1103" t="s">
        <v>2838</v>
      </c>
      <c r="O754" s="1103" t="s">
        <v>3845</v>
      </c>
      <c r="P754" s="1114">
        <f>C294</f>
        <v>5.75</v>
      </c>
      <c r="Q754" s="1103" t="s">
        <v>2838</v>
      </c>
      <c r="R754" s="1114">
        <f t="shared" si="93"/>
        <v>17.25</v>
      </c>
      <c r="AE754" s="1114" t="str">
        <f t="shared" si="92"/>
        <v>|</v>
      </c>
      <c r="AG754" s="1103" t="s">
        <v>3430</v>
      </c>
    </row>
    <row r="755" spans="1:33" ht="24" customHeight="1">
      <c r="A755" s="1122">
        <f t="shared" si="87"/>
        <v>552</v>
      </c>
      <c r="B755" s="1103" t="s">
        <v>3846</v>
      </c>
      <c r="D755" s="1103" t="s">
        <v>220</v>
      </c>
      <c r="H755" s="1103" t="s">
        <v>3847</v>
      </c>
      <c r="M755" s="1114">
        <v>1</v>
      </c>
      <c r="N755" s="1103" t="s">
        <v>2838</v>
      </c>
      <c r="O755" s="1103" t="s">
        <v>3848</v>
      </c>
      <c r="P755" s="1114">
        <f>C302</f>
        <v>10</v>
      </c>
      <c r="Q755" s="1103" t="s">
        <v>2838</v>
      </c>
      <c r="R755" s="1114">
        <f t="shared" si="93"/>
        <v>10</v>
      </c>
      <c r="AE755" s="1114" t="str">
        <f t="shared" si="92"/>
        <v>|</v>
      </c>
      <c r="AG755" s="1103" t="s">
        <v>3430</v>
      </c>
    </row>
    <row r="756" spans="1:33" ht="24" customHeight="1">
      <c r="A756" s="1122">
        <f t="shared" si="87"/>
        <v>553</v>
      </c>
      <c r="B756" s="1103" t="s">
        <v>3849</v>
      </c>
      <c r="M756" s="1114">
        <v>1</v>
      </c>
      <c r="N756" s="1103" t="s">
        <v>2838</v>
      </c>
      <c r="O756" s="1103" t="s">
        <v>3212</v>
      </c>
      <c r="P756" s="1114">
        <f>C303</f>
        <v>7.3</v>
      </c>
      <c r="Q756" s="1103" t="s">
        <v>2838</v>
      </c>
      <c r="R756" s="1114">
        <f t="shared" si="93"/>
        <v>7.3</v>
      </c>
      <c r="AE756" s="1114" t="str">
        <f t="shared" si="92"/>
        <v>|</v>
      </c>
      <c r="AG756" s="1103" t="s">
        <v>3430</v>
      </c>
    </row>
    <row r="757" spans="1:33" ht="24" customHeight="1">
      <c r="A757" s="1122">
        <f t="shared" si="87"/>
        <v>554</v>
      </c>
      <c r="B757" s="1103" t="s">
        <v>3850</v>
      </c>
      <c r="C757" s="1114">
        <v>300</v>
      </c>
      <c r="D757" s="1103" t="s">
        <v>3851</v>
      </c>
      <c r="F757" s="1114">
        <v>19</v>
      </c>
      <c r="G757" s="1114" t="s">
        <v>4</v>
      </c>
      <c r="H757" s="1103" t="s">
        <v>3852</v>
      </c>
      <c r="I757" s="1128">
        <f>K751</f>
        <v>21.646449999999998</v>
      </c>
      <c r="J757" s="1103" t="s">
        <v>3853</v>
      </c>
      <c r="K757" s="1114">
        <f>(F757*I757)</f>
        <v>411.28254999999996</v>
      </c>
      <c r="N757" s="1103" t="s">
        <v>2851</v>
      </c>
      <c r="O757" s="1103" t="s">
        <v>2852</v>
      </c>
      <c r="Q757" s="1103" t="s">
        <v>2851</v>
      </c>
      <c r="R757" s="1114">
        <v>0</v>
      </c>
      <c r="AE757" s="1114" t="str">
        <f t="shared" si="92"/>
        <v>|</v>
      </c>
      <c r="AG757" s="1103" t="s">
        <v>3430</v>
      </c>
    </row>
    <row r="758" spans="1:33" ht="24" customHeight="1">
      <c r="A758" s="1122">
        <f t="shared" si="87"/>
        <v>555</v>
      </c>
      <c r="B758" s="1104" t="s">
        <v>3854</v>
      </c>
      <c r="C758" s="1114">
        <v>302</v>
      </c>
      <c r="D758" s="1103" t="s">
        <v>3851</v>
      </c>
      <c r="H758" s="1103" t="s">
        <v>3855</v>
      </c>
      <c r="R758" s="1111" t="s">
        <v>36</v>
      </c>
      <c r="AE758" s="1114" t="str">
        <f t="shared" si="92"/>
        <v>|</v>
      </c>
      <c r="AG758" s="1103" t="s">
        <v>3430</v>
      </c>
    </row>
    <row r="759" spans="1:33" ht="24" customHeight="1">
      <c r="A759" s="1122">
        <f t="shared" si="87"/>
        <v>556</v>
      </c>
      <c r="B759" s="1103" t="s">
        <v>3856</v>
      </c>
      <c r="C759" s="1114">
        <v>382</v>
      </c>
      <c r="D759" s="1103" t="s">
        <v>3851</v>
      </c>
      <c r="F759" s="1114">
        <v>0.12</v>
      </c>
      <c r="G759" s="1114" t="s">
        <v>16</v>
      </c>
      <c r="H759" s="1103" t="s">
        <v>3857</v>
      </c>
      <c r="I759" s="1114">
        <f>C269/5</f>
        <v>3100</v>
      </c>
      <c r="J759" s="1103" t="s">
        <v>3853</v>
      </c>
      <c r="K759" s="1114">
        <f t="shared" ref="K759:K766" si="94">(F759*I759)</f>
        <v>372</v>
      </c>
      <c r="O759" s="1104" t="s">
        <v>3858</v>
      </c>
      <c r="R759" s="1114">
        <f>SUM(R750:R757)</f>
        <v>2944.1403</v>
      </c>
      <c r="AE759" s="1114" t="str">
        <f t="shared" si="92"/>
        <v>|</v>
      </c>
      <c r="AG759" s="1103" t="s">
        <v>3430</v>
      </c>
    </row>
    <row r="760" spans="1:33" ht="24" customHeight="1">
      <c r="A760" s="1122">
        <f t="shared" si="87"/>
        <v>557</v>
      </c>
      <c r="B760" s="1103" t="s">
        <v>3859</v>
      </c>
      <c r="C760" s="1114">
        <v>140</v>
      </c>
      <c r="D760" s="1103" t="s">
        <v>3851</v>
      </c>
      <c r="F760" s="1114">
        <v>98.5</v>
      </c>
      <c r="G760" s="1114" t="s">
        <v>61</v>
      </c>
      <c r="H760" s="1103" t="s">
        <v>3860</v>
      </c>
      <c r="I760" s="1114">
        <f>C270/5</f>
        <v>5.04</v>
      </c>
      <c r="J760" s="1103" t="s">
        <v>3853</v>
      </c>
      <c r="K760" s="1114">
        <f t="shared" si="94"/>
        <v>496.44</v>
      </c>
      <c r="R760" s="1111" t="s">
        <v>36</v>
      </c>
      <c r="AE760" s="1114" t="str">
        <f t="shared" si="92"/>
        <v>|</v>
      </c>
      <c r="AG760" s="1103" t="s">
        <v>3430</v>
      </c>
    </row>
    <row r="761" spans="1:33" ht="24" customHeight="1">
      <c r="A761" s="1122">
        <f t="shared" si="87"/>
        <v>558</v>
      </c>
      <c r="B761" s="1103" t="s">
        <v>3861</v>
      </c>
      <c r="C761" s="1114">
        <v>222</v>
      </c>
      <c r="D761" s="1103" t="s">
        <v>3851</v>
      </c>
      <c r="F761" s="1114">
        <v>1</v>
      </c>
      <c r="G761" s="1114" t="s">
        <v>2851</v>
      </c>
      <c r="H761" s="1103" t="s">
        <v>3862</v>
      </c>
      <c r="I761" s="1114">
        <v>11</v>
      </c>
      <c r="J761" s="1103" t="s">
        <v>2851</v>
      </c>
      <c r="K761" s="1114">
        <f t="shared" si="94"/>
        <v>11</v>
      </c>
      <c r="O761" s="1104" t="s">
        <v>3154</v>
      </c>
      <c r="R761" s="1114">
        <f>R759/1.3247</f>
        <v>2222.4958858609498</v>
      </c>
      <c r="AE761" s="1114" t="str">
        <f t="shared" si="92"/>
        <v>|</v>
      </c>
      <c r="AG761" s="1103" t="s">
        <v>3430</v>
      </c>
    </row>
    <row r="762" spans="1:33" ht="24" customHeight="1">
      <c r="A762" s="1122">
        <f t="shared" si="87"/>
        <v>559</v>
      </c>
      <c r="B762" s="1103" t="s">
        <v>3863</v>
      </c>
      <c r="C762" s="1114">
        <v>505</v>
      </c>
      <c r="D762" s="1103" t="s">
        <v>3851</v>
      </c>
      <c r="F762" s="1114">
        <v>3.8</v>
      </c>
      <c r="G762" s="1114" t="s">
        <v>54</v>
      </c>
      <c r="H762" s="1103" t="s">
        <v>3864</v>
      </c>
      <c r="I762" s="1114">
        <f>C16</f>
        <v>842</v>
      </c>
      <c r="J762" s="1103" t="s">
        <v>522</v>
      </c>
      <c r="K762" s="1114">
        <f t="shared" si="94"/>
        <v>3199.6</v>
      </c>
      <c r="R762" s="1111" t="s">
        <v>2793</v>
      </c>
      <c r="AE762" s="1114" t="str">
        <f t="shared" si="92"/>
        <v>|</v>
      </c>
      <c r="AG762" s="1103" t="s">
        <v>3430</v>
      </c>
    </row>
    <row r="763" spans="1:33" ht="24" customHeight="1">
      <c r="A763" s="1122">
        <f t="shared" si="87"/>
        <v>560</v>
      </c>
      <c r="B763" s="1103" t="s">
        <v>3865</v>
      </c>
      <c r="C763" s="1114">
        <v>274.89999999999998</v>
      </c>
      <c r="D763" s="1103" t="s">
        <v>3820</v>
      </c>
      <c r="F763" s="1114">
        <v>5.4</v>
      </c>
      <c r="G763" s="1114" t="s">
        <v>54</v>
      </c>
      <c r="H763" s="1103" t="s">
        <v>3534</v>
      </c>
      <c r="I763" s="1114">
        <f>C12</f>
        <v>562</v>
      </c>
      <c r="J763" s="1103" t="s">
        <v>522</v>
      </c>
      <c r="K763" s="1114">
        <f t="shared" si="94"/>
        <v>3034.8</v>
      </c>
      <c r="N763" s="1103" t="s">
        <v>1363</v>
      </c>
      <c r="AE763" s="1114" t="str">
        <f t="shared" si="92"/>
        <v>|</v>
      </c>
      <c r="AG763" s="1103" t="s">
        <v>3430</v>
      </c>
    </row>
    <row r="764" spans="1:33" ht="24" customHeight="1">
      <c r="A764" s="1105" t="s">
        <v>3866</v>
      </c>
      <c r="B764" s="1103" t="s">
        <v>3867</v>
      </c>
      <c r="C764" s="1114">
        <v>1010</v>
      </c>
      <c r="D764" s="1103" t="s">
        <v>3820</v>
      </c>
      <c r="F764" s="1114">
        <v>1</v>
      </c>
      <c r="G764" s="1114" t="s">
        <v>54</v>
      </c>
      <c r="H764" s="1103" t="s">
        <v>3868</v>
      </c>
      <c r="I764" s="1114">
        <f>C66</f>
        <v>739</v>
      </c>
      <c r="J764" s="1103" t="s">
        <v>522</v>
      </c>
      <c r="K764" s="1114">
        <f t="shared" si="94"/>
        <v>739</v>
      </c>
      <c r="O764" s="1103" t="s">
        <v>3869</v>
      </c>
      <c r="AE764" s="1114" t="str">
        <f t="shared" si="92"/>
        <v>|</v>
      </c>
      <c r="AG764" s="1103" t="s">
        <v>3430</v>
      </c>
    </row>
    <row r="765" spans="1:33" ht="24" customHeight="1">
      <c r="A765" s="1122">
        <f>(A763+1)</f>
        <v>561</v>
      </c>
      <c r="B765" s="1103" t="s">
        <v>3870</v>
      </c>
      <c r="C765" s="1114">
        <v>43.3</v>
      </c>
      <c r="D765" s="1103" t="s">
        <v>1790</v>
      </c>
      <c r="F765" s="1114">
        <v>1</v>
      </c>
      <c r="G765" s="1114" t="s">
        <v>2851</v>
      </c>
      <c r="H765" s="1103" t="s">
        <v>3871</v>
      </c>
      <c r="I765" s="1114">
        <v>10</v>
      </c>
      <c r="J765" s="1103" t="s">
        <v>2851</v>
      </c>
      <c r="K765" s="1114">
        <f t="shared" si="94"/>
        <v>10</v>
      </c>
      <c r="O765" s="1103" t="s">
        <v>3872</v>
      </c>
      <c r="AE765" s="1114" t="str">
        <f t="shared" si="92"/>
        <v>|</v>
      </c>
      <c r="AG765" s="1103" t="s">
        <v>3430</v>
      </c>
    </row>
    <row r="766" spans="1:33" ht="24" customHeight="1">
      <c r="A766" s="1122">
        <f t="shared" ref="A766:A783" si="95">(A765+1)</f>
        <v>562</v>
      </c>
      <c r="B766" s="1103" t="s">
        <v>3873</v>
      </c>
      <c r="C766" s="1114">
        <v>218</v>
      </c>
      <c r="D766" s="1103" t="s">
        <v>3820</v>
      </c>
      <c r="F766" s="1114">
        <v>19</v>
      </c>
      <c r="G766" s="1114" t="s">
        <v>4</v>
      </c>
      <c r="H766" s="1103" t="s">
        <v>3874</v>
      </c>
      <c r="I766" s="1114">
        <v>2</v>
      </c>
      <c r="J766" s="1103" t="s">
        <v>4</v>
      </c>
      <c r="K766" s="1114">
        <f t="shared" si="94"/>
        <v>38</v>
      </c>
      <c r="O766" s="1103" t="s">
        <v>3875</v>
      </c>
      <c r="AE766" s="1114" t="str">
        <f t="shared" si="92"/>
        <v>|</v>
      </c>
      <c r="AG766" s="1103" t="s">
        <v>3430</v>
      </c>
    </row>
    <row r="767" spans="1:33" ht="24" customHeight="1">
      <c r="A767" s="1122">
        <f t="shared" si="95"/>
        <v>563</v>
      </c>
      <c r="B767" s="1103" t="s">
        <v>3876</v>
      </c>
      <c r="C767" s="1114">
        <v>926</v>
      </c>
      <c r="D767" s="1103" t="s">
        <v>3820</v>
      </c>
      <c r="H767" s="1103" t="s">
        <v>3877</v>
      </c>
      <c r="K767" s="1111" t="s">
        <v>36</v>
      </c>
      <c r="O767" s="1103" t="s">
        <v>3878</v>
      </c>
      <c r="AE767" s="1114" t="str">
        <f t="shared" si="92"/>
        <v>|</v>
      </c>
      <c r="AG767" s="1103" t="s">
        <v>3430</v>
      </c>
    </row>
    <row r="768" spans="1:33" ht="24" customHeight="1">
      <c r="A768" s="1122">
        <f t="shared" si="95"/>
        <v>564</v>
      </c>
      <c r="B768" s="1103" t="s">
        <v>3879</v>
      </c>
      <c r="C768" s="1114">
        <v>5.15</v>
      </c>
      <c r="D768" s="1103" t="s">
        <v>1790</v>
      </c>
      <c r="H768" s="1104" t="s">
        <v>3152</v>
      </c>
      <c r="K768" s="1114">
        <f>SUM(K757:K766)+0.07</f>
        <v>8312.1925499999998</v>
      </c>
      <c r="O768" s="1111" t="s">
        <v>36</v>
      </c>
      <c r="AE768" s="1114" t="str">
        <f t="shared" si="92"/>
        <v>|</v>
      </c>
      <c r="AG768" s="1103" t="s">
        <v>3430</v>
      </c>
    </row>
    <row r="769" spans="1:33" ht="24" customHeight="1">
      <c r="A769" s="1122">
        <f t="shared" si="95"/>
        <v>565</v>
      </c>
      <c r="B769" s="1103" t="s">
        <v>3880</v>
      </c>
      <c r="C769" s="1114">
        <v>550</v>
      </c>
      <c r="D769" s="1103" t="s">
        <v>3820</v>
      </c>
      <c r="K769" s="1111" t="s">
        <v>36</v>
      </c>
      <c r="AE769" s="1114" t="str">
        <f t="shared" si="92"/>
        <v>|</v>
      </c>
      <c r="AG769" s="1103" t="s">
        <v>3430</v>
      </c>
    </row>
    <row r="770" spans="1:33" ht="24" customHeight="1">
      <c r="A770" s="1122">
        <f t="shared" si="95"/>
        <v>566</v>
      </c>
      <c r="B770" s="1103" t="s">
        <v>3881</v>
      </c>
      <c r="C770" s="1114">
        <v>286</v>
      </c>
      <c r="D770" s="1103" t="s">
        <v>3820</v>
      </c>
      <c r="H770" s="1104" t="s">
        <v>3154</v>
      </c>
      <c r="K770" s="1114">
        <f>(K768/10)</f>
        <v>831.21925499999998</v>
      </c>
      <c r="O770" s="1103" t="s">
        <v>3882</v>
      </c>
      <c r="R770" s="1114">
        <f>(C723)</f>
        <v>1183.82</v>
      </c>
      <c r="AE770" s="1114" t="str">
        <f t="shared" si="92"/>
        <v>|</v>
      </c>
      <c r="AG770" s="1103" t="s">
        <v>3430</v>
      </c>
    </row>
    <row r="771" spans="1:33" ht="24" customHeight="1">
      <c r="A771" s="1122">
        <f t="shared" si="95"/>
        <v>567</v>
      </c>
      <c r="B771" s="1103" t="s">
        <v>3883</v>
      </c>
      <c r="C771" s="1114">
        <v>96.3</v>
      </c>
      <c r="D771" s="1103" t="s">
        <v>1790</v>
      </c>
      <c r="F771" s="1103" t="s">
        <v>220</v>
      </c>
      <c r="R771" s="1111" t="s">
        <v>2793</v>
      </c>
      <c r="AE771" s="1114" t="str">
        <f t="shared" si="92"/>
        <v>|</v>
      </c>
      <c r="AG771" s="1103" t="s">
        <v>3430</v>
      </c>
    </row>
    <row r="772" spans="1:33" ht="24" customHeight="1">
      <c r="A772" s="1122">
        <f t="shared" si="95"/>
        <v>568</v>
      </c>
      <c r="B772" s="1103" t="s">
        <v>3884</v>
      </c>
      <c r="C772" s="1114">
        <v>51</v>
      </c>
      <c r="D772" s="1103" t="s">
        <v>3820</v>
      </c>
      <c r="K772" s="1111" t="s">
        <v>2793</v>
      </c>
      <c r="AE772" s="1114" t="str">
        <f t="shared" si="92"/>
        <v>|</v>
      </c>
      <c r="AG772" s="1103" t="s">
        <v>3430</v>
      </c>
    </row>
    <row r="773" spans="1:33" ht="24" customHeight="1">
      <c r="A773" s="1122">
        <f t="shared" si="95"/>
        <v>569</v>
      </c>
      <c r="B773" s="1103" t="s">
        <v>3885</v>
      </c>
      <c r="C773" s="1114">
        <v>181</v>
      </c>
      <c r="D773" s="1103" t="s">
        <v>3584</v>
      </c>
      <c r="F773" s="1104" t="s">
        <v>2932</v>
      </c>
      <c r="G773" s="1114" t="s">
        <v>1363</v>
      </c>
      <c r="H773" s="1103" t="s">
        <v>3886</v>
      </c>
      <c r="N773" s="1103" t="s">
        <v>1363</v>
      </c>
      <c r="O773" s="1103" t="s">
        <v>3887</v>
      </c>
      <c r="AE773" s="1114" t="str">
        <f t="shared" si="92"/>
        <v>|</v>
      </c>
      <c r="AG773" s="1103" t="s">
        <v>3430</v>
      </c>
    </row>
    <row r="774" spans="1:33" ht="24" customHeight="1">
      <c r="A774" s="1122">
        <f t="shared" si="95"/>
        <v>570</v>
      </c>
      <c r="B774" s="1103" t="s">
        <v>3888</v>
      </c>
      <c r="C774" s="1114">
        <v>36.200000000000003</v>
      </c>
      <c r="D774" s="1103" t="s">
        <v>1790</v>
      </c>
      <c r="H774" s="1103" t="s">
        <v>3889</v>
      </c>
      <c r="O774" s="1111" t="s">
        <v>2793</v>
      </c>
      <c r="P774" s="1111" t="s">
        <v>2793</v>
      </c>
      <c r="Q774" s="1111" t="s">
        <v>2793</v>
      </c>
      <c r="R774" s="1103" t="s">
        <v>3890</v>
      </c>
      <c r="AE774" s="1114" t="str">
        <f t="shared" si="92"/>
        <v>|</v>
      </c>
      <c r="AG774" s="1103" t="s">
        <v>3430</v>
      </c>
    </row>
    <row r="775" spans="1:33" ht="24" customHeight="1">
      <c r="A775" s="1122">
        <f t="shared" si="95"/>
        <v>571</v>
      </c>
      <c r="B775" s="1103" t="s">
        <v>3891</v>
      </c>
      <c r="C775" s="1114">
        <v>98</v>
      </c>
      <c r="D775" s="1103" t="s">
        <v>3820</v>
      </c>
      <c r="H775" s="1103" t="s">
        <v>3892</v>
      </c>
      <c r="O775" s="1103" t="s">
        <v>3893</v>
      </c>
      <c r="Q775" s="1104" t="s">
        <v>61</v>
      </c>
      <c r="R775" s="1114">
        <f>(C726)</f>
        <v>147.6</v>
      </c>
      <c r="AE775" s="1114" t="str">
        <f t="shared" si="92"/>
        <v>|</v>
      </c>
      <c r="AG775" s="1103" t="s">
        <v>3430</v>
      </c>
    </row>
    <row r="776" spans="1:33" ht="24" customHeight="1">
      <c r="A776" s="1122">
        <f t="shared" si="95"/>
        <v>572</v>
      </c>
      <c r="B776" s="1103" t="s">
        <v>3894</v>
      </c>
      <c r="C776" s="1114">
        <v>92</v>
      </c>
      <c r="D776" s="1103" t="s">
        <v>1790</v>
      </c>
      <c r="H776" s="1111" t="s">
        <v>36</v>
      </c>
      <c r="O776" s="1103" t="s">
        <v>3895</v>
      </c>
      <c r="AE776" s="1114" t="str">
        <f t="shared" si="92"/>
        <v>|::</v>
      </c>
      <c r="AG776" s="1103" t="s">
        <v>3220</v>
      </c>
    </row>
    <row r="777" spans="1:33" ht="24" customHeight="1">
      <c r="A777" s="1122">
        <f t="shared" si="95"/>
        <v>573</v>
      </c>
      <c r="B777" s="1103" t="s">
        <v>3896</v>
      </c>
      <c r="C777" s="1114">
        <v>49.42</v>
      </c>
      <c r="D777" s="1103" t="s">
        <v>3820</v>
      </c>
      <c r="F777" s="1114">
        <v>10</v>
      </c>
      <c r="G777" s="1114" t="s">
        <v>3189</v>
      </c>
      <c r="H777" s="1103" t="s">
        <v>3897</v>
      </c>
      <c r="I777" s="1114">
        <f>(K757)*1.2</f>
        <v>493.53905999999995</v>
      </c>
      <c r="J777" s="1103" t="s">
        <v>3853</v>
      </c>
      <c r="K777" s="1114">
        <f>(F777*I777)/10</f>
        <v>493.53905999999995</v>
      </c>
      <c r="O777" s="1103" t="s">
        <v>3898</v>
      </c>
      <c r="AE777" s="1114">
        <f t="shared" si="92"/>
        <v>0</v>
      </c>
    </row>
    <row r="778" spans="1:33" ht="24" customHeight="1">
      <c r="A778" s="1122">
        <f t="shared" si="95"/>
        <v>574</v>
      </c>
      <c r="B778" s="1103" t="s">
        <v>3899</v>
      </c>
      <c r="C778" s="1114">
        <v>53.2</v>
      </c>
      <c r="D778" s="1103" t="s">
        <v>3820</v>
      </c>
      <c r="H778" s="1103" t="s">
        <v>3900</v>
      </c>
      <c r="O778" s="1103" t="s">
        <v>3901</v>
      </c>
      <c r="AE778" s="1114">
        <f t="shared" si="92"/>
        <v>0</v>
      </c>
    </row>
    <row r="779" spans="1:33" ht="24" customHeight="1">
      <c r="A779" s="1122">
        <f t="shared" si="95"/>
        <v>575</v>
      </c>
      <c r="B779" s="1103" t="s">
        <v>3902</v>
      </c>
      <c r="C779" s="1114">
        <v>59</v>
      </c>
      <c r="D779" s="1103" t="s">
        <v>3820</v>
      </c>
      <c r="H779" s="1103" t="s">
        <v>3903</v>
      </c>
      <c r="O779" s="1103" t="s">
        <v>3904</v>
      </c>
      <c r="AE779" s="1114" t="str">
        <f t="shared" si="92"/>
        <v>|</v>
      </c>
      <c r="AG779" s="1103" t="s">
        <v>3430</v>
      </c>
    </row>
    <row r="780" spans="1:33" ht="24" customHeight="1">
      <c r="A780" s="1122">
        <f t="shared" si="95"/>
        <v>576</v>
      </c>
      <c r="B780" s="1103" t="s">
        <v>3905</v>
      </c>
      <c r="C780" s="1114">
        <v>100</v>
      </c>
      <c r="D780" s="1103" t="s">
        <v>3820</v>
      </c>
      <c r="F780" s="1114">
        <v>10</v>
      </c>
      <c r="G780" s="1114" t="s">
        <v>3189</v>
      </c>
      <c r="H780" s="1103" t="s">
        <v>3906</v>
      </c>
      <c r="I780" s="1114">
        <f>K759*1.2</f>
        <v>446.4</v>
      </c>
      <c r="J780" s="1103" t="s">
        <v>3853</v>
      </c>
      <c r="K780" s="1114">
        <f>(F780*I780)/10</f>
        <v>446.4</v>
      </c>
      <c r="O780" s="1103" t="s">
        <v>3907</v>
      </c>
      <c r="R780" s="1103" t="s">
        <v>220</v>
      </c>
      <c r="AE780" s="1114">
        <f t="shared" si="92"/>
        <v>0</v>
      </c>
    </row>
    <row r="781" spans="1:33" ht="24" customHeight="1">
      <c r="A781" s="1122">
        <f t="shared" si="95"/>
        <v>577</v>
      </c>
      <c r="B781" s="1103" t="s">
        <v>3908</v>
      </c>
      <c r="C781" s="1114">
        <v>49.52</v>
      </c>
      <c r="D781" s="1103" t="s">
        <v>1790</v>
      </c>
      <c r="H781" s="1103" t="s">
        <v>3909</v>
      </c>
      <c r="O781" s="1103" t="s">
        <v>220</v>
      </c>
      <c r="AE781" s="1114" t="str">
        <f t="shared" si="92"/>
        <v>|</v>
      </c>
      <c r="AG781" s="1103" t="s">
        <v>3430</v>
      </c>
    </row>
    <row r="782" spans="1:33" ht="24" customHeight="1">
      <c r="A782" s="1122">
        <f t="shared" si="95"/>
        <v>578</v>
      </c>
      <c r="B782" s="1103" t="s">
        <v>3910</v>
      </c>
      <c r="C782" s="1114">
        <v>1080</v>
      </c>
      <c r="D782" s="1103" t="s">
        <v>3820</v>
      </c>
      <c r="H782" s="1103" t="s">
        <v>3911</v>
      </c>
      <c r="AE782" s="1114" t="str">
        <f t="shared" si="92"/>
        <v>|</v>
      </c>
      <c r="AG782" s="1103" t="s">
        <v>3430</v>
      </c>
    </row>
    <row r="783" spans="1:33" ht="24" customHeight="1">
      <c r="A783" s="1122">
        <f t="shared" si="95"/>
        <v>579</v>
      </c>
      <c r="B783" s="1103" t="s">
        <v>3912</v>
      </c>
      <c r="C783" s="1114">
        <v>387.4</v>
      </c>
      <c r="D783" s="1103" t="s">
        <v>3189</v>
      </c>
      <c r="F783" s="1114">
        <v>98.5</v>
      </c>
      <c r="G783" s="1114" t="s">
        <v>61</v>
      </c>
      <c r="H783" s="1103" t="s">
        <v>3860</v>
      </c>
      <c r="I783" s="1114">
        <f>C270/5</f>
        <v>5.04</v>
      </c>
      <c r="J783" s="1103" t="s">
        <v>3853</v>
      </c>
      <c r="K783" s="1114">
        <f t="shared" ref="K783:K789" si="96">(F783*I783)</f>
        <v>496.44</v>
      </c>
      <c r="N783" s="1103" t="s">
        <v>1363</v>
      </c>
      <c r="O783" s="1103" t="s">
        <v>3913</v>
      </c>
      <c r="Q783" s="1104" t="s">
        <v>37</v>
      </c>
      <c r="R783" s="1114">
        <f>(C730)</f>
        <v>1250</v>
      </c>
      <c r="AE783" s="1114" t="str">
        <f t="shared" si="92"/>
        <v>|</v>
      </c>
      <c r="AG783" s="1103" t="s">
        <v>3430</v>
      </c>
    </row>
    <row r="784" spans="1:33" ht="24" customHeight="1">
      <c r="A784" s="1122" t="e">
        <f>(#REF!+1)</f>
        <v>#REF!</v>
      </c>
      <c r="B784" s="1103" t="s">
        <v>3849</v>
      </c>
      <c r="F784" s="1114">
        <v>3.8</v>
      </c>
      <c r="G784" s="1114" t="s">
        <v>2941</v>
      </c>
      <c r="H784" s="1103" t="s">
        <v>3792</v>
      </c>
      <c r="I784" s="1114">
        <f>(C16)</f>
        <v>842</v>
      </c>
      <c r="J784" s="1103" t="s">
        <v>2941</v>
      </c>
      <c r="K784" s="1114">
        <f t="shared" si="96"/>
        <v>3199.6</v>
      </c>
      <c r="O784" s="1103" t="s">
        <v>3914</v>
      </c>
      <c r="AE784" s="1114" t="str">
        <f t="shared" si="92"/>
        <v>|</v>
      </c>
      <c r="AG784" s="1103" t="s">
        <v>3430</v>
      </c>
    </row>
    <row r="785" spans="1:33" ht="24" customHeight="1">
      <c r="A785" s="1122"/>
      <c r="B785" s="1103" t="s">
        <v>3850</v>
      </c>
      <c r="C785" s="1114">
        <v>300</v>
      </c>
      <c r="F785" s="1114">
        <v>5.4</v>
      </c>
      <c r="G785" s="1114" t="s">
        <v>2941</v>
      </c>
      <c r="H785" s="1103" t="s">
        <v>3020</v>
      </c>
      <c r="I785" s="1114">
        <f>(C12)</f>
        <v>562</v>
      </c>
      <c r="J785" s="1103" t="s">
        <v>2941</v>
      </c>
      <c r="K785" s="1114">
        <f t="shared" si="96"/>
        <v>3034.8</v>
      </c>
      <c r="O785" s="1103" t="s">
        <v>3915</v>
      </c>
      <c r="AE785" s="1114" t="str">
        <f t="shared" si="92"/>
        <v>|</v>
      </c>
      <c r="AG785" s="1103" t="s">
        <v>3430</v>
      </c>
    </row>
    <row r="786" spans="1:33" ht="24" customHeight="1">
      <c r="A786" s="1122"/>
      <c r="B786" s="1104" t="s">
        <v>3854</v>
      </c>
      <c r="C786" s="1114">
        <v>302</v>
      </c>
      <c r="F786" s="1114">
        <v>1</v>
      </c>
      <c r="G786" s="1114" t="s">
        <v>2941</v>
      </c>
      <c r="H786" s="1103" t="s">
        <v>3868</v>
      </c>
      <c r="I786" s="1114">
        <f>C66</f>
        <v>739</v>
      </c>
      <c r="J786" s="1103" t="s">
        <v>522</v>
      </c>
      <c r="K786" s="1114">
        <f t="shared" si="96"/>
        <v>739</v>
      </c>
      <c r="O786" s="1103" t="s">
        <v>3916</v>
      </c>
      <c r="AE786" s="1114" t="str">
        <f t="shared" si="92"/>
        <v>|</v>
      </c>
      <c r="AG786" s="1103" t="s">
        <v>3430</v>
      </c>
    </row>
    <row r="787" spans="1:33" ht="24" customHeight="1">
      <c r="A787" s="1122"/>
      <c r="B787" s="1103" t="s">
        <v>3917</v>
      </c>
      <c r="C787" s="1114">
        <v>324</v>
      </c>
      <c r="F787" s="1114">
        <v>1</v>
      </c>
      <c r="G787" s="1114" t="s">
        <v>2851</v>
      </c>
      <c r="H787" s="1103" t="s">
        <v>3918</v>
      </c>
      <c r="I787" s="1114">
        <f>I761</f>
        <v>11</v>
      </c>
      <c r="J787" s="1103" t="s">
        <v>522</v>
      </c>
      <c r="K787" s="1114">
        <f t="shared" si="96"/>
        <v>11</v>
      </c>
      <c r="AE787" s="1114" t="str">
        <f t="shared" si="92"/>
        <v>|</v>
      </c>
      <c r="AG787" s="1103" t="s">
        <v>3430</v>
      </c>
    </row>
    <row r="788" spans="1:33" ht="24" customHeight="1">
      <c r="A788" s="1122"/>
      <c r="B788" s="1103" t="s">
        <v>3856</v>
      </c>
      <c r="C788" s="1114">
        <v>382</v>
      </c>
      <c r="F788" s="1114">
        <v>1</v>
      </c>
      <c r="G788" s="1114" t="s">
        <v>2851</v>
      </c>
      <c r="H788" s="1103" t="s">
        <v>3795</v>
      </c>
      <c r="I788" s="1114">
        <v>10</v>
      </c>
      <c r="J788" s="1103" t="s">
        <v>2851</v>
      </c>
      <c r="K788" s="1114">
        <f t="shared" si="96"/>
        <v>10</v>
      </c>
      <c r="N788" s="1103" t="s">
        <v>1363</v>
      </c>
      <c r="O788" s="1103" t="s">
        <v>3919</v>
      </c>
      <c r="AE788" s="1114" t="str">
        <f t="shared" si="92"/>
        <v>|</v>
      </c>
      <c r="AG788" s="1103" t="s">
        <v>3430</v>
      </c>
    </row>
    <row r="789" spans="1:33" ht="24" customHeight="1">
      <c r="A789" s="1122"/>
      <c r="B789" s="1103" t="s">
        <v>3863</v>
      </c>
      <c r="C789" s="1114">
        <v>505</v>
      </c>
      <c r="F789" s="1114">
        <v>19</v>
      </c>
      <c r="G789" s="1114" t="s">
        <v>4</v>
      </c>
      <c r="H789" s="1103" t="s">
        <v>3920</v>
      </c>
      <c r="I789" s="1114">
        <v>2</v>
      </c>
      <c r="J789" s="1107" t="s">
        <v>4</v>
      </c>
      <c r="K789" s="1114">
        <f t="shared" si="96"/>
        <v>38</v>
      </c>
      <c r="O789" s="1103" t="s">
        <v>3921</v>
      </c>
      <c r="R789" s="1103" t="s">
        <v>220</v>
      </c>
      <c r="AE789" s="1114" t="str">
        <f t="shared" si="92"/>
        <v>|</v>
      </c>
      <c r="AG789" s="1103" t="s">
        <v>3430</v>
      </c>
    </row>
    <row r="790" spans="1:33" ht="24" customHeight="1">
      <c r="A790" s="1122"/>
      <c r="B790" s="1103" t="s">
        <v>3859</v>
      </c>
      <c r="C790" s="1114">
        <v>140</v>
      </c>
      <c r="H790" s="1103" t="s">
        <v>3922</v>
      </c>
      <c r="O790" s="1103" t="s">
        <v>3923</v>
      </c>
      <c r="AE790" s="1114" t="str">
        <f t="shared" si="92"/>
        <v>|</v>
      </c>
      <c r="AG790" s="1103" t="s">
        <v>3430</v>
      </c>
    </row>
    <row r="791" spans="1:33" ht="24" customHeight="1">
      <c r="A791" s="1122"/>
      <c r="B791" s="1103" t="s">
        <v>3861</v>
      </c>
      <c r="C791" s="1114">
        <v>222</v>
      </c>
      <c r="K791" s="1111" t="s">
        <v>36</v>
      </c>
      <c r="O791" s="1111" t="s">
        <v>36</v>
      </c>
      <c r="AE791" s="1114" t="str">
        <f t="shared" si="92"/>
        <v>|</v>
      </c>
      <c r="AG791" s="1103" t="s">
        <v>3430</v>
      </c>
    </row>
    <row r="792" spans="1:33" ht="24" customHeight="1">
      <c r="A792" s="1122"/>
      <c r="B792" s="1103" t="s">
        <v>3924</v>
      </c>
      <c r="C792" s="1114">
        <v>100</v>
      </c>
      <c r="H792" s="1103" t="s">
        <v>3152</v>
      </c>
      <c r="K792" s="1114">
        <f>SUM(K777:K790)</f>
        <v>8468.7790600000008</v>
      </c>
      <c r="N792" s="1103" t="s">
        <v>833</v>
      </c>
      <c r="O792" s="1103" t="s">
        <v>3925</v>
      </c>
      <c r="P792" s="1114">
        <f>(C272)</f>
        <v>303.89999999999998</v>
      </c>
      <c r="Q792" s="1103" t="s">
        <v>833</v>
      </c>
      <c r="R792" s="1114">
        <f>M792*P792</f>
        <v>0</v>
      </c>
      <c r="AE792" s="1114" t="str">
        <f t="shared" si="92"/>
        <v>|</v>
      </c>
      <c r="AG792" s="1103" t="s">
        <v>3430</v>
      </c>
    </row>
    <row r="793" spans="1:33" ht="24" customHeight="1">
      <c r="A793" s="1122"/>
      <c r="B793" s="1103" t="s">
        <v>3926</v>
      </c>
      <c r="C793" s="1114">
        <v>75</v>
      </c>
      <c r="K793" s="1111" t="s">
        <v>36</v>
      </c>
      <c r="R793" s="1114"/>
      <c r="AE793" s="1114" t="str">
        <f t="shared" si="92"/>
        <v>|</v>
      </c>
      <c r="AG793" s="1103" t="s">
        <v>3430</v>
      </c>
    </row>
    <row r="794" spans="1:33" ht="24" customHeight="1">
      <c r="A794" s="1122"/>
      <c r="B794" s="1103" t="s">
        <v>3927</v>
      </c>
      <c r="C794" s="1114">
        <v>218</v>
      </c>
      <c r="H794" s="1103" t="s">
        <v>3154</v>
      </c>
      <c r="K794" s="1114">
        <f>(K792/10)</f>
        <v>846.87790600000005</v>
      </c>
      <c r="N794" s="1103" t="s">
        <v>3928</v>
      </c>
      <c r="O794" s="1103" t="s">
        <v>3929</v>
      </c>
      <c r="P794" s="1114">
        <f>(C16)</f>
        <v>842</v>
      </c>
      <c r="Q794" s="1103" t="s">
        <v>3928</v>
      </c>
      <c r="R794" s="1114">
        <f>M794*P794</f>
        <v>0</v>
      </c>
      <c r="AE794" s="1114" t="str">
        <f t="shared" si="92"/>
        <v>|</v>
      </c>
      <c r="AG794" s="1103" t="s">
        <v>3430</v>
      </c>
    </row>
    <row r="795" spans="1:33" ht="24" customHeight="1">
      <c r="A795" s="1122"/>
      <c r="B795" s="1103" t="s">
        <v>3930</v>
      </c>
      <c r="C795" s="1114">
        <v>1854</v>
      </c>
      <c r="K795" s="1111" t="s">
        <v>2793</v>
      </c>
      <c r="R795" s="1114"/>
      <c r="AE795" s="1114" t="str">
        <f t="shared" si="92"/>
        <v>|</v>
      </c>
      <c r="AG795" s="1103" t="s">
        <v>3430</v>
      </c>
    </row>
    <row r="796" spans="1:33" ht="24" customHeight="1">
      <c r="A796" s="1122"/>
      <c r="B796" s="1103" t="s">
        <v>3931</v>
      </c>
      <c r="C796" s="1114">
        <v>51</v>
      </c>
      <c r="O796" s="1103" t="s">
        <v>3932</v>
      </c>
      <c r="P796" s="1127" t="s">
        <v>2851</v>
      </c>
      <c r="R796" s="1114">
        <v>0.64</v>
      </c>
      <c r="AE796" s="1114" t="str">
        <f t="shared" si="92"/>
        <v>|</v>
      </c>
      <c r="AG796" s="1103" t="s">
        <v>3430</v>
      </c>
    </row>
    <row r="797" spans="1:33" ht="24" customHeight="1">
      <c r="A797" s="1122"/>
      <c r="B797" s="1103" t="s">
        <v>3933</v>
      </c>
      <c r="C797" s="1114">
        <v>915</v>
      </c>
      <c r="F797" s="1104" t="s">
        <v>2937</v>
      </c>
      <c r="G797" s="1114" t="s">
        <v>1363</v>
      </c>
      <c r="H797" s="1103" t="s">
        <v>3886</v>
      </c>
      <c r="R797" s="1111" t="s">
        <v>36</v>
      </c>
      <c r="AE797" s="1114" t="str">
        <f t="shared" si="92"/>
        <v>|</v>
      </c>
      <c r="AG797" s="1103" t="s">
        <v>3430</v>
      </c>
    </row>
    <row r="798" spans="1:33" ht="24" customHeight="1">
      <c r="A798" s="1122"/>
      <c r="B798" s="1103" t="s">
        <v>3934</v>
      </c>
      <c r="C798" s="1114">
        <v>890</v>
      </c>
      <c r="H798" s="1103" t="s">
        <v>3889</v>
      </c>
      <c r="O798" s="1103" t="s">
        <v>3935</v>
      </c>
      <c r="R798" s="1114">
        <f>SUM(R792:R796)</f>
        <v>0.64</v>
      </c>
      <c r="AE798" s="1114" t="str">
        <f t="shared" si="92"/>
        <v>|</v>
      </c>
      <c r="AG798" s="1103" t="s">
        <v>3430</v>
      </c>
    </row>
    <row r="799" spans="1:33" ht="24" customHeight="1">
      <c r="A799" s="1122"/>
      <c r="B799" s="1103" t="s">
        <v>3936</v>
      </c>
      <c r="C799" s="1114">
        <v>5.15</v>
      </c>
      <c r="H799" s="1103" t="s">
        <v>3937</v>
      </c>
      <c r="R799" s="1111" t="s">
        <v>36</v>
      </c>
      <c r="U799" s="1119" t="s">
        <v>3938</v>
      </c>
      <c r="AE799" s="1114" t="str">
        <f t="shared" si="92"/>
        <v>|</v>
      </c>
      <c r="AG799" s="1103" t="s">
        <v>3430</v>
      </c>
    </row>
    <row r="800" spans="1:33" ht="24" customHeight="1">
      <c r="A800" s="1122"/>
      <c r="B800" s="1103" t="s">
        <v>3939</v>
      </c>
      <c r="C800" s="1114">
        <v>43.3</v>
      </c>
      <c r="H800" s="1111" t="s">
        <v>36</v>
      </c>
      <c r="O800" s="1103" t="s">
        <v>3940</v>
      </c>
      <c r="R800" s="1114">
        <f>(R798/0.4)</f>
        <v>1.5999999999999999</v>
      </c>
      <c r="S800" s="1108">
        <v>0.443</v>
      </c>
      <c r="T800" s="1105" t="s">
        <v>204</v>
      </c>
      <c r="U800" s="1105" t="s">
        <v>3941</v>
      </c>
      <c r="V800" s="1105">
        <f>AC14</f>
        <v>1987.06</v>
      </c>
      <c r="X800" s="1105">
        <f>V800*S800</f>
        <v>880.26757999999995</v>
      </c>
      <c r="AE800" s="1114" t="str">
        <f t="shared" si="92"/>
        <v>|</v>
      </c>
      <c r="AG800" s="1103" t="s">
        <v>3430</v>
      </c>
    </row>
    <row r="801" spans="1:33" ht="24" customHeight="1">
      <c r="A801" s="1122"/>
      <c r="B801" s="1103" t="s">
        <v>3942</v>
      </c>
      <c r="C801" s="1114">
        <v>920</v>
      </c>
      <c r="H801" s="1103" t="s">
        <v>3943</v>
      </c>
      <c r="K801" s="1114">
        <f>(K732/2)</f>
        <v>425.79200000000003</v>
      </c>
      <c r="R801" s="1111" t="s">
        <v>2793</v>
      </c>
      <c r="S801" s="1108">
        <v>0.29499999999999998</v>
      </c>
      <c r="T801" s="1105" t="s">
        <v>204</v>
      </c>
      <c r="U801" s="1105" t="s">
        <v>3944</v>
      </c>
      <c r="V801" s="1105">
        <f>AC12</f>
        <v>1532.06</v>
      </c>
      <c r="X801" s="1105">
        <f t="shared" ref="X801:X807" si="97">V801*S801</f>
        <v>451.95769999999999</v>
      </c>
      <c r="AE801" s="1114" t="str">
        <f t="shared" si="92"/>
        <v>|</v>
      </c>
      <c r="AG801" s="1103" t="s">
        <v>3430</v>
      </c>
    </row>
    <row r="802" spans="1:33" ht="24" customHeight="1">
      <c r="A802" s="1122"/>
      <c r="B802" s="1103" t="s">
        <v>3945</v>
      </c>
      <c r="C802" s="1114">
        <v>98</v>
      </c>
      <c r="H802" s="1103" t="s">
        <v>3946</v>
      </c>
      <c r="K802" s="1111" t="s">
        <v>2793</v>
      </c>
      <c r="N802" s="1103" t="s">
        <v>1363</v>
      </c>
      <c r="O802" s="1103" t="s">
        <v>3947</v>
      </c>
      <c r="S802" s="1108">
        <v>0.43</v>
      </c>
      <c r="T802" s="1105" t="s">
        <v>204</v>
      </c>
      <c r="U802" s="1105" t="s">
        <v>2777</v>
      </c>
      <c r="V802" s="1105">
        <f>I809</f>
        <v>1835.06</v>
      </c>
      <c r="X802" s="1105">
        <f t="shared" si="97"/>
        <v>789.07579999999996</v>
      </c>
      <c r="AE802" s="1114" t="str">
        <f t="shared" si="92"/>
        <v>|</v>
      </c>
      <c r="AG802" s="1103" t="s">
        <v>3430</v>
      </c>
    </row>
    <row r="803" spans="1:33" ht="24" customHeight="1">
      <c r="A803" s="1122"/>
      <c r="B803" s="1103" t="s">
        <v>3948</v>
      </c>
      <c r="C803" s="1114">
        <v>181</v>
      </c>
      <c r="F803" s="1104" t="s">
        <v>3630</v>
      </c>
      <c r="G803" s="1114" t="s">
        <v>1363</v>
      </c>
      <c r="H803" s="1103" t="s">
        <v>3949</v>
      </c>
      <c r="O803" s="1103" t="s">
        <v>3950</v>
      </c>
      <c r="S803" s="1108">
        <v>0.39</v>
      </c>
      <c r="T803" s="1105" t="s">
        <v>58</v>
      </c>
      <c r="U803" s="1105" t="s">
        <v>2786</v>
      </c>
      <c r="V803" s="1105">
        <f>I808</f>
        <v>5960</v>
      </c>
      <c r="X803" s="1105">
        <f t="shared" si="97"/>
        <v>2324.4</v>
      </c>
      <c r="AE803" s="1114" t="str">
        <f t="shared" si="92"/>
        <v>|</v>
      </c>
      <c r="AG803" s="1103" t="s">
        <v>3430</v>
      </c>
    </row>
    <row r="804" spans="1:33" ht="24" customHeight="1">
      <c r="A804" s="1122"/>
      <c r="B804" s="1103" t="s">
        <v>3951</v>
      </c>
      <c r="C804" s="1114">
        <v>1148.76</v>
      </c>
      <c r="H804" s="1103" t="s">
        <v>3632</v>
      </c>
      <c r="O804" s="1103" t="s">
        <v>3952</v>
      </c>
      <c r="S804" s="1108">
        <v>0.35</v>
      </c>
      <c r="T804" s="1105" t="s">
        <v>4</v>
      </c>
      <c r="U804" s="1105" t="s">
        <v>3706</v>
      </c>
      <c r="V804" s="1105">
        <f>I810</f>
        <v>804</v>
      </c>
      <c r="W804" s="1105" t="str">
        <f>J810</f>
        <v>NO.</v>
      </c>
      <c r="X804" s="1105">
        <f t="shared" si="97"/>
        <v>281.39999999999998</v>
      </c>
      <c r="AE804" s="1114" t="str">
        <f t="shared" si="92"/>
        <v>|</v>
      </c>
      <c r="AG804" s="1103" t="s">
        <v>3430</v>
      </c>
    </row>
    <row r="805" spans="1:33" ht="24" customHeight="1">
      <c r="A805" s="1122"/>
      <c r="B805" s="1103" t="s">
        <v>3953</v>
      </c>
      <c r="C805" s="1114">
        <v>967</v>
      </c>
      <c r="H805" s="1103" t="s">
        <v>3635</v>
      </c>
      <c r="O805" s="1111" t="s">
        <v>36</v>
      </c>
      <c r="S805" s="1108">
        <v>2.12</v>
      </c>
      <c r="T805" s="1105" t="s">
        <v>4</v>
      </c>
      <c r="U805" s="1105" t="s">
        <v>3709</v>
      </c>
      <c r="V805" s="1105">
        <f>I811</f>
        <v>562</v>
      </c>
      <c r="X805" s="1105">
        <f t="shared" si="97"/>
        <v>1191.44</v>
      </c>
      <c r="AE805" s="1114" t="str">
        <f t="shared" si="92"/>
        <v>|</v>
      </c>
      <c r="AG805" s="1103" t="s">
        <v>3430</v>
      </c>
    </row>
    <row r="806" spans="1:33" ht="24" customHeight="1">
      <c r="A806" s="1122"/>
      <c r="B806" s="1103" t="s">
        <v>3954</v>
      </c>
      <c r="C806" s="1114">
        <v>33.9</v>
      </c>
      <c r="H806" s="1111" t="s">
        <v>36</v>
      </c>
      <c r="N806" s="1127" t="s">
        <v>3772</v>
      </c>
      <c r="O806" s="1103" t="s">
        <v>3955</v>
      </c>
      <c r="S806" s="1108">
        <v>3.53</v>
      </c>
      <c r="T806" s="1105" t="s">
        <v>4</v>
      </c>
      <c r="U806" s="1105" t="s">
        <v>3713</v>
      </c>
      <c r="V806" s="1105">
        <f>I812</f>
        <v>461</v>
      </c>
      <c r="X806" s="1105">
        <f t="shared" si="97"/>
        <v>1627.33</v>
      </c>
      <c r="AE806" s="1114" t="str">
        <f t="shared" si="92"/>
        <v>|</v>
      </c>
      <c r="AG806" s="1103" t="s">
        <v>3430</v>
      </c>
    </row>
    <row r="807" spans="1:33" ht="24" customHeight="1">
      <c r="A807" s="1122"/>
      <c r="B807" s="1103" t="s">
        <v>3956</v>
      </c>
      <c r="C807" s="1114">
        <v>2107</v>
      </c>
      <c r="F807" s="1128">
        <v>9</v>
      </c>
      <c r="G807" s="1114" t="s">
        <v>2839</v>
      </c>
      <c r="H807" s="1103" t="s">
        <v>3957</v>
      </c>
      <c r="I807" s="1114">
        <f>C73</f>
        <v>1987.06</v>
      </c>
      <c r="J807" s="1103" t="s">
        <v>2839</v>
      </c>
      <c r="K807" s="1114">
        <f t="shared" ref="K807:K812" si="98">F807*I807</f>
        <v>17883.54</v>
      </c>
      <c r="O807" s="1103" t="s">
        <v>3958</v>
      </c>
      <c r="S807" s="1108">
        <v>1</v>
      </c>
      <c r="T807" s="1105" t="s">
        <v>204</v>
      </c>
      <c r="U807" s="1105" t="s">
        <v>3959</v>
      </c>
      <c r="V807" s="1105">
        <f>K819</f>
        <v>81.3</v>
      </c>
      <c r="X807" s="1105">
        <f t="shared" si="97"/>
        <v>81.3</v>
      </c>
      <c r="AE807" s="1114" t="str">
        <f t="shared" si="92"/>
        <v>|</v>
      </c>
      <c r="AG807" s="1103" t="s">
        <v>3430</v>
      </c>
    </row>
    <row r="808" spans="1:33" ht="24" customHeight="1">
      <c r="A808" s="1122"/>
      <c r="B808" s="1103" t="s">
        <v>3960</v>
      </c>
      <c r="C808" s="1114">
        <v>931</v>
      </c>
      <c r="F808" s="1128">
        <v>4.3079999999999998</v>
      </c>
      <c r="G808" s="1114" t="s">
        <v>197</v>
      </c>
      <c r="H808" s="1103" t="s">
        <v>2830</v>
      </c>
      <c r="I808" s="1114">
        <f>C67</f>
        <v>5960</v>
      </c>
      <c r="J808" s="1103" t="s">
        <v>197</v>
      </c>
      <c r="K808" s="1114">
        <f t="shared" si="98"/>
        <v>25675.68</v>
      </c>
      <c r="N808" s="1103" t="s">
        <v>271</v>
      </c>
      <c r="O808" s="1103" t="s">
        <v>3961</v>
      </c>
      <c r="P808" s="1114">
        <f>C34/1000</f>
        <v>47.3</v>
      </c>
      <c r="R808" s="1114" t="e">
        <f>(#VALUE!*P808)</f>
        <v>#VALUE!</v>
      </c>
      <c r="S808" s="1152" t="s">
        <v>1348</v>
      </c>
      <c r="U808" s="1105" t="s">
        <v>3962</v>
      </c>
      <c r="V808" s="1152" t="s">
        <v>1348</v>
      </c>
      <c r="X808" s="1105">
        <v>270</v>
      </c>
      <c r="AE808" s="1114" t="str">
        <f t="shared" si="92"/>
        <v>|</v>
      </c>
      <c r="AG808" s="1103" t="s">
        <v>3430</v>
      </c>
    </row>
    <row r="809" spans="1:33" ht="24" customHeight="1">
      <c r="A809" s="1122"/>
      <c r="B809" s="1103" t="s">
        <v>3963</v>
      </c>
      <c r="C809" s="1114">
        <v>712</v>
      </c>
      <c r="F809" s="1128">
        <v>4.5</v>
      </c>
      <c r="G809" s="1114" t="s">
        <v>2839</v>
      </c>
      <c r="H809" s="1103" t="s">
        <v>2840</v>
      </c>
      <c r="I809" s="1114">
        <f>C78</f>
        <v>1835.06</v>
      </c>
      <c r="J809" s="1103" t="s">
        <v>2839</v>
      </c>
      <c r="K809" s="1114">
        <f t="shared" si="98"/>
        <v>8257.77</v>
      </c>
      <c r="O809" s="1103" t="s">
        <v>3964</v>
      </c>
      <c r="S809" s="1152" t="s">
        <v>1348</v>
      </c>
      <c r="U809" s="1105" t="s">
        <v>3965</v>
      </c>
      <c r="V809" s="1152" t="s">
        <v>1348</v>
      </c>
      <c r="X809" s="1105">
        <v>150</v>
      </c>
      <c r="AE809" s="1114" t="str">
        <f t="shared" si="92"/>
        <v>|</v>
      </c>
      <c r="AG809" s="1103" t="s">
        <v>3430</v>
      </c>
    </row>
    <row r="810" spans="1:33" ht="24" customHeight="1">
      <c r="A810" s="1122"/>
      <c r="B810" s="1103" t="s">
        <v>3966</v>
      </c>
      <c r="C810" s="1114">
        <v>556</v>
      </c>
      <c r="F810" s="1128">
        <v>3.5</v>
      </c>
      <c r="G810" s="1114" t="s">
        <v>2838</v>
      </c>
      <c r="H810" s="1103" t="s">
        <v>3017</v>
      </c>
      <c r="I810" s="1114">
        <f>C11</f>
        <v>804</v>
      </c>
      <c r="J810" s="1103" t="s">
        <v>2838</v>
      </c>
      <c r="K810" s="1114">
        <f t="shared" si="98"/>
        <v>2814</v>
      </c>
      <c r="O810" s="1103" t="s">
        <v>3967</v>
      </c>
      <c r="S810" s="1152" t="s">
        <v>1348</v>
      </c>
      <c r="U810" s="1105" t="s">
        <v>234</v>
      </c>
      <c r="V810" s="1152" t="s">
        <v>1348</v>
      </c>
      <c r="X810" s="1105">
        <v>0.06</v>
      </c>
      <c r="AE810" s="1114" t="str">
        <f t="shared" si="92"/>
        <v>|</v>
      </c>
      <c r="AG810" s="1103" t="s">
        <v>3430</v>
      </c>
    </row>
    <row r="811" spans="1:33" ht="24" customHeight="1">
      <c r="A811" s="1122"/>
      <c r="F811" s="1128">
        <v>21.2</v>
      </c>
      <c r="G811" s="1114" t="s">
        <v>2838</v>
      </c>
      <c r="H811" s="1103" t="s">
        <v>3020</v>
      </c>
      <c r="I811" s="1114">
        <f>C12</f>
        <v>562</v>
      </c>
      <c r="J811" s="1103" t="s">
        <v>2838</v>
      </c>
      <c r="K811" s="1114">
        <f t="shared" si="98"/>
        <v>11914.4</v>
      </c>
      <c r="N811" s="1103" t="s">
        <v>3189</v>
      </c>
      <c r="O811" s="1103" t="s">
        <v>3968</v>
      </c>
      <c r="P811" s="1114">
        <f>C272</f>
        <v>303.89999999999998</v>
      </c>
      <c r="R811" s="1114" t="e">
        <f t="shared" ref="R811:R817" si="99">(#VALUE!*P811)</f>
        <v>#VALUE!</v>
      </c>
      <c r="X811" s="1119">
        <f>SUM(X800:X810)</f>
        <v>8047.2310799999996</v>
      </c>
      <c r="Y811" s="1105">
        <v>59.4</v>
      </c>
      <c r="Z811" s="1105">
        <v>117</v>
      </c>
      <c r="AE811" s="1114" t="str">
        <f t="shared" si="92"/>
        <v>|</v>
      </c>
      <c r="AG811" s="1103" t="s">
        <v>3430</v>
      </c>
    </row>
    <row r="812" spans="1:33" ht="24" customHeight="1">
      <c r="A812" s="1122"/>
      <c r="B812" s="1103" t="s">
        <v>3969</v>
      </c>
      <c r="C812" s="1105">
        <v>3.15</v>
      </c>
      <c r="F812" s="1128">
        <v>35.299999999999997</v>
      </c>
      <c r="G812" s="1114" t="s">
        <v>2838</v>
      </c>
      <c r="H812" s="1103" t="s">
        <v>3026</v>
      </c>
      <c r="I812" s="1114">
        <f>C13</f>
        <v>461</v>
      </c>
      <c r="J812" s="1103" t="s">
        <v>2838</v>
      </c>
      <c r="K812" s="1114">
        <f t="shared" si="98"/>
        <v>16273.3</v>
      </c>
      <c r="N812" s="1103" t="s">
        <v>2838</v>
      </c>
      <c r="O812" s="1103" t="s">
        <v>3970</v>
      </c>
      <c r="P812" s="1114">
        <v>5</v>
      </c>
      <c r="R812" s="1114" t="e">
        <f t="shared" si="99"/>
        <v>#VALUE!</v>
      </c>
      <c r="AE812" s="1114" t="str">
        <f t="shared" si="92"/>
        <v>|</v>
      </c>
      <c r="AG812" s="1103" t="s">
        <v>3430</v>
      </c>
    </row>
    <row r="813" spans="1:33" ht="24" customHeight="1">
      <c r="A813" s="1122"/>
      <c r="F813" s="1127" t="s">
        <v>2851</v>
      </c>
      <c r="H813" s="1103" t="s">
        <v>2852</v>
      </c>
      <c r="J813" s="1103" t="s">
        <v>2851</v>
      </c>
      <c r="K813" s="1114">
        <v>0</v>
      </c>
      <c r="N813" s="1103" t="s">
        <v>2838</v>
      </c>
      <c r="O813" s="1103" t="s">
        <v>3971</v>
      </c>
      <c r="P813" s="1114">
        <v>10</v>
      </c>
      <c r="R813" s="1114" t="e">
        <f t="shared" si="99"/>
        <v>#VALUE!</v>
      </c>
      <c r="AE813" s="1114" t="str">
        <f t="shared" ref="AE813:AE876" si="100">AG813</f>
        <v>|</v>
      </c>
      <c r="AG813" s="1103" t="s">
        <v>3430</v>
      </c>
    </row>
    <row r="814" spans="1:33" ht="24" customHeight="1">
      <c r="A814" s="1122"/>
      <c r="B814" s="1103" t="s">
        <v>3972</v>
      </c>
      <c r="C814" s="1105">
        <v>9.6999999999999993</v>
      </c>
      <c r="K814" s="1111" t="s">
        <v>36</v>
      </c>
      <c r="N814" s="1103" t="s">
        <v>2838</v>
      </c>
      <c r="O814" s="1103" t="s">
        <v>3973</v>
      </c>
      <c r="P814" s="1114">
        <v>8</v>
      </c>
      <c r="R814" s="1114" t="e">
        <f t="shared" si="99"/>
        <v>#VALUE!</v>
      </c>
      <c r="U814" s="1119" t="s">
        <v>3974</v>
      </c>
      <c r="AE814" s="1114" t="str">
        <f t="shared" si="100"/>
        <v>|</v>
      </c>
      <c r="AG814" s="1103" t="s">
        <v>3430</v>
      </c>
    </row>
    <row r="815" spans="1:33" ht="24" customHeight="1">
      <c r="A815" s="1122"/>
      <c r="B815" s="1103" t="s">
        <v>3975</v>
      </c>
      <c r="C815" s="1105">
        <v>24.2</v>
      </c>
      <c r="H815" s="1104" t="s">
        <v>3033</v>
      </c>
      <c r="K815" s="1114">
        <f>SUM(K807:K813)</f>
        <v>82818.69</v>
      </c>
      <c r="N815" s="1103" t="s">
        <v>61</v>
      </c>
      <c r="O815" s="1103" t="s">
        <v>3976</v>
      </c>
      <c r="P815" s="1114">
        <v>13.66</v>
      </c>
      <c r="R815" s="1114" t="e">
        <f t="shared" si="99"/>
        <v>#VALUE!</v>
      </c>
      <c r="S815" s="1108">
        <v>0.45300000000000001</v>
      </c>
      <c r="T815" s="1105" t="s">
        <v>204</v>
      </c>
      <c r="U815" s="1105" t="s">
        <v>3941</v>
      </c>
      <c r="V815" s="1105">
        <f>V800</f>
        <v>1987.06</v>
      </c>
      <c r="X815" s="1105">
        <f>V815*S815</f>
        <v>900.13818000000003</v>
      </c>
      <c r="Z815" s="1105">
        <f>X826+Y811</f>
        <v>8036.4867000000004</v>
      </c>
      <c r="AE815" s="1114" t="str">
        <f t="shared" si="100"/>
        <v>|</v>
      </c>
      <c r="AG815" s="1103" t="s">
        <v>3430</v>
      </c>
    </row>
    <row r="816" spans="1:33" ht="24" customHeight="1">
      <c r="A816" s="1122"/>
      <c r="C816" s="1105" t="s">
        <v>3977</v>
      </c>
      <c r="K816" s="1111" t="s">
        <v>2793</v>
      </c>
      <c r="N816" s="1103" t="s">
        <v>3189</v>
      </c>
      <c r="O816" s="1103" t="s">
        <v>3978</v>
      </c>
      <c r="P816" s="1114">
        <v>25.46</v>
      </c>
      <c r="R816" s="1114" t="e">
        <f t="shared" si="99"/>
        <v>#VALUE!</v>
      </c>
      <c r="S816" s="1108">
        <v>0.30199999999999999</v>
      </c>
      <c r="T816" s="1105" t="s">
        <v>204</v>
      </c>
      <c r="U816" s="1105" t="s">
        <v>3944</v>
      </c>
      <c r="V816" s="1105">
        <f t="shared" ref="V816:V825" si="101">V801</f>
        <v>1532.06</v>
      </c>
      <c r="X816" s="1105">
        <f t="shared" ref="X816:X822" si="102">V816*S816</f>
        <v>462.68212</v>
      </c>
      <c r="Z816" s="1105">
        <f>Z815+Z811</f>
        <v>8153.4867000000004</v>
      </c>
      <c r="AE816" s="1114" t="str">
        <f t="shared" si="100"/>
        <v>|</v>
      </c>
      <c r="AG816" s="1103" t="s">
        <v>3430</v>
      </c>
    </row>
    <row r="817" spans="1:33" ht="24" customHeight="1">
      <c r="A817" s="1122"/>
      <c r="H817" s="1103" t="s">
        <v>2946</v>
      </c>
      <c r="K817" s="1114">
        <f>K815/10</f>
        <v>8281.8690000000006</v>
      </c>
      <c r="N817" s="1103" t="s">
        <v>2838</v>
      </c>
      <c r="O817" s="1103" t="s">
        <v>3979</v>
      </c>
      <c r="P817" s="1114">
        <v>0.5</v>
      </c>
      <c r="R817" s="1114" t="e">
        <f t="shared" si="99"/>
        <v>#VALUE!</v>
      </c>
      <c r="S817" s="1108">
        <v>0.44</v>
      </c>
      <c r="T817" s="1105" t="s">
        <v>204</v>
      </c>
      <c r="U817" s="1105" t="s">
        <v>2777</v>
      </c>
      <c r="V817" s="1105">
        <f t="shared" si="101"/>
        <v>1835.06</v>
      </c>
      <c r="X817" s="1105">
        <f t="shared" si="102"/>
        <v>807.42639999999994</v>
      </c>
      <c r="Z817" s="1105">
        <f>Z816+Z811</f>
        <v>8270.4867000000013</v>
      </c>
      <c r="AE817" s="1114" t="str">
        <f t="shared" si="100"/>
        <v>|</v>
      </c>
      <c r="AG817" s="1103" t="s">
        <v>3430</v>
      </c>
    </row>
    <row r="818" spans="1:33" ht="24" customHeight="1">
      <c r="A818" s="1122"/>
      <c r="B818" s="1105" t="s">
        <v>3980</v>
      </c>
      <c r="R818" s="1114">
        <v>0.54</v>
      </c>
      <c r="S818" s="1108">
        <v>0.37</v>
      </c>
      <c r="T818" s="1105" t="s">
        <v>58</v>
      </c>
      <c r="U818" s="1105" t="s">
        <v>2786</v>
      </c>
      <c r="V818" s="1105">
        <f t="shared" si="101"/>
        <v>5960</v>
      </c>
      <c r="X818" s="1105">
        <f t="shared" si="102"/>
        <v>2205.1999999999998</v>
      </c>
      <c r="Z818" s="1105">
        <f>Z817+Z811</f>
        <v>8387.4867000000013</v>
      </c>
      <c r="AE818" s="1114" t="str">
        <f t="shared" si="100"/>
        <v>|</v>
      </c>
      <c r="AG818" s="1103" t="s">
        <v>3430</v>
      </c>
    </row>
    <row r="819" spans="1:33" ht="24" customHeight="1">
      <c r="A819" s="1122"/>
      <c r="B819" s="1105" t="s">
        <v>3981</v>
      </c>
      <c r="F819" s="1114">
        <v>1</v>
      </c>
      <c r="G819" s="1114" t="s">
        <v>2839</v>
      </c>
      <c r="H819" s="1103" t="s">
        <v>3271</v>
      </c>
      <c r="I819" s="1114">
        <f>C25</f>
        <v>81.3</v>
      </c>
      <c r="K819" s="1114">
        <f>F819*I819</f>
        <v>81.3</v>
      </c>
      <c r="R819" s="1111" t="s">
        <v>36</v>
      </c>
      <c r="S819" s="1108">
        <v>0.35</v>
      </c>
      <c r="T819" s="1105" t="s">
        <v>4</v>
      </c>
      <c r="U819" s="1105" t="s">
        <v>3706</v>
      </c>
      <c r="V819" s="1105">
        <f t="shared" si="101"/>
        <v>804</v>
      </c>
      <c r="W819" s="1105">
        <f>J825</f>
        <v>0</v>
      </c>
      <c r="X819" s="1105">
        <f t="shared" si="102"/>
        <v>281.39999999999998</v>
      </c>
      <c r="Z819" s="1105">
        <f>Z811+Z818</f>
        <v>8504.4867000000013</v>
      </c>
      <c r="AE819" s="1114" t="str">
        <f t="shared" si="100"/>
        <v>|</v>
      </c>
      <c r="AG819" s="1103" t="s">
        <v>3430</v>
      </c>
    </row>
    <row r="820" spans="1:33" ht="24" customHeight="1">
      <c r="A820" s="1122"/>
      <c r="B820" s="1105" t="s">
        <v>3031</v>
      </c>
      <c r="K820" s="1111" t="s">
        <v>36</v>
      </c>
      <c r="O820" s="1104" t="s">
        <v>3982</v>
      </c>
      <c r="R820" s="1114" t="e">
        <f>SUM(R808:R818)</f>
        <v>#VALUE!</v>
      </c>
      <c r="S820" s="1108">
        <v>2.12</v>
      </c>
      <c r="T820" s="1105" t="s">
        <v>4</v>
      </c>
      <c r="U820" s="1105" t="s">
        <v>3709</v>
      </c>
      <c r="V820" s="1105">
        <f t="shared" si="101"/>
        <v>562</v>
      </c>
      <c r="X820" s="1105">
        <f t="shared" si="102"/>
        <v>1191.44</v>
      </c>
      <c r="Z820" s="1105">
        <f>Z811+Z819</f>
        <v>8621.4867000000013</v>
      </c>
      <c r="AE820" s="1114" t="str">
        <f t="shared" si="100"/>
        <v>|</v>
      </c>
      <c r="AG820" s="1103" t="s">
        <v>3430</v>
      </c>
    </row>
    <row r="821" spans="1:33" ht="24" customHeight="1">
      <c r="K821" s="1114">
        <f>SUM(K817:K819)</f>
        <v>8363.1689999999999</v>
      </c>
      <c r="S821" s="1108">
        <v>3.53</v>
      </c>
      <c r="T821" s="1105" t="s">
        <v>4</v>
      </c>
      <c r="U821" s="1105" t="s">
        <v>3713</v>
      </c>
      <c r="V821" s="1105">
        <f t="shared" si="101"/>
        <v>461</v>
      </c>
      <c r="X821" s="1105">
        <f t="shared" si="102"/>
        <v>1627.33</v>
      </c>
      <c r="Z821" s="1105">
        <f>Z811+Z820</f>
        <v>8738.4867000000013</v>
      </c>
      <c r="AE821" s="1114" t="str">
        <f t="shared" si="100"/>
        <v>|</v>
      </c>
      <c r="AG821" s="1103" t="s">
        <v>3430</v>
      </c>
    </row>
    <row r="822" spans="1:33" ht="24" customHeight="1">
      <c r="A822" s="1122"/>
      <c r="K822" s="1111" t="s">
        <v>36</v>
      </c>
      <c r="R822" s="1111" t="s">
        <v>36</v>
      </c>
      <c r="S822" s="1108">
        <v>1</v>
      </c>
      <c r="T822" s="1105" t="s">
        <v>204</v>
      </c>
      <c r="U822" s="1105" t="s">
        <v>3959</v>
      </c>
      <c r="V822" s="1105">
        <f t="shared" si="101"/>
        <v>81.3</v>
      </c>
      <c r="X822" s="1105">
        <f t="shared" si="102"/>
        <v>81.3</v>
      </c>
      <c r="Z822" s="1105">
        <f>Z811+Z821</f>
        <v>8855.4867000000013</v>
      </c>
      <c r="AE822" s="1114" t="str">
        <f t="shared" si="100"/>
        <v>|</v>
      </c>
      <c r="AG822" s="1103" t="s">
        <v>3430</v>
      </c>
    </row>
    <row r="823" spans="1:33" ht="24" customHeight="1">
      <c r="A823" s="1122"/>
      <c r="H823" s="1103" t="s">
        <v>3062</v>
      </c>
      <c r="K823" s="1115">
        <f>(K821+C22)</f>
        <v>8466.4689999999991</v>
      </c>
      <c r="S823" s="1152" t="s">
        <v>1348</v>
      </c>
      <c r="U823" s="1105" t="s">
        <v>3962</v>
      </c>
      <c r="V823" s="1145" t="str">
        <f t="shared" si="101"/>
        <v>LS</v>
      </c>
      <c r="X823" s="1105">
        <v>270</v>
      </c>
      <c r="Z823" s="1105">
        <f>Z811+Z822</f>
        <v>8972.4867000000013</v>
      </c>
      <c r="AE823" s="1114" t="str">
        <f t="shared" si="100"/>
        <v>|</v>
      </c>
      <c r="AG823" s="1103" t="s">
        <v>3430</v>
      </c>
    </row>
    <row r="824" spans="1:33" ht="24" customHeight="1">
      <c r="A824" s="1122"/>
      <c r="H824" s="1103" t="s">
        <v>3066</v>
      </c>
      <c r="K824" s="1115">
        <f>(K823+C23)</f>
        <v>8669.9689999999991</v>
      </c>
      <c r="N824" s="1103" t="s">
        <v>3801</v>
      </c>
      <c r="O824" s="1103" t="s">
        <v>3983</v>
      </c>
      <c r="S824" s="1152" t="s">
        <v>1348</v>
      </c>
      <c r="U824" s="1105" t="s">
        <v>3965</v>
      </c>
      <c r="V824" s="1145" t="str">
        <f t="shared" si="101"/>
        <v>LS</v>
      </c>
      <c r="X824" s="1105">
        <v>150</v>
      </c>
      <c r="Z824" s="1105">
        <f>Z811+Z823</f>
        <v>9089.4867000000013</v>
      </c>
      <c r="AE824" s="1114" t="str">
        <f t="shared" si="100"/>
        <v>|</v>
      </c>
      <c r="AG824" s="1103" t="s">
        <v>3430</v>
      </c>
    </row>
    <row r="825" spans="1:33" ht="24" customHeight="1">
      <c r="A825" s="1122"/>
      <c r="H825" s="1103" t="s">
        <v>3069</v>
      </c>
      <c r="K825" s="1115">
        <f>(K824+C24)</f>
        <v>8873.4689999999991</v>
      </c>
      <c r="O825" s="1103" t="s">
        <v>3958</v>
      </c>
      <c r="S825" s="1152" t="s">
        <v>1348</v>
      </c>
      <c r="U825" s="1105" t="s">
        <v>234</v>
      </c>
      <c r="V825" s="1145" t="str">
        <f t="shared" si="101"/>
        <v>LS</v>
      </c>
      <c r="X825" s="1105">
        <v>0.17</v>
      </c>
      <c r="AE825" s="1114" t="str">
        <f t="shared" si="100"/>
        <v>|</v>
      </c>
      <c r="AG825" s="1103" t="s">
        <v>3430</v>
      </c>
    </row>
    <row r="826" spans="1:33" ht="24" customHeight="1">
      <c r="A826" s="1122"/>
      <c r="H826" s="1103" t="s">
        <v>3071</v>
      </c>
      <c r="K826" s="1115">
        <f>(K825+C24)</f>
        <v>9076.9689999999991</v>
      </c>
      <c r="N826" s="1103" t="s">
        <v>271</v>
      </c>
      <c r="O826" s="1103" t="s">
        <v>3961</v>
      </c>
      <c r="P826" s="1114">
        <f>P808</f>
        <v>47.3</v>
      </c>
      <c r="R826" s="1114" t="e">
        <f>(#VALUE!*P826)</f>
        <v>#VALUE!</v>
      </c>
      <c r="X826" s="1119">
        <f>SUM(X815:X825)</f>
        <v>7977.0867000000007</v>
      </c>
      <c r="AE826" s="1114" t="str">
        <f t="shared" si="100"/>
        <v>|</v>
      </c>
      <c r="AG826" s="1103" t="s">
        <v>3430</v>
      </c>
    </row>
    <row r="827" spans="1:33" ht="24" customHeight="1">
      <c r="H827" s="1103" t="s">
        <v>3158</v>
      </c>
      <c r="K827" s="1115">
        <f>(K826+C24)</f>
        <v>9280.4689999999991</v>
      </c>
      <c r="O827" s="1103" t="s">
        <v>3964</v>
      </c>
      <c r="AE827" s="1114" t="str">
        <f t="shared" si="100"/>
        <v>|</v>
      </c>
      <c r="AG827" s="1103" t="s">
        <v>3430</v>
      </c>
    </row>
    <row r="828" spans="1:33" ht="24" customHeight="1">
      <c r="H828" s="1103">
        <v>5</v>
      </c>
      <c r="K828" s="1115">
        <f>(K827+C24)</f>
        <v>9483.9689999999991</v>
      </c>
      <c r="O828" s="1103"/>
      <c r="AE828" s="1114">
        <f>SUM(AE681:AE685)</f>
        <v>8206.1</v>
      </c>
      <c r="AG828" s="1103"/>
    </row>
    <row r="829" spans="1:33" ht="24" customHeight="1">
      <c r="H829" s="1103">
        <v>6</v>
      </c>
      <c r="K829" s="1115">
        <f>(K828+C24)</f>
        <v>9687.4689999999991</v>
      </c>
      <c r="O829" s="1103"/>
      <c r="AE829" s="1114"/>
      <c r="AG829" s="1103"/>
    </row>
    <row r="830" spans="1:33" ht="24" customHeight="1">
      <c r="H830" s="1103">
        <v>7</v>
      </c>
      <c r="K830" s="1115">
        <f>(K829+C24)</f>
        <v>9890.9689999999991</v>
      </c>
      <c r="O830" s="1103"/>
      <c r="AE830" s="1114"/>
      <c r="AG830" s="1103"/>
    </row>
    <row r="831" spans="1:33" ht="24" customHeight="1">
      <c r="H831" s="1103">
        <v>8</v>
      </c>
      <c r="K831" s="1115">
        <f>(K830+C24)</f>
        <v>10094.468999999999</v>
      </c>
      <c r="O831" s="1103"/>
      <c r="AE831" s="1114"/>
      <c r="AG831" s="1103"/>
    </row>
    <row r="832" spans="1:33" ht="24" customHeight="1">
      <c r="H832" s="1103">
        <v>9</v>
      </c>
      <c r="K832" s="1115">
        <f>(K831+C24)</f>
        <v>10297.968999999999</v>
      </c>
      <c r="O832" s="1103"/>
      <c r="AE832" s="1114"/>
      <c r="AG832" s="1103"/>
    </row>
    <row r="833" spans="6:33" ht="24" customHeight="1">
      <c r="H833" s="1103">
        <v>10</v>
      </c>
      <c r="K833" s="1115">
        <f>(K832+C24)</f>
        <v>10501.468999999999</v>
      </c>
      <c r="O833" s="1103"/>
      <c r="AE833" s="1114"/>
      <c r="AG833" s="1103"/>
    </row>
    <row r="834" spans="6:33" ht="24" customHeight="1">
      <c r="H834" s="1103">
        <v>11</v>
      </c>
      <c r="K834" s="1115">
        <f>(K833+C24)</f>
        <v>10704.968999999999</v>
      </c>
      <c r="O834" s="1103"/>
      <c r="AE834" s="1114"/>
      <c r="AG834" s="1103"/>
    </row>
    <row r="835" spans="6:33" ht="24" customHeight="1">
      <c r="H835" s="1103">
        <v>12</v>
      </c>
      <c r="K835" s="1115">
        <f>(K834+C24)</f>
        <v>10908.468999999999</v>
      </c>
      <c r="O835" s="1103"/>
      <c r="AE835" s="1114"/>
      <c r="AG835" s="1103"/>
    </row>
    <row r="836" spans="6:33" ht="24" customHeight="1">
      <c r="H836" s="1103"/>
      <c r="K836" s="1115"/>
      <c r="O836" s="1103"/>
      <c r="AE836" s="1114"/>
      <c r="AG836" s="1103"/>
    </row>
    <row r="837" spans="6:33" ht="24" customHeight="1">
      <c r="F837" s="1103" t="s">
        <v>220</v>
      </c>
      <c r="O837" s="1103" t="s">
        <v>3967</v>
      </c>
      <c r="AE837" s="1114" t="str">
        <f t="shared" si="100"/>
        <v>|</v>
      </c>
      <c r="AG837" s="1103" t="s">
        <v>3430</v>
      </c>
    </row>
    <row r="838" spans="6:33" ht="24" customHeight="1">
      <c r="F838" s="1103" t="s">
        <v>220</v>
      </c>
      <c r="G838" s="1114" t="s">
        <v>1363</v>
      </c>
      <c r="H838" s="1104" t="s">
        <v>3984</v>
      </c>
      <c r="N838" s="1103" t="s">
        <v>3189</v>
      </c>
      <c r="O838" s="1103" t="s">
        <v>3985</v>
      </c>
      <c r="P838" s="1114">
        <f>C272</f>
        <v>303.89999999999998</v>
      </c>
      <c r="R838" s="1114" t="e">
        <f t="shared" ref="R838:R844" si="103">(#VALUE!*P838)</f>
        <v>#VALUE!</v>
      </c>
      <c r="AE838" s="1114" t="str">
        <f t="shared" si="100"/>
        <v>|</v>
      </c>
      <c r="AG838" s="1103" t="s">
        <v>3430</v>
      </c>
    </row>
    <row r="839" spans="6:33" ht="24" customHeight="1">
      <c r="H839" s="1111" t="s">
        <v>2793</v>
      </c>
      <c r="N839" s="1103" t="s">
        <v>2838</v>
      </c>
      <c r="O839" s="1103" t="s">
        <v>3970</v>
      </c>
      <c r="P839" s="1114">
        <v>5</v>
      </c>
      <c r="R839" s="1114" t="e">
        <f t="shared" si="103"/>
        <v>#VALUE!</v>
      </c>
      <c r="AE839" s="1114" t="str">
        <f t="shared" si="100"/>
        <v>|</v>
      </c>
      <c r="AG839" s="1103" t="s">
        <v>3430</v>
      </c>
    </row>
    <row r="840" spans="6:33" ht="24" customHeight="1">
      <c r="N840" s="1103" t="s">
        <v>2838</v>
      </c>
      <c r="O840" s="1103" t="s">
        <v>3971</v>
      </c>
      <c r="P840" s="1114">
        <v>10</v>
      </c>
      <c r="R840" s="1114" t="e">
        <f t="shared" si="103"/>
        <v>#VALUE!</v>
      </c>
      <c r="AE840" s="1114" t="str">
        <f t="shared" si="100"/>
        <v>|</v>
      </c>
      <c r="AG840" s="1103" t="s">
        <v>3430</v>
      </c>
    </row>
    <row r="841" spans="6:33" ht="24" customHeight="1">
      <c r="F841" s="1104" t="s">
        <v>3986</v>
      </c>
      <c r="G841" s="1114" t="s">
        <v>1363</v>
      </c>
      <c r="H841" s="1103" t="s">
        <v>3987</v>
      </c>
      <c r="N841" s="1103" t="s">
        <v>2838</v>
      </c>
      <c r="O841" s="1103" t="s">
        <v>3973</v>
      </c>
      <c r="P841" s="1114">
        <v>8</v>
      </c>
      <c r="R841" s="1114" t="e">
        <f t="shared" si="103"/>
        <v>#VALUE!</v>
      </c>
      <c r="AE841" s="1114" t="str">
        <f t="shared" si="100"/>
        <v>|</v>
      </c>
      <c r="AG841" s="1103" t="s">
        <v>3430</v>
      </c>
    </row>
    <row r="842" spans="6:33" ht="24" customHeight="1">
      <c r="H842" s="1103" t="s">
        <v>3988</v>
      </c>
      <c r="N842" s="1103" t="s">
        <v>61</v>
      </c>
      <c r="O842" s="1103" t="s">
        <v>3976</v>
      </c>
      <c r="P842" s="1114">
        <v>13.66</v>
      </c>
      <c r="R842" s="1114" t="e">
        <f t="shared" si="103"/>
        <v>#VALUE!</v>
      </c>
      <c r="AE842" s="1114" t="str">
        <f t="shared" si="100"/>
        <v>|</v>
      </c>
      <c r="AG842" s="1103" t="s">
        <v>3430</v>
      </c>
    </row>
    <row r="843" spans="6:33" ht="24" customHeight="1">
      <c r="H843" s="1103" t="s">
        <v>3989</v>
      </c>
      <c r="N843" s="1103" t="s">
        <v>3189</v>
      </c>
      <c r="O843" s="1103" t="s">
        <v>3978</v>
      </c>
      <c r="P843" s="1114">
        <v>25.46</v>
      </c>
      <c r="R843" s="1114" t="e">
        <f t="shared" si="103"/>
        <v>#VALUE!</v>
      </c>
      <c r="AE843" s="1114" t="str">
        <f t="shared" si="100"/>
        <v>|::</v>
      </c>
      <c r="AG843" s="1103" t="s">
        <v>3220</v>
      </c>
    </row>
    <row r="844" spans="6:33" ht="24" customHeight="1">
      <c r="H844" s="1103" t="s">
        <v>3990</v>
      </c>
      <c r="N844" s="1103" t="s">
        <v>2838</v>
      </c>
      <c r="O844" s="1103" t="s">
        <v>3979</v>
      </c>
      <c r="P844" s="1114">
        <v>0.5</v>
      </c>
      <c r="R844" s="1114" t="e">
        <f t="shared" si="103"/>
        <v>#VALUE!</v>
      </c>
      <c r="AE844" s="1114">
        <f t="shared" si="100"/>
        <v>0</v>
      </c>
    </row>
    <row r="845" spans="6:33" ht="24" customHeight="1">
      <c r="H845" s="1103" t="s">
        <v>3991</v>
      </c>
      <c r="R845" s="1114">
        <v>0.7</v>
      </c>
      <c r="AE845" s="1114">
        <f t="shared" si="100"/>
        <v>0</v>
      </c>
    </row>
    <row r="846" spans="6:33" ht="24" customHeight="1">
      <c r="H846" s="1103" t="s">
        <v>3992</v>
      </c>
      <c r="R846" s="1111" t="s">
        <v>36</v>
      </c>
      <c r="AE846" s="1114">
        <f t="shared" si="100"/>
        <v>0</v>
      </c>
    </row>
    <row r="847" spans="6:33" ht="24" customHeight="1">
      <c r="H847" s="1103" t="s">
        <v>3993</v>
      </c>
      <c r="O847" s="1104" t="s">
        <v>3982</v>
      </c>
      <c r="R847" s="1114" t="e">
        <f>SUM(R826:R845)</f>
        <v>#VALUE!</v>
      </c>
      <c r="AE847" s="1114" t="str">
        <f t="shared" si="100"/>
        <v>|</v>
      </c>
      <c r="AG847" s="1103" t="s">
        <v>3430</v>
      </c>
    </row>
    <row r="848" spans="6:33" ht="24" customHeight="1">
      <c r="H848" s="1103" t="s">
        <v>3994</v>
      </c>
      <c r="O848" s="1105" t="s">
        <v>220</v>
      </c>
      <c r="R848" s="1111" t="s">
        <v>36</v>
      </c>
      <c r="AE848" s="1114" t="str">
        <f t="shared" si="100"/>
        <v>|</v>
      </c>
      <c r="AG848" s="1103" t="s">
        <v>3430</v>
      </c>
    </row>
    <row r="849" spans="6:33" ht="24" customHeight="1">
      <c r="H849" s="1103" t="s">
        <v>3995</v>
      </c>
      <c r="O849" s="1119" t="s">
        <v>3996</v>
      </c>
      <c r="R849" s="1111"/>
      <c r="AE849" s="1114" t="str">
        <f t="shared" si="100"/>
        <v>|</v>
      </c>
      <c r="AG849" s="1103" t="s">
        <v>3430</v>
      </c>
    </row>
    <row r="850" spans="6:33" ht="24" customHeight="1">
      <c r="H850" s="1103" t="s">
        <v>3997</v>
      </c>
      <c r="O850" s="1104" t="s">
        <v>3998</v>
      </c>
      <c r="R850" s="1111"/>
      <c r="AE850" s="1114" t="str">
        <f t="shared" si="100"/>
        <v>|</v>
      </c>
      <c r="AG850" s="1103" t="s">
        <v>3430</v>
      </c>
    </row>
    <row r="851" spans="6:33" ht="24" customHeight="1">
      <c r="H851" s="1103" t="s">
        <v>3999</v>
      </c>
      <c r="R851" s="1111"/>
      <c r="AE851" s="1114" t="str">
        <f t="shared" si="100"/>
        <v>|</v>
      </c>
      <c r="AG851" s="1103" t="s">
        <v>3430</v>
      </c>
    </row>
    <row r="852" spans="6:33" ht="24" customHeight="1">
      <c r="H852" s="1103" t="s">
        <v>4000</v>
      </c>
      <c r="M852" s="1143">
        <v>6.5000000000000002E-2</v>
      </c>
      <c r="N852" s="1114" t="s">
        <v>2839</v>
      </c>
      <c r="O852" s="1103" t="s">
        <v>4001</v>
      </c>
      <c r="P852" s="1114">
        <f>I859</f>
        <v>7594.5976077000005</v>
      </c>
      <c r="Q852" s="1103" t="s">
        <v>2839</v>
      </c>
      <c r="R852" s="1114">
        <f>P852*M852</f>
        <v>493.64884450050005</v>
      </c>
      <c r="AE852" s="1114" t="str">
        <f t="shared" si="100"/>
        <v>|</v>
      </c>
      <c r="AG852" s="1103" t="s">
        <v>3430</v>
      </c>
    </row>
    <row r="853" spans="6:33" ht="24" customHeight="1">
      <c r="H853" s="1103" t="s">
        <v>4002</v>
      </c>
      <c r="M853" s="1155">
        <v>8.4499999999999993</v>
      </c>
      <c r="N853" s="1114" t="s">
        <v>165</v>
      </c>
      <c r="O853" s="1103" t="s">
        <v>4003</v>
      </c>
      <c r="P853" s="1114">
        <f t="shared" ref="P853:P862" si="104">I860</f>
        <v>78398</v>
      </c>
      <c r="Q853" s="1103" t="s">
        <v>197</v>
      </c>
      <c r="R853" s="1114">
        <f>P853*M853/1000</f>
        <v>662.46309999999994</v>
      </c>
      <c r="AE853" s="1114" t="str">
        <f t="shared" si="100"/>
        <v>|</v>
      </c>
      <c r="AG853" s="1103" t="s">
        <v>3430</v>
      </c>
    </row>
    <row r="854" spans="6:33" ht="24" customHeight="1">
      <c r="H854" s="1103" t="s">
        <v>4004</v>
      </c>
      <c r="M854" s="1114">
        <v>3</v>
      </c>
      <c r="N854" s="1114" t="s">
        <v>2838</v>
      </c>
      <c r="O854" s="1103" t="s">
        <v>4005</v>
      </c>
      <c r="P854" s="1114">
        <f t="shared" si="104"/>
        <v>14.8</v>
      </c>
      <c r="Q854" s="1103" t="s">
        <v>2838</v>
      </c>
      <c r="R854" s="1114">
        <f t="shared" ref="R854:R861" si="105">P854*M854</f>
        <v>44.400000000000006</v>
      </c>
      <c r="AE854" s="1114" t="str">
        <f t="shared" si="100"/>
        <v>|</v>
      </c>
      <c r="AG854" s="1103" t="s">
        <v>3430</v>
      </c>
    </row>
    <row r="855" spans="6:33" ht="24" customHeight="1">
      <c r="M855" s="1114">
        <v>12</v>
      </c>
      <c r="N855" s="1114" t="s">
        <v>2838</v>
      </c>
      <c r="O855" s="1103" t="s">
        <v>4006</v>
      </c>
      <c r="P855" s="1114">
        <f t="shared" si="104"/>
        <v>2</v>
      </c>
      <c r="Q855" s="1103" t="s">
        <v>2838</v>
      </c>
      <c r="R855" s="1114">
        <f t="shared" si="105"/>
        <v>24</v>
      </c>
      <c r="AE855" s="1114" t="str">
        <f t="shared" si="100"/>
        <v>|</v>
      </c>
      <c r="AG855" s="1103" t="s">
        <v>3430</v>
      </c>
    </row>
    <row r="856" spans="6:33" ht="24" customHeight="1">
      <c r="M856" s="1114">
        <v>2</v>
      </c>
      <c r="N856" s="1114" t="s">
        <v>2838</v>
      </c>
      <c r="O856" s="1103" t="s">
        <v>4007</v>
      </c>
      <c r="P856" s="1114">
        <f t="shared" si="104"/>
        <v>4.9000000000000004</v>
      </c>
      <c r="Q856" s="1103" t="s">
        <v>2838</v>
      </c>
      <c r="R856" s="1114">
        <f t="shared" si="105"/>
        <v>9.8000000000000007</v>
      </c>
      <c r="AE856" s="1114" t="str">
        <f t="shared" si="100"/>
        <v>|</v>
      </c>
      <c r="AG856" s="1103" t="s">
        <v>3430</v>
      </c>
    </row>
    <row r="857" spans="6:33" ht="24" customHeight="1">
      <c r="G857" s="1114" t="s">
        <v>2235</v>
      </c>
      <c r="H857" s="1104" t="s">
        <v>4008</v>
      </c>
      <c r="M857" s="1114">
        <v>6</v>
      </c>
      <c r="N857" s="1114" t="s">
        <v>2838</v>
      </c>
      <c r="O857" s="1103" t="s">
        <v>4009</v>
      </c>
      <c r="P857" s="1114">
        <f t="shared" si="104"/>
        <v>4.45</v>
      </c>
      <c r="Q857" s="1103" t="s">
        <v>2838</v>
      </c>
      <c r="R857" s="1114">
        <f t="shared" si="105"/>
        <v>26.700000000000003</v>
      </c>
      <c r="S857" s="1105"/>
      <c r="T857" s="1114" t="s">
        <v>2235</v>
      </c>
      <c r="U857" s="1104" t="s">
        <v>4010</v>
      </c>
      <c r="W857" s="1107"/>
      <c r="AE857" s="1114" t="str">
        <f t="shared" si="100"/>
        <v>|</v>
      </c>
      <c r="AG857" s="1103" t="s">
        <v>3430</v>
      </c>
    </row>
    <row r="858" spans="6:33" ht="24" customHeight="1">
      <c r="H858" s="1104" t="s">
        <v>4011</v>
      </c>
      <c r="M858" s="1114">
        <v>1</v>
      </c>
      <c r="N858" s="1114" t="s">
        <v>2838</v>
      </c>
      <c r="O858" s="1103" t="s">
        <v>4012</v>
      </c>
      <c r="P858" s="1114">
        <f t="shared" si="104"/>
        <v>861</v>
      </c>
      <c r="Q858" s="1103" t="s">
        <v>2838</v>
      </c>
      <c r="R858" s="1114">
        <f t="shared" si="105"/>
        <v>861</v>
      </c>
      <c r="S858" s="1105"/>
      <c r="U858" s="1104" t="s">
        <v>4011</v>
      </c>
      <c r="W858" s="1107"/>
      <c r="AE858" s="1114" t="str">
        <f t="shared" si="100"/>
        <v>|</v>
      </c>
      <c r="AG858" s="1103" t="s">
        <v>3430</v>
      </c>
    </row>
    <row r="859" spans="6:33" ht="24" customHeight="1">
      <c r="F859" s="1143">
        <v>3.8100000000000002E-2</v>
      </c>
      <c r="G859" s="1114" t="s">
        <v>2839</v>
      </c>
      <c r="H859" s="1103" t="s">
        <v>4001</v>
      </c>
      <c r="I859" s="1114">
        <f>I877</f>
        <v>7594.5976077000005</v>
      </c>
      <c r="J859" s="1103" t="s">
        <v>2839</v>
      </c>
      <c r="K859" s="1114">
        <f>F859*I859</f>
        <v>289.35416885337003</v>
      </c>
      <c r="M859" s="1114">
        <v>1</v>
      </c>
      <c r="N859" s="1114" t="s">
        <v>2838</v>
      </c>
      <c r="O859" s="1103" t="s">
        <v>4013</v>
      </c>
      <c r="P859" s="1114">
        <f t="shared" si="104"/>
        <v>562</v>
      </c>
      <c r="Q859" s="1103" t="s">
        <v>2838</v>
      </c>
      <c r="R859" s="1114">
        <f t="shared" si="105"/>
        <v>562</v>
      </c>
      <c r="S859" s="1143">
        <v>4.9500000000000002E-2</v>
      </c>
      <c r="T859" s="1114" t="s">
        <v>2839</v>
      </c>
      <c r="U859" s="1103" t="s">
        <v>4001</v>
      </c>
      <c r="V859" s="1114">
        <f>I859</f>
        <v>7594.5976077000005</v>
      </c>
      <c r="W859" s="1103" t="s">
        <v>2839</v>
      </c>
      <c r="X859" s="1114">
        <f>S859*V859</f>
        <v>375.93258158115003</v>
      </c>
      <c r="AE859" s="1114" t="str">
        <f t="shared" si="100"/>
        <v>|</v>
      </c>
      <c r="AG859" s="1103" t="s">
        <v>3430</v>
      </c>
    </row>
    <row r="860" spans="6:33" ht="24" customHeight="1">
      <c r="F860" s="1156">
        <v>5.01</v>
      </c>
      <c r="G860" s="1114" t="s">
        <v>165</v>
      </c>
      <c r="H860" s="1103" t="s">
        <v>4003</v>
      </c>
      <c r="I860" s="1114">
        <f>I878</f>
        <v>78398</v>
      </c>
      <c r="J860" s="1103" t="s">
        <v>197</v>
      </c>
      <c r="K860" s="1114">
        <f>F860*I860/1000</f>
        <v>392.77397999999999</v>
      </c>
      <c r="M860" s="1114">
        <v>1</v>
      </c>
      <c r="N860" s="1114" t="s">
        <v>2838</v>
      </c>
      <c r="O860" s="1103" t="s">
        <v>4014</v>
      </c>
      <c r="P860" s="1114">
        <f t="shared" si="104"/>
        <v>25</v>
      </c>
      <c r="Q860" s="1103" t="s">
        <v>2838</v>
      </c>
      <c r="R860" s="1114">
        <f t="shared" si="105"/>
        <v>25</v>
      </c>
      <c r="S860" s="1156">
        <v>5.66</v>
      </c>
      <c r="T860" s="1114" t="s">
        <v>165</v>
      </c>
      <c r="U860" s="1103" t="s">
        <v>4003</v>
      </c>
      <c r="V860" s="1114">
        <f t="shared" ref="V860:V868" si="106">I860</f>
        <v>78398</v>
      </c>
      <c r="W860" s="1103" t="s">
        <v>197</v>
      </c>
      <c r="X860" s="1114">
        <f>S860*V860/1000</f>
        <v>443.73268000000002</v>
      </c>
      <c r="AE860" s="1114" t="str">
        <f t="shared" si="100"/>
        <v>|</v>
      </c>
      <c r="AG860" s="1103" t="s">
        <v>3430</v>
      </c>
    </row>
    <row r="861" spans="6:33" ht="24" customHeight="1">
      <c r="F861" s="1114">
        <v>3</v>
      </c>
      <c r="G861" s="1114" t="s">
        <v>2838</v>
      </c>
      <c r="H861" s="1103" t="s">
        <v>4005</v>
      </c>
      <c r="I861" s="1114">
        <v>14.8</v>
      </c>
      <c r="J861" s="1103" t="s">
        <v>2838</v>
      </c>
      <c r="K861" s="1114">
        <f t="shared" ref="K861:K868" si="107">F861*I861</f>
        <v>44.400000000000006</v>
      </c>
      <c r="M861" s="1114">
        <v>0.5</v>
      </c>
      <c r="N861" s="1114" t="s">
        <v>2838</v>
      </c>
      <c r="O861" s="1103" t="s">
        <v>4015</v>
      </c>
      <c r="P861" s="1114">
        <f t="shared" si="104"/>
        <v>461</v>
      </c>
      <c r="Q861" s="1103" t="s">
        <v>2838</v>
      </c>
      <c r="R861" s="1114">
        <f t="shared" si="105"/>
        <v>230.5</v>
      </c>
      <c r="S861" s="1114">
        <v>3</v>
      </c>
      <c r="T861" s="1114" t="s">
        <v>2838</v>
      </c>
      <c r="U861" s="1103" t="s">
        <v>4005</v>
      </c>
      <c r="V861" s="1114">
        <f t="shared" si="106"/>
        <v>14.8</v>
      </c>
      <c r="W861" s="1103" t="s">
        <v>2838</v>
      </c>
      <c r="X861" s="1114">
        <f t="shared" ref="X861:X868" si="108">S861*V861</f>
        <v>44.400000000000006</v>
      </c>
      <c r="AE861" s="1114" t="str">
        <f t="shared" si="100"/>
        <v>|</v>
      </c>
      <c r="AG861" s="1103" t="s">
        <v>3430</v>
      </c>
    </row>
    <row r="862" spans="6:33" ht="24" customHeight="1">
      <c r="F862" s="1114">
        <v>12</v>
      </c>
      <c r="G862" s="1114" t="s">
        <v>2838</v>
      </c>
      <c r="H862" s="1103" t="s">
        <v>4006</v>
      </c>
      <c r="I862" s="1114">
        <v>2</v>
      </c>
      <c r="J862" s="1103" t="s">
        <v>2838</v>
      </c>
      <c r="K862" s="1114">
        <f t="shared" si="107"/>
        <v>24</v>
      </c>
      <c r="N862" s="1114" t="s">
        <v>2851</v>
      </c>
      <c r="O862" s="1103" t="s">
        <v>4016</v>
      </c>
      <c r="P862" s="1114">
        <f t="shared" si="104"/>
        <v>0</v>
      </c>
      <c r="Q862" s="1103" t="s">
        <v>2851</v>
      </c>
      <c r="R862" s="1114">
        <v>2.1</v>
      </c>
      <c r="S862" s="1114">
        <v>12</v>
      </c>
      <c r="T862" s="1114" t="s">
        <v>2838</v>
      </c>
      <c r="U862" s="1103" t="s">
        <v>4006</v>
      </c>
      <c r="V862" s="1114">
        <f t="shared" si="106"/>
        <v>2</v>
      </c>
      <c r="W862" s="1103" t="s">
        <v>2838</v>
      </c>
      <c r="X862" s="1114">
        <f t="shared" si="108"/>
        <v>24</v>
      </c>
      <c r="AE862" s="1114" t="str">
        <f t="shared" si="100"/>
        <v>|</v>
      </c>
      <c r="AG862" s="1103" t="s">
        <v>3430</v>
      </c>
    </row>
    <row r="863" spans="6:33" ht="24" customHeight="1">
      <c r="F863" s="1114">
        <v>2</v>
      </c>
      <c r="G863" s="1114" t="s">
        <v>2838</v>
      </c>
      <c r="H863" s="1103" t="s">
        <v>4007</v>
      </c>
      <c r="I863" s="1114">
        <v>4.9000000000000004</v>
      </c>
      <c r="J863" s="1103" t="s">
        <v>2838</v>
      </c>
      <c r="K863" s="1114">
        <f t="shared" si="107"/>
        <v>9.8000000000000007</v>
      </c>
      <c r="Q863" s="1107"/>
      <c r="R863" s="1111" t="s">
        <v>36</v>
      </c>
      <c r="S863" s="1114">
        <v>2</v>
      </c>
      <c r="T863" s="1114" t="s">
        <v>2838</v>
      </c>
      <c r="U863" s="1103" t="s">
        <v>4007</v>
      </c>
      <c r="V863" s="1114">
        <f t="shared" si="106"/>
        <v>4.9000000000000004</v>
      </c>
      <c r="W863" s="1103" t="s">
        <v>2838</v>
      </c>
      <c r="X863" s="1114">
        <f t="shared" si="108"/>
        <v>9.8000000000000007</v>
      </c>
      <c r="AE863" s="1114" t="str">
        <f t="shared" si="100"/>
        <v>|</v>
      </c>
      <c r="AG863" s="1103" t="s">
        <v>3430</v>
      </c>
    </row>
    <row r="864" spans="6:33" ht="24" customHeight="1">
      <c r="F864" s="1114">
        <v>6</v>
      </c>
      <c r="G864" s="1114" t="s">
        <v>2838</v>
      </c>
      <c r="H864" s="1103" t="s">
        <v>4009</v>
      </c>
      <c r="I864" s="1114">
        <v>4.45</v>
      </c>
      <c r="J864" s="1103" t="s">
        <v>2838</v>
      </c>
      <c r="K864" s="1114">
        <f t="shared" si="107"/>
        <v>26.700000000000003</v>
      </c>
      <c r="O864" s="1118" t="s">
        <v>4017</v>
      </c>
      <c r="Q864" s="1107"/>
      <c r="R864" s="1115">
        <f>SUM(R852:R862)</f>
        <v>2941.6119445005002</v>
      </c>
      <c r="S864" s="1114">
        <v>6</v>
      </c>
      <c r="T864" s="1114" t="s">
        <v>2838</v>
      </c>
      <c r="U864" s="1103" t="s">
        <v>4009</v>
      </c>
      <c r="V864" s="1114">
        <f t="shared" si="106"/>
        <v>4.45</v>
      </c>
      <c r="W864" s="1103" t="s">
        <v>2838</v>
      </c>
      <c r="X864" s="1114">
        <f t="shared" si="108"/>
        <v>26.700000000000003</v>
      </c>
      <c r="AE864" s="1114" t="str">
        <f t="shared" si="100"/>
        <v>|</v>
      </c>
      <c r="AG864" s="1103" t="s">
        <v>3430</v>
      </c>
    </row>
    <row r="865" spans="2:33" ht="24" customHeight="1">
      <c r="F865" s="1114">
        <v>1</v>
      </c>
      <c r="G865" s="1114" t="s">
        <v>2838</v>
      </c>
      <c r="H865" s="1103" t="s">
        <v>4012</v>
      </c>
      <c r="I865" s="1114">
        <f>C10</f>
        <v>861</v>
      </c>
      <c r="J865" s="1103" t="s">
        <v>2838</v>
      </c>
      <c r="K865" s="1114">
        <f t="shared" si="107"/>
        <v>861</v>
      </c>
      <c r="Q865" s="1107"/>
      <c r="R865" s="1111" t="s">
        <v>36</v>
      </c>
      <c r="S865" s="1114">
        <v>1</v>
      </c>
      <c r="T865" s="1114" t="s">
        <v>2838</v>
      </c>
      <c r="U865" s="1103" t="s">
        <v>4012</v>
      </c>
      <c r="V865" s="1114">
        <f t="shared" si="106"/>
        <v>861</v>
      </c>
      <c r="W865" s="1103" t="s">
        <v>2838</v>
      </c>
      <c r="X865" s="1114">
        <f t="shared" si="108"/>
        <v>861</v>
      </c>
      <c r="AE865" s="1114">
        <f t="shared" si="100"/>
        <v>0</v>
      </c>
      <c r="AG865" s="1103"/>
    </row>
    <row r="866" spans="2:33" ht="24" customHeight="1">
      <c r="F866" s="1114">
        <v>1</v>
      </c>
      <c r="G866" s="1114" t="s">
        <v>2838</v>
      </c>
      <c r="H866" s="1103" t="s">
        <v>4013</v>
      </c>
      <c r="I866" s="1114">
        <f>C12</f>
        <v>562</v>
      </c>
      <c r="J866" s="1103" t="s">
        <v>2838</v>
      </c>
      <c r="K866" s="1114">
        <f t="shared" si="107"/>
        <v>562</v>
      </c>
      <c r="S866" s="1114">
        <v>1</v>
      </c>
      <c r="T866" s="1114" t="s">
        <v>2838</v>
      </c>
      <c r="U866" s="1103" t="s">
        <v>4013</v>
      </c>
      <c r="V866" s="1114">
        <f t="shared" si="106"/>
        <v>562</v>
      </c>
      <c r="W866" s="1103" t="s">
        <v>2838</v>
      </c>
      <c r="X866" s="1114">
        <f t="shared" si="108"/>
        <v>562</v>
      </c>
      <c r="AE866" s="1114">
        <f t="shared" si="100"/>
        <v>0</v>
      </c>
      <c r="AG866" s="1103"/>
    </row>
    <row r="867" spans="2:33" ht="24" customHeight="1">
      <c r="F867" s="1114">
        <v>1</v>
      </c>
      <c r="G867" s="1114" t="s">
        <v>2838</v>
      </c>
      <c r="H867" s="1103" t="s">
        <v>4014</v>
      </c>
      <c r="I867" s="1114">
        <v>25</v>
      </c>
      <c r="J867" s="1103" t="s">
        <v>2838</v>
      </c>
      <c r="K867" s="1114">
        <f t="shared" si="107"/>
        <v>25</v>
      </c>
      <c r="R867" s="1111"/>
      <c r="S867" s="1114">
        <v>1</v>
      </c>
      <c r="T867" s="1114" t="s">
        <v>2838</v>
      </c>
      <c r="U867" s="1103" t="s">
        <v>4014</v>
      </c>
      <c r="V867" s="1114">
        <f t="shared" si="106"/>
        <v>25</v>
      </c>
      <c r="W867" s="1103" t="s">
        <v>2838</v>
      </c>
      <c r="X867" s="1114">
        <f t="shared" si="108"/>
        <v>25</v>
      </c>
      <c r="AE867" s="1114">
        <f t="shared" si="100"/>
        <v>0</v>
      </c>
      <c r="AG867" s="1103"/>
    </row>
    <row r="868" spans="2:33" ht="24" customHeight="1">
      <c r="F868" s="1114">
        <v>0.5</v>
      </c>
      <c r="G868" s="1114" t="s">
        <v>2838</v>
      </c>
      <c r="H868" s="1103" t="s">
        <v>4015</v>
      </c>
      <c r="I868" s="1114">
        <f>C13</f>
        <v>461</v>
      </c>
      <c r="J868" s="1103" t="s">
        <v>2838</v>
      </c>
      <c r="K868" s="1114">
        <f t="shared" si="107"/>
        <v>230.5</v>
      </c>
      <c r="R868" s="1103" t="s">
        <v>220</v>
      </c>
      <c r="S868" s="1114">
        <v>0.5</v>
      </c>
      <c r="T868" s="1114" t="s">
        <v>2838</v>
      </c>
      <c r="U868" s="1103" t="s">
        <v>4015</v>
      </c>
      <c r="V868" s="1114">
        <f t="shared" si="106"/>
        <v>461</v>
      </c>
      <c r="W868" s="1103" t="s">
        <v>2838</v>
      </c>
      <c r="X868" s="1114">
        <f t="shared" si="108"/>
        <v>230.5</v>
      </c>
      <c r="AE868" s="1114">
        <f t="shared" si="100"/>
        <v>0</v>
      </c>
      <c r="AG868" s="1103"/>
    </row>
    <row r="869" spans="2:33" ht="24" customHeight="1">
      <c r="G869" s="1114" t="s">
        <v>2851</v>
      </c>
      <c r="H869" s="1103" t="s">
        <v>4016</v>
      </c>
      <c r="J869" s="1103" t="s">
        <v>2851</v>
      </c>
      <c r="K869" s="1114">
        <v>1.1299999999999999</v>
      </c>
      <c r="N869" s="1103" t="s">
        <v>2235</v>
      </c>
      <c r="O869" s="1103" t="s">
        <v>4018</v>
      </c>
      <c r="S869" s="1105"/>
      <c r="T869" s="1114" t="s">
        <v>2851</v>
      </c>
      <c r="U869" s="1103" t="s">
        <v>4016</v>
      </c>
      <c r="W869" s="1103" t="s">
        <v>2851</v>
      </c>
      <c r="X869" s="1114">
        <v>0.06</v>
      </c>
      <c r="AE869" s="1114">
        <f t="shared" si="100"/>
        <v>0</v>
      </c>
      <c r="AG869" s="1103"/>
    </row>
    <row r="870" spans="2:33" ht="24" customHeight="1">
      <c r="K870" s="1111" t="s">
        <v>36</v>
      </c>
      <c r="O870" s="1103" t="s">
        <v>3958</v>
      </c>
      <c r="S870" s="1105"/>
      <c r="W870" s="1107"/>
      <c r="X870" s="1111" t="s">
        <v>36</v>
      </c>
      <c r="AE870" s="1114">
        <f t="shared" si="100"/>
        <v>0</v>
      </c>
      <c r="AG870" s="1103"/>
    </row>
    <row r="871" spans="2:33" ht="24" customHeight="1">
      <c r="H871" s="1118" t="s">
        <v>4017</v>
      </c>
      <c r="K871" s="1115">
        <f>SUM(K859:K869)</f>
        <v>2466.6581488533702</v>
      </c>
      <c r="N871" s="1103" t="s">
        <v>271</v>
      </c>
      <c r="O871" s="1103" t="s">
        <v>3961</v>
      </c>
      <c r="P871" s="1114">
        <f>P826</f>
        <v>47.3</v>
      </c>
      <c r="R871" s="1114" t="e">
        <f>(#VALUE!*P871)</f>
        <v>#VALUE!</v>
      </c>
      <c r="S871" s="1105"/>
      <c r="U871" s="1118" t="s">
        <v>4017</v>
      </c>
      <c r="W871" s="1107"/>
      <c r="X871" s="1115">
        <f>SUM(X859:X869)</f>
        <v>2603.12526158115</v>
      </c>
      <c r="AE871" s="1114">
        <f t="shared" si="100"/>
        <v>0</v>
      </c>
      <c r="AG871" s="1103"/>
    </row>
    <row r="872" spans="2:33" ht="24" customHeight="1">
      <c r="K872" s="1111" t="s">
        <v>36</v>
      </c>
      <c r="O872" s="1103" t="s">
        <v>3964</v>
      </c>
      <c r="AE872" s="1114">
        <f t="shared" si="100"/>
        <v>0</v>
      </c>
      <c r="AG872" s="1103"/>
    </row>
    <row r="873" spans="2:33" ht="24" customHeight="1">
      <c r="O873" s="1103" t="s">
        <v>3967</v>
      </c>
      <c r="AE873" s="1114">
        <f t="shared" si="100"/>
        <v>0</v>
      </c>
      <c r="AG873" s="1103"/>
    </row>
    <row r="874" spans="2:33" ht="24" customHeight="1">
      <c r="N874" s="1103" t="s">
        <v>3189</v>
      </c>
      <c r="O874" s="1103" t="s">
        <v>4019</v>
      </c>
      <c r="P874" s="1114">
        <f>C272</f>
        <v>303.89999999999998</v>
      </c>
      <c r="R874" s="1114" t="e">
        <f t="shared" ref="R874:R880" si="109">(#VALUE!*P874)</f>
        <v>#VALUE!</v>
      </c>
      <c r="AE874" s="1114">
        <f t="shared" si="100"/>
        <v>0</v>
      </c>
      <c r="AG874" s="1103"/>
    </row>
    <row r="875" spans="2:33" ht="24" customHeight="1">
      <c r="G875" s="1114" t="s">
        <v>3772</v>
      </c>
      <c r="H875" s="1104" t="s">
        <v>4020</v>
      </c>
      <c r="N875" s="1103" t="s">
        <v>2838</v>
      </c>
      <c r="O875" s="1103" t="s">
        <v>3970</v>
      </c>
      <c r="P875" s="1114">
        <v>5</v>
      </c>
      <c r="R875" s="1114" t="e">
        <f t="shared" si="109"/>
        <v>#VALUE!</v>
      </c>
      <c r="S875" s="1105"/>
      <c r="T875" s="1114" t="s">
        <v>2235</v>
      </c>
      <c r="U875" s="1104" t="s">
        <v>4021</v>
      </c>
      <c r="W875" s="1107"/>
      <c r="AE875" s="1114">
        <f t="shared" si="100"/>
        <v>0</v>
      </c>
      <c r="AG875" s="1103"/>
    </row>
    <row r="876" spans="2:33" ht="24" customHeight="1">
      <c r="H876" s="1104" t="s">
        <v>4011</v>
      </c>
      <c r="N876" s="1103" t="s">
        <v>2838</v>
      </c>
      <c r="O876" s="1103" t="s">
        <v>3971</v>
      </c>
      <c r="P876" s="1114">
        <v>10</v>
      </c>
      <c r="R876" s="1114" t="e">
        <f t="shared" si="109"/>
        <v>#VALUE!</v>
      </c>
      <c r="S876" s="1105"/>
      <c r="U876" s="1104" t="s">
        <v>4011</v>
      </c>
      <c r="W876" s="1107"/>
      <c r="AE876" s="1114">
        <f t="shared" si="100"/>
        <v>0</v>
      </c>
      <c r="AG876" s="1103"/>
    </row>
    <row r="877" spans="2:33" ht="64.5" customHeight="1">
      <c r="B877" s="1129" t="s">
        <v>4022</v>
      </c>
      <c r="C877" s="1114">
        <f>Y688</f>
        <v>8132.0113076999987</v>
      </c>
      <c r="F877" s="1143">
        <v>3.6799999999999999E-2</v>
      </c>
      <c r="G877" s="1114" t="s">
        <v>2839</v>
      </c>
      <c r="H877" s="1129" t="s">
        <v>4022</v>
      </c>
      <c r="I877" s="1114">
        <f>Z718</f>
        <v>7594.5976077000005</v>
      </c>
      <c r="J877" s="1103" t="s">
        <v>2839</v>
      </c>
      <c r="K877" s="1114">
        <f>F877*I877</f>
        <v>279.48119196336</v>
      </c>
      <c r="N877" s="1103" t="s">
        <v>2838</v>
      </c>
      <c r="O877" s="1103" t="s">
        <v>3973</v>
      </c>
      <c r="P877" s="1114">
        <v>8</v>
      </c>
      <c r="R877" s="1114" t="e">
        <f t="shared" si="109"/>
        <v>#VALUE!</v>
      </c>
      <c r="S877" s="1143">
        <v>5.4699999999999999E-2</v>
      </c>
      <c r="T877" s="1114" t="s">
        <v>2839</v>
      </c>
      <c r="U877" s="1103" t="s">
        <v>4001</v>
      </c>
      <c r="V877" s="1114">
        <f>I877</f>
        <v>7594.5976077000005</v>
      </c>
      <c r="W877" s="1103" t="s">
        <v>2839</v>
      </c>
      <c r="X877" s="1114">
        <f>S877*V877</f>
        <v>415.42448914119001</v>
      </c>
      <c r="AE877" s="1114">
        <f t="shared" ref="AE877:AE949" si="110">AG877</f>
        <v>0</v>
      </c>
      <c r="AG877" s="1103"/>
    </row>
    <row r="878" spans="2:33" ht="34.5" customHeight="1">
      <c r="B878" s="1103" t="s">
        <v>4003</v>
      </c>
      <c r="C878" s="1114">
        <f>R1609</f>
        <v>78609.28571428571</v>
      </c>
      <c r="F878" s="1114">
        <v>4.87</v>
      </c>
      <c r="G878" s="1114" t="s">
        <v>165</v>
      </c>
      <c r="H878" s="1103" t="s">
        <v>4003</v>
      </c>
      <c r="I878" s="1114">
        <f>K1608</f>
        <v>78398</v>
      </c>
      <c r="J878" s="1103" t="s">
        <v>197</v>
      </c>
      <c r="K878" s="1114">
        <f>F878*I878/1000</f>
        <v>381.79826000000003</v>
      </c>
      <c r="N878" s="1103" t="s">
        <v>61</v>
      </c>
      <c r="O878" s="1103" t="s">
        <v>3976</v>
      </c>
      <c r="P878" s="1114">
        <v>13.66</v>
      </c>
      <c r="R878" s="1114" t="e">
        <f t="shared" si="109"/>
        <v>#VALUE!</v>
      </c>
      <c r="S878" s="1156">
        <v>6.16</v>
      </c>
      <c r="T878" s="1114" t="s">
        <v>165</v>
      </c>
      <c r="U878" s="1103" t="s">
        <v>4003</v>
      </c>
      <c r="V878" s="1114">
        <f t="shared" ref="V878:V886" si="111">I878</f>
        <v>78398</v>
      </c>
      <c r="W878" s="1103" t="s">
        <v>197</v>
      </c>
      <c r="X878" s="1114">
        <f>S878*V878/1000</f>
        <v>482.93167999999997</v>
      </c>
      <c r="AE878" s="1114">
        <f t="shared" si="110"/>
        <v>0</v>
      </c>
      <c r="AG878" s="1103"/>
    </row>
    <row r="879" spans="2:33" ht="24" customHeight="1">
      <c r="F879" s="1114">
        <v>3</v>
      </c>
      <c r="G879" s="1114" t="s">
        <v>2838</v>
      </c>
      <c r="H879" s="1103" t="s">
        <v>4005</v>
      </c>
      <c r="I879" s="1114">
        <f>I861</f>
        <v>14.8</v>
      </c>
      <c r="J879" s="1103" t="s">
        <v>2838</v>
      </c>
      <c r="K879" s="1114">
        <f t="shared" ref="K879:K886" si="112">F879*I879</f>
        <v>44.400000000000006</v>
      </c>
      <c r="N879" s="1103" t="s">
        <v>3189</v>
      </c>
      <c r="O879" s="1103" t="s">
        <v>3978</v>
      </c>
      <c r="P879" s="1114">
        <v>25.46</v>
      </c>
      <c r="R879" s="1114" t="e">
        <f t="shared" si="109"/>
        <v>#VALUE!</v>
      </c>
      <c r="S879" s="1114">
        <v>3</v>
      </c>
      <c r="T879" s="1114" t="s">
        <v>2838</v>
      </c>
      <c r="U879" s="1103" t="s">
        <v>4005</v>
      </c>
      <c r="V879" s="1114">
        <f t="shared" si="111"/>
        <v>14.8</v>
      </c>
      <c r="W879" s="1103" t="s">
        <v>2838</v>
      </c>
      <c r="X879" s="1114">
        <f t="shared" ref="X879:X886" si="113">S879*V879</f>
        <v>44.400000000000006</v>
      </c>
      <c r="AE879" s="1114">
        <f t="shared" si="110"/>
        <v>0</v>
      </c>
      <c r="AG879" s="1103"/>
    </row>
    <row r="880" spans="2:33" ht="24" customHeight="1">
      <c r="F880" s="1114">
        <v>12</v>
      </c>
      <c r="G880" s="1114" t="s">
        <v>2838</v>
      </c>
      <c r="H880" s="1103" t="s">
        <v>4006</v>
      </c>
      <c r="I880" s="1114">
        <f>I862</f>
        <v>2</v>
      </c>
      <c r="J880" s="1103" t="s">
        <v>2838</v>
      </c>
      <c r="K880" s="1114">
        <f t="shared" si="112"/>
        <v>24</v>
      </c>
      <c r="N880" s="1103" t="s">
        <v>2838</v>
      </c>
      <c r="O880" s="1103" t="s">
        <v>3979</v>
      </c>
      <c r="P880" s="1114">
        <v>0.5</v>
      </c>
      <c r="R880" s="1114" t="e">
        <f t="shared" si="109"/>
        <v>#VALUE!</v>
      </c>
      <c r="S880" s="1114">
        <v>12</v>
      </c>
      <c r="T880" s="1114" t="s">
        <v>2838</v>
      </c>
      <c r="U880" s="1103" t="s">
        <v>4006</v>
      </c>
      <c r="V880" s="1114">
        <f t="shared" si="111"/>
        <v>2</v>
      </c>
      <c r="W880" s="1103" t="s">
        <v>2838</v>
      </c>
      <c r="X880" s="1114">
        <f t="shared" si="113"/>
        <v>24</v>
      </c>
      <c r="AE880" s="1114">
        <f t="shared" si="110"/>
        <v>0</v>
      </c>
      <c r="AG880" s="1103"/>
    </row>
    <row r="881" spans="6:33" ht="24" customHeight="1">
      <c r="F881" s="1114">
        <v>2</v>
      </c>
      <c r="G881" s="1114" t="s">
        <v>2838</v>
      </c>
      <c r="H881" s="1103" t="s">
        <v>4007</v>
      </c>
      <c r="I881" s="1114">
        <f>I863</f>
        <v>4.9000000000000004</v>
      </c>
      <c r="J881" s="1103" t="s">
        <v>2838</v>
      </c>
      <c r="K881" s="1114">
        <f t="shared" si="112"/>
        <v>9.8000000000000007</v>
      </c>
      <c r="R881" s="1114">
        <v>0.97</v>
      </c>
      <c r="S881" s="1114">
        <v>2</v>
      </c>
      <c r="T881" s="1114" t="s">
        <v>2838</v>
      </c>
      <c r="U881" s="1103" t="s">
        <v>4007</v>
      </c>
      <c r="V881" s="1114">
        <f t="shared" si="111"/>
        <v>4.9000000000000004</v>
      </c>
      <c r="W881" s="1103" t="s">
        <v>2838</v>
      </c>
      <c r="X881" s="1114">
        <f t="shared" si="113"/>
        <v>9.8000000000000007</v>
      </c>
      <c r="AE881" s="1114">
        <f t="shared" si="110"/>
        <v>0</v>
      </c>
      <c r="AG881" s="1103"/>
    </row>
    <row r="882" spans="6:33" ht="24" customHeight="1">
      <c r="F882" s="1114">
        <v>6</v>
      </c>
      <c r="G882" s="1114" t="s">
        <v>2838</v>
      </c>
      <c r="H882" s="1103" t="s">
        <v>4009</v>
      </c>
      <c r="I882" s="1114">
        <f>I864</f>
        <v>4.45</v>
      </c>
      <c r="J882" s="1103" t="s">
        <v>2838</v>
      </c>
      <c r="K882" s="1114">
        <f t="shared" si="112"/>
        <v>26.700000000000003</v>
      </c>
      <c r="R882" s="1111" t="s">
        <v>36</v>
      </c>
      <c r="S882" s="1114">
        <v>6</v>
      </c>
      <c r="T882" s="1114" t="s">
        <v>2838</v>
      </c>
      <c r="U882" s="1103" t="s">
        <v>4009</v>
      </c>
      <c r="V882" s="1114">
        <f t="shared" si="111"/>
        <v>4.45</v>
      </c>
      <c r="W882" s="1103" t="s">
        <v>2838</v>
      </c>
      <c r="X882" s="1114">
        <f t="shared" si="113"/>
        <v>26.700000000000003</v>
      </c>
      <c r="AE882" s="1114">
        <f t="shared" si="110"/>
        <v>0</v>
      </c>
      <c r="AG882" s="1103"/>
    </row>
    <row r="883" spans="6:33" ht="24" customHeight="1">
      <c r="F883" s="1114">
        <v>1</v>
      </c>
      <c r="G883" s="1114" t="s">
        <v>2838</v>
      </c>
      <c r="H883" s="1103" t="s">
        <v>4012</v>
      </c>
      <c r="I883" s="1114">
        <f>C10</f>
        <v>861</v>
      </c>
      <c r="J883" s="1103" t="s">
        <v>2838</v>
      </c>
      <c r="K883" s="1114">
        <f t="shared" si="112"/>
        <v>861</v>
      </c>
      <c r="O883" s="1104" t="s">
        <v>3982</v>
      </c>
      <c r="R883" s="1114" t="e">
        <f>SUM(R871:R881)</f>
        <v>#VALUE!</v>
      </c>
      <c r="S883" s="1114">
        <v>1</v>
      </c>
      <c r="T883" s="1114" t="s">
        <v>2838</v>
      </c>
      <c r="U883" s="1103" t="s">
        <v>4012</v>
      </c>
      <c r="V883" s="1114">
        <f t="shared" si="111"/>
        <v>861</v>
      </c>
      <c r="W883" s="1103" t="s">
        <v>2838</v>
      </c>
      <c r="X883" s="1114">
        <f t="shared" si="113"/>
        <v>861</v>
      </c>
      <c r="AE883" s="1114">
        <f t="shared" si="110"/>
        <v>0</v>
      </c>
      <c r="AG883" s="1103"/>
    </row>
    <row r="884" spans="6:33" ht="24" customHeight="1">
      <c r="F884" s="1114">
        <v>1</v>
      </c>
      <c r="G884" s="1114" t="s">
        <v>2838</v>
      </c>
      <c r="H884" s="1103" t="s">
        <v>4013</v>
      </c>
      <c r="I884" s="1114">
        <f>C12</f>
        <v>562</v>
      </c>
      <c r="J884" s="1103" t="s">
        <v>2838</v>
      </c>
      <c r="K884" s="1114">
        <f t="shared" si="112"/>
        <v>562</v>
      </c>
      <c r="R884" s="1111" t="s">
        <v>36</v>
      </c>
      <c r="S884" s="1114">
        <v>1</v>
      </c>
      <c r="T884" s="1114" t="s">
        <v>2838</v>
      </c>
      <c r="U884" s="1103" t="s">
        <v>4013</v>
      </c>
      <c r="V884" s="1114">
        <f t="shared" si="111"/>
        <v>562</v>
      </c>
      <c r="W884" s="1103" t="s">
        <v>2838</v>
      </c>
      <c r="X884" s="1114">
        <f t="shared" si="113"/>
        <v>562</v>
      </c>
      <c r="AE884" s="1114" t="str">
        <f t="shared" si="110"/>
        <v>|</v>
      </c>
      <c r="AG884" s="1103" t="s">
        <v>3430</v>
      </c>
    </row>
    <row r="885" spans="6:33" ht="24" customHeight="1">
      <c r="F885" s="1114">
        <v>1</v>
      </c>
      <c r="G885" s="1114" t="s">
        <v>2838</v>
      </c>
      <c r="H885" s="1103" t="s">
        <v>4014</v>
      </c>
      <c r="I885" s="1114">
        <v>25</v>
      </c>
      <c r="J885" s="1103" t="s">
        <v>2838</v>
      </c>
      <c r="K885" s="1114">
        <f t="shared" si="112"/>
        <v>25</v>
      </c>
      <c r="S885" s="1114">
        <v>1</v>
      </c>
      <c r="T885" s="1114" t="s">
        <v>2838</v>
      </c>
      <c r="U885" s="1103" t="s">
        <v>4014</v>
      </c>
      <c r="V885" s="1114">
        <f t="shared" si="111"/>
        <v>25</v>
      </c>
      <c r="W885" s="1103" t="s">
        <v>2838</v>
      </c>
      <c r="X885" s="1114">
        <f t="shared" si="113"/>
        <v>25</v>
      </c>
      <c r="AE885" s="1114" t="str">
        <f t="shared" si="110"/>
        <v>|</v>
      </c>
      <c r="AG885" s="1103" t="s">
        <v>3430</v>
      </c>
    </row>
    <row r="886" spans="6:33" ht="24" customHeight="1">
      <c r="F886" s="1114">
        <v>0.5</v>
      </c>
      <c r="G886" s="1114" t="s">
        <v>2838</v>
      </c>
      <c r="H886" s="1103" t="s">
        <v>4015</v>
      </c>
      <c r="I886" s="1114">
        <f>C13</f>
        <v>461</v>
      </c>
      <c r="J886" s="1103" t="s">
        <v>2838</v>
      </c>
      <c r="K886" s="1114">
        <f t="shared" si="112"/>
        <v>230.5</v>
      </c>
      <c r="M886" s="1104" t="s">
        <v>4023</v>
      </c>
      <c r="N886" s="1103" t="s">
        <v>1363</v>
      </c>
      <c r="O886" s="1103" t="s">
        <v>4024</v>
      </c>
      <c r="S886" s="1114">
        <v>0.5</v>
      </c>
      <c r="T886" s="1114" t="s">
        <v>2838</v>
      </c>
      <c r="U886" s="1103" t="s">
        <v>4015</v>
      </c>
      <c r="V886" s="1114">
        <f t="shared" si="111"/>
        <v>461</v>
      </c>
      <c r="W886" s="1103" t="s">
        <v>2838</v>
      </c>
      <c r="X886" s="1114">
        <f t="shared" si="113"/>
        <v>230.5</v>
      </c>
      <c r="AE886" s="1114" t="str">
        <f t="shared" si="110"/>
        <v>|</v>
      </c>
      <c r="AG886" s="1103" t="s">
        <v>3430</v>
      </c>
    </row>
    <row r="887" spans="6:33" ht="24" customHeight="1">
      <c r="G887" s="1114" t="s">
        <v>2851</v>
      </c>
      <c r="H887" s="1103" t="s">
        <v>4016</v>
      </c>
      <c r="J887" s="1103" t="s">
        <v>2851</v>
      </c>
      <c r="K887" s="1114">
        <v>1.98</v>
      </c>
      <c r="O887" s="1103" t="s">
        <v>4025</v>
      </c>
      <c r="S887" s="1105"/>
      <c r="T887" s="1114" t="s">
        <v>2851</v>
      </c>
      <c r="U887" s="1103" t="s">
        <v>4016</v>
      </c>
      <c r="W887" s="1103" t="s">
        <v>2851</v>
      </c>
      <c r="X887" s="1114">
        <v>0.27</v>
      </c>
      <c r="AE887" s="1114" t="str">
        <f t="shared" si="110"/>
        <v>|</v>
      </c>
      <c r="AG887" s="1103" t="s">
        <v>3430</v>
      </c>
    </row>
    <row r="888" spans="6:33" ht="24" customHeight="1">
      <c r="K888" s="1111" t="s">
        <v>36</v>
      </c>
      <c r="O888" s="1111" t="s">
        <v>36</v>
      </c>
      <c r="P888" s="1111" t="s">
        <v>36</v>
      </c>
      <c r="S888" s="1105"/>
      <c r="W888" s="1107"/>
      <c r="X888" s="1111" t="s">
        <v>36</v>
      </c>
      <c r="AE888" s="1114" t="str">
        <f t="shared" si="110"/>
        <v>|</v>
      </c>
      <c r="AG888" s="1103" t="s">
        <v>3430</v>
      </c>
    </row>
    <row r="889" spans="6:33" ht="24" customHeight="1">
      <c r="H889" s="1118" t="s">
        <v>4017</v>
      </c>
      <c r="K889" s="1115">
        <f>SUM(K877:K887)</f>
        <v>2446.65945196336</v>
      </c>
      <c r="L889" s="1105">
        <f>K889-1729</f>
        <v>717.65945196335997</v>
      </c>
      <c r="O889" s="1103" t="s">
        <v>4026</v>
      </c>
      <c r="S889" s="1105"/>
      <c r="U889" s="1118" t="s">
        <v>4017</v>
      </c>
      <c r="W889" s="1107"/>
      <c r="X889" s="1115">
        <f>SUM(X877:X887)</f>
        <v>2682.0261691411902</v>
      </c>
      <c r="AE889" s="1114" t="str">
        <f t="shared" si="110"/>
        <v>|</v>
      </c>
      <c r="AG889" s="1103" t="s">
        <v>3430</v>
      </c>
    </row>
    <row r="890" spans="6:33" ht="24" customHeight="1">
      <c r="K890" s="1111" t="s">
        <v>36</v>
      </c>
      <c r="M890" s="1114">
        <v>0.5</v>
      </c>
      <c r="N890" s="1104" t="s">
        <v>2941</v>
      </c>
      <c r="O890" s="1103" t="s">
        <v>4027</v>
      </c>
      <c r="P890" s="1114">
        <f>C16</f>
        <v>842</v>
      </c>
      <c r="Q890" s="1104" t="s">
        <v>3820</v>
      </c>
      <c r="R890" s="1114">
        <f>(M890*P890)</f>
        <v>421</v>
      </c>
      <c r="AE890" s="1114" t="str">
        <f t="shared" si="110"/>
        <v>|</v>
      </c>
      <c r="AG890" s="1103" t="s">
        <v>3430</v>
      </c>
    </row>
    <row r="891" spans="6:33" ht="24" customHeight="1">
      <c r="F891" s="1104"/>
      <c r="G891" s="1114" t="s">
        <v>3801</v>
      </c>
      <c r="H891" s="1104" t="s">
        <v>4028</v>
      </c>
      <c r="K891" s="1105">
        <f>K889-1800.2</f>
        <v>646.45945196335992</v>
      </c>
      <c r="M891" s="1114">
        <v>0.25</v>
      </c>
      <c r="N891" s="1104" t="s">
        <v>2941</v>
      </c>
      <c r="O891" s="1103" t="s">
        <v>4029</v>
      </c>
      <c r="P891" s="1114">
        <f>C12</f>
        <v>562</v>
      </c>
      <c r="Q891" s="1104" t="s">
        <v>3820</v>
      </c>
      <c r="R891" s="1114">
        <f>(M891*P891)</f>
        <v>140.5</v>
      </c>
      <c r="S891" s="1105"/>
      <c r="T891" s="1114" t="s">
        <v>2235</v>
      </c>
      <c r="U891" s="1104" t="s">
        <v>4030</v>
      </c>
      <c r="W891" s="1107"/>
      <c r="AE891" s="1114" t="str">
        <f t="shared" si="110"/>
        <v>|</v>
      </c>
      <c r="AG891" s="1103" t="s">
        <v>3430</v>
      </c>
    </row>
    <row r="892" spans="6:33" ht="24" customHeight="1">
      <c r="H892" s="1104" t="s">
        <v>4011</v>
      </c>
      <c r="R892" s="1111" t="s">
        <v>36</v>
      </c>
      <c r="S892" s="1105"/>
      <c r="U892" s="1104" t="s">
        <v>4011</v>
      </c>
      <c r="W892" s="1107"/>
      <c r="AE892" s="1114" t="str">
        <f t="shared" si="110"/>
        <v>|</v>
      </c>
      <c r="AG892" s="1103" t="s">
        <v>3430</v>
      </c>
    </row>
    <row r="893" spans="6:33" ht="24" customHeight="1">
      <c r="F893" s="1143">
        <v>3.5299999999999998E-2</v>
      </c>
      <c r="G893" s="1114" t="s">
        <v>2839</v>
      </c>
      <c r="H893" s="1103" t="s">
        <v>4001</v>
      </c>
      <c r="I893" s="1114">
        <f t="shared" ref="I893:I898" si="114">I877</f>
        <v>7594.5976077000005</v>
      </c>
      <c r="J893" s="1103" t="s">
        <v>2839</v>
      </c>
      <c r="K893" s="1114">
        <f>F893*I893</f>
        <v>268.08929555180998</v>
      </c>
      <c r="O893" s="1104" t="s">
        <v>4031</v>
      </c>
      <c r="R893" s="1114">
        <f>SUM(R890:R891)</f>
        <v>561.5</v>
      </c>
      <c r="S893" s="1143">
        <v>5.91E-2</v>
      </c>
      <c r="T893" s="1114" t="s">
        <v>2839</v>
      </c>
      <c r="U893" s="1103" t="s">
        <v>4001</v>
      </c>
      <c r="V893" s="1114">
        <f>V877</f>
        <v>7594.5976077000005</v>
      </c>
      <c r="W893" s="1103" t="s">
        <v>2839</v>
      </c>
      <c r="X893" s="1114">
        <f>S893*V893</f>
        <v>448.84071861507005</v>
      </c>
      <c r="AE893" s="1114" t="str">
        <f t="shared" si="110"/>
        <v>|</v>
      </c>
      <c r="AG893" s="1103" t="s">
        <v>3430</v>
      </c>
    </row>
    <row r="894" spans="6:33" ht="24" customHeight="1">
      <c r="F894" s="1114">
        <v>4.59</v>
      </c>
      <c r="G894" s="1114" t="s">
        <v>165</v>
      </c>
      <c r="H894" s="1103" t="s">
        <v>4003</v>
      </c>
      <c r="I894" s="1114">
        <f t="shared" si="114"/>
        <v>78398</v>
      </c>
      <c r="J894" s="1103" t="s">
        <v>197</v>
      </c>
      <c r="K894" s="1114">
        <f>F894*I894/1000</f>
        <v>359.84681999999998</v>
      </c>
      <c r="R894" s="1111" t="s">
        <v>36</v>
      </c>
      <c r="S894" s="1156">
        <v>6.58</v>
      </c>
      <c r="T894" s="1114" t="s">
        <v>165</v>
      </c>
      <c r="U894" s="1103" t="s">
        <v>4003</v>
      </c>
      <c r="V894" s="1114">
        <f t="shared" ref="V894:V902" si="115">V878</f>
        <v>78398</v>
      </c>
      <c r="W894" s="1103" t="s">
        <v>197</v>
      </c>
      <c r="X894" s="1114">
        <f>S894*V894/1000</f>
        <v>515.85883999999999</v>
      </c>
      <c r="AE894" s="1114" t="str">
        <f t="shared" si="110"/>
        <v>|</v>
      </c>
      <c r="AG894" s="1103" t="s">
        <v>3430</v>
      </c>
    </row>
    <row r="895" spans="6:33" ht="24" customHeight="1">
      <c r="F895" s="1114">
        <v>3</v>
      </c>
      <c r="G895" s="1114" t="s">
        <v>2838</v>
      </c>
      <c r="H895" s="1103" t="s">
        <v>4005</v>
      </c>
      <c r="I895" s="1114">
        <f t="shared" si="114"/>
        <v>14.8</v>
      </c>
      <c r="J895" s="1103" t="s">
        <v>2838</v>
      </c>
      <c r="K895" s="1114">
        <f t="shared" ref="K895:K902" si="116">F895*I895</f>
        <v>44.400000000000006</v>
      </c>
      <c r="O895" s="1104" t="s">
        <v>4032</v>
      </c>
      <c r="R895" s="1114">
        <f>R893/0.0283</f>
        <v>19840.989399293288</v>
      </c>
      <c r="S895" s="1114">
        <v>3</v>
      </c>
      <c r="T895" s="1114" t="s">
        <v>2838</v>
      </c>
      <c r="U895" s="1103" t="s">
        <v>4005</v>
      </c>
      <c r="V895" s="1114">
        <f t="shared" si="115"/>
        <v>14.8</v>
      </c>
      <c r="W895" s="1103" t="s">
        <v>2838</v>
      </c>
      <c r="X895" s="1114">
        <f t="shared" ref="X895:X902" si="117">S895*V895</f>
        <v>44.400000000000006</v>
      </c>
      <c r="AE895" s="1114" t="str">
        <f t="shared" si="110"/>
        <v>|</v>
      </c>
      <c r="AG895" s="1103" t="s">
        <v>3430</v>
      </c>
    </row>
    <row r="896" spans="6:33" ht="24" customHeight="1">
      <c r="F896" s="1114">
        <v>12</v>
      </c>
      <c r="G896" s="1114" t="s">
        <v>2838</v>
      </c>
      <c r="H896" s="1103" t="s">
        <v>4006</v>
      </c>
      <c r="I896" s="1114">
        <f t="shared" si="114"/>
        <v>2</v>
      </c>
      <c r="J896" s="1103" t="s">
        <v>2838</v>
      </c>
      <c r="K896" s="1114">
        <f t="shared" si="116"/>
        <v>24</v>
      </c>
      <c r="R896" s="1111" t="s">
        <v>36</v>
      </c>
      <c r="S896" s="1114">
        <v>12</v>
      </c>
      <c r="T896" s="1114" t="s">
        <v>2838</v>
      </c>
      <c r="U896" s="1103" t="s">
        <v>4006</v>
      </c>
      <c r="V896" s="1114">
        <f t="shared" si="115"/>
        <v>2</v>
      </c>
      <c r="W896" s="1103" t="s">
        <v>2838</v>
      </c>
      <c r="X896" s="1114">
        <f t="shared" si="117"/>
        <v>24</v>
      </c>
      <c r="AE896" s="1114" t="str">
        <f t="shared" si="110"/>
        <v>|</v>
      </c>
      <c r="AG896" s="1103" t="s">
        <v>3430</v>
      </c>
    </row>
    <row r="897" spans="6:33" ht="24" customHeight="1">
      <c r="F897" s="1114">
        <v>2</v>
      </c>
      <c r="G897" s="1114" t="s">
        <v>2838</v>
      </c>
      <c r="H897" s="1114" t="str">
        <f>H881</f>
        <v>TOWER BOLT RECEIVER</v>
      </c>
      <c r="I897" s="1114">
        <f t="shared" si="114"/>
        <v>4.9000000000000004</v>
      </c>
      <c r="J897" s="1103" t="s">
        <v>2838</v>
      </c>
      <c r="K897" s="1114">
        <f t="shared" si="116"/>
        <v>9.8000000000000007</v>
      </c>
      <c r="S897" s="1114">
        <v>2</v>
      </c>
      <c r="T897" s="1114" t="s">
        <v>2838</v>
      </c>
      <c r="U897" s="1103" t="s">
        <v>4007</v>
      </c>
      <c r="V897" s="1114">
        <f t="shared" si="115"/>
        <v>4.9000000000000004</v>
      </c>
      <c r="W897" s="1103" t="s">
        <v>2838</v>
      </c>
      <c r="X897" s="1114">
        <f t="shared" si="117"/>
        <v>9.8000000000000007</v>
      </c>
      <c r="AE897" s="1114" t="str">
        <f t="shared" si="110"/>
        <v>|</v>
      </c>
      <c r="AG897" s="1103" t="s">
        <v>3430</v>
      </c>
    </row>
    <row r="898" spans="6:33" ht="24" customHeight="1">
      <c r="F898" s="1114">
        <v>6</v>
      </c>
      <c r="G898" s="1114" t="s">
        <v>2838</v>
      </c>
      <c r="H898" s="1103" t="s">
        <v>4009</v>
      </c>
      <c r="I898" s="1114">
        <f t="shared" si="114"/>
        <v>4.45</v>
      </c>
      <c r="J898" s="1103" t="s">
        <v>2838</v>
      </c>
      <c r="K898" s="1114">
        <f t="shared" si="116"/>
        <v>26.700000000000003</v>
      </c>
      <c r="S898" s="1114">
        <v>6</v>
      </c>
      <c r="T898" s="1114" t="s">
        <v>2838</v>
      </c>
      <c r="U898" s="1103" t="s">
        <v>4009</v>
      </c>
      <c r="V898" s="1114">
        <f t="shared" si="115"/>
        <v>4.45</v>
      </c>
      <c r="W898" s="1103" t="s">
        <v>2838</v>
      </c>
      <c r="X898" s="1114">
        <f t="shared" si="117"/>
        <v>26.700000000000003</v>
      </c>
      <c r="AE898" s="1114" t="str">
        <f t="shared" si="110"/>
        <v>|</v>
      </c>
      <c r="AG898" s="1103" t="s">
        <v>3430</v>
      </c>
    </row>
    <row r="899" spans="6:33" ht="24" customHeight="1">
      <c r="F899" s="1114">
        <v>1</v>
      </c>
      <c r="G899" s="1114" t="s">
        <v>2838</v>
      </c>
      <c r="H899" s="1103" t="s">
        <v>4012</v>
      </c>
      <c r="I899" s="1114">
        <f>C10</f>
        <v>861</v>
      </c>
      <c r="J899" s="1103" t="s">
        <v>2838</v>
      </c>
      <c r="K899" s="1114">
        <f t="shared" si="116"/>
        <v>861</v>
      </c>
      <c r="S899" s="1114">
        <v>1</v>
      </c>
      <c r="T899" s="1114" t="s">
        <v>2838</v>
      </c>
      <c r="U899" s="1103" t="s">
        <v>4012</v>
      </c>
      <c r="V899" s="1114">
        <f t="shared" si="115"/>
        <v>861</v>
      </c>
      <c r="W899" s="1103" t="s">
        <v>2838</v>
      </c>
      <c r="X899" s="1114">
        <f t="shared" si="117"/>
        <v>861</v>
      </c>
      <c r="AE899" s="1114" t="str">
        <f t="shared" si="110"/>
        <v>|</v>
      </c>
      <c r="AG899" s="1103" t="s">
        <v>3430</v>
      </c>
    </row>
    <row r="900" spans="6:33" ht="24" customHeight="1">
      <c r="F900" s="1114">
        <v>1</v>
      </c>
      <c r="G900" s="1114" t="s">
        <v>2838</v>
      </c>
      <c r="H900" s="1103" t="s">
        <v>4013</v>
      </c>
      <c r="I900" s="1114">
        <f>C12</f>
        <v>562</v>
      </c>
      <c r="J900" s="1103" t="s">
        <v>2838</v>
      </c>
      <c r="K900" s="1114">
        <f t="shared" si="116"/>
        <v>562</v>
      </c>
      <c r="S900" s="1114">
        <v>1</v>
      </c>
      <c r="T900" s="1114" t="s">
        <v>2838</v>
      </c>
      <c r="U900" s="1103" t="s">
        <v>4013</v>
      </c>
      <c r="V900" s="1114">
        <f t="shared" si="115"/>
        <v>562</v>
      </c>
      <c r="W900" s="1103" t="s">
        <v>2838</v>
      </c>
      <c r="X900" s="1114">
        <f t="shared" si="117"/>
        <v>562</v>
      </c>
      <c r="AE900" s="1114" t="str">
        <f t="shared" si="110"/>
        <v>|</v>
      </c>
      <c r="AG900" s="1103" t="s">
        <v>3430</v>
      </c>
    </row>
    <row r="901" spans="6:33" ht="101.25" customHeight="1">
      <c r="F901" s="1114">
        <v>1</v>
      </c>
      <c r="G901" s="1114" t="s">
        <v>2838</v>
      </c>
      <c r="H901" s="1114" t="str">
        <f>H885</f>
        <v>MOULDING CHARGES</v>
      </c>
      <c r="I901" s="1114">
        <v>25</v>
      </c>
      <c r="J901" s="1103" t="s">
        <v>2838</v>
      </c>
      <c r="K901" s="1114">
        <f t="shared" si="116"/>
        <v>25</v>
      </c>
      <c r="S901" s="1114">
        <v>1</v>
      </c>
      <c r="T901" s="1114" t="s">
        <v>2838</v>
      </c>
      <c r="U901" s="1103" t="s">
        <v>4014</v>
      </c>
      <c r="V901" s="1114">
        <f t="shared" si="115"/>
        <v>25</v>
      </c>
      <c r="W901" s="1103" t="s">
        <v>2838</v>
      </c>
      <c r="X901" s="1114">
        <f t="shared" si="117"/>
        <v>25</v>
      </c>
      <c r="AE901" s="1114">
        <f t="shared" si="110"/>
        <v>0</v>
      </c>
    </row>
    <row r="902" spans="6:33" ht="24" customHeight="1">
      <c r="F902" s="1114">
        <v>0.5</v>
      </c>
      <c r="G902" s="1114" t="s">
        <v>2838</v>
      </c>
      <c r="H902" s="1103" t="s">
        <v>4015</v>
      </c>
      <c r="I902" s="1114">
        <f>C13</f>
        <v>461</v>
      </c>
      <c r="J902" s="1103" t="s">
        <v>2838</v>
      </c>
      <c r="K902" s="1114">
        <f t="shared" si="116"/>
        <v>230.5</v>
      </c>
      <c r="M902" s="1114">
        <v>11.64</v>
      </c>
      <c r="N902" s="1103" t="s">
        <v>61</v>
      </c>
      <c r="O902" s="1103" t="s">
        <v>3976</v>
      </c>
      <c r="P902" s="1114">
        <v>13.66</v>
      </c>
      <c r="R902" s="1114">
        <f>(M902*P902)</f>
        <v>159.00240000000002</v>
      </c>
      <c r="S902" s="1114">
        <v>0.5</v>
      </c>
      <c r="T902" s="1114" t="s">
        <v>2838</v>
      </c>
      <c r="U902" s="1103" t="s">
        <v>4015</v>
      </c>
      <c r="V902" s="1114">
        <f t="shared" si="115"/>
        <v>461</v>
      </c>
      <c r="W902" s="1103" t="s">
        <v>2838</v>
      </c>
      <c r="X902" s="1114">
        <f t="shared" si="117"/>
        <v>230.5</v>
      </c>
      <c r="AE902" s="1114">
        <f t="shared" si="110"/>
        <v>0</v>
      </c>
    </row>
    <row r="903" spans="6:33" ht="24" customHeight="1">
      <c r="G903" s="1114" t="s">
        <v>2851</v>
      </c>
      <c r="H903" s="1103" t="s">
        <v>4016</v>
      </c>
      <c r="J903" s="1103" t="s">
        <v>2851</v>
      </c>
      <c r="K903" s="1114">
        <v>1.39</v>
      </c>
      <c r="M903" s="1144">
        <v>1.62</v>
      </c>
      <c r="N903" s="1103" t="s">
        <v>3189</v>
      </c>
      <c r="O903" s="1103" t="s">
        <v>3978</v>
      </c>
      <c r="P903" s="1114">
        <v>25.46</v>
      </c>
      <c r="R903" s="1114">
        <f>(M903*P903)</f>
        <v>41.245200000000004</v>
      </c>
      <c r="S903" s="1105"/>
      <c r="T903" s="1114" t="s">
        <v>2851</v>
      </c>
      <c r="U903" s="1103" t="s">
        <v>4016</v>
      </c>
      <c r="W903" s="1103" t="s">
        <v>2851</v>
      </c>
      <c r="X903" s="1114">
        <v>0.21</v>
      </c>
      <c r="AE903" s="1114">
        <f t="shared" si="110"/>
        <v>0</v>
      </c>
    </row>
    <row r="904" spans="6:33" ht="24" customHeight="1">
      <c r="K904" s="1111" t="s">
        <v>36</v>
      </c>
      <c r="M904" s="1114">
        <v>48</v>
      </c>
      <c r="N904" s="1103" t="s">
        <v>2838</v>
      </c>
      <c r="O904" s="1103" t="s">
        <v>3979</v>
      </c>
      <c r="P904" s="1114">
        <v>0.5</v>
      </c>
      <c r="R904" s="1114">
        <f>(M904*P904)</f>
        <v>24</v>
      </c>
      <c r="S904" s="1105"/>
      <c r="W904" s="1107"/>
      <c r="X904" s="1111" t="s">
        <v>36</v>
      </c>
      <c r="AE904" s="1114">
        <f t="shared" si="110"/>
        <v>0</v>
      </c>
    </row>
    <row r="905" spans="6:33" ht="24" customHeight="1">
      <c r="H905" s="1118" t="s">
        <v>4017</v>
      </c>
      <c r="K905" s="1115">
        <f>SUM(K893:K903)</f>
        <v>2412.7261155518099</v>
      </c>
      <c r="R905" s="1114">
        <v>0.23</v>
      </c>
      <c r="S905" s="1105"/>
      <c r="U905" s="1118" t="s">
        <v>4017</v>
      </c>
      <c r="W905" s="1107"/>
      <c r="X905" s="1115">
        <f>SUM(X893:X903)</f>
        <v>2748.3095586150703</v>
      </c>
      <c r="AE905" s="1114">
        <f t="shared" si="110"/>
        <v>0</v>
      </c>
    </row>
    <row r="906" spans="6:33" ht="24" customHeight="1">
      <c r="K906" s="1111" t="s">
        <v>36</v>
      </c>
      <c r="AE906" s="1114">
        <f t="shared" si="110"/>
        <v>0</v>
      </c>
    </row>
    <row r="907" spans="6:33" ht="24" customHeight="1">
      <c r="R907" s="1111" t="s">
        <v>36</v>
      </c>
      <c r="AE907" s="1114">
        <f t="shared" si="110"/>
        <v>0</v>
      </c>
    </row>
    <row r="908" spans="6:33" ht="55.5" customHeight="1">
      <c r="F908" s="1157">
        <v>21.3</v>
      </c>
      <c r="G908" s="1114" t="s">
        <v>1363</v>
      </c>
      <c r="H908" s="1158" t="s">
        <v>4033</v>
      </c>
      <c r="O908" s="1104" t="s">
        <v>3982</v>
      </c>
      <c r="R908" s="1114">
        <f>SUM(R902:R905)</f>
        <v>224.47760000000002</v>
      </c>
      <c r="AE908" s="1114">
        <f t="shared" si="110"/>
        <v>0</v>
      </c>
    </row>
    <row r="909" spans="6:33" ht="24" customHeight="1">
      <c r="H909" s="1103" t="s">
        <v>4034</v>
      </c>
      <c r="AE909" s="1114">
        <f t="shared" si="110"/>
        <v>0</v>
      </c>
    </row>
    <row r="910" spans="6:33" ht="24" customHeight="1">
      <c r="H910" s="1111" t="s">
        <v>36</v>
      </c>
      <c r="J910" s="1107" t="s">
        <v>4035</v>
      </c>
      <c r="AE910" s="1114">
        <f t="shared" si="110"/>
        <v>0</v>
      </c>
    </row>
    <row r="911" spans="6:33" ht="24" customHeight="1">
      <c r="AE911" s="1114">
        <f t="shared" si="110"/>
        <v>0</v>
      </c>
    </row>
    <row r="912" spans="6:33" ht="24" customHeight="1">
      <c r="H912" s="1103" t="s">
        <v>4036</v>
      </c>
      <c r="J912" s="1103" t="s">
        <v>3189</v>
      </c>
      <c r="K912" s="1115">
        <v>2034</v>
      </c>
      <c r="AE912" s="1114">
        <f t="shared" si="110"/>
        <v>0</v>
      </c>
    </row>
    <row r="913" spans="6:33" ht="24" customHeight="1">
      <c r="F913" s="1103" t="s">
        <v>220</v>
      </c>
      <c r="AE913" s="1114">
        <f t="shared" si="110"/>
        <v>0</v>
      </c>
    </row>
    <row r="914" spans="6:33" ht="24" customHeight="1">
      <c r="H914" s="1104" t="s">
        <v>4037</v>
      </c>
      <c r="K914" s="1111" t="s">
        <v>2793</v>
      </c>
      <c r="AE914" s="1114">
        <f t="shared" si="110"/>
        <v>0</v>
      </c>
    </row>
    <row r="915" spans="6:33" ht="24" customHeight="1">
      <c r="H915" s="1104" t="s">
        <v>4038</v>
      </c>
      <c r="AE915" s="1114">
        <f t="shared" si="110"/>
        <v>0</v>
      </c>
    </row>
    <row r="916" spans="6:33" ht="24" customHeight="1">
      <c r="F916" s="1139">
        <v>21.2</v>
      </c>
      <c r="H916" s="1119" t="s">
        <v>4039</v>
      </c>
      <c r="AE916" s="1114">
        <f t="shared" si="110"/>
        <v>0</v>
      </c>
    </row>
    <row r="917" spans="6:33" ht="24" customHeight="1">
      <c r="F917" s="1139"/>
      <c r="H917" s="1111" t="s">
        <v>36</v>
      </c>
      <c r="AE917" s="1114" t="str">
        <f t="shared" si="110"/>
        <v>|</v>
      </c>
      <c r="AG917" s="1103" t="s">
        <v>3430</v>
      </c>
    </row>
    <row r="918" spans="6:33" ht="24" customHeight="1">
      <c r="G918" s="1114" t="s">
        <v>3391</v>
      </c>
      <c r="H918" s="1103" t="s">
        <v>4040</v>
      </c>
      <c r="K918" s="1103" t="s">
        <v>220</v>
      </c>
      <c r="AE918" s="1114" t="str">
        <f t="shared" si="110"/>
        <v>|</v>
      </c>
      <c r="AG918" s="1103" t="s">
        <v>3430</v>
      </c>
    </row>
    <row r="919" spans="6:33" ht="24" customHeight="1">
      <c r="H919" s="1111" t="s">
        <v>36</v>
      </c>
      <c r="K919" s="1103" t="s">
        <v>220</v>
      </c>
      <c r="AE919" s="1114" t="str">
        <f t="shared" si="110"/>
        <v>|</v>
      </c>
      <c r="AG919" s="1103" t="s">
        <v>3430</v>
      </c>
    </row>
    <row r="920" spans="6:33" ht="24" customHeight="1">
      <c r="F920" s="1114">
        <v>1</v>
      </c>
      <c r="G920" s="1114" t="s">
        <v>2839</v>
      </c>
      <c r="H920" s="1103" t="s">
        <v>4041</v>
      </c>
      <c r="I920" s="1114">
        <f>C30</f>
        <v>11800</v>
      </c>
      <c r="J920" s="1103" t="s">
        <v>2839</v>
      </c>
      <c r="K920" s="1114">
        <f>(F920*I920)</f>
        <v>11800</v>
      </c>
      <c r="AE920" s="1114" t="str">
        <f t="shared" si="110"/>
        <v>|</v>
      </c>
      <c r="AG920" s="1103" t="s">
        <v>3430</v>
      </c>
    </row>
    <row r="921" spans="6:33" ht="24" customHeight="1">
      <c r="F921" s="1114">
        <v>1</v>
      </c>
      <c r="G921" s="1114" t="s">
        <v>2839</v>
      </c>
      <c r="H921" s="1103" t="s">
        <v>4040</v>
      </c>
      <c r="I921" s="1114">
        <f>C88</f>
        <v>111600</v>
      </c>
      <c r="J921" s="1103" t="s">
        <v>2839</v>
      </c>
      <c r="K921" s="1114">
        <f>(F921*I921)</f>
        <v>111600</v>
      </c>
      <c r="AE921" s="1114" t="str">
        <f t="shared" si="110"/>
        <v>|</v>
      </c>
      <c r="AG921" s="1103" t="s">
        <v>3430</v>
      </c>
    </row>
    <row r="922" spans="6:33" ht="24" customHeight="1">
      <c r="K922" s="1111" t="s">
        <v>2793</v>
      </c>
      <c r="AE922" s="1114">
        <f t="shared" si="110"/>
        <v>0</v>
      </c>
    </row>
    <row r="923" spans="6:33" ht="24" customHeight="1">
      <c r="H923" s="1103" t="s">
        <v>4042</v>
      </c>
      <c r="K923" s="1115">
        <f>SUM(K920:K921)</f>
        <v>123400</v>
      </c>
      <c r="AE923" s="1114" t="str">
        <f t="shared" si="110"/>
        <v>|</v>
      </c>
      <c r="AG923" s="1103" t="s">
        <v>3430</v>
      </c>
    </row>
    <row r="924" spans="6:33" ht="24" customHeight="1">
      <c r="K924" s="1111" t="s">
        <v>2793</v>
      </c>
      <c r="AE924" s="1114" t="str">
        <f t="shared" si="110"/>
        <v>|</v>
      </c>
      <c r="AG924" s="1103" t="s">
        <v>3430</v>
      </c>
    </row>
    <row r="925" spans="6:33" ht="24" customHeight="1">
      <c r="G925" s="1114" t="s">
        <v>75</v>
      </c>
      <c r="H925" s="1103" t="s">
        <v>4043</v>
      </c>
      <c r="K925" s="1103" t="s">
        <v>220</v>
      </c>
      <c r="AE925" s="1114" t="str">
        <f t="shared" si="110"/>
        <v>|</v>
      </c>
      <c r="AG925" s="1103" t="s">
        <v>3430</v>
      </c>
    </row>
    <row r="926" spans="6:33" ht="24" customHeight="1">
      <c r="H926" s="1111" t="s">
        <v>36</v>
      </c>
      <c r="M926" s="1104" t="s">
        <v>4044</v>
      </c>
      <c r="N926" s="1114" t="s">
        <v>1363</v>
      </c>
      <c r="O926" s="1103" t="s">
        <v>4045</v>
      </c>
      <c r="Q926" s="1107"/>
      <c r="AE926" s="1114">
        <f t="shared" si="110"/>
        <v>0</v>
      </c>
      <c r="AG926" s="1103"/>
    </row>
    <row r="927" spans="6:33" ht="24" customHeight="1">
      <c r="F927" s="1114">
        <v>1</v>
      </c>
      <c r="G927" s="1114" t="s">
        <v>2839</v>
      </c>
      <c r="H927" s="1103" t="s">
        <v>4041</v>
      </c>
      <c r="I927" s="1114">
        <f>C30</f>
        <v>11800</v>
      </c>
      <c r="J927" s="1103" t="s">
        <v>2839</v>
      </c>
      <c r="K927" s="1114">
        <f>(F927*I927)</f>
        <v>11800</v>
      </c>
      <c r="O927" s="1103" t="s">
        <v>4046</v>
      </c>
      <c r="Q927" s="1107"/>
      <c r="AE927" s="1114" t="str">
        <f t="shared" si="110"/>
        <v>|</v>
      </c>
      <c r="AG927" s="1103" t="s">
        <v>3430</v>
      </c>
    </row>
    <row r="928" spans="6:33" ht="24" customHeight="1">
      <c r="F928" s="1114">
        <v>1</v>
      </c>
      <c r="G928" s="1114" t="s">
        <v>2839</v>
      </c>
      <c r="H928" s="1103" t="s">
        <v>4040</v>
      </c>
      <c r="I928" s="1114">
        <f>C89</f>
        <v>99400</v>
      </c>
      <c r="J928" s="1103" t="s">
        <v>2839</v>
      </c>
      <c r="K928" s="1114">
        <f>(F928*I928)</f>
        <v>99400</v>
      </c>
      <c r="O928" s="1103" t="s">
        <v>4047</v>
      </c>
      <c r="Q928" s="1107"/>
      <c r="AE928" s="1114" t="str">
        <f t="shared" si="110"/>
        <v>|</v>
      </c>
      <c r="AG928" s="1103" t="s">
        <v>3430</v>
      </c>
    </row>
    <row r="929" spans="6:33" ht="24" customHeight="1">
      <c r="K929" s="1111" t="s">
        <v>2793</v>
      </c>
      <c r="O929" s="1111" t="s">
        <v>36</v>
      </c>
      <c r="Q929" s="1107"/>
      <c r="AE929" s="1114" t="str">
        <f t="shared" si="110"/>
        <v>|</v>
      </c>
      <c r="AG929" s="1103" t="s">
        <v>3430</v>
      </c>
    </row>
    <row r="930" spans="6:33" ht="24" customHeight="1">
      <c r="H930" s="1103" t="s">
        <v>4048</v>
      </c>
      <c r="K930" s="1115">
        <f>SUM(K927:K928)</f>
        <v>111200</v>
      </c>
      <c r="O930" s="1103" t="s">
        <v>4049</v>
      </c>
      <c r="Q930" s="1107"/>
      <c r="AE930" s="1114" t="str">
        <f t="shared" si="110"/>
        <v>|</v>
      </c>
      <c r="AG930" s="1103" t="s">
        <v>3430</v>
      </c>
    </row>
    <row r="931" spans="6:33" ht="24" customHeight="1">
      <c r="K931" s="1111" t="s">
        <v>2793</v>
      </c>
      <c r="O931" s="1103" t="s">
        <v>4050</v>
      </c>
      <c r="Q931" s="1107"/>
      <c r="AE931" s="1114" t="str">
        <f t="shared" si="110"/>
        <v>|</v>
      </c>
      <c r="AG931" s="1103" t="s">
        <v>3430</v>
      </c>
    </row>
    <row r="932" spans="6:33" ht="24" customHeight="1">
      <c r="Q932" s="1103" t="s">
        <v>36</v>
      </c>
      <c r="AE932" s="1114" t="str">
        <f t="shared" si="110"/>
        <v>|</v>
      </c>
      <c r="AG932" s="1103" t="s">
        <v>3430</v>
      </c>
    </row>
    <row r="933" spans="6:33" ht="24" customHeight="1">
      <c r="F933" s="1104" t="s">
        <v>4044</v>
      </c>
      <c r="G933" s="1114" t="s">
        <v>1363</v>
      </c>
      <c r="H933" s="1103" t="s">
        <v>4051</v>
      </c>
      <c r="O933" s="1103" t="s">
        <v>4052</v>
      </c>
      <c r="Q933" s="1107"/>
      <c r="AE933" s="1114" t="str">
        <f t="shared" si="110"/>
        <v>|</v>
      </c>
      <c r="AG933" s="1103" t="s">
        <v>3430</v>
      </c>
    </row>
    <row r="934" spans="6:33" ht="24" customHeight="1">
      <c r="H934" s="1103" t="s">
        <v>4046</v>
      </c>
      <c r="O934" s="1103" t="s">
        <v>4053</v>
      </c>
      <c r="Q934" s="1107"/>
      <c r="R934" s="1143">
        <v>2.4299999999999999E-2</v>
      </c>
      <c r="AE934" s="1114" t="str">
        <f t="shared" si="110"/>
        <v>|</v>
      </c>
      <c r="AG934" s="1103" t="s">
        <v>3430</v>
      </c>
    </row>
    <row r="935" spans="6:33" ht="24" customHeight="1">
      <c r="H935" s="1103" t="s">
        <v>4047</v>
      </c>
      <c r="Q935" s="1103" t="s">
        <v>220</v>
      </c>
      <c r="R935" s="1111" t="s">
        <v>36</v>
      </c>
      <c r="AE935" s="1114" t="str">
        <f t="shared" si="110"/>
        <v>|</v>
      </c>
      <c r="AG935" s="1103" t="s">
        <v>3430</v>
      </c>
    </row>
    <row r="936" spans="6:33" ht="24" customHeight="1">
      <c r="H936" s="1111" t="s">
        <v>36</v>
      </c>
      <c r="O936" s="1103" t="s">
        <v>4054</v>
      </c>
      <c r="Q936" s="1159" t="s">
        <v>220</v>
      </c>
      <c r="R936" s="1143">
        <v>1.47E-2</v>
      </c>
      <c r="AE936" s="1114" t="str">
        <f t="shared" si="110"/>
        <v>|</v>
      </c>
      <c r="AG936" s="1103" t="s">
        <v>3430</v>
      </c>
    </row>
    <row r="937" spans="6:33" ht="24" customHeight="1">
      <c r="H937" s="1103" t="s">
        <v>4049</v>
      </c>
      <c r="O937" s="1103" t="s">
        <v>4055</v>
      </c>
      <c r="Q937" s="1103" t="s">
        <v>220</v>
      </c>
      <c r="R937" s="1143">
        <v>4.5999999999999999E-3</v>
      </c>
      <c r="AE937" s="1114" t="str">
        <f t="shared" si="110"/>
        <v>|</v>
      </c>
      <c r="AG937" s="1103" t="s">
        <v>3430</v>
      </c>
    </row>
    <row r="938" spans="6:33" ht="24" customHeight="1">
      <c r="H938" s="1103" t="s">
        <v>4050</v>
      </c>
      <c r="Q938" s="1107"/>
      <c r="R938" s="1111" t="s">
        <v>36</v>
      </c>
      <c r="AE938" s="1114" t="str">
        <f t="shared" si="110"/>
        <v>|</v>
      </c>
      <c r="AG938" s="1103" t="s">
        <v>3430</v>
      </c>
    </row>
    <row r="939" spans="6:33" ht="24" customHeight="1">
      <c r="J939" s="1103" t="s">
        <v>36</v>
      </c>
      <c r="Q939" s="1107"/>
      <c r="R939" s="1143">
        <v>1.9300000000000001E-2</v>
      </c>
      <c r="AE939" s="1114" t="str">
        <f t="shared" si="110"/>
        <v>|</v>
      </c>
      <c r="AG939" s="1103" t="s">
        <v>3430</v>
      </c>
    </row>
    <row r="940" spans="6:33" ht="24" customHeight="1">
      <c r="H940" s="1103" t="s">
        <v>4052</v>
      </c>
      <c r="Q940" s="1107"/>
      <c r="R940" s="1111" t="s">
        <v>36</v>
      </c>
      <c r="AE940" s="1114" t="str">
        <f t="shared" si="110"/>
        <v>|</v>
      </c>
      <c r="AG940" s="1103" t="s">
        <v>3430</v>
      </c>
    </row>
    <row r="941" spans="6:33" ht="24" customHeight="1">
      <c r="H941" s="1103" t="s">
        <v>4053</v>
      </c>
      <c r="K941" s="1143">
        <v>2.4299999999999999E-2</v>
      </c>
      <c r="Q941" s="1107"/>
      <c r="AE941" s="1114" t="str">
        <f t="shared" si="110"/>
        <v>|</v>
      </c>
      <c r="AG941" s="1103" t="s">
        <v>3430</v>
      </c>
    </row>
    <row r="942" spans="6:33" ht="24" customHeight="1">
      <c r="J942" s="1103" t="s">
        <v>220</v>
      </c>
      <c r="K942" s="1111" t="s">
        <v>36</v>
      </c>
      <c r="Q942" s="1107"/>
      <c r="AE942" s="1114" t="str">
        <f t="shared" si="110"/>
        <v>|</v>
      </c>
      <c r="AG942" s="1103" t="s">
        <v>3430</v>
      </c>
    </row>
    <row r="943" spans="6:33" ht="24" customHeight="1">
      <c r="H943" s="1103" t="s">
        <v>4054</v>
      </c>
      <c r="J943" s="1159" t="s">
        <v>220</v>
      </c>
      <c r="K943" s="1143">
        <v>1.47E-2</v>
      </c>
      <c r="M943" s="1143">
        <v>1.14E-2</v>
      </c>
      <c r="N943" s="1114" t="s">
        <v>2839</v>
      </c>
      <c r="O943" s="1103" t="s">
        <v>4056</v>
      </c>
      <c r="P943" s="1114">
        <f>C86</f>
        <v>34300</v>
      </c>
      <c r="Q943" s="1103" t="s">
        <v>2839</v>
      </c>
      <c r="R943" s="1114">
        <f>(M943*P943)</f>
        <v>391.02000000000004</v>
      </c>
      <c r="AE943" s="1114" t="str">
        <f t="shared" si="110"/>
        <v>|</v>
      </c>
      <c r="AG943" s="1103" t="s">
        <v>3430</v>
      </c>
    </row>
    <row r="944" spans="6:33" ht="24" customHeight="1">
      <c r="H944" s="1103" t="s">
        <v>4055</v>
      </c>
      <c r="J944" s="1103" t="s">
        <v>220</v>
      </c>
      <c r="K944" s="1143">
        <v>4.5999999999999999E-3</v>
      </c>
      <c r="M944" s="1143">
        <v>2.4299999999999999E-2</v>
      </c>
      <c r="N944" s="1114" t="s">
        <v>2839</v>
      </c>
      <c r="O944" s="1103" t="s">
        <v>4057</v>
      </c>
      <c r="P944" s="1114">
        <f>P943</f>
        <v>34300</v>
      </c>
      <c r="Q944" s="1103" t="s">
        <v>2839</v>
      </c>
      <c r="R944" s="1114">
        <f>(M944*P944)</f>
        <v>833.49</v>
      </c>
      <c r="AE944" s="1114" t="str">
        <f t="shared" si="110"/>
        <v>|</v>
      </c>
      <c r="AG944" s="1103" t="s">
        <v>3430</v>
      </c>
    </row>
    <row r="945" spans="6:33" ht="24" customHeight="1">
      <c r="K945" s="1111" t="s">
        <v>36</v>
      </c>
      <c r="M945" s="1143">
        <v>1.9300000000000001E-2</v>
      </c>
      <c r="N945" s="1114" t="s">
        <v>2839</v>
      </c>
      <c r="O945" s="1103" t="s">
        <v>4058</v>
      </c>
      <c r="P945" s="1114">
        <f>C87</f>
        <v>39400</v>
      </c>
      <c r="Q945" s="1103" t="s">
        <v>2839</v>
      </c>
      <c r="R945" s="1114">
        <f>(M945*P945)</f>
        <v>760.42000000000007</v>
      </c>
      <c r="AE945" s="1114" t="str">
        <f t="shared" si="110"/>
        <v>|</v>
      </c>
      <c r="AG945" s="1103" t="s">
        <v>3430</v>
      </c>
    </row>
    <row r="946" spans="6:33" ht="24" customHeight="1">
      <c r="K946" s="1143">
        <v>1.9300000000000001E-2</v>
      </c>
      <c r="M946" s="1144"/>
      <c r="O946" s="1103"/>
      <c r="P946" s="1103" t="s">
        <v>220</v>
      </c>
      <c r="Q946" s="1107"/>
      <c r="R946" s="1103" t="s">
        <v>220</v>
      </c>
      <c r="AE946" s="1114">
        <f t="shared" si="110"/>
        <v>0</v>
      </c>
    </row>
    <row r="947" spans="6:33" ht="24" customHeight="1">
      <c r="K947" s="1111" t="s">
        <v>36</v>
      </c>
      <c r="M947" s="1144">
        <v>1.823</v>
      </c>
      <c r="N947" s="1114" t="s">
        <v>3189</v>
      </c>
      <c r="O947" s="1103" t="s">
        <v>4059</v>
      </c>
      <c r="P947" s="1114">
        <f>I954</f>
        <v>1325</v>
      </c>
      <c r="Q947" s="1103" t="s">
        <v>3189</v>
      </c>
      <c r="R947" s="1114">
        <f t="shared" ref="R947:R953" si="118">(M947*P947)</f>
        <v>2415.4749999999999</v>
      </c>
      <c r="AE947" s="1114">
        <f t="shared" si="110"/>
        <v>0</v>
      </c>
    </row>
    <row r="948" spans="6:33" ht="24" customHeight="1">
      <c r="M948" s="1114">
        <v>1</v>
      </c>
      <c r="N948" s="1114" t="s">
        <v>2941</v>
      </c>
      <c r="O948" s="1103" t="s">
        <v>4060</v>
      </c>
      <c r="P948" s="1114">
        <f t="shared" ref="P948:P953" si="119">I955</f>
        <v>53.4</v>
      </c>
      <c r="Q948" s="1103" t="s">
        <v>2838</v>
      </c>
      <c r="R948" s="1114">
        <f t="shared" si="118"/>
        <v>53.4</v>
      </c>
      <c r="AE948" s="1114">
        <f t="shared" si="110"/>
        <v>0</v>
      </c>
    </row>
    <row r="949" spans="6:33" ht="24" customHeight="1">
      <c r="M949" s="1114">
        <v>3</v>
      </c>
      <c r="N949" s="1114" t="s">
        <v>2838</v>
      </c>
      <c r="O949" s="1103" t="s">
        <v>4061</v>
      </c>
      <c r="P949" s="1114">
        <f t="shared" si="119"/>
        <v>83</v>
      </c>
      <c r="Q949" s="1103" t="s">
        <v>2838</v>
      </c>
      <c r="R949" s="1114">
        <f t="shared" si="118"/>
        <v>249</v>
      </c>
      <c r="AE949" s="1114">
        <f t="shared" si="110"/>
        <v>0</v>
      </c>
    </row>
    <row r="950" spans="6:33" ht="24" customHeight="1">
      <c r="F950" s="1143">
        <v>1.14E-2</v>
      </c>
      <c r="G950" s="1114" t="s">
        <v>2839</v>
      </c>
      <c r="H950" s="1103" t="s">
        <v>4062</v>
      </c>
      <c r="I950" s="1114">
        <f>C88</f>
        <v>111600</v>
      </c>
      <c r="J950" s="1103" t="s">
        <v>2839</v>
      </c>
      <c r="K950" s="1114">
        <f>(F950*I950)</f>
        <v>1272.24</v>
      </c>
      <c r="M950" s="1114">
        <v>2</v>
      </c>
      <c r="N950" s="1114" t="s">
        <v>2838</v>
      </c>
      <c r="O950" s="1103" t="s">
        <v>4063</v>
      </c>
      <c r="P950" s="1114">
        <f t="shared" si="119"/>
        <v>60</v>
      </c>
      <c r="Q950" s="1103" t="s">
        <v>2838</v>
      </c>
      <c r="R950" s="1114">
        <f t="shared" si="118"/>
        <v>120</v>
      </c>
      <c r="AE950" s="1114">
        <f t="shared" ref="AE950:AE1013" si="120">AG950</f>
        <v>0</v>
      </c>
    </row>
    <row r="951" spans="6:33" ht="24" customHeight="1">
      <c r="F951" s="1143">
        <v>2.4299999999999999E-2</v>
      </c>
      <c r="G951" s="1114" t="s">
        <v>2839</v>
      </c>
      <c r="H951" s="1103" t="s">
        <v>4064</v>
      </c>
      <c r="I951" s="1114">
        <f>C89</f>
        <v>99400</v>
      </c>
      <c r="J951" s="1103" t="s">
        <v>2839</v>
      </c>
      <c r="K951" s="1114">
        <f>(F951*I951)</f>
        <v>2415.42</v>
      </c>
      <c r="M951" s="1114">
        <v>1</v>
      </c>
      <c r="N951" s="1114" t="s">
        <v>2838</v>
      </c>
      <c r="O951" s="1103" t="s">
        <v>4065</v>
      </c>
      <c r="P951" s="1114">
        <f t="shared" si="119"/>
        <v>167.6</v>
      </c>
      <c r="Q951" s="1103" t="s">
        <v>2838</v>
      </c>
      <c r="R951" s="1114">
        <f t="shared" si="118"/>
        <v>167.6</v>
      </c>
      <c r="AE951" s="1114">
        <f t="shared" si="120"/>
        <v>0</v>
      </c>
    </row>
    <row r="952" spans="6:33" ht="24" customHeight="1">
      <c r="F952" s="1143">
        <v>1.9300000000000001E-2</v>
      </c>
      <c r="G952" s="1114" t="s">
        <v>2839</v>
      </c>
      <c r="H952" s="1103" t="s">
        <v>4066</v>
      </c>
      <c r="I952" s="1114">
        <f>C90</f>
        <v>95000</v>
      </c>
      <c r="J952" s="1103" t="s">
        <v>2839</v>
      </c>
      <c r="K952" s="1114">
        <f>(F952*I952)</f>
        <v>1833.5</v>
      </c>
      <c r="M952" s="1114">
        <v>1</v>
      </c>
      <c r="N952" s="1114" t="s">
        <v>2838</v>
      </c>
      <c r="O952" s="1103" t="s">
        <v>4067</v>
      </c>
      <c r="P952" s="1114">
        <f t="shared" si="119"/>
        <v>7.3</v>
      </c>
      <c r="Q952" s="1103" t="s">
        <v>2838</v>
      </c>
      <c r="R952" s="1114">
        <f t="shared" si="118"/>
        <v>7.3</v>
      </c>
      <c r="AE952" s="1114">
        <f t="shared" si="120"/>
        <v>0</v>
      </c>
    </row>
    <row r="953" spans="6:33" ht="24" customHeight="1">
      <c r="F953" s="1144"/>
      <c r="H953" s="1103" t="s">
        <v>4068</v>
      </c>
      <c r="I953" s="1103" t="s">
        <v>220</v>
      </c>
      <c r="K953" s="1103" t="s">
        <v>220</v>
      </c>
      <c r="M953" s="1114">
        <v>1</v>
      </c>
      <c r="N953" s="1114" t="s">
        <v>2838</v>
      </c>
      <c r="O953" s="1103" t="s">
        <v>4069</v>
      </c>
      <c r="P953" s="1114">
        <f t="shared" si="119"/>
        <v>45.9</v>
      </c>
      <c r="Q953" s="1103" t="s">
        <v>2838</v>
      </c>
      <c r="R953" s="1114">
        <f t="shared" si="118"/>
        <v>45.9</v>
      </c>
      <c r="AE953" s="1114">
        <f t="shared" si="120"/>
        <v>0</v>
      </c>
    </row>
    <row r="954" spans="6:33" ht="24" customHeight="1">
      <c r="F954" s="1144">
        <v>1.823</v>
      </c>
      <c r="G954" s="1114" t="s">
        <v>3189</v>
      </c>
      <c r="H954" s="1103" t="s">
        <v>4059</v>
      </c>
      <c r="I954" s="1114">
        <f>C31</f>
        <v>1325</v>
      </c>
      <c r="J954" s="1103" t="s">
        <v>3189</v>
      </c>
      <c r="K954" s="1114">
        <f t="shared" ref="K954:K961" si="121">(F954*I954)</f>
        <v>2415.4749999999999</v>
      </c>
      <c r="Q954" s="1107"/>
      <c r="R954" s="1111" t="s">
        <v>36</v>
      </c>
      <c r="AE954" s="1114">
        <f t="shared" si="120"/>
        <v>0</v>
      </c>
    </row>
    <row r="955" spans="6:33" ht="24" customHeight="1">
      <c r="F955" s="1114">
        <v>1</v>
      </c>
      <c r="G955" s="1114" t="s">
        <v>2941</v>
      </c>
      <c r="H955" s="1103" t="s">
        <v>4070</v>
      </c>
      <c r="I955" s="1114">
        <f>C598</f>
        <v>53.4</v>
      </c>
      <c r="J955" s="1103" t="s">
        <v>2838</v>
      </c>
      <c r="K955" s="1114">
        <f t="shared" si="121"/>
        <v>53.4</v>
      </c>
      <c r="O955" s="1103" t="s">
        <v>4071</v>
      </c>
      <c r="Q955" s="1107"/>
      <c r="R955" s="1114">
        <f>SUM(R943:R953)</f>
        <v>5043.6049999999996</v>
      </c>
      <c r="AE955" s="1114">
        <f t="shared" si="120"/>
        <v>0</v>
      </c>
    </row>
    <row r="956" spans="6:33" ht="24" customHeight="1">
      <c r="F956" s="1114">
        <v>3</v>
      </c>
      <c r="G956" s="1114" t="s">
        <v>2838</v>
      </c>
      <c r="H956" s="1103" t="s">
        <v>4061</v>
      </c>
      <c r="I956" s="1114">
        <f>C279</f>
        <v>83</v>
      </c>
      <c r="J956" s="1103" t="s">
        <v>2838</v>
      </c>
      <c r="K956" s="1114">
        <f t="shared" si="121"/>
        <v>249</v>
      </c>
      <c r="Q956" s="1107"/>
      <c r="R956" s="1111" t="s">
        <v>36</v>
      </c>
      <c r="AE956" s="1114">
        <f t="shared" si="120"/>
        <v>0</v>
      </c>
    </row>
    <row r="957" spans="6:33" ht="24" customHeight="1">
      <c r="F957" s="1114">
        <v>2</v>
      </c>
      <c r="G957" s="1114" t="s">
        <v>2838</v>
      </c>
      <c r="H957" s="1103" t="s">
        <v>4063</v>
      </c>
      <c r="I957" s="1114">
        <f>C284</f>
        <v>60</v>
      </c>
      <c r="J957" s="1103" t="s">
        <v>2838</v>
      </c>
      <c r="K957" s="1114">
        <f t="shared" si="121"/>
        <v>120</v>
      </c>
      <c r="O957" s="1118" t="s">
        <v>3154</v>
      </c>
      <c r="Q957" s="1107"/>
      <c r="R957" s="1115">
        <f>R955/M947</f>
        <v>2766.6511245200218</v>
      </c>
      <c r="AE957" s="1114">
        <f t="shared" si="120"/>
        <v>0</v>
      </c>
    </row>
    <row r="958" spans="6:33" ht="24" customHeight="1">
      <c r="F958" s="1114">
        <v>1</v>
      </c>
      <c r="G958" s="1114" t="s">
        <v>2838</v>
      </c>
      <c r="H958" s="1103" t="s">
        <v>4065</v>
      </c>
      <c r="I958" s="1114">
        <f>C286</f>
        <v>167.6</v>
      </c>
      <c r="J958" s="1103" t="s">
        <v>2838</v>
      </c>
      <c r="K958" s="1114">
        <f t="shared" si="121"/>
        <v>167.6</v>
      </c>
      <c r="M958" s="1103" t="s">
        <v>220</v>
      </c>
      <c r="Q958" s="1107"/>
      <c r="AE958" s="1114">
        <f t="shared" si="120"/>
        <v>0</v>
      </c>
    </row>
    <row r="959" spans="6:33" ht="24" customHeight="1">
      <c r="F959" s="1114">
        <v>1</v>
      </c>
      <c r="G959" s="1114" t="s">
        <v>2838</v>
      </c>
      <c r="H959" s="1103" t="s">
        <v>4067</v>
      </c>
      <c r="I959" s="1114">
        <f>C288</f>
        <v>7.3</v>
      </c>
      <c r="J959" s="1103" t="s">
        <v>2838</v>
      </c>
      <c r="K959" s="1114">
        <f t="shared" si="121"/>
        <v>7.3</v>
      </c>
      <c r="Q959" s="1107"/>
      <c r="R959" s="1111" t="s">
        <v>2793</v>
      </c>
      <c r="AE959" s="1114" t="str">
        <f t="shared" si="120"/>
        <v>|</v>
      </c>
      <c r="AG959" s="1103" t="s">
        <v>3430</v>
      </c>
    </row>
    <row r="960" spans="6:33" ht="24" customHeight="1">
      <c r="F960" s="1114">
        <v>1</v>
      </c>
      <c r="G960" s="1114" t="s">
        <v>2838</v>
      </c>
      <c r="H960" s="1103" t="s">
        <v>3214</v>
      </c>
      <c r="I960" s="1114">
        <f>D598</f>
        <v>45.9</v>
      </c>
      <c r="J960" s="1103" t="s">
        <v>2838</v>
      </c>
      <c r="K960" s="1114">
        <f t="shared" si="121"/>
        <v>45.9</v>
      </c>
      <c r="AE960" s="1114" t="str">
        <f t="shared" si="120"/>
        <v>|</v>
      </c>
      <c r="AG960" s="1103" t="s">
        <v>3430</v>
      </c>
    </row>
    <row r="961" spans="6:33" ht="24" customHeight="1">
      <c r="F961" s="1114">
        <v>10</v>
      </c>
      <c r="G961" s="1114" t="s">
        <v>213</v>
      </c>
      <c r="H961" s="1103" t="s">
        <v>4072</v>
      </c>
      <c r="I961" s="1105">
        <v>2.39</v>
      </c>
      <c r="J961" s="1107" t="s">
        <v>4073</v>
      </c>
      <c r="K961" s="1114">
        <f t="shared" si="121"/>
        <v>23.900000000000002</v>
      </c>
      <c r="AE961" s="1114" t="str">
        <f t="shared" si="120"/>
        <v>|</v>
      </c>
      <c r="AG961" s="1103" t="s">
        <v>3430</v>
      </c>
    </row>
    <row r="962" spans="6:33" ht="24" customHeight="1">
      <c r="H962" s="1103" t="s">
        <v>4071</v>
      </c>
      <c r="K962" s="1114">
        <f>SUM(K950:K961)</f>
        <v>8603.7349999999988</v>
      </c>
      <c r="AE962" s="1114" t="str">
        <f t="shared" si="120"/>
        <v>|</v>
      </c>
      <c r="AG962" s="1103" t="s">
        <v>3430</v>
      </c>
    </row>
    <row r="963" spans="6:33" ht="24" customHeight="1">
      <c r="K963" s="1111" t="s">
        <v>36</v>
      </c>
      <c r="AE963" s="1114" t="str">
        <f t="shared" si="120"/>
        <v>|</v>
      </c>
      <c r="AG963" s="1103" t="s">
        <v>3430</v>
      </c>
    </row>
    <row r="964" spans="6:33" ht="24" customHeight="1">
      <c r="H964" s="1118" t="s">
        <v>3154</v>
      </c>
      <c r="K964" s="1115">
        <f>K962/F954</f>
        <v>4719.5474492594622</v>
      </c>
      <c r="AE964" s="1114" t="str">
        <f t="shared" si="120"/>
        <v>|</v>
      </c>
      <c r="AG964" s="1103" t="s">
        <v>3430</v>
      </c>
    </row>
    <row r="965" spans="6:33" ht="24" customHeight="1">
      <c r="F965" s="1103" t="s">
        <v>220</v>
      </c>
      <c r="AE965" s="1114" t="str">
        <f t="shared" si="120"/>
        <v>|</v>
      </c>
      <c r="AG965" s="1103" t="s">
        <v>3430</v>
      </c>
    </row>
    <row r="966" spans="6:33" ht="24" customHeight="1">
      <c r="K966" s="1111" t="s">
        <v>2793</v>
      </c>
      <c r="AE966" s="1114" t="str">
        <f t="shared" si="120"/>
        <v>|</v>
      </c>
      <c r="AG966" s="1103" t="s">
        <v>3430</v>
      </c>
    </row>
    <row r="967" spans="6:33" ht="24" customHeight="1">
      <c r="AE967" s="1114" t="str">
        <f t="shared" si="120"/>
        <v>|</v>
      </c>
      <c r="AG967" s="1103" t="s">
        <v>3430</v>
      </c>
    </row>
    <row r="968" spans="6:33" ht="24" customHeight="1">
      <c r="AE968" s="1114" t="str">
        <f t="shared" si="120"/>
        <v>|</v>
      </c>
      <c r="AG968" s="1103" t="s">
        <v>3430</v>
      </c>
    </row>
    <row r="969" spans="6:33" ht="24" customHeight="1">
      <c r="F969" s="1104" t="s">
        <v>4074</v>
      </c>
      <c r="G969" s="1114" t="s">
        <v>1363</v>
      </c>
      <c r="H969" s="1103" t="s">
        <v>4051</v>
      </c>
      <c r="AE969" s="1114" t="str">
        <f t="shared" si="120"/>
        <v>|</v>
      </c>
      <c r="AG969" s="1103" t="s">
        <v>3430</v>
      </c>
    </row>
    <row r="970" spans="6:33" ht="24" customHeight="1">
      <c r="H970" s="1103" t="s">
        <v>4046</v>
      </c>
      <c r="AE970" s="1114" t="str">
        <f t="shared" si="120"/>
        <v>|</v>
      </c>
      <c r="AG970" s="1103" t="s">
        <v>3430</v>
      </c>
    </row>
    <row r="971" spans="6:33" ht="24" customHeight="1">
      <c r="H971" s="1103" t="s">
        <v>4075</v>
      </c>
      <c r="AE971" s="1114" t="str">
        <f t="shared" si="120"/>
        <v>|</v>
      </c>
      <c r="AG971" s="1103" t="s">
        <v>3430</v>
      </c>
    </row>
    <row r="972" spans="6:33" ht="24" customHeight="1">
      <c r="H972" s="1111" t="s">
        <v>36</v>
      </c>
      <c r="AE972" s="1114" t="str">
        <f t="shared" si="120"/>
        <v>|</v>
      </c>
      <c r="AG972" s="1103" t="s">
        <v>3430</v>
      </c>
    </row>
    <row r="973" spans="6:33" ht="24" customHeight="1">
      <c r="AE973" s="1114" t="str">
        <f t="shared" si="120"/>
        <v>|</v>
      </c>
      <c r="AG973" s="1103" t="s">
        <v>3430</v>
      </c>
    </row>
    <row r="974" spans="6:33" ht="24" customHeight="1">
      <c r="H974" s="1103" t="s">
        <v>4076</v>
      </c>
      <c r="AE974" s="1114">
        <f t="shared" si="120"/>
        <v>0</v>
      </c>
    </row>
    <row r="975" spans="6:33" ht="24" customHeight="1">
      <c r="H975" s="1103" t="s">
        <v>4077</v>
      </c>
      <c r="AE975" s="1114" t="str">
        <f t="shared" si="120"/>
        <v>|</v>
      </c>
      <c r="AG975" s="1103" t="s">
        <v>3430</v>
      </c>
    </row>
    <row r="976" spans="6:33" ht="24" customHeight="1">
      <c r="J976" s="1103" t="s">
        <v>36</v>
      </c>
      <c r="AE976" s="1114">
        <f t="shared" si="120"/>
        <v>0</v>
      </c>
    </row>
    <row r="977" spans="6:33" ht="24" customHeight="1">
      <c r="H977" s="1103" t="s">
        <v>4078</v>
      </c>
      <c r="AE977" s="1114">
        <f t="shared" si="120"/>
        <v>0</v>
      </c>
    </row>
    <row r="978" spans="6:33" ht="24" customHeight="1">
      <c r="H978" s="1103" t="s">
        <v>4079</v>
      </c>
      <c r="K978" s="1143">
        <v>2.1999999999999999E-2</v>
      </c>
      <c r="AE978" s="1114" t="str">
        <f t="shared" si="120"/>
        <v>|</v>
      </c>
      <c r="AG978" s="1103" t="s">
        <v>3430</v>
      </c>
    </row>
    <row r="979" spans="6:33" ht="24" customHeight="1">
      <c r="J979" s="1103" t="s">
        <v>220</v>
      </c>
      <c r="K979" s="1111" t="s">
        <v>36</v>
      </c>
      <c r="AE979" s="1114" t="str">
        <f t="shared" si="120"/>
        <v>|</v>
      </c>
      <c r="AG979" s="1103" t="s">
        <v>3430</v>
      </c>
    </row>
    <row r="980" spans="6:33" ht="24" customHeight="1">
      <c r="H980" s="1103" t="s">
        <v>4080</v>
      </c>
      <c r="J980" s="1159" t="s">
        <v>220</v>
      </c>
      <c r="K980" s="1143">
        <v>1.3100000000000001E-2</v>
      </c>
      <c r="AE980" s="1114" t="str">
        <f t="shared" si="120"/>
        <v>|</v>
      </c>
      <c r="AG980" s="1103" t="s">
        <v>3430</v>
      </c>
    </row>
    <row r="981" spans="6:33" ht="24" customHeight="1">
      <c r="H981" s="1103" t="s">
        <v>4081</v>
      </c>
      <c r="J981" s="1103" t="s">
        <v>220</v>
      </c>
      <c r="K981" s="1143">
        <v>3.3999999999999998E-3</v>
      </c>
      <c r="AE981" s="1114" t="str">
        <f t="shared" si="120"/>
        <v>|</v>
      </c>
      <c r="AG981" s="1103" t="s">
        <v>3430</v>
      </c>
    </row>
    <row r="982" spans="6:33" ht="24" customHeight="1">
      <c r="K982" s="1111" t="s">
        <v>36</v>
      </c>
      <c r="AE982" s="1114">
        <f t="shared" si="120"/>
        <v>0</v>
      </c>
    </row>
    <row r="983" spans="6:33" ht="24" customHeight="1">
      <c r="K983" s="1143">
        <v>1.6500000000000001E-2</v>
      </c>
      <c r="AE983" s="1114">
        <f t="shared" si="120"/>
        <v>0</v>
      </c>
    </row>
    <row r="984" spans="6:33" ht="24" customHeight="1">
      <c r="K984" s="1111" t="s">
        <v>36</v>
      </c>
      <c r="O984" s="1105" t="s">
        <v>4082</v>
      </c>
      <c r="AE984" s="1114">
        <f t="shared" si="120"/>
        <v>0</v>
      </c>
    </row>
    <row r="985" spans="6:33" ht="24" customHeight="1">
      <c r="F985" s="1143">
        <v>1.15E-2</v>
      </c>
      <c r="G985" s="1114" t="s">
        <v>2839</v>
      </c>
      <c r="H985" s="1103" t="s">
        <v>4062</v>
      </c>
      <c r="I985" s="1114">
        <f>C88</f>
        <v>111600</v>
      </c>
      <c r="J985" s="1103" t="s">
        <v>2839</v>
      </c>
      <c r="K985" s="1114">
        <f>(F985*I985)</f>
        <v>1283.4000000000001</v>
      </c>
      <c r="M985" s="1104" t="s">
        <v>4083</v>
      </c>
      <c r="N985" s="1114"/>
      <c r="O985" s="1103" t="s">
        <v>4084</v>
      </c>
      <c r="Q985" s="1107"/>
      <c r="R985" s="1103" t="s">
        <v>220</v>
      </c>
      <c r="AE985" s="1114">
        <f t="shared" si="120"/>
        <v>0</v>
      </c>
    </row>
    <row r="986" spans="6:33" ht="24" customHeight="1">
      <c r="F986" s="1143">
        <v>2.1999999999999999E-2</v>
      </c>
      <c r="G986" s="1114" t="s">
        <v>2839</v>
      </c>
      <c r="H986" s="1103" t="s">
        <v>4064</v>
      </c>
      <c r="I986" s="1114">
        <f>C89</f>
        <v>99400</v>
      </c>
      <c r="J986" s="1103" t="s">
        <v>2839</v>
      </c>
      <c r="K986" s="1114">
        <f>(F986*I986)</f>
        <v>2186.7999999999997</v>
      </c>
      <c r="O986" s="1111" t="s">
        <v>36</v>
      </c>
      <c r="Q986" s="1107"/>
      <c r="AE986" s="1114">
        <f t="shared" si="120"/>
        <v>0</v>
      </c>
    </row>
    <row r="987" spans="6:33" ht="24" customHeight="1">
      <c r="F987" s="1143">
        <v>1.6500000000000001E-2</v>
      </c>
      <c r="G987" s="1114" t="s">
        <v>2839</v>
      </c>
      <c r="H987" s="1103" t="s">
        <v>4066</v>
      </c>
      <c r="I987" s="1114">
        <f>C90</f>
        <v>95000</v>
      </c>
      <c r="J987" s="1103" t="s">
        <v>2839</v>
      </c>
      <c r="K987" s="1114">
        <f>(F987*I987)</f>
        <v>1567.5</v>
      </c>
      <c r="M987" s="1160">
        <v>1.153E-2</v>
      </c>
      <c r="N987" s="1114" t="s">
        <v>2839</v>
      </c>
      <c r="O987" s="1103" t="s">
        <v>3205</v>
      </c>
      <c r="P987" s="1114">
        <f t="shared" ref="P987:P997" si="122">I1053</f>
        <v>111600</v>
      </c>
      <c r="Q987" s="1103" t="s">
        <v>2839</v>
      </c>
      <c r="R987" s="1114">
        <f t="shared" ref="R987:R997" si="123">(M987*P987)</f>
        <v>1286.748</v>
      </c>
      <c r="AE987" s="1114">
        <f t="shared" si="120"/>
        <v>0</v>
      </c>
    </row>
    <row r="988" spans="6:33" ht="24" customHeight="1">
      <c r="F988" s="1143"/>
      <c r="H988" s="1103" t="s">
        <v>4068</v>
      </c>
      <c r="I988" s="1103" t="s">
        <v>220</v>
      </c>
      <c r="K988" s="1103" t="s">
        <v>220</v>
      </c>
      <c r="M988" s="1160">
        <v>1.013E-2</v>
      </c>
      <c r="N988" s="1114" t="s">
        <v>2839</v>
      </c>
      <c r="O988" s="1103" t="s">
        <v>3206</v>
      </c>
      <c r="P988" s="1114">
        <f t="shared" si="122"/>
        <v>99400</v>
      </c>
      <c r="Q988" s="1103" t="s">
        <v>2839</v>
      </c>
      <c r="R988" s="1114">
        <f t="shared" si="123"/>
        <v>1006.922</v>
      </c>
      <c r="AE988" s="1114">
        <f t="shared" si="120"/>
        <v>0</v>
      </c>
    </row>
    <row r="989" spans="6:33" ht="24" customHeight="1">
      <c r="F989" s="1143">
        <v>1.64</v>
      </c>
      <c r="G989" s="1114" t="s">
        <v>3189</v>
      </c>
      <c r="H989" s="1103" t="s">
        <v>4059</v>
      </c>
      <c r="I989" s="1114">
        <f>C31</f>
        <v>1325</v>
      </c>
      <c r="J989" s="1103" t="s">
        <v>3189</v>
      </c>
      <c r="K989" s="1114">
        <f t="shared" ref="K989:K996" si="124">(F989*I989)</f>
        <v>2173</v>
      </c>
      <c r="M989" s="1160">
        <v>0.77780000000000005</v>
      </c>
      <c r="N989" s="1114" t="s">
        <v>3189</v>
      </c>
      <c r="O989" s="1103" t="s">
        <v>3207</v>
      </c>
      <c r="P989" s="1114">
        <f t="shared" si="122"/>
        <v>387.4</v>
      </c>
      <c r="Q989" s="1103" t="s">
        <v>3189</v>
      </c>
      <c r="R989" s="1114">
        <f t="shared" si="123"/>
        <v>301.31972000000002</v>
      </c>
      <c r="AE989" s="1114">
        <f t="shared" si="120"/>
        <v>0</v>
      </c>
    </row>
    <row r="990" spans="6:33" ht="24" customHeight="1">
      <c r="F990" s="1114">
        <v>1</v>
      </c>
      <c r="G990" s="1114" t="s">
        <v>2941</v>
      </c>
      <c r="H990" s="1103" t="s">
        <v>4070</v>
      </c>
      <c r="I990" s="1114">
        <f>C598</f>
        <v>53.4</v>
      </c>
      <c r="J990" s="1103" t="s">
        <v>2838</v>
      </c>
      <c r="K990" s="1114">
        <f t="shared" si="124"/>
        <v>53.4</v>
      </c>
      <c r="M990" s="1160">
        <v>1.23</v>
      </c>
      <c r="N990" s="1114" t="s">
        <v>3189</v>
      </c>
      <c r="O990" s="1103" t="s">
        <v>3208</v>
      </c>
      <c r="P990" s="1114">
        <f t="shared" si="122"/>
        <v>1105</v>
      </c>
      <c r="Q990" s="1103" t="s">
        <v>3189</v>
      </c>
      <c r="R990" s="1114">
        <f t="shared" si="123"/>
        <v>1359.15</v>
      </c>
      <c r="AE990" s="1114">
        <f t="shared" si="120"/>
        <v>0</v>
      </c>
    </row>
    <row r="991" spans="6:33" ht="24" customHeight="1">
      <c r="F991" s="1114">
        <v>3</v>
      </c>
      <c r="G991" s="1114" t="s">
        <v>2838</v>
      </c>
      <c r="H991" s="1103" t="s">
        <v>4061</v>
      </c>
      <c r="I991" s="1114">
        <f>C279</f>
        <v>83</v>
      </c>
      <c r="J991" s="1103" t="s">
        <v>2838</v>
      </c>
      <c r="K991" s="1114">
        <f t="shared" si="124"/>
        <v>249</v>
      </c>
      <c r="M991" s="1114">
        <v>2</v>
      </c>
      <c r="N991" s="1114" t="s">
        <v>2838</v>
      </c>
      <c r="O991" s="1103" t="s">
        <v>3209</v>
      </c>
      <c r="P991" s="1114">
        <f t="shared" si="122"/>
        <v>60</v>
      </c>
      <c r="Q991" s="1103" t="s">
        <v>2838</v>
      </c>
      <c r="R991" s="1114">
        <f t="shared" si="123"/>
        <v>120</v>
      </c>
      <c r="AE991" s="1114">
        <f t="shared" si="120"/>
        <v>0</v>
      </c>
    </row>
    <row r="992" spans="6:33" ht="24" customHeight="1">
      <c r="F992" s="1114">
        <v>2</v>
      </c>
      <c r="G992" s="1114" t="s">
        <v>2838</v>
      </c>
      <c r="H992" s="1103" t="s">
        <v>4063</v>
      </c>
      <c r="I992" s="1114">
        <f>C284</f>
        <v>60</v>
      </c>
      <c r="J992" s="1103" t="s">
        <v>2838</v>
      </c>
      <c r="K992" s="1114">
        <f t="shared" si="124"/>
        <v>120</v>
      </c>
      <c r="M992" s="1114">
        <v>3</v>
      </c>
      <c r="N992" s="1114" t="s">
        <v>2838</v>
      </c>
      <c r="O992" s="1103" t="s">
        <v>4085</v>
      </c>
      <c r="P992" s="1114">
        <f t="shared" si="122"/>
        <v>83</v>
      </c>
      <c r="Q992" s="1103" t="s">
        <v>2838</v>
      </c>
      <c r="R992" s="1114">
        <f t="shared" si="123"/>
        <v>249</v>
      </c>
      <c r="AE992" s="1114">
        <f t="shared" si="120"/>
        <v>0</v>
      </c>
    </row>
    <row r="993" spans="6:33" ht="24" customHeight="1">
      <c r="F993" s="1114">
        <v>1</v>
      </c>
      <c r="G993" s="1114" t="s">
        <v>2838</v>
      </c>
      <c r="H993" s="1103" t="s">
        <v>4065</v>
      </c>
      <c r="I993" s="1114">
        <f>C286</f>
        <v>167.6</v>
      </c>
      <c r="J993" s="1103" t="s">
        <v>2838</v>
      </c>
      <c r="K993" s="1114">
        <f t="shared" si="124"/>
        <v>167.6</v>
      </c>
      <c r="M993" s="1114">
        <v>1</v>
      </c>
      <c r="N993" s="1114" t="s">
        <v>2838</v>
      </c>
      <c r="O993" s="1103" t="s">
        <v>3211</v>
      </c>
      <c r="P993" s="1114">
        <f t="shared" si="122"/>
        <v>167.6</v>
      </c>
      <c r="Q993" s="1103" t="s">
        <v>2838</v>
      </c>
      <c r="R993" s="1114">
        <f t="shared" si="123"/>
        <v>167.6</v>
      </c>
      <c r="AE993" s="1114">
        <f t="shared" si="120"/>
        <v>0</v>
      </c>
    </row>
    <row r="994" spans="6:33" ht="24" customHeight="1">
      <c r="F994" s="1114">
        <v>1</v>
      </c>
      <c r="G994" s="1114" t="s">
        <v>2838</v>
      </c>
      <c r="H994" s="1103" t="s">
        <v>4067</v>
      </c>
      <c r="I994" s="1114">
        <f>C288</f>
        <v>7.3</v>
      </c>
      <c r="J994" s="1103" t="s">
        <v>2838</v>
      </c>
      <c r="K994" s="1114">
        <f t="shared" si="124"/>
        <v>7.3</v>
      </c>
      <c r="M994" s="1114">
        <v>1</v>
      </c>
      <c r="N994" s="1114" t="s">
        <v>2838</v>
      </c>
      <c r="O994" s="1103" t="s">
        <v>3212</v>
      </c>
      <c r="P994" s="1114">
        <f t="shared" si="122"/>
        <v>7.3</v>
      </c>
      <c r="Q994" s="1103" t="s">
        <v>2838</v>
      </c>
      <c r="R994" s="1114">
        <f t="shared" si="123"/>
        <v>7.3</v>
      </c>
      <c r="AE994" s="1114" t="str">
        <f t="shared" si="120"/>
        <v>|</v>
      </c>
      <c r="AG994" s="1103" t="s">
        <v>3430</v>
      </c>
    </row>
    <row r="995" spans="6:33" ht="24" customHeight="1">
      <c r="F995" s="1114">
        <v>1</v>
      </c>
      <c r="G995" s="1114" t="s">
        <v>2838</v>
      </c>
      <c r="H995" s="1103" t="s">
        <v>3214</v>
      </c>
      <c r="I995" s="1114">
        <f>D598</f>
        <v>45.9</v>
      </c>
      <c r="J995" s="1103" t="s">
        <v>2838</v>
      </c>
      <c r="K995" s="1114">
        <f t="shared" si="124"/>
        <v>45.9</v>
      </c>
      <c r="M995" s="1114">
        <v>1</v>
      </c>
      <c r="N995" s="1114" t="s">
        <v>2838</v>
      </c>
      <c r="O995" s="1103" t="s">
        <v>4086</v>
      </c>
      <c r="P995" s="1114">
        <f t="shared" si="122"/>
        <v>53.4</v>
      </c>
      <c r="Q995" s="1103" t="s">
        <v>2838</v>
      </c>
      <c r="R995" s="1114">
        <f t="shared" si="123"/>
        <v>53.4</v>
      </c>
      <c r="AE995" s="1114" t="str">
        <f t="shared" si="120"/>
        <v>|</v>
      </c>
      <c r="AG995" s="1103" t="s">
        <v>3430</v>
      </c>
    </row>
    <row r="996" spans="6:33" ht="24" customHeight="1">
      <c r="F996" s="1114">
        <v>10</v>
      </c>
      <c r="G996" s="1114" t="s">
        <v>213</v>
      </c>
      <c r="H996" s="1103" t="s">
        <v>4087</v>
      </c>
      <c r="I996" s="1114">
        <f>I961</f>
        <v>2.39</v>
      </c>
      <c r="J996" s="1103" t="s">
        <v>2838</v>
      </c>
      <c r="K996" s="1114">
        <f t="shared" si="124"/>
        <v>23.900000000000002</v>
      </c>
      <c r="M996" s="1114">
        <v>1</v>
      </c>
      <c r="N996" s="1114" t="s">
        <v>2838</v>
      </c>
      <c r="O996" s="1103" t="s">
        <v>3214</v>
      </c>
      <c r="P996" s="1114">
        <f t="shared" si="122"/>
        <v>45.9</v>
      </c>
      <c r="Q996" s="1103" t="s">
        <v>2838</v>
      </c>
      <c r="R996" s="1114">
        <f t="shared" si="123"/>
        <v>45.9</v>
      </c>
      <c r="AE996" s="1114" t="str">
        <f t="shared" si="120"/>
        <v>|</v>
      </c>
      <c r="AG996" s="1103" t="s">
        <v>3430</v>
      </c>
    </row>
    <row r="997" spans="6:33" ht="24" customHeight="1">
      <c r="K997" s="1111" t="s">
        <v>36</v>
      </c>
      <c r="M997" s="1114">
        <v>58</v>
      </c>
      <c r="O997" s="1103" t="s">
        <v>4088</v>
      </c>
      <c r="P997" s="1114">
        <f t="shared" si="122"/>
        <v>2.39</v>
      </c>
      <c r="Q997" s="1107"/>
      <c r="R997" s="1114">
        <f t="shared" si="123"/>
        <v>138.62</v>
      </c>
      <c r="AE997" s="1114" t="str">
        <f t="shared" si="120"/>
        <v>|</v>
      </c>
      <c r="AG997" s="1103" t="s">
        <v>3430</v>
      </c>
    </row>
    <row r="998" spans="6:33" ht="24" customHeight="1">
      <c r="H998" s="1103" t="s">
        <v>4089</v>
      </c>
      <c r="K998" s="1114">
        <f>SUM(K985:K996)</f>
        <v>7877.7999999999993</v>
      </c>
      <c r="O998" s="1104" t="s">
        <v>3215</v>
      </c>
      <c r="Q998" s="1107"/>
      <c r="R998" s="1114">
        <f>SUM(R987:R997)</f>
        <v>4735.9597199999998</v>
      </c>
      <c r="AE998" s="1114" t="str">
        <f t="shared" si="120"/>
        <v>|</v>
      </c>
      <c r="AG998" s="1103" t="s">
        <v>3430</v>
      </c>
    </row>
    <row r="999" spans="6:33" ht="24" customHeight="1">
      <c r="K999" s="1111" t="s">
        <v>36</v>
      </c>
      <c r="N999" s="1114" t="s">
        <v>220</v>
      </c>
      <c r="Q999" s="1107"/>
      <c r="R999" s="1111" t="s">
        <v>36</v>
      </c>
      <c r="AE999" s="1114" t="str">
        <f t="shared" si="120"/>
        <v>|</v>
      </c>
      <c r="AG999" s="1103" t="s">
        <v>3430</v>
      </c>
    </row>
    <row r="1000" spans="6:33" ht="24" customHeight="1">
      <c r="H1000" s="1118" t="s">
        <v>3154</v>
      </c>
      <c r="K1000" s="1115">
        <f>K998/F989</f>
        <v>4803.5365853658532</v>
      </c>
      <c r="O1000" s="1118" t="s">
        <v>3154</v>
      </c>
      <c r="Q1000" s="1107"/>
      <c r="R1000" s="1115">
        <f>R998/M990</f>
        <v>3850.373756097561</v>
      </c>
      <c r="AE1000" s="1114" t="str">
        <f t="shared" si="120"/>
        <v>|</v>
      </c>
      <c r="AG1000" s="1103" t="s">
        <v>3430</v>
      </c>
    </row>
    <row r="1001" spans="6:33" ht="24" customHeight="1">
      <c r="K1001" s="1111" t="s">
        <v>2793</v>
      </c>
      <c r="Q1001" s="1107"/>
      <c r="R1001" s="1111" t="s">
        <v>2793</v>
      </c>
      <c r="AE1001" s="1114" t="str">
        <f t="shared" si="120"/>
        <v>|::</v>
      </c>
      <c r="AG1001" s="1103" t="s">
        <v>3220</v>
      </c>
    </row>
    <row r="1002" spans="6:33" ht="24" customHeight="1">
      <c r="F1002" s="1104" t="s">
        <v>4090</v>
      </c>
      <c r="G1002" s="1114" t="s">
        <v>1363</v>
      </c>
      <c r="H1002" s="1103" t="s">
        <v>4051</v>
      </c>
      <c r="AE1002" s="1114">
        <f t="shared" si="120"/>
        <v>0</v>
      </c>
    </row>
    <row r="1003" spans="6:33" ht="24" customHeight="1">
      <c r="H1003" s="1103" t="s">
        <v>4046</v>
      </c>
      <c r="AE1003" s="1114">
        <f t="shared" si="120"/>
        <v>0</v>
      </c>
    </row>
    <row r="1004" spans="6:33" ht="24" customHeight="1">
      <c r="H1004" s="1103" t="s">
        <v>4091</v>
      </c>
      <c r="AE1004" s="1114" t="str">
        <f t="shared" si="120"/>
        <v>|</v>
      </c>
      <c r="AG1004" s="1103" t="s">
        <v>3430</v>
      </c>
    </row>
    <row r="1005" spans="6:33" ht="24" customHeight="1">
      <c r="H1005" s="1111" t="s">
        <v>36</v>
      </c>
      <c r="AE1005" s="1114"/>
      <c r="AG1005" s="1103"/>
    </row>
    <row r="1006" spans="6:33" ht="24" customHeight="1">
      <c r="H1006" s="1103" t="s">
        <v>4092</v>
      </c>
      <c r="AE1006" s="1114" t="str">
        <f t="shared" si="120"/>
        <v>|</v>
      </c>
      <c r="AG1006" s="1103" t="s">
        <v>3430</v>
      </c>
    </row>
    <row r="1007" spans="6:33" ht="24" customHeight="1">
      <c r="H1007" s="1103" t="s">
        <v>4050</v>
      </c>
      <c r="AE1007" s="1114" t="str">
        <f t="shared" si="120"/>
        <v>|</v>
      </c>
      <c r="AG1007" s="1103" t="s">
        <v>3430</v>
      </c>
    </row>
    <row r="1008" spans="6:33" ht="24" customHeight="1">
      <c r="J1008" s="1103" t="s">
        <v>36</v>
      </c>
      <c r="AE1008" s="1114" t="str">
        <f t="shared" si="120"/>
        <v>|</v>
      </c>
      <c r="AG1008" s="1103" t="s">
        <v>3430</v>
      </c>
    </row>
    <row r="1009" spans="6:33" ht="24" customHeight="1">
      <c r="H1009" s="1103" t="s">
        <v>4093</v>
      </c>
      <c r="AE1009" s="1114" t="str">
        <f t="shared" si="120"/>
        <v>|</v>
      </c>
      <c r="AG1009" s="1103" t="s">
        <v>3430</v>
      </c>
    </row>
    <row r="1010" spans="6:33" ht="24" customHeight="1">
      <c r="H1010" s="1103" t="s">
        <v>4094</v>
      </c>
      <c r="K1010" s="1143">
        <v>1.1900000000000001E-2</v>
      </c>
      <c r="AE1010" s="1114" t="str">
        <f t="shared" si="120"/>
        <v>|</v>
      </c>
      <c r="AG1010" s="1103" t="s">
        <v>3430</v>
      </c>
    </row>
    <row r="1011" spans="6:33" ht="24" customHeight="1">
      <c r="J1011" s="1103" t="s">
        <v>220</v>
      </c>
      <c r="K1011" s="1111" t="s">
        <v>36</v>
      </c>
      <c r="AE1011" s="1114">
        <f t="shared" si="120"/>
        <v>0</v>
      </c>
    </row>
    <row r="1012" spans="6:33" ht="24" customHeight="1">
      <c r="H1012" s="1103" t="s">
        <v>4095</v>
      </c>
      <c r="J1012" s="1159" t="s">
        <v>220</v>
      </c>
      <c r="K1012" s="1143">
        <v>1.18E-2</v>
      </c>
      <c r="AE1012" s="1114">
        <f t="shared" si="120"/>
        <v>0</v>
      </c>
    </row>
    <row r="1013" spans="6:33" ht="24" customHeight="1">
      <c r="H1013" s="1103" t="s">
        <v>2568</v>
      </c>
      <c r="J1013" s="1103" t="s">
        <v>220</v>
      </c>
      <c r="K1013" s="1161" t="s">
        <v>36</v>
      </c>
      <c r="AE1013" s="1114">
        <f t="shared" si="120"/>
        <v>0</v>
      </c>
    </row>
    <row r="1014" spans="6:33" ht="24" customHeight="1">
      <c r="AE1014" s="1114">
        <f t="shared" ref="AE1014:AE1034" si="125">AG1014</f>
        <v>0</v>
      </c>
    </row>
    <row r="1015" spans="6:33" ht="24" customHeight="1">
      <c r="F1015" s="1143">
        <v>1.14E-2</v>
      </c>
      <c r="G1015" s="1114" t="s">
        <v>2839</v>
      </c>
      <c r="H1015" s="1103" t="s">
        <v>4062</v>
      </c>
      <c r="I1015" s="1114">
        <f>C88</f>
        <v>111600</v>
      </c>
      <c r="J1015" s="1103" t="s">
        <v>2839</v>
      </c>
      <c r="K1015" s="1114">
        <f>(F1015*I1015)</f>
        <v>1272.24</v>
      </c>
      <c r="AE1015" s="1114">
        <f t="shared" si="125"/>
        <v>0</v>
      </c>
    </row>
    <row r="1016" spans="6:33" ht="24" customHeight="1">
      <c r="F1016" s="1143">
        <v>1.1900000000000001E-2</v>
      </c>
      <c r="G1016" s="1114" t="s">
        <v>2839</v>
      </c>
      <c r="H1016" s="1103" t="s">
        <v>4064</v>
      </c>
      <c r="I1016" s="1114">
        <f>C89</f>
        <v>99400</v>
      </c>
      <c r="J1016" s="1103" t="s">
        <v>2839</v>
      </c>
      <c r="K1016" s="1114">
        <f>(F1016*I1016)</f>
        <v>1182.8600000000001</v>
      </c>
      <c r="AE1016" s="1114">
        <f t="shared" si="125"/>
        <v>0</v>
      </c>
    </row>
    <row r="1017" spans="6:33" ht="24" customHeight="1">
      <c r="F1017" s="1143">
        <v>1.18E-2</v>
      </c>
      <c r="G1017" s="1114" t="s">
        <v>2839</v>
      </c>
      <c r="H1017" s="1103" t="s">
        <v>4066</v>
      </c>
      <c r="I1017" s="1114">
        <f>C90</f>
        <v>95000</v>
      </c>
      <c r="J1017" s="1103" t="s">
        <v>2839</v>
      </c>
      <c r="K1017" s="1114">
        <f>(F1017*I1017)</f>
        <v>1121</v>
      </c>
      <c r="AE1017" s="1114">
        <f t="shared" si="125"/>
        <v>0</v>
      </c>
    </row>
    <row r="1018" spans="6:33" ht="24" customHeight="1">
      <c r="F1018" s="1143"/>
      <c r="H1018" s="1103" t="s">
        <v>4068</v>
      </c>
      <c r="I1018" s="1103" t="s">
        <v>220</v>
      </c>
      <c r="K1018" s="1103" t="s">
        <v>220</v>
      </c>
      <c r="AE1018" s="1114">
        <f t="shared" si="125"/>
        <v>0</v>
      </c>
    </row>
    <row r="1019" spans="6:33" ht="24" customHeight="1">
      <c r="F1019" s="1143">
        <v>1.2150000000000001</v>
      </c>
      <c r="G1019" s="1114" t="s">
        <v>3189</v>
      </c>
      <c r="H1019" s="1103" t="s">
        <v>4059</v>
      </c>
      <c r="I1019" s="1114">
        <f>C31</f>
        <v>1325</v>
      </c>
      <c r="J1019" s="1103" t="s">
        <v>3189</v>
      </c>
      <c r="K1019" s="1114">
        <f t="shared" ref="K1019:K1026" si="126">(F1019*I1019)</f>
        <v>1609.875</v>
      </c>
      <c r="AE1019" s="1114">
        <f t="shared" si="125"/>
        <v>0</v>
      </c>
    </row>
    <row r="1020" spans="6:33" ht="24" customHeight="1">
      <c r="F1020" s="1114">
        <v>1</v>
      </c>
      <c r="G1020" s="1114" t="s">
        <v>2941</v>
      </c>
      <c r="H1020" s="1103" t="s">
        <v>4070</v>
      </c>
      <c r="I1020" s="1114">
        <f>C598</f>
        <v>53.4</v>
      </c>
      <c r="J1020" s="1103" t="s">
        <v>2838</v>
      </c>
      <c r="K1020" s="1114">
        <f t="shared" si="126"/>
        <v>53.4</v>
      </c>
      <c r="AE1020" s="1114">
        <f t="shared" si="125"/>
        <v>0</v>
      </c>
    </row>
    <row r="1021" spans="6:33" ht="24" customHeight="1">
      <c r="F1021" s="1114">
        <v>3</v>
      </c>
      <c r="G1021" s="1114" t="s">
        <v>2838</v>
      </c>
      <c r="H1021" s="1103" t="s">
        <v>4061</v>
      </c>
      <c r="I1021" s="1114">
        <f>C279</f>
        <v>83</v>
      </c>
      <c r="J1021" s="1103" t="s">
        <v>2838</v>
      </c>
      <c r="K1021" s="1114">
        <f t="shared" si="126"/>
        <v>249</v>
      </c>
      <c r="AE1021" s="1114">
        <f t="shared" si="125"/>
        <v>0</v>
      </c>
    </row>
    <row r="1022" spans="6:33" ht="24" customHeight="1">
      <c r="F1022" s="1114">
        <v>2</v>
      </c>
      <c r="G1022" s="1114" t="s">
        <v>2838</v>
      </c>
      <c r="H1022" s="1103" t="s">
        <v>4063</v>
      </c>
      <c r="I1022" s="1114">
        <f>C284</f>
        <v>60</v>
      </c>
      <c r="J1022" s="1103" t="s">
        <v>2838</v>
      </c>
      <c r="K1022" s="1114">
        <f t="shared" si="126"/>
        <v>120</v>
      </c>
      <c r="AE1022" s="1114">
        <f t="shared" si="125"/>
        <v>0</v>
      </c>
    </row>
    <row r="1023" spans="6:33" ht="24" customHeight="1">
      <c r="F1023" s="1114">
        <v>1</v>
      </c>
      <c r="G1023" s="1114" t="s">
        <v>2838</v>
      </c>
      <c r="H1023" s="1103" t="s">
        <v>4065</v>
      </c>
      <c r="I1023" s="1114">
        <f>C286</f>
        <v>167.6</v>
      </c>
      <c r="J1023" s="1103" t="s">
        <v>2838</v>
      </c>
      <c r="K1023" s="1114">
        <f t="shared" si="126"/>
        <v>167.6</v>
      </c>
      <c r="AE1023" s="1114">
        <f t="shared" si="125"/>
        <v>0</v>
      </c>
    </row>
    <row r="1024" spans="6:33" ht="24" customHeight="1">
      <c r="F1024" s="1114">
        <v>1</v>
      </c>
      <c r="G1024" s="1114" t="s">
        <v>2838</v>
      </c>
      <c r="H1024" s="1103" t="s">
        <v>4067</v>
      </c>
      <c r="I1024" s="1114">
        <f>C288</f>
        <v>7.3</v>
      </c>
      <c r="J1024" s="1103" t="s">
        <v>2838</v>
      </c>
      <c r="K1024" s="1114">
        <f t="shared" si="126"/>
        <v>7.3</v>
      </c>
      <c r="AE1024" s="1114">
        <f t="shared" si="125"/>
        <v>0</v>
      </c>
    </row>
    <row r="1025" spans="6:31" ht="24" customHeight="1">
      <c r="F1025" s="1114">
        <v>1</v>
      </c>
      <c r="G1025" s="1114" t="s">
        <v>2838</v>
      </c>
      <c r="H1025" s="1103" t="s">
        <v>3214</v>
      </c>
      <c r="I1025" s="1114">
        <f>D598</f>
        <v>45.9</v>
      </c>
      <c r="J1025" s="1103" t="s">
        <v>2838</v>
      </c>
      <c r="K1025" s="1114">
        <f t="shared" si="126"/>
        <v>45.9</v>
      </c>
      <c r="AE1025" s="1114">
        <f t="shared" si="125"/>
        <v>0</v>
      </c>
    </row>
    <row r="1026" spans="6:31" ht="24" customHeight="1">
      <c r="F1026" s="1114">
        <v>10</v>
      </c>
      <c r="G1026" s="1114" t="s">
        <v>213</v>
      </c>
      <c r="H1026" s="1103" t="s">
        <v>4087</v>
      </c>
      <c r="I1026" s="1114">
        <f>I996</f>
        <v>2.39</v>
      </c>
      <c r="J1026" s="1103" t="s">
        <v>2838</v>
      </c>
      <c r="K1026" s="1114">
        <f t="shared" si="126"/>
        <v>23.900000000000002</v>
      </c>
      <c r="M1026" s="1104" t="s">
        <v>4096</v>
      </c>
      <c r="N1026" s="1114" t="s">
        <v>1363</v>
      </c>
      <c r="O1026" s="1103" t="s">
        <v>4097</v>
      </c>
      <c r="Q1026" s="1107"/>
      <c r="AE1026" s="1114">
        <f t="shared" si="125"/>
        <v>0</v>
      </c>
    </row>
    <row r="1027" spans="6:31" ht="24" customHeight="1">
      <c r="K1027" s="1111" t="s">
        <v>36</v>
      </c>
      <c r="O1027" s="1103" t="s">
        <v>4098</v>
      </c>
      <c r="Q1027" s="1107"/>
      <c r="AE1027" s="1114">
        <f t="shared" si="125"/>
        <v>0</v>
      </c>
    </row>
    <row r="1028" spans="6:31" ht="24" customHeight="1">
      <c r="H1028" s="1103" t="s">
        <v>4099</v>
      </c>
      <c r="K1028" s="1114">
        <f>SUM(K1015:K1026)</f>
        <v>5853.0749999999998</v>
      </c>
      <c r="O1028" s="1103" t="s">
        <v>4100</v>
      </c>
      <c r="Q1028" s="1107"/>
      <c r="AE1028" s="1114">
        <f t="shared" si="125"/>
        <v>0</v>
      </c>
    </row>
    <row r="1029" spans="6:31" ht="24" customHeight="1">
      <c r="K1029" s="1111" t="s">
        <v>36</v>
      </c>
      <c r="O1029" s="1103" t="s">
        <v>4101</v>
      </c>
      <c r="Q1029" s="1107"/>
      <c r="AE1029" s="1114">
        <f t="shared" si="125"/>
        <v>0</v>
      </c>
    </row>
    <row r="1030" spans="6:31" ht="24" customHeight="1">
      <c r="H1030" s="1118" t="s">
        <v>3154</v>
      </c>
      <c r="K1030" s="1115">
        <f>K1028/F1019</f>
        <v>4817.3456790123455</v>
      </c>
      <c r="O1030" s="1103" t="s">
        <v>4102</v>
      </c>
      <c r="Q1030" s="1107"/>
      <c r="AE1030" s="1114">
        <f t="shared" si="125"/>
        <v>0</v>
      </c>
    </row>
    <row r="1031" spans="6:31" ht="24" customHeight="1">
      <c r="K1031" s="1111" t="s">
        <v>2793</v>
      </c>
      <c r="O1031" s="1103" t="s">
        <v>4103</v>
      </c>
      <c r="Q1031" s="1107"/>
      <c r="AE1031" s="1114">
        <f t="shared" si="125"/>
        <v>0</v>
      </c>
    </row>
    <row r="1032" spans="6:31" ht="24" customHeight="1">
      <c r="H1032" s="1162" t="s">
        <v>4104</v>
      </c>
      <c r="I1032" s="1162"/>
      <c r="J1032" s="1163"/>
      <c r="K1032" s="1162">
        <v>2034</v>
      </c>
      <c r="O1032" s="1111" t="s">
        <v>36</v>
      </c>
      <c r="Q1032" s="1107"/>
      <c r="AE1032" s="1114">
        <f t="shared" si="125"/>
        <v>0</v>
      </c>
    </row>
    <row r="1033" spans="6:31" ht="24" customHeight="1">
      <c r="F1033" s="1104" t="s">
        <v>4096</v>
      </c>
      <c r="G1033" s="1114" t="s">
        <v>1363</v>
      </c>
      <c r="H1033" s="1103" t="s">
        <v>4097</v>
      </c>
      <c r="O1033" s="1103" t="s">
        <v>4076</v>
      </c>
      <c r="Q1033" s="1107"/>
      <c r="AE1033" s="1114">
        <f t="shared" si="125"/>
        <v>0</v>
      </c>
    </row>
    <row r="1034" spans="6:31" ht="24" customHeight="1">
      <c r="H1034" s="1103" t="s">
        <v>4098</v>
      </c>
      <c r="O1034" s="1103" t="s">
        <v>4105</v>
      </c>
      <c r="Q1034" s="1107"/>
      <c r="AE1034" s="1114">
        <f t="shared" si="125"/>
        <v>0</v>
      </c>
    </row>
    <row r="1035" spans="6:31" ht="24" customHeight="1">
      <c r="H1035" s="1103" t="s">
        <v>4100</v>
      </c>
      <c r="Q1035" s="1103" t="s">
        <v>36</v>
      </c>
      <c r="AE1035" s="1114"/>
    </row>
    <row r="1036" spans="6:31" ht="24" customHeight="1">
      <c r="H1036" s="1103" t="s">
        <v>4101</v>
      </c>
      <c r="O1036" s="1103" t="s">
        <v>4106</v>
      </c>
      <c r="Q1036" s="1107"/>
      <c r="AE1036" s="1114">
        <f t="shared" ref="AE1036:AE1041" si="127">AG1036</f>
        <v>0</v>
      </c>
    </row>
    <row r="1037" spans="6:31" ht="24" customHeight="1">
      <c r="H1037" s="1103" t="s">
        <v>4102</v>
      </c>
      <c r="O1037" s="1103" t="s">
        <v>220</v>
      </c>
      <c r="P1037" s="1103" t="s">
        <v>220</v>
      </c>
      <c r="Q1037" s="1107"/>
      <c r="R1037" s="1159" t="s">
        <v>220</v>
      </c>
      <c r="AE1037" s="1114">
        <f t="shared" si="127"/>
        <v>0</v>
      </c>
    </row>
    <row r="1038" spans="6:31" ht="24" customHeight="1">
      <c r="H1038" s="1103" t="s">
        <v>4103</v>
      </c>
      <c r="Q1038" s="1103" t="s">
        <v>220</v>
      </c>
      <c r="R1038" s="1103" t="s">
        <v>220</v>
      </c>
      <c r="AE1038" s="1114">
        <f t="shared" si="127"/>
        <v>0</v>
      </c>
    </row>
    <row r="1039" spans="6:31" ht="24" customHeight="1">
      <c r="H1039" s="1111" t="s">
        <v>36</v>
      </c>
      <c r="O1039" s="1103" t="s">
        <v>4107</v>
      </c>
      <c r="Q1039" s="1159" t="s">
        <v>220</v>
      </c>
      <c r="R1039" s="1159" t="s">
        <v>220</v>
      </c>
      <c r="AE1039" s="1114">
        <f t="shared" si="127"/>
        <v>0</v>
      </c>
    </row>
    <row r="1040" spans="6:31" ht="24" customHeight="1">
      <c r="H1040" s="1103" t="s">
        <v>4076</v>
      </c>
      <c r="O1040" s="1103" t="s">
        <v>4108</v>
      </c>
      <c r="Q1040" s="1107"/>
      <c r="R1040" s="1159" t="s">
        <v>4109</v>
      </c>
      <c r="AE1040" s="1114">
        <f t="shared" si="127"/>
        <v>0</v>
      </c>
    </row>
    <row r="1041" spans="6:33" ht="24" customHeight="1">
      <c r="H1041" s="1103" t="s">
        <v>4105</v>
      </c>
      <c r="Q1041" s="1107"/>
      <c r="R1041" s="1103" t="s">
        <v>220</v>
      </c>
      <c r="AE1041" s="1114">
        <f t="shared" si="127"/>
        <v>0</v>
      </c>
    </row>
    <row r="1042" spans="6:33" ht="24" customHeight="1">
      <c r="J1042" s="1103" t="s">
        <v>36</v>
      </c>
      <c r="Q1042" s="1107"/>
      <c r="R1042" s="1159" t="s">
        <v>220</v>
      </c>
      <c r="AB1042" s="1104" t="s">
        <v>4096</v>
      </c>
      <c r="AC1042" s="1114" t="s">
        <v>1363</v>
      </c>
      <c r="AD1042" s="1103" t="s">
        <v>4110</v>
      </c>
      <c r="AF1042" s="1107"/>
    </row>
    <row r="1043" spans="6:33" ht="24" customHeight="1">
      <c r="H1043" s="1103" t="s">
        <v>4106</v>
      </c>
      <c r="Q1043" s="1107"/>
      <c r="R1043" s="1103" t="s">
        <v>220</v>
      </c>
      <c r="AD1043" s="1103" t="s">
        <v>4098</v>
      </c>
      <c r="AF1043" s="1107"/>
    </row>
    <row r="1044" spans="6:33" ht="24" customHeight="1">
      <c r="H1044" s="1103" t="s">
        <v>220</v>
      </c>
      <c r="I1044" s="1103" t="s">
        <v>220</v>
      </c>
      <c r="K1044" s="1159" t="s">
        <v>220</v>
      </c>
      <c r="M1044" s="1104" t="s">
        <v>4083</v>
      </c>
      <c r="N1044" s="1114"/>
      <c r="O1044" s="1103" t="s">
        <v>4111</v>
      </c>
      <c r="Q1044" s="1107"/>
      <c r="R1044" s="1103" t="s">
        <v>220</v>
      </c>
      <c r="AD1044" s="1103" t="s">
        <v>4100</v>
      </c>
      <c r="AF1044" s="1107"/>
    </row>
    <row r="1045" spans="6:33" ht="24" customHeight="1">
      <c r="J1045" s="1103" t="s">
        <v>220</v>
      </c>
      <c r="K1045" s="1103" t="s">
        <v>220</v>
      </c>
      <c r="O1045" s="1111" t="s">
        <v>36</v>
      </c>
      <c r="Q1045" s="1107"/>
      <c r="AD1045" s="1103" t="s">
        <v>4101</v>
      </c>
      <c r="AF1045" s="1107"/>
    </row>
    <row r="1046" spans="6:33" ht="24" customHeight="1">
      <c r="H1046" s="1103" t="s">
        <v>4107</v>
      </c>
      <c r="J1046" s="1159" t="s">
        <v>220</v>
      </c>
      <c r="K1046" s="1159" t="s">
        <v>220</v>
      </c>
      <c r="M1046" s="1160">
        <v>1.153E-2</v>
      </c>
      <c r="N1046" s="1114" t="s">
        <v>2839</v>
      </c>
      <c r="O1046" s="1103" t="s">
        <v>4112</v>
      </c>
      <c r="P1046" s="1114">
        <f>C86</f>
        <v>34300</v>
      </c>
      <c r="Q1046" s="1103" t="s">
        <v>2839</v>
      </c>
      <c r="R1046" s="1114">
        <f t="shared" ref="R1046:R1055" si="128">(M1046*P1046)</f>
        <v>395.47899999999998</v>
      </c>
      <c r="S1046" s="1128"/>
      <c r="AD1046" s="1103" t="s">
        <v>4102</v>
      </c>
      <c r="AF1046" s="1107"/>
    </row>
    <row r="1047" spans="6:33" ht="24" customHeight="1">
      <c r="H1047" s="1103" t="s">
        <v>4108</v>
      </c>
      <c r="K1047" s="1159" t="s">
        <v>4109</v>
      </c>
      <c r="M1047" s="1160">
        <v>1.35E-2</v>
      </c>
      <c r="N1047" s="1114" t="s">
        <v>2839</v>
      </c>
      <c r="O1047" s="1103" t="s">
        <v>4112</v>
      </c>
      <c r="P1047" s="1114">
        <f>P1046</f>
        <v>34300</v>
      </c>
      <c r="Q1047" s="1103" t="s">
        <v>2839</v>
      </c>
      <c r="R1047" s="1114">
        <f t="shared" si="128"/>
        <v>463.05</v>
      </c>
      <c r="S1047" s="1128"/>
      <c r="AD1047" s="1103" t="s">
        <v>4113</v>
      </c>
      <c r="AF1047" s="1107"/>
    </row>
    <row r="1048" spans="6:33" ht="24" customHeight="1">
      <c r="K1048" s="1103" t="s">
        <v>220</v>
      </c>
      <c r="M1048" s="1160">
        <v>1.016</v>
      </c>
      <c r="N1048" s="1114" t="s">
        <v>3189</v>
      </c>
      <c r="O1048" s="1103" t="s">
        <v>3207</v>
      </c>
      <c r="P1048" s="1114">
        <f>I1055</f>
        <v>387.4</v>
      </c>
      <c r="Q1048" s="1103" t="s">
        <v>3189</v>
      </c>
      <c r="R1048" s="1114">
        <f t="shared" si="128"/>
        <v>393.59839999999997</v>
      </c>
      <c r="S1048" s="1128"/>
      <c r="AD1048" s="1111" t="s">
        <v>36</v>
      </c>
      <c r="AF1048" s="1107"/>
    </row>
    <row r="1049" spans="6:33" ht="24" customHeight="1">
      <c r="K1049" s="1159" t="s">
        <v>220</v>
      </c>
      <c r="M1049" s="1160">
        <v>1.64</v>
      </c>
      <c r="N1049" s="1114" t="s">
        <v>3189</v>
      </c>
      <c r="O1049" s="1103" t="s">
        <v>3208</v>
      </c>
      <c r="P1049" s="1114">
        <f t="shared" ref="P1049:P1054" si="129">I1056</f>
        <v>1105</v>
      </c>
      <c r="Q1049" s="1103" t="s">
        <v>3189</v>
      </c>
      <c r="R1049" s="1114">
        <f t="shared" si="128"/>
        <v>1812.1999999999998</v>
      </c>
      <c r="S1049" s="1128"/>
      <c r="AD1049" s="1103" t="s">
        <v>4114</v>
      </c>
      <c r="AF1049" s="1107"/>
    </row>
    <row r="1050" spans="6:33" ht="24" customHeight="1">
      <c r="K1050" s="1103" t="s">
        <v>220</v>
      </c>
      <c r="M1050" s="1114">
        <v>2</v>
      </c>
      <c r="N1050" s="1114" t="s">
        <v>2838</v>
      </c>
      <c r="O1050" s="1103" t="s">
        <v>3209</v>
      </c>
      <c r="P1050" s="1114">
        <f t="shared" si="129"/>
        <v>60</v>
      </c>
      <c r="Q1050" s="1103" t="s">
        <v>2838</v>
      </c>
      <c r="R1050" s="1114">
        <f t="shared" si="128"/>
        <v>120</v>
      </c>
      <c r="S1050" s="1128"/>
      <c r="AD1050" s="1103" t="s">
        <v>4115</v>
      </c>
      <c r="AF1050" s="1107"/>
    </row>
    <row r="1051" spans="6:33" ht="24" customHeight="1">
      <c r="F1051" s="1104" t="s">
        <v>4083</v>
      </c>
      <c r="G1051" s="1114"/>
      <c r="H1051" s="1103" t="s">
        <v>4111</v>
      </c>
      <c r="K1051" s="1103" t="s">
        <v>220</v>
      </c>
      <c r="M1051" s="1114">
        <v>3</v>
      </c>
      <c r="N1051" s="1114" t="s">
        <v>2838</v>
      </c>
      <c r="O1051" s="1103" t="s">
        <v>4085</v>
      </c>
      <c r="P1051" s="1114">
        <f t="shared" si="129"/>
        <v>83</v>
      </c>
      <c r="Q1051" s="1103" t="s">
        <v>2838</v>
      </c>
      <c r="R1051" s="1114">
        <f t="shared" si="128"/>
        <v>249</v>
      </c>
      <c r="S1051" s="1128"/>
      <c r="AF1051" s="1103" t="s">
        <v>36</v>
      </c>
    </row>
    <row r="1052" spans="6:33" ht="24" customHeight="1">
      <c r="H1052" s="1111" t="s">
        <v>36</v>
      </c>
      <c r="M1052" s="1114">
        <v>1</v>
      </c>
      <c r="N1052" s="1114" t="s">
        <v>2838</v>
      </c>
      <c r="O1052" s="1103" t="s">
        <v>3211</v>
      </c>
      <c r="P1052" s="1114">
        <f t="shared" si="129"/>
        <v>167.6</v>
      </c>
      <c r="Q1052" s="1103" t="s">
        <v>2838</v>
      </c>
      <c r="R1052" s="1114">
        <f t="shared" si="128"/>
        <v>167.6</v>
      </c>
      <c r="S1052" s="1128"/>
      <c r="AD1052" s="1103" t="s">
        <v>4116</v>
      </c>
      <c r="AF1052" s="1107"/>
    </row>
    <row r="1053" spans="6:33" ht="24" customHeight="1">
      <c r="F1053" s="1160">
        <v>1.153E-2</v>
      </c>
      <c r="G1053" s="1114" t="s">
        <v>2839</v>
      </c>
      <c r="H1053" s="1103" t="s">
        <v>3205</v>
      </c>
      <c r="I1053" s="1114">
        <f>C88</f>
        <v>111600</v>
      </c>
      <c r="J1053" s="1103" t="s">
        <v>2839</v>
      </c>
      <c r="K1053" s="1114">
        <f t="shared" ref="K1053:K1063" si="130">(F1053*I1053)</f>
        <v>1286.748</v>
      </c>
      <c r="M1053" s="1114">
        <v>1</v>
      </c>
      <c r="N1053" s="1114" t="s">
        <v>2838</v>
      </c>
      <c r="O1053" s="1103" t="s">
        <v>3212</v>
      </c>
      <c r="P1053" s="1114">
        <f t="shared" si="129"/>
        <v>7.3</v>
      </c>
      <c r="Q1053" s="1103" t="s">
        <v>2838</v>
      </c>
      <c r="R1053" s="1114">
        <f t="shared" si="128"/>
        <v>7.3</v>
      </c>
      <c r="S1053" s="1128"/>
      <c r="AD1053" s="1103" t="s">
        <v>220</v>
      </c>
      <c r="AE1053" s="1103" t="s">
        <v>220</v>
      </c>
      <c r="AF1053" s="1107"/>
      <c r="AG1053" s="1159" t="s">
        <v>220</v>
      </c>
    </row>
    <row r="1054" spans="6:33" ht="24" customHeight="1">
      <c r="F1054" s="1160">
        <v>1.35E-2</v>
      </c>
      <c r="G1054" s="1114" t="s">
        <v>2839</v>
      </c>
      <c r="H1054" s="1103" t="s">
        <v>3206</v>
      </c>
      <c r="I1054" s="1114">
        <f>C89</f>
        <v>99400</v>
      </c>
      <c r="J1054" s="1103" t="s">
        <v>2839</v>
      </c>
      <c r="K1054" s="1114">
        <f t="shared" si="130"/>
        <v>1341.9</v>
      </c>
      <c r="M1054" s="1114">
        <v>1</v>
      </c>
      <c r="N1054" s="1114" t="s">
        <v>2838</v>
      </c>
      <c r="O1054" s="1103" t="s">
        <v>4117</v>
      </c>
      <c r="P1054" s="1114">
        <f t="shared" si="129"/>
        <v>53.4</v>
      </c>
      <c r="Q1054" s="1103" t="s">
        <v>2838</v>
      </c>
      <c r="R1054" s="1114">
        <f t="shared" si="128"/>
        <v>53.4</v>
      </c>
      <c r="S1054" s="1128"/>
      <c r="AF1054" s="1103" t="s">
        <v>220</v>
      </c>
      <c r="AG1054" s="1103" t="s">
        <v>220</v>
      </c>
    </row>
    <row r="1055" spans="6:33" ht="24" customHeight="1">
      <c r="F1055" s="1160">
        <v>1.016</v>
      </c>
      <c r="G1055" s="1114" t="s">
        <v>3189</v>
      </c>
      <c r="H1055" s="1103" t="s">
        <v>3207</v>
      </c>
      <c r="I1055" s="1114">
        <f>C783</f>
        <v>387.4</v>
      </c>
      <c r="J1055" s="1103" t="s">
        <v>3189</v>
      </c>
      <c r="K1055" s="1114">
        <f t="shared" si="130"/>
        <v>393.59839999999997</v>
      </c>
      <c r="M1055" s="1114">
        <v>1</v>
      </c>
      <c r="N1055" s="1114" t="s">
        <v>2838</v>
      </c>
      <c r="O1055" s="1103" t="s">
        <v>3214</v>
      </c>
      <c r="P1055" s="1114">
        <f>P953</f>
        <v>45.9</v>
      </c>
      <c r="Q1055" s="1103" t="s">
        <v>2838</v>
      </c>
      <c r="R1055" s="1114">
        <f t="shared" si="128"/>
        <v>45.9</v>
      </c>
      <c r="S1055" s="1128"/>
      <c r="AD1055" s="1103" t="s">
        <v>4118</v>
      </c>
      <c r="AF1055" s="1159" t="s">
        <v>220</v>
      </c>
      <c r="AG1055" s="1159" t="s">
        <v>220</v>
      </c>
    </row>
    <row r="1056" spans="6:33" ht="24" customHeight="1">
      <c r="F1056" s="1160">
        <v>1.64</v>
      </c>
      <c r="G1056" s="1114" t="s">
        <v>3189</v>
      </c>
      <c r="H1056" s="1103" t="s">
        <v>3208</v>
      </c>
      <c r="I1056" s="1114">
        <f>D30</f>
        <v>1105</v>
      </c>
      <c r="J1056" s="1103" t="s">
        <v>3189</v>
      </c>
      <c r="K1056" s="1114">
        <f t="shared" si="130"/>
        <v>1812.1999999999998</v>
      </c>
      <c r="Q1056" s="1107"/>
      <c r="R1056" s="1111" t="s">
        <v>36</v>
      </c>
      <c r="S1056" s="1164"/>
      <c r="AD1056" s="1103" t="s">
        <v>4119</v>
      </c>
      <c r="AF1056" s="1107"/>
      <c r="AG1056" s="1159" t="s">
        <v>4120</v>
      </c>
    </row>
    <row r="1057" spans="6:33" ht="24" customHeight="1">
      <c r="F1057" s="1114">
        <v>2</v>
      </c>
      <c r="G1057" s="1114" t="s">
        <v>2838</v>
      </c>
      <c r="H1057" s="1103" t="s">
        <v>3209</v>
      </c>
      <c r="I1057" s="1114">
        <f>C284</f>
        <v>60</v>
      </c>
      <c r="J1057" s="1103" t="s">
        <v>2838</v>
      </c>
      <c r="K1057" s="1114">
        <f t="shared" si="130"/>
        <v>120</v>
      </c>
      <c r="O1057" s="1104" t="s">
        <v>4121</v>
      </c>
      <c r="Q1057" s="1107"/>
      <c r="R1057" s="1114">
        <f>SUM(R1046:R1055)</f>
        <v>3707.5273999999999</v>
      </c>
      <c r="S1057" s="1128"/>
      <c r="AF1057" s="1107"/>
      <c r="AG1057" s="1103" t="s">
        <v>220</v>
      </c>
    </row>
    <row r="1058" spans="6:33" ht="24" customHeight="1">
      <c r="F1058" s="1114">
        <v>3</v>
      </c>
      <c r="G1058" s="1114" t="s">
        <v>2838</v>
      </c>
      <c r="H1058" s="1103" t="s">
        <v>4085</v>
      </c>
      <c r="I1058" s="1114">
        <f>C279</f>
        <v>83</v>
      </c>
      <c r="J1058" s="1103" t="s">
        <v>2838</v>
      </c>
      <c r="K1058" s="1114">
        <f t="shared" si="130"/>
        <v>249</v>
      </c>
      <c r="N1058" s="1114" t="s">
        <v>220</v>
      </c>
      <c r="Q1058" s="1107"/>
      <c r="R1058" s="1111" t="s">
        <v>36</v>
      </c>
      <c r="S1058" s="1164"/>
      <c r="AF1058" s="1107"/>
      <c r="AG1058" s="1159" t="s">
        <v>220</v>
      </c>
    </row>
    <row r="1059" spans="6:33" ht="24" customHeight="1">
      <c r="F1059" s="1114">
        <v>1</v>
      </c>
      <c r="G1059" s="1114" t="s">
        <v>2838</v>
      </c>
      <c r="H1059" s="1103" t="s">
        <v>3211</v>
      </c>
      <c r="I1059" s="1114">
        <f>C286</f>
        <v>167.6</v>
      </c>
      <c r="J1059" s="1103" t="s">
        <v>2838</v>
      </c>
      <c r="K1059" s="1114">
        <f t="shared" si="130"/>
        <v>167.6</v>
      </c>
      <c r="O1059" s="1118" t="s">
        <v>3154</v>
      </c>
      <c r="Q1059" s="1107"/>
      <c r="R1059" s="1115">
        <f>R1057/M1049</f>
        <v>2260.6874390243902</v>
      </c>
      <c r="S1059" s="1128"/>
      <c r="AF1059" s="1107"/>
      <c r="AG1059" s="1103" t="s">
        <v>220</v>
      </c>
    </row>
    <row r="1060" spans="6:33" ht="24" customHeight="1">
      <c r="F1060" s="1114">
        <v>1</v>
      </c>
      <c r="G1060" s="1114" t="s">
        <v>2838</v>
      </c>
      <c r="H1060" s="1103" t="s">
        <v>3212</v>
      </c>
      <c r="I1060" s="1114">
        <f>C288</f>
        <v>7.3</v>
      </c>
      <c r="J1060" s="1103" t="s">
        <v>2838</v>
      </c>
      <c r="K1060" s="1114">
        <f t="shared" si="130"/>
        <v>7.3</v>
      </c>
      <c r="Q1060" s="1107"/>
      <c r="R1060" s="1111" t="s">
        <v>2793</v>
      </c>
      <c r="S1060" s="1164" t="s">
        <v>2793</v>
      </c>
      <c r="AB1060" s="1104" t="s">
        <v>4083</v>
      </c>
      <c r="AC1060" s="1114"/>
      <c r="AD1060" s="1103" t="s">
        <v>4122</v>
      </c>
      <c r="AF1060" s="1107"/>
      <c r="AG1060" s="1103" t="s">
        <v>220</v>
      </c>
    </row>
    <row r="1061" spans="6:33" ht="24" customHeight="1">
      <c r="F1061" s="1114">
        <v>1</v>
      </c>
      <c r="G1061" s="1114" t="s">
        <v>2838</v>
      </c>
      <c r="H1061" s="1103" t="s">
        <v>4086</v>
      </c>
      <c r="I1061" s="1114">
        <f>C598</f>
        <v>53.4</v>
      </c>
      <c r="J1061" s="1103" t="s">
        <v>2838</v>
      </c>
      <c r="K1061" s="1114">
        <f t="shared" si="130"/>
        <v>53.4</v>
      </c>
      <c r="M1061" s="1104"/>
      <c r="N1061" s="1114"/>
      <c r="O1061" s="1103"/>
      <c r="Q1061" s="1107"/>
      <c r="R1061" s="1103" t="s">
        <v>220</v>
      </c>
      <c r="AD1061" s="1111" t="s">
        <v>36</v>
      </c>
      <c r="AF1061" s="1107"/>
    </row>
    <row r="1062" spans="6:33" ht="24" customHeight="1">
      <c r="F1062" s="1114">
        <v>1</v>
      </c>
      <c r="G1062" s="1114" t="s">
        <v>2838</v>
      </c>
      <c r="H1062" s="1103" t="s">
        <v>3214</v>
      </c>
      <c r="I1062" s="1114">
        <f>D598</f>
        <v>45.9</v>
      </c>
      <c r="J1062" s="1103" t="s">
        <v>2838</v>
      </c>
      <c r="K1062" s="1114">
        <f t="shared" si="130"/>
        <v>45.9</v>
      </c>
      <c r="M1062" s="1104" t="s">
        <v>4083</v>
      </c>
      <c r="N1062" s="1114"/>
      <c r="O1062" s="1103" t="s">
        <v>4123</v>
      </c>
      <c r="Q1062" s="1107"/>
      <c r="R1062" s="1103" t="s">
        <v>220</v>
      </c>
      <c r="AB1062" s="1160">
        <v>2.3060000000000001E-2</v>
      </c>
      <c r="AC1062" s="1114" t="s">
        <v>2839</v>
      </c>
      <c r="AD1062" s="1103" t="s">
        <v>3205</v>
      </c>
      <c r="AE1062" s="1114">
        <f>I1053</f>
        <v>111600</v>
      </c>
      <c r="AF1062" s="1103" t="s">
        <v>2839</v>
      </c>
      <c r="AG1062" s="1114">
        <f t="shared" ref="AG1062:AG1072" si="131">(AB1062*AE1062)</f>
        <v>2573.4960000000001</v>
      </c>
    </row>
    <row r="1063" spans="6:33" ht="24" customHeight="1">
      <c r="F1063" s="1114">
        <v>58</v>
      </c>
      <c r="G1063" s="1114" t="s">
        <v>213</v>
      </c>
      <c r="H1063" s="1103" t="s">
        <v>4087</v>
      </c>
      <c r="I1063" s="1105">
        <f>I1026</f>
        <v>2.39</v>
      </c>
      <c r="J1063" s="1103" t="s">
        <v>2838</v>
      </c>
      <c r="K1063" s="1114">
        <f t="shared" si="130"/>
        <v>138.62</v>
      </c>
      <c r="O1063" s="1111" t="s">
        <v>36</v>
      </c>
      <c r="Q1063" s="1107"/>
      <c r="AB1063" s="1160">
        <v>1.856E-2</v>
      </c>
      <c r="AC1063" s="1114" t="s">
        <v>2839</v>
      </c>
      <c r="AD1063" s="1103" t="s">
        <v>3206</v>
      </c>
      <c r="AE1063" s="1114">
        <f t="shared" ref="AE1063:AE1071" si="132">I1054</f>
        <v>99400</v>
      </c>
      <c r="AF1063" s="1103" t="s">
        <v>2839</v>
      </c>
      <c r="AG1063" s="1114">
        <f t="shared" si="131"/>
        <v>1844.864</v>
      </c>
    </row>
    <row r="1064" spans="6:33" ht="24" customHeight="1">
      <c r="H1064" s="1104" t="s">
        <v>4121</v>
      </c>
      <c r="K1064" s="1114">
        <f>SUM(K1053:K1063)</f>
        <v>5616.2663999999995</v>
      </c>
      <c r="M1064" s="1160">
        <v>1.153E-2</v>
      </c>
      <c r="N1064" s="1114" t="s">
        <v>2839</v>
      </c>
      <c r="O1064" s="1103" t="s">
        <v>3205</v>
      </c>
      <c r="P1064" s="1114">
        <f>I1053</f>
        <v>111600</v>
      </c>
      <c r="Q1064" s="1103" t="s">
        <v>2839</v>
      </c>
      <c r="R1064" s="1114">
        <f t="shared" ref="R1064:R1074" si="133">(M1064*P1064)</f>
        <v>1286.748</v>
      </c>
      <c r="AB1064" s="1160">
        <v>1.4</v>
      </c>
      <c r="AC1064" s="1114" t="s">
        <v>3189</v>
      </c>
      <c r="AD1064" s="1103" t="s">
        <v>3207</v>
      </c>
      <c r="AE1064" s="1114">
        <f t="shared" si="132"/>
        <v>387.4</v>
      </c>
      <c r="AF1064" s="1103" t="s">
        <v>3189</v>
      </c>
      <c r="AG1064" s="1114">
        <f t="shared" si="131"/>
        <v>542.3599999999999</v>
      </c>
    </row>
    <row r="1065" spans="6:33" ht="24" customHeight="1">
      <c r="G1065" s="1114" t="s">
        <v>220</v>
      </c>
      <c r="K1065" s="1111" t="s">
        <v>36</v>
      </c>
      <c r="M1065" s="1160">
        <v>1.52E-2</v>
      </c>
      <c r="N1065" s="1114" t="s">
        <v>2839</v>
      </c>
      <c r="O1065" s="1103" t="s">
        <v>3206</v>
      </c>
      <c r="P1065" s="1114">
        <f t="shared" ref="P1065:P1073" si="134">I1054</f>
        <v>99400</v>
      </c>
      <c r="Q1065" s="1103" t="s">
        <v>2839</v>
      </c>
      <c r="R1065" s="1114">
        <f t="shared" si="133"/>
        <v>1510.88</v>
      </c>
      <c r="AB1065" s="1160">
        <v>2.2549999999999999</v>
      </c>
      <c r="AC1065" s="1114" t="s">
        <v>3189</v>
      </c>
      <c r="AD1065" s="1103" t="s">
        <v>3208</v>
      </c>
      <c r="AE1065" s="1114">
        <f t="shared" si="132"/>
        <v>1105</v>
      </c>
      <c r="AF1065" s="1103" t="s">
        <v>3189</v>
      </c>
      <c r="AG1065" s="1114">
        <f t="shared" si="131"/>
        <v>2491.7750000000001</v>
      </c>
    </row>
    <row r="1066" spans="6:33" ht="24" customHeight="1">
      <c r="H1066" s="1118" t="s">
        <v>3154</v>
      </c>
      <c r="K1066" s="1115">
        <f>K1064/F1056</f>
        <v>3424.5526829268292</v>
      </c>
      <c r="M1066" s="1160">
        <v>1.26</v>
      </c>
      <c r="N1066" s="1114" t="s">
        <v>3189</v>
      </c>
      <c r="O1066" s="1103" t="s">
        <v>3207</v>
      </c>
      <c r="P1066" s="1114">
        <f t="shared" si="134"/>
        <v>387.4</v>
      </c>
      <c r="Q1066" s="1103" t="s">
        <v>3189</v>
      </c>
      <c r="R1066" s="1114">
        <f t="shared" si="133"/>
        <v>488.12399999999997</v>
      </c>
      <c r="AB1066" s="1114">
        <v>4</v>
      </c>
      <c r="AC1066" s="1114" t="s">
        <v>2838</v>
      </c>
      <c r="AD1066" s="1103" t="s">
        <v>3209</v>
      </c>
      <c r="AE1066" s="1114">
        <f t="shared" si="132"/>
        <v>60</v>
      </c>
      <c r="AF1066" s="1103" t="s">
        <v>2838</v>
      </c>
      <c r="AG1066" s="1114">
        <f t="shared" si="131"/>
        <v>240</v>
      </c>
    </row>
    <row r="1067" spans="6:33" ht="24" customHeight="1">
      <c r="K1067" s="1111" t="s">
        <v>2793</v>
      </c>
      <c r="M1067" s="1160">
        <v>1.845</v>
      </c>
      <c r="N1067" s="1114" t="s">
        <v>3189</v>
      </c>
      <c r="O1067" s="1103" t="s">
        <v>3208</v>
      </c>
      <c r="P1067" s="1114">
        <f t="shared" si="134"/>
        <v>1105</v>
      </c>
      <c r="Q1067" s="1103" t="s">
        <v>3189</v>
      </c>
      <c r="R1067" s="1114">
        <f t="shared" si="133"/>
        <v>2038.7249999999999</v>
      </c>
      <c r="AB1067" s="1114">
        <v>6</v>
      </c>
      <c r="AC1067" s="1114" t="s">
        <v>2838</v>
      </c>
      <c r="AD1067" s="1103" t="s">
        <v>4085</v>
      </c>
      <c r="AE1067" s="1114">
        <f t="shared" si="132"/>
        <v>83</v>
      </c>
      <c r="AF1067" s="1103" t="s">
        <v>2838</v>
      </c>
      <c r="AG1067" s="1114">
        <f t="shared" si="131"/>
        <v>498</v>
      </c>
    </row>
    <row r="1068" spans="6:33" ht="24" customHeight="1">
      <c r="F1068" s="1104" t="s">
        <v>4124</v>
      </c>
      <c r="H1068" s="1103" t="s">
        <v>4125</v>
      </c>
      <c r="M1068" s="1114">
        <v>2</v>
      </c>
      <c r="N1068" s="1114" t="s">
        <v>2838</v>
      </c>
      <c r="O1068" s="1103" t="s">
        <v>3209</v>
      </c>
      <c r="P1068" s="1114">
        <f t="shared" si="134"/>
        <v>60</v>
      </c>
      <c r="Q1068" s="1103" t="s">
        <v>2838</v>
      </c>
      <c r="R1068" s="1114">
        <f t="shared" si="133"/>
        <v>120</v>
      </c>
      <c r="AB1068" s="1114">
        <v>1</v>
      </c>
      <c r="AC1068" s="1114" t="s">
        <v>2838</v>
      </c>
      <c r="AD1068" s="1103" t="s">
        <v>3211</v>
      </c>
      <c r="AE1068" s="1114">
        <f t="shared" si="132"/>
        <v>167.6</v>
      </c>
      <c r="AF1068" s="1103" t="s">
        <v>2838</v>
      </c>
      <c r="AG1068" s="1114">
        <f t="shared" si="131"/>
        <v>167.6</v>
      </c>
    </row>
    <row r="1069" spans="6:33" ht="24" customHeight="1">
      <c r="H1069" s="1103" t="s">
        <v>4126</v>
      </c>
      <c r="M1069" s="1114">
        <v>3</v>
      </c>
      <c r="N1069" s="1114" t="s">
        <v>2838</v>
      </c>
      <c r="O1069" s="1103" t="s">
        <v>4085</v>
      </c>
      <c r="P1069" s="1114">
        <f t="shared" si="134"/>
        <v>83</v>
      </c>
      <c r="Q1069" s="1103" t="s">
        <v>2838</v>
      </c>
      <c r="R1069" s="1114">
        <f t="shared" si="133"/>
        <v>249</v>
      </c>
      <c r="AB1069" s="1114">
        <v>2</v>
      </c>
      <c r="AC1069" s="1114" t="s">
        <v>2838</v>
      </c>
      <c r="AD1069" s="1103" t="s">
        <v>3212</v>
      </c>
      <c r="AE1069" s="1114">
        <f t="shared" si="132"/>
        <v>7.3</v>
      </c>
      <c r="AF1069" s="1103" t="s">
        <v>2838</v>
      </c>
      <c r="AG1069" s="1114">
        <f t="shared" si="131"/>
        <v>14.6</v>
      </c>
    </row>
    <row r="1070" spans="6:33" ht="24" customHeight="1">
      <c r="H1070" s="1111" t="s">
        <v>36</v>
      </c>
      <c r="M1070" s="1114">
        <v>1</v>
      </c>
      <c r="N1070" s="1114" t="s">
        <v>2838</v>
      </c>
      <c r="O1070" s="1103" t="s">
        <v>3211</v>
      </c>
      <c r="P1070" s="1114">
        <f t="shared" si="134"/>
        <v>167.6</v>
      </c>
      <c r="Q1070" s="1103" t="s">
        <v>2838</v>
      </c>
      <c r="R1070" s="1114">
        <f t="shared" si="133"/>
        <v>167.6</v>
      </c>
      <c r="AB1070" s="1114">
        <v>2</v>
      </c>
      <c r="AC1070" s="1114" t="s">
        <v>2838</v>
      </c>
      <c r="AD1070" s="1103" t="s">
        <v>4086</v>
      </c>
      <c r="AE1070" s="1114">
        <f t="shared" si="132"/>
        <v>53.4</v>
      </c>
      <c r="AF1070" s="1103" t="s">
        <v>2838</v>
      </c>
      <c r="AG1070" s="1114">
        <f t="shared" si="131"/>
        <v>106.8</v>
      </c>
    </row>
    <row r="1071" spans="6:33" ht="24" customHeight="1">
      <c r="F1071" s="1160">
        <v>6.6499999999999997E-3</v>
      </c>
      <c r="G1071" s="1114" t="s">
        <v>204</v>
      </c>
      <c r="H1071" s="1103" t="s">
        <v>4127</v>
      </c>
      <c r="I1071" s="1114">
        <f>C89</f>
        <v>99400</v>
      </c>
      <c r="J1071" s="1103" t="s">
        <v>2839</v>
      </c>
      <c r="K1071" s="1114">
        <f t="shared" ref="K1071:K1078" si="135">(F1071*I1071)</f>
        <v>661.01</v>
      </c>
      <c r="M1071" s="1114">
        <v>1</v>
      </c>
      <c r="N1071" s="1114" t="s">
        <v>2838</v>
      </c>
      <c r="O1071" s="1103" t="s">
        <v>3212</v>
      </c>
      <c r="P1071" s="1114">
        <f t="shared" si="134"/>
        <v>7.3</v>
      </c>
      <c r="Q1071" s="1103" t="s">
        <v>2838</v>
      </c>
      <c r="R1071" s="1114">
        <f t="shared" si="133"/>
        <v>7.3</v>
      </c>
      <c r="AB1071" s="1114">
        <v>2</v>
      </c>
      <c r="AC1071" s="1114" t="s">
        <v>2838</v>
      </c>
      <c r="AD1071" s="1103" t="s">
        <v>3214</v>
      </c>
      <c r="AE1071" s="1114">
        <f t="shared" si="132"/>
        <v>45.9</v>
      </c>
      <c r="AF1071" s="1103" t="s">
        <v>2838</v>
      </c>
      <c r="AG1071" s="1114">
        <f t="shared" si="131"/>
        <v>91.8</v>
      </c>
    </row>
    <row r="1072" spans="6:33" ht="24" customHeight="1">
      <c r="F1072" s="1160">
        <v>0.32346000000000003</v>
      </c>
      <c r="G1072" s="1114" t="s">
        <v>3189</v>
      </c>
      <c r="H1072" s="1103" t="s">
        <v>4128</v>
      </c>
      <c r="I1072" s="1114">
        <v>208.8</v>
      </c>
      <c r="J1072" s="1103" t="s">
        <v>2839</v>
      </c>
      <c r="K1072" s="1114">
        <f t="shared" si="135"/>
        <v>67.538448000000002</v>
      </c>
      <c r="M1072" s="1114">
        <v>1</v>
      </c>
      <c r="N1072" s="1114" t="s">
        <v>2838</v>
      </c>
      <c r="O1072" s="1103" t="s">
        <v>4086</v>
      </c>
      <c r="P1072" s="1114">
        <f t="shared" si="134"/>
        <v>53.4</v>
      </c>
      <c r="Q1072" s="1103" t="s">
        <v>2838</v>
      </c>
      <c r="R1072" s="1114">
        <f t="shared" si="133"/>
        <v>53.4</v>
      </c>
      <c r="AB1072" s="1114">
        <v>118</v>
      </c>
      <c r="AC1072" s="1114" t="s">
        <v>2838</v>
      </c>
      <c r="AD1072" s="1103" t="s">
        <v>4087</v>
      </c>
      <c r="AE1072" s="1114">
        <f>I1063</f>
        <v>2.39</v>
      </c>
      <c r="AF1072" s="1107"/>
      <c r="AG1072" s="1114">
        <f t="shared" si="131"/>
        <v>282.02000000000004</v>
      </c>
    </row>
    <row r="1073" spans="6:33" ht="24" customHeight="1">
      <c r="F1073" s="1160">
        <v>0.47660000000000002</v>
      </c>
      <c r="G1073" s="1114" t="s">
        <v>3189</v>
      </c>
      <c r="H1073" s="1103" t="s">
        <v>3208</v>
      </c>
      <c r="I1073" s="1114">
        <f>D31</f>
        <v>1239</v>
      </c>
      <c r="J1073" s="1103" t="s">
        <v>3189</v>
      </c>
      <c r="K1073" s="1114">
        <f t="shared" si="135"/>
        <v>590.50740000000008</v>
      </c>
      <c r="M1073" s="1114">
        <v>1</v>
      </c>
      <c r="N1073" s="1114" t="s">
        <v>2838</v>
      </c>
      <c r="O1073" s="1103" t="s">
        <v>3214</v>
      </c>
      <c r="P1073" s="1114">
        <f t="shared" si="134"/>
        <v>45.9</v>
      </c>
      <c r="Q1073" s="1103" t="s">
        <v>2838</v>
      </c>
      <c r="R1073" s="1114">
        <f t="shared" si="133"/>
        <v>45.9</v>
      </c>
      <c r="AD1073" s="1104" t="s">
        <v>4129</v>
      </c>
      <c r="AF1073" s="1107"/>
      <c r="AG1073" s="1114">
        <f>SUM(AG1062:AG1072)</f>
        <v>8853.3150000000005</v>
      </c>
    </row>
    <row r="1074" spans="6:33" ht="24" customHeight="1">
      <c r="F1074" s="1114">
        <v>3</v>
      </c>
      <c r="G1074" s="1114" t="s">
        <v>2838</v>
      </c>
      <c r="H1074" s="1103" t="s">
        <v>4130</v>
      </c>
      <c r="I1074" s="1114">
        <f>C282</f>
        <v>45.7</v>
      </c>
      <c r="J1074" s="1103" t="s">
        <v>2838</v>
      </c>
      <c r="K1074" s="1114">
        <f t="shared" si="135"/>
        <v>137.10000000000002</v>
      </c>
      <c r="M1074" s="1114">
        <v>58</v>
      </c>
      <c r="O1074" s="1103" t="s">
        <v>4088</v>
      </c>
      <c r="P1074" s="1114">
        <f>I1078</f>
        <v>2.39</v>
      </c>
      <c r="Q1074" s="1107"/>
      <c r="R1074" s="1114">
        <f t="shared" si="133"/>
        <v>138.62</v>
      </c>
      <c r="AC1074" s="1114" t="s">
        <v>220</v>
      </c>
      <c r="AF1074" s="1107"/>
      <c r="AG1074" s="1111" t="s">
        <v>36</v>
      </c>
    </row>
    <row r="1075" spans="6:33" ht="24" customHeight="1">
      <c r="F1075" s="1114">
        <v>2</v>
      </c>
      <c r="G1075" s="1114" t="s">
        <v>2838</v>
      </c>
      <c r="H1075" s="1103" t="s">
        <v>4131</v>
      </c>
      <c r="I1075" s="1114">
        <f>C285</f>
        <v>36.799999999999997</v>
      </c>
      <c r="J1075" s="1103" t="s">
        <v>2838</v>
      </c>
      <c r="K1075" s="1114">
        <f t="shared" si="135"/>
        <v>73.599999999999994</v>
      </c>
      <c r="O1075" s="1104" t="s">
        <v>4132</v>
      </c>
      <c r="Q1075" s="1107"/>
      <c r="R1075" s="1114">
        <f>SUM(R1064:R1074)</f>
        <v>6106.2969999999996</v>
      </c>
      <c r="AD1075" s="1118" t="s">
        <v>3154</v>
      </c>
      <c r="AF1075" s="1107"/>
      <c r="AG1075" s="1115">
        <f>AG1073/AB1065</f>
        <v>3926.0820399113086</v>
      </c>
    </row>
    <row r="1076" spans="6:33" ht="24" customHeight="1">
      <c r="F1076" s="1114">
        <v>1</v>
      </c>
      <c r="G1076" s="1114" t="s">
        <v>2838</v>
      </c>
      <c r="H1076" s="1103" t="s">
        <v>4133</v>
      </c>
      <c r="I1076" s="1114">
        <f>I1060</f>
        <v>7.3</v>
      </c>
      <c r="J1076" s="1103" t="s">
        <v>2838</v>
      </c>
      <c r="K1076" s="1114">
        <f t="shared" si="135"/>
        <v>7.3</v>
      </c>
      <c r="N1076" s="1114" t="s">
        <v>220</v>
      </c>
      <c r="Q1076" s="1107"/>
      <c r="R1076" s="1111" t="s">
        <v>36</v>
      </c>
      <c r="AF1076" s="1107"/>
      <c r="AG1076" s="1111" t="s">
        <v>2793</v>
      </c>
    </row>
    <row r="1077" spans="6:33" ht="24" customHeight="1">
      <c r="F1077" s="1114">
        <v>1</v>
      </c>
      <c r="G1077" s="1114" t="s">
        <v>2838</v>
      </c>
      <c r="H1077" s="1103" t="s">
        <v>4134</v>
      </c>
      <c r="I1077" s="1114">
        <f>C292</f>
        <v>8.9</v>
      </c>
      <c r="J1077" s="1103" t="s">
        <v>2838</v>
      </c>
      <c r="K1077" s="1114">
        <f t="shared" si="135"/>
        <v>8.9</v>
      </c>
      <c r="O1077" s="1118" t="s">
        <v>3154</v>
      </c>
      <c r="Q1077" s="1107"/>
      <c r="R1077" s="1115">
        <f>R1075/M1067</f>
        <v>3309.6460704607043</v>
      </c>
      <c r="AE1077" s="1114">
        <f t="shared" ref="AE1077:AE1140" si="136">AG1077</f>
        <v>0</v>
      </c>
    </row>
    <row r="1078" spans="6:33" ht="24" customHeight="1">
      <c r="F1078" s="1114">
        <v>24</v>
      </c>
      <c r="H1078" s="1103" t="s">
        <v>4087</v>
      </c>
      <c r="I1078" s="1105">
        <f>I1063</f>
        <v>2.39</v>
      </c>
      <c r="J1078" s="1103" t="s">
        <v>2838</v>
      </c>
      <c r="K1078" s="1114">
        <f t="shared" si="135"/>
        <v>57.36</v>
      </c>
      <c r="Q1078" s="1107"/>
      <c r="R1078" s="1111" t="s">
        <v>2793</v>
      </c>
      <c r="AE1078" s="1114">
        <f t="shared" si="136"/>
        <v>0</v>
      </c>
    </row>
    <row r="1079" spans="6:33" ht="24" customHeight="1">
      <c r="H1079" s="1104" t="s">
        <v>4135</v>
      </c>
      <c r="K1079" s="1114">
        <f>SUM(K1071:K1078)</f>
        <v>1603.3158479999997</v>
      </c>
      <c r="AE1079" s="1114">
        <f t="shared" si="136"/>
        <v>0</v>
      </c>
    </row>
    <row r="1080" spans="6:33" ht="24" customHeight="1">
      <c r="K1080" s="1111" t="s">
        <v>36</v>
      </c>
      <c r="AE1080" s="1114">
        <f t="shared" si="136"/>
        <v>0</v>
      </c>
    </row>
    <row r="1081" spans="6:33" ht="24" customHeight="1">
      <c r="H1081" s="1118" t="s">
        <v>3154</v>
      </c>
      <c r="I1081" s="1103" t="s">
        <v>220</v>
      </c>
      <c r="K1081" s="1115">
        <f>K1079/F1073</f>
        <v>3364.0701804448167</v>
      </c>
      <c r="AE1081" s="1114">
        <f t="shared" si="136"/>
        <v>0</v>
      </c>
    </row>
    <row r="1082" spans="6:33" ht="24" customHeight="1">
      <c r="K1082" s="1111" t="s">
        <v>2793</v>
      </c>
      <c r="AE1082" s="1114">
        <f t="shared" si="136"/>
        <v>0</v>
      </c>
    </row>
    <row r="1083" spans="6:33" ht="24" customHeight="1">
      <c r="F1083" s="1104" t="s">
        <v>4136</v>
      </c>
      <c r="G1083" s="1114" t="s">
        <v>1363</v>
      </c>
      <c r="H1083" s="1103" t="s">
        <v>4125</v>
      </c>
      <c r="AE1083" s="1114">
        <f t="shared" si="136"/>
        <v>0</v>
      </c>
    </row>
    <row r="1084" spans="6:33" ht="24" customHeight="1">
      <c r="H1084" s="1103" t="s">
        <v>4137</v>
      </c>
      <c r="N1084" s="1103" t="s">
        <v>4051</v>
      </c>
      <c r="AE1084" s="1114">
        <f t="shared" si="136"/>
        <v>0</v>
      </c>
    </row>
    <row r="1085" spans="6:33" ht="24" customHeight="1">
      <c r="H1085" s="1111" t="s">
        <v>36</v>
      </c>
      <c r="N1085" s="1103" t="s">
        <v>4046</v>
      </c>
      <c r="AE1085" s="1114">
        <f t="shared" si="136"/>
        <v>0</v>
      </c>
    </row>
    <row r="1086" spans="6:33" ht="24" customHeight="1">
      <c r="F1086" s="1160">
        <v>5.4000000000000003E-3</v>
      </c>
      <c r="G1086" s="1114" t="s">
        <v>204</v>
      </c>
      <c r="H1086" s="1103" t="s">
        <v>4127</v>
      </c>
      <c r="I1086" s="1114">
        <f>C89</f>
        <v>99400</v>
      </c>
      <c r="J1086" s="1103" t="s">
        <v>2839</v>
      </c>
      <c r="K1086" s="1114">
        <f t="shared" ref="K1086:K1093" si="137">(F1086*I1086)</f>
        <v>536.76</v>
      </c>
      <c r="N1086" s="1103" t="s">
        <v>4138</v>
      </c>
      <c r="AE1086" s="1114">
        <f t="shared" si="136"/>
        <v>0</v>
      </c>
    </row>
    <row r="1087" spans="6:33" ht="24" customHeight="1">
      <c r="F1087" s="1160">
        <v>0.23871000000000001</v>
      </c>
      <c r="G1087" s="1114" t="s">
        <v>3189</v>
      </c>
      <c r="H1087" s="1103" t="str">
        <f>H1072</f>
        <v>frosted glass 4mmthick</v>
      </c>
      <c r="I1087" s="1114">
        <f>I1072</f>
        <v>208.8</v>
      </c>
      <c r="J1087" s="1103" t="s">
        <v>2839</v>
      </c>
      <c r="K1087" s="1114">
        <f t="shared" si="137"/>
        <v>49.842648000000004</v>
      </c>
      <c r="AE1087" s="1114">
        <f t="shared" si="136"/>
        <v>0</v>
      </c>
    </row>
    <row r="1088" spans="6:33" ht="24" customHeight="1">
      <c r="F1088" s="1160">
        <v>0.36199999999999999</v>
      </c>
      <c r="G1088" s="1114" t="s">
        <v>3189</v>
      </c>
      <c r="H1088" s="1103" t="s">
        <v>3208</v>
      </c>
      <c r="I1088" s="1114">
        <f>D31</f>
        <v>1239</v>
      </c>
      <c r="J1088" s="1103" t="s">
        <v>3189</v>
      </c>
      <c r="K1088" s="1114">
        <f t="shared" si="137"/>
        <v>448.51799999999997</v>
      </c>
      <c r="AE1088" s="1114">
        <f t="shared" si="136"/>
        <v>0</v>
      </c>
    </row>
    <row r="1089" spans="6:31" ht="24" customHeight="1">
      <c r="F1089" s="1114">
        <v>3</v>
      </c>
      <c r="G1089" s="1114" t="s">
        <v>2838</v>
      </c>
      <c r="H1089" s="1103" t="s">
        <v>4130</v>
      </c>
      <c r="I1089" s="1114">
        <f>C282</f>
        <v>45.7</v>
      </c>
      <c r="J1089" s="1103" t="s">
        <v>2838</v>
      </c>
      <c r="K1089" s="1114">
        <f t="shared" si="137"/>
        <v>137.10000000000002</v>
      </c>
      <c r="M1089" s="1143">
        <v>2.2800000000000001E-2</v>
      </c>
      <c r="N1089" s="1114" t="s">
        <v>2839</v>
      </c>
      <c r="O1089" s="1103" t="s">
        <v>4062</v>
      </c>
      <c r="P1089" s="1114">
        <f>I1053</f>
        <v>111600</v>
      </c>
      <c r="Q1089" s="1103" t="s">
        <v>2839</v>
      </c>
      <c r="R1089" s="1114">
        <f>P1089*M1089</f>
        <v>2544.48</v>
      </c>
      <c r="AE1089" s="1114">
        <f t="shared" si="136"/>
        <v>0</v>
      </c>
    </row>
    <row r="1090" spans="6:31" ht="24" customHeight="1">
      <c r="F1090" s="1114">
        <v>2</v>
      </c>
      <c r="G1090" s="1114" t="s">
        <v>2838</v>
      </c>
      <c r="H1090" s="1103" t="s">
        <v>4131</v>
      </c>
      <c r="I1090" s="1114">
        <f>C285</f>
        <v>36.799999999999997</v>
      </c>
      <c r="J1090" s="1103" t="s">
        <v>2838</v>
      </c>
      <c r="K1090" s="1114">
        <f t="shared" si="137"/>
        <v>73.599999999999994</v>
      </c>
      <c r="M1090" s="1143">
        <v>4.2999999999999997E-2</v>
      </c>
      <c r="N1090" s="1114" t="s">
        <v>2839</v>
      </c>
      <c r="O1090" s="1103" t="s">
        <v>4064</v>
      </c>
      <c r="P1090" s="1114">
        <f>I1054</f>
        <v>99400</v>
      </c>
      <c r="Q1090" s="1103" t="s">
        <v>2839</v>
      </c>
      <c r="R1090" s="1114">
        <f t="shared" ref="R1090:R1100" si="138">P1090*M1090</f>
        <v>4274.2</v>
      </c>
      <c r="AE1090" s="1114">
        <f t="shared" si="136"/>
        <v>0</v>
      </c>
    </row>
    <row r="1091" spans="6:31" ht="24" customHeight="1">
      <c r="F1091" s="1114">
        <v>1</v>
      </c>
      <c r="G1091" s="1114" t="s">
        <v>2838</v>
      </c>
      <c r="H1091" s="1103" t="s">
        <v>4133</v>
      </c>
      <c r="I1091" s="1114">
        <f>I1076</f>
        <v>7.3</v>
      </c>
      <c r="J1091" s="1103" t="s">
        <v>2838</v>
      </c>
      <c r="K1091" s="1114">
        <f t="shared" si="137"/>
        <v>7.3</v>
      </c>
      <c r="M1091" s="1143">
        <v>4.0800000000000003E-2</v>
      </c>
      <c r="N1091" s="1114" t="s">
        <v>2839</v>
      </c>
      <c r="O1091" s="1103" t="s">
        <v>4066</v>
      </c>
      <c r="P1091" s="1114">
        <f>I1017</f>
        <v>95000</v>
      </c>
      <c r="Q1091" s="1103" t="s">
        <v>2839</v>
      </c>
      <c r="R1091" s="1114">
        <f t="shared" si="138"/>
        <v>3876.0000000000005</v>
      </c>
      <c r="AE1091" s="1114">
        <f t="shared" si="136"/>
        <v>0</v>
      </c>
    </row>
    <row r="1092" spans="6:31" ht="24" customHeight="1">
      <c r="F1092" s="1114">
        <v>1</v>
      </c>
      <c r="G1092" s="1114" t="s">
        <v>2838</v>
      </c>
      <c r="H1092" s="1103" t="s">
        <v>4134</v>
      </c>
      <c r="I1092" s="1114">
        <f>C292</f>
        <v>8.9</v>
      </c>
      <c r="J1092" s="1103" t="s">
        <v>2838</v>
      </c>
      <c r="K1092" s="1114">
        <f t="shared" si="137"/>
        <v>8.9</v>
      </c>
      <c r="M1092" s="1143"/>
      <c r="O1092" s="1103" t="s">
        <v>4139</v>
      </c>
      <c r="P1092" s="1114"/>
      <c r="Q1092" s="1107"/>
      <c r="R1092" s="1114">
        <f t="shared" si="138"/>
        <v>0</v>
      </c>
      <c r="AE1092" s="1114">
        <f t="shared" si="136"/>
        <v>0</v>
      </c>
    </row>
    <row r="1093" spans="6:31" ht="24" customHeight="1">
      <c r="F1093" s="1114">
        <v>10</v>
      </c>
      <c r="H1093" s="1103" t="s">
        <v>4087</v>
      </c>
      <c r="I1093" s="1114">
        <f>I1078</f>
        <v>2.39</v>
      </c>
      <c r="J1093" s="1103" t="s">
        <v>2838</v>
      </c>
      <c r="K1093" s="1114">
        <f t="shared" si="137"/>
        <v>23.900000000000002</v>
      </c>
      <c r="M1093" s="1143">
        <v>3.4424999999999999</v>
      </c>
      <c r="N1093" s="1114" t="s">
        <v>3189</v>
      </c>
      <c r="O1093" s="1103" t="s">
        <v>4059</v>
      </c>
      <c r="P1093" s="1114">
        <f>I1019</f>
        <v>1325</v>
      </c>
      <c r="Q1093" s="1103" t="s">
        <v>3189</v>
      </c>
      <c r="R1093" s="1114">
        <f t="shared" si="138"/>
        <v>4561.3125</v>
      </c>
      <c r="AE1093" s="1114">
        <f t="shared" si="136"/>
        <v>0</v>
      </c>
    </row>
    <row r="1094" spans="6:31" ht="24" customHeight="1">
      <c r="K1094" s="1111" t="s">
        <v>36</v>
      </c>
      <c r="M1094" s="1114">
        <v>2</v>
      </c>
      <c r="N1094" s="1114" t="s">
        <v>2941</v>
      </c>
      <c r="O1094" s="1103" t="s">
        <v>4070</v>
      </c>
      <c r="P1094" s="1114">
        <f t="shared" ref="P1094:P1099" si="139">I1020</f>
        <v>53.4</v>
      </c>
      <c r="Q1094" s="1103" t="s">
        <v>2838</v>
      </c>
      <c r="R1094" s="1114">
        <f t="shared" si="138"/>
        <v>106.8</v>
      </c>
      <c r="AE1094" s="1114">
        <f t="shared" si="136"/>
        <v>0</v>
      </c>
    </row>
    <row r="1095" spans="6:31" ht="24" customHeight="1">
      <c r="H1095" s="1104" t="s">
        <v>4140</v>
      </c>
      <c r="K1095" s="1114">
        <f>SUM(K1082:K1093)</f>
        <v>1285.920648</v>
      </c>
      <c r="M1095" s="1114">
        <v>6</v>
      </c>
      <c r="N1095" s="1114" t="s">
        <v>2838</v>
      </c>
      <c r="O1095" s="1103" t="s">
        <v>4061</v>
      </c>
      <c r="P1095" s="1114">
        <f t="shared" si="139"/>
        <v>83</v>
      </c>
      <c r="Q1095" s="1103" t="s">
        <v>2838</v>
      </c>
      <c r="R1095" s="1114">
        <f t="shared" si="138"/>
        <v>498</v>
      </c>
      <c r="AE1095" s="1114">
        <f t="shared" si="136"/>
        <v>0</v>
      </c>
    </row>
    <row r="1096" spans="6:31" ht="24" customHeight="1">
      <c r="K1096" s="1111" t="s">
        <v>36</v>
      </c>
      <c r="M1096" s="1114">
        <v>4</v>
      </c>
      <c r="N1096" s="1114" t="s">
        <v>2838</v>
      </c>
      <c r="O1096" s="1103" t="s">
        <v>4063</v>
      </c>
      <c r="P1096" s="1114">
        <f t="shared" si="139"/>
        <v>60</v>
      </c>
      <c r="Q1096" s="1103" t="s">
        <v>2838</v>
      </c>
      <c r="R1096" s="1114">
        <f t="shared" si="138"/>
        <v>240</v>
      </c>
      <c r="AE1096" s="1114">
        <f t="shared" si="136"/>
        <v>0</v>
      </c>
    </row>
    <row r="1097" spans="6:31" ht="24" customHeight="1">
      <c r="H1097" s="1118" t="s">
        <v>3154</v>
      </c>
      <c r="I1097" s="1103" t="s">
        <v>220</v>
      </c>
      <c r="K1097" s="1115">
        <f>K1095/F1088</f>
        <v>3552.2669834254148</v>
      </c>
      <c r="M1097" s="1114">
        <v>1</v>
      </c>
      <c r="N1097" s="1114" t="s">
        <v>2838</v>
      </c>
      <c r="O1097" s="1103" t="s">
        <v>4065</v>
      </c>
      <c r="P1097" s="1114">
        <f t="shared" si="139"/>
        <v>167.6</v>
      </c>
      <c r="Q1097" s="1103" t="s">
        <v>2838</v>
      </c>
      <c r="R1097" s="1114">
        <f t="shared" si="138"/>
        <v>167.6</v>
      </c>
      <c r="AE1097" s="1114">
        <f t="shared" si="136"/>
        <v>0</v>
      </c>
    </row>
    <row r="1098" spans="6:31" ht="24" customHeight="1">
      <c r="K1098" s="1111" t="s">
        <v>2793</v>
      </c>
      <c r="M1098" s="1114">
        <v>2</v>
      </c>
      <c r="N1098" s="1114" t="s">
        <v>2838</v>
      </c>
      <c r="O1098" s="1103" t="s">
        <v>4067</v>
      </c>
      <c r="P1098" s="1114">
        <f t="shared" si="139"/>
        <v>7.3</v>
      </c>
      <c r="Q1098" s="1103" t="s">
        <v>2838</v>
      </c>
      <c r="R1098" s="1114">
        <f t="shared" si="138"/>
        <v>14.6</v>
      </c>
      <c r="AE1098" s="1114">
        <f t="shared" si="136"/>
        <v>0</v>
      </c>
    </row>
    <row r="1099" spans="6:31" ht="24" customHeight="1">
      <c r="F1099" s="1104" t="s">
        <v>4141</v>
      </c>
      <c r="G1099" s="1114" t="s">
        <v>1363</v>
      </c>
      <c r="H1099" s="1103" t="s">
        <v>4142</v>
      </c>
      <c r="M1099" s="1114">
        <v>2</v>
      </c>
      <c r="N1099" s="1114" t="s">
        <v>2838</v>
      </c>
      <c r="O1099" s="1103" t="s">
        <v>3214</v>
      </c>
      <c r="P1099" s="1114">
        <f t="shared" si="139"/>
        <v>45.9</v>
      </c>
      <c r="Q1099" s="1103" t="s">
        <v>2838</v>
      </c>
      <c r="R1099" s="1114">
        <f t="shared" si="138"/>
        <v>91.8</v>
      </c>
      <c r="AE1099" s="1114">
        <f t="shared" si="136"/>
        <v>0</v>
      </c>
    </row>
    <row r="1100" spans="6:31" ht="24" customHeight="1">
      <c r="H1100" s="1103" t="s">
        <v>4143</v>
      </c>
      <c r="M1100" s="1114">
        <v>10</v>
      </c>
      <c r="O1100" s="1103" t="s">
        <v>4088</v>
      </c>
      <c r="P1100" s="1114">
        <f>P1074</f>
        <v>2.39</v>
      </c>
      <c r="Q1100" s="1107"/>
      <c r="R1100" s="1114">
        <f t="shared" si="138"/>
        <v>23.900000000000002</v>
      </c>
      <c r="AE1100" s="1114">
        <f t="shared" si="136"/>
        <v>0</v>
      </c>
    </row>
    <row r="1101" spans="6:31" ht="24" customHeight="1">
      <c r="H1101" s="1111" t="s">
        <v>36</v>
      </c>
      <c r="O1101" s="1103" t="s">
        <v>4089</v>
      </c>
      <c r="Q1101" s="1107"/>
      <c r="R1101" s="1114">
        <f>SUM(R1089:R1100)+0.31</f>
        <v>16399.002500000002</v>
      </c>
      <c r="AE1101" s="1114">
        <f t="shared" si="136"/>
        <v>0</v>
      </c>
    </row>
    <row r="1102" spans="6:31" ht="24" customHeight="1">
      <c r="F1102" s="1160">
        <v>5.3E-3</v>
      </c>
      <c r="G1102" s="1114" t="s">
        <v>204</v>
      </c>
      <c r="H1102" s="1103" t="s">
        <v>4127</v>
      </c>
      <c r="I1102" s="1114">
        <f>C89</f>
        <v>99400</v>
      </c>
      <c r="J1102" s="1103" t="s">
        <v>2839</v>
      </c>
      <c r="K1102" s="1114">
        <f t="shared" ref="K1102:K1108" si="140">(F1102*I1102)</f>
        <v>526.82000000000005</v>
      </c>
      <c r="Q1102" s="1107"/>
      <c r="R1102" s="1111" t="s">
        <v>36</v>
      </c>
      <c r="AE1102" s="1114"/>
    </row>
    <row r="1103" spans="6:31" ht="24" customHeight="1">
      <c r="F1103" s="1160">
        <v>0.27450000000000002</v>
      </c>
      <c r="G1103" s="1114" t="s">
        <v>3189</v>
      </c>
      <c r="H1103" s="1103" t="str">
        <f>H1087</f>
        <v>frosted glass 4mmthick</v>
      </c>
      <c r="I1103" s="1114">
        <f>I1072</f>
        <v>208.8</v>
      </c>
      <c r="J1103" s="1103" t="s">
        <v>2839</v>
      </c>
      <c r="K1103" s="1114">
        <f t="shared" si="140"/>
        <v>57.315600000000011</v>
      </c>
      <c r="O1103" s="1118" t="s">
        <v>3154</v>
      </c>
      <c r="Q1103" s="1107"/>
      <c r="R1103" s="1115">
        <f>R1101/M1093</f>
        <v>4763.6899055918675</v>
      </c>
      <c r="AE1103" s="1114">
        <f t="shared" si="136"/>
        <v>0</v>
      </c>
    </row>
    <row r="1104" spans="6:31" ht="24" customHeight="1">
      <c r="F1104" s="1160">
        <v>0.4</v>
      </c>
      <c r="G1104" s="1114" t="s">
        <v>3189</v>
      </c>
      <c r="H1104" s="1103" t="s">
        <v>3208</v>
      </c>
      <c r="I1104" s="1114">
        <f>D32</f>
        <v>1035</v>
      </c>
      <c r="J1104" s="1103" t="s">
        <v>3189</v>
      </c>
      <c r="K1104" s="1114">
        <f t="shared" si="140"/>
        <v>414</v>
      </c>
      <c r="Q1104" s="1107"/>
      <c r="R1104" s="1111" t="s">
        <v>2793</v>
      </c>
      <c r="AE1104" s="1114">
        <f t="shared" si="136"/>
        <v>0</v>
      </c>
    </row>
    <row r="1105" spans="6:31" ht="24" customHeight="1">
      <c r="F1105" s="1114">
        <v>2</v>
      </c>
      <c r="G1105" s="1114" t="s">
        <v>4144</v>
      </c>
      <c r="H1105" s="1103" t="s">
        <v>4145</v>
      </c>
      <c r="I1105" s="1114">
        <f>C305</f>
        <v>8.5</v>
      </c>
      <c r="J1105" s="1103" t="s">
        <v>4144</v>
      </c>
      <c r="K1105" s="1114">
        <f t="shared" si="140"/>
        <v>17</v>
      </c>
      <c r="AE1105" s="1114">
        <f t="shared" si="136"/>
        <v>0</v>
      </c>
    </row>
    <row r="1106" spans="6:31" ht="24" customHeight="1">
      <c r="F1106" s="1114">
        <v>1</v>
      </c>
      <c r="G1106" s="1114" t="s">
        <v>2838</v>
      </c>
      <c r="H1106" s="1103" t="s">
        <v>4146</v>
      </c>
      <c r="I1106" s="1114">
        <f>C293</f>
        <v>6.1</v>
      </c>
      <c r="J1106" s="1103" t="s">
        <v>2838</v>
      </c>
      <c r="K1106" s="1114">
        <f t="shared" si="140"/>
        <v>6.1</v>
      </c>
      <c r="AE1106" s="1114">
        <f t="shared" si="136"/>
        <v>0</v>
      </c>
    </row>
    <row r="1107" spans="6:31" ht="24" customHeight="1">
      <c r="F1107" s="1114">
        <v>1</v>
      </c>
      <c r="G1107" s="1114" t="s">
        <v>2838</v>
      </c>
      <c r="H1107" s="1103" t="s">
        <v>4147</v>
      </c>
      <c r="I1107" s="1114">
        <f>C291</f>
        <v>11.8</v>
      </c>
      <c r="J1107" s="1103" t="s">
        <v>2838</v>
      </c>
      <c r="K1107" s="1114">
        <f t="shared" si="140"/>
        <v>11.8</v>
      </c>
      <c r="O1107" s="1103" t="s">
        <v>1968</v>
      </c>
      <c r="AE1107" s="1114">
        <f t="shared" si="136"/>
        <v>0</v>
      </c>
    </row>
    <row r="1108" spans="6:31" ht="24" customHeight="1">
      <c r="F1108" s="1114">
        <v>10</v>
      </c>
      <c r="H1108" s="1103" t="s">
        <v>4087</v>
      </c>
      <c r="I1108" s="1114">
        <f>I1093</f>
        <v>2.39</v>
      </c>
      <c r="J1108" s="1103" t="s">
        <v>2838</v>
      </c>
      <c r="K1108" s="1114">
        <f t="shared" si="140"/>
        <v>23.900000000000002</v>
      </c>
      <c r="AE1108" s="1114">
        <f t="shared" si="136"/>
        <v>0</v>
      </c>
    </row>
    <row r="1109" spans="6:31" ht="24" customHeight="1">
      <c r="K1109" s="1111" t="s">
        <v>36</v>
      </c>
      <c r="AE1109" s="1114">
        <f t="shared" si="136"/>
        <v>0</v>
      </c>
    </row>
    <row r="1110" spans="6:31" ht="24" customHeight="1">
      <c r="H1110" s="1104" t="s">
        <v>4148</v>
      </c>
      <c r="K1110" s="1114">
        <f>SUM(K1098:K1108)</f>
        <v>1056.9356000000002</v>
      </c>
      <c r="AE1110" s="1114">
        <f t="shared" si="136"/>
        <v>0</v>
      </c>
    </row>
    <row r="1111" spans="6:31" ht="24" customHeight="1">
      <c r="K1111" s="1111" t="s">
        <v>36</v>
      </c>
      <c r="M1111" s="1148">
        <v>2.2800000000000001E-2</v>
      </c>
      <c r="N1111" s="1105" t="s">
        <v>2839</v>
      </c>
      <c r="O1111" s="1105" t="s">
        <v>4149</v>
      </c>
      <c r="P1111" s="1105">
        <f>P1089</f>
        <v>111600</v>
      </c>
      <c r="Q1111" s="1107" t="s">
        <v>2839</v>
      </c>
      <c r="R1111" s="1105">
        <f>P1111*M1111</f>
        <v>2544.48</v>
      </c>
      <c r="AE1111" s="1114">
        <f t="shared" si="136"/>
        <v>0</v>
      </c>
    </row>
    <row r="1112" spans="6:31" ht="24" customHeight="1">
      <c r="H1112" s="1118" t="s">
        <v>3154</v>
      </c>
      <c r="I1112" s="1103" t="s">
        <v>220</v>
      </c>
      <c r="K1112" s="1115">
        <f>K1110/F1104</f>
        <v>2642.3390000000004</v>
      </c>
      <c r="M1112" s="1148">
        <v>3.5400000000000001E-2</v>
      </c>
      <c r="N1112" s="1105" t="s">
        <v>2839</v>
      </c>
      <c r="O1112" s="1105" t="s">
        <v>4150</v>
      </c>
      <c r="P1112" s="1105">
        <f>P1090</f>
        <v>99400</v>
      </c>
      <c r="Q1112" s="1107" t="s">
        <v>2839</v>
      </c>
      <c r="R1112" s="1105">
        <f t="shared" ref="R1112:R1121" si="141">P1112*M1112</f>
        <v>3518.76</v>
      </c>
      <c r="AE1112" s="1114">
        <f t="shared" si="136"/>
        <v>0</v>
      </c>
    </row>
    <row r="1113" spans="6:31" ht="24" customHeight="1">
      <c r="F1113" s="1103" t="s">
        <v>220</v>
      </c>
      <c r="M1113" s="1165">
        <v>3.2300000000000002E-2</v>
      </c>
      <c r="N1113" s="1105" t="s">
        <v>2839</v>
      </c>
      <c r="O1113" s="1105" t="s">
        <v>4151</v>
      </c>
      <c r="P1113" s="1105">
        <f>P1091</f>
        <v>95000</v>
      </c>
      <c r="Q1113" s="1107" t="s">
        <v>2839</v>
      </c>
      <c r="R1113" s="1105">
        <f t="shared" si="141"/>
        <v>3068.5</v>
      </c>
      <c r="AE1113" s="1114">
        <f t="shared" si="136"/>
        <v>0</v>
      </c>
    </row>
    <row r="1114" spans="6:31" ht="24" customHeight="1">
      <c r="K1114" s="1111" t="s">
        <v>2793</v>
      </c>
      <c r="M1114" s="1108">
        <v>2.835</v>
      </c>
      <c r="N1114" s="1105" t="s">
        <v>3189</v>
      </c>
      <c r="O1114" s="1105" t="s">
        <v>4152</v>
      </c>
      <c r="P1114" s="1105">
        <f t="shared" ref="P1114:P1120" si="142">P1093</f>
        <v>1325</v>
      </c>
      <c r="Q1114" s="1107" t="s">
        <v>3189</v>
      </c>
      <c r="R1114" s="1105">
        <f t="shared" si="141"/>
        <v>3756.375</v>
      </c>
      <c r="AE1114" s="1114">
        <f t="shared" si="136"/>
        <v>0</v>
      </c>
    </row>
    <row r="1115" spans="6:31" ht="24" customHeight="1">
      <c r="F1115" s="1131">
        <v>22.3</v>
      </c>
      <c r="H1115" s="1103" t="s">
        <v>4153</v>
      </c>
      <c r="L1115" s="1103" t="s">
        <v>220</v>
      </c>
      <c r="M1115" s="1105">
        <v>2</v>
      </c>
      <c r="N1115" s="1105" t="s">
        <v>4154</v>
      </c>
      <c r="O1115" s="1105" t="s">
        <v>4155</v>
      </c>
      <c r="P1115" s="1105">
        <f t="shared" si="142"/>
        <v>53.4</v>
      </c>
      <c r="Q1115" s="1107" t="s">
        <v>522</v>
      </c>
      <c r="R1115" s="1105">
        <f t="shared" si="141"/>
        <v>106.8</v>
      </c>
      <c r="AE1115" s="1114">
        <f t="shared" si="136"/>
        <v>0</v>
      </c>
    </row>
    <row r="1116" spans="6:31" ht="24" customHeight="1">
      <c r="H1116" s="1111" t="s">
        <v>36</v>
      </c>
      <c r="I1116" s="1111" t="s">
        <v>36</v>
      </c>
      <c r="J1116" s="1103" t="s">
        <v>36</v>
      </c>
      <c r="M1116" s="1105">
        <v>6</v>
      </c>
      <c r="N1116" s="1105" t="s">
        <v>4154</v>
      </c>
      <c r="O1116" s="1105" t="s">
        <v>4156</v>
      </c>
      <c r="P1116" s="1105">
        <f t="shared" si="142"/>
        <v>83</v>
      </c>
      <c r="Q1116" s="1107" t="s">
        <v>522</v>
      </c>
      <c r="R1116" s="1105">
        <f t="shared" si="141"/>
        <v>498</v>
      </c>
      <c r="AE1116" s="1114">
        <f t="shared" si="136"/>
        <v>0</v>
      </c>
    </row>
    <row r="1117" spans="6:31" ht="24" customHeight="1">
      <c r="M1117" s="1105">
        <v>4</v>
      </c>
      <c r="N1117" s="1105" t="s">
        <v>4154</v>
      </c>
      <c r="O1117" s="1105" t="s">
        <v>4157</v>
      </c>
      <c r="P1117" s="1105">
        <f t="shared" si="142"/>
        <v>60</v>
      </c>
      <c r="Q1117" s="1107" t="s">
        <v>522</v>
      </c>
      <c r="R1117" s="1105">
        <f t="shared" si="141"/>
        <v>240</v>
      </c>
      <c r="AE1117" s="1114"/>
    </row>
    <row r="1118" spans="6:31" ht="24" customHeight="1">
      <c r="H1118" s="1103" t="s">
        <v>4158</v>
      </c>
      <c r="M1118" s="1105">
        <v>1</v>
      </c>
      <c r="N1118" s="1105" t="s">
        <v>4154</v>
      </c>
      <c r="O1118" s="1105" t="s">
        <v>4159</v>
      </c>
      <c r="P1118" s="1105">
        <f t="shared" si="142"/>
        <v>167.6</v>
      </c>
      <c r="Q1118" s="1107" t="s">
        <v>522</v>
      </c>
      <c r="R1118" s="1105">
        <f t="shared" si="141"/>
        <v>167.6</v>
      </c>
      <c r="AE1118" s="1114">
        <f t="shared" si="136"/>
        <v>0</v>
      </c>
    </row>
    <row r="1119" spans="6:31" ht="24" customHeight="1">
      <c r="H1119" s="1103" t="s">
        <v>4160</v>
      </c>
      <c r="M1119" s="1105">
        <v>2</v>
      </c>
      <c r="N1119" s="1105" t="s">
        <v>4154</v>
      </c>
      <c r="O1119" s="1105" t="s">
        <v>3212</v>
      </c>
      <c r="P1119" s="1105">
        <f t="shared" si="142"/>
        <v>7.3</v>
      </c>
      <c r="Q1119" s="1107" t="s">
        <v>522</v>
      </c>
      <c r="R1119" s="1105">
        <f t="shared" si="141"/>
        <v>14.6</v>
      </c>
      <c r="AE1119" s="1114">
        <f t="shared" si="136"/>
        <v>0</v>
      </c>
    </row>
    <row r="1120" spans="6:31" ht="24" customHeight="1">
      <c r="H1120" s="1103" t="s">
        <v>4161</v>
      </c>
      <c r="M1120" s="1105">
        <v>2</v>
      </c>
      <c r="N1120" s="1105" t="s">
        <v>4154</v>
      </c>
      <c r="O1120" s="1105" t="s">
        <v>3214</v>
      </c>
      <c r="P1120" s="1105">
        <f t="shared" si="142"/>
        <v>45.9</v>
      </c>
      <c r="Q1120" s="1107" t="s">
        <v>522</v>
      </c>
      <c r="R1120" s="1105">
        <f t="shared" si="141"/>
        <v>91.8</v>
      </c>
      <c r="AE1120" s="1114">
        <f t="shared" si="136"/>
        <v>0</v>
      </c>
    </row>
    <row r="1121" spans="6:62" ht="24" customHeight="1">
      <c r="H1121" s="1103" t="s">
        <v>4162</v>
      </c>
      <c r="M1121" s="1114">
        <v>118</v>
      </c>
      <c r="O1121" s="1103" t="s">
        <v>4088</v>
      </c>
      <c r="P1121" s="1114">
        <f>P1100</f>
        <v>2.39</v>
      </c>
      <c r="Q1121" s="1107"/>
      <c r="R1121" s="1114">
        <f t="shared" si="141"/>
        <v>282.02000000000004</v>
      </c>
      <c r="AE1121" s="1114">
        <f t="shared" si="136"/>
        <v>0</v>
      </c>
    </row>
    <row r="1122" spans="6:62" ht="24" customHeight="1">
      <c r="H1122" s="1103" t="s">
        <v>4163</v>
      </c>
      <c r="N1122" s="1119"/>
      <c r="O1122" s="1119" t="s">
        <v>3154</v>
      </c>
      <c r="Q1122" s="1107"/>
      <c r="R1122" s="1119">
        <f>SUM(R1111:R1121)</f>
        <v>14288.934999999999</v>
      </c>
      <c r="AE1122" s="1114">
        <f t="shared" si="136"/>
        <v>0</v>
      </c>
    </row>
    <row r="1123" spans="6:62" ht="24" customHeight="1">
      <c r="J1123" s="1103" t="s">
        <v>220</v>
      </c>
      <c r="K1123" s="1143">
        <v>3.32E-2</v>
      </c>
      <c r="N1123" s="1119"/>
      <c r="O1123" s="1119"/>
      <c r="Q1123" s="1107"/>
      <c r="R1123" s="1132" t="s">
        <v>4164</v>
      </c>
      <c r="AE1123" s="1114">
        <f t="shared" si="136"/>
        <v>0</v>
      </c>
      <c r="BJ1123" s="1105" t="s">
        <v>4165</v>
      </c>
    </row>
    <row r="1124" spans="6:62" ht="24" customHeight="1">
      <c r="H1124" s="1103" t="s">
        <v>4166</v>
      </c>
      <c r="J1124" s="1159" t="s">
        <v>220</v>
      </c>
      <c r="K1124" s="1159" t="s">
        <v>220</v>
      </c>
      <c r="N1124" s="1119"/>
      <c r="O1124" s="1119" t="s">
        <v>4167</v>
      </c>
      <c r="Q1124" s="1107"/>
      <c r="R1124" s="1119">
        <f>R1122/2.835</f>
        <v>5040.1887125220455</v>
      </c>
      <c r="AE1124" s="1114">
        <f t="shared" si="136"/>
        <v>0</v>
      </c>
    </row>
    <row r="1125" spans="6:62" ht="24" customHeight="1">
      <c r="H1125" s="1103" t="s">
        <v>4168</v>
      </c>
      <c r="K1125" s="1159" t="s">
        <v>220</v>
      </c>
      <c r="N1125" s="1119"/>
      <c r="Q1125" s="1107"/>
      <c r="R1125" s="1132" t="s">
        <v>4164</v>
      </c>
      <c r="AE1125" s="1114">
        <f t="shared" si="136"/>
        <v>0</v>
      </c>
    </row>
    <row r="1126" spans="6:62" ht="24" customHeight="1">
      <c r="AE1126" s="1114">
        <f t="shared" si="136"/>
        <v>0</v>
      </c>
    </row>
    <row r="1127" spans="6:62" ht="24" customHeight="1">
      <c r="F1127" s="1160">
        <v>1.18E-2</v>
      </c>
      <c r="G1127" s="1114" t="s">
        <v>2839</v>
      </c>
      <c r="H1127" s="1103" t="s">
        <v>3205</v>
      </c>
      <c r="I1127" s="1114">
        <f>C88</f>
        <v>111600</v>
      </c>
      <c r="J1127" s="1103" t="s">
        <v>2839</v>
      </c>
      <c r="K1127" s="1114">
        <f t="shared" ref="K1127:K1136" si="143">(F1127*I1127)</f>
        <v>1316.8799999999999</v>
      </c>
      <c r="AE1127" s="1114">
        <f t="shared" si="136"/>
        <v>0</v>
      </c>
    </row>
    <row r="1128" spans="6:62" ht="24" customHeight="1">
      <c r="F1128" s="1160">
        <v>3.32E-2</v>
      </c>
      <c r="G1128" s="1114" t="s">
        <v>2839</v>
      </c>
      <c r="H1128" s="1103" t="s">
        <v>3206</v>
      </c>
      <c r="I1128" s="1114">
        <f>C89</f>
        <v>99400</v>
      </c>
      <c r="J1128" s="1103" t="s">
        <v>2839</v>
      </c>
      <c r="K1128" s="1114">
        <f t="shared" si="143"/>
        <v>3300.08</v>
      </c>
      <c r="AE1128" s="1114">
        <f t="shared" si="136"/>
        <v>0</v>
      </c>
    </row>
    <row r="1129" spans="6:62" ht="24" customHeight="1">
      <c r="F1129" s="1160">
        <v>1.8550000000000001E-2</v>
      </c>
      <c r="G1129" s="1114" t="s">
        <v>2839</v>
      </c>
      <c r="H1129" s="1103" t="s">
        <v>4169</v>
      </c>
      <c r="I1129" s="1114">
        <f>C30</f>
        <v>11800</v>
      </c>
      <c r="J1129" s="1103" t="s">
        <v>2839</v>
      </c>
      <c r="K1129" s="1114">
        <f t="shared" si="143"/>
        <v>218.89000000000001</v>
      </c>
      <c r="AE1129" s="1114">
        <f t="shared" si="136"/>
        <v>0</v>
      </c>
    </row>
    <row r="1130" spans="6:62" ht="24" customHeight="1">
      <c r="F1130" s="1160">
        <v>1.46</v>
      </c>
      <c r="G1130" s="1114" t="s">
        <v>3189</v>
      </c>
      <c r="H1130" s="1103" t="s">
        <v>4170</v>
      </c>
      <c r="I1130" s="1114">
        <v>269.10000000000002</v>
      </c>
      <c r="J1130" s="1103" t="s">
        <v>3189</v>
      </c>
      <c r="K1130" s="1114">
        <f t="shared" si="143"/>
        <v>392.88600000000002</v>
      </c>
      <c r="AE1130" s="1114">
        <f t="shared" si="136"/>
        <v>0</v>
      </c>
    </row>
    <row r="1131" spans="6:62" ht="24" customHeight="1">
      <c r="F1131" s="1160">
        <v>2.0499999999999998</v>
      </c>
      <c r="G1131" s="1114" t="s">
        <v>3189</v>
      </c>
      <c r="H1131" s="1103" t="s">
        <v>4171</v>
      </c>
      <c r="I1131" s="1114">
        <f>D30</f>
        <v>1105</v>
      </c>
      <c r="J1131" s="1103" t="s">
        <v>3189</v>
      </c>
      <c r="K1131" s="1114">
        <f t="shared" si="143"/>
        <v>2265.25</v>
      </c>
      <c r="AE1131" s="1114">
        <f t="shared" si="136"/>
        <v>0</v>
      </c>
    </row>
    <row r="1132" spans="6:62" ht="24" customHeight="1">
      <c r="F1132" s="1114">
        <v>2</v>
      </c>
      <c r="G1132" s="1114" t="s">
        <v>2838</v>
      </c>
      <c r="H1132" s="1103" t="s">
        <v>4172</v>
      </c>
      <c r="I1132" s="1114">
        <f>C285</f>
        <v>36.799999999999997</v>
      </c>
      <c r="J1132" s="1103" t="s">
        <v>2838</v>
      </c>
      <c r="K1132" s="1114">
        <f t="shared" si="143"/>
        <v>73.599999999999994</v>
      </c>
      <c r="AE1132" s="1114">
        <f t="shared" si="136"/>
        <v>0</v>
      </c>
    </row>
    <row r="1133" spans="6:62" ht="24" customHeight="1">
      <c r="F1133" s="1114">
        <v>6</v>
      </c>
      <c r="G1133" s="1114" t="s">
        <v>2838</v>
      </c>
      <c r="H1133" s="1103" t="s">
        <v>4130</v>
      </c>
      <c r="I1133" s="1114">
        <f>C282</f>
        <v>45.7</v>
      </c>
      <c r="J1133" s="1103" t="s">
        <v>2838</v>
      </c>
      <c r="K1133" s="1114">
        <f t="shared" si="143"/>
        <v>274.20000000000005</v>
      </c>
      <c r="AE1133" s="1114">
        <f t="shared" si="136"/>
        <v>0</v>
      </c>
    </row>
    <row r="1134" spans="6:62" ht="24" customHeight="1">
      <c r="F1134" s="1114">
        <v>2</v>
      </c>
      <c r="G1134" s="1114" t="s">
        <v>2838</v>
      </c>
      <c r="H1134" s="1103" t="s">
        <v>4173</v>
      </c>
      <c r="I1134" s="1114">
        <v>56.4</v>
      </c>
      <c r="J1134" s="1103" t="s">
        <v>2838</v>
      </c>
      <c r="K1134" s="1114">
        <f t="shared" si="143"/>
        <v>112.8</v>
      </c>
      <c r="AE1134" s="1114">
        <f t="shared" si="136"/>
        <v>0</v>
      </c>
    </row>
    <row r="1135" spans="6:62" ht="24" customHeight="1">
      <c r="F1135" s="1114">
        <v>1</v>
      </c>
      <c r="G1135" s="1114" t="s">
        <v>2838</v>
      </c>
      <c r="H1135" s="1114" t="s">
        <v>4174</v>
      </c>
      <c r="I1135" s="1114">
        <v>63.2</v>
      </c>
      <c r="J1135" s="1103" t="s">
        <v>2838</v>
      </c>
      <c r="K1135" s="1114">
        <f t="shared" si="143"/>
        <v>63.2</v>
      </c>
      <c r="AE1135" s="1114">
        <f t="shared" si="136"/>
        <v>0</v>
      </c>
    </row>
    <row r="1136" spans="6:62" ht="24" customHeight="1">
      <c r="F1136" s="1114">
        <v>2.52</v>
      </c>
      <c r="G1136" s="1114" t="s">
        <v>3189</v>
      </c>
      <c r="H1136" s="1103" t="s">
        <v>4175</v>
      </c>
      <c r="I1136" s="1114">
        <f>K1167</f>
        <v>172.13200000000001</v>
      </c>
      <c r="J1136" s="1103" t="s">
        <v>3189</v>
      </c>
      <c r="K1136" s="1114">
        <f t="shared" si="143"/>
        <v>433.77264000000002</v>
      </c>
      <c r="AE1136" s="1114">
        <f t="shared" si="136"/>
        <v>0</v>
      </c>
    </row>
    <row r="1137" spans="6:31" ht="24" customHeight="1">
      <c r="H1137" s="1103" t="s">
        <v>4176</v>
      </c>
      <c r="I1137" s="1104" t="s">
        <v>2851</v>
      </c>
      <c r="K1137" s="1114">
        <v>0.21</v>
      </c>
      <c r="AE1137" s="1114">
        <f t="shared" si="136"/>
        <v>0</v>
      </c>
    </row>
    <row r="1138" spans="6:31" ht="24" customHeight="1">
      <c r="K1138" s="1111" t="s">
        <v>36</v>
      </c>
      <c r="AE1138" s="1114">
        <f t="shared" si="136"/>
        <v>0</v>
      </c>
    </row>
    <row r="1139" spans="6:31" ht="24" customHeight="1">
      <c r="H1139" s="1104" t="s">
        <v>4177</v>
      </c>
      <c r="K1139" s="1114">
        <f>SUM(K1127:K1137)</f>
        <v>8451.7686400000002</v>
      </c>
      <c r="M1139" s="1115" t="s">
        <v>4178</v>
      </c>
      <c r="N1139" s="1115"/>
      <c r="O1139" s="1115"/>
      <c r="P1139" s="1115"/>
      <c r="Q1139" s="1115"/>
      <c r="R1139" s="1115"/>
      <c r="S1139" s="1115"/>
      <c r="AE1139" s="1114">
        <f t="shared" si="136"/>
        <v>0</v>
      </c>
    </row>
    <row r="1140" spans="6:31" ht="24" customHeight="1">
      <c r="G1140" s="1114" t="s">
        <v>220</v>
      </c>
      <c r="K1140" s="1111" t="s">
        <v>36</v>
      </c>
      <c r="O1140" s="1111" t="s">
        <v>36</v>
      </c>
      <c r="Q1140" s="1107"/>
      <c r="AE1140" s="1114">
        <f t="shared" si="136"/>
        <v>0</v>
      </c>
    </row>
    <row r="1141" spans="6:31" ht="24" customHeight="1">
      <c r="H1141" s="1118" t="s">
        <v>3154</v>
      </c>
      <c r="K1141" s="1115">
        <f>K1139/2.52</f>
        <v>3353.8764444444446</v>
      </c>
      <c r="N1141" s="1108">
        <v>0.45300000000000001</v>
      </c>
      <c r="O1141" s="1103" t="s">
        <v>3957</v>
      </c>
      <c r="P1141" s="1114">
        <f>C73</f>
        <v>1987.06</v>
      </c>
      <c r="Q1141" s="1103" t="s">
        <v>2839</v>
      </c>
      <c r="R1141" s="1114">
        <f>P1141*N1141</f>
        <v>900.13818000000003</v>
      </c>
      <c r="AE1141" s="1114">
        <f t="shared" ref="AE1141:AE1203" si="144">AG1141</f>
        <v>0</v>
      </c>
    </row>
    <row r="1142" spans="6:31" ht="24" customHeight="1">
      <c r="K1142" s="1111" t="s">
        <v>2793</v>
      </c>
      <c r="N1142" s="1108">
        <v>0.30199999999999999</v>
      </c>
      <c r="O1142" s="1103" t="s">
        <v>4179</v>
      </c>
      <c r="P1142" s="1114">
        <f>C71</f>
        <v>1532.06</v>
      </c>
      <c r="Q1142" s="1103" t="str">
        <f>Q1141</f>
        <v>CUM</v>
      </c>
      <c r="R1142" s="1114">
        <f t="shared" ref="R1142:R1147" si="145">P1142*N1142</f>
        <v>462.68212</v>
      </c>
      <c r="AE1142" s="1114">
        <f t="shared" si="144"/>
        <v>0</v>
      </c>
    </row>
    <row r="1143" spans="6:31" ht="24" customHeight="1">
      <c r="G1143" s="1114" t="s">
        <v>1363</v>
      </c>
      <c r="H1143" s="1103" t="s">
        <v>4180</v>
      </c>
      <c r="N1143" s="1105">
        <v>0.44</v>
      </c>
      <c r="O1143" s="1103" t="s">
        <v>2840</v>
      </c>
      <c r="P1143" s="1114">
        <f>C78</f>
        <v>1835.06</v>
      </c>
      <c r="Q1143" s="1103" t="s">
        <v>2839</v>
      </c>
      <c r="R1143" s="1114">
        <f t="shared" si="145"/>
        <v>807.42639999999994</v>
      </c>
      <c r="AE1143" s="1114">
        <f t="shared" si="144"/>
        <v>0</v>
      </c>
    </row>
    <row r="1144" spans="6:31" ht="24" customHeight="1">
      <c r="H1144" s="1111" t="s">
        <v>36</v>
      </c>
      <c r="I1144" s="1111" t="s">
        <v>36</v>
      </c>
      <c r="N1144" s="1105">
        <v>0.37</v>
      </c>
      <c r="O1144" s="1103" t="s">
        <v>2786</v>
      </c>
      <c r="P1144" s="1114">
        <f>I808</f>
        <v>5960</v>
      </c>
      <c r="Q1144" s="1103" t="s">
        <v>58</v>
      </c>
      <c r="R1144" s="1114">
        <f t="shared" si="145"/>
        <v>2205.1999999999998</v>
      </c>
      <c r="AE1144" s="1114">
        <f t="shared" si="144"/>
        <v>0</v>
      </c>
    </row>
    <row r="1145" spans="6:31" ht="24" customHeight="1">
      <c r="F1145" s="1114">
        <v>0.77</v>
      </c>
      <c r="G1145" s="1114" t="s">
        <v>4181</v>
      </c>
      <c r="H1145" s="1103" t="s">
        <v>4182</v>
      </c>
      <c r="I1145" s="1114">
        <f>C194</f>
        <v>268.60000000000002</v>
      </c>
      <c r="J1145" s="1103" t="s">
        <v>4181</v>
      </c>
      <c r="K1145" s="1114">
        <f>(F1145*I1145)</f>
        <v>206.82200000000003</v>
      </c>
      <c r="N1145" s="1105">
        <v>0.35</v>
      </c>
      <c r="O1145" s="1103" t="s">
        <v>3706</v>
      </c>
      <c r="P1145" s="1114">
        <f>C11</f>
        <v>804</v>
      </c>
      <c r="Q1145" s="1103" t="s">
        <v>2838</v>
      </c>
      <c r="R1145" s="1114">
        <f t="shared" si="145"/>
        <v>281.39999999999998</v>
      </c>
      <c r="AE1145" s="1114">
        <f t="shared" si="144"/>
        <v>0</v>
      </c>
    </row>
    <row r="1146" spans="6:31" ht="24" customHeight="1">
      <c r="F1146" s="1114">
        <v>0.61</v>
      </c>
      <c r="G1146" s="1114" t="s">
        <v>4181</v>
      </c>
      <c r="H1146" s="1103" t="s">
        <v>4183</v>
      </c>
      <c r="I1146" s="1114">
        <f>C193</f>
        <v>25</v>
      </c>
      <c r="J1146" s="1103" t="s">
        <v>4181</v>
      </c>
      <c r="K1146" s="1114">
        <f>(F1146*I1146)</f>
        <v>15.25</v>
      </c>
      <c r="N1146" s="1105">
        <v>2.12</v>
      </c>
      <c r="O1146" s="1103" t="s">
        <v>4184</v>
      </c>
      <c r="P1146" s="1114">
        <f>C12</f>
        <v>562</v>
      </c>
      <c r="Q1146" s="1103" t="s">
        <v>2838</v>
      </c>
      <c r="R1146" s="1114">
        <f t="shared" si="145"/>
        <v>1191.44</v>
      </c>
      <c r="AE1146" s="1114">
        <f t="shared" si="144"/>
        <v>0</v>
      </c>
    </row>
    <row r="1147" spans="6:31" ht="24" customHeight="1">
      <c r="F1147" s="1114">
        <v>0.7</v>
      </c>
      <c r="G1147" s="1114" t="s">
        <v>314</v>
      </c>
      <c r="H1147" s="1103" t="s">
        <v>4185</v>
      </c>
      <c r="I1147" s="1114">
        <f>C14</f>
        <v>688</v>
      </c>
      <c r="J1147" s="1103" t="s">
        <v>3820</v>
      </c>
      <c r="K1147" s="1114">
        <f>(F1147*I1147)</f>
        <v>481.59999999999997</v>
      </c>
      <c r="N1147" s="1105">
        <v>3.53</v>
      </c>
      <c r="O1147" s="1103" t="s">
        <v>4186</v>
      </c>
      <c r="P1147" s="1114">
        <f>C13</f>
        <v>461</v>
      </c>
      <c r="Q1147" s="1103" t="s">
        <v>2838</v>
      </c>
      <c r="R1147" s="1114">
        <f t="shared" si="145"/>
        <v>1627.33</v>
      </c>
      <c r="AE1147" s="1114">
        <f t="shared" si="144"/>
        <v>0</v>
      </c>
    </row>
    <row r="1148" spans="6:31" ht="24" customHeight="1">
      <c r="F1148" s="1114"/>
      <c r="G1148" s="1114"/>
      <c r="H1148" s="1103"/>
      <c r="I1148" s="1114"/>
      <c r="J1148" s="1103"/>
      <c r="K1148" s="1114"/>
      <c r="O1148" s="1103" t="s">
        <v>3271</v>
      </c>
      <c r="P1148" s="1114"/>
      <c r="Q1148" s="1107"/>
      <c r="R1148" s="1127">
        <f>K819</f>
        <v>81.3</v>
      </c>
      <c r="AE1148" s="1114"/>
    </row>
    <row r="1149" spans="6:31" ht="24" customHeight="1">
      <c r="F1149" s="1114">
        <v>0.7</v>
      </c>
      <c r="G1149" s="1114" t="s">
        <v>314</v>
      </c>
      <c r="H1149" s="1103" t="s">
        <v>4029</v>
      </c>
      <c r="I1149" s="1114">
        <f>C12</f>
        <v>562</v>
      </c>
      <c r="J1149" s="1103" t="s">
        <v>3820</v>
      </c>
      <c r="K1149" s="1114">
        <f>(F1149*I1149)</f>
        <v>393.4</v>
      </c>
      <c r="M1149" s="1152" t="s">
        <v>1348</v>
      </c>
      <c r="O1149" s="1105" t="s">
        <v>3962</v>
      </c>
      <c r="P1149" s="1145">
        <f>V1134</f>
        <v>0</v>
      </c>
      <c r="R1149" s="1105">
        <v>270</v>
      </c>
      <c r="AE1149" s="1114">
        <f t="shared" si="144"/>
        <v>0</v>
      </c>
    </row>
    <row r="1150" spans="6:31" ht="43.5" customHeight="1">
      <c r="G1150" s="1114" t="s">
        <v>2851</v>
      </c>
      <c r="H1150" s="1103" t="s">
        <v>4187</v>
      </c>
      <c r="J1150" s="1103" t="s">
        <v>2851</v>
      </c>
      <c r="K1150" s="1114">
        <v>1.5</v>
      </c>
      <c r="M1150" s="1152" t="s">
        <v>1348</v>
      </c>
      <c r="O1150" s="1105" t="s">
        <v>3965</v>
      </c>
      <c r="P1150" s="1145">
        <f>V1135</f>
        <v>0</v>
      </c>
      <c r="R1150" s="1105">
        <v>150</v>
      </c>
      <c r="AE1150" s="1114">
        <f t="shared" si="144"/>
        <v>0</v>
      </c>
    </row>
    <row r="1151" spans="6:31" ht="24" customHeight="1">
      <c r="K1151" s="1111" t="s">
        <v>36</v>
      </c>
      <c r="M1151" s="1152" t="s">
        <v>1348</v>
      </c>
      <c r="O1151" s="1105" t="s">
        <v>234</v>
      </c>
      <c r="P1151" s="1145">
        <f>V1136</f>
        <v>0</v>
      </c>
      <c r="R1151" s="1105">
        <v>0.35</v>
      </c>
      <c r="AE1151" s="1114">
        <f t="shared" si="144"/>
        <v>0</v>
      </c>
    </row>
    <row r="1152" spans="6:31" ht="24" customHeight="1">
      <c r="H1152" s="1104" t="s">
        <v>4188</v>
      </c>
      <c r="K1152" s="1114">
        <f>SUM(K1145:K1150)</f>
        <v>1098.5720000000001</v>
      </c>
      <c r="Q1152" s="1107"/>
      <c r="R1152" s="1105">
        <f>SUM(R1141:R1151)</f>
        <v>7977.266700000001</v>
      </c>
      <c r="AE1152" s="1114">
        <f t="shared" si="144"/>
        <v>0</v>
      </c>
    </row>
    <row r="1153" spans="6:31" ht="24" customHeight="1">
      <c r="K1153" s="1111" t="s">
        <v>36</v>
      </c>
      <c r="X1153" s="1119">
        <f>SUM(X1141:X1152)</f>
        <v>0</v>
      </c>
      <c r="AE1153" s="1114">
        <f t="shared" si="144"/>
        <v>0</v>
      </c>
    </row>
    <row r="1154" spans="6:31" ht="24" customHeight="1">
      <c r="H1154" s="1118" t="s">
        <v>3154</v>
      </c>
      <c r="K1154" s="1115">
        <f>(K1152/10)</f>
        <v>109.85720000000001</v>
      </c>
      <c r="AE1154" s="1114">
        <f t="shared" si="144"/>
        <v>0</v>
      </c>
    </row>
    <row r="1155" spans="6:31" ht="24" customHeight="1">
      <c r="K1155" s="1111" t="s">
        <v>2793</v>
      </c>
      <c r="Q1155" s="1107"/>
      <c r="R1155" s="1127"/>
      <c r="AE1155" s="1114">
        <f t="shared" si="144"/>
        <v>0</v>
      </c>
    </row>
    <row r="1156" spans="6:31" ht="24" customHeight="1">
      <c r="O1156" s="1105" t="s">
        <v>4189</v>
      </c>
      <c r="Q1156" s="1107"/>
      <c r="R1156" s="1114">
        <f>SUM(R1152:R1155)</f>
        <v>7977.266700000001</v>
      </c>
      <c r="AE1156" s="1114">
        <f t="shared" si="144"/>
        <v>0</v>
      </c>
    </row>
    <row r="1157" spans="6:31" ht="24" customHeight="1">
      <c r="F1157" s="1103" t="s">
        <v>220</v>
      </c>
      <c r="G1157" s="1114" t="s">
        <v>1363</v>
      </c>
      <c r="H1157" s="1103" t="s">
        <v>4190</v>
      </c>
      <c r="Q1157" s="1107"/>
      <c r="R1157" s="1111" t="s">
        <v>36</v>
      </c>
      <c r="AE1157" s="1114">
        <f t="shared" si="144"/>
        <v>0</v>
      </c>
    </row>
    <row r="1158" spans="6:31" ht="24" customHeight="1">
      <c r="H1158" s="1111" t="s">
        <v>36</v>
      </c>
      <c r="I1158" s="1111" t="s">
        <v>36</v>
      </c>
      <c r="O1158" s="1103" t="s">
        <v>3062</v>
      </c>
      <c r="Q1158" s="1107"/>
      <c r="R1158" s="1115">
        <f>R1156+C22</f>
        <v>8080.5667000000012</v>
      </c>
      <c r="S1158" s="1108">
        <f>C22</f>
        <v>103.3</v>
      </c>
      <c r="T1158" s="1108">
        <f>C23</f>
        <v>203.5</v>
      </c>
      <c r="AE1158" s="1114">
        <f t="shared" si="144"/>
        <v>0</v>
      </c>
    </row>
    <row r="1159" spans="6:31" ht="24" customHeight="1">
      <c r="F1159" s="1114">
        <v>1.2</v>
      </c>
      <c r="G1159" s="1114" t="s">
        <v>4181</v>
      </c>
      <c r="H1159" s="1103" t="s">
        <v>4191</v>
      </c>
      <c r="I1159" s="1114">
        <f>C194</f>
        <v>268.60000000000002</v>
      </c>
      <c r="J1159" s="1103" t="s">
        <v>4181</v>
      </c>
      <c r="K1159" s="1114">
        <f>(F1159*I1159)</f>
        <v>322.32</v>
      </c>
      <c r="O1159" s="1103" t="s">
        <v>3066</v>
      </c>
      <c r="Q1159" s="1107"/>
      <c r="R1159" s="1115">
        <f>R1158+C23</f>
        <v>8284.0667000000012</v>
      </c>
      <c r="S1159" s="1108">
        <f>R1156-5363.9</f>
        <v>2613.3667000000014</v>
      </c>
      <c r="AE1159" s="1114">
        <f t="shared" si="144"/>
        <v>0</v>
      </c>
    </row>
    <row r="1160" spans="6:31" ht="24" customHeight="1">
      <c r="F1160" s="1114">
        <v>0.9</v>
      </c>
      <c r="G1160" s="1114" t="s">
        <v>4181</v>
      </c>
      <c r="H1160" s="1103" t="s">
        <v>4183</v>
      </c>
      <c r="I1160" s="1114">
        <f>C193</f>
        <v>25</v>
      </c>
      <c r="J1160" s="1103" t="s">
        <v>4181</v>
      </c>
      <c r="K1160" s="1114">
        <f>(F1160*I1160)</f>
        <v>22.5</v>
      </c>
      <c r="O1160" s="1103" t="s">
        <v>3069</v>
      </c>
      <c r="Q1160" s="1107"/>
      <c r="R1160" s="1115">
        <f>R1159+C23</f>
        <v>8487.5667000000012</v>
      </c>
      <c r="AE1160" s="1114">
        <f t="shared" si="144"/>
        <v>0</v>
      </c>
    </row>
    <row r="1161" spans="6:31" ht="24" customHeight="1">
      <c r="F1161" s="1114">
        <v>1.1000000000000001</v>
      </c>
      <c r="G1161" s="1114" t="s">
        <v>314</v>
      </c>
      <c r="H1161" s="1103" t="s">
        <v>4185</v>
      </c>
      <c r="I1161" s="1114">
        <f>C14</f>
        <v>688</v>
      </c>
      <c r="J1161" s="1103" t="s">
        <v>3820</v>
      </c>
      <c r="K1161" s="1114">
        <f>(F1161*I1161)</f>
        <v>756.80000000000007</v>
      </c>
      <c r="O1161" s="1103" t="s">
        <v>3071</v>
      </c>
      <c r="Q1161" s="1107"/>
      <c r="R1161" s="1115">
        <f>R1160+C23</f>
        <v>8691.0667000000012</v>
      </c>
      <c r="AE1161" s="1114">
        <f t="shared" si="144"/>
        <v>0</v>
      </c>
    </row>
    <row r="1162" spans="6:31" ht="24" customHeight="1">
      <c r="F1162" s="1114">
        <v>1.1000000000000001</v>
      </c>
      <c r="G1162" s="1114" t="s">
        <v>314</v>
      </c>
      <c r="H1162" s="1103" t="s">
        <v>4029</v>
      </c>
      <c r="I1162" s="1114">
        <f>C12</f>
        <v>562</v>
      </c>
      <c r="J1162" s="1103" t="s">
        <v>3820</v>
      </c>
      <c r="K1162" s="1114">
        <f>(F1162*I1162)</f>
        <v>618.20000000000005</v>
      </c>
      <c r="O1162" s="1103" t="s">
        <v>3158</v>
      </c>
      <c r="Q1162" s="1107"/>
      <c r="R1162" s="1115">
        <f>R1161+C23</f>
        <v>8894.5667000000012</v>
      </c>
      <c r="AE1162" s="1114">
        <f t="shared" si="144"/>
        <v>0</v>
      </c>
    </row>
    <row r="1163" spans="6:31" ht="24" customHeight="1">
      <c r="G1163" s="1114" t="s">
        <v>2851</v>
      </c>
      <c r="H1163" s="1103" t="s">
        <v>4187</v>
      </c>
      <c r="J1163" s="1103" t="s">
        <v>2851</v>
      </c>
      <c r="K1163" s="1114">
        <v>1.5</v>
      </c>
      <c r="O1163" s="1103" t="s">
        <v>3379</v>
      </c>
      <c r="R1163" s="1115">
        <f>R1162+C23</f>
        <v>9098.0667000000012</v>
      </c>
      <c r="AE1163" s="1114">
        <f t="shared" si="144"/>
        <v>0</v>
      </c>
    </row>
    <row r="1164" spans="6:31" ht="24" customHeight="1">
      <c r="K1164" s="1111" t="s">
        <v>36</v>
      </c>
      <c r="O1164" s="1103" t="s">
        <v>3380</v>
      </c>
      <c r="R1164" s="1115">
        <f>R1163+C23</f>
        <v>9301.5667000000012</v>
      </c>
      <c r="AE1164" s="1114">
        <f t="shared" si="144"/>
        <v>0</v>
      </c>
    </row>
    <row r="1165" spans="6:31" ht="24" customHeight="1">
      <c r="H1165" s="1104" t="s">
        <v>4188</v>
      </c>
      <c r="K1165" s="1114">
        <f>SUM(K1159:K1163)</f>
        <v>1721.3200000000002</v>
      </c>
      <c r="O1165" s="1103" t="s">
        <v>3381</v>
      </c>
      <c r="R1165" s="1115">
        <f>R1164+C23</f>
        <v>9505.0667000000012</v>
      </c>
      <c r="AE1165" s="1114">
        <f t="shared" si="144"/>
        <v>0</v>
      </c>
    </row>
    <row r="1166" spans="6:31" ht="24" customHeight="1">
      <c r="K1166" s="1111" t="s">
        <v>36</v>
      </c>
      <c r="O1166" s="1103" t="s">
        <v>3559</v>
      </c>
      <c r="R1166" s="1115">
        <f>R1165+C23</f>
        <v>9708.5667000000012</v>
      </c>
      <c r="AE1166" s="1114">
        <f t="shared" si="144"/>
        <v>0</v>
      </c>
    </row>
    <row r="1167" spans="6:31" ht="24" customHeight="1">
      <c r="H1167" s="1118" t="s">
        <v>3154</v>
      </c>
      <c r="K1167" s="1115">
        <f>(K1165/10)</f>
        <v>172.13200000000001</v>
      </c>
      <c r="O1167" s="1103" t="s">
        <v>3383</v>
      </c>
      <c r="R1167" s="1115">
        <f>R1166+C23</f>
        <v>9912.0667000000012</v>
      </c>
      <c r="AE1167" s="1114">
        <f t="shared" si="144"/>
        <v>0</v>
      </c>
    </row>
    <row r="1168" spans="6:31" ht="24" customHeight="1">
      <c r="K1168" s="1111" t="s">
        <v>2793</v>
      </c>
      <c r="O1168" s="1105" t="s">
        <v>4192</v>
      </c>
      <c r="R1168" s="1115">
        <f>R1167+C23</f>
        <v>10115.566700000001</v>
      </c>
      <c r="AE1168" s="1114">
        <f t="shared" si="144"/>
        <v>0</v>
      </c>
    </row>
    <row r="1169" spans="6:33" ht="24" customHeight="1">
      <c r="R1169" s="1115">
        <f>R1168+C23</f>
        <v>10319.066700000001</v>
      </c>
      <c r="AE1169" s="1114">
        <f t="shared" si="144"/>
        <v>0</v>
      </c>
    </row>
    <row r="1170" spans="6:33" ht="24" customHeight="1">
      <c r="F1170" s="1139">
        <v>23.3</v>
      </c>
      <c r="H1170" s="1105" t="s">
        <v>4193</v>
      </c>
      <c r="I1170" s="1105" t="s">
        <v>3064</v>
      </c>
      <c r="K1170" s="1119">
        <v>52</v>
      </c>
      <c r="R1170" s="1115">
        <f>R1169+C23</f>
        <v>10522.566700000001</v>
      </c>
      <c r="S1170" s="1105"/>
      <c r="AE1170" s="1114">
        <f t="shared" si="144"/>
        <v>0</v>
      </c>
    </row>
    <row r="1171" spans="6:33" ht="24" customHeight="1">
      <c r="M1171" s="1108"/>
      <c r="O1171" s="1119" t="s">
        <v>3938</v>
      </c>
      <c r="R1171" s="1115">
        <f>R1170+C23</f>
        <v>10726.066700000001</v>
      </c>
      <c r="S1171" s="1105"/>
      <c r="AE1171" s="1114">
        <f t="shared" si="144"/>
        <v>0</v>
      </c>
    </row>
    <row r="1172" spans="6:33" ht="24" customHeight="1">
      <c r="M1172" s="1108">
        <v>0.443</v>
      </c>
      <c r="N1172" s="1105" t="s">
        <v>204</v>
      </c>
      <c r="O1172" s="1105" t="s">
        <v>3941</v>
      </c>
      <c r="P1172" s="1105">
        <f t="shared" ref="P1172:P1178" si="146">P1141</f>
        <v>1987.06</v>
      </c>
      <c r="R1172" s="1105">
        <f>P1172*M1172</f>
        <v>880.26757999999995</v>
      </c>
      <c r="S1172" s="1105"/>
      <c r="AE1172" s="1114">
        <f t="shared" si="144"/>
        <v>0</v>
      </c>
    </row>
    <row r="1173" spans="6:33" ht="24" customHeight="1">
      <c r="F1173" s="1104" t="s">
        <v>4194</v>
      </c>
      <c r="G1173" s="1114" t="s">
        <v>1363</v>
      </c>
      <c r="H1173" s="1103" t="s">
        <v>4195</v>
      </c>
      <c r="M1173" s="1108">
        <v>0.29499999999999998</v>
      </c>
      <c r="N1173" s="1105" t="s">
        <v>204</v>
      </c>
      <c r="O1173" s="1105" t="s">
        <v>3944</v>
      </c>
      <c r="P1173" s="1105">
        <f t="shared" si="146"/>
        <v>1532.06</v>
      </c>
      <c r="R1173" s="1105">
        <f t="shared" ref="R1173:R1179" si="147">P1173*M1173</f>
        <v>451.95769999999999</v>
      </c>
      <c r="S1173" s="1105"/>
      <c r="AE1173" s="1114">
        <f t="shared" si="144"/>
        <v>0</v>
      </c>
    </row>
    <row r="1174" spans="6:33" ht="24" customHeight="1">
      <c r="H1174" s="1103" t="s">
        <v>4196</v>
      </c>
      <c r="M1174" s="1108">
        <v>0.43</v>
      </c>
      <c r="N1174" s="1105" t="s">
        <v>204</v>
      </c>
      <c r="O1174" s="1105" t="s">
        <v>2777</v>
      </c>
      <c r="P1174" s="1105">
        <f t="shared" si="146"/>
        <v>1835.06</v>
      </c>
      <c r="R1174" s="1105">
        <f t="shared" si="147"/>
        <v>789.07579999999996</v>
      </c>
      <c r="S1174" s="1105"/>
      <c r="AE1174" s="1114">
        <f t="shared" si="144"/>
        <v>0</v>
      </c>
    </row>
    <row r="1175" spans="6:33" ht="24" customHeight="1">
      <c r="H1175" s="1111" t="s">
        <v>36</v>
      </c>
      <c r="I1175" s="1111" t="s">
        <v>36</v>
      </c>
      <c r="M1175" s="1108">
        <v>0.39</v>
      </c>
      <c r="N1175" s="1105" t="s">
        <v>58</v>
      </c>
      <c r="O1175" s="1105" t="s">
        <v>2786</v>
      </c>
      <c r="P1175" s="1105">
        <f t="shared" si="146"/>
        <v>5960</v>
      </c>
      <c r="R1175" s="1105">
        <f t="shared" si="147"/>
        <v>2324.4</v>
      </c>
      <c r="S1175" s="1105"/>
      <c r="AE1175" s="1114">
        <f t="shared" si="144"/>
        <v>0</v>
      </c>
    </row>
    <row r="1176" spans="6:33" ht="24" customHeight="1">
      <c r="F1176" s="1144">
        <v>0.53339999999999999</v>
      </c>
      <c r="G1176" s="1114" t="s">
        <v>37</v>
      </c>
      <c r="H1176" s="1103" t="s">
        <v>4197</v>
      </c>
      <c r="I1176" s="1114">
        <v>208.8</v>
      </c>
      <c r="J1176" s="1103" t="s">
        <v>37</v>
      </c>
      <c r="K1176" s="1114">
        <f>(F1176*I1176)</f>
        <v>111.37392</v>
      </c>
      <c r="M1176" s="1108">
        <v>0.35</v>
      </c>
      <c r="N1176" s="1105" t="s">
        <v>4</v>
      </c>
      <c r="O1176" s="1105" t="s">
        <v>3706</v>
      </c>
      <c r="P1176" s="1105">
        <f t="shared" si="146"/>
        <v>804</v>
      </c>
      <c r="Q1176" s="1105">
        <f>D1174</f>
        <v>0</v>
      </c>
      <c r="R1176" s="1105">
        <f t="shared" si="147"/>
        <v>281.39999999999998</v>
      </c>
      <c r="S1176" s="1105"/>
      <c r="AE1176" s="1114">
        <f t="shared" si="144"/>
        <v>0</v>
      </c>
    </row>
    <row r="1177" spans="6:33" ht="24" customHeight="1">
      <c r="F1177" s="1114">
        <v>4.24</v>
      </c>
      <c r="G1177" s="1114" t="s">
        <v>61</v>
      </c>
      <c r="H1177" s="1103" t="s">
        <v>4198</v>
      </c>
      <c r="I1177" s="1114">
        <v>35.61</v>
      </c>
      <c r="J1177" s="1103" t="s">
        <v>61</v>
      </c>
      <c r="K1177" s="1114">
        <f>(F1177*I1177)</f>
        <v>150.9864</v>
      </c>
      <c r="M1177" s="1108">
        <v>2.12</v>
      </c>
      <c r="N1177" s="1105" t="s">
        <v>4</v>
      </c>
      <c r="O1177" s="1105" t="s">
        <v>3709</v>
      </c>
      <c r="P1177" s="1105">
        <f t="shared" si="146"/>
        <v>562</v>
      </c>
      <c r="R1177" s="1105">
        <f t="shared" si="147"/>
        <v>1191.44</v>
      </c>
      <c r="S1177" s="1105"/>
      <c r="AE1177" s="1114">
        <f t="shared" si="144"/>
        <v>0</v>
      </c>
    </row>
    <row r="1178" spans="6:33" ht="24" customHeight="1">
      <c r="F1178" s="1114">
        <v>16</v>
      </c>
      <c r="G1178" s="1114" t="s">
        <v>314</v>
      </c>
      <c r="H1178" s="1103" t="s">
        <v>4199</v>
      </c>
      <c r="I1178" s="1114">
        <v>1</v>
      </c>
      <c r="J1178" s="1103" t="s">
        <v>522</v>
      </c>
      <c r="K1178" s="1114">
        <f>(F1178*I1178)</f>
        <v>16</v>
      </c>
      <c r="M1178" s="1108">
        <v>3.53</v>
      </c>
      <c r="N1178" s="1105" t="s">
        <v>4</v>
      </c>
      <c r="O1178" s="1105" t="s">
        <v>3713</v>
      </c>
      <c r="P1178" s="1105">
        <f t="shared" si="146"/>
        <v>461</v>
      </c>
      <c r="R1178" s="1105">
        <f t="shared" si="147"/>
        <v>1627.33</v>
      </c>
      <c r="S1178" s="1105"/>
      <c r="AE1178" s="1114">
        <f t="shared" si="144"/>
        <v>0</v>
      </c>
    </row>
    <row r="1179" spans="6:33" ht="24" customHeight="1">
      <c r="F1179" s="1144">
        <v>0.53339999999999999</v>
      </c>
      <c r="G1179" s="1114" t="s">
        <v>37</v>
      </c>
      <c r="H1179" s="1103" t="s">
        <v>4200</v>
      </c>
      <c r="I1179" s="1114">
        <f>0.25/1.08*D16</f>
        <v>186.11111111111109</v>
      </c>
      <c r="J1179" s="1103" t="s">
        <v>37</v>
      </c>
      <c r="K1179" s="1114">
        <f>(F1179*I1179)</f>
        <v>99.271666666666647</v>
      </c>
      <c r="M1179" s="1108">
        <v>1</v>
      </c>
      <c r="N1179" s="1105" t="s">
        <v>204</v>
      </c>
      <c r="O1179" s="1105" t="s">
        <v>3959</v>
      </c>
      <c r="P1179" s="1105">
        <f>R1148</f>
        <v>81.3</v>
      </c>
      <c r="R1179" s="1105">
        <f t="shared" si="147"/>
        <v>81.3</v>
      </c>
      <c r="S1179" s="1105"/>
      <c r="AE1179" s="1114">
        <f t="shared" si="144"/>
        <v>0</v>
      </c>
    </row>
    <row r="1180" spans="6:33" ht="24" customHeight="1">
      <c r="G1180" s="1114" t="s">
        <v>2851</v>
      </c>
      <c r="H1180" s="1103" t="s">
        <v>234</v>
      </c>
      <c r="J1180" s="1103" t="s">
        <v>2851</v>
      </c>
      <c r="K1180" s="1114"/>
      <c r="M1180" s="1152" t="s">
        <v>1348</v>
      </c>
      <c r="O1180" s="1105" t="s">
        <v>3962</v>
      </c>
      <c r="P1180" s="1152" t="s">
        <v>1348</v>
      </c>
      <c r="R1180" s="1105">
        <v>270</v>
      </c>
      <c r="S1180" s="1105"/>
      <c r="AE1180" s="1114">
        <f t="shared" si="144"/>
        <v>0</v>
      </c>
    </row>
    <row r="1181" spans="6:33" ht="24" customHeight="1">
      <c r="H1181" s="1103" t="s">
        <v>4201</v>
      </c>
      <c r="M1181" s="1152" t="s">
        <v>1348</v>
      </c>
      <c r="O1181" s="1105" t="s">
        <v>3965</v>
      </c>
      <c r="P1181" s="1152" t="s">
        <v>1348</v>
      </c>
      <c r="R1181" s="1105">
        <v>150</v>
      </c>
      <c r="S1181" s="1105"/>
      <c r="AE1181" s="1114">
        <f t="shared" si="144"/>
        <v>0</v>
      </c>
    </row>
    <row r="1182" spans="6:33" ht="24" customHeight="1">
      <c r="K1182" s="1111" t="s">
        <v>36</v>
      </c>
      <c r="M1182" s="1152" t="s">
        <v>1348</v>
      </c>
      <c r="O1182" s="1105" t="s">
        <v>234</v>
      </c>
      <c r="P1182" s="1152" t="s">
        <v>1348</v>
      </c>
      <c r="R1182" s="1105">
        <v>0.45</v>
      </c>
      <c r="S1182" s="1105">
        <f>C22</f>
        <v>103.3</v>
      </c>
      <c r="T1182" s="1105">
        <f>C23</f>
        <v>203.5</v>
      </c>
      <c r="AE1182" s="1114" t="str">
        <f t="shared" si="144"/>
        <v>|</v>
      </c>
      <c r="AG1182" s="1103" t="s">
        <v>3430</v>
      </c>
    </row>
    <row r="1183" spans="6:33" ht="24" customHeight="1">
      <c r="H1183" s="1104" t="s">
        <v>4202</v>
      </c>
      <c r="K1183" s="1114">
        <f>SUM(K1176:K1180)</f>
        <v>377.63198666666665</v>
      </c>
      <c r="M1183" s="1108"/>
      <c r="O1183" s="1105" t="s">
        <v>3665</v>
      </c>
      <c r="R1183" s="1119">
        <f>SUM(R1172:R1182)</f>
        <v>8047.621079999999</v>
      </c>
      <c r="S1183" s="1105"/>
      <c r="AE1183" s="1114" t="str">
        <f t="shared" si="144"/>
        <v>|</v>
      </c>
      <c r="AG1183" s="1103" t="s">
        <v>3430</v>
      </c>
    </row>
    <row r="1184" spans="6:33" ht="24" customHeight="1">
      <c r="K1184" s="1111" t="s">
        <v>36</v>
      </c>
      <c r="M1184" s="1108"/>
      <c r="O1184" s="1105" t="s">
        <v>3062</v>
      </c>
      <c r="R1184" s="1105">
        <f>R1183+C22</f>
        <v>8150.9210799999992</v>
      </c>
      <c r="AE1184" s="1114" t="str">
        <f t="shared" si="144"/>
        <v>|</v>
      </c>
      <c r="AG1184" s="1103" t="s">
        <v>3430</v>
      </c>
    </row>
    <row r="1185" spans="6:37" ht="24" customHeight="1">
      <c r="H1185" s="1104" t="s">
        <v>4203</v>
      </c>
      <c r="K1185" s="1115">
        <f>ROUND(K1183/0.5334,1)+0.1</f>
        <v>708.1</v>
      </c>
      <c r="R1185" s="1105">
        <f>R1184+T1182</f>
        <v>8354.4210800000001</v>
      </c>
      <c r="AE1185" s="1114" t="str">
        <f t="shared" si="144"/>
        <v>|</v>
      </c>
      <c r="AG1185" s="1103" t="s">
        <v>3430</v>
      </c>
    </row>
    <row r="1186" spans="6:37" ht="24" customHeight="1">
      <c r="F1186" s="1103" t="s">
        <v>220</v>
      </c>
      <c r="K1186" s="1111" t="s">
        <v>2793</v>
      </c>
      <c r="Y1186" s="1139">
        <v>15.1</v>
      </c>
      <c r="Z1186" s="1114" t="s">
        <v>3589</v>
      </c>
      <c r="AA1186" s="1106" t="s">
        <v>4204</v>
      </c>
      <c r="AC1186" s="1109"/>
      <c r="AE1186" s="1114" t="str">
        <f t="shared" si="144"/>
        <v>C.</v>
      </c>
      <c r="AF1186" s="1139">
        <v>15.1</v>
      </c>
      <c r="AG1186" s="1114" t="s">
        <v>3589</v>
      </c>
      <c r="AH1186" s="1166" t="s">
        <v>4205</v>
      </c>
      <c r="AJ1186" s="1109"/>
    </row>
    <row r="1187" spans="6:37" ht="24" customHeight="1">
      <c r="F1187" s="1103" t="s">
        <v>220</v>
      </c>
      <c r="G1187" s="1114" t="s">
        <v>220</v>
      </c>
      <c r="H1187" s="1103" t="s">
        <v>220</v>
      </c>
      <c r="AA1187" s="1103" t="s">
        <v>3528</v>
      </c>
      <c r="AC1187" s="1109"/>
      <c r="AE1187" s="1114">
        <f t="shared" si="144"/>
        <v>0</v>
      </c>
      <c r="AH1187" s="1103" t="s">
        <v>3528</v>
      </c>
      <c r="AJ1187" s="1109"/>
    </row>
    <row r="1188" spans="6:37" ht="53.25" customHeight="1">
      <c r="F1188" s="1104" t="s">
        <v>2955</v>
      </c>
      <c r="G1188" s="1114" t="s">
        <v>1363</v>
      </c>
      <c r="H1188" s="1103" t="s">
        <v>4206</v>
      </c>
      <c r="Y1188" s="1114">
        <v>10</v>
      </c>
      <c r="Z1188" s="1114" t="s">
        <v>37</v>
      </c>
      <c r="AA1188" s="1129" t="s">
        <v>4207</v>
      </c>
      <c r="AB1188" s="1114">
        <v>1720</v>
      </c>
      <c r="AC1188" s="1104" t="s">
        <v>37</v>
      </c>
      <c r="AD1188" s="1114">
        <f>(Y1188*AB1188)</f>
        <v>17200</v>
      </c>
      <c r="AE1188" s="1114" t="str">
        <f t="shared" si="144"/>
        <v>Sqm</v>
      </c>
      <c r="AF1188" s="1114">
        <v>10</v>
      </c>
      <c r="AG1188" s="1114" t="s">
        <v>37</v>
      </c>
      <c r="AH1188" s="1129" t="s">
        <v>4208</v>
      </c>
      <c r="AI1188" s="1114">
        <v>852</v>
      </c>
      <c r="AJ1188" s="1104" t="s">
        <v>37</v>
      </c>
      <c r="AK1188" s="1114">
        <f>(AF1188*AI1188)</f>
        <v>8520</v>
      </c>
    </row>
    <row r="1189" spans="6:37" ht="24" customHeight="1">
      <c r="H1189" s="1103" t="s">
        <v>4209</v>
      </c>
      <c r="Y1189" s="1114">
        <v>0.12</v>
      </c>
      <c r="Z1189" s="1114" t="s">
        <v>2839</v>
      </c>
      <c r="AA1189" s="1103" t="s">
        <v>3596</v>
      </c>
      <c r="AB1189" s="1114">
        <f>P1333</f>
        <v>4795.8599999999997</v>
      </c>
      <c r="AC1189" s="1104" t="s">
        <v>2839</v>
      </c>
      <c r="AD1189" s="1114">
        <f>(Y1189*AB1189)</f>
        <v>575.50319999999999</v>
      </c>
      <c r="AE1189" s="1114" t="str">
        <f t="shared" si="144"/>
        <v>CUM</v>
      </c>
      <c r="AF1189" s="1114">
        <v>0.12</v>
      </c>
      <c r="AG1189" s="1114" t="s">
        <v>2839</v>
      </c>
      <c r="AH1189" s="1103" t="s">
        <v>3596</v>
      </c>
      <c r="AI1189" s="1114">
        <f>AB1189</f>
        <v>4795.8599999999997</v>
      </c>
      <c r="AJ1189" s="1104" t="s">
        <v>2839</v>
      </c>
      <c r="AK1189" s="1114">
        <f>(AF1189*AI1189)</f>
        <v>575.50319999999999</v>
      </c>
    </row>
    <row r="1190" spans="6:37" ht="24" customHeight="1">
      <c r="H1190" s="1111" t="s">
        <v>36</v>
      </c>
      <c r="Y1190" s="1114">
        <v>1</v>
      </c>
      <c r="Z1190" s="1114" t="s">
        <v>314</v>
      </c>
      <c r="AA1190" s="1103" t="s">
        <v>3532</v>
      </c>
      <c r="AB1190" s="1114">
        <f>P1334</f>
        <v>861</v>
      </c>
      <c r="AC1190" s="1104" t="s">
        <v>522</v>
      </c>
      <c r="AD1190" s="1114">
        <f>(Y1190*AB1190)</f>
        <v>861</v>
      </c>
      <c r="AE1190" s="1114" t="str">
        <f t="shared" si="144"/>
        <v>No.</v>
      </c>
      <c r="AF1190" s="1114">
        <v>1</v>
      </c>
      <c r="AG1190" s="1114" t="s">
        <v>314</v>
      </c>
      <c r="AH1190" s="1103" t="s">
        <v>3532</v>
      </c>
      <c r="AI1190" s="1114">
        <f>AB1190</f>
        <v>861</v>
      </c>
      <c r="AJ1190" s="1104" t="s">
        <v>522</v>
      </c>
      <c r="AK1190" s="1114">
        <f>(AF1190*AI1190)</f>
        <v>861</v>
      </c>
    </row>
    <row r="1191" spans="6:37" ht="24" customHeight="1">
      <c r="F1191" s="1114">
        <v>1</v>
      </c>
      <c r="G1191" s="1114" t="s">
        <v>165</v>
      </c>
      <c r="H1191" s="1103" t="s">
        <v>4210</v>
      </c>
      <c r="I1191" s="1114">
        <v>62.1</v>
      </c>
      <c r="J1191" s="1103" t="s">
        <v>165</v>
      </c>
      <c r="K1191" s="1115">
        <f>(F1191*I1191)</f>
        <v>62.1</v>
      </c>
      <c r="Y1191" s="1114">
        <v>1</v>
      </c>
      <c r="Z1191" s="1114" t="s">
        <v>314</v>
      </c>
      <c r="AA1191" s="1103" t="s">
        <v>4211</v>
      </c>
      <c r="AB1191" s="1114">
        <f>P1335</f>
        <v>562</v>
      </c>
      <c r="AC1191" s="1104" t="s">
        <v>522</v>
      </c>
      <c r="AD1191" s="1114">
        <f>(Y1191*AB1191)</f>
        <v>562</v>
      </c>
      <c r="AE1191" s="1114" t="str">
        <f t="shared" si="144"/>
        <v>No.</v>
      </c>
      <c r="AF1191" s="1114">
        <v>1</v>
      </c>
      <c r="AG1191" s="1114" t="s">
        <v>314</v>
      </c>
      <c r="AH1191" s="1103" t="s">
        <v>4211</v>
      </c>
      <c r="AI1191" s="1114">
        <f>AB1191</f>
        <v>562</v>
      </c>
      <c r="AJ1191" s="1104" t="s">
        <v>522</v>
      </c>
      <c r="AK1191" s="1114">
        <f>(AF1191*AI1191)</f>
        <v>562</v>
      </c>
    </row>
    <row r="1192" spans="6:37" ht="24" customHeight="1">
      <c r="K1192" s="1111" t="s">
        <v>2793</v>
      </c>
      <c r="Y1192" s="1114"/>
      <c r="Z1192" s="1114" t="s">
        <v>2851</v>
      </c>
      <c r="AA1192" s="1103" t="s">
        <v>3536</v>
      </c>
      <c r="AC1192" s="1104" t="s">
        <v>2851</v>
      </c>
      <c r="AD1192" s="1114">
        <v>0.33</v>
      </c>
      <c r="AF1192" s="1114"/>
      <c r="AG1192" s="1114" t="s">
        <v>2851</v>
      </c>
      <c r="AH1192" s="1103" t="s">
        <v>3536</v>
      </c>
      <c r="AJ1192" s="1104" t="s">
        <v>2851</v>
      </c>
      <c r="AK1192" s="1114">
        <v>0.33</v>
      </c>
    </row>
    <row r="1193" spans="6:37" ht="24" customHeight="1">
      <c r="F1193" s="1104">
        <v>39</v>
      </c>
      <c r="H1193" s="1103" t="s">
        <v>4212</v>
      </c>
      <c r="I1193" s="1114">
        <v>62.6</v>
      </c>
      <c r="J1193" s="1103" t="s">
        <v>165</v>
      </c>
      <c r="K1193" s="1115">
        <f>I1193</f>
        <v>62.6</v>
      </c>
      <c r="Y1193" s="1114"/>
      <c r="AA1193" s="1103" t="s">
        <v>3538</v>
      </c>
      <c r="AD1193" s="1109"/>
      <c r="AE1193" s="1111" t="s">
        <v>36</v>
      </c>
      <c r="AF1193" s="1114"/>
      <c r="AH1193" s="1103" t="s">
        <v>3538</v>
      </c>
      <c r="AK1193" s="1109"/>
    </row>
    <row r="1194" spans="6:37" ht="24" customHeight="1">
      <c r="F1194" s="1104" t="s">
        <v>2959</v>
      </c>
      <c r="G1194" s="1114" t="s">
        <v>1363</v>
      </c>
      <c r="H1194" s="1103" t="s">
        <v>4213</v>
      </c>
      <c r="I1194" s="1103" t="s">
        <v>220</v>
      </c>
      <c r="J1194" s="1103" t="s">
        <v>3820</v>
      </c>
      <c r="K1194" s="1115">
        <v>9.6</v>
      </c>
      <c r="Y1194" s="1114"/>
      <c r="AA1194" s="1104" t="s">
        <v>3606</v>
      </c>
      <c r="AC1194" s="1109"/>
      <c r="AD1194" s="1114">
        <f>SUM(AD1188:AD1193)</f>
        <v>19198.833200000001</v>
      </c>
      <c r="AE1194" s="1114">
        <f>SUM(AE1188:AE1192)</f>
        <v>0</v>
      </c>
      <c r="AF1194" s="1114"/>
      <c r="AH1194" s="1104" t="s">
        <v>3606</v>
      </c>
      <c r="AJ1194" s="1109"/>
      <c r="AK1194" s="1114">
        <f>SUM(AK1188:AK1193)</f>
        <v>10518.833199999999</v>
      </c>
    </row>
    <row r="1195" spans="6:37" ht="24" customHeight="1">
      <c r="H1195" s="1103" t="s">
        <v>4214</v>
      </c>
      <c r="K1195" s="1111" t="s">
        <v>2793</v>
      </c>
      <c r="AC1195" s="1109"/>
      <c r="AD1195" s="1111" t="s">
        <v>36</v>
      </c>
      <c r="AE1195" s="1111" t="s">
        <v>36</v>
      </c>
      <c r="AJ1195" s="1109"/>
      <c r="AK1195" s="1111" t="s">
        <v>36</v>
      </c>
    </row>
    <row r="1196" spans="6:37" ht="24" customHeight="1">
      <c r="AA1196" s="1104" t="s">
        <v>3611</v>
      </c>
      <c r="AD1196" s="1115">
        <f>AD1194/10</f>
        <v>1919.8833200000001</v>
      </c>
      <c r="AH1196" s="1104" t="s">
        <v>3611</v>
      </c>
      <c r="AK1196" s="1115">
        <f>AK1194/10</f>
        <v>1051.8833199999999</v>
      </c>
    </row>
    <row r="1197" spans="6:37" ht="24" customHeight="1">
      <c r="F1197" s="1104" t="s">
        <v>2972</v>
      </c>
      <c r="G1197" s="1114" t="s">
        <v>1363</v>
      </c>
      <c r="H1197" s="1103" t="s">
        <v>4215</v>
      </c>
      <c r="AA1197" s="1103" t="s">
        <v>3062</v>
      </c>
      <c r="AC1197" s="1109">
        <f>C22*0.02</f>
        <v>2.0659999999999998</v>
      </c>
      <c r="AD1197" s="1114">
        <f>AD1196+AC1197</f>
        <v>1921.9493200000002</v>
      </c>
      <c r="AH1197" s="1103" t="s">
        <v>3062</v>
      </c>
      <c r="AJ1197" s="1109">
        <f>C22*0.01</f>
        <v>1.0329999999999999</v>
      </c>
      <c r="AK1197" s="1114">
        <f>AK1196+AJ1197</f>
        <v>1052.9163199999998</v>
      </c>
    </row>
    <row r="1198" spans="6:37" ht="24" customHeight="1">
      <c r="H1198" s="1103" t="s">
        <v>4216</v>
      </c>
      <c r="AA1198" s="1103" t="s">
        <v>3066</v>
      </c>
      <c r="AC1198" s="1109">
        <f>C23*0.02</f>
        <v>4.07</v>
      </c>
      <c r="AD1198" s="1114">
        <f>AD1197+AC1198</f>
        <v>1926.0193200000001</v>
      </c>
      <c r="AH1198" s="1103" t="s">
        <v>3066</v>
      </c>
      <c r="AJ1198" s="1109">
        <f>C23*0.01</f>
        <v>2.0350000000000001</v>
      </c>
      <c r="AK1198" s="1114">
        <f>AK1197+AJ1198</f>
        <v>1054.9513199999999</v>
      </c>
    </row>
    <row r="1199" spans="6:37" ht="24" customHeight="1">
      <c r="H1199" s="1111" t="s">
        <v>36</v>
      </c>
      <c r="AA1199" s="1103" t="s">
        <v>3069</v>
      </c>
      <c r="AC1199" s="1109">
        <f t="shared" ref="AC1199:AC1208" si="148">AC1198</f>
        <v>4.07</v>
      </c>
      <c r="AD1199" s="1114">
        <f t="shared" ref="AD1199:AD1208" si="149">+AD1198+AC1199</f>
        <v>1930.08932</v>
      </c>
      <c r="AH1199" s="1103" t="s">
        <v>3069</v>
      </c>
      <c r="AJ1199" s="1109">
        <f>C24*0.01</f>
        <v>2.0350000000000001</v>
      </c>
      <c r="AK1199" s="1114">
        <f t="shared" ref="AK1199:AK1206" si="150">+AK1198+AJ1199</f>
        <v>1056.98632</v>
      </c>
    </row>
    <row r="1200" spans="6:37" ht="24" customHeight="1">
      <c r="F1200" s="1114">
        <v>0.22</v>
      </c>
      <c r="G1200" s="1114" t="s">
        <v>2839</v>
      </c>
      <c r="H1200" s="1103" t="s">
        <v>2963</v>
      </c>
      <c r="I1200" s="1114">
        <f>K40</f>
        <v>4080.66</v>
      </c>
      <c r="J1200" s="1103" t="s">
        <v>2839</v>
      </c>
      <c r="K1200" s="1114">
        <f>(F1200*I1200)</f>
        <v>897.74519999999995</v>
      </c>
      <c r="AA1200" s="1103" t="s">
        <v>3071</v>
      </c>
      <c r="AC1200" s="1109">
        <f t="shared" si="148"/>
        <v>4.07</v>
      </c>
      <c r="AD1200" s="1114">
        <f t="shared" si="149"/>
        <v>1934.15932</v>
      </c>
      <c r="AH1200" s="1103" t="s">
        <v>3071</v>
      </c>
      <c r="AJ1200" s="1109">
        <v>1.95</v>
      </c>
      <c r="AK1200" s="1114">
        <f t="shared" si="150"/>
        <v>1058.93632</v>
      </c>
    </row>
    <row r="1201" spans="6:46" ht="24" customHeight="1">
      <c r="F1201" s="1114">
        <v>2.2000000000000002</v>
      </c>
      <c r="G1201" s="1114" t="s">
        <v>2941</v>
      </c>
      <c r="H1201" s="1103" t="s">
        <v>3051</v>
      </c>
      <c r="I1201" s="1114">
        <f>(C10)</f>
        <v>861</v>
      </c>
      <c r="J1201" s="1103" t="s">
        <v>2941</v>
      </c>
      <c r="K1201" s="1114">
        <f>(F1201*I1201)</f>
        <v>1894.2</v>
      </c>
      <c r="AA1201" s="1103" t="s">
        <v>3451</v>
      </c>
      <c r="AC1201" s="1109">
        <f t="shared" si="148"/>
        <v>4.07</v>
      </c>
      <c r="AD1201" s="1114">
        <f t="shared" si="149"/>
        <v>1938.2293199999999</v>
      </c>
      <c r="AH1201" s="1103" t="s">
        <v>3451</v>
      </c>
      <c r="AJ1201" s="1109">
        <v>1.95</v>
      </c>
      <c r="AK1201" s="1114">
        <f t="shared" si="150"/>
        <v>1060.8863200000001</v>
      </c>
    </row>
    <row r="1202" spans="6:46" ht="24" customHeight="1">
      <c r="F1202" s="1114">
        <v>0.5</v>
      </c>
      <c r="G1202" s="1114" t="s">
        <v>2941</v>
      </c>
      <c r="H1202" s="1103" t="s">
        <v>4217</v>
      </c>
      <c r="I1202" s="1114">
        <f>(C12)</f>
        <v>562</v>
      </c>
      <c r="J1202" s="1103" t="s">
        <v>2941</v>
      </c>
      <c r="K1202" s="1114">
        <f>(F1202*I1202)</f>
        <v>281</v>
      </c>
      <c r="AA1202" s="1105">
        <v>5</v>
      </c>
      <c r="AC1202" s="1109">
        <f t="shared" si="148"/>
        <v>4.07</v>
      </c>
      <c r="AD1202" s="1114">
        <f t="shared" si="149"/>
        <v>1942.2993199999999</v>
      </c>
      <c r="AE1202" s="1114">
        <f t="shared" si="144"/>
        <v>0</v>
      </c>
      <c r="AH1202" s="1105">
        <v>5</v>
      </c>
      <c r="AJ1202" s="1109">
        <f>AC1202</f>
        <v>4.07</v>
      </c>
      <c r="AK1202" s="1114">
        <f t="shared" si="150"/>
        <v>1064.95632</v>
      </c>
    </row>
    <row r="1203" spans="6:46" ht="24" customHeight="1">
      <c r="F1203" s="1114">
        <v>3.2</v>
      </c>
      <c r="G1203" s="1114" t="s">
        <v>2941</v>
      </c>
      <c r="H1203" s="1103" t="s">
        <v>3026</v>
      </c>
      <c r="I1203" s="1114">
        <f>(C13)</f>
        <v>461</v>
      </c>
      <c r="J1203" s="1103" t="s">
        <v>2941</v>
      </c>
      <c r="K1203" s="1114">
        <f>(F1203*I1203)</f>
        <v>1475.2</v>
      </c>
      <c r="AA1203" s="1105">
        <v>6</v>
      </c>
      <c r="AC1203" s="1109">
        <f t="shared" si="148"/>
        <v>4.07</v>
      </c>
      <c r="AD1203" s="1114">
        <f t="shared" si="149"/>
        <v>1946.3693199999998</v>
      </c>
      <c r="AE1203" s="1114">
        <f t="shared" si="144"/>
        <v>0</v>
      </c>
      <c r="AH1203" s="1105">
        <v>6</v>
      </c>
      <c r="AJ1203" s="1109">
        <f>AC1203</f>
        <v>4.07</v>
      </c>
      <c r="AK1203" s="1114">
        <f t="shared" si="150"/>
        <v>1069.0263199999999</v>
      </c>
    </row>
    <row r="1204" spans="6:46" ht="24" customHeight="1">
      <c r="F1204" s="1114"/>
      <c r="G1204" s="1114"/>
      <c r="H1204" s="1103"/>
      <c r="I1204" s="1114"/>
      <c r="J1204" s="1103"/>
      <c r="K1204" s="1114"/>
      <c r="AA1204" s="1105">
        <v>7</v>
      </c>
      <c r="AC1204" s="1109">
        <f t="shared" si="148"/>
        <v>4.07</v>
      </c>
      <c r="AD1204" s="1114">
        <f t="shared" si="149"/>
        <v>1950.4393199999997</v>
      </c>
      <c r="AE1204" s="1114"/>
      <c r="AH1204" s="1105">
        <v>7</v>
      </c>
      <c r="AJ1204" s="1109">
        <f>AC1204</f>
        <v>4.07</v>
      </c>
      <c r="AK1204" s="1114">
        <f t="shared" si="150"/>
        <v>1073.0963199999999</v>
      </c>
    </row>
    <row r="1205" spans="6:46" ht="24" customHeight="1">
      <c r="F1205" s="1114"/>
      <c r="G1205" s="1114"/>
      <c r="H1205" s="1103"/>
      <c r="I1205" s="1114"/>
      <c r="J1205" s="1103"/>
      <c r="K1205" s="1114"/>
      <c r="AA1205" s="1105">
        <v>8</v>
      </c>
      <c r="AC1205" s="1109">
        <f t="shared" si="148"/>
        <v>4.07</v>
      </c>
      <c r="AD1205" s="1114">
        <f t="shared" si="149"/>
        <v>1954.5093199999997</v>
      </c>
      <c r="AE1205" s="1114"/>
      <c r="AH1205" s="1105">
        <v>8</v>
      </c>
      <c r="AJ1205" s="1109">
        <f>AC1205</f>
        <v>4.07</v>
      </c>
      <c r="AK1205" s="1114">
        <f t="shared" si="150"/>
        <v>1077.1663199999998</v>
      </c>
    </row>
    <row r="1206" spans="6:46" ht="24" customHeight="1">
      <c r="F1206" s="1114"/>
      <c r="G1206" s="1114"/>
      <c r="H1206" s="1103"/>
      <c r="I1206" s="1114"/>
      <c r="J1206" s="1103"/>
      <c r="K1206" s="1114"/>
      <c r="AA1206" s="1105">
        <v>9</v>
      </c>
      <c r="AC1206" s="1109">
        <f t="shared" si="148"/>
        <v>4.07</v>
      </c>
      <c r="AD1206" s="1114">
        <f t="shared" si="149"/>
        <v>1958.5793199999996</v>
      </c>
      <c r="AE1206" s="1114"/>
      <c r="AH1206" s="1105">
        <v>9</v>
      </c>
      <c r="AJ1206" s="1109">
        <f>AC1206</f>
        <v>4.07</v>
      </c>
      <c r="AK1206" s="1114">
        <f t="shared" si="150"/>
        <v>1081.2363199999998</v>
      </c>
    </row>
    <row r="1207" spans="6:46" ht="24" customHeight="1">
      <c r="F1207" s="1114"/>
      <c r="G1207" s="1114"/>
      <c r="H1207" s="1103"/>
      <c r="I1207" s="1114"/>
      <c r="J1207" s="1103"/>
      <c r="K1207" s="1114"/>
      <c r="AA1207" s="1105">
        <v>10</v>
      </c>
      <c r="AC1207" s="1109">
        <f t="shared" si="148"/>
        <v>4.07</v>
      </c>
      <c r="AD1207" s="1114">
        <f t="shared" si="149"/>
        <v>1962.6493199999995</v>
      </c>
      <c r="AE1207" s="1114"/>
      <c r="AG1207" s="1103"/>
    </row>
    <row r="1208" spans="6:46" ht="24" customHeight="1">
      <c r="F1208" s="1114"/>
      <c r="G1208" s="1114"/>
      <c r="H1208" s="1103"/>
      <c r="I1208" s="1114"/>
      <c r="J1208" s="1103"/>
      <c r="K1208" s="1114"/>
      <c r="AA1208" s="1105">
        <v>11</v>
      </c>
      <c r="AC1208" s="1109">
        <f t="shared" si="148"/>
        <v>4.07</v>
      </c>
      <c r="AD1208" s="1114">
        <f t="shared" si="149"/>
        <v>1966.7193199999995</v>
      </c>
      <c r="AE1208" s="1114"/>
      <c r="AG1208" s="1103"/>
    </row>
    <row r="1209" spans="6:46" ht="24" customHeight="1">
      <c r="G1209" s="1114" t="s">
        <v>2851</v>
      </c>
      <c r="H1209" s="1103" t="s">
        <v>2852</v>
      </c>
      <c r="I1209" s="1103" t="s">
        <v>220</v>
      </c>
      <c r="J1209" s="1103" t="s">
        <v>2851</v>
      </c>
      <c r="K1209" s="1114">
        <v>5</v>
      </c>
      <c r="Q1209" s="1109"/>
      <c r="Y1209" s="1131">
        <v>29.5</v>
      </c>
      <c r="Z1209" s="1114" t="s">
        <v>1363</v>
      </c>
      <c r="AA1209" s="1106" t="s">
        <v>4218</v>
      </c>
      <c r="AE1209" s="1114" t="str">
        <f t="shared" ref="AE1209:AE1277" si="151">AG1209</f>
        <v>|</v>
      </c>
      <c r="AG1209" s="1103" t="s">
        <v>3430</v>
      </c>
    </row>
    <row r="1210" spans="6:46" ht="24" customHeight="1">
      <c r="K1210" s="1111" t="s">
        <v>36</v>
      </c>
      <c r="Q1210" s="1109"/>
      <c r="AA1210" s="1106" t="s">
        <v>4219</v>
      </c>
      <c r="AE1210" s="1114" t="str">
        <f t="shared" si="151"/>
        <v>|</v>
      </c>
      <c r="AG1210" s="1103" t="s">
        <v>3430</v>
      </c>
    </row>
    <row r="1211" spans="6:46" ht="24" customHeight="1">
      <c r="H1211" s="1103" t="s">
        <v>3152</v>
      </c>
      <c r="K1211" s="1114">
        <f>SUM(K1200:K1209)</f>
        <v>4553.1451999999999</v>
      </c>
      <c r="Q1211" s="1109"/>
      <c r="AA1211" s="1103"/>
      <c r="AE1211" s="1114" t="str">
        <f t="shared" si="151"/>
        <v>|</v>
      </c>
      <c r="AG1211" s="1103" t="s">
        <v>3430</v>
      </c>
    </row>
    <row r="1212" spans="6:46" ht="36.75" customHeight="1">
      <c r="F1212" s="1105" t="s">
        <v>220</v>
      </c>
      <c r="K1212" s="1111" t="s">
        <v>36</v>
      </c>
      <c r="O1212" s="1167" t="s">
        <v>4220</v>
      </c>
      <c r="Q1212" s="1109"/>
      <c r="AA1212" s="1111" t="s">
        <v>36</v>
      </c>
      <c r="AB1212" s="1111" t="s">
        <v>36</v>
      </c>
      <c r="AC1212" s="1107">
        <f>54.96*10.764</f>
        <v>591.58943999999997</v>
      </c>
      <c r="AE1212" s="1114" t="str">
        <f t="shared" si="151"/>
        <v>|</v>
      </c>
      <c r="AG1212" s="1103" t="s">
        <v>3430</v>
      </c>
    </row>
    <row r="1213" spans="6:46" ht="30" customHeight="1">
      <c r="H1213" s="1118" t="s">
        <v>3154</v>
      </c>
      <c r="K1213" s="1115">
        <f>(K1211/10)</f>
        <v>455.31452000000002</v>
      </c>
      <c r="Q1213" s="1109"/>
      <c r="Y1213" s="1114">
        <v>10</v>
      </c>
      <c r="Z1213" s="1114" t="s">
        <v>3189</v>
      </c>
      <c r="AA1213" s="1129" t="s">
        <v>4221</v>
      </c>
      <c r="AB1213" s="1114">
        <v>591.59</v>
      </c>
      <c r="AC1213" s="1103" t="s">
        <v>3189</v>
      </c>
      <c r="AD1213" s="1114">
        <f>(Y1213*AB1213)</f>
        <v>5915.9000000000005</v>
      </c>
      <c r="AE1213" s="1114" t="str">
        <f t="shared" si="151"/>
        <v>|</v>
      </c>
      <c r="AG1213" s="1103" t="s">
        <v>3430</v>
      </c>
    </row>
    <row r="1214" spans="6:46" ht="24" customHeight="1">
      <c r="K1214" s="1111" t="s">
        <v>2793</v>
      </c>
      <c r="Q1214" s="1109"/>
      <c r="S1214" s="1168" t="s">
        <v>4222</v>
      </c>
      <c r="Y1214" s="1114">
        <v>0.21</v>
      </c>
      <c r="Z1214" s="1114" t="s">
        <v>2839</v>
      </c>
      <c r="AA1214" s="1103" t="s">
        <v>4223</v>
      </c>
      <c r="AB1214" s="1114">
        <f t="shared" ref="AB1214:AB1226" si="152">AB1242</f>
        <v>4795.8599999999997</v>
      </c>
      <c r="AC1214" s="1103" t="s">
        <v>2839</v>
      </c>
      <c r="AD1214" s="1114">
        <f>(Y1214*AB1214)</f>
        <v>1007.1305999999998</v>
      </c>
      <c r="AE1214" s="1114" t="str">
        <f t="shared" si="151"/>
        <v>|</v>
      </c>
      <c r="AG1214" s="1103" t="s">
        <v>3430</v>
      </c>
      <c r="AR1214" s="1167" t="s">
        <v>4224</v>
      </c>
      <c r="AT1214" s="1109"/>
    </row>
    <row r="1215" spans="6:46" ht="56.25" customHeight="1">
      <c r="F1215" s="1104" t="s">
        <v>4225</v>
      </c>
      <c r="G1215" s="1114" t="s">
        <v>1363</v>
      </c>
      <c r="H1215" s="1103" t="s">
        <v>4226</v>
      </c>
      <c r="M1215" s="1114">
        <v>10</v>
      </c>
      <c r="N1215" s="1114" t="s">
        <v>3189</v>
      </c>
      <c r="O1215" s="1103" t="s">
        <v>4227</v>
      </c>
      <c r="P1215" s="1127">
        <v>628</v>
      </c>
      <c r="Q1215" s="1104" t="s">
        <v>3189</v>
      </c>
      <c r="R1215" s="1114">
        <f>M1215*P1215</f>
        <v>6280</v>
      </c>
      <c r="S1215" s="1108">
        <v>694.02</v>
      </c>
      <c r="T1215" s="1105">
        <f>S1215*M1215</f>
        <v>6940.2</v>
      </c>
      <c r="AA1215" s="1103" t="s">
        <v>4228</v>
      </c>
      <c r="AB1215" s="1114" t="str">
        <f t="shared" si="152"/>
        <v xml:space="preserve"> </v>
      </c>
      <c r="AC1215" s="1107"/>
      <c r="AD1215" s="1103" t="s">
        <v>220</v>
      </c>
      <c r="AE1215" s="1114" t="str">
        <f t="shared" si="151"/>
        <v>|</v>
      </c>
      <c r="AG1215" s="1103" t="s">
        <v>3430</v>
      </c>
      <c r="AR1215" s="1154" t="s">
        <v>4229</v>
      </c>
      <c r="AT1215" s="1109"/>
    </row>
    <row r="1216" spans="6:46" ht="24" customHeight="1">
      <c r="H1216" s="1103" t="s">
        <v>4230</v>
      </c>
      <c r="M1216" s="1114">
        <v>0.21</v>
      </c>
      <c r="N1216" s="1114" t="s">
        <v>2839</v>
      </c>
      <c r="O1216" s="1103" t="s">
        <v>4223</v>
      </c>
      <c r="P1216" s="1114">
        <f>I1220</f>
        <v>4795.8599999999997</v>
      </c>
      <c r="Q1216" s="1104" t="s">
        <v>2839</v>
      </c>
      <c r="R1216" s="1114">
        <f t="shared" ref="R1216:R1225" si="153">(M1216*P1216)</f>
        <v>1007.1305999999998</v>
      </c>
      <c r="T1216" s="1105">
        <f>R1216</f>
        <v>1007.1305999999998</v>
      </c>
      <c r="Y1216" s="1114">
        <v>1.1000000000000001</v>
      </c>
      <c r="Z1216" s="1114" t="s">
        <v>2941</v>
      </c>
      <c r="AA1216" s="1103" t="s">
        <v>3051</v>
      </c>
      <c r="AB1216" s="1114">
        <f t="shared" si="152"/>
        <v>861</v>
      </c>
      <c r="AC1216" s="1103" t="s">
        <v>2941</v>
      </c>
      <c r="AD1216" s="1114">
        <f>(Y1216*AB1216)</f>
        <v>947.1</v>
      </c>
      <c r="AE1216" s="1114" t="str">
        <f t="shared" si="151"/>
        <v>|</v>
      </c>
      <c r="AG1216" s="1103" t="s">
        <v>3430</v>
      </c>
      <c r="AT1216" s="1109"/>
    </row>
    <row r="1217" spans="6:47" ht="24" customHeight="1">
      <c r="H1217" s="1111" t="s">
        <v>36</v>
      </c>
      <c r="M1217" s="1114">
        <v>1.1000000000000001</v>
      </c>
      <c r="N1217" s="1114" t="s">
        <v>2941</v>
      </c>
      <c r="O1217" s="1103" t="s">
        <v>3051</v>
      </c>
      <c r="P1217" s="1114">
        <f>I1222</f>
        <v>861</v>
      </c>
      <c r="Q1217" s="1104" t="s">
        <v>2941</v>
      </c>
      <c r="R1217" s="1114">
        <f t="shared" si="153"/>
        <v>947.1</v>
      </c>
      <c r="T1217" s="1105">
        <f t="shared" ref="T1217:T1225" si="154">R1217</f>
        <v>947.1</v>
      </c>
      <c r="Y1217" s="1114">
        <v>1.1000000000000001</v>
      </c>
      <c r="Z1217" s="1114" t="s">
        <v>2941</v>
      </c>
      <c r="AA1217" s="1103" t="s">
        <v>3017</v>
      </c>
      <c r="AB1217" s="1114">
        <f t="shared" si="152"/>
        <v>804</v>
      </c>
      <c r="AC1217" s="1103" t="s">
        <v>2941</v>
      </c>
      <c r="AD1217" s="1114">
        <f>(Y1217*AB1217)</f>
        <v>884.40000000000009</v>
      </c>
      <c r="AE1217" s="1114" t="str">
        <f t="shared" si="151"/>
        <v>|</v>
      </c>
      <c r="AG1217" s="1103" t="s">
        <v>3430</v>
      </c>
      <c r="AP1217" s="1114">
        <v>10</v>
      </c>
      <c r="AQ1217" s="1114" t="s">
        <v>37</v>
      </c>
      <c r="AR1217" s="1103" t="s">
        <v>4231</v>
      </c>
      <c r="AS1217" s="1127">
        <v>547</v>
      </c>
      <c r="AT1217" s="1104" t="s">
        <v>37</v>
      </c>
      <c r="AU1217" s="1114">
        <f>AP1217*AS1217</f>
        <v>5470</v>
      </c>
    </row>
    <row r="1218" spans="6:47" ht="6" customHeight="1">
      <c r="F1218" s="1114">
        <v>160</v>
      </c>
      <c r="G1218" s="1114" t="s">
        <v>4154</v>
      </c>
      <c r="H1218" s="1103" t="s">
        <v>4232</v>
      </c>
      <c r="I1218" s="1114">
        <f>(C137)</f>
        <v>11790</v>
      </c>
      <c r="J1218" s="1103" t="s">
        <v>3077</v>
      </c>
      <c r="K1218" s="1114">
        <f>(F1218*I1218)/1000</f>
        <v>1886.4</v>
      </c>
      <c r="M1218" s="1114">
        <v>1.1000000000000001</v>
      </c>
      <c r="N1218" s="1114" t="s">
        <v>2941</v>
      </c>
      <c r="O1218" s="1103" t="s">
        <v>3017</v>
      </c>
      <c r="P1218" s="1114">
        <f>I1223</f>
        <v>804</v>
      </c>
      <c r="Q1218" s="1104" t="s">
        <v>2941</v>
      </c>
      <c r="R1218" s="1114">
        <f t="shared" si="153"/>
        <v>884.40000000000009</v>
      </c>
      <c r="T1218" s="1105">
        <f t="shared" si="154"/>
        <v>884.40000000000009</v>
      </c>
      <c r="Y1218" s="1114">
        <v>2.2000000000000002</v>
      </c>
      <c r="Z1218" s="1114" t="s">
        <v>2941</v>
      </c>
      <c r="AA1218" s="1103" t="s">
        <v>3020</v>
      </c>
      <c r="AB1218" s="1114">
        <f t="shared" si="152"/>
        <v>562</v>
      </c>
      <c r="AC1218" s="1103" t="s">
        <v>2941</v>
      </c>
      <c r="AD1218" s="1114">
        <f>(Y1218*AB1218)</f>
        <v>1236.4000000000001</v>
      </c>
      <c r="AE1218" s="1114" t="str">
        <f t="shared" si="151"/>
        <v>|</v>
      </c>
      <c r="AG1218" s="1103" t="s">
        <v>3430</v>
      </c>
      <c r="AP1218" s="1114"/>
      <c r="AQ1218" s="1114"/>
      <c r="AR1218" s="1103"/>
      <c r="AS1218" s="1114"/>
      <c r="AT1218" s="1104"/>
      <c r="AU1218" s="1114"/>
    </row>
    <row r="1219" spans="6:47" ht="24" customHeight="1">
      <c r="H1219" s="1103" t="s">
        <v>4233</v>
      </c>
      <c r="I1219" s="1103" t="s">
        <v>220</v>
      </c>
      <c r="K1219" s="1103" t="s">
        <v>220</v>
      </c>
      <c r="M1219" s="1114">
        <v>2.2000000000000002</v>
      </c>
      <c r="N1219" s="1114" t="s">
        <v>2941</v>
      </c>
      <c r="O1219" s="1103" t="s">
        <v>3020</v>
      </c>
      <c r="P1219" s="1114">
        <f>I1224</f>
        <v>562</v>
      </c>
      <c r="Q1219" s="1104" t="s">
        <v>2941</v>
      </c>
      <c r="R1219" s="1114">
        <f t="shared" si="153"/>
        <v>1236.4000000000001</v>
      </c>
      <c r="T1219" s="1105">
        <f t="shared" si="154"/>
        <v>1236.4000000000001</v>
      </c>
      <c r="Y1219" s="1114">
        <v>2.2000000000000002</v>
      </c>
      <c r="Z1219" s="1114" t="s">
        <v>2941</v>
      </c>
      <c r="AA1219" s="1103" t="s">
        <v>3026</v>
      </c>
      <c r="AB1219" s="1114">
        <f t="shared" si="152"/>
        <v>461</v>
      </c>
      <c r="AC1219" s="1103" t="s">
        <v>2941</v>
      </c>
      <c r="AD1219" s="1114">
        <f>(Y1219*AB1219)</f>
        <v>1014.2</v>
      </c>
      <c r="AE1219" s="1114" t="str">
        <f t="shared" si="151"/>
        <v>|</v>
      </c>
      <c r="AG1219" s="1103" t="s">
        <v>3430</v>
      </c>
      <c r="AP1219" s="1114">
        <v>1.8</v>
      </c>
      <c r="AQ1219" s="1114" t="s">
        <v>213</v>
      </c>
      <c r="AR1219" s="1103" t="s">
        <v>3051</v>
      </c>
      <c r="AS1219" s="1114">
        <f>AB1216</f>
        <v>861</v>
      </c>
      <c r="AT1219" s="1104" t="s">
        <v>2941</v>
      </c>
      <c r="AU1219" s="1114">
        <f>AP1219*AS1219</f>
        <v>1549.8</v>
      </c>
    </row>
    <row r="1220" spans="6:47" ht="24" customHeight="1">
      <c r="F1220" s="1114">
        <v>0.21</v>
      </c>
      <c r="G1220" s="1114" t="s">
        <v>2839</v>
      </c>
      <c r="H1220" s="1103" t="s">
        <v>4223</v>
      </c>
      <c r="I1220" s="1114">
        <f>(K32)</f>
        <v>4795.8599999999997</v>
      </c>
      <c r="J1220" s="1103" t="s">
        <v>2839</v>
      </c>
      <c r="K1220" s="1114">
        <f>(F1220*I1220)</f>
        <v>1007.1305999999998</v>
      </c>
      <c r="M1220" s="1114">
        <v>2.2000000000000002</v>
      </c>
      <c r="N1220" s="1114" t="s">
        <v>2941</v>
      </c>
      <c r="O1220" s="1103" t="s">
        <v>3026</v>
      </c>
      <c r="P1220" s="1114">
        <f>I1225</f>
        <v>461</v>
      </c>
      <c r="Q1220" s="1104" t="s">
        <v>2941</v>
      </c>
      <c r="R1220" s="1114">
        <f t="shared" si="153"/>
        <v>1014.2</v>
      </c>
      <c r="T1220" s="1105">
        <f t="shared" si="154"/>
        <v>1014.2</v>
      </c>
      <c r="Y1220" s="1128">
        <v>20</v>
      </c>
      <c r="Z1220" s="1114" t="s">
        <v>165</v>
      </c>
      <c r="AA1220" s="1103" t="s">
        <v>2830</v>
      </c>
      <c r="AB1220" s="1114">
        <f t="shared" si="152"/>
        <v>5960</v>
      </c>
      <c r="AC1220" s="1103" t="s">
        <v>197</v>
      </c>
      <c r="AD1220" s="1114">
        <f>(Y1220*AB1220)/1000</f>
        <v>119.2</v>
      </c>
      <c r="AE1220" s="1114" t="str">
        <f t="shared" si="151"/>
        <v>|</v>
      </c>
      <c r="AG1220" s="1103" t="s">
        <v>3430</v>
      </c>
      <c r="AP1220" s="1114">
        <v>3.6</v>
      </c>
      <c r="AQ1220" s="1114" t="s">
        <v>213</v>
      </c>
      <c r="AR1220" s="1103" t="s">
        <v>3017</v>
      </c>
      <c r="AS1220" s="1114">
        <f>AB1217</f>
        <v>804</v>
      </c>
      <c r="AT1220" s="1104" t="s">
        <v>2941</v>
      </c>
      <c r="AU1220" s="1114">
        <f>AP1220*AS1220</f>
        <v>2894.4</v>
      </c>
    </row>
    <row r="1221" spans="6:47" ht="24" customHeight="1">
      <c r="H1221" s="1103" t="s">
        <v>4228</v>
      </c>
      <c r="I1221" s="1103" t="s">
        <v>220</v>
      </c>
      <c r="K1221" s="1103" t="s">
        <v>220</v>
      </c>
      <c r="M1221" s="1128">
        <v>20</v>
      </c>
      <c r="N1221" s="1114" t="s">
        <v>165</v>
      </c>
      <c r="O1221" s="1103" t="s">
        <v>2830</v>
      </c>
      <c r="P1221" s="1114">
        <f>I1226</f>
        <v>5960</v>
      </c>
      <c r="Q1221" s="1104" t="s">
        <v>197</v>
      </c>
      <c r="R1221" s="1114">
        <f>(M1221*P1221)/1000</f>
        <v>119.2</v>
      </c>
      <c r="T1221" s="1105">
        <f t="shared" si="154"/>
        <v>119.2</v>
      </c>
      <c r="Y1221" s="1128">
        <v>2</v>
      </c>
      <c r="Z1221" s="1114" t="s">
        <v>165</v>
      </c>
      <c r="AA1221" s="1103" t="s">
        <v>4234</v>
      </c>
      <c r="AB1221" s="1114">
        <f t="shared" si="152"/>
        <v>36.1</v>
      </c>
      <c r="AC1221" s="1103" t="s">
        <v>165</v>
      </c>
      <c r="AD1221" s="1114">
        <f>(Y1221*AB1221)</f>
        <v>72.2</v>
      </c>
      <c r="AE1221" s="1114" t="str">
        <f t="shared" si="151"/>
        <v>|</v>
      </c>
      <c r="AG1221" s="1103" t="s">
        <v>3430</v>
      </c>
      <c r="AP1221" s="1114">
        <v>2.2000000000000002</v>
      </c>
      <c r="AQ1221" s="1114" t="s">
        <v>213</v>
      </c>
      <c r="AR1221" s="1103" t="s">
        <v>3020</v>
      </c>
      <c r="AS1221" s="1114">
        <f>AB1218</f>
        <v>562</v>
      </c>
      <c r="AT1221" s="1104" t="s">
        <v>2941</v>
      </c>
      <c r="AU1221" s="1114">
        <f>AP1221*AS1221</f>
        <v>1236.4000000000001</v>
      </c>
    </row>
    <row r="1222" spans="6:47" ht="24" customHeight="1">
      <c r="F1222" s="1114">
        <v>1.1000000000000001</v>
      </c>
      <c r="G1222" s="1114" t="s">
        <v>2941</v>
      </c>
      <c r="H1222" s="1103" t="s">
        <v>3051</v>
      </c>
      <c r="I1222" s="1114">
        <f>(C10)</f>
        <v>861</v>
      </c>
      <c r="J1222" s="1103" t="s">
        <v>2941</v>
      </c>
      <c r="K1222" s="1114">
        <f>(F1222*I1222)</f>
        <v>947.1</v>
      </c>
      <c r="M1222" s="1128">
        <v>2</v>
      </c>
      <c r="N1222" s="1114" t="s">
        <v>165</v>
      </c>
      <c r="O1222" s="1103" t="s">
        <v>4235</v>
      </c>
      <c r="P1222" s="1114">
        <f>C608</f>
        <v>24.7</v>
      </c>
      <c r="Q1222" s="1104" t="s">
        <v>165</v>
      </c>
      <c r="R1222" s="1114">
        <f t="shared" si="153"/>
        <v>49.4</v>
      </c>
      <c r="T1222" s="1105">
        <f t="shared" si="154"/>
        <v>49.4</v>
      </c>
      <c r="Y1222" s="1114">
        <v>1.6</v>
      </c>
      <c r="Z1222" s="1114" t="s">
        <v>2941</v>
      </c>
      <c r="AA1222" s="1103" t="s">
        <v>3017</v>
      </c>
      <c r="AB1222" s="1114">
        <f t="shared" si="152"/>
        <v>804</v>
      </c>
      <c r="AC1222" s="1103" t="s">
        <v>2941</v>
      </c>
      <c r="AD1222" s="1114">
        <f>(Y1222*AB1222)</f>
        <v>1286.4000000000001</v>
      </c>
      <c r="AE1222" s="1114" t="str">
        <f t="shared" si="151"/>
        <v>|</v>
      </c>
      <c r="AG1222" s="1103" t="s">
        <v>3430</v>
      </c>
      <c r="AP1222" s="1114">
        <v>0.5</v>
      </c>
      <c r="AQ1222" s="1114" t="s">
        <v>213</v>
      </c>
      <c r="AR1222" s="1103" t="s">
        <v>4236</v>
      </c>
      <c r="AS1222" s="1114">
        <f>AE21</f>
        <v>661</v>
      </c>
      <c r="AT1222" s="1104" t="s">
        <v>2941</v>
      </c>
      <c r="AU1222" s="1114">
        <f>AP1222*AS1222</f>
        <v>330.5</v>
      </c>
    </row>
    <row r="1223" spans="6:47" ht="24" customHeight="1">
      <c r="F1223" s="1114">
        <v>1.1000000000000001</v>
      </c>
      <c r="G1223" s="1114" t="s">
        <v>2941</v>
      </c>
      <c r="H1223" s="1103" t="s">
        <v>3017</v>
      </c>
      <c r="I1223" s="1114">
        <f>(C11)</f>
        <v>804</v>
      </c>
      <c r="J1223" s="1103" t="s">
        <v>2941</v>
      </c>
      <c r="K1223" s="1114">
        <f>(F1223*I1223)</f>
        <v>884.40000000000009</v>
      </c>
      <c r="M1223" s="1114">
        <v>1.6</v>
      </c>
      <c r="N1223" s="1114" t="s">
        <v>2941</v>
      </c>
      <c r="O1223" s="1103" t="s">
        <v>3017</v>
      </c>
      <c r="P1223" s="1114">
        <f>P1218</f>
        <v>804</v>
      </c>
      <c r="Q1223" s="1104" t="s">
        <v>2941</v>
      </c>
      <c r="R1223" s="1114">
        <f t="shared" si="153"/>
        <v>1286.4000000000001</v>
      </c>
      <c r="T1223" s="1105">
        <f t="shared" si="154"/>
        <v>1286.4000000000001</v>
      </c>
      <c r="Y1223" s="1114">
        <v>0.5</v>
      </c>
      <c r="Z1223" s="1114" t="s">
        <v>2941</v>
      </c>
      <c r="AA1223" s="1103" t="s">
        <v>3020</v>
      </c>
      <c r="AB1223" s="1114">
        <f t="shared" si="152"/>
        <v>562</v>
      </c>
      <c r="AC1223" s="1103" t="s">
        <v>2941</v>
      </c>
      <c r="AD1223" s="1114">
        <f>(Y1223*AB1223)</f>
        <v>281</v>
      </c>
      <c r="AE1223" s="1114" t="str">
        <f t="shared" si="151"/>
        <v>|</v>
      </c>
      <c r="AG1223" s="1103" t="s">
        <v>3430</v>
      </c>
      <c r="AP1223" s="1114">
        <v>0.08</v>
      </c>
      <c r="AQ1223" s="1114" t="s">
        <v>204</v>
      </c>
      <c r="AR1223" s="1103" t="s">
        <v>4237</v>
      </c>
      <c r="AS1223" s="1114">
        <f>K144</f>
        <v>1864.56</v>
      </c>
      <c r="AT1223" s="1104" t="s">
        <v>204</v>
      </c>
      <c r="AU1223" s="1114">
        <f>AP1223*AS1223</f>
        <v>149.16479999999999</v>
      </c>
    </row>
    <row r="1224" spans="6:47" ht="42" customHeight="1">
      <c r="F1224" s="1114">
        <v>2.2000000000000002</v>
      </c>
      <c r="G1224" s="1114" t="s">
        <v>2941</v>
      </c>
      <c r="H1224" s="1103" t="s">
        <v>3020</v>
      </c>
      <c r="I1224" s="1114">
        <f>(C12)</f>
        <v>562</v>
      </c>
      <c r="J1224" s="1103" t="s">
        <v>2941</v>
      </c>
      <c r="K1224" s="1114">
        <f>(F1224*I1224)</f>
        <v>1236.4000000000001</v>
      </c>
      <c r="M1224" s="1114">
        <v>0.5</v>
      </c>
      <c r="N1224" s="1114" t="s">
        <v>2941</v>
      </c>
      <c r="O1224" s="1103" t="s">
        <v>3020</v>
      </c>
      <c r="P1224" s="1114">
        <f>P1219</f>
        <v>562</v>
      </c>
      <c r="Q1224" s="1104" t="s">
        <v>2941</v>
      </c>
      <c r="R1224" s="1114">
        <f t="shared" si="153"/>
        <v>281</v>
      </c>
      <c r="T1224" s="1105">
        <f t="shared" si="154"/>
        <v>281</v>
      </c>
      <c r="Y1224" s="1114">
        <v>1.1000000000000001</v>
      </c>
      <c r="Z1224" s="1114" t="s">
        <v>2941</v>
      </c>
      <c r="AA1224" s="1103" t="s">
        <v>3026</v>
      </c>
      <c r="AB1224" s="1114">
        <f t="shared" si="152"/>
        <v>461</v>
      </c>
      <c r="AC1224" s="1103" t="s">
        <v>2941</v>
      </c>
      <c r="AD1224" s="1114">
        <f>(Y1224*AB1224)</f>
        <v>507.1</v>
      </c>
      <c r="AE1224" s="1114" t="str">
        <f t="shared" si="151"/>
        <v>|</v>
      </c>
      <c r="AG1224" s="1103" t="s">
        <v>3430</v>
      </c>
      <c r="AR1224" s="1118" t="s">
        <v>3152</v>
      </c>
      <c r="AU1224" s="1115">
        <f>SUM(AU1217:AU1223)</f>
        <v>11630.264800000001</v>
      </c>
    </row>
    <row r="1225" spans="6:47" ht="36" customHeight="1">
      <c r="F1225" s="1114">
        <v>2.2000000000000002</v>
      </c>
      <c r="G1225" s="1114" t="s">
        <v>2941</v>
      </c>
      <c r="H1225" s="1103" t="s">
        <v>3026</v>
      </c>
      <c r="I1225" s="1114">
        <f>(C13)</f>
        <v>461</v>
      </c>
      <c r="J1225" s="1103" t="s">
        <v>2941</v>
      </c>
      <c r="K1225" s="1114">
        <f>(F1225*I1225)</f>
        <v>1014.2</v>
      </c>
      <c r="M1225" s="1114">
        <v>1.1000000000000001</v>
      </c>
      <c r="N1225" s="1114" t="s">
        <v>2941</v>
      </c>
      <c r="O1225" s="1103" t="s">
        <v>3026</v>
      </c>
      <c r="P1225" s="1114">
        <f>P1220</f>
        <v>461</v>
      </c>
      <c r="Q1225" s="1104" t="s">
        <v>2941</v>
      </c>
      <c r="R1225" s="1114">
        <f t="shared" si="153"/>
        <v>507.1</v>
      </c>
      <c r="T1225" s="1105">
        <f t="shared" si="154"/>
        <v>507.1</v>
      </c>
      <c r="Z1225" s="1114" t="s">
        <v>2851</v>
      </c>
      <c r="AA1225" s="1103" t="s">
        <v>2852</v>
      </c>
      <c r="AB1225" s="1114">
        <f t="shared" si="152"/>
        <v>0</v>
      </c>
      <c r="AC1225" s="1103" t="s">
        <v>2851</v>
      </c>
      <c r="AD1225" s="1114">
        <v>0</v>
      </c>
      <c r="AE1225" s="1114" t="str">
        <f t="shared" si="151"/>
        <v>|</v>
      </c>
      <c r="AG1225" s="1103" t="s">
        <v>3430</v>
      </c>
      <c r="AP1225" s="1114"/>
      <c r="AQ1225" s="1114"/>
      <c r="AR1225" s="1118" t="s">
        <v>4238</v>
      </c>
      <c r="AS1225" s="1114"/>
      <c r="AT1225" s="1104"/>
      <c r="AU1225" s="1118">
        <f>AU1224/10</f>
        <v>1163.02648</v>
      </c>
    </row>
    <row r="1226" spans="6:47" ht="24" customHeight="1">
      <c r="F1226" s="1128">
        <v>22</v>
      </c>
      <c r="G1226" s="1114" t="s">
        <v>165</v>
      </c>
      <c r="H1226" s="1103" t="s">
        <v>2830</v>
      </c>
      <c r="I1226" s="1114">
        <f>(C67)</f>
        <v>5960</v>
      </c>
      <c r="J1226" s="1103" t="s">
        <v>197</v>
      </c>
      <c r="K1226" s="1114">
        <f>(F1226*I1226)/1000</f>
        <v>131.12</v>
      </c>
      <c r="N1226" s="1114" t="s">
        <v>2851</v>
      </c>
      <c r="O1226" s="1103" t="s">
        <v>2852</v>
      </c>
      <c r="Q1226" s="1104" t="s">
        <v>2851</v>
      </c>
      <c r="R1226" s="1114">
        <v>4.5999999999999996</v>
      </c>
      <c r="S1226" s="1108">
        <f>3.27-0.52</f>
        <v>2.75</v>
      </c>
      <c r="T1226" s="1105">
        <v>2.74</v>
      </c>
      <c r="AB1226" s="1114">
        <f t="shared" si="152"/>
        <v>0</v>
      </c>
      <c r="AC1226" s="1107"/>
      <c r="AD1226" s="1111" t="s">
        <v>36</v>
      </c>
      <c r="AE1226" s="1114" t="str">
        <f t="shared" si="151"/>
        <v>|</v>
      </c>
      <c r="AG1226" s="1103" t="s">
        <v>3430</v>
      </c>
      <c r="AP1226" s="1114"/>
      <c r="AQ1226" s="1114"/>
      <c r="AT1226" s="1109"/>
      <c r="AU1226" s="1114"/>
    </row>
    <row r="1227" spans="6:47" ht="24" customHeight="1">
      <c r="F1227" s="1114">
        <v>1.6</v>
      </c>
      <c r="G1227" s="1114" t="s">
        <v>2941</v>
      </c>
      <c r="H1227" s="1103" t="s">
        <v>3017</v>
      </c>
      <c r="I1227" s="1114">
        <f>(C11)</f>
        <v>804</v>
      </c>
      <c r="J1227" s="1103" t="s">
        <v>2941</v>
      </c>
      <c r="K1227" s="1114">
        <f>(F1227*I1227)</f>
        <v>1286.4000000000001</v>
      </c>
      <c r="Q1227" s="1109"/>
      <c r="R1227" s="1111" t="s">
        <v>36</v>
      </c>
      <c r="AA1227" s="1103" t="s">
        <v>3152</v>
      </c>
      <c r="AC1227" s="1107"/>
      <c r="AD1227" s="1114">
        <f>SUM(AD1213:AD1225)</f>
        <v>13271.030600000002</v>
      </c>
      <c r="AE1227" s="1114" t="str">
        <f t="shared" si="151"/>
        <v>|::</v>
      </c>
      <c r="AG1227" s="1103" t="s">
        <v>3220</v>
      </c>
      <c r="AP1227" s="1114"/>
      <c r="AQ1227" s="1114"/>
      <c r="AR1227" s="1103"/>
      <c r="AS1227" s="1114"/>
      <c r="AT1227" s="1104"/>
      <c r="AU1227" s="1111"/>
    </row>
    <row r="1228" spans="6:47" ht="24" customHeight="1">
      <c r="F1228" s="1114">
        <v>0.5</v>
      </c>
      <c r="G1228" s="1114" t="s">
        <v>2941</v>
      </c>
      <c r="H1228" s="1103" t="s">
        <v>3020</v>
      </c>
      <c r="I1228" s="1114">
        <f>(C12)</f>
        <v>562</v>
      </c>
      <c r="J1228" s="1103" t="s">
        <v>2941</v>
      </c>
      <c r="K1228" s="1114">
        <f>(F1228*I1228)</f>
        <v>281</v>
      </c>
      <c r="O1228" s="1103" t="s">
        <v>3152</v>
      </c>
      <c r="Q1228" s="1109"/>
      <c r="R1228" s="1114">
        <f>SUM(R1215:R1226)</f>
        <v>13616.9306</v>
      </c>
      <c r="T1228" s="1114">
        <f>SUM(T1215:T1227)</f>
        <v>14275.2706</v>
      </c>
      <c r="AC1228" s="1107"/>
      <c r="AD1228" s="1111" t="s">
        <v>36</v>
      </c>
      <c r="AE1228" s="1114">
        <f t="shared" si="151"/>
        <v>0</v>
      </c>
      <c r="AQ1228" s="1114"/>
      <c r="AR1228" s="1103"/>
      <c r="AT1228" s="1104"/>
      <c r="AU1228" s="1114"/>
    </row>
    <row r="1229" spans="6:47" ht="24" customHeight="1">
      <c r="F1229" s="1114">
        <v>1.1000000000000001</v>
      </c>
      <c r="G1229" s="1114" t="s">
        <v>2941</v>
      </c>
      <c r="H1229" s="1103" t="s">
        <v>3026</v>
      </c>
      <c r="I1229" s="1114">
        <f>(C13)</f>
        <v>461</v>
      </c>
      <c r="J1229" s="1103" t="s">
        <v>2941</v>
      </c>
      <c r="K1229" s="1114">
        <f>(F1229*I1229)</f>
        <v>507.1</v>
      </c>
      <c r="Q1229" s="1109"/>
      <c r="R1229" s="1111" t="s">
        <v>36</v>
      </c>
      <c r="AA1229" s="1118" t="s">
        <v>3154</v>
      </c>
      <c r="AC1229" s="1107"/>
      <c r="AD1229" s="1115">
        <f>(AD1227/10)</f>
        <v>1327.1030600000001</v>
      </c>
      <c r="AE1229" s="1114">
        <f t="shared" si="151"/>
        <v>0</v>
      </c>
      <c r="AT1229" s="1109"/>
    </row>
    <row r="1230" spans="6:47" ht="24" customHeight="1">
      <c r="F1230" s="1103" t="s">
        <v>2568</v>
      </c>
      <c r="H1230" s="1103" t="s">
        <v>4239</v>
      </c>
      <c r="I1230" s="1103" t="s">
        <v>220</v>
      </c>
      <c r="K1230" s="1103" t="s">
        <v>220</v>
      </c>
      <c r="O1230" s="1106" t="s">
        <v>3154</v>
      </c>
      <c r="Q1230" s="1109"/>
      <c r="R1230" s="1115">
        <f>(R1228/10)</f>
        <v>1361.6930600000001</v>
      </c>
      <c r="S1230" s="1108">
        <f>R1230-975.62</f>
        <v>386.07306000000005</v>
      </c>
      <c r="T1230" s="1115">
        <f>(T1228/10)</f>
        <v>1427.5270599999999</v>
      </c>
      <c r="AC1230" s="1107"/>
      <c r="AD1230" s="1111" t="s">
        <v>2793</v>
      </c>
      <c r="AE1230" s="1114" t="str">
        <f t="shared" si="151"/>
        <v>|</v>
      </c>
      <c r="AG1230" s="1103" t="s">
        <v>3430</v>
      </c>
    </row>
    <row r="1231" spans="6:47" ht="24" customHeight="1">
      <c r="F1231" s="1114">
        <v>1</v>
      </c>
      <c r="G1231" s="1114" t="s">
        <v>2851</v>
      </c>
      <c r="H1231" s="1103" t="s">
        <v>4240</v>
      </c>
      <c r="I1231" s="1114">
        <f>(C57)</f>
        <v>35</v>
      </c>
      <c r="J1231" s="1103" t="s">
        <v>2851</v>
      </c>
      <c r="K1231" s="1114">
        <f>(F1231*I1231)</f>
        <v>35</v>
      </c>
      <c r="O1231" s="1167" t="s">
        <v>4241</v>
      </c>
      <c r="P1231" s="1119" t="s">
        <v>4242</v>
      </c>
      <c r="Q1231" s="1109"/>
      <c r="AE1231" s="1114" t="str">
        <f t="shared" si="151"/>
        <v>|</v>
      </c>
      <c r="AG1231" s="1103" t="s">
        <v>3430</v>
      </c>
      <c r="AT1231" s="1109"/>
    </row>
    <row r="1232" spans="6:47" ht="24" customHeight="1">
      <c r="F1232" s="1114">
        <v>1</v>
      </c>
      <c r="G1232" s="1114" t="s">
        <v>2851</v>
      </c>
      <c r="H1232" s="1103" t="s">
        <v>4243</v>
      </c>
      <c r="I1232" s="1114">
        <f>(C58)</f>
        <v>15</v>
      </c>
      <c r="J1232" s="1103" t="s">
        <v>2851</v>
      </c>
      <c r="K1232" s="1114">
        <f>(F1232*I1232)</f>
        <v>15</v>
      </c>
      <c r="Q1232" s="1109"/>
      <c r="AE1232" s="1114" t="str">
        <f t="shared" si="151"/>
        <v>|</v>
      </c>
      <c r="AG1232" s="1103" t="s">
        <v>3430</v>
      </c>
    </row>
    <row r="1233" spans="6:33" ht="24" customHeight="1">
      <c r="F1233" s="1114">
        <v>1</v>
      </c>
      <c r="G1233" s="1114" t="s">
        <v>2851</v>
      </c>
      <c r="H1233" s="1103" t="s">
        <v>4244</v>
      </c>
      <c r="I1233" s="1114">
        <f>(C28)</f>
        <v>85.6</v>
      </c>
      <c r="J1233" s="1103" t="s">
        <v>2851</v>
      </c>
      <c r="K1233" s="1114">
        <f>(F1233*I1233)</f>
        <v>85.6</v>
      </c>
      <c r="Q1233" s="1109"/>
      <c r="AE1233" s="1114" t="str">
        <f t="shared" si="151"/>
        <v>|</v>
      </c>
      <c r="AG1233" s="1103" t="s">
        <v>3430</v>
      </c>
    </row>
    <row r="1234" spans="6:33" ht="24" customHeight="1">
      <c r="F1234" s="1114">
        <v>1.1000000000000001</v>
      </c>
      <c r="G1234" s="1114" t="s">
        <v>2941</v>
      </c>
      <c r="H1234" s="1103" t="s">
        <v>4245</v>
      </c>
      <c r="I1234" s="1114">
        <f>(C29)</f>
        <v>663</v>
      </c>
      <c r="J1234" s="1103" t="s">
        <v>2941</v>
      </c>
      <c r="K1234" s="1114">
        <f>(F1234*I1234)</f>
        <v>729.30000000000007</v>
      </c>
      <c r="M1234" s="1114">
        <v>10</v>
      </c>
      <c r="N1234" s="1114" t="s">
        <v>3189</v>
      </c>
      <c r="O1234" s="1103" t="s">
        <v>4246</v>
      </c>
      <c r="P1234" s="1114">
        <v>597</v>
      </c>
      <c r="Q1234" s="1104" t="s">
        <v>3189</v>
      </c>
      <c r="R1234" s="1114">
        <f>M1234*P1234</f>
        <v>5970</v>
      </c>
      <c r="U1234" s="1167" t="s">
        <v>4247</v>
      </c>
      <c r="W1234" s="1109"/>
      <c r="AE1234" s="1114" t="str">
        <f t="shared" si="151"/>
        <v>|</v>
      </c>
      <c r="AG1234" s="1103" t="s">
        <v>3430</v>
      </c>
    </row>
    <row r="1235" spans="6:33" ht="24" customHeight="1">
      <c r="F1235" s="1114">
        <v>2.2000000000000002</v>
      </c>
      <c r="G1235" s="1114" t="s">
        <v>2941</v>
      </c>
      <c r="H1235" s="1103" t="s">
        <v>4248</v>
      </c>
      <c r="I1235" s="1114">
        <f>(C13)</f>
        <v>461</v>
      </c>
      <c r="J1235" s="1103" t="s">
        <v>2941</v>
      </c>
      <c r="K1235" s="1114">
        <f>(F1235*I1235)</f>
        <v>1014.2</v>
      </c>
      <c r="M1235" s="1114">
        <v>0.21</v>
      </c>
      <c r="N1235" s="1114" t="s">
        <v>2839</v>
      </c>
      <c r="O1235" s="1103" t="s">
        <v>4223</v>
      </c>
      <c r="P1235" s="1114">
        <f>P1258</f>
        <v>4795.8599999999997</v>
      </c>
      <c r="Q1235" s="1104" t="s">
        <v>2839</v>
      </c>
      <c r="R1235" s="1114">
        <f>(M1235*P1235)</f>
        <v>1007.1305999999998</v>
      </c>
      <c r="W1235" s="1109"/>
      <c r="AE1235" s="1114" t="str">
        <f t="shared" si="151"/>
        <v>|</v>
      </c>
      <c r="AG1235" s="1103" t="s">
        <v>3430</v>
      </c>
    </row>
    <row r="1236" spans="6:33" ht="24" customHeight="1">
      <c r="G1236" s="1114" t="s">
        <v>2851</v>
      </c>
      <c r="H1236" s="1103" t="s">
        <v>2852</v>
      </c>
      <c r="J1236" s="1103" t="s">
        <v>2851</v>
      </c>
      <c r="K1236" s="1114">
        <v>0</v>
      </c>
      <c r="M1236" s="1114">
        <v>1.1000000000000001</v>
      </c>
      <c r="N1236" s="1114" t="s">
        <v>2941</v>
      </c>
      <c r="O1236" s="1103" t="s">
        <v>3051</v>
      </c>
      <c r="P1236" s="1114">
        <f t="shared" ref="P1236:P1244" si="155">P1259</f>
        <v>861</v>
      </c>
      <c r="Q1236" s="1104" t="s">
        <v>2941</v>
      </c>
      <c r="R1236" s="1114">
        <f>(M1236*P1236)</f>
        <v>947.1</v>
      </c>
      <c r="W1236" s="1109"/>
      <c r="AE1236" s="1114" t="str">
        <f t="shared" si="151"/>
        <v>|</v>
      </c>
      <c r="AG1236" s="1103" t="s">
        <v>3430</v>
      </c>
    </row>
    <row r="1237" spans="6:33" ht="24" customHeight="1">
      <c r="K1237" s="1111" t="s">
        <v>36</v>
      </c>
      <c r="M1237" s="1114">
        <v>1.1000000000000001</v>
      </c>
      <c r="N1237" s="1114" t="s">
        <v>2941</v>
      </c>
      <c r="O1237" s="1103" t="s">
        <v>3017</v>
      </c>
      <c r="P1237" s="1114">
        <f t="shared" si="155"/>
        <v>804</v>
      </c>
      <c r="Q1237" s="1104" t="s">
        <v>2941</v>
      </c>
      <c r="R1237" s="1114">
        <f>(M1237*P1237)</f>
        <v>884.40000000000009</v>
      </c>
      <c r="S1237" s="1128">
        <v>10</v>
      </c>
      <c r="T1237" s="1114" t="s">
        <v>3189</v>
      </c>
      <c r="U1237" s="1103" t="s">
        <v>4249</v>
      </c>
      <c r="V1237" s="1127">
        <v>700</v>
      </c>
      <c r="W1237" s="1104" t="s">
        <v>3189</v>
      </c>
      <c r="X1237" s="1114">
        <f>S1237*V1237</f>
        <v>7000</v>
      </c>
      <c r="Y1237" s="1131">
        <v>29.5</v>
      </c>
      <c r="Z1237" s="1114" t="s">
        <v>1363</v>
      </c>
      <c r="AA1237" s="1106" t="s">
        <v>4250</v>
      </c>
      <c r="AE1237" s="1114" t="str">
        <f t="shared" si="151"/>
        <v>|</v>
      </c>
      <c r="AG1237" s="1103" t="s">
        <v>3430</v>
      </c>
    </row>
    <row r="1238" spans="6:33" ht="24" customHeight="1">
      <c r="H1238" s="1103" t="s">
        <v>3152</v>
      </c>
      <c r="K1238" s="1114">
        <f>SUM(K1218:K1236)</f>
        <v>11060.3506</v>
      </c>
      <c r="M1238" s="1114">
        <v>2.2000000000000002</v>
      </c>
      <c r="N1238" s="1114" t="s">
        <v>2941</v>
      </c>
      <c r="O1238" s="1103" t="s">
        <v>3020</v>
      </c>
      <c r="P1238" s="1114">
        <f t="shared" si="155"/>
        <v>562</v>
      </c>
      <c r="Q1238" s="1104" t="s">
        <v>2941</v>
      </c>
      <c r="R1238" s="1114">
        <f>(M1238*P1238)</f>
        <v>1236.4000000000001</v>
      </c>
      <c r="S1238" s="1128">
        <v>0.21</v>
      </c>
      <c r="T1238" s="1114" t="s">
        <v>2839</v>
      </c>
      <c r="U1238" s="1103" t="s">
        <v>4223</v>
      </c>
      <c r="V1238" s="1114">
        <f t="shared" ref="V1238:V1247" si="156">P1258</f>
        <v>4795.8599999999997</v>
      </c>
      <c r="W1238" s="1104" t="s">
        <v>2839</v>
      </c>
      <c r="X1238" s="1114">
        <f>(S1238*V1238)</f>
        <v>1007.1305999999998</v>
      </c>
      <c r="AA1238" s="1103"/>
      <c r="AE1238" s="1114" t="str">
        <f t="shared" si="151"/>
        <v>|</v>
      </c>
      <c r="AG1238" s="1103" t="s">
        <v>3430</v>
      </c>
    </row>
    <row r="1239" spans="6:33" ht="24" customHeight="1">
      <c r="K1239" s="1111" t="s">
        <v>36</v>
      </c>
      <c r="M1239" s="1114">
        <v>2.2000000000000002</v>
      </c>
      <c r="N1239" s="1114" t="s">
        <v>2941</v>
      </c>
      <c r="O1239" s="1103" t="s">
        <v>3026</v>
      </c>
      <c r="P1239" s="1114">
        <f t="shared" si="155"/>
        <v>461</v>
      </c>
      <c r="Q1239" s="1104" t="s">
        <v>2941</v>
      </c>
      <c r="R1239" s="1114">
        <f>(M1239*P1239)</f>
        <v>1014.2</v>
      </c>
      <c r="S1239" s="1128">
        <v>1.1000000000000001</v>
      </c>
      <c r="T1239" s="1114" t="s">
        <v>2941</v>
      </c>
      <c r="U1239" s="1103" t="s">
        <v>3051</v>
      </c>
      <c r="V1239" s="1114">
        <f t="shared" si="156"/>
        <v>861</v>
      </c>
      <c r="W1239" s="1104" t="s">
        <v>2941</v>
      </c>
      <c r="X1239" s="1114">
        <f>(S1239*V1239)</f>
        <v>947.1</v>
      </c>
      <c r="AA1239" s="1103"/>
      <c r="AE1239" s="1114" t="str">
        <f t="shared" si="151"/>
        <v>|</v>
      </c>
      <c r="AG1239" s="1103" t="s">
        <v>3430</v>
      </c>
    </row>
    <row r="1240" spans="6:33" ht="24" customHeight="1">
      <c r="F1240" s="1103" t="s">
        <v>220</v>
      </c>
      <c r="M1240" s="1128">
        <v>20</v>
      </c>
      <c r="N1240" s="1114" t="s">
        <v>165</v>
      </c>
      <c r="O1240" s="1103" t="s">
        <v>2830</v>
      </c>
      <c r="P1240" s="1114">
        <f t="shared" si="155"/>
        <v>5960</v>
      </c>
      <c r="Q1240" s="1104" t="s">
        <v>197</v>
      </c>
      <c r="R1240" s="1114">
        <f>(M1240*P1240)/1000</f>
        <v>119.2</v>
      </c>
      <c r="S1240" s="1128">
        <v>1.1000000000000001</v>
      </c>
      <c r="T1240" s="1114" t="s">
        <v>2941</v>
      </c>
      <c r="U1240" s="1103" t="s">
        <v>3017</v>
      </c>
      <c r="V1240" s="1114">
        <f t="shared" si="156"/>
        <v>804</v>
      </c>
      <c r="W1240" s="1104" t="s">
        <v>2941</v>
      </c>
      <c r="X1240" s="1114">
        <f>(S1240*V1240)</f>
        <v>884.40000000000009</v>
      </c>
      <c r="AA1240" s="1111" t="s">
        <v>36</v>
      </c>
      <c r="AB1240" s="1111" t="s">
        <v>36</v>
      </c>
      <c r="AC1240" s="1107"/>
      <c r="AE1240" s="1114" t="str">
        <f t="shared" si="151"/>
        <v>|</v>
      </c>
      <c r="AG1240" s="1103" t="s">
        <v>3430</v>
      </c>
    </row>
    <row r="1241" spans="6:33" ht="45.75" customHeight="1">
      <c r="H1241" s="1118" t="s">
        <v>3154</v>
      </c>
      <c r="K1241" s="1115">
        <f>(K1238/10)</f>
        <v>1106.0350599999999</v>
      </c>
      <c r="M1241" s="1128">
        <v>2</v>
      </c>
      <c r="N1241" s="1114" t="s">
        <v>165</v>
      </c>
      <c r="O1241" s="1103" t="s">
        <v>4251</v>
      </c>
      <c r="P1241" s="1114">
        <f t="shared" si="155"/>
        <v>36.1</v>
      </c>
      <c r="Q1241" s="1104" t="s">
        <v>165</v>
      </c>
      <c r="R1241" s="1114">
        <f>(M1241*P1241)</f>
        <v>72.2</v>
      </c>
      <c r="S1241" s="1128">
        <v>2.2000000000000002</v>
      </c>
      <c r="T1241" s="1114" t="s">
        <v>2941</v>
      </c>
      <c r="U1241" s="1103" t="s">
        <v>3020</v>
      </c>
      <c r="V1241" s="1114">
        <f t="shared" si="156"/>
        <v>562</v>
      </c>
      <c r="W1241" s="1104" t="s">
        <v>2941</v>
      </c>
      <c r="X1241" s="1114">
        <f>(S1241*V1241)</f>
        <v>1236.4000000000001</v>
      </c>
      <c r="Y1241" s="1114">
        <v>10</v>
      </c>
      <c r="Z1241" s="1114" t="s">
        <v>3189</v>
      </c>
      <c r="AA1241" s="1129" t="s">
        <v>4252</v>
      </c>
      <c r="AB1241" s="1114">
        <v>763</v>
      </c>
      <c r="AC1241" s="1103" t="s">
        <v>3189</v>
      </c>
      <c r="AD1241" s="1114">
        <f>(Y1241*AB1241)</f>
        <v>7630</v>
      </c>
      <c r="AE1241" s="1114" t="str">
        <f t="shared" si="151"/>
        <v>|</v>
      </c>
      <c r="AG1241" s="1103" t="s">
        <v>3430</v>
      </c>
    </row>
    <row r="1242" spans="6:33" ht="24" customHeight="1">
      <c r="F1242" s="1103" t="s">
        <v>220</v>
      </c>
      <c r="M1242" s="1114">
        <v>1.6</v>
      </c>
      <c r="N1242" s="1114" t="s">
        <v>2941</v>
      </c>
      <c r="O1242" s="1103" t="s">
        <v>3017</v>
      </c>
      <c r="P1242" s="1114">
        <f t="shared" si="155"/>
        <v>804</v>
      </c>
      <c r="Q1242" s="1104" t="s">
        <v>2941</v>
      </c>
      <c r="R1242" s="1114">
        <f>(M1242*P1242)</f>
        <v>1286.4000000000001</v>
      </c>
      <c r="S1242" s="1128">
        <v>2.2000000000000002</v>
      </c>
      <c r="T1242" s="1114" t="s">
        <v>2941</v>
      </c>
      <c r="U1242" s="1103" t="s">
        <v>3026</v>
      </c>
      <c r="V1242" s="1114">
        <f t="shared" si="156"/>
        <v>461</v>
      </c>
      <c r="W1242" s="1104" t="s">
        <v>2941</v>
      </c>
      <c r="X1242" s="1114">
        <f>(S1242*V1242)</f>
        <v>1014.2</v>
      </c>
      <c r="Y1242" s="1114">
        <v>0.21</v>
      </c>
      <c r="Z1242" s="1114" t="s">
        <v>2839</v>
      </c>
      <c r="AA1242" s="1103" t="s">
        <v>4223</v>
      </c>
      <c r="AB1242" s="1114">
        <f>V1238</f>
        <v>4795.8599999999997</v>
      </c>
      <c r="AC1242" s="1103" t="s">
        <v>2839</v>
      </c>
      <c r="AD1242" s="1114">
        <f>(Y1242*AB1242)</f>
        <v>1007.1305999999998</v>
      </c>
      <c r="AE1242" s="1114" t="str">
        <f t="shared" si="151"/>
        <v>|</v>
      </c>
      <c r="AG1242" s="1103" t="s">
        <v>3430</v>
      </c>
    </row>
    <row r="1243" spans="6:33" ht="24" customHeight="1">
      <c r="K1243" s="1111" t="s">
        <v>2793</v>
      </c>
      <c r="M1243" s="1114">
        <v>0.5</v>
      </c>
      <c r="N1243" s="1114" t="s">
        <v>2941</v>
      </c>
      <c r="O1243" s="1103" t="s">
        <v>3020</v>
      </c>
      <c r="P1243" s="1114">
        <f t="shared" si="155"/>
        <v>562</v>
      </c>
      <c r="Q1243" s="1104" t="s">
        <v>2941</v>
      </c>
      <c r="R1243" s="1114">
        <f>(M1243*P1243)</f>
        <v>281</v>
      </c>
      <c r="S1243" s="1128">
        <v>20</v>
      </c>
      <c r="T1243" s="1114" t="s">
        <v>165</v>
      </c>
      <c r="U1243" s="1103" t="s">
        <v>2830</v>
      </c>
      <c r="V1243" s="1114">
        <f t="shared" si="156"/>
        <v>5960</v>
      </c>
      <c r="W1243" s="1104" t="s">
        <v>197</v>
      </c>
      <c r="X1243" s="1114">
        <f>(S1243*V1243)/1000</f>
        <v>119.2</v>
      </c>
      <c r="AA1243" s="1103" t="s">
        <v>4228</v>
      </c>
      <c r="AB1243" s="1103" t="s">
        <v>220</v>
      </c>
      <c r="AC1243" s="1107"/>
      <c r="AD1243" s="1103" t="s">
        <v>220</v>
      </c>
      <c r="AE1243" s="1114" t="str">
        <f t="shared" si="151"/>
        <v>|</v>
      </c>
      <c r="AG1243" s="1103" t="s">
        <v>3430</v>
      </c>
    </row>
    <row r="1244" spans="6:33" ht="24" customHeight="1">
      <c r="F1244" s="1131">
        <v>29.5</v>
      </c>
      <c r="G1244" s="1114" t="s">
        <v>1363</v>
      </c>
      <c r="H1244" s="1103" t="s">
        <v>4253</v>
      </c>
      <c r="M1244" s="1114">
        <v>1.1000000000000001</v>
      </c>
      <c r="N1244" s="1114" t="s">
        <v>2941</v>
      </c>
      <c r="O1244" s="1103" t="s">
        <v>3026</v>
      </c>
      <c r="P1244" s="1114">
        <f t="shared" si="155"/>
        <v>461</v>
      </c>
      <c r="Q1244" s="1104" t="s">
        <v>2941</v>
      </c>
      <c r="R1244" s="1114">
        <f>(M1244*P1244)</f>
        <v>507.1</v>
      </c>
      <c r="S1244" s="1128">
        <v>2</v>
      </c>
      <c r="T1244" s="1114" t="s">
        <v>165</v>
      </c>
      <c r="U1244" s="1103" t="s">
        <v>4251</v>
      </c>
      <c r="V1244" s="1114">
        <f t="shared" si="156"/>
        <v>36.1</v>
      </c>
      <c r="W1244" s="1104" t="s">
        <v>165</v>
      </c>
      <c r="X1244" s="1114">
        <f>(S1244*V1244)</f>
        <v>72.2</v>
      </c>
      <c r="Y1244" s="1114">
        <v>1.1000000000000001</v>
      </c>
      <c r="Z1244" s="1114" t="s">
        <v>2941</v>
      </c>
      <c r="AA1244" s="1103" t="s">
        <v>3051</v>
      </c>
      <c r="AB1244" s="1114">
        <f>V1239</f>
        <v>861</v>
      </c>
      <c r="AC1244" s="1103" t="s">
        <v>2941</v>
      </c>
      <c r="AD1244" s="1114">
        <f>(Y1244*AB1244)</f>
        <v>947.1</v>
      </c>
      <c r="AE1244" s="1114" t="str">
        <f t="shared" si="151"/>
        <v>|</v>
      </c>
      <c r="AG1244" s="1103" t="s">
        <v>3430</v>
      </c>
    </row>
    <row r="1245" spans="6:33" ht="24" customHeight="1">
      <c r="H1245" s="1103" t="s">
        <v>4254</v>
      </c>
      <c r="N1245" s="1114" t="s">
        <v>2851</v>
      </c>
      <c r="O1245" s="1103" t="s">
        <v>2852</v>
      </c>
      <c r="Q1245" s="1104" t="s">
        <v>2851</v>
      </c>
      <c r="R1245" s="1114">
        <v>0</v>
      </c>
      <c r="S1245" s="1128">
        <v>1.6</v>
      </c>
      <c r="T1245" s="1114" t="s">
        <v>2941</v>
      </c>
      <c r="U1245" s="1103" t="s">
        <v>3017</v>
      </c>
      <c r="V1245" s="1114">
        <f t="shared" si="156"/>
        <v>804</v>
      </c>
      <c r="W1245" s="1104" t="s">
        <v>2941</v>
      </c>
      <c r="X1245" s="1114">
        <f>(S1245*V1245)</f>
        <v>1286.4000000000001</v>
      </c>
      <c r="Y1245" s="1114">
        <v>1.1000000000000001</v>
      </c>
      <c r="Z1245" s="1114" t="s">
        <v>2941</v>
      </c>
      <c r="AA1245" s="1103" t="s">
        <v>3017</v>
      </c>
      <c r="AB1245" s="1114">
        <f>V1240</f>
        <v>804</v>
      </c>
      <c r="AC1245" s="1103" t="s">
        <v>2941</v>
      </c>
      <c r="AD1245" s="1114">
        <f>(Y1245*AB1245)</f>
        <v>884.40000000000009</v>
      </c>
      <c r="AE1245" s="1114" t="str">
        <f t="shared" si="151"/>
        <v>|</v>
      </c>
      <c r="AG1245" s="1103" t="s">
        <v>3430</v>
      </c>
    </row>
    <row r="1246" spans="6:33" ht="24" customHeight="1">
      <c r="H1246" s="1103" t="s">
        <v>4255</v>
      </c>
      <c r="Q1246" s="1109"/>
      <c r="R1246" s="1111"/>
      <c r="S1246" s="1128">
        <v>0.5</v>
      </c>
      <c r="T1246" s="1114" t="s">
        <v>2941</v>
      </c>
      <c r="U1246" s="1103" t="s">
        <v>3020</v>
      </c>
      <c r="V1246" s="1114">
        <f t="shared" si="156"/>
        <v>562</v>
      </c>
      <c r="W1246" s="1104" t="s">
        <v>2941</v>
      </c>
      <c r="X1246" s="1114">
        <f>(S1246*V1246)</f>
        <v>281</v>
      </c>
      <c r="Y1246" s="1114">
        <v>2.2000000000000002</v>
      </c>
      <c r="Z1246" s="1114" t="s">
        <v>2941</v>
      </c>
      <c r="AA1246" s="1103" t="s">
        <v>3020</v>
      </c>
      <c r="AB1246" s="1114">
        <f>V1241</f>
        <v>562</v>
      </c>
      <c r="AC1246" s="1103" t="s">
        <v>2941</v>
      </c>
      <c r="AD1246" s="1114">
        <f>(Y1246*AB1246)</f>
        <v>1236.4000000000001</v>
      </c>
      <c r="AE1246" s="1114" t="str">
        <f t="shared" si="151"/>
        <v>|</v>
      </c>
      <c r="AG1246" s="1103" t="s">
        <v>3430</v>
      </c>
    </row>
    <row r="1247" spans="6:33" ht="24" customHeight="1">
      <c r="H1247" s="1111" t="s">
        <v>36</v>
      </c>
      <c r="I1247" s="1111" t="s">
        <v>36</v>
      </c>
      <c r="O1247" s="1103" t="s">
        <v>3152</v>
      </c>
      <c r="Q1247" s="1109"/>
      <c r="R1247" s="1114">
        <f>SUM(R1234:R1245)</f>
        <v>13325.130600000002</v>
      </c>
      <c r="S1247" s="1128">
        <v>1.1000000000000001</v>
      </c>
      <c r="T1247" s="1114" t="s">
        <v>2941</v>
      </c>
      <c r="U1247" s="1103" t="s">
        <v>3026</v>
      </c>
      <c r="V1247" s="1114">
        <f t="shared" si="156"/>
        <v>461</v>
      </c>
      <c r="W1247" s="1104" t="s">
        <v>2941</v>
      </c>
      <c r="X1247" s="1114">
        <f>(S1247*V1247)</f>
        <v>507.1</v>
      </c>
      <c r="Y1247" s="1114">
        <v>2.2000000000000002</v>
      </c>
      <c r="Z1247" s="1114" t="s">
        <v>2941</v>
      </c>
      <c r="AA1247" s="1103" t="s">
        <v>3026</v>
      </c>
      <c r="AB1247" s="1114">
        <f>V1242</f>
        <v>461</v>
      </c>
      <c r="AC1247" s="1103" t="s">
        <v>2941</v>
      </c>
      <c r="AD1247" s="1114">
        <f>(Y1247*AB1247)</f>
        <v>1014.2</v>
      </c>
      <c r="AE1247" s="1114" t="str">
        <f t="shared" si="151"/>
        <v>|</v>
      </c>
      <c r="AG1247" s="1103" t="s">
        <v>3430</v>
      </c>
    </row>
    <row r="1248" spans="6:33" ht="24" customHeight="1">
      <c r="F1248" s="1114">
        <v>10</v>
      </c>
      <c r="G1248" s="1114" t="s">
        <v>3189</v>
      </c>
      <c r="H1248" s="1103" t="s">
        <v>4256</v>
      </c>
      <c r="I1248" s="1114">
        <f>C601</f>
        <v>363.34</v>
      </c>
      <c r="J1248" s="1103" t="s">
        <v>3189</v>
      </c>
      <c r="K1248" s="1114">
        <f>(F1248*I1248)</f>
        <v>3633.3999999999996</v>
      </c>
      <c r="Q1248" s="1109"/>
      <c r="R1248" s="1111" t="s">
        <v>36</v>
      </c>
      <c r="T1248" s="1114" t="s">
        <v>2851</v>
      </c>
      <c r="U1248" s="1103" t="s">
        <v>2852</v>
      </c>
      <c r="W1248" s="1104" t="s">
        <v>2851</v>
      </c>
      <c r="X1248" s="1114">
        <v>0.18</v>
      </c>
      <c r="Y1248" s="1128">
        <v>20</v>
      </c>
      <c r="Z1248" s="1114" t="s">
        <v>165</v>
      </c>
      <c r="AA1248" s="1103" t="s">
        <v>2830</v>
      </c>
      <c r="AB1248" s="1114">
        <f>V1243</f>
        <v>5960</v>
      </c>
      <c r="AC1248" s="1103" t="s">
        <v>197</v>
      </c>
      <c r="AD1248" s="1114">
        <f>(Y1248*AB1248)/1000</f>
        <v>119.2</v>
      </c>
      <c r="AE1248" s="1114" t="str">
        <f t="shared" si="151"/>
        <v>|</v>
      </c>
      <c r="AG1248" s="1103" t="s">
        <v>3430</v>
      </c>
    </row>
    <row r="1249" spans="6:33" ht="24" customHeight="1">
      <c r="F1249" s="1114">
        <v>0.21</v>
      </c>
      <c r="G1249" s="1114" t="s">
        <v>2839</v>
      </c>
      <c r="H1249" s="1103" t="s">
        <v>4223</v>
      </c>
      <c r="I1249" s="1114">
        <f>(K32)</f>
        <v>4795.8599999999997</v>
      </c>
      <c r="J1249" s="1103" t="s">
        <v>2839</v>
      </c>
      <c r="K1249" s="1114">
        <f>(F1249*I1249)</f>
        <v>1007.1305999999998</v>
      </c>
      <c r="O1249" s="1106" t="s">
        <v>3154</v>
      </c>
      <c r="Q1249" s="1109"/>
      <c r="R1249" s="1115">
        <f>(R1247/10)</f>
        <v>1332.5130600000002</v>
      </c>
      <c r="W1249" s="1109"/>
      <c r="X1249" s="1111" t="s">
        <v>36</v>
      </c>
      <c r="Y1249" s="1128">
        <v>2</v>
      </c>
      <c r="Z1249" s="1114" t="s">
        <v>165</v>
      </c>
      <c r="AA1249" s="1103" t="s">
        <v>4234</v>
      </c>
      <c r="AB1249" s="1114">
        <v>36.1</v>
      </c>
      <c r="AC1249" s="1103" t="s">
        <v>165</v>
      </c>
      <c r="AD1249" s="1114">
        <f>(Y1249*AB1249)</f>
        <v>72.2</v>
      </c>
      <c r="AE1249" s="1114">
        <f t="shared" si="151"/>
        <v>0</v>
      </c>
    </row>
    <row r="1250" spans="6:33" ht="24" customHeight="1">
      <c r="H1250" s="1103" t="s">
        <v>4228</v>
      </c>
      <c r="I1250" s="1103" t="s">
        <v>220</v>
      </c>
      <c r="K1250" s="1103" t="s">
        <v>220</v>
      </c>
      <c r="Q1250" s="1109"/>
      <c r="R1250" s="1111"/>
      <c r="U1250" s="1103" t="s">
        <v>3152</v>
      </c>
      <c r="W1250" s="1109"/>
      <c r="X1250" s="1114">
        <f>SUM(X1237:X1248)</f>
        <v>14355.310600000001</v>
      </c>
      <c r="Y1250" s="1114">
        <v>1.6</v>
      </c>
      <c r="Z1250" s="1114" t="s">
        <v>2941</v>
      </c>
      <c r="AA1250" s="1103" t="s">
        <v>3017</v>
      </c>
      <c r="AB1250" s="1114">
        <f>V1245</f>
        <v>804</v>
      </c>
      <c r="AC1250" s="1103" t="s">
        <v>2941</v>
      </c>
      <c r="AD1250" s="1114">
        <f>(Y1250*AB1250)</f>
        <v>1286.4000000000001</v>
      </c>
      <c r="AE1250" s="1114" t="str">
        <f t="shared" si="151"/>
        <v>|</v>
      </c>
      <c r="AG1250" s="1103" t="s">
        <v>3430</v>
      </c>
    </row>
    <row r="1251" spans="6:33" ht="24" customHeight="1">
      <c r="F1251" s="1114">
        <v>1.1000000000000001</v>
      </c>
      <c r="G1251" s="1114" t="s">
        <v>2941</v>
      </c>
      <c r="H1251" s="1103" t="s">
        <v>3051</v>
      </c>
      <c r="I1251" s="1114">
        <f>(C10)</f>
        <v>861</v>
      </c>
      <c r="J1251" s="1103" t="s">
        <v>2941</v>
      </c>
      <c r="K1251" s="1114">
        <f>(F1251*I1251)</f>
        <v>947.1</v>
      </c>
      <c r="Q1251" s="1109"/>
      <c r="R1251" s="1111"/>
      <c r="W1251" s="1109"/>
      <c r="X1251" s="1111" t="s">
        <v>36</v>
      </c>
      <c r="Y1251" s="1114">
        <v>0.5</v>
      </c>
      <c r="Z1251" s="1114" t="s">
        <v>2941</v>
      </c>
      <c r="AA1251" s="1103" t="s">
        <v>3020</v>
      </c>
      <c r="AB1251" s="1114">
        <f>V1246</f>
        <v>562</v>
      </c>
      <c r="AC1251" s="1103" t="s">
        <v>2941</v>
      </c>
      <c r="AD1251" s="1114">
        <f>(Y1251*AB1251)</f>
        <v>281</v>
      </c>
      <c r="AE1251" s="1114">
        <f t="shared" si="151"/>
        <v>0</v>
      </c>
    </row>
    <row r="1252" spans="6:33" ht="24" customHeight="1">
      <c r="F1252" s="1114">
        <v>1.1000000000000001</v>
      </c>
      <c r="G1252" s="1114" t="s">
        <v>2941</v>
      </c>
      <c r="H1252" s="1103" t="s">
        <v>3017</v>
      </c>
      <c r="I1252" s="1114">
        <f>(C11)</f>
        <v>804</v>
      </c>
      <c r="J1252" s="1103" t="s">
        <v>2941</v>
      </c>
      <c r="K1252" s="1114">
        <f>(F1252*I1252)</f>
        <v>884.40000000000009</v>
      </c>
      <c r="Q1252" s="1109"/>
      <c r="R1252" s="1111"/>
      <c r="U1252" s="1106" t="s">
        <v>3154</v>
      </c>
      <c r="W1252" s="1109"/>
      <c r="X1252" s="1115">
        <f>(X1250/10)</f>
        <v>1435.53106</v>
      </c>
      <c r="Y1252" s="1114">
        <v>1.1000000000000001</v>
      </c>
      <c r="Z1252" s="1114" t="s">
        <v>2941</v>
      </c>
      <c r="AA1252" s="1103" t="s">
        <v>3026</v>
      </c>
      <c r="AB1252" s="1114">
        <f>V1247</f>
        <v>461</v>
      </c>
      <c r="AC1252" s="1103" t="s">
        <v>2941</v>
      </c>
      <c r="AD1252" s="1114">
        <f>(Y1252*AB1252)</f>
        <v>507.1</v>
      </c>
      <c r="AE1252" s="1114" t="str">
        <f t="shared" si="151"/>
        <v>|</v>
      </c>
      <c r="AG1252" s="1103" t="s">
        <v>3430</v>
      </c>
    </row>
    <row r="1253" spans="6:33" ht="24" customHeight="1">
      <c r="F1253" s="1114">
        <v>2.2000000000000002</v>
      </c>
      <c r="G1253" s="1114" t="s">
        <v>2941</v>
      </c>
      <c r="H1253" s="1103" t="s">
        <v>3020</v>
      </c>
      <c r="I1253" s="1114">
        <f>(C12)</f>
        <v>562</v>
      </c>
      <c r="J1253" s="1103" t="s">
        <v>2941</v>
      </c>
      <c r="K1253" s="1114">
        <f>(F1253*I1253)</f>
        <v>1236.4000000000001</v>
      </c>
      <c r="Q1253" s="1109"/>
      <c r="R1253" s="1111"/>
      <c r="Z1253" s="1114" t="s">
        <v>2851</v>
      </c>
      <c r="AA1253" s="1103" t="s">
        <v>2852</v>
      </c>
      <c r="AB1253" s="1114">
        <f>V1248</f>
        <v>0</v>
      </c>
      <c r="AC1253" s="1103" t="s">
        <v>2851</v>
      </c>
      <c r="AD1253" s="1114">
        <v>0</v>
      </c>
      <c r="AE1253" s="1114" t="str">
        <f t="shared" si="151"/>
        <v>|</v>
      </c>
      <c r="AG1253" s="1103" t="s">
        <v>3430</v>
      </c>
    </row>
    <row r="1254" spans="6:33" ht="24" customHeight="1">
      <c r="F1254" s="1114">
        <v>2.2000000000000002</v>
      </c>
      <c r="G1254" s="1114" t="s">
        <v>2941</v>
      </c>
      <c r="H1254" s="1103" t="s">
        <v>3026</v>
      </c>
      <c r="I1254" s="1114">
        <f>(C13)</f>
        <v>461</v>
      </c>
      <c r="J1254" s="1103" t="s">
        <v>2941</v>
      </c>
      <c r="K1254" s="1114">
        <f>(F1254*I1254)</f>
        <v>1014.2</v>
      </c>
      <c r="M1254" s="1169"/>
      <c r="N1254" s="1169"/>
      <c r="O1254" s="1170" t="s">
        <v>4257</v>
      </c>
      <c r="P1254" s="1169"/>
      <c r="Q1254" s="1171" t="s">
        <v>4258</v>
      </c>
      <c r="R1254" s="1169"/>
      <c r="AC1254" s="1107"/>
      <c r="AD1254" s="1111" t="s">
        <v>36</v>
      </c>
      <c r="AE1254" s="1114" t="str">
        <f t="shared" si="151"/>
        <v>|</v>
      </c>
      <c r="AG1254" s="1103" t="s">
        <v>3430</v>
      </c>
    </row>
    <row r="1255" spans="6:33" ht="24" customHeight="1">
      <c r="F1255" s="1128">
        <v>20</v>
      </c>
      <c r="G1255" s="1114" t="s">
        <v>165</v>
      </c>
      <c r="H1255" s="1103" t="s">
        <v>2830</v>
      </c>
      <c r="I1255" s="1114">
        <f>(C67)</f>
        <v>5960</v>
      </c>
      <c r="J1255" s="1103" t="s">
        <v>197</v>
      </c>
      <c r="K1255" s="1114">
        <f>(F1255*I1255)/1000</f>
        <v>119.2</v>
      </c>
      <c r="M1255" s="1169"/>
      <c r="N1255" s="1169"/>
      <c r="O1255" s="1169"/>
      <c r="P1255" s="1169"/>
      <c r="Q1255" s="1171"/>
      <c r="R1255" s="1169"/>
      <c r="AA1255" s="1103" t="s">
        <v>3152</v>
      </c>
      <c r="AC1255" s="1107"/>
      <c r="AD1255" s="1114">
        <f>SUM(AD1241:AD1253)</f>
        <v>14985.130600000002</v>
      </c>
      <c r="AE1255" s="1114" t="str">
        <f t="shared" si="151"/>
        <v>|</v>
      </c>
      <c r="AG1255" s="1103" t="s">
        <v>3430</v>
      </c>
    </row>
    <row r="1256" spans="6:33" ht="24" customHeight="1">
      <c r="F1256" s="1128">
        <v>2</v>
      </c>
      <c r="G1256" s="1114" t="s">
        <v>165</v>
      </c>
      <c r="H1256" s="1103" t="s">
        <v>4259</v>
      </c>
      <c r="I1256" s="1114">
        <v>36.1</v>
      </c>
      <c r="J1256" s="1103" t="s">
        <v>165</v>
      </c>
      <c r="K1256" s="1114">
        <f>(F1256*I1256)</f>
        <v>72.2</v>
      </c>
      <c r="M1256" s="1169"/>
      <c r="N1256" s="1169"/>
      <c r="O1256" s="1169"/>
      <c r="P1256" s="1169"/>
      <c r="Q1256" s="1171"/>
      <c r="R1256" s="1169"/>
      <c r="AC1256" s="1107"/>
      <c r="AD1256" s="1111" t="s">
        <v>36</v>
      </c>
      <c r="AE1256" s="1114" t="str">
        <f t="shared" si="151"/>
        <v>|</v>
      </c>
      <c r="AG1256" s="1103" t="s">
        <v>3430</v>
      </c>
    </row>
    <row r="1257" spans="6:33" ht="24" customHeight="1">
      <c r="F1257" s="1114">
        <v>1.6</v>
      </c>
      <c r="G1257" s="1114" t="s">
        <v>2941</v>
      </c>
      <c r="H1257" s="1103" t="s">
        <v>3017</v>
      </c>
      <c r="I1257" s="1114">
        <f>(C11)</f>
        <v>804</v>
      </c>
      <c r="J1257" s="1103" t="s">
        <v>2941</v>
      </c>
      <c r="K1257" s="1114">
        <f>(F1257*I1257)</f>
        <v>1286.4000000000001</v>
      </c>
      <c r="M1257" s="1172">
        <v>10</v>
      </c>
      <c r="N1257" s="1172" t="s">
        <v>3189</v>
      </c>
      <c r="O1257" s="1173" t="s">
        <v>4260</v>
      </c>
      <c r="P1257" s="1174">
        <v>421.3</v>
      </c>
      <c r="Q1257" s="1175" t="s">
        <v>3189</v>
      </c>
      <c r="R1257" s="1172">
        <f>M1257*P1257</f>
        <v>4213</v>
      </c>
      <c r="AA1257" s="1118" t="s">
        <v>3154</v>
      </c>
      <c r="AC1257" s="1107"/>
      <c r="AD1257" s="1115">
        <f>(AD1255/10)</f>
        <v>1498.5130600000002</v>
      </c>
      <c r="AE1257" s="1113" t="s">
        <v>4261</v>
      </c>
      <c r="AG1257" s="1103" t="s">
        <v>3430</v>
      </c>
    </row>
    <row r="1258" spans="6:33" ht="24" customHeight="1">
      <c r="F1258" s="1114">
        <v>0.5</v>
      </c>
      <c r="G1258" s="1114" t="s">
        <v>2941</v>
      </c>
      <c r="H1258" s="1103" t="s">
        <v>3020</v>
      </c>
      <c r="I1258" s="1114">
        <f>(C12)</f>
        <v>562</v>
      </c>
      <c r="J1258" s="1103" t="s">
        <v>2941</v>
      </c>
      <c r="K1258" s="1114">
        <f>(F1258*I1258)</f>
        <v>281</v>
      </c>
      <c r="M1258" s="1172">
        <v>0.21</v>
      </c>
      <c r="N1258" s="1172" t="s">
        <v>2839</v>
      </c>
      <c r="O1258" s="1173" t="s">
        <v>4223</v>
      </c>
      <c r="P1258" s="1172">
        <f t="shared" ref="P1258:P1263" si="157">P1216</f>
        <v>4795.8599999999997</v>
      </c>
      <c r="Q1258" s="1175" t="s">
        <v>2839</v>
      </c>
      <c r="R1258" s="1172">
        <f t="shared" ref="R1258:R1267" si="158">(M1258*P1258)</f>
        <v>1007.1305999999998</v>
      </c>
      <c r="AC1258" s="1107"/>
      <c r="AD1258" s="1111" t="s">
        <v>2793</v>
      </c>
      <c r="AE1258" s="1114" t="str">
        <f t="shared" si="151"/>
        <v>|</v>
      </c>
      <c r="AG1258" s="1103" t="s">
        <v>3430</v>
      </c>
    </row>
    <row r="1259" spans="6:33" ht="24" customHeight="1">
      <c r="F1259" s="1114">
        <v>1.1000000000000001</v>
      </c>
      <c r="G1259" s="1114" t="s">
        <v>2941</v>
      </c>
      <c r="H1259" s="1103" t="s">
        <v>3026</v>
      </c>
      <c r="I1259" s="1114">
        <f>(C13)</f>
        <v>461</v>
      </c>
      <c r="J1259" s="1103" t="s">
        <v>2941</v>
      </c>
      <c r="K1259" s="1114">
        <f>(F1259*I1259)</f>
        <v>507.1</v>
      </c>
      <c r="M1259" s="1172">
        <v>1.1000000000000001</v>
      </c>
      <c r="N1259" s="1172" t="s">
        <v>2941</v>
      </c>
      <c r="O1259" s="1173" t="s">
        <v>3051</v>
      </c>
      <c r="P1259" s="1172">
        <f t="shared" si="157"/>
        <v>861</v>
      </c>
      <c r="Q1259" s="1175" t="s">
        <v>2941</v>
      </c>
      <c r="R1259" s="1172">
        <f t="shared" si="158"/>
        <v>947.1</v>
      </c>
      <c r="Y1259" s="1131">
        <v>29.4</v>
      </c>
      <c r="Z1259" s="1114" t="s">
        <v>1363</v>
      </c>
      <c r="AA1259" s="1103" t="s">
        <v>4262</v>
      </c>
      <c r="AE1259" s="1114" t="str">
        <f t="shared" si="151"/>
        <v>|</v>
      </c>
      <c r="AG1259" s="1103" t="s">
        <v>3430</v>
      </c>
    </row>
    <row r="1260" spans="6:33" ht="24" customHeight="1">
      <c r="G1260" s="1114" t="s">
        <v>2851</v>
      </c>
      <c r="H1260" s="1103" t="s">
        <v>2852</v>
      </c>
      <c r="J1260" s="1103" t="s">
        <v>2851</v>
      </c>
      <c r="K1260" s="1114">
        <v>0</v>
      </c>
      <c r="M1260" s="1172">
        <v>1.1000000000000001</v>
      </c>
      <c r="N1260" s="1172" t="s">
        <v>2941</v>
      </c>
      <c r="O1260" s="1173" t="s">
        <v>3017</v>
      </c>
      <c r="P1260" s="1172">
        <f t="shared" si="157"/>
        <v>804</v>
      </c>
      <c r="Q1260" s="1175" t="s">
        <v>2941</v>
      </c>
      <c r="R1260" s="1172">
        <f t="shared" si="158"/>
        <v>884.40000000000009</v>
      </c>
      <c r="AA1260" s="1103" t="s">
        <v>4263</v>
      </c>
      <c r="AE1260" s="1114" t="str">
        <f t="shared" si="151"/>
        <v>|</v>
      </c>
      <c r="AG1260" s="1103" t="s">
        <v>3430</v>
      </c>
    </row>
    <row r="1261" spans="6:33" ht="24" customHeight="1">
      <c r="K1261" s="1111" t="s">
        <v>36</v>
      </c>
      <c r="M1261" s="1172">
        <v>2.2000000000000002</v>
      </c>
      <c r="N1261" s="1172" t="s">
        <v>2941</v>
      </c>
      <c r="O1261" s="1173" t="s">
        <v>3020</v>
      </c>
      <c r="P1261" s="1172">
        <f t="shared" si="157"/>
        <v>562</v>
      </c>
      <c r="Q1261" s="1175" t="s">
        <v>2941</v>
      </c>
      <c r="R1261" s="1172">
        <f t="shared" si="158"/>
        <v>1236.4000000000001</v>
      </c>
      <c r="AA1261" s="1111" t="s">
        <v>36</v>
      </c>
      <c r="AE1261" s="1114" t="str">
        <f t="shared" si="151"/>
        <v>|</v>
      </c>
      <c r="AG1261" s="1103" t="s">
        <v>3430</v>
      </c>
    </row>
    <row r="1262" spans="6:33" ht="24" customHeight="1">
      <c r="H1262" s="1103" t="s">
        <v>3152</v>
      </c>
      <c r="K1262" s="1114">
        <f>SUM(K1248:K1260)</f>
        <v>10988.530600000002</v>
      </c>
      <c r="M1262" s="1172">
        <v>2.2000000000000002</v>
      </c>
      <c r="N1262" s="1172" t="s">
        <v>2941</v>
      </c>
      <c r="O1262" s="1173" t="s">
        <v>3026</v>
      </c>
      <c r="P1262" s="1172">
        <f t="shared" si="157"/>
        <v>461</v>
      </c>
      <c r="Q1262" s="1175" t="s">
        <v>2941</v>
      </c>
      <c r="R1262" s="1172">
        <f t="shared" si="158"/>
        <v>1014.2</v>
      </c>
      <c r="Y1262" s="1114">
        <v>1.86</v>
      </c>
      <c r="Z1262" s="1114" t="s">
        <v>3189</v>
      </c>
      <c r="AA1262" s="1103" t="s">
        <v>4264</v>
      </c>
      <c r="AB1262" s="1114">
        <f>AB1241</f>
        <v>763</v>
      </c>
      <c r="AC1262" s="1103" t="str">
        <f>J1269</f>
        <v>SQM</v>
      </c>
      <c r="AD1262" s="1114">
        <f t="shared" ref="AD1262:AD1267" si="159">(Y1262*AB1262)</f>
        <v>1419.18</v>
      </c>
      <c r="AE1262" s="1114" t="str">
        <f t="shared" si="151"/>
        <v>|</v>
      </c>
      <c r="AG1262" s="1103" t="s">
        <v>3430</v>
      </c>
    </row>
    <row r="1263" spans="6:33" ht="24" customHeight="1">
      <c r="K1263" s="1111" t="s">
        <v>36</v>
      </c>
      <c r="M1263" s="1176">
        <v>20</v>
      </c>
      <c r="N1263" s="1172" t="s">
        <v>165</v>
      </c>
      <c r="O1263" s="1173" t="s">
        <v>2830</v>
      </c>
      <c r="P1263" s="1172">
        <f t="shared" si="157"/>
        <v>5960</v>
      </c>
      <c r="Q1263" s="1175" t="s">
        <v>197</v>
      </c>
      <c r="R1263" s="1172">
        <f>(M1263*P1263)/1000</f>
        <v>119.2</v>
      </c>
      <c r="Y1263" s="1114">
        <v>0.4</v>
      </c>
      <c r="Z1263" s="1114" t="s">
        <v>165</v>
      </c>
      <c r="AA1263" s="1103" t="s">
        <v>4234</v>
      </c>
      <c r="AB1263" s="1114">
        <f>AB1249</f>
        <v>36.1</v>
      </c>
      <c r="AC1263" s="1103" t="str">
        <f>J1270</f>
        <v>Kg</v>
      </c>
      <c r="AD1263" s="1114">
        <f t="shared" si="159"/>
        <v>14.440000000000001</v>
      </c>
      <c r="AE1263" s="1114">
        <f t="shared" si="151"/>
        <v>0</v>
      </c>
    </row>
    <row r="1264" spans="6:33" ht="24" customHeight="1">
      <c r="H1264" s="1118" t="s">
        <v>3154</v>
      </c>
      <c r="K1264" s="1115">
        <f>(K1262/10)</f>
        <v>1098.8530600000001</v>
      </c>
      <c r="M1264" s="1176">
        <v>2</v>
      </c>
      <c r="N1264" s="1172" t="s">
        <v>165</v>
      </c>
      <c r="O1264" s="1173" t="s">
        <v>4251</v>
      </c>
      <c r="P1264" s="1172">
        <f>I1256</f>
        <v>36.1</v>
      </c>
      <c r="Q1264" s="1175" t="s">
        <v>165</v>
      </c>
      <c r="R1264" s="1172">
        <f t="shared" si="158"/>
        <v>72.2</v>
      </c>
      <c r="Y1264" s="1114">
        <v>0.02</v>
      </c>
      <c r="Z1264" s="1114" t="s">
        <v>2839</v>
      </c>
      <c r="AA1264" s="1103" t="s">
        <v>4265</v>
      </c>
      <c r="AB1264" s="1114">
        <f>I1271</f>
        <v>6226.26</v>
      </c>
      <c r="AC1264" s="1103" t="str">
        <f>J1271</f>
        <v>CUM</v>
      </c>
      <c r="AD1264" s="1114">
        <f t="shared" si="159"/>
        <v>124.52520000000001</v>
      </c>
      <c r="AE1264" s="1114">
        <f t="shared" si="151"/>
        <v>0</v>
      </c>
    </row>
    <row r="1265" spans="6:33" ht="24" customHeight="1">
      <c r="K1265" s="1111" t="s">
        <v>2793</v>
      </c>
      <c r="M1265" s="1172">
        <v>1.6</v>
      </c>
      <c r="N1265" s="1172" t="s">
        <v>2941</v>
      </c>
      <c r="O1265" s="1173" t="s">
        <v>3017</v>
      </c>
      <c r="P1265" s="1172">
        <f>P1223</f>
        <v>804</v>
      </c>
      <c r="Q1265" s="1175" t="s">
        <v>2941</v>
      </c>
      <c r="R1265" s="1172">
        <f t="shared" si="158"/>
        <v>1286.4000000000001</v>
      </c>
      <c r="Y1265" s="1114">
        <v>1</v>
      </c>
      <c r="Z1265" s="1114" t="s">
        <v>2941</v>
      </c>
      <c r="AA1265" s="1103" t="s">
        <v>3051</v>
      </c>
      <c r="AB1265" s="1114">
        <f>I1272</f>
        <v>861</v>
      </c>
      <c r="AC1265" s="1103" t="str">
        <f>J1272</f>
        <v>NO</v>
      </c>
      <c r="AD1265" s="1114">
        <f t="shared" si="159"/>
        <v>861</v>
      </c>
      <c r="AE1265" s="1114" t="str">
        <f t="shared" si="151"/>
        <v xml:space="preserve"> </v>
      </c>
      <c r="AG1265" s="1103" t="s">
        <v>220</v>
      </c>
    </row>
    <row r="1266" spans="6:33" ht="24" customHeight="1">
      <c r="F1266" s="1131">
        <v>29.4</v>
      </c>
      <c r="G1266" s="1114" t="s">
        <v>1363</v>
      </c>
      <c r="H1266" s="1103" t="s">
        <v>4266</v>
      </c>
      <c r="M1266" s="1172">
        <v>0.5</v>
      </c>
      <c r="N1266" s="1172" t="s">
        <v>2941</v>
      </c>
      <c r="O1266" s="1173" t="s">
        <v>3020</v>
      </c>
      <c r="P1266" s="1172">
        <f>P1224</f>
        <v>562</v>
      </c>
      <c r="Q1266" s="1175" t="s">
        <v>2941</v>
      </c>
      <c r="R1266" s="1172">
        <f t="shared" si="158"/>
        <v>281</v>
      </c>
      <c r="Y1266" s="1114">
        <v>1</v>
      </c>
      <c r="Z1266" s="1114" t="s">
        <v>2941</v>
      </c>
      <c r="AA1266" s="1103" t="s">
        <v>4267</v>
      </c>
      <c r="AB1266" s="1114">
        <f>I1273</f>
        <v>562</v>
      </c>
      <c r="AC1266" s="1103" t="str">
        <f>J1273</f>
        <v>NO</v>
      </c>
      <c r="AD1266" s="1114">
        <f t="shared" si="159"/>
        <v>562</v>
      </c>
      <c r="AE1266" s="1114">
        <f t="shared" si="151"/>
        <v>0</v>
      </c>
    </row>
    <row r="1267" spans="6:33" ht="24" customHeight="1">
      <c r="H1267" s="1103" t="s">
        <v>4268</v>
      </c>
      <c r="M1267" s="1172">
        <v>1.1000000000000001</v>
      </c>
      <c r="N1267" s="1172" t="s">
        <v>2941</v>
      </c>
      <c r="O1267" s="1173" t="s">
        <v>3026</v>
      </c>
      <c r="P1267" s="1172">
        <f>P1225</f>
        <v>461</v>
      </c>
      <c r="Q1267" s="1175" t="s">
        <v>2941</v>
      </c>
      <c r="R1267" s="1172">
        <f t="shared" si="158"/>
        <v>507.1</v>
      </c>
      <c r="Z1267" s="1114" t="s">
        <v>2851</v>
      </c>
      <c r="AA1267" s="1103" t="s">
        <v>2852</v>
      </c>
      <c r="AC1267" s="1103" t="s">
        <v>2851</v>
      </c>
      <c r="AD1267" s="1114">
        <f t="shared" si="159"/>
        <v>0</v>
      </c>
      <c r="AE1267" s="1114">
        <f t="shared" si="151"/>
        <v>0</v>
      </c>
    </row>
    <row r="1268" spans="6:33" ht="24" customHeight="1">
      <c r="H1268" s="1111" t="s">
        <v>36</v>
      </c>
      <c r="M1268" s="1169"/>
      <c r="N1268" s="1172" t="s">
        <v>2851</v>
      </c>
      <c r="O1268" s="1173" t="s">
        <v>2852</v>
      </c>
      <c r="P1268" s="1169"/>
      <c r="Q1268" s="1175" t="s">
        <v>2851</v>
      </c>
      <c r="R1268" s="1172">
        <v>0</v>
      </c>
      <c r="AC1268" s="1107"/>
      <c r="AD1268" s="1111" t="s">
        <v>36</v>
      </c>
      <c r="AE1268" s="1114">
        <f t="shared" si="151"/>
        <v>0</v>
      </c>
    </row>
    <row r="1269" spans="6:33" ht="24" customHeight="1">
      <c r="F1269" s="1114">
        <v>1.86</v>
      </c>
      <c r="G1269" s="1114" t="s">
        <v>3189</v>
      </c>
      <c r="H1269" s="1103" t="s">
        <v>4269</v>
      </c>
      <c r="I1269" s="1114">
        <f>C602</f>
        <v>400</v>
      </c>
      <c r="J1269" s="1103" t="s">
        <v>3189</v>
      </c>
      <c r="K1269" s="1114">
        <f>(F1269*I1269)</f>
        <v>744</v>
      </c>
      <c r="M1269" s="1169"/>
      <c r="N1269" s="1169"/>
      <c r="O1269" s="1169"/>
      <c r="P1269" s="1169"/>
      <c r="Q1269" s="1171"/>
      <c r="R1269" s="1177"/>
      <c r="AA1269" s="1103" t="s">
        <v>4270</v>
      </c>
      <c r="AC1269" s="1107"/>
      <c r="AD1269" s="1114">
        <f>SUM(AD1262:AD1267)</f>
        <v>2981.1451999999999</v>
      </c>
      <c r="AE1269" s="1114">
        <f t="shared" si="151"/>
        <v>0</v>
      </c>
    </row>
    <row r="1270" spans="6:33" ht="24" customHeight="1">
      <c r="F1270" s="1114">
        <v>0.4</v>
      </c>
      <c r="G1270" s="1114" t="s">
        <v>165</v>
      </c>
      <c r="H1270" s="1103" t="s">
        <v>4234</v>
      </c>
      <c r="I1270" s="1114">
        <f>I1256</f>
        <v>36.1</v>
      </c>
      <c r="J1270" s="1103" t="s">
        <v>165</v>
      </c>
      <c r="K1270" s="1114">
        <f>(F1270*I1270)</f>
        <v>14.440000000000001</v>
      </c>
      <c r="M1270" s="1169"/>
      <c r="N1270" s="1169"/>
      <c r="O1270" s="1173" t="s">
        <v>3152</v>
      </c>
      <c r="P1270" s="1169"/>
      <c r="Q1270" s="1171"/>
      <c r="R1270" s="1172">
        <f>SUM(R1257:R1268)</f>
        <v>11568.130600000002</v>
      </c>
      <c r="AC1270" s="1107"/>
      <c r="AD1270" s="1111" t="s">
        <v>36</v>
      </c>
      <c r="AE1270" s="1114">
        <f t="shared" si="151"/>
        <v>0</v>
      </c>
    </row>
    <row r="1271" spans="6:33" ht="24" customHeight="1">
      <c r="F1271" s="1114">
        <v>0.02</v>
      </c>
      <c r="G1271" s="1114" t="s">
        <v>2839</v>
      </c>
      <c r="H1271" s="1103" t="s">
        <v>4265</v>
      </c>
      <c r="I1271" s="1114">
        <f>K23</f>
        <v>6226.26</v>
      </c>
      <c r="J1271" s="1103" t="s">
        <v>2839</v>
      </c>
      <c r="K1271" s="1114">
        <f>(F1271*I1271)</f>
        <v>124.52520000000001</v>
      </c>
      <c r="M1271" s="1169"/>
      <c r="N1271" s="1169"/>
      <c r="O1271" s="1169"/>
      <c r="P1271" s="1169"/>
      <c r="Q1271" s="1171"/>
      <c r="R1271" s="1177" t="s">
        <v>36</v>
      </c>
      <c r="AA1271" s="1118" t="s">
        <v>3154</v>
      </c>
      <c r="AC1271" s="1107"/>
      <c r="AD1271" s="1115">
        <f>(AD1269/1.86)</f>
        <v>1602.7662365591398</v>
      </c>
      <c r="AE1271" s="1114">
        <f t="shared" si="151"/>
        <v>0</v>
      </c>
    </row>
    <row r="1272" spans="6:33" ht="24" customHeight="1">
      <c r="F1272" s="1114">
        <v>1</v>
      </c>
      <c r="G1272" s="1114" t="s">
        <v>2941</v>
      </c>
      <c r="H1272" s="1103" t="s">
        <v>3051</v>
      </c>
      <c r="I1272" s="1114">
        <f>C10</f>
        <v>861</v>
      </c>
      <c r="J1272" s="1103" t="s">
        <v>2941</v>
      </c>
      <c r="K1272" s="1114">
        <f>(F1272*I1272)</f>
        <v>861</v>
      </c>
      <c r="M1272" s="1169"/>
      <c r="N1272" s="1169"/>
      <c r="O1272" s="1178" t="s">
        <v>3154</v>
      </c>
      <c r="P1272" s="1169"/>
      <c r="Q1272" s="1171"/>
      <c r="R1272" s="1179">
        <f>(R1270/10)</f>
        <v>1156.8130600000002</v>
      </c>
      <c r="AC1272" s="1107"/>
      <c r="AD1272" s="1111" t="s">
        <v>2793</v>
      </c>
      <c r="AE1272" s="1114">
        <f t="shared" si="151"/>
        <v>0</v>
      </c>
    </row>
    <row r="1273" spans="6:33" ht="24" customHeight="1">
      <c r="F1273" s="1114">
        <v>1</v>
      </c>
      <c r="G1273" s="1114" t="s">
        <v>2941</v>
      </c>
      <c r="H1273" s="1103" t="s">
        <v>4267</v>
      </c>
      <c r="I1273" s="1114">
        <f>C12</f>
        <v>562</v>
      </c>
      <c r="J1273" s="1103" t="s">
        <v>2941</v>
      </c>
      <c r="K1273" s="1114">
        <f>(F1273*I1273)</f>
        <v>562</v>
      </c>
      <c r="S1273" s="1131">
        <v>29.5</v>
      </c>
      <c r="T1273" s="1114" t="s">
        <v>1363</v>
      </c>
      <c r="U1273" s="1103" t="s">
        <v>4271</v>
      </c>
      <c r="W1273" s="1107"/>
      <c r="AE1273" s="1114">
        <f t="shared" si="151"/>
        <v>0</v>
      </c>
    </row>
    <row r="1274" spans="6:33" ht="24" customHeight="1">
      <c r="G1274" s="1114" t="s">
        <v>2851</v>
      </c>
      <c r="H1274" s="1103" t="s">
        <v>2852</v>
      </c>
      <c r="J1274" s="1103" t="s">
        <v>2851</v>
      </c>
      <c r="K1274" s="1114"/>
      <c r="S1274" s="1105"/>
      <c r="U1274" s="1103"/>
      <c r="W1274" s="1107"/>
      <c r="AE1274" s="1114">
        <f t="shared" si="151"/>
        <v>0</v>
      </c>
    </row>
    <row r="1275" spans="6:33" ht="24" customHeight="1">
      <c r="K1275" s="1111" t="s">
        <v>36</v>
      </c>
      <c r="S1275" s="1105"/>
      <c r="U1275" s="1103"/>
      <c r="W1275" s="1107"/>
      <c r="AC1275" s="1107"/>
      <c r="AE1275" s="1114">
        <f t="shared" si="151"/>
        <v>0</v>
      </c>
    </row>
    <row r="1276" spans="6:33" ht="24" customHeight="1">
      <c r="H1276" s="1103" t="s">
        <v>4270</v>
      </c>
      <c r="K1276" s="1114">
        <f>SUM(K1269:K1274)</f>
        <v>2305.9652000000001</v>
      </c>
      <c r="S1276" s="1105"/>
      <c r="U1276" s="1111" t="s">
        <v>36</v>
      </c>
      <c r="V1276" s="1111" t="s">
        <v>36</v>
      </c>
      <c r="W1276" s="1107"/>
      <c r="AC1276" s="1107"/>
      <c r="AE1276" s="1114">
        <f t="shared" si="151"/>
        <v>0</v>
      </c>
    </row>
    <row r="1277" spans="6:33" ht="40.5" customHeight="1">
      <c r="K1277" s="1111" t="s">
        <v>36</v>
      </c>
      <c r="S1277" s="1114">
        <v>10</v>
      </c>
      <c r="T1277" s="1114" t="s">
        <v>3189</v>
      </c>
      <c r="U1277" s="1129" t="s">
        <v>4272</v>
      </c>
      <c r="V1277" s="1114">
        <v>538.21</v>
      </c>
      <c r="W1277" s="1103" t="s">
        <v>3189</v>
      </c>
      <c r="X1277" s="1114">
        <f>(S1277*V1277)</f>
        <v>5382.1</v>
      </c>
      <c r="AC1277" s="1107"/>
      <c r="AE1277" s="1114">
        <f t="shared" si="151"/>
        <v>0</v>
      </c>
    </row>
    <row r="1278" spans="6:33" ht="24" customHeight="1">
      <c r="H1278" s="1118" t="s">
        <v>3154</v>
      </c>
      <c r="K1278" s="1115">
        <f>(K1276/1.86)</f>
        <v>1239.7662365591398</v>
      </c>
      <c r="S1278" s="1114">
        <v>0.21</v>
      </c>
      <c r="T1278" s="1114" t="s">
        <v>2839</v>
      </c>
      <c r="U1278" s="1103" t="s">
        <v>4223</v>
      </c>
      <c r="V1278" s="1114">
        <f t="shared" ref="V1278:V1288" si="160">I1249</f>
        <v>4795.8599999999997</v>
      </c>
      <c r="W1278" s="1103" t="s">
        <v>2839</v>
      </c>
      <c r="X1278" s="1114">
        <f>(S1278*V1278)</f>
        <v>1007.1305999999998</v>
      </c>
      <c r="AE1278" s="1114">
        <f t="shared" ref="AE1278:AE1341" si="161">AG1278</f>
        <v>0</v>
      </c>
    </row>
    <row r="1279" spans="6:33" ht="24" customHeight="1">
      <c r="K1279" s="1111" t="s">
        <v>2793</v>
      </c>
      <c r="S1279" s="1105"/>
      <c r="U1279" s="1103" t="s">
        <v>4228</v>
      </c>
      <c r="V1279" s="1114" t="str">
        <f t="shared" si="160"/>
        <v xml:space="preserve"> </v>
      </c>
      <c r="W1279" s="1107"/>
      <c r="X1279" s="1103" t="s">
        <v>220</v>
      </c>
      <c r="AE1279" s="1114">
        <f t="shared" si="161"/>
        <v>0</v>
      </c>
    </row>
    <row r="1280" spans="6:33" ht="24" customHeight="1">
      <c r="F1280" s="1131"/>
      <c r="G1280" s="1114" t="s">
        <v>1363</v>
      </c>
      <c r="H1280" s="1103" t="s">
        <v>4273</v>
      </c>
      <c r="S1280" s="1114">
        <v>1.1000000000000001</v>
      </c>
      <c r="T1280" s="1114" t="s">
        <v>2941</v>
      </c>
      <c r="U1280" s="1103" t="s">
        <v>3051</v>
      </c>
      <c r="V1280" s="1114">
        <f t="shared" si="160"/>
        <v>861</v>
      </c>
      <c r="W1280" s="1103" t="s">
        <v>2941</v>
      </c>
      <c r="X1280" s="1114">
        <f>(S1280*V1280)</f>
        <v>947.1</v>
      </c>
      <c r="AE1280" s="1114">
        <f t="shared" si="161"/>
        <v>0</v>
      </c>
    </row>
    <row r="1281" spans="6:31" ht="24" customHeight="1">
      <c r="H1281" s="1103"/>
      <c r="S1281" s="1114">
        <v>1.1000000000000001</v>
      </c>
      <c r="T1281" s="1114" t="s">
        <v>2941</v>
      </c>
      <c r="U1281" s="1103" t="s">
        <v>3017</v>
      </c>
      <c r="V1281" s="1114">
        <f t="shared" si="160"/>
        <v>804</v>
      </c>
      <c r="W1281" s="1103" t="s">
        <v>2941</v>
      </c>
      <c r="X1281" s="1114">
        <f>(S1281*V1281)</f>
        <v>884.40000000000009</v>
      </c>
      <c r="AE1281" s="1114">
        <f t="shared" si="161"/>
        <v>0</v>
      </c>
    </row>
    <row r="1282" spans="6:31" ht="24" customHeight="1">
      <c r="H1282" s="1111" t="s">
        <v>36</v>
      </c>
      <c r="S1282" s="1114">
        <v>2.2000000000000002</v>
      </c>
      <c r="T1282" s="1114" t="s">
        <v>2941</v>
      </c>
      <c r="U1282" s="1103" t="s">
        <v>3020</v>
      </c>
      <c r="V1282" s="1114">
        <f t="shared" si="160"/>
        <v>562</v>
      </c>
      <c r="W1282" s="1103" t="s">
        <v>2941</v>
      </c>
      <c r="X1282" s="1114">
        <f>(S1282*V1282)</f>
        <v>1236.4000000000001</v>
      </c>
      <c r="AE1282" s="1114">
        <f t="shared" si="161"/>
        <v>0</v>
      </c>
    </row>
    <row r="1283" spans="6:31" ht="24" customHeight="1">
      <c r="F1283" s="1114">
        <v>1.86</v>
      </c>
      <c r="G1283" s="1114" t="s">
        <v>3189</v>
      </c>
      <c r="H1283" s="1103" t="s">
        <v>4274</v>
      </c>
      <c r="I1283" s="1114">
        <v>699.4</v>
      </c>
      <c r="J1283" s="1103" t="s">
        <v>3189</v>
      </c>
      <c r="K1283" s="1114">
        <f>(F1283*I1283)</f>
        <v>1300.884</v>
      </c>
      <c r="S1283" s="1114">
        <v>2.2000000000000002</v>
      </c>
      <c r="T1283" s="1114" t="s">
        <v>2941</v>
      </c>
      <c r="U1283" s="1103" t="s">
        <v>3026</v>
      </c>
      <c r="V1283" s="1114">
        <f t="shared" si="160"/>
        <v>461</v>
      </c>
      <c r="W1283" s="1103" t="s">
        <v>2941</v>
      </c>
      <c r="X1283" s="1114">
        <f>(S1283*V1283)</f>
        <v>1014.2</v>
      </c>
      <c r="AE1283" s="1114">
        <f t="shared" si="161"/>
        <v>0</v>
      </c>
    </row>
    <row r="1284" spans="6:31" ht="24" customHeight="1">
      <c r="F1284" s="1114">
        <v>0.4</v>
      </c>
      <c r="G1284" s="1114" t="s">
        <v>165</v>
      </c>
      <c r="H1284" s="1103" t="s">
        <v>2786</v>
      </c>
      <c r="I1284" s="1114">
        <f>C67</f>
        <v>5960</v>
      </c>
      <c r="J1284" s="1103" t="s">
        <v>165</v>
      </c>
      <c r="K1284" s="1114">
        <f>(F1284*I1284)</f>
        <v>2384</v>
      </c>
      <c r="S1284" s="1128">
        <v>20</v>
      </c>
      <c r="T1284" s="1114" t="s">
        <v>165</v>
      </c>
      <c r="U1284" s="1103" t="s">
        <v>2830</v>
      </c>
      <c r="V1284" s="1114">
        <f t="shared" si="160"/>
        <v>5960</v>
      </c>
      <c r="W1284" s="1103" t="s">
        <v>197</v>
      </c>
      <c r="X1284" s="1114">
        <f>(S1284*V1284)/1000</f>
        <v>119.2</v>
      </c>
      <c r="AE1284" s="1114">
        <f t="shared" si="161"/>
        <v>0</v>
      </c>
    </row>
    <row r="1285" spans="6:31" ht="24" customHeight="1">
      <c r="F1285" s="1114">
        <v>0.02</v>
      </c>
      <c r="G1285" s="1114" t="s">
        <v>2839</v>
      </c>
      <c r="H1285" s="1103" t="s">
        <v>4265</v>
      </c>
      <c r="I1285" s="1114">
        <f>I1271</f>
        <v>6226.26</v>
      </c>
      <c r="J1285" s="1103" t="s">
        <v>2839</v>
      </c>
      <c r="K1285" s="1114">
        <f>(F1285*I1285)</f>
        <v>124.52520000000001</v>
      </c>
      <c r="S1285" s="1128">
        <v>2</v>
      </c>
      <c r="T1285" s="1114" t="s">
        <v>165</v>
      </c>
      <c r="U1285" s="1103" t="s">
        <v>4234</v>
      </c>
      <c r="V1285" s="1114">
        <f t="shared" si="160"/>
        <v>36.1</v>
      </c>
      <c r="W1285" s="1103" t="s">
        <v>165</v>
      </c>
      <c r="X1285" s="1114">
        <f>(S1285*V1285)</f>
        <v>72.2</v>
      </c>
      <c r="AE1285" s="1114">
        <f t="shared" si="161"/>
        <v>0</v>
      </c>
    </row>
    <row r="1286" spans="6:31" ht="24" customHeight="1">
      <c r="F1286" s="1114">
        <v>1</v>
      </c>
      <c r="G1286" s="1114" t="s">
        <v>2941</v>
      </c>
      <c r="H1286" s="1103" t="s">
        <v>3051</v>
      </c>
      <c r="I1286" s="1114">
        <f>I1272</f>
        <v>861</v>
      </c>
      <c r="J1286" s="1103" t="s">
        <v>2941</v>
      </c>
      <c r="K1286" s="1114">
        <f>(F1286*I1286)</f>
        <v>861</v>
      </c>
      <c r="S1286" s="1114">
        <v>1.6</v>
      </c>
      <c r="T1286" s="1114" t="s">
        <v>2941</v>
      </c>
      <c r="U1286" s="1103" t="s">
        <v>3017</v>
      </c>
      <c r="V1286" s="1114">
        <f t="shared" si="160"/>
        <v>804</v>
      </c>
      <c r="W1286" s="1103" t="s">
        <v>2941</v>
      </c>
      <c r="X1286" s="1114">
        <f>(S1286*V1286)</f>
        <v>1286.4000000000001</v>
      </c>
      <c r="AE1286" s="1114">
        <f t="shared" si="161"/>
        <v>0</v>
      </c>
    </row>
    <row r="1287" spans="6:31" ht="24" customHeight="1">
      <c r="F1287" s="1114">
        <v>1</v>
      </c>
      <c r="G1287" s="1114" t="s">
        <v>2941</v>
      </c>
      <c r="H1287" s="1103" t="s">
        <v>4267</v>
      </c>
      <c r="I1287" s="1114">
        <f>I1273</f>
        <v>562</v>
      </c>
      <c r="J1287" s="1103" t="s">
        <v>2941</v>
      </c>
      <c r="K1287" s="1114">
        <f>(F1287*I1287)</f>
        <v>562</v>
      </c>
      <c r="S1287" s="1114">
        <v>0.5</v>
      </c>
      <c r="T1287" s="1114" t="s">
        <v>2941</v>
      </c>
      <c r="U1287" s="1103" t="s">
        <v>3020</v>
      </c>
      <c r="V1287" s="1114">
        <f t="shared" si="160"/>
        <v>562</v>
      </c>
      <c r="W1287" s="1103" t="s">
        <v>2941</v>
      </c>
      <c r="X1287" s="1114">
        <f>(S1287*V1287)</f>
        <v>281</v>
      </c>
      <c r="AE1287" s="1114">
        <f t="shared" si="161"/>
        <v>0</v>
      </c>
    </row>
    <row r="1288" spans="6:31" ht="24" customHeight="1">
      <c r="G1288" s="1114" t="s">
        <v>2851</v>
      </c>
      <c r="H1288" s="1103" t="s">
        <v>2852</v>
      </c>
      <c r="J1288" s="1103" t="s">
        <v>2851</v>
      </c>
      <c r="K1288" s="1114"/>
      <c r="S1288" s="1114">
        <v>1.1000000000000001</v>
      </c>
      <c r="T1288" s="1114" t="s">
        <v>2941</v>
      </c>
      <c r="U1288" s="1103" t="s">
        <v>3026</v>
      </c>
      <c r="V1288" s="1114">
        <f t="shared" si="160"/>
        <v>461</v>
      </c>
      <c r="W1288" s="1103" t="s">
        <v>2941</v>
      </c>
      <c r="X1288" s="1114">
        <f>(S1288*V1288)</f>
        <v>507.1</v>
      </c>
      <c r="AE1288" s="1114">
        <f t="shared" si="161"/>
        <v>0</v>
      </c>
    </row>
    <row r="1289" spans="6:31" ht="24" customHeight="1">
      <c r="K1289" s="1111" t="s">
        <v>36</v>
      </c>
      <c r="S1289" s="1105"/>
      <c r="T1289" s="1114" t="s">
        <v>2851</v>
      </c>
      <c r="U1289" s="1103" t="s">
        <v>2852</v>
      </c>
      <c r="W1289" s="1103" t="s">
        <v>2851</v>
      </c>
      <c r="X1289" s="1114">
        <v>0</v>
      </c>
      <c r="AE1289" s="1114">
        <f t="shared" si="161"/>
        <v>0</v>
      </c>
    </row>
    <row r="1290" spans="6:31" ht="24" customHeight="1">
      <c r="H1290" s="1103" t="s">
        <v>4270</v>
      </c>
      <c r="K1290" s="1114">
        <f>SUM(K1283:K1288)</f>
        <v>5232.4092000000001</v>
      </c>
      <c r="S1290" s="1105"/>
      <c r="W1290" s="1107"/>
      <c r="X1290" s="1111" t="s">
        <v>36</v>
      </c>
      <c r="AE1290" s="1114">
        <f t="shared" si="161"/>
        <v>0</v>
      </c>
    </row>
    <row r="1291" spans="6:31" ht="24" customHeight="1">
      <c r="K1291" s="1111" t="s">
        <v>36</v>
      </c>
      <c r="S1291" s="1105"/>
      <c r="U1291" s="1103" t="s">
        <v>3152</v>
      </c>
      <c r="W1291" s="1107"/>
      <c r="X1291" s="1114">
        <f>SUM(X1277:X1289)</f>
        <v>12737.230600000003</v>
      </c>
      <c r="AE1291" s="1114">
        <f t="shared" si="161"/>
        <v>0</v>
      </c>
    </row>
    <row r="1292" spans="6:31" ht="24" customHeight="1">
      <c r="H1292" s="1118" t="s">
        <v>3154</v>
      </c>
      <c r="K1292" s="1115">
        <f>(K1290/1.86)</f>
        <v>2813.1232258064515</v>
      </c>
      <c r="S1292" s="1105"/>
      <c r="W1292" s="1107"/>
      <c r="X1292" s="1111" t="s">
        <v>36</v>
      </c>
      <c r="AE1292" s="1114">
        <f t="shared" si="161"/>
        <v>0</v>
      </c>
    </row>
    <row r="1293" spans="6:31" ht="24" customHeight="1">
      <c r="K1293" s="1111" t="s">
        <v>2793</v>
      </c>
      <c r="U1293" s="1118" t="s">
        <v>3154</v>
      </c>
      <c r="W1293" s="1107"/>
      <c r="X1293" s="1115">
        <f>(X1291/10)</f>
        <v>1273.7230600000003</v>
      </c>
      <c r="AE1293" s="1114">
        <f t="shared" si="161"/>
        <v>0</v>
      </c>
    </row>
    <row r="1294" spans="6:31" ht="24" customHeight="1">
      <c r="K1294" s="1111"/>
      <c r="W1294" s="1107"/>
      <c r="X1294" s="1111" t="s">
        <v>2793</v>
      </c>
      <c r="AE1294" s="1114">
        <f t="shared" si="161"/>
        <v>0</v>
      </c>
    </row>
    <row r="1295" spans="6:31" ht="24" customHeight="1">
      <c r="K1295" s="1111"/>
      <c r="AE1295" s="1114">
        <f t="shared" si="161"/>
        <v>0</v>
      </c>
    </row>
    <row r="1296" spans="6:31" ht="24" customHeight="1">
      <c r="K1296" s="1111"/>
      <c r="M1296" s="1104"/>
      <c r="N1296" s="1114" t="s">
        <v>1363</v>
      </c>
      <c r="O1296" s="1103" t="s">
        <v>4275</v>
      </c>
      <c r="Q1296" s="1109"/>
      <c r="S1296" s="1139">
        <v>15.1</v>
      </c>
      <c r="T1296" s="1114" t="s">
        <v>3589</v>
      </c>
      <c r="U1296" s="1103" t="s">
        <v>4276</v>
      </c>
      <c r="W1296" s="1109"/>
      <c r="AE1296" s="1114">
        <f t="shared" si="161"/>
        <v>0</v>
      </c>
    </row>
    <row r="1297" spans="6:31" ht="24" customHeight="1">
      <c r="K1297" s="1111"/>
      <c r="O1297" s="1103" t="s">
        <v>4277</v>
      </c>
      <c r="Q1297" s="1109"/>
      <c r="S1297" s="1105"/>
      <c r="U1297" s="1103" t="s">
        <v>3528</v>
      </c>
      <c r="W1297" s="1109"/>
      <c r="AE1297" s="1114">
        <f t="shared" si="161"/>
        <v>0</v>
      </c>
    </row>
    <row r="1298" spans="6:31" ht="24" customHeight="1">
      <c r="F1298" s="1104" t="s">
        <v>2980</v>
      </c>
      <c r="G1298" s="1114" t="s">
        <v>1363</v>
      </c>
      <c r="H1298" s="1103" t="s">
        <v>4215</v>
      </c>
      <c r="O1298" s="1106" t="s">
        <v>4278</v>
      </c>
      <c r="Q1298" s="1109"/>
      <c r="S1298" s="1114">
        <v>10</v>
      </c>
      <c r="T1298" s="1114" t="s">
        <v>37</v>
      </c>
      <c r="U1298" s="1103" t="s">
        <v>4279</v>
      </c>
      <c r="V1298" s="1114">
        <v>1610</v>
      </c>
      <c r="W1298" s="1104" t="s">
        <v>37</v>
      </c>
      <c r="X1298" s="1114">
        <f t="shared" ref="X1298:X1304" si="162">(S1298*V1298)</f>
        <v>16100</v>
      </c>
      <c r="AE1298" s="1114">
        <f t="shared" si="161"/>
        <v>0</v>
      </c>
    </row>
    <row r="1299" spans="6:31" ht="24" customHeight="1">
      <c r="H1299" s="1103" t="s">
        <v>4280</v>
      </c>
      <c r="O1299" s="1111" t="s">
        <v>36</v>
      </c>
      <c r="Q1299" s="1109"/>
      <c r="S1299" s="1114">
        <v>0.21</v>
      </c>
      <c r="T1299" s="1114" t="s">
        <v>2839</v>
      </c>
      <c r="U1299" s="1103" t="s">
        <v>3596</v>
      </c>
      <c r="V1299" s="1127">
        <f>P1333</f>
        <v>4795.8599999999997</v>
      </c>
      <c r="W1299" s="1104" t="s">
        <v>2839</v>
      </c>
      <c r="X1299" s="1114">
        <f t="shared" si="162"/>
        <v>1007.1305999999998</v>
      </c>
      <c r="AE1299" s="1114">
        <f t="shared" si="161"/>
        <v>0</v>
      </c>
    </row>
    <row r="1300" spans="6:31" ht="24" customHeight="1">
      <c r="H1300" s="1103" t="s">
        <v>4281</v>
      </c>
      <c r="M1300" s="1114">
        <v>3.2</v>
      </c>
      <c r="N1300" s="1114" t="s">
        <v>165</v>
      </c>
      <c r="O1300" s="1103" t="s">
        <v>4282</v>
      </c>
      <c r="P1300" s="1114">
        <v>225</v>
      </c>
      <c r="Q1300" s="1104" t="s">
        <v>165</v>
      </c>
      <c r="R1300" s="1114">
        <f>(M1300*P1300)</f>
        <v>720</v>
      </c>
      <c r="S1300" s="1114">
        <v>1.1000000000000001</v>
      </c>
      <c r="T1300" s="1114" t="s">
        <v>314</v>
      </c>
      <c r="U1300" s="1103" t="s">
        <v>3532</v>
      </c>
      <c r="V1300" s="1127">
        <f>P1334</f>
        <v>861</v>
      </c>
      <c r="W1300" s="1104" t="s">
        <v>522</v>
      </c>
      <c r="X1300" s="1114">
        <f t="shared" si="162"/>
        <v>947.1</v>
      </c>
      <c r="AE1300" s="1114">
        <f t="shared" si="161"/>
        <v>0</v>
      </c>
    </row>
    <row r="1301" spans="6:31" ht="24" customHeight="1">
      <c r="H1301" s="1103" t="s">
        <v>4283</v>
      </c>
      <c r="M1301" s="1114">
        <v>0.98</v>
      </c>
      <c r="N1301" s="1114" t="s">
        <v>4284</v>
      </c>
      <c r="O1301" s="1103" t="s">
        <v>4285</v>
      </c>
      <c r="P1301" s="1114">
        <f>P1320</f>
        <v>146.1</v>
      </c>
      <c r="Q1301" s="1104" t="s">
        <v>4284</v>
      </c>
      <c r="R1301" s="1114">
        <f t="shared" ref="R1301:R1306" si="163">(M1301*P1301)</f>
        <v>143.178</v>
      </c>
      <c r="S1301" s="1114">
        <v>1.1000000000000001</v>
      </c>
      <c r="T1301" s="1114" t="s">
        <v>314</v>
      </c>
      <c r="U1301" s="1103" t="s">
        <v>4286</v>
      </c>
      <c r="V1301" s="1127">
        <f>P1260</f>
        <v>804</v>
      </c>
      <c r="W1301" s="1104" t="s">
        <v>522</v>
      </c>
      <c r="X1301" s="1114">
        <f t="shared" si="162"/>
        <v>884.40000000000009</v>
      </c>
      <c r="AE1301" s="1114">
        <f t="shared" si="161"/>
        <v>0</v>
      </c>
    </row>
    <row r="1302" spans="6:31" ht="24" customHeight="1">
      <c r="H1302" s="1111" t="s">
        <v>36</v>
      </c>
      <c r="M1302" s="1114">
        <v>0.5</v>
      </c>
      <c r="N1302" s="1114" t="s">
        <v>2941</v>
      </c>
      <c r="O1302" s="1103" t="s">
        <v>4287</v>
      </c>
      <c r="P1302" s="1114">
        <f>AE13</f>
        <v>688</v>
      </c>
      <c r="Q1302" s="1114" t="s">
        <v>2941</v>
      </c>
      <c r="R1302" s="1114">
        <f t="shared" si="163"/>
        <v>344</v>
      </c>
      <c r="S1302" s="1114">
        <v>2.2000000000000002</v>
      </c>
      <c r="T1302" s="1114" t="s">
        <v>314</v>
      </c>
      <c r="U1302" s="1103" t="s">
        <v>3534</v>
      </c>
      <c r="V1302" s="1127">
        <f>P1335</f>
        <v>562</v>
      </c>
      <c r="W1302" s="1104" t="s">
        <v>522</v>
      </c>
      <c r="X1302" s="1114">
        <f t="shared" si="162"/>
        <v>1236.4000000000001</v>
      </c>
      <c r="AE1302" s="1114">
        <f t="shared" si="161"/>
        <v>0</v>
      </c>
    </row>
    <row r="1303" spans="6:31" ht="24" customHeight="1">
      <c r="F1303" s="1114">
        <v>0.24</v>
      </c>
      <c r="G1303" s="1114" t="s">
        <v>2839</v>
      </c>
      <c r="H1303" s="1103" t="s">
        <v>4288</v>
      </c>
      <c r="I1303" s="1114">
        <f>(C70)</f>
        <v>1299.3899999999999</v>
      </c>
      <c r="J1303" s="1103" t="s">
        <v>2839</v>
      </c>
      <c r="K1303" s="1114">
        <f>(F1303*I1303)</f>
        <v>311.85359999999997</v>
      </c>
      <c r="M1303" s="1114">
        <v>0.7</v>
      </c>
      <c r="N1303" s="1114" t="s">
        <v>2941</v>
      </c>
      <c r="O1303" s="1103" t="s">
        <v>4289</v>
      </c>
      <c r="P1303" s="1114">
        <f>AE14</f>
        <v>666</v>
      </c>
      <c r="Q1303" s="1114" t="s">
        <v>2941</v>
      </c>
      <c r="R1303" s="1114">
        <f t="shared" si="163"/>
        <v>466.2</v>
      </c>
      <c r="S1303" s="1114">
        <v>2.2000000000000002</v>
      </c>
      <c r="T1303" s="1114" t="s">
        <v>314</v>
      </c>
      <c r="U1303" s="1103" t="s">
        <v>4290</v>
      </c>
      <c r="V1303" s="1127">
        <f>P1305</f>
        <v>461</v>
      </c>
      <c r="W1303" s="1104" t="s">
        <v>522</v>
      </c>
      <c r="X1303" s="1114">
        <f t="shared" si="162"/>
        <v>1014.2</v>
      </c>
      <c r="AE1303" s="1114">
        <f t="shared" si="161"/>
        <v>0</v>
      </c>
    </row>
    <row r="1304" spans="6:31" ht="24" customHeight="1">
      <c r="F1304" s="1128">
        <v>0.11700000000000001</v>
      </c>
      <c r="G1304" s="1114" t="s">
        <v>197</v>
      </c>
      <c r="H1304" s="1103" t="s">
        <v>2830</v>
      </c>
      <c r="I1304" s="1114">
        <f>(C67)</f>
        <v>5960</v>
      </c>
      <c r="J1304" s="1103" t="s">
        <v>197</v>
      </c>
      <c r="K1304" s="1114">
        <f>(F1304*I1304)</f>
        <v>697.32</v>
      </c>
      <c r="M1304" s="1114">
        <v>0.5</v>
      </c>
      <c r="N1304" s="1114" t="s">
        <v>2941</v>
      </c>
      <c r="O1304" s="1103" t="s">
        <v>3020</v>
      </c>
      <c r="P1304" s="1114">
        <f>I1306</f>
        <v>562</v>
      </c>
      <c r="Q1304" s="1114" t="s">
        <v>2941</v>
      </c>
      <c r="R1304" s="1114">
        <f t="shared" si="163"/>
        <v>281</v>
      </c>
      <c r="S1304" s="1114">
        <v>10</v>
      </c>
      <c r="T1304" s="1114" t="s">
        <v>2851</v>
      </c>
      <c r="U1304" s="1103" t="s">
        <v>4291</v>
      </c>
      <c r="V1304" s="1127">
        <v>153.47</v>
      </c>
      <c r="W1304" s="1104" t="s">
        <v>2851</v>
      </c>
      <c r="X1304" s="1114">
        <f t="shared" si="162"/>
        <v>1534.7</v>
      </c>
      <c r="AE1304" s="1114">
        <f t="shared" si="161"/>
        <v>0</v>
      </c>
    </row>
    <row r="1305" spans="6:31" ht="24" customHeight="1">
      <c r="F1305" s="1114">
        <v>0.5</v>
      </c>
      <c r="G1305" s="1114" t="s">
        <v>2941</v>
      </c>
      <c r="H1305" s="1103" t="s">
        <v>3051</v>
      </c>
      <c r="I1305" s="1114">
        <f>(C10)</f>
        <v>861</v>
      </c>
      <c r="J1305" s="1103" t="s">
        <v>2941</v>
      </c>
      <c r="K1305" s="1114">
        <f>(F1305*I1305)</f>
        <v>430.5</v>
      </c>
      <c r="M1305" s="1114">
        <v>0.8</v>
      </c>
      <c r="N1305" s="1114" t="s">
        <v>2941</v>
      </c>
      <c r="O1305" s="1103" t="s">
        <v>3026</v>
      </c>
      <c r="P1305" s="1114">
        <f>I1307</f>
        <v>461</v>
      </c>
      <c r="Q1305" s="1114" t="s">
        <v>2941</v>
      </c>
      <c r="R1305" s="1114">
        <f t="shared" si="163"/>
        <v>368.8</v>
      </c>
      <c r="S1305" s="1105"/>
      <c r="U1305" s="1103"/>
      <c r="V1305" s="1127">
        <f>P1337</f>
        <v>0</v>
      </c>
      <c r="W1305" s="1109"/>
      <c r="X1305" s="1111" t="s">
        <v>36</v>
      </c>
      <c r="AE1305" s="1114">
        <f t="shared" si="161"/>
        <v>0</v>
      </c>
    </row>
    <row r="1306" spans="6:31" ht="24" customHeight="1">
      <c r="F1306" s="1114">
        <v>1.1000000000000001</v>
      </c>
      <c r="G1306" s="1114" t="s">
        <v>2941</v>
      </c>
      <c r="H1306" s="1103" t="s">
        <v>4217</v>
      </c>
      <c r="I1306" s="1114">
        <f>(C12)</f>
        <v>562</v>
      </c>
      <c r="J1306" s="1103" t="s">
        <v>2941</v>
      </c>
      <c r="K1306" s="1114">
        <f>(F1306*I1306)</f>
        <v>618.20000000000005</v>
      </c>
      <c r="M1306" s="1114">
        <v>10</v>
      </c>
      <c r="N1306" s="1114" t="s">
        <v>37</v>
      </c>
      <c r="O1306" s="1103" t="s">
        <v>4292</v>
      </c>
      <c r="P1306" s="1114">
        <f>C460</f>
        <v>3.65</v>
      </c>
      <c r="Q1306" s="1114" t="s">
        <v>37</v>
      </c>
      <c r="R1306" s="1114">
        <f t="shared" si="163"/>
        <v>36.5</v>
      </c>
      <c r="S1306" s="1105"/>
      <c r="U1306" s="1104" t="s">
        <v>3606</v>
      </c>
      <c r="V1306" s="1127"/>
      <c r="W1306" s="1109"/>
      <c r="X1306" s="1114">
        <f>SUM(X1298:X1304)</f>
        <v>22723.930600000003</v>
      </c>
      <c r="AE1306" s="1114">
        <f t="shared" si="161"/>
        <v>0</v>
      </c>
    </row>
    <row r="1307" spans="6:31" ht="24" customHeight="1">
      <c r="F1307" s="1114">
        <v>4.3</v>
      </c>
      <c r="G1307" s="1114" t="s">
        <v>2941</v>
      </c>
      <c r="H1307" s="1103" t="s">
        <v>3026</v>
      </c>
      <c r="I1307" s="1114">
        <f>(C13)</f>
        <v>461</v>
      </c>
      <c r="J1307" s="1103" t="s">
        <v>2941</v>
      </c>
      <c r="K1307" s="1114">
        <f>(F1307*I1307)</f>
        <v>1982.3</v>
      </c>
      <c r="N1307" s="1114" t="s">
        <v>2851</v>
      </c>
      <c r="O1307" s="1103" t="s">
        <v>4187</v>
      </c>
      <c r="P1307" s="1103" t="s">
        <v>220</v>
      </c>
      <c r="Q1307" s="1104" t="s">
        <v>2851</v>
      </c>
      <c r="R1307" s="1114">
        <v>0</v>
      </c>
      <c r="S1307" s="1105"/>
      <c r="W1307" s="1109"/>
      <c r="X1307" s="1111" t="s">
        <v>36</v>
      </c>
      <c r="AE1307" s="1114">
        <f t="shared" si="161"/>
        <v>0</v>
      </c>
    </row>
    <row r="1308" spans="6:31" ht="24" customHeight="1">
      <c r="G1308" s="1114" t="s">
        <v>2851</v>
      </c>
      <c r="H1308" s="1103" t="s">
        <v>2852</v>
      </c>
      <c r="J1308" s="1103" t="s">
        <v>2851</v>
      </c>
      <c r="K1308" s="1114">
        <v>0</v>
      </c>
      <c r="Q1308" s="1109"/>
      <c r="R1308" s="1111" t="s">
        <v>36</v>
      </c>
      <c r="S1308" s="1105"/>
      <c r="U1308" s="1104" t="s">
        <v>3611</v>
      </c>
      <c r="W1308" s="1109"/>
      <c r="X1308" s="1115">
        <f>X1306/10</f>
        <v>2272.3930600000003</v>
      </c>
      <c r="AE1308" s="1114">
        <f t="shared" si="161"/>
        <v>0</v>
      </c>
    </row>
    <row r="1309" spans="6:31" ht="24" customHeight="1">
      <c r="K1309" s="1111" t="s">
        <v>36</v>
      </c>
      <c r="O1309" s="1103" t="s">
        <v>3152</v>
      </c>
      <c r="Q1309" s="1109"/>
      <c r="R1309" s="1114">
        <f>SUM(R1300:R1307)</f>
        <v>2359.6779999999999</v>
      </c>
      <c r="S1309" s="1105"/>
      <c r="U1309" s="1103" t="s">
        <v>3062</v>
      </c>
      <c r="W1309" s="1109">
        <f>X1313+Y1308</f>
        <v>2274.6130600000006</v>
      </c>
      <c r="X1309" s="1114">
        <f>X1308+Y1306</f>
        <v>2272.3930600000003</v>
      </c>
      <c r="AE1309" s="1114">
        <f t="shared" si="161"/>
        <v>0</v>
      </c>
    </row>
    <row r="1310" spans="6:31" ht="24" customHeight="1">
      <c r="H1310" s="1103" t="s">
        <v>3152</v>
      </c>
      <c r="K1310" s="1114">
        <f>SUM(K1303:K1308)</f>
        <v>4040.1736000000001</v>
      </c>
      <c r="Q1310" s="1109"/>
      <c r="R1310" s="1111" t="s">
        <v>36</v>
      </c>
      <c r="S1310" s="1105"/>
      <c r="U1310" s="1103" t="s">
        <v>3066</v>
      </c>
      <c r="W1310" s="1109">
        <f>W1309+Y1308</f>
        <v>2274.6130600000006</v>
      </c>
      <c r="X1310" s="1114">
        <f>X1309+1.11</f>
        <v>2273.5030600000005</v>
      </c>
      <c r="AE1310" s="1114">
        <f t="shared" si="161"/>
        <v>0</v>
      </c>
    </row>
    <row r="1311" spans="6:31" ht="24" customHeight="1">
      <c r="K1311" s="1111" t="s">
        <v>36</v>
      </c>
      <c r="O1311" s="1106" t="s">
        <v>3154</v>
      </c>
      <c r="Q1311" s="1109"/>
      <c r="R1311" s="1115">
        <f>(R1309/10)</f>
        <v>235.96779999999998</v>
      </c>
      <c r="S1311" s="1105"/>
      <c r="U1311" s="1103" t="s">
        <v>3069</v>
      </c>
      <c r="W1311" s="1109"/>
      <c r="X1311" s="1114">
        <f>X1310+1.11</f>
        <v>2274.6130600000006</v>
      </c>
      <c r="AE1311" s="1114">
        <f t="shared" si="161"/>
        <v>0</v>
      </c>
    </row>
    <row r="1312" spans="6:31" ht="24" customHeight="1">
      <c r="H1312" s="1118" t="s">
        <v>3154</v>
      </c>
      <c r="K1312" s="1115">
        <f>(K1310/10)</f>
        <v>404.01736</v>
      </c>
      <c r="M1312" s="1103" t="s">
        <v>220</v>
      </c>
      <c r="Q1312" s="1109"/>
      <c r="S1312" s="1105"/>
      <c r="U1312" s="1103" t="s">
        <v>3071</v>
      </c>
      <c r="W1312" s="1109"/>
      <c r="X1312" s="1114">
        <f>X1311+Y1308</f>
        <v>2274.6130600000006</v>
      </c>
      <c r="AE1312" s="1114">
        <f t="shared" si="161"/>
        <v>0</v>
      </c>
    </row>
    <row r="1313" spans="6:31" ht="24" customHeight="1">
      <c r="F1313" s="1103" t="s">
        <v>220</v>
      </c>
      <c r="Q1313" s="1109"/>
      <c r="R1313" s="1111" t="s">
        <v>2793</v>
      </c>
      <c r="S1313" s="1105"/>
      <c r="U1313" s="1103" t="s">
        <v>3451</v>
      </c>
      <c r="W1313" s="1109"/>
      <c r="X1313" s="1114">
        <f>X1312+Y1308</f>
        <v>2274.6130600000006</v>
      </c>
      <c r="AE1313" s="1114">
        <f t="shared" si="161"/>
        <v>0</v>
      </c>
    </row>
    <row r="1314" spans="6:31" ht="24" customHeight="1">
      <c r="K1314" s="1111" t="s">
        <v>2793</v>
      </c>
      <c r="Q1314" s="1109"/>
      <c r="S1314" s="1105"/>
      <c r="W1314" s="1109"/>
      <c r="AE1314" s="1114">
        <f t="shared" si="161"/>
        <v>0</v>
      </c>
    </row>
    <row r="1315" spans="6:31" ht="24" customHeight="1">
      <c r="F1315" s="1104" t="s">
        <v>4293</v>
      </c>
      <c r="G1315" s="1114" t="s">
        <v>1363</v>
      </c>
      <c r="H1315" s="1106" t="s">
        <v>4294</v>
      </c>
      <c r="M1315" s="1104" t="s">
        <v>4295</v>
      </c>
      <c r="N1315" s="1114" t="s">
        <v>1363</v>
      </c>
      <c r="O1315" s="1103" t="s">
        <v>4296</v>
      </c>
      <c r="Q1315" s="1109"/>
      <c r="AE1315" s="1114">
        <f t="shared" si="161"/>
        <v>0</v>
      </c>
    </row>
    <row r="1316" spans="6:31" ht="24" customHeight="1">
      <c r="H1316" s="1103" t="s">
        <v>4297</v>
      </c>
      <c r="O1316" s="1103" t="s">
        <v>4277</v>
      </c>
      <c r="Q1316" s="1109"/>
      <c r="S1316" s="1139">
        <v>15.1</v>
      </c>
      <c r="T1316" s="1114" t="s">
        <v>3589</v>
      </c>
      <c r="U1316" s="1103" t="s">
        <v>4298</v>
      </c>
      <c r="W1316" s="1109"/>
      <c r="AE1316" s="1114">
        <f t="shared" si="161"/>
        <v>0</v>
      </c>
    </row>
    <row r="1317" spans="6:31" ht="24" customHeight="1">
      <c r="H1317" s="1103" t="s">
        <v>4299</v>
      </c>
      <c r="O1317" s="1106" t="s">
        <v>4300</v>
      </c>
      <c r="Q1317" s="1109"/>
      <c r="S1317" s="1105"/>
      <c r="U1317" s="1103" t="s">
        <v>3528</v>
      </c>
      <c r="W1317" s="1109"/>
      <c r="AE1317" s="1114">
        <f t="shared" si="161"/>
        <v>0</v>
      </c>
    </row>
    <row r="1318" spans="6:31" ht="24" customHeight="1">
      <c r="H1318" s="1103" t="s">
        <v>4301</v>
      </c>
      <c r="O1318" s="1111" t="s">
        <v>36</v>
      </c>
      <c r="Q1318" s="1109"/>
      <c r="S1318" s="1114">
        <v>10</v>
      </c>
      <c r="T1318" s="1114" t="s">
        <v>37</v>
      </c>
      <c r="U1318" s="1103" t="s">
        <v>4302</v>
      </c>
      <c r="V1318" s="1114">
        <f>AB1188</f>
        <v>1720</v>
      </c>
      <c r="W1318" s="1104" t="s">
        <v>37</v>
      </c>
      <c r="X1318" s="1114">
        <f>(S1318*V1318)</f>
        <v>17200</v>
      </c>
      <c r="AE1318" s="1114">
        <f t="shared" si="161"/>
        <v>0</v>
      </c>
    </row>
    <row r="1319" spans="6:31" ht="24" customHeight="1">
      <c r="H1319" s="1103" t="s">
        <v>4303</v>
      </c>
      <c r="M1319" s="1114">
        <v>1.4</v>
      </c>
      <c r="N1319" s="1114" t="s">
        <v>4284</v>
      </c>
      <c r="O1319" s="1106" t="s">
        <v>4304</v>
      </c>
      <c r="P1319" s="1127">
        <v>292.7</v>
      </c>
      <c r="Q1319" s="1104" t="s">
        <v>4284</v>
      </c>
      <c r="R1319" s="1114">
        <f>(M1319*P1319)</f>
        <v>409.78</v>
      </c>
      <c r="S1319" s="1114">
        <v>0.21</v>
      </c>
      <c r="T1319" s="1114" t="s">
        <v>2839</v>
      </c>
      <c r="U1319" s="1103" t="s">
        <v>3596</v>
      </c>
      <c r="V1319" s="1127">
        <f>V1299</f>
        <v>4795.8599999999997</v>
      </c>
      <c r="W1319" s="1104" t="s">
        <v>2839</v>
      </c>
      <c r="X1319" s="1114">
        <f t="shared" ref="X1319:X1324" si="164">(S1319*V1319)</f>
        <v>1007.1305999999998</v>
      </c>
      <c r="AE1319" s="1114">
        <f t="shared" si="161"/>
        <v>0</v>
      </c>
    </row>
    <row r="1320" spans="6:31" ht="24" customHeight="1">
      <c r="H1320" s="1111" t="s">
        <v>36</v>
      </c>
      <c r="M1320" s="1114">
        <v>0.98</v>
      </c>
      <c r="N1320" s="1114" t="s">
        <v>4284</v>
      </c>
      <c r="O1320" s="1103" t="s">
        <v>4305</v>
      </c>
      <c r="P1320" s="1114">
        <f>C196</f>
        <v>146.1</v>
      </c>
      <c r="Q1320" s="1104" t="s">
        <v>4284</v>
      </c>
      <c r="R1320" s="1114">
        <f>(M1320*P1320)</f>
        <v>143.178</v>
      </c>
      <c r="S1320" s="1114">
        <v>1.1000000000000001</v>
      </c>
      <c r="T1320" s="1114" t="s">
        <v>314</v>
      </c>
      <c r="U1320" s="1103" t="s">
        <v>3532</v>
      </c>
      <c r="V1320" s="1114">
        <f t="shared" ref="V1320:V1325" si="165">V1300</f>
        <v>861</v>
      </c>
      <c r="W1320" s="1104" t="s">
        <v>522</v>
      </c>
      <c r="X1320" s="1114">
        <f t="shared" si="164"/>
        <v>947.1</v>
      </c>
      <c r="AE1320" s="1114">
        <f t="shared" si="161"/>
        <v>0</v>
      </c>
    </row>
    <row r="1321" spans="6:31" ht="24" customHeight="1">
      <c r="F1321" s="1114">
        <v>12.8</v>
      </c>
      <c r="G1321" s="1114" t="s">
        <v>2839</v>
      </c>
      <c r="H1321" s="1103" t="s">
        <v>4306</v>
      </c>
      <c r="I1321" s="1114">
        <f>(C82)</f>
        <v>965.3</v>
      </c>
      <c r="J1321" s="1103" t="s">
        <v>2839</v>
      </c>
      <c r="K1321" s="1114">
        <f>(F1321*I1321)</f>
        <v>12355.84</v>
      </c>
      <c r="M1321" s="1114">
        <v>2.2000000000000002</v>
      </c>
      <c r="N1321" s="1114" t="s">
        <v>2941</v>
      </c>
      <c r="O1321" s="1103" t="s">
        <v>4287</v>
      </c>
      <c r="P1321" s="1114">
        <f>P1302</f>
        <v>688</v>
      </c>
      <c r="Q1321" s="1104" t="s">
        <v>2941</v>
      </c>
      <c r="R1321" s="1114">
        <f>(M1321*P1321)</f>
        <v>1513.6000000000001</v>
      </c>
      <c r="S1321" s="1114">
        <v>1.1000000000000001</v>
      </c>
      <c r="T1321" s="1114" t="s">
        <v>314</v>
      </c>
      <c r="U1321" s="1103" t="s">
        <v>4286</v>
      </c>
      <c r="V1321" s="1114">
        <f t="shared" si="165"/>
        <v>804</v>
      </c>
      <c r="W1321" s="1104" t="s">
        <v>522</v>
      </c>
      <c r="X1321" s="1114">
        <f t="shared" si="164"/>
        <v>884.40000000000009</v>
      </c>
      <c r="AE1321" s="1114">
        <f t="shared" si="161"/>
        <v>0</v>
      </c>
    </row>
    <row r="1322" spans="6:31" ht="24" customHeight="1">
      <c r="F1322" s="1114">
        <v>5</v>
      </c>
      <c r="G1322" s="1114" t="s">
        <v>2839</v>
      </c>
      <c r="H1322" s="1103" t="s">
        <v>4307</v>
      </c>
      <c r="I1322" s="1114">
        <f>(C85)</f>
        <v>1127.18</v>
      </c>
      <c r="J1322" s="1103" t="s">
        <v>2839</v>
      </c>
      <c r="K1322" s="1114">
        <f>(F1322*I1322)</f>
        <v>5635.9000000000005</v>
      </c>
      <c r="N1322" s="1114" t="s">
        <v>2851</v>
      </c>
      <c r="O1322" s="1103" t="s">
        <v>4187</v>
      </c>
      <c r="P1322" s="1103" t="s">
        <v>220</v>
      </c>
      <c r="Q1322" s="1104" t="s">
        <v>2851</v>
      </c>
      <c r="R1322" s="1114">
        <v>2.5499999999999998</v>
      </c>
      <c r="S1322" s="1114">
        <v>2.2000000000000002</v>
      </c>
      <c r="T1322" s="1114" t="s">
        <v>314</v>
      </c>
      <c r="U1322" s="1103" t="s">
        <v>3534</v>
      </c>
      <c r="V1322" s="1114">
        <f t="shared" si="165"/>
        <v>562</v>
      </c>
      <c r="W1322" s="1104" t="s">
        <v>522</v>
      </c>
      <c r="X1322" s="1114">
        <f t="shared" si="164"/>
        <v>1236.4000000000001</v>
      </c>
      <c r="AE1322" s="1114">
        <f t="shared" si="161"/>
        <v>0</v>
      </c>
    </row>
    <row r="1323" spans="6:31" ht="24" customHeight="1">
      <c r="F1323" s="1114">
        <v>1.8</v>
      </c>
      <c r="G1323" s="1114" t="s">
        <v>2941</v>
      </c>
      <c r="H1323" s="1103" t="s">
        <v>3051</v>
      </c>
      <c r="I1323" s="1114">
        <f>(C10)</f>
        <v>861</v>
      </c>
      <c r="J1323" s="1103" t="s">
        <v>2941</v>
      </c>
      <c r="K1323" s="1114">
        <f>(F1323*I1323)</f>
        <v>1549.8</v>
      </c>
      <c r="Q1323" s="1109"/>
      <c r="R1323" s="1111"/>
      <c r="S1323" s="1114">
        <v>2.2000000000000002</v>
      </c>
      <c r="T1323" s="1114" t="s">
        <v>314</v>
      </c>
      <c r="U1323" s="1103" t="s">
        <v>4290</v>
      </c>
      <c r="V1323" s="1114">
        <f t="shared" si="165"/>
        <v>461</v>
      </c>
      <c r="W1323" s="1104" t="s">
        <v>522</v>
      </c>
      <c r="X1323" s="1114">
        <f t="shared" si="164"/>
        <v>1014.2</v>
      </c>
      <c r="AE1323" s="1114">
        <f t="shared" si="161"/>
        <v>0</v>
      </c>
    </row>
    <row r="1324" spans="6:31" ht="24" customHeight="1">
      <c r="F1324" s="1114">
        <v>17.7</v>
      </c>
      <c r="G1324" s="1114" t="s">
        <v>2941</v>
      </c>
      <c r="H1324" s="1103" t="s">
        <v>4217</v>
      </c>
      <c r="I1324" s="1114">
        <f>(C12)</f>
        <v>562</v>
      </c>
      <c r="J1324" s="1103" t="s">
        <v>2941</v>
      </c>
      <c r="K1324" s="1114">
        <f>(F1324*I1324)</f>
        <v>9947.4</v>
      </c>
      <c r="O1324" s="1103" t="s">
        <v>3152</v>
      </c>
      <c r="Q1324" s="1109"/>
      <c r="R1324" s="1114">
        <f>SUM(R1319:R1322)</f>
        <v>2069.1080000000002</v>
      </c>
      <c r="S1324" s="1114">
        <v>10</v>
      </c>
      <c r="T1324" s="1114" t="s">
        <v>2851</v>
      </c>
      <c r="U1324" s="1103" t="s">
        <v>4291</v>
      </c>
      <c r="V1324" s="1114">
        <f t="shared" si="165"/>
        <v>153.47</v>
      </c>
      <c r="W1324" s="1104" t="s">
        <v>2851</v>
      </c>
      <c r="X1324" s="1114">
        <f t="shared" si="164"/>
        <v>1534.7</v>
      </c>
      <c r="AE1324" s="1114">
        <f t="shared" si="161"/>
        <v>0</v>
      </c>
    </row>
    <row r="1325" spans="6:31" ht="24" customHeight="1">
      <c r="F1325" s="1114">
        <v>14.1</v>
      </c>
      <c r="G1325" s="1114" t="s">
        <v>2941</v>
      </c>
      <c r="H1325" s="1103" t="s">
        <v>3026</v>
      </c>
      <c r="I1325" s="1114">
        <f>(C13)</f>
        <v>461</v>
      </c>
      <c r="J1325" s="1103" t="s">
        <v>2941</v>
      </c>
      <c r="K1325" s="1114">
        <f>(F1325*I1325)</f>
        <v>6500.0999999999995</v>
      </c>
      <c r="Q1325" s="1109"/>
      <c r="R1325" s="1111" t="s">
        <v>36</v>
      </c>
      <c r="S1325" s="1105"/>
      <c r="U1325" s="1103"/>
      <c r="V1325" s="1114">
        <f t="shared" si="165"/>
        <v>0</v>
      </c>
      <c r="W1325" s="1109"/>
      <c r="X1325" s="1111" t="s">
        <v>36</v>
      </c>
      <c r="AE1325" s="1114">
        <f t="shared" si="161"/>
        <v>0</v>
      </c>
    </row>
    <row r="1326" spans="6:31" ht="24" customHeight="1">
      <c r="G1326" s="1114" t="s">
        <v>2851</v>
      </c>
      <c r="H1326" s="1103" t="s">
        <v>2852</v>
      </c>
      <c r="J1326" s="1103" t="s">
        <v>2851</v>
      </c>
      <c r="K1326" s="1114">
        <v>0</v>
      </c>
      <c r="O1326" s="1103" t="s">
        <v>3154</v>
      </c>
      <c r="Q1326" s="1109"/>
      <c r="R1326" s="1115">
        <f>(R1324/10)</f>
        <v>206.91080000000002</v>
      </c>
      <c r="S1326" s="1105">
        <f>R1326-157</f>
        <v>49.910800000000023</v>
      </c>
      <c r="U1326" s="1104" t="s">
        <v>3606</v>
      </c>
      <c r="W1326" s="1109"/>
      <c r="X1326" s="1114">
        <f>SUM(X1318:X1324)</f>
        <v>23823.930600000003</v>
      </c>
      <c r="AE1326" s="1114">
        <f t="shared" si="161"/>
        <v>0</v>
      </c>
    </row>
    <row r="1327" spans="6:31" ht="24" customHeight="1">
      <c r="K1327" s="1111" t="s">
        <v>36</v>
      </c>
      <c r="M1327" s="1103" t="s">
        <v>220</v>
      </c>
      <c r="Q1327" s="1109"/>
      <c r="S1327" s="1105"/>
      <c r="W1327" s="1109"/>
      <c r="X1327" s="1111" t="s">
        <v>36</v>
      </c>
      <c r="AE1327" s="1114">
        <f t="shared" si="161"/>
        <v>0</v>
      </c>
    </row>
    <row r="1328" spans="6:31" ht="24" customHeight="1">
      <c r="H1328" s="1103" t="s">
        <v>3033</v>
      </c>
      <c r="K1328" s="1114">
        <f>SUM(K1321:K1327)</f>
        <v>35989.040000000001</v>
      </c>
      <c r="Q1328" s="1109"/>
      <c r="R1328" s="1111" t="s">
        <v>2793</v>
      </c>
      <c r="S1328" s="1105"/>
      <c r="U1328" s="1104" t="s">
        <v>3611</v>
      </c>
      <c r="W1328" s="1109"/>
      <c r="X1328" s="1115">
        <f>X1326/10</f>
        <v>2382.3930600000003</v>
      </c>
      <c r="AE1328" s="1114">
        <f t="shared" si="161"/>
        <v>0</v>
      </c>
    </row>
    <row r="1329" spans="6:31" ht="24" customHeight="1">
      <c r="K1329" s="1111" t="s">
        <v>36</v>
      </c>
      <c r="Q1329" s="1109"/>
      <c r="AE1329" s="1114">
        <f t="shared" si="161"/>
        <v>0</v>
      </c>
    </row>
    <row r="1330" spans="6:31" ht="24" customHeight="1">
      <c r="H1330" s="1118" t="s">
        <v>2946</v>
      </c>
      <c r="K1330" s="1115">
        <f>(K1328/10)</f>
        <v>3598.904</v>
      </c>
      <c r="M1330" s="1139">
        <v>15.1</v>
      </c>
      <c r="N1330" s="1114" t="s">
        <v>3589</v>
      </c>
      <c r="O1330" s="1103" t="s">
        <v>4298</v>
      </c>
      <c r="Q1330" s="1109"/>
      <c r="T1330" s="1106" t="s">
        <v>4308</v>
      </c>
      <c r="AE1330" s="1114">
        <f t="shared" si="161"/>
        <v>0</v>
      </c>
    </row>
    <row r="1331" spans="6:31" ht="24" customHeight="1">
      <c r="K1331" s="1111" t="s">
        <v>2793</v>
      </c>
      <c r="O1331" s="1103" t="s">
        <v>3528</v>
      </c>
      <c r="Q1331" s="1109"/>
      <c r="S1331" s="1114">
        <v>10</v>
      </c>
      <c r="T1331" s="1114" t="s">
        <v>3189</v>
      </c>
      <c r="U1331" s="1103" t="s">
        <v>4309</v>
      </c>
      <c r="V1331" s="1114">
        <v>487</v>
      </c>
      <c r="W1331" s="1103" t="s">
        <v>3189</v>
      </c>
      <c r="X1331" s="1114">
        <f>(S1331*V1331)</f>
        <v>4870</v>
      </c>
      <c r="Z1331" s="1105">
        <v>9</v>
      </c>
      <c r="AA1331" s="1105" t="s">
        <v>4310</v>
      </c>
      <c r="AB1331" s="1105">
        <f>AC44</f>
        <v>1374.06</v>
      </c>
      <c r="AC1331" s="1105">
        <f>AB1331*Z1331</f>
        <v>12366.539999999999</v>
      </c>
      <c r="AE1331" s="1114">
        <f t="shared" si="161"/>
        <v>0</v>
      </c>
    </row>
    <row r="1332" spans="6:31" ht="38.25" customHeight="1">
      <c r="M1332" s="1114">
        <v>10</v>
      </c>
      <c r="N1332" s="1114" t="s">
        <v>37</v>
      </c>
      <c r="O1332" s="1103" t="s">
        <v>4311</v>
      </c>
      <c r="P1332" s="1114">
        <v>1610</v>
      </c>
      <c r="Q1332" s="1104" t="s">
        <v>37</v>
      </c>
      <c r="R1332" s="1114">
        <f>(M1332*P1332)</f>
        <v>16100</v>
      </c>
      <c r="S1332" s="1114">
        <v>0.21</v>
      </c>
      <c r="T1332" s="1114" t="s">
        <v>2839</v>
      </c>
      <c r="U1332" s="1103" t="s">
        <v>4223</v>
      </c>
      <c r="V1332" s="1114">
        <f>P1333</f>
        <v>4795.8599999999997</v>
      </c>
      <c r="W1332" s="1103" t="s">
        <v>2839</v>
      </c>
      <c r="X1332" s="1114">
        <f>(S1332*V1332)</f>
        <v>1007.1305999999998</v>
      </c>
      <c r="Z1332" s="1105">
        <v>4.5</v>
      </c>
      <c r="AA1332" s="1103" t="s">
        <v>4265</v>
      </c>
      <c r="AB1332" s="1105">
        <f>K23</f>
        <v>6226.26</v>
      </c>
      <c r="AC1332" s="1105">
        <f>AB1332*Z1332</f>
        <v>28018.170000000002</v>
      </c>
      <c r="AE1332" s="1114">
        <f t="shared" si="161"/>
        <v>0</v>
      </c>
    </row>
    <row r="1333" spans="6:31" ht="24" customHeight="1">
      <c r="G1333" s="1114" t="s">
        <v>3138</v>
      </c>
      <c r="H1333" s="1103" t="s">
        <v>4312</v>
      </c>
      <c r="M1333" s="1114">
        <v>0.12</v>
      </c>
      <c r="N1333" s="1114" t="s">
        <v>2839</v>
      </c>
      <c r="O1333" s="1103" t="s">
        <v>3596</v>
      </c>
      <c r="P1333" s="1114">
        <f>K32</f>
        <v>4795.8599999999997</v>
      </c>
      <c r="Q1333" s="1104" t="s">
        <v>2839</v>
      </c>
      <c r="R1333" s="1114">
        <f>(M1333*P1333)</f>
        <v>575.50319999999999</v>
      </c>
      <c r="S1333" s="1105">
        <v>10</v>
      </c>
      <c r="U1333" s="1103" t="s">
        <v>4313</v>
      </c>
      <c r="V1333" s="1127">
        <f>K1344</f>
        <v>274.87343999999996</v>
      </c>
      <c r="W1333" s="1107"/>
      <c r="X1333" s="1114">
        <f>(S1333*V1333)</f>
        <v>2748.7343999999994</v>
      </c>
      <c r="Z1333" s="1105">
        <v>1.8</v>
      </c>
      <c r="AA1333" s="1103" t="s">
        <v>3017</v>
      </c>
      <c r="AB1333" s="1105">
        <f>V1335</f>
        <v>804</v>
      </c>
      <c r="AC1333" s="1105">
        <f>AB1333*Z1333</f>
        <v>1447.2</v>
      </c>
      <c r="AE1333" s="1114">
        <f t="shared" si="161"/>
        <v>0</v>
      </c>
    </row>
    <row r="1334" spans="6:31" ht="31.5" customHeight="1">
      <c r="H1334" s="1103" t="s">
        <v>4314</v>
      </c>
      <c r="M1334" s="1114">
        <v>1</v>
      </c>
      <c r="N1334" s="1114" t="s">
        <v>314</v>
      </c>
      <c r="O1334" s="1103" t="s">
        <v>3532</v>
      </c>
      <c r="P1334" s="1114">
        <f>I1305</f>
        <v>861</v>
      </c>
      <c r="Q1334" s="1104" t="s">
        <v>522</v>
      </c>
      <c r="R1334" s="1114">
        <f>(M1334*P1334)</f>
        <v>861</v>
      </c>
      <c r="S1334" s="1114">
        <v>1.1000000000000001</v>
      </c>
      <c r="T1334" s="1143" t="s">
        <v>2941</v>
      </c>
      <c r="U1334" s="1103" t="s">
        <v>3051</v>
      </c>
      <c r="V1334" s="1114">
        <f>AE9</f>
        <v>861</v>
      </c>
      <c r="W1334" s="1104" t="s">
        <v>2941</v>
      </c>
      <c r="X1334" s="1114">
        <f t="shared" ref="X1334:X1341" si="166">S1334*V1334</f>
        <v>947.1</v>
      </c>
      <c r="Z1334" s="1105">
        <v>17.7</v>
      </c>
      <c r="AA1334" s="1103" t="s">
        <v>3020</v>
      </c>
      <c r="AB1334" s="1105">
        <f>V1336</f>
        <v>562</v>
      </c>
      <c r="AC1334" s="1105">
        <f>AB1334*Z1334</f>
        <v>9947.4</v>
      </c>
      <c r="AE1334" s="1114">
        <f t="shared" si="161"/>
        <v>0</v>
      </c>
    </row>
    <row r="1335" spans="6:31" ht="38.25" customHeight="1">
      <c r="H1335" s="1111" t="s">
        <v>36</v>
      </c>
      <c r="L1335" s="1105">
        <f>SUM(K1355:K1360)</f>
        <v>7192.8763999999992</v>
      </c>
      <c r="M1335" s="1114">
        <v>1</v>
      </c>
      <c r="N1335" s="1114" t="s">
        <v>314</v>
      </c>
      <c r="O1335" s="1103" t="s">
        <v>3534</v>
      </c>
      <c r="P1335" s="1114">
        <f>I1306</f>
        <v>562</v>
      </c>
      <c r="Q1335" s="1104" t="s">
        <v>522</v>
      </c>
      <c r="R1335" s="1114">
        <f>(M1335*P1335)</f>
        <v>562</v>
      </c>
      <c r="S1335" s="1114">
        <v>2.1</v>
      </c>
      <c r="T1335" s="1143" t="s">
        <v>2941</v>
      </c>
      <c r="U1335" s="1103" t="s">
        <v>3017</v>
      </c>
      <c r="V1335" s="1114">
        <f>AE10</f>
        <v>804</v>
      </c>
      <c r="W1335" s="1104" t="s">
        <v>2941</v>
      </c>
      <c r="X1335" s="1114">
        <f t="shared" si="166"/>
        <v>1688.4</v>
      </c>
      <c r="Z1335" s="1105">
        <v>14.1</v>
      </c>
      <c r="AA1335" s="1103" t="s">
        <v>3026</v>
      </c>
      <c r="AB1335" s="1105">
        <f>V1337</f>
        <v>461</v>
      </c>
      <c r="AC1335" s="1105">
        <f>AB1335*Z1335</f>
        <v>6500.0999999999995</v>
      </c>
      <c r="AE1335" s="1114">
        <f t="shared" si="161"/>
        <v>0</v>
      </c>
    </row>
    <row r="1336" spans="6:31" ht="24" customHeight="1">
      <c r="F1336" s="1114">
        <v>0.04</v>
      </c>
      <c r="G1336" s="1114" t="s">
        <v>2839</v>
      </c>
      <c r="H1336" s="1103" t="s">
        <v>4315</v>
      </c>
      <c r="I1336" s="1114">
        <f>(K32)</f>
        <v>4795.8599999999997</v>
      </c>
      <c r="J1336" s="1103" t="s">
        <v>2839</v>
      </c>
      <c r="K1336" s="1114">
        <f>(F1336*I1336)</f>
        <v>191.83439999999999</v>
      </c>
      <c r="N1336" s="1114" t="s">
        <v>2851</v>
      </c>
      <c r="O1336" s="1103" t="s">
        <v>3536</v>
      </c>
      <c r="Q1336" s="1104" t="s">
        <v>2851</v>
      </c>
      <c r="R1336" s="1114">
        <v>0.33</v>
      </c>
      <c r="S1336" s="1114">
        <v>2.2000000000000002</v>
      </c>
      <c r="T1336" s="1143" t="s">
        <v>2941</v>
      </c>
      <c r="U1336" s="1103" t="s">
        <v>3020</v>
      </c>
      <c r="V1336" s="1114">
        <f>AE11</f>
        <v>562</v>
      </c>
      <c r="W1336" s="1104" t="s">
        <v>2941</v>
      </c>
      <c r="X1336" s="1114">
        <f t="shared" si="166"/>
        <v>1236.4000000000001</v>
      </c>
      <c r="AC1336" s="1105">
        <f>SUM(AC1331:AC1335)</f>
        <v>58279.409999999996</v>
      </c>
      <c r="AE1336" s="1114">
        <f t="shared" si="161"/>
        <v>0</v>
      </c>
    </row>
    <row r="1337" spans="6:31" ht="24" customHeight="1">
      <c r="F1337" s="1114">
        <v>2.2000000000000002</v>
      </c>
      <c r="G1337" s="1114" t="s">
        <v>2941</v>
      </c>
      <c r="H1337" s="1103" t="s">
        <v>3017</v>
      </c>
      <c r="I1337" s="1114">
        <f>(C11)</f>
        <v>804</v>
      </c>
      <c r="J1337" s="1103" t="s">
        <v>2941</v>
      </c>
      <c r="K1337" s="1114">
        <f>(F1337*I1337)</f>
        <v>1768.8000000000002</v>
      </c>
      <c r="L1337" s="1105">
        <f>SUM(K1355:K1360)</f>
        <v>7192.8763999999992</v>
      </c>
      <c r="O1337" s="1103" t="s">
        <v>3538</v>
      </c>
      <c r="Q1337" s="1109"/>
      <c r="R1337" s="1111" t="s">
        <v>36</v>
      </c>
      <c r="S1337" s="1114">
        <v>1.1000000000000001</v>
      </c>
      <c r="T1337" s="1143" t="s">
        <v>2941</v>
      </c>
      <c r="U1337" s="1103" t="s">
        <v>3026</v>
      </c>
      <c r="V1337" s="1114">
        <f>AE12</f>
        <v>461</v>
      </c>
      <c r="W1337" s="1104" t="s">
        <v>2941</v>
      </c>
      <c r="X1337" s="1114">
        <f t="shared" si="166"/>
        <v>507.1</v>
      </c>
      <c r="AC1337" s="1105">
        <f>AC1336/10</f>
        <v>5827.9409999999998</v>
      </c>
      <c r="AE1337" s="1114">
        <f t="shared" si="161"/>
        <v>0</v>
      </c>
    </row>
    <row r="1338" spans="6:31" ht="24" customHeight="1">
      <c r="F1338" s="1114">
        <v>0.5</v>
      </c>
      <c r="G1338" s="1114" t="s">
        <v>2941</v>
      </c>
      <c r="H1338" s="1103" t="s">
        <v>3020</v>
      </c>
      <c r="I1338" s="1114">
        <f>(C12)</f>
        <v>562</v>
      </c>
      <c r="J1338" s="1103" t="s">
        <v>2941</v>
      </c>
      <c r="K1338" s="1114">
        <f>(F1338*I1338)</f>
        <v>281</v>
      </c>
      <c r="O1338" s="1104" t="s">
        <v>3606</v>
      </c>
      <c r="Q1338" s="1109"/>
      <c r="R1338" s="1114">
        <f>SUM(R1332:R1336)</f>
        <v>18098.833200000001</v>
      </c>
      <c r="S1338" s="1128">
        <v>6.5</v>
      </c>
      <c r="T1338" s="1143" t="s">
        <v>165</v>
      </c>
      <c r="U1338" s="1103" t="s">
        <v>4316</v>
      </c>
      <c r="V1338" s="1114">
        <v>17.18</v>
      </c>
      <c r="W1338" s="1104" t="s">
        <v>197</v>
      </c>
      <c r="X1338" s="1114">
        <f t="shared" si="166"/>
        <v>111.67</v>
      </c>
      <c r="AE1338" s="1114">
        <f t="shared" si="161"/>
        <v>0</v>
      </c>
    </row>
    <row r="1339" spans="6:31" ht="24" customHeight="1">
      <c r="F1339" s="1114">
        <v>1.1000000000000001</v>
      </c>
      <c r="G1339" s="1114" t="s">
        <v>2941</v>
      </c>
      <c r="H1339" s="1103" t="s">
        <v>3026</v>
      </c>
      <c r="I1339" s="1114">
        <f>(C13)</f>
        <v>461</v>
      </c>
      <c r="J1339" s="1103" t="s">
        <v>2941</v>
      </c>
      <c r="K1339" s="1114">
        <f>(F1339*I1339)</f>
        <v>507.1</v>
      </c>
      <c r="Q1339" s="1109"/>
      <c r="R1339" s="1111" t="s">
        <v>36</v>
      </c>
      <c r="S1339" s="1128">
        <v>3</v>
      </c>
      <c r="T1339" s="1143" t="s">
        <v>165</v>
      </c>
      <c r="U1339" s="1103" t="s">
        <v>4317</v>
      </c>
      <c r="V1339" s="1114">
        <f>C610</f>
        <v>27</v>
      </c>
      <c r="W1339" s="1104" t="s">
        <v>165</v>
      </c>
      <c r="X1339" s="1114">
        <f t="shared" si="166"/>
        <v>81</v>
      </c>
      <c r="AE1339" s="1114">
        <f t="shared" si="161"/>
        <v>0</v>
      </c>
    </row>
    <row r="1340" spans="6:31" ht="24" customHeight="1">
      <c r="G1340" s="1114" t="s">
        <v>2851</v>
      </c>
      <c r="H1340" s="1103" t="s">
        <v>2852</v>
      </c>
      <c r="J1340" s="1103" t="s">
        <v>2851</v>
      </c>
      <c r="K1340" s="1114">
        <v>0</v>
      </c>
      <c r="O1340" s="1104" t="s">
        <v>3611</v>
      </c>
      <c r="Q1340" s="1109"/>
      <c r="R1340" s="1115">
        <f>R1338/10</f>
        <v>1809.8833200000001</v>
      </c>
      <c r="S1340" s="1114">
        <v>2.15</v>
      </c>
      <c r="T1340" s="1143" t="s">
        <v>2941</v>
      </c>
      <c r="U1340" s="1103" t="s">
        <v>4318</v>
      </c>
      <c r="V1340" s="1114">
        <v>45.8</v>
      </c>
      <c r="W1340" s="1104" t="s">
        <v>2941</v>
      </c>
      <c r="X1340" s="1114">
        <f t="shared" si="166"/>
        <v>98.469999999999985</v>
      </c>
      <c r="AE1340" s="1114">
        <f t="shared" si="161"/>
        <v>0</v>
      </c>
    </row>
    <row r="1341" spans="6:31" ht="24" customHeight="1">
      <c r="K1341" s="1111" t="s">
        <v>36</v>
      </c>
      <c r="O1341" s="1103" t="s">
        <v>3062</v>
      </c>
      <c r="Q1341" s="1109">
        <f>R1345+S1302</f>
        <v>1818.9133200000001</v>
      </c>
      <c r="R1341" s="1114">
        <f>R1340+S1299</f>
        <v>1810.0933200000002</v>
      </c>
      <c r="S1341" s="1180">
        <v>0.4</v>
      </c>
      <c r="T1341" s="1181" t="s">
        <v>2941</v>
      </c>
      <c r="U1341" s="1182" t="s">
        <v>4319</v>
      </c>
      <c r="V1341" s="1180"/>
      <c r="W1341" s="1183" t="s">
        <v>2941</v>
      </c>
      <c r="X1341" s="1114">
        <f t="shared" si="166"/>
        <v>0</v>
      </c>
      <c r="AE1341" s="1114">
        <f t="shared" si="161"/>
        <v>0</v>
      </c>
    </row>
    <row r="1342" spans="6:31" ht="24" customHeight="1">
      <c r="H1342" s="1103" t="s">
        <v>3152</v>
      </c>
      <c r="K1342" s="1114">
        <f>SUM(K1336:K1340)</f>
        <v>2748.7343999999998</v>
      </c>
      <c r="O1342" s="1103" t="s">
        <v>3066</v>
      </c>
      <c r="Q1342" s="1109">
        <f>Q1341+S1302</f>
        <v>1821.1133200000002</v>
      </c>
      <c r="R1342" s="1114">
        <f>R1341+1.11</f>
        <v>1811.2033200000001</v>
      </c>
      <c r="S1342" s="1114"/>
      <c r="T1342" s="1143"/>
      <c r="U1342" s="1103"/>
      <c r="V1342" s="1114"/>
      <c r="W1342" s="1104" t="s">
        <v>2941</v>
      </c>
      <c r="X1342" s="1114">
        <f>(S1342*V1342)</f>
        <v>0</v>
      </c>
      <c r="AE1342" s="1114">
        <f t="shared" ref="AE1342:AE1405" si="167">AG1342</f>
        <v>0</v>
      </c>
    </row>
    <row r="1343" spans="6:31" ht="24" customHeight="1">
      <c r="K1343" s="1111" t="s">
        <v>36</v>
      </c>
      <c r="O1343" s="1103" t="s">
        <v>3069</v>
      </c>
      <c r="Q1343" s="1109"/>
      <c r="R1343" s="1114">
        <f>R1342+1.11</f>
        <v>1812.31332</v>
      </c>
      <c r="S1343" s="1105"/>
      <c r="T1343" s="1143" t="s">
        <v>2851</v>
      </c>
      <c r="U1343" s="1103" t="s">
        <v>2852</v>
      </c>
      <c r="V1343" s="1114"/>
      <c r="W1343" s="1104" t="s">
        <v>2851</v>
      </c>
      <c r="X1343" s="1114">
        <v>0.8</v>
      </c>
      <c r="AE1343" s="1114">
        <f t="shared" si="167"/>
        <v>0</v>
      </c>
    </row>
    <row r="1344" spans="6:31" ht="24" customHeight="1">
      <c r="H1344" s="1118" t="s">
        <v>3154</v>
      </c>
      <c r="K1344" s="1115">
        <f>(K1342/10)</f>
        <v>274.87343999999996</v>
      </c>
      <c r="O1344" s="1103" t="s">
        <v>3071</v>
      </c>
      <c r="Q1344" s="1109"/>
      <c r="R1344" s="1114">
        <f>R1343+S1302</f>
        <v>1814.51332</v>
      </c>
      <c r="S1344" s="1105"/>
      <c r="T1344" s="1165"/>
      <c r="W1344" s="1109"/>
      <c r="X1344" s="1111" t="s">
        <v>36</v>
      </c>
      <c r="AE1344" s="1114">
        <f t="shared" si="167"/>
        <v>0</v>
      </c>
    </row>
    <row r="1345" spans="6:31" ht="24" customHeight="1">
      <c r="K1345" s="1111" t="s">
        <v>2793</v>
      </c>
      <c r="O1345" s="1103" t="s">
        <v>3451</v>
      </c>
      <c r="Q1345" s="1109"/>
      <c r="R1345" s="1114">
        <f>R1344+S1302</f>
        <v>1816.7133200000001</v>
      </c>
      <c r="S1345" s="1105"/>
      <c r="T1345" s="1165"/>
      <c r="U1345" s="1103" t="s">
        <v>3152</v>
      </c>
      <c r="W1345" s="1109"/>
      <c r="X1345" s="1114">
        <f>SUM(X1331:X1344)</f>
        <v>13296.804999999997</v>
      </c>
      <c r="AE1345" s="1114">
        <f t="shared" si="167"/>
        <v>0</v>
      </c>
    </row>
    <row r="1346" spans="6:31" ht="24" customHeight="1">
      <c r="Q1346" s="1109"/>
      <c r="S1346" s="1105"/>
      <c r="T1346" s="1165"/>
      <c r="W1346" s="1109"/>
      <c r="X1346" s="1111" t="s">
        <v>36</v>
      </c>
      <c r="AE1346" s="1114">
        <f t="shared" si="167"/>
        <v>0</v>
      </c>
    </row>
    <row r="1347" spans="6:31" ht="24" customHeight="1">
      <c r="F1347" s="1131">
        <v>32.1</v>
      </c>
      <c r="G1347" s="1114" t="s">
        <v>1363</v>
      </c>
      <c r="H1347" s="1103" t="s">
        <v>4320</v>
      </c>
      <c r="Q1347" s="1107"/>
      <c r="S1347" s="1105"/>
      <c r="T1347" s="1165"/>
      <c r="U1347" s="1103" t="s">
        <v>3154</v>
      </c>
      <c r="W1347" s="1109"/>
      <c r="X1347" s="1115">
        <f>(X1345/10)</f>
        <v>1329.6804999999997</v>
      </c>
      <c r="Y1347" s="1105">
        <f>0.8-0.77</f>
        <v>3.0000000000000027E-2</v>
      </c>
      <c r="AE1347" s="1114">
        <f t="shared" si="167"/>
        <v>0</v>
      </c>
    </row>
    <row r="1348" spans="6:31" ht="24" customHeight="1">
      <c r="H1348" s="1103" t="s">
        <v>4321</v>
      </c>
      <c r="Q1348" s="1107"/>
      <c r="S1348" s="1105"/>
      <c r="T1348" s="1165"/>
      <c r="W1348" s="1109"/>
      <c r="X1348" s="1111" t="s">
        <v>2793</v>
      </c>
      <c r="AE1348" s="1114">
        <f t="shared" si="167"/>
        <v>0</v>
      </c>
    </row>
    <row r="1349" spans="6:31" ht="24" customHeight="1">
      <c r="H1349" s="1103" t="s">
        <v>4322</v>
      </c>
      <c r="Q1349" s="1107"/>
      <c r="AE1349" s="1114">
        <f t="shared" si="167"/>
        <v>0</v>
      </c>
    </row>
    <row r="1350" spans="6:31" ht="24" customHeight="1">
      <c r="H1350" s="1103" t="s">
        <v>4323</v>
      </c>
      <c r="Q1350" s="1107"/>
      <c r="Y1350" s="1144">
        <v>3.02</v>
      </c>
      <c r="Z1350" s="1114" t="s">
        <v>3236</v>
      </c>
      <c r="AA1350" s="1103" t="s">
        <v>4324</v>
      </c>
      <c r="AB1350" s="1114">
        <f t="shared" ref="AB1350:AB1361" si="168">V1352</f>
        <v>301</v>
      </c>
      <c r="AC1350" s="1114" t="s">
        <v>3236</v>
      </c>
      <c r="AD1350" s="1114">
        <f t="shared" ref="AD1350:AD1361" si="169">AB1350*Y1350</f>
        <v>909.02</v>
      </c>
      <c r="AE1350" s="1114">
        <f t="shared" si="167"/>
        <v>0</v>
      </c>
    </row>
    <row r="1351" spans="6:31" ht="24" customHeight="1">
      <c r="H1351" s="1103" t="s">
        <v>4325</v>
      </c>
      <c r="O1351" s="1105" t="s">
        <v>4326</v>
      </c>
      <c r="Q1351" s="1109"/>
      <c r="U1351" s="1167" t="s">
        <v>4327</v>
      </c>
      <c r="W1351" s="1107"/>
      <c r="Y1351" s="1144">
        <v>2.19</v>
      </c>
      <c r="Z1351" s="1114" t="s">
        <v>3236</v>
      </c>
      <c r="AA1351" s="1103" t="s">
        <v>4324</v>
      </c>
      <c r="AB1351" s="1114">
        <f t="shared" si="168"/>
        <v>301</v>
      </c>
      <c r="AC1351" s="1114" t="s">
        <v>3236</v>
      </c>
      <c r="AD1351" s="1114">
        <f t="shared" si="169"/>
        <v>659.18999999999994</v>
      </c>
      <c r="AE1351" s="1114">
        <f t="shared" si="167"/>
        <v>0</v>
      </c>
    </row>
    <row r="1352" spans="6:31" ht="24" customHeight="1">
      <c r="H1352" s="1111" t="s">
        <v>36</v>
      </c>
      <c r="Q1352" s="1109"/>
      <c r="S1352" s="1128">
        <v>3.72</v>
      </c>
      <c r="T1352" s="1114" t="s">
        <v>3236</v>
      </c>
      <c r="U1352" s="1103" t="s">
        <v>4324</v>
      </c>
      <c r="V1352" s="1114">
        <f>P1391</f>
        <v>301</v>
      </c>
      <c r="W1352" s="1114" t="s">
        <v>3236</v>
      </c>
      <c r="X1352" s="1114">
        <f>V1352*S1352</f>
        <v>1119.72</v>
      </c>
      <c r="Y1352" s="1144">
        <v>4.96</v>
      </c>
      <c r="Z1352" s="1114" t="s">
        <v>3236</v>
      </c>
      <c r="AA1352" s="1103" t="s">
        <v>4324</v>
      </c>
      <c r="AB1352" s="1114">
        <f t="shared" si="168"/>
        <v>301</v>
      </c>
      <c r="AC1352" s="1114" t="s">
        <v>3236</v>
      </c>
      <c r="AD1352" s="1114">
        <f t="shared" si="169"/>
        <v>1492.96</v>
      </c>
      <c r="AE1352" s="1114">
        <f t="shared" si="167"/>
        <v>0</v>
      </c>
    </row>
    <row r="1353" spans="6:31" ht="24" customHeight="1">
      <c r="F1353" s="1114">
        <v>190</v>
      </c>
      <c r="G1353" s="1114" t="s">
        <v>4154</v>
      </c>
      <c r="H1353" s="1103" t="s">
        <v>4328</v>
      </c>
      <c r="I1353" s="1114">
        <f>(C83)</f>
        <v>16106</v>
      </c>
      <c r="J1353" s="1103" t="s">
        <v>3077</v>
      </c>
      <c r="K1353" s="1114">
        <f>(F1353*I1353)/1000</f>
        <v>3060.14</v>
      </c>
      <c r="M1353" s="1105">
        <v>70</v>
      </c>
      <c r="N1353" s="1105" t="s">
        <v>61</v>
      </c>
      <c r="O1353" s="1105" t="s">
        <v>4329</v>
      </c>
      <c r="P1353" s="1105">
        <v>33</v>
      </c>
      <c r="Q1353" s="1109" t="s">
        <v>61</v>
      </c>
      <c r="R1353" s="1105">
        <f>P1353*M1353</f>
        <v>2310</v>
      </c>
      <c r="S1353" s="1128">
        <v>3.87</v>
      </c>
      <c r="T1353" s="1114" t="s">
        <v>3236</v>
      </c>
      <c r="U1353" s="1103" t="s">
        <v>4324</v>
      </c>
      <c r="V1353" s="1114">
        <f t="shared" ref="V1353:V1363" si="170">P1392</f>
        <v>301</v>
      </c>
      <c r="W1353" s="1114" t="s">
        <v>3236</v>
      </c>
      <c r="X1353" s="1114">
        <f t="shared" ref="X1353:X1363" si="171">V1353*S1353</f>
        <v>1164.8700000000001</v>
      </c>
      <c r="Y1353" s="1144">
        <v>0.85</v>
      </c>
      <c r="Z1353" s="1114" t="s">
        <v>3236</v>
      </c>
      <c r="AA1353" s="1103" t="s">
        <v>4324</v>
      </c>
      <c r="AB1353" s="1114">
        <f t="shared" si="168"/>
        <v>301</v>
      </c>
      <c r="AC1353" s="1114" t="s">
        <v>3236</v>
      </c>
      <c r="AD1353" s="1114">
        <f t="shared" si="169"/>
        <v>255.85</v>
      </c>
      <c r="AE1353" s="1114">
        <f t="shared" si="167"/>
        <v>0</v>
      </c>
    </row>
    <row r="1354" spans="6:31" ht="24" customHeight="1">
      <c r="F1354" s="1114">
        <v>0.12</v>
      </c>
      <c r="G1354" s="1114" t="s">
        <v>2839</v>
      </c>
      <c r="H1354" s="1103" t="s">
        <v>4223</v>
      </c>
      <c r="I1354" s="1114">
        <f>(K32)</f>
        <v>4795.8599999999997</v>
      </c>
      <c r="J1354" s="1103" t="s">
        <v>2839</v>
      </c>
      <c r="K1354" s="1114">
        <f t="shared" ref="K1354:K1360" si="172">(F1354*I1354)</f>
        <v>575.50319999999999</v>
      </c>
      <c r="Q1354" s="1109"/>
      <c r="S1354" s="1128">
        <v>7.46</v>
      </c>
      <c r="T1354" s="1114" t="s">
        <v>3236</v>
      </c>
      <c r="U1354" s="1103" t="s">
        <v>4324</v>
      </c>
      <c r="V1354" s="1114">
        <f t="shared" si="170"/>
        <v>301</v>
      </c>
      <c r="W1354" s="1114" t="s">
        <v>3236</v>
      </c>
      <c r="X1354" s="1114">
        <f t="shared" si="171"/>
        <v>2245.46</v>
      </c>
      <c r="Y1354" s="1144">
        <v>0.73199999999999998</v>
      </c>
      <c r="Z1354" s="1114" t="s">
        <v>833</v>
      </c>
      <c r="AA1354" s="1103" t="s">
        <v>4330</v>
      </c>
      <c r="AB1354" s="1114">
        <f>V1356</f>
        <v>208.8</v>
      </c>
      <c r="AC1354" s="1114" t="s">
        <v>833</v>
      </c>
      <c r="AD1354" s="1114">
        <f t="shared" si="169"/>
        <v>152.8416</v>
      </c>
      <c r="AE1354" s="1114">
        <f t="shared" si="167"/>
        <v>0</v>
      </c>
    </row>
    <row r="1355" spans="6:31" ht="24" customHeight="1">
      <c r="F1355" s="1114">
        <v>10</v>
      </c>
      <c r="G1355" s="1114" t="s">
        <v>3189</v>
      </c>
      <c r="H1355" s="1103" t="s">
        <v>4331</v>
      </c>
      <c r="I1355" s="1114">
        <f>(K1344)</f>
        <v>274.87343999999996</v>
      </c>
      <c r="J1355" s="1103" t="s">
        <v>3189</v>
      </c>
      <c r="K1355" s="1114">
        <f t="shared" si="172"/>
        <v>2748.7343999999994</v>
      </c>
      <c r="M1355" s="1105">
        <v>0.3</v>
      </c>
      <c r="N1355" s="1105" t="s">
        <v>16</v>
      </c>
      <c r="O1355" s="1105" t="s">
        <v>4332</v>
      </c>
      <c r="P1355" s="1105">
        <v>17600</v>
      </c>
      <c r="Q1355" s="1109" t="s">
        <v>16</v>
      </c>
      <c r="R1355" s="1105">
        <f>P1355*M1355</f>
        <v>5280</v>
      </c>
      <c r="S1355" s="1128">
        <v>1.28</v>
      </c>
      <c r="T1355" s="1114" t="s">
        <v>3236</v>
      </c>
      <c r="U1355" s="1103" t="s">
        <v>4324</v>
      </c>
      <c r="V1355" s="1114">
        <f t="shared" si="170"/>
        <v>301</v>
      </c>
      <c r="W1355" s="1114" t="s">
        <v>3236</v>
      </c>
      <c r="X1355" s="1114">
        <f t="shared" si="171"/>
        <v>385.28000000000003</v>
      </c>
      <c r="Y1355" s="1144">
        <v>6.8719999999999999</v>
      </c>
      <c r="Z1355" s="1114" t="s">
        <v>61</v>
      </c>
      <c r="AA1355" s="1103" t="s">
        <v>4333</v>
      </c>
      <c r="AB1355" s="1114">
        <f t="shared" si="168"/>
        <v>28.8</v>
      </c>
      <c r="AC1355" s="1114" t="s">
        <v>61</v>
      </c>
      <c r="AD1355" s="1114">
        <f t="shared" si="169"/>
        <v>197.9136</v>
      </c>
      <c r="AE1355" s="1114">
        <f t="shared" si="167"/>
        <v>0</v>
      </c>
    </row>
    <row r="1356" spans="6:31" ht="24" customHeight="1">
      <c r="F1356" s="1128">
        <v>1.54</v>
      </c>
      <c r="G1356" s="1114" t="s">
        <v>165</v>
      </c>
      <c r="H1356" s="1103" t="s">
        <v>4334</v>
      </c>
      <c r="I1356" s="1114">
        <f>C653</f>
        <v>42.3</v>
      </c>
      <c r="J1356" s="1103" t="s">
        <v>165</v>
      </c>
      <c r="K1356" s="1114">
        <f t="shared" si="172"/>
        <v>65.141999999999996</v>
      </c>
      <c r="Q1356" s="1109"/>
      <c r="S1356" s="1128">
        <v>1.107</v>
      </c>
      <c r="T1356" s="1114" t="s">
        <v>833</v>
      </c>
      <c r="U1356" s="1103" t="s">
        <v>4330</v>
      </c>
      <c r="V1356" s="1114">
        <f t="shared" si="170"/>
        <v>208.8</v>
      </c>
      <c r="W1356" s="1114" t="s">
        <v>833</v>
      </c>
      <c r="X1356" s="1114">
        <f t="shared" si="171"/>
        <v>231.14160000000001</v>
      </c>
      <c r="Y1356" s="1144">
        <v>8</v>
      </c>
      <c r="Z1356" s="1114" t="s">
        <v>2941</v>
      </c>
      <c r="AA1356" s="1103" t="s">
        <v>4335</v>
      </c>
      <c r="AB1356" s="1114">
        <f t="shared" si="168"/>
        <v>66.599999999999994</v>
      </c>
      <c r="AC1356" s="1114" t="s">
        <v>2941</v>
      </c>
      <c r="AD1356" s="1114">
        <f t="shared" si="169"/>
        <v>532.79999999999995</v>
      </c>
      <c r="AE1356" s="1114">
        <f t="shared" si="167"/>
        <v>0</v>
      </c>
    </row>
    <row r="1357" spans="6:31" ht="24" customHeight="1">
      <c r="F1357" s="1114">
        <v>1.1000000000000001</v>
      </c>
      <c r="G1357" s="1114" t="s">
        <v>2941</v>
      </c>
      <c r="H1357" s="1103" t="s">
        <v>3051</v>
      </c>
      <c r="I1357" s="1114">
        <f>(C10)</f>
        <v>861</v>
      </c>
      <c r="J1357" s="1103" t="s">
        <v>2941</v>
      </c>
      <c r="K1357" s="1114">
        <f t="shared" si="172"/>
        <v>947.1</v>
      </c>
      <c r="O1357" s="1105" t="s">
        <v>4336</v>
      </c>
      <c r="Q1357" s="1109"/>
      <c r="R1357" s="1105">
        <f>SUM(R1353:R1355)</f>
        <v>7590</v>
      </c>
      <c r="S1357" s="1128">
        <v>10.343999999999999</v>
      </c>
      <c r="T1357" s="1114" t="s">
        <v>61</v>
      </c>
      <c r="U1357" s="1103" t="s">
        <v>4333</v>
      </c>
      <c r="V1357" s="1114">
        <f t="shared" si="170"/>
        <v>28.8</v>
      </c>
      <c r="W1357" s="1114" t="s">
        <v>61</v>
      </c>
      <c r="X1357" s="1114">
        <f t="shared" si="171"/>
        <v>297.90719999999999</v>
      </c>
      <c r="Y1357" s="1144">
        <v>4</v>
      </c>
      <c r="Z1357" s="1114" t="s">
        <v>2941</v>
      </c>
      <c r="AA1357" s="1103" t="s">
        <v>4337</v>
      </c>
      <c r="AB1357" s="1114">
        <f t="shared" si="168"/>
        <v>53.4</v>
      </c>
      <c r="AC1357" s="1114" t="s">
        <v>2941</v>
      </c>
      <c r="AD1357" s="1114">
        <f t="shared" si="169"/>
        <v>213.6</v>
      </c>
      <c r="AE1357" s="1114">
        <f t="shared" si="167"/>
        <v>0</v>
      </c>
    </row>
    <row r="1358" spans="6:31" ht="24" customHeight="1">
      <c r="F1358" s="1114">
        <v>2.1</v>
      </c>
      <c r="G1358" s="1114" t="s">
        <v>2941</v>
      </c>
      <c r="H1358" s="1103" t="s">
        <v>3017</v>
      </c>
      <c r="I1358" s="1114">
        <f>(C11)</f>
        <v>804</v>
      </c>
      <c r="J1358" s="1103" t="s">
        <v>2941</v>
      </c>
      <c r="K1358" s="1114">
        <f t="shared" si="172"/>
        <v>1688.4</v>
      </c>
      <c r="O1358" s="1184" t="s">
        <v>4338</v>
      </c>
      <c r="Q1358" s="1109"/>
      <c r="R1358" s="1119">
        <f>R1357/10</f>
        <v>759</v>
      </c>
      <c r="S1358" s="1128">
        <v>12</v>
      </c>
      <c r="T1358" s="1114" t="s">
        <v>2941</v>
      </c>
      <c r="U1358" s="1103" t="s">
        <v>4339</v>
      </c>
      <c r="V1358" s="1114">
        <f t="shared" si="170"/>
        <v>66.599999999999994</v>
      </c>
      <c r="W1358" s="1114" t="s">
        <v>2941</v>
      </c>
      <c r="X1358" s="1114">
        <f t="shared" si="171"/>
        <v>799.19999999999993</v>
      </c>
      <c r="Y1358" s="1144">
        <v>4</v>
      </c>
      <c r="Z1358" s="1114" t="s">
        <v>2941</v>
      </c>
      <c r="AA1358" s="1103" t="s">
        <v>4340</v>
      </c>
      <c r="AB1358" s="1114">
        <f t="shared" si="168"/>
        <v>30</v>
      </c>
      <c r="AC1358" s="1114" t="s">
        <v>2941</v>
      </c>
      <c r="AD1358" s="1114">
        <f t="shared" si="169"/>
        <v>120</v>
      </c>
      <c r="AE1358" s="1114">
        <f t="shared" si="167"/>
        <v>0</v>
      </c>
    </row>
    <row r="1359" spans="6:31" ht="24" customHeight="1">
      <c r="F1359" s="1114">
        <v>2.2000000000000002</v>
      </c>
      <c r="G1359" s="1114" t="s">
        <v>2941</v>
      </c>
      <c r="H1359" s="1103" t="s">
        <v>3020</v>
      </c>
      <c r="I1359" s="1114">
        <f>(C12)</f>
        <v>562</v>
      </c>
      <c r="J1359" s="1103" t="s">
        <v>2941</v>
      </c>
      <c r="K1359" s="1114">
        <f t="shared" si="172"/>
        <v>1236.4000000000001</v>
      </c>
      <c r="Q1359" s="1109"/>
      <c r="S1359" s="1128">
        <v>6</v>
      </c>
      <c r="T1359" s="1114" t="s">
        <v>2941</v>
      </c>
      <c r="U1359" s="1103" t="s">
        <v>4337</v>
      </c>
      <c r="V1359" s="1114">
        <f t="shared" si="170"/>
        <v>53.4</v>
      </c>
      <c r="W1359" s="1114" t="s">
        <v>2941</v>
      </c>
      <c r="X1359" s="1114">
        <f t="shared" si="171"/>
        <v>320.39999999999998</v>
      </c>
      <c r="Y1359" s="1144">
        <v>4</v>
      </c>
      <c r="Z1359" s="1114" t="s">
        <v>2941</v>
      </c>
      <c r="AA1359" s="1103" t="s">
        <v>4341</v>
      </c>
      <c r="AB1359" s="1114">
        <f t="shared" si="168"/>
        <v>20</v>
      </c>
      <c r="AC1359" s="1114" t="s">
        <v>2941</v>
      </c>
      <c r="AD1359" s="1114">
        <f t="shared" si="169"/>
        <v>80</v>
      </c>
      <c r="AE1359" s="1114">
        <f t="shared" si="167"/>
        <v>0</v>
      </c>
    </row>
    <row r="1360" spans="6:31" ht="24" customHeight="1">
      <c r="F1360" s="1114">
        <v>1.1000000000000001</v>
      </c>
      <c r="G1360" s="1114" t="s">
        <v>2941</v>
      </c>
      <c r="H1360" s="1103" t="s">
        <v>3026</v>
      </c>
      <c r="I1360" s="1114">
        <f>(C13)</f>
        <v>461</v>
      </c>
      <c r="J1360" s="1103" t="s">
        <v>2941</v>
      </c>
      <c r="K1360" s="1114">
        <f t="shared" si="172"/>
        <v>507.1</v>
      </c>
      <c r="M1360" s="1105">
        <v>2</v>
      </c>
      <c r="N1360" s="1105" t="s">
        <v>4</v>
      </c>
      <c r="O1360" s="1105" t="s">
        <v>4184</v>
      </c>
      <c r="P1360" s="1105">
        <f>C12</f>
        <v>562</v>
      </c>
      <c r="Q1360" s="1109" t="s">
        <v>992</v>
      </c>
      <c r="R1360" s="1105">
        <f>P1360*M1360</f>
        <v>1124</v>
      </c>
      <c r="S1360" s="1128">
        <v>6</v>
      </c>
      <c r="T1360" s="1114" t="s">
        <v>2941</v>
      </c>
      <c r="U1360" s="1103" t="s">
        <v>4340</v>
      </c>
      <c r="V1360" s="1114">
        <f t="shared" si="170"/>
        <v>30</v>
      </c>
      <c r="W1360" s="1114" t="s">
        <v>2941</v>
      </c>
      <c r="X1360" s="1114">
        <f t="shared" si="171"/>
        <v>180</v>
      </c>
      <c r="Y1360" s="1144">
        <v>4</v>
      </c>
      <c r="Z1360" s="1114" t="s">
        <v>2941</v>
      </c>
      <c r="AA1360" s="1103" t="s">
        <v>4342</v>
      </c>
      <c r="AB1360" s="1114">
        <f t="shared" si="168"/>
        <v>15</v>
      </c>
      <c r="AC1360" s="1114" t="s">
        <v>2941</v>
      </c>
      <c r="AD1360" s="1114">
        <f t="shared" si="169"/>
        <v>60</v>
      </c>
      <c r="AE1360" s="1114">
        <f t="shared" si="167"/>
        <v>0</v>
      </c>
    </row>
    <row r="1361" spans="6:31" ht="24" customHeight="1">
      <c r="G1361" s="1114" t="s">
        <v>2851</v>
      </c>
      <c r="H1361" s="1103" t="s">
        <v>2852</v>
      </c>
      <c r="J1361" s="1103" t="s">
        <v>2851</v>
      </c>
      <c r="K1361" s="1114">
        <v>0</v>
      </c>
      <c r="Q1361" s="1109"/>
      <c r="S1361" s="1128">
        <v>6</v>
      </c>
      <c r="T1361" s="1114" t="s">
        <v>2941</v>
      </c>
      <c r="U1361" s="1103" t="s">
        <v>4341</v>
      </c>
      <c r="V1361" s="1114">
        <f t="shared" si="170"/>
        <v>20</v>
      </c>
      <c r="W1361" s="1114" t="s">
        <v>2941</v>
      </c>
      <c r="X1361" s="1114">
        <f t="shared" si="171"/>
        <v>120</v>
      </c>
      <c r="Y1361" s="1144">
        <v>0.94499999999999995</v>
      </c>
      <c r="Z1361" s="1114" t="s">
        <v>37</v>
      </c>
      <c r="AA1361" s="1103" t="s">
        <v>4343</v>
      </c>
      <c r="AB1361" s="1114">
        <f t="shared" si="168"/>
        <v>1724</v>
      </c>
      <c r="AC1361" s="1114" t="s">
        <v>37</v>
      </c>
      <c r="AD1361" s="1114">
        <f t="shared" si="169"/>
        <v>1629.1799999999998</v>
      </c>
      <c r="AE1361" s="1114">
        <f t="shared" si="167"/>
        <v>0</v>
      </c>
    </row>
    <row r="1362" spans="6:31" ht="24" customHeight="1">
      <c r="K1362" s="1111" t="s">
        <v>36</v>
      </c>
      <c r="O1362" s="1105" t="s">
        <v>4344</v>
      </c>
      <c r="P1362" s="1105" t="s">
        <v>1348</v>
      </c>
      <c r="Q1362" s="1109"/>
      <c r="R1362" s="1105">
        <v>11.5</v>
      </c>
      <c r="S1362" s="1128">
        <v>4</v>
      </c>
      <c r="T1362" s="1114" t="s">
        <v>2941</v>
      </c>
      <c r="U1362" s="1103" t="s">
        <v>4342</v>
      </c>
      <c r="V1362" s="1114">
        <f t="shared" si="170"/>
        <v>15</v>
      </c>
      <c r="W1362" s="1114" t="s">
        <v>2941</v>
      </c>
      <c r="X1362" s="1114">
        <f t="shared" si="171"/>
        <v>60</v>
      </c>
      <c r="AA1362" s="1103" t="s">
        <v>4345</v>
      </c>
      <c r="AC1362" s="1109"/>
      <c r="AD1362" s="1114">
        <v>0.81</v>
      </c>
      <c r="AE1362" s="1114">
        <f t="shared" si="167"/>
        <v>0</v>
      </c>
    </row>
    <row r="1363" spans="6:31" ht="24" customHeight="1">
      <c r="H1363" s="1103" t="s">
        <v>3152</v>
      </c>
      <c r="K1363" s="1114">
        <f>SUM(K1353:K1361)</f>
        <v>10828.5196</v>
      </c>
      <c r="O1363" s="1184" t="s">
        <v>4346</v>
      </c>
      <c r="Q1363" s="1109"/>
      <c r="R1363" s="1105">
        <f>SUM(R1358:R1362)</f>
        <v>1894.5</v>
      </c>
      <c r="S1363" s="1128">
        <v>1.4179999999999999</v>
      </c>
      <c r="T1363" s="1114" t="s">
        <v>37</v>
      </c>
      <c r="U1363" s="1103" t="s">
        <v>4343</v>
      </c>
      <c r="V1363" s="1114">
        <f t="shared" si="170"/>
        <v>1724</v>
      </c>
      <c r="W1363" s="1114" t="s">
        <v>37</v>
      </c>
      <c r="X1363" s="1114">
        <f t="shared" si="171"/>
        <v>2444.6320000000001</v>
      </c>
      <c r="AA1363" s="1113" t="s">
        <v>4347</v>
      </c>
      <c r="AD1363" s="1115">
        <f>SUM(AD1350:AD1362)</f>
        <v>6304.1652000000004</v>
      </c>
      <c r="AE1363" s="1114">
        <f t="shared" si="167"/>
        <v>0</v>
      </c>
    </row>
    <row r="1364" spans="6:31" ht="24" customHeight="1">
      <c r="K1364" s="1111" t="s">
        <v>36</v>
      </c>
      <c r="Q1364" s="1109"/>
      <c r="U1364" s="1103" t="s">
        <v>4345</v>
      </c>
      <c r="W1364" s="1109"/>
      <c r="X1364" s="1114"/>
      <c r="AE1364" s="1114">
        <f t="shared" si="167"/>
        <v>0</v>
      </c>
    </row>
    <row r="1365" spans="6:31" ht="24" customHeight="1">
      <c r="H1365" s="1118" t="s">
        <v>3154</v>
      </c>
      <c r="K1365" s="1115">
        <f>(K1363/10)</f>
        <v>1082.85196</v>
      </c>
      <c r="O1365" s="1184" t="s">
        <v>4348</v>
      </c>
      <c r="Q1365" s="1109"/>
      <c r="R1365" s="1119">
        <f>R1363/6</f>
        <v>315.75</v>
      </c>
      <c r="U1365" s="1113" t="s">
        <v>4347</v>
      </c>
      <c r="X1365" s="1115">
        <f>SUM(X1352:X1364)</f>
        <v>9368.6107999999986</v>
      </c>
      <c r="AE1365" s="1114">
        <f t="shared" si="167"/>
        <v>0</v>
      </c>
    </row>
    <row r="1366" spans="6:31" ht="24" customHeight="1">
      <c r="K1366" s="1111" t="s">
        <v>2793</v>
      </c>
      <c r="Q1366" s="1109"/>
      <c r="AA1366" s="1167" t="s">
        <v>4349</v>
      </c>
      <c r="AC1366" s="1107"/>
      <c r="AE1366" s="1114">
        <f t="shared" si="167"/>
        <v>0</v>
      </c>
    </row>
    <row r="1367" spans="6:31" ht="24" customHeight="1">
      <c r="K1367" s="1111"/>
      <c r="Q1367" s="1107"/>
      <c r="Y1367" s="1144">
        <v>3.72</v>
      </c>
      <c r="Z1367" s="1114" t="s">
        <v>3236</v>
      </c>
      <c r="AA1367" s="1103" t="s">
        <v>4324</v>
      </c>
      <c r="AB1367" s="1114">
        <f>AB1350</f>
        <v>301</v>
      </c>
      <c r="AC1367" s="1114" t="s">
        <v>3236</v>
      </c>
      <c r="AD1367" s="1114">
        <f t="shared" ref="AD1367:AD1378" si="173">AB1367*Y1367</f>
        <v>1119.72</v>
      </c>
      <c r="AE1367" s="1114">
        <f t="shared" si="167"/>
        <v>0</v>
      </c>
    </row>
    <row r="1368" spans="6:31" ht="24" customHeight="1">
      <c r="K1368" s="1111"/>
      <c r="M1368" s="1131">
        <v>29.5</v>
      </c>
      <c r="N1368" s="1114" t="s">
        <v>1363</v>
      </c>
      <c r="O1368" s="1103" t="s">
        <v>4350</v>
      </c>
      <c r="Q1368" s="1109"/>
      <c r="U1368" s="1167" t="s">
        <v>4351</v>
      </c>
      <c r="W1368" s="1107"/>
      <c r="Y1368" s="1144">
        <v>2.69</v>
      </c>
      <c r="Z1368" s="1114" t="s">
        <v>3236</v>
      </c>
      <c r="AA1368" s="1103" t="s">
        <v>4324</v>
      </c>
      <c r="AB1368" s="1114">
        <f t="shared" ref="AB1368:AB1378" si="174">AB1351</f>
        <v>301</v>
      </c>
      <c r="AC1368" s="1114" t="s">
        <v>3236</v>
      </c>
      <c r="AD1368" s="1114">
        <f t="shared" si="173"/>
        <v>809.68999999999994</v>
      </c>
      <c r="AE1368" s="1114">
        <f t="shared" si="167"/>
        <v>0</v>
      </c>
    </row>
    <row r="1369" spans="6:31" ht="24" customHeight="1">
      <c r="F1369" s="1131">
        <v>32.200000000000003</v>
      </c>
      <c r="G1369" s="1114" t="s">
        <v>1363</v>
      </c>
      <c r="H1369" s="1103" t="s">
        <v>4320</v>
      </c>
      <c r="K1369" s="1111"/>
      <c r="O1369" s="1103" t="s">
        <v>4254</v>
      </c>
      <c r="Q1369" s="1109"/>
      <c r="S1369" s="1128">
        <v>3.49</v>
      </c>
      <c r="T1369" s="1114" t="s">
        <v>3236</v>
      </c>
      <c r="U1369" s="1103" t="s">
        <v>4324</v>
      </c>
      <c r="V1369" s="1114">
        <f>P1408</f>
        <v>301</v>
      </c>
      <c r="W1369" s="1114" t="s">
        <v>3236</v>
      </c>
      <c r="X1369" s="1114">
        <f>V1369*S1369</f>
        <v>1050.49</v>
      </c>
      <c r="Y1369" s="1144">
        <v>6.15</v>
      </c>
      <c r="Z1369" s="1114" t="s">
        <v>3236</v>
      </c>
      <c r="AA1369" s="1103" t="s">
        <v>4324</v>
      </c>
      <c r="AB1369" s="1114">
        <f t="shared" si="174"/>
        <v>301</v>
      </c>
      <c r="AC1369" s="1114" t="s">
        <v>3236</v>
      </c>
      <c r="AD1369" s="1114">
        <f t="shared" si="173"/>
        <v>1851.15</v>
      </c>
      <c r="AE1369" s="1114">
        <f t="shared" si="167"/>
        <v>0</v>
      </c>
    </row>
    <row r="1370" spans="6:31" ht="24" customHeight="1">
      <c r="H1370" s="1103" t="s">
        <v>4321</v>
      </c>
      <c r="K1370" s="1111"/>
      <c r="O1370" s="1103" t="s">
        <v>4255</v>
      </c>
      <c r="Q1370" s="1109"/>
      <c r="S1370" s="1128">
        <v>2.5299999999999998</v>
      </c>
      <c r="T1370" s="1114" t="s">
        <v>3236</v>
      </c>
      <c r="U1370" s="1103" t="s">
        <v>4324</v>
      </c>
      <c r="V1370" s="1114">
        <f t="shared" ref="V1370:V1380" si="175">P1409</f>
        <v>301</v>
      </c>
      <c r="W1370" s="1114" t="s">
        <v>3236</v>
      </c>
      <c r="X1370" s="1114">
        <f t="shared" ref="X1370:X1380" si="176">V1370*S1370</f>
        <v>761.53</v>
      </c>
      <c r="Y1370" s="1144">
        <v>1.07</v>
      </c>
      <c r="Z1370" s="1114" t="s">
        <v>3236</v>
      </c>
      <c r="AA1370" s="1103" t="s">
        <v>4324</v>
      </c>
      <c r="AB1370" s="1114">
        <f t="shared" si="174"/>
        <v>301</v>
      </c>
      <c r="AC1370" s="1114" t="s">
        <v>3236</v>
      </c>
      <c r="AD1370" s="1114">
        <f t="shared" si="173"/>
        <v>322.07</v>
      </c>
      <c r="AE1370" s="1114">
        <f t="shared" si="167"/>
        <v>0</v>
      </c>
    </row>
    <row r="1371" spans="6:31" ht="24" customHeight="1">
      <c r="H1371" s="1103" t="s">
        <v>4322</v>
      </c>
      <c r="K1371" s="1111"/>
      <c r="O1371" s="1111" t="s">
        <v>36</v>
      </c>
      <c r="P1371" s="1111" t="s">
        <v>36</v>
      </c>
      <c r="Q1371" s="1109"/>
      <c r="R1371" s="1114"/>
      <c r="S1371" s="1128">
        <v>5.75</v>
      </c>
      <c r="T1371" s="1114" t="s">
        <v>3236</v>
      </c>
      <c r="U1371" s="1103" t="s">
        <v>4324</v>
      </c>
      <c r="V1371" s="1114">
        <f t="shared" si="175"/>
        <v>301</v>
      </c>
      <c r="W1371" s="1114" t="s">
        <v>3236</v>
      </c>
      <c r="X1371" s="1114">
        <f t="shared" si="176"/>
        <v>1730.75</v>
      </c>
      <c r="Y1371" s="1144">
        <v>1.153</v>
      </c>
      <c r="Z1371" s="1114" t="s">
        <v>833</v>
      </c>
      <c r="AA1371" s="1103" t="s">
        <v>4330</v>
      </c>
      <c r="AB1371" s="1114">
        <f t="shared" si="174"/>
        <v>208.8</v>
      </c>
      <c r="AC1371" s="1114" t="s">
        <v>833</v>
      </c>
      <c r="AD1371" s="1114">
        <f t="shared" si="173"/>
        <v>240.74640000000002</v>
      </c>
      <c r="AE1371" s="1114">
        <f t="shared" si="167"/>
        <v>0</v>
      </c>
    </row>
    <row r="1372" spans="6:31" ht="24" customHeight="1">
      <c r="H1372" s="1103" t="s">
        <v>4323</v>
      </c>
      <c r="K1372" s="1111"/>
      <c r="M1372" s="1114">
        <v>10</v>
      </c>
      <c r="N1372" s="1114" t="s">
        <v>3189</v>
      </c>
      <c r="O1372" s="1103" t="s">
        <v>4352</v>
      </c>
      <c r="P1372" s="1127">
        <f>P1332</f>
        <v>1610</v>
      </c>
      <c r="Q1372" s="1104" t="s">
        <v>3189</v>
      </c>
      <c r="R1372" s="1114">
        <f>M1372*P1372</f>
        <v>16100</v>
      </c>
      <c r="S1372" s="1128">
        <v>1</v>
      </c>
      <c r="T1372" s="1114" t="s">
        <v>3236</v>
      </c>
      <c r="U1372" s="1103" t="s">
        <v>4324</v>
      </c>
      <c r="V1372" s="1114">
        <f t="shared" si="175"/>
        <v>301</v>
      </c>
      <c r="W1372" s="1114" t="s">
        <v>3236</v>
      </c>
      <c r="X1372" s="1114">
        <f t="shared" si="176"/>
        <v>301</v>
      </c>
      <c r="Y1372" s="1144">
        <v>8.6720000000000006</v>
      </c>
      <c r="Z1372" s="1114" t="s">
        <v>61</v>
      </c>
      <c r="AA1372" s="1103" t="s">
        <v>4333</v>
      </c>
      <c r="AB1372" s="1114">
        <f t="shared" si="174"/>
        <v>28.8</v>
      </c>
      <c r="AC1372" s="1114" t="s">
        <v>61</v>
      </c>
      <c r="AD1372" s="1114">
        <f t="shared" si="173"/>
        <v>249.75360000000003</v>
      </c>
      <c r="AE1372" s="1114">
        <f t="shared" si="167"/>
        <v>0</v>
      </c>
    </row>
    <row r="1373" spans="6:31" ht="24" customHeight="1">
      <c r="H1373" s="1103" t="s">
        <v>4325</v>
      </c>
      <c r="K1373" s="1111"/>
      <c r="M1373" s="1114">
        <v>0.21</v>
      </c>
      <c r="N1373" s="1114" t="s">
        <v>2839</v>
      </c>
      <c r="O1373" s="1103" t="s">
        <v>4223</v>
      </c>
      <c r="P1373" s="1114">
        <f>P1333</f>
        <v>4795.8599999999997</v>
      </c>
      <c r="Q1373" s="1104" t="s">
        <v>2839</v>
      </c>
      <c r="R1373" s="1114">
        <f>(M1373*P1373)</f>
        <v>1007.1305999999998</v>
      </c>
      <c r="S1373" s="1128">
        <v>0.96699999999999997</v>
      </c>
      <c r="T1373" s="1114" t="s">
        <v>833</v>
      </c>
      <c r="U1373" s="1103" t="s">
        <v>4330</v>
      </c>
      <c r="V1373" s="1114">
        <f t="shared" si="175"/>
        <v>208.8</v>
      </c>
      <c r="W1373" s="1114" t="s">
        <v>833</v>
      </c>
      <c r="X1373" s="1114">
        <f t="shared" si="176"/>
        <v>201.90960000000001</v>
      </c>
      <c r="Y1373" s="1144">
        <v>8</v>
      </c>
      <c r="Z1373" s="1114" t="s">
        <v>2941</v>
      </c>
      <c r="AA1373" s="1103" t="s">
        <v>4335</v>
      </c>
      <c r="AB1373" s="1114">
        <f t="shared" si="174"/>
        <v>66.599999999999994</v>
      </c>
      <c r="AC1373" s="1114" t="s">
        <v>2941</v>
      </c>
      <c r="AD1373" s="1114">
        <f t="shared" si="173"/>
        <v>532.79999999999995</v>
      </c>
      <c r="AE1373" s="1114">
        <f t="shared" si="167"/>
        <v>0</v>
      </c>
    </row>
    <row r="1374" spans="6:31" ht="24" customHeight="1">
      <c r="H1374" s="1111" t="s">
        <v>36</v>
      </c>
      <c r="K1374" s="1111"/>
      <c r="O1374" s="1103" t="s">
        <v>4228</v>
      </c>
      <c r="P1374" s="1103" t="s">
        <v>220</v>
      </c>
      <c r="Q1374" s="1109"/>
      <c r="R1374" s="1103" t="s">
        <v>220</v>
      </c>
      <c r="S1374" s="1128">
        <v>8.0719999999999992</v>
      </c>
      <c r="T1374" s="1114" t="s">
        <v>61</v>
      </c>
      <c r="U1374" s="1103" t="s">
        <v>4333</v>
      </c>
      <c r="V1374" s="1114">
        <f t="shared" si="175"/>
        <v>28.8</v>
      </c>
      <c r="W1374" s="1114" t="s">
        <v>61</v>
      </c>
      <c r="X1374" s="1114">
        <f t="shared" si="176"/>
        <v>232.47359999999998</v>
      </c>
      <c r="Y1374" s="1144">
        <v>4</v>
      </c>
      <c r="Z1374" s="1114" t="s">
        <v>2941</v>
      </c>
      <c r="AA1374" s="1103" t="s">
        <v>4337</v>
      </c>
      <c r="AB1374" s="1114">
        <f t="shared" si="174"/>
        <v>53.4</v>
      </c>
      <c r="AC1374" s="1114" t="s">
        <v>2941</v>
      </c>
      <c r="AD1374" s="1114">
        <f t="shared" si="173"/>
        <v>213.6</v>
      </c>
      <c r="AE1374" s="1114">
        <f t="shared" si="167"/>
        <v>0</v>
      </c>
    </row>
    <row r="1375" spans="6:31" ht="24" customHeight="1">
      <c r="F1375" s="1114">
        <v>190</v>
      </c>
      <c r="G1375" s="1114" t="s">
        <v>4154</v>
      </c>
      <c r="H1375" s="1103" t="s">
        <v>4353</v>
      </c>
      <c r="I1375" s="1105">
        <f>E83</f>
        <v>8710</v>
      </c>
      <c r="J1375" s="1103" t="s">
        <v>3077</v>
      </c>
      <c r="K1375" s="1114">
        <f>(F1375*I1375)/1000</f>
        <v>1654.9</v>
      </c>
      <c r="M1375" s="1114">
        <v>1.1000000000000001</v>
      </c>
      <c r="N1375" s="1114" t="s">
        <v>2941</v>
      </c>
      <c r="O1375" s="1103" t="s">
        <v>3051</v>
      </c>
      <c r="P1375" s="1114">
        <f>AE9</f>
        <v>861</v>
      </c>
      <c r="Q1375" s="1104" t="s">
        <v>2941</v>
      </c>
      <c r="R1375" s="1114">
        <f>(M1375*P1375)</f>
        <v>947.1</v>
      </c>
      <c r="S1375" s="1128">
        <v>8</v>
      </c>
      <c r="T1375" s="1114" t="s">
        <v>2941</v>
      </c>
      <c r="U1375" s="1103" t="s">
        <v>4335</v>
      </c>
      <c r="V1375" s="1114">
        <f t="shared" si="175"/>
        <v>66.599999999999994</v>
      </c>
      <c r="W1375" s="1114" t="s">
        <v>2941</v>
      </c>
      <c r="X1375" s="1114">
        <f t="shared" si="176"/>
        <v>532.79999999999995</v>
      </c>
      <c r="Y1375" s="1144">
        <v>4</v>
      </c>
      <c r="Z1375" s="1114" t="s">
        <v>2941</v>
      </c>
      <c r="AA1375" s="1103" t="s">
        <v>4340</v>
      </c>
      <c r="AB1375" s="1114">
        <f t="shared" si="174"/>
        <v>30</v>
      </c>
      <c r="AC1375" s="1114" t="s">
        <v>2941</v>
      </c>
      <c r="AD1375" s="1114">
        <f t="shared" si="173"/>
        <v>120</v>
      </c>
      <c r="AE1375" s="1114">
        <f t="shared" si="167"/>
        <v>0</v>
      </c>
    </row>
    <row r="1376" spans="6:31" ht="24" customHeight="1">
      <c r="F1376" s="1114">
        <v>0.12</v>
      </c>
      <c r="G1376" s="1114" t="s">
        <v>2839</v>
      </c>
      <c r="H1376" s="1103" t="s">
        <v>4223</v>
      </c>
      <c r="I1376" s="1105">
        <f>K32</f>
        <v>4795.8599999999997</v>
      </c>
      <c r="J1376" s="1103" t="s">
        <v>2839</v>
      </c>
      <c r="K1376" s="1114">
        <f t="shared" ref="K1376:K1382" si="177">(F1376*I1376)</f>
        <v>575.50319999999999</v>
      </c>
      <c r="M1376" s="1114">
        <v>1.1000000000000001</v>
      </c>
      <c r="N1376" s="1114" t="s">
        <v>2941</v>
      </c>
      <c r="O1376" s="1103" t="s">
        <v>3017</v>
      </c>
      <c r="P1376" s="1114">
        <f>AE10</f>
        <v>804</v>
      </c>
      <c r="Q1376" s="1104" t="s">
        <v>2941</v>
      </c>
      <c r="R1376" s="1114">
        <f>(M1376*P1376)</f>
        <v>884.40000000000009</v>
      </c>
      <c r="S1376" s="1128">
        <v>4</v>
      </c>
      <c r="T1376" s="1114" t="s">
        <v>2941</v>
      </c>
      <c r="U1376" s="1103" t="s">
        <v>4337</v>
      </c>
      <c r="V1376" s="1114">
        <f t="shared" si="175"/>
        <v>53.4</v>
      </c>
      <c r="W1376" s="1114" t="s">
        <v>2941</v>
      </c>
      <c r="X1376" s="1114">
        <f t="shared" si="176"/>
        <v>213.6</v>
      </c>
      <c r="Y1376" s="1144">
        <v>4</v>
      </c>
      <c r="Z1376" s="1114" t="s">
        <v>2941</v>
      </c>
      <c r="AA1376" s="1103" t="s">
        <v>4341</v>
      </c>
      <c r="AB1376" s="1114">
        <f t="shared" si="174"/>
        <v>20</v>
      </c>
      <c r="AC1376" s="1114" t="s">
        <v>2941</v>
      </c>
      <c r="AD1376" s="1114">
        <f t="shared" si="173"/>
        <v>80</v>
      </c>
      <c r="AE1376" s="1114">
        <f t="shared" si="167"/>
        <v>0</v>
      </c>
    </row>
    <row r="1377" spans="6:31" ht="24" customHeight="1">
      <c r="F1377" s="1114">
        <v>10</v>
      </c>
      <c r="G1377" s="1114" t="s">
        <v>3189</v>
      </c>
      <c r="H1377" s="1103" t="s">
        <v>4331</v>
      </c>
      <c r="I1377" s="1105">
        <f>K1344</f>
        <v>274.87343999999996</v>
      </c>
      <c r="J1377" s="1103" t="s">
        <v>3189</v>
      </c>
      <c r="K1377" s="1114">
        <f t="shared" si="177"/>
        <v>2748.7343999999994</v>
      </c>
      <c r="M1377" s="1114">
        <v>2.2000000000000002</v>
      </c>
      <c r="N1377" s="1114" t="s">
        <v>2941</v>
      </c>
      <c r="O1377" s="1103" t="s">
        <v>3020</v>
      </c>
      <c r="P1377" s="1114">
        <f>AE11</f>
        <v>562</v>
      </c>
      <c r="Q1377" s="1104" t="s">
        <v>2941</v>
      </c>
      <c r="R1377" s="1114">
        <f>(M1377*P1377)</f>
        <v>1236.4000000000001</v>
      </c>
      <c r="S1377" s="1128">
        <v>4</v>
      </c>
      <c r="T1377" s="1114" t="s">
        <v>2941</v>
      </c>
      <c r="U1377" s="1103" t="s">
        <v>4340</v>
      </c>
      <c r="V1377" s="1114">
        <f t="shared" si="175"/>
        <v>30</v>
      </c>
      <c r="W1377" s="1114" t="s">
        <v>2941</v>
      </c>
      <c r="X1377" s="1114">
        <f t="shared" si="176"/>
        <v>120</v>
      </c>
      <c r="Y1377" s="1144">
        <v>4</v>
      </c>
      <c r="Z1377" s="1114" t="s">
        <v>2941</v>
      </c>
      <c r="AA1377" s="1103" t="s">
        <v>4342</v>
      </c>
      <c r="AB1377" s="1114">
        <f t="shared" si="174"/>
        <v>15</v>
      </c>
      <c r="AC1377" s="1114" t="s">
        <v>2941</v>
      </c>
      <c r="AD1377" s="1114">
        <f t="shared" si="173"/>
        <v>60</v>
      </c>
      <c r="AE1377" s="1114">
        <f t="shared" si="167"/>
        <v>0</v>
      </c>
    </row>
    <row r="1378" spans="6:31" ht="24" customHeight="1">
      <c r="F1378" s="1114">
        <v>5.8</v>
      </c>
      <c r="G1378" s="1114" t="s">
        <v>165</v>
      </c>
      <c r="H1378" s="1103" t="s">
        <v>4334</v>
      </c>
      <c r="I1378" s="1105">
        <f>C653</f>
        <v>42.3</v>
      </c>
      <c r="J1378" s="1103" t="s">
        <v>165</v>
      </c>
      <c r="K1378" s="1114">
        <f t="shared" si="177"/>
        <v>245.33999999999997</v>
      </c>
      <c r="M1378" s="1114">
        <v>2.2000000000000002</v>
      </c>
      <c r="N1378" s="1114" t="s">
        <v>2941</v>
      </c>
      <c r="O1378" s="1103" t="s">
        <v>3026</v>
      </c>
      <c r="P1378" s="1114">
        <f>AE12</f>
        <v>461</v>
      </c>
      <c r="Q1378" s="1104" t="s">
        <v>2941</v>
      </c>
      <c r="R1378" s="1114">
        <f>(M1378*P1378)</f>
        <v>1014.2</v>
      </c>
      <c r="S1378" s="1128">
        <v>4</v>
      </c>
      <c r="T1378" s="1114" t="s">
        <v>2941</v>
      </c>
      <c r="U1378" s="1103" t="s">
        <v>4341</v>
      </c>
      <c r="V1378" s="1114">
        <f t="shared" si="175"/>
        <v>20</v>
      </c>
      <c r="W1378" s="1114" t="s">
        <v>2941</v>
      </c>
      <c r="X1378" s="1114">
        <f t="shared" si="176"/>
        <v>80</v>
      </c>
      <c r="Y1378" s="1144">
        <v>1.42</v>
      </c>
      <c r="Z1378" s="1114" t="s">
        <v>37</v>
      </c>
      <c r="AA1378" s="1103" t="s">
        <v>4343</v>
      </c>
      <c r="AB1378" s="1114">
        <f t="shared" si="174"/>
        <v>1724</v>
      </c>
      <c r="AC1378" s="1114" t="s">
        <v>37</v>
      </c>
      <c r="AD1378" s="1114">
        <f t="shared" si="173"/>
        <v>2448.08</v>
      </c>
      <c r="AE1378" s="1114">
        <f t="shared" si="167"/>
        <v>0</v>
      </c>
    </row>
    <row r="1379" spans="6:31" ht="24" customHeight="1">
      <c r="F1379" s="1114">
        <v>1.1000000000000001</v>
      </c>
      <c r="G1379" s="1114" t="s">
        <v>2941</v>
      </c>
      <c r="H1379" s="1103" t="s">
        <v>3051</v>
      </c>
      <c r="I1379" s="1105">
        <f>C10</f>
        <v>861</v>
      </c>
      <c r="J1379" s="1103" t="s">
        <v>2941</v>
      </c>
      <c r="K1379" s="1114">
        <f t="shared" si="177"/>
        <v>947.1</v>
      </c>
      <c r="M1379" s="1128">
        <v>20</v>
      </c>
      <c r="N1379" s="1114" t="s">
        <v>165</v>
      </c>
      <c r="O1379" s="1103" t="s">
        <v>2830</v>
      </c>
      <c r="P1379" s="1114">
        <f>AC31</f>
        <v>5960</v>
      </c>
      <c r="Q1379" s="1104" t="s">
        <v>197</v>
      </c>
      <c r="R1379" s="1114">
        <f>(M1379*P1379)/1000</f>
        <v>119.2</v>
      </c>
      <c r="S1379" s="1128">
        <v>4</v>
      </c>
      <c r="T1379" s="1114" t="s">
        <v>2941</v>
      </c>
      <c r="U1379" s="1103" t="s">
        <v>4342</v>
      </c>
      <c r="V1379" s="1114">
        <f t="shared" si="175"/>
        <v>15</v>
      </c>
      <c r="W1379" s="1114" t="s">
        <v>2941</v>
      </c>
      <c r="X1379" s="1114">
        <f t="shared" si="176"/>
        <v>60</v>
      </c>
      <c r="AA1379" s="1103" t="s">
        <v>4345</v>
      </c>
      <c r="AC1379" s="1109"/>
      <c r="AD1379" s="1114">
        <v>0.85</v>
      </c>
      <c r="AE1379" s="1114">
        <f t="shared" si="167"/>
        <v>0</v>
      </c>
    </row>
    <row r="1380" spans="6:31" ht="24" customHeight="1">
      <c r="F1380" s="1114">
        <v>2.1</v>
      </c>
      <c r="G1380" s="1114" t="s">
        <v>2941</v>
      </c>
      <c r="H1380" s="1103" t="s">
        <v>3017</v>
      </c>
      <c r="I1380" s="1105">
        <f>C11</f>
        <v>804</v>
      </c>
      <c r="J1380" s="1103" t="s">
        <v>2941</v>
      </c>
      <c r="K1380" s="1114">
        <f t="shared" si="177"/>
        <v>1688.4</v>
      </c>
      <c r="M1380" s="1128">
        <v>2</v>
      </c>
      <c r="N1380" s="1114" t="s">
        <v>165</v>
      </c>
      <c r="O1380" s="1103" t="s">
        <v>4234</v>
      </c>
      <c r="P1380" s="1114">
        <f>P1264</f>
        <v>36.1</v>
      </c>
      <c r="Q1380" s="1104" t="s">
        <v>165</v>
      </c>
      <c r="R1380" s="1114">
        <f>(M1380*P1380)</f>
        <v>72.2</v>
      </c>
      <c r="S1380" s="1128">
        <v>1.2150000000000001</v>
      </c>
      <c r="T1380" s="1114" t="s">
        <v>37</v>
      </c>
      <c r="U1380" s="1103" t="s">
        <v>4343</v>
      </c>
      <c r="V1380" s="1114">
        <f t="shared" si="175"/>
        <v>1724</v>
      </c>
      <c r="W1380" s="1114" t="s">
        <v>37</v>
      </c>
      <c r="X1380" s="1114">
        <f t="shared" si="176"/>
        <v>2094.6600000000003</v>
      </c>
      <c r="AA1380" s="1113" t="s">
        <v>4347</v>
      </c>
      <c r="AD1380" s="1115">
        <f>SUM(AD1367:AD1379)</f>
        <v>8048.4600000000009</v>
      </c>
      <c r="AE1380" s="1114">
        <f t="shared" si="167"/>
        <v>0</v>
      </c>
    </row>
    <row r="1381" spans="6:31" ht="24" customHeight="1">
      <c r="F1381" s="1114">
        <v>2.2000000000000002</v>
      </c>
      <c r="G1381" s="1114" t="s">
        <v>2941</v>
      </c>
      <c r="H1381" s="1103" t="s">
        <v>3020</v>
      </c>
      <c r="I1381" s="1105">
        <f>C12</f>
        <v>562</v>
      </c>
      <c r="J1381" s="1103" t="s">
        <v>2941</v>
      </c>
      <c r="K1381" s="1114">
        <f t="shared" si="177"/>
        <v>1236.4000000000001</v>
      </c>
      <c r="M1381" s="1114">
        <v>1.6</v>
      </c>
      <c r="N1381" s="1114" t="s">
        <v>2941</v>
      </c>
      <c r="O1381" s="1103" t="s">
        <v>3017</v>
      </c>
      <c r="P1381" s="1114">
        <f>P1265</f>
        <v>804</v>
      </c>
      <c r="Q1381" s="1104" t="s">
        <v>2941</v>
      </c>
      <c r="R1381" s="1114">
        <f>(M1381*P1381)</f>
        <v>1286.4000000000001</v>
      </c>
      <c r="U1381" s="1103" t="s">
        <v>4345</v>
      </c>
      <c r="W1381" s="1109"/>
      <c r="X1381" s="1114">
        <v>0.23</v>
      </c>
      <c r="AE1381" s="1114">
        <f t="shared" si="167"/>
        <v>0</v>
      </c>
    </row>
    <row r="1382" spans="6:31" ht="24" customHeight="1">
      <c r="F1382" s="1114">
        <v>1.1000000000000001</v>
      </c>
      <c r="G1382" s="1114" t="s">
        <v>2941</v>
      </c>
      <c r="H1382" s="1103" t="s">
        <v>3026</v>
      </c>
      <c r="I1382" s="1105">
        <f>C13</f>
        <v>461</v>
      </c>
      <c r="J1382" s="1103" t="s">
        <v>2941</v>
      </c>
      <c r="K1382" s="1114">
        <f t="shared" si="177"/>
        <v>507.1</v>
      </c>
      <c r="M1382" s="1114">
        <v>0.5</v>
      </c>
      <c r="N1382" s="1114" t="s">
        <v>2941</v>
      </c>
      <c r="O1382" s="1103" t="s">
        <v>3020</v>
      </c>
      <c r="P1382" s="1114">
        <f>P1266</f>
        <v>562</v>
      </c>
      <c r="Q1382" s="1104" t="s">
        <v>2941</v>
      </c>
      <c r="R1382" s="1114">
        <f>(M1382*P1382)</f>
        <v>281</v>
      </c>
      <c r="U1382" s="1113" t="s">
        <v>4347</v>
      </c>
      <c r="X1382" s="1115">
        <f>SUM(X1369:X1381)</f>
        <v>7379.4431999999997</v>
      </c>
      <c r="AE1382" s="1114">
        <f t="shared" si="167"/>
        <v>0</v>
      </c>
    </row>
    <row r="1383" spans="6:31" ht="24" customHeight="1">
      <c r="G1383" s="1114" t="s">
        <v>2851</v>
      </c>
      <c r="H1383" s="1103" t="s">
        <v>2852</v>
      </c>
      <c r="J1383" s="1103" t="s">
        <v>2851</v>
      </c>
      <c r="K1383" s="1114">
        <v>0</v>
      </c>
      <c r="M1383" s="1114">
        <v>1.1000000000000001</v>
      </c>
      <c r="N1383" s="1114" t="s">
        <v>2941</v>
      </c>
      <c r="O1383" s="1103" t="s">
        <v>3026</v>
      </c>
      <c r="P1383" s="1114">
        <f>P1267</f>
        <v>461</v>
      </c>
      <c r="Q1383" s="1104" t="s">
        <v>2941</v>
      </c>
      <c r="R1383" s="1114">
        <f>(M1383*P1383)</f>
        <v>507.1</v>
      </c>
      <c r="AA1383" s="1167" t="s">
        <v>4354</v>
      </c>
      <c r="AC1383" s="1107"/>
      <c r="AE1383" s="1114">
        <f t="shared" si="167"/>
        <v>0</v>
      </c>
    </row>
    <row r="1384" spans="6:31" ht="24" customHeight="1">
      <c r="K1384" s="1111" t="s">
        <v>36</v>
      </c>
      <c r="N1384" s="1114" t="s">
        <v>2851</v>
      </c>
      <c r="O1384" s="1103" t="s">
        <v>2852</v>
      </c>
      <c r="P1384" s="1114"/>
      <c r="Q1384" s="1104" t="s">
        <v>2851</v>
      </c>
      <c r="R1384" s="1114">
        <v>0.28000000000000003</v>
      </c>
      <c r="Y1384" s="1144">
        <v>2.87</v>
      </c>
      <c r="Z1384" s="1114" t="s">
        <v>3236</v>
      </c>
      <c r="AA1384" s="1103" t="s">
        <v>4324</v>
      </c>
      <c r="AB1384" s="1114">
        <f>AB1367</f>
        <v>301</v>
      </c>
      <c r="AC1384" s="1114" t="s">
        <v>3236</v>
      </c>
      <c r="AD1384" s="1114">
        <f t="shared" ref="AD1384:AD1395" si="178">AB1384*Y1384</f>
        <v>863.87</v>
      </c>
      <c r="AE1384" s="1114">
        <f t="shared" si="167"/>
        <v>0</v>
      </c>
    </row>
    <row r="1385" spans="6:31" ht="24" customHeight="1">
      <c r="H1385" s="1103" t="s">
        <v>3152</v>
      </c>
      <c r="K1385" s="1114">
        <f>SUM(K1375:K1383)</f>
        <v>9603.4776000000002</v>
      </c>
      <c r="Q1385" s="1109"/>
      <c r="R1385" s="1111" t="s">
        <v>36</v>
      </c>
      <c r="U1385" s="1167" t="s">
        <v>4355</v>
      </c>
      <c r="W1385" s="1107"/>
      <c r="Y1385" s="1144">
        <v>0.56000000000000005</v>
      </c>
      <c r="Z1385" s="1114" t="s">
        <v>3236</v>
      </c>
      <c r="AA1385" s="1103" t="s">
        <v>4324</v>
      </c>
      <c r="AB1385" s="1114">
        <f t="shared" ref="AB1385:AB1395" si="179">AB1368</f>
        <v>301</v>
      </c>
      <c r="AC1385" s="1114" t="s">
        <v>3236</v>
      </c>
      <c r="AD1385" s="1114">
        <f t="shared" si="178"/>
        <v>168.56</v>
      </c>
      <c r="AE1385" s="1114">
        <f t="shared" si="167"/>
        <v>0</v>
      </c>
    </row>
    <row r="1386" spans="6:31" ht="24" customHeight="1">
      <c r="K1386" s="1111" t="s">
        <v>36</v>
      </c>
      <c r="O1386" s="1103" t="s">
        <v>3152</v>
      </c>
      <c r="Q1386" s="1109"/>
      <c r="R1386" s="1114">
        <f>SUM(R1372:R1384)</f>
        <v>23455.410600000003</v>
      </c>
      <c r="S1386" s="1128">
        <v>4.88</v>
      </c>
      <c r="T1386" s="1114" t="s">
        <v>3236</v>
      </c>
      <c r="U1386" s="1103" t="s">
        <v>4324</v>
      </c>
      <c r="V1386" s="1114">
        <f>V1369</f>
        <v>301</v>
      </c>
      <c r="W1386" s="1114" t="s">
        <v>3236</v>
      </c>
      <c r="X1386" s="1114">
        <f>V1386*S1386</f>
        <v>1468.8799999999999</v>
      </c>
      <c r="Y1386" s="1144">
        <v>2.98</v>
      </c>
      <c r="Z1386" s="1114" t="s">
        <v>3236</v>
      </c>
      <c r="AA1386" s="1103" t="s">
        <v>4324</v>
      </c>
      <c r="AB1386" s="1114">
        <f t="shared" si="179"/>
        <v>301</v>
      </c>
      <c r="AC1386" s="1114" t="s">
        <v>3236</v>
      </c>
      <c r="AD1386" s="1114">
        <f t="shared" si="178"/>
        <v>896.98</v>
      </c>
      <c r="AE1386" s="1114">
        <f t="shared" si="167"/>
        <v>0</v>
      </c>
    </row>
    <row r="1387" spans="6:31" ht="24" customHeight="1">
      <c r="H1387" s="1118" t="s">
        <v>3154</v>
      </c>
      <c r="K1387" s="1115">
        <f>(K1385/10)</f>
        <v>960.34775999999999</v>
      </c>
      <c r="Q1387" s="1109"/>
      <c r="R1387" s="1111" t="s">
        <v>36</v>
      </c>
      <c r="S1387" s="1128">
        <v>6.57</v>
      </c>
      <c r="T1387" s="1114" t="s">
        <v>3236</v>
      </c>
      <c r="U1387" s="1103" t="s">
        <v>4324</v>
      </c>
      <c r="V1387" s="1114">
        <f t="shared" ref="V1387:V1397" si="180">V1370</f>
        <v>301</v>
      </c>
      <c r="W1387" s="1114" t="s">
        <v>3236</v>
      </c>
      <c r="X1387" s="1114">
        <f t="shared" ref="X1387:X1397" si="181">V1387*S1387</f>
        <v>1977.5700000000002</v>
      </c>
      <c r="Y1387" s="1144">
        <v>0.52</v>
      </c>
      <c r="Z1387" s="1114" t="s">
        <v>3236</v>
      </c>
      <c r="AA1387" s="1103" t="s">
        <v>4324</v>
      </c>
      <c r="AB1387" s="1114">
        <f t="shared" si="179"/>
        <v>301</v>
      </c>
      <c r="AC1387" s="1114" t="s">
        <v>3236</v>
      </c>
      <c r="AD1387" s="1114">
        <f t="shared" si="178"/>
        <v>156.52000000000001</v>
      </c>
      <c r="AE1387" s="1114">
        <f t="shared" si="167"/>
        <v>0</v>
      </c>
    </row>
    <row r="1388" spans="6:31" ht="24" customHeight="1">
      <c r="K1388" s="1111" t="s">
        <v>2793</v>
      </c>
      <c r="O1388" s="1103" t="s">
        <v>3154</v>
      </c>
      <c r="Q1388" s="1109"/>
      <c r="R1388" s="1114">
        <f>(R1386/10)</f>
        <v>2345.5410600000005</v>
      </c>
      <c r="S1388" s="1128">
        <v>11.56</v>
      </c>
      <c r="T1388" s="1114" t="s">
        <v>3236</v>
      </c>
      <c r="U1388" s="1103" t="s">
        <v>4324</v>
      </c>
      <c r="V1388" s="1114">
        <f t="shared" si="180"/>
        <v>301</v>
      </c>
      <c r="W1388" s="1114" t="s">
        <v>3236</v>
      </c>
      <c r="X1388" s="1114">
        <f t="shared" si="181"/>
        <v>3479.56</v>
      </c>
      <c r="Y1388" s="1144">
        <v>0.53300000000000003</v>
      </c>
      <c r="Z1388" s="1114" t="s">
        <v>833</v>
      </c>
      <c r="AA1388" s="1103" t="s">
        <v>4330</v>
      </c>
      <c r="AB1388" s="1114">
        <f t="shared" si="179"/>
        <v>208.8</v>
      </c>
      <c r="AC1388" s="1114" t="s">
        <v>833</v>
      </c>
      <c r="AD1388" s="1114">
        <f t="shared" si="178"/>
        <v>111.29040000000001</v>
      </c>
      <c r="AE1388" s="1114">
        <f t="shared" si="167"/>
        <v>0</v>
      </c>
    </row>
    <row r="1389" spans="6:31" ht="24" customHeight="1">
      <c r="K1389" s="1111"/>
      <c r="Q1389" s="1109"/>
      <c r="R1389" s="1111" t="s">
        <v>2793</v>
      </c>
      <c r="S1389" s="1128">
        <v>2.0099999999999998</v>
      </c>
      <c r="T1389" s="1114" t="s">
        <v>3236</v>
      </c>
      <c r="U1389" s="1103" t="s">
        <v>4324</v>
      </c>
      <c r="V1389" s="1114">
        <f t="shared" si="180"/>
        <v>301</v>
      </c>
      <c r="W1389" s="1114" t="s">
        <v>3236</v>
      </c>
      <c r="X1389" s="1114">
        <f t="shared" si="181"/>
        <v>605.01</v>
      </c>
      <c r="Y1389" s="1144">
        <v>4.1959999999999997</v>
      </c>
      <c r="Z1389" s="1114" t="s">
        <v>61</v>
      </c>
      <c r="AA1389" s="1103" t="s">
        <v>4333</v>
      </c>
      <c r="AB1389" s="1114">
        <f t="shared" si="179"/>
        <v>28.8</v>
      </c>
      <c r="AC1389" s="1114" t="s">
        <v>61</v>
      </c>
      <c r="AD1389" s="1114">
        <f t="shared" si="178"/>
        <v>120.84479999999999</v>
      </c>
      <c r="AE1389" s="1114">
        <f t="shared" si="167"/>
        <v>0</v>
      </c>
    </row>
    <row r="1390" spans="6:31" ht="24" customHeight="1">
      <c r="F1390" s="1104" t="s">
        <v>4356</v>
      </c>
      <c r="G1390" s="1114" t="s">
        <v>1363</v>
      </c>
      <c r="H1390" s="1103" t="s">
        <v>4357</v>
      </c>
      <c r="O1390" s="1167" t="s">
        <v>4358</v>
      </c>
      <c r="Q1390" s="1107"/>
      <c r="S1390" s="1128">
        <v>1.96</v>
      </c>
      <c r="T1390" s="1114" t="s">
        <v>833</v>
      </c>
      <c r="U1390" s="1103" t="s">
        <v>4330</v>
      </c>
      <c r="V1390" s="1114">
        <f t="shared" si="180"/>
        <v>208.8</v>
      </c>
      <c r="W1390" s="1114" t="s">
        <v>833</v>
      </c>
      <c r="X1390" s="1114">
        <f t="shared" si="181"/>
        <v>409.24799999999999</v>
      </c>
      <c r="Y1390" s="1144">
        <v>4</v>
      </c>
      <c r="Z1390" s="1114" t="s">
        <v>2941</v>
      </c>
      <c r="AA1390" s="1103" t="s">
        <v>4335</v>
      </c>
      <c r="AB1390" s="1114">
        <f t="shared" si="179"/>
        <v>66.599999999999994</v>
      </c>
      <c r="AC1390" s="1114" t="s">
        <v>2941</v>
      </c>
      <c r="AD1390" s="1114">
        <f t="shared" si="178"/>
        <v>266.39999999999998</v>
      </c>
      <c r="AE1390" s="1114">
        <f t="shared" si="167"/>
        <v>0</v>
      </c>
    </row>
    <row r="1391" spans="6:31" ht="24" customHeight="1">
      <c r="H1391" s="1111" t="s">
        <v>36</v>
      </c>
      <c r="M1391" s="1144">
        <v>4.1849999999999996</v>
      </c>
      <c r="N1391" s="1114" t="s">
        <v>3236</v>
      </c>
      <c r="O1391" s="1103" t="s">
        <v>4359</v>
      </c>
      <c r="P1391" s="1114">
        <v>301</v>
      </c>
      <c r="Q1391" s="1114" t="s">
        <v>3236</v>
      </c>
      <c r="R1391" s="1114">
        <f>P1391*M1391</f>
        <v>1259.6849999999999</v>
      </c>
      <c r="S1391" s="1128">
        <v>16.224</v>
      </c>
      <c r="T1391" s="1114" t="s">
        <v>61</v>
      </c>
      <c r="U1391" s="1103" t="s">
        <v>4333</v>
      </c>
      <c r="V1391" s="1114">
        <f t="shared" si="180"/>
        <v>28.8</v>
      </c>
      <c r="W1391" s="1114" t="s">
        <v>61</v>
      </c>
      <c r="X1391" s="1114">
        <f t="shared" si="181"/>
        <v>467.25120000000004</v>
      </c>
      <c r="Y1391" s="1144">
        <v>2</v>
      </c>
      <c r="Z1391" s="1114" t="s">
        <v>2941</v>
      </c>
      <c r="AA1391" s="1103" t="s">
        <v>4337</v>
      </c>
      <c r="AB1391" s="1114">
        <f t="shared" si="179"/>
        <v>53.4</v>
      </c>
      <c r="AC1391" s="1114" t="s">
        <v>2941</v>
      </c>
      <c r="AD1391" s="1114">
        <f t="shared" si="178"/>
        <v>106.8</v>
      </c>
      <c r="AE1391" s="1114">
        <f t="shared" si="167"/>
        <v>0</v>
      </c>
    </row>
    <row r="1392" spans="6:31" ht="24" customHeight="1">
      <c r="F1392" s="1114">
        <v>0.14000000000000001</v>
      </c>
      <c r="G1392" s="1114" t="s">
        <v>2839</v>
      </c>
      <c r="H1392" s="1103" t="s">
        <v>2991</v>
      </c>
      <c r="I1392" s="1114">
        <f>(K49)</f>
        <v>3651.54</v>
      </c>
      <c r="J1392" s="1103" t="s">
        <v>2839</v>
      </c>
      <c r="K1392" s="1114">
        <f>(F1392*I1392)</f>
        <v>511.21560000000005</v>
      </c>
      <c r="M1392" s="1144">
        <v>4.55</v>
      </c>
      <c r="N1392" s="1114" t="s">
        <v>3236</v>
      </c>
      <c r="O1392" s="1103" t="s">
        <v>4324</v>
      </c>
      <c r="P1392" s="1114">
        <f>P1391</f>
        <v>301</v>
      </c>
      <c r="Q1392" s="1114" t="s">
        <v>3236</v>
      </c>
      <c r="R1392" s="1114">
        <f t="shared" ref="R1392:R1402" si="182">P1392*M1392</f>
        <v>1369.55</v>
      </c>
      <c r="S1392" s="1128">
        <v>16</v>
      </c>
      <c r="T1392" s="1114" t="s">
        <v>2941</v>
      </c>
      <c r="U1392" s="1103" t="s">
        <v>4335</v>
      </c>
      <c r="V1392" s="1114">
        <f t="shared" si="180"/>
        <v>66.599999999999994</v>
      </c>
      <c r="W1392" s="1114" t="s">
        <v>2941</v>
      </c>
      <c r="X1392" s="1114">
        <f t="shared" si="181"/>
        <v>1065.5999999999999</v>
      </c>
      <c r="Y1392" s="1144">
        <v>2</v>
      </c>
      <c r="Z1392" s="1114" t="s">
        <v>2941</v>
      </c>
      <c r="AA1392" s="1103" t="s">
        <v>4340</v>
      </c>
      <c r="AB1392" s="1114">
        <f t="shared" si="179"/>
        <v>30</v>
      </c>
      <c r="AC1392" s="1114" t="s">
        <v>2941</v>
      </c>
      <c r="AD1392" s="1114">
        <f t="shared" si="178"/>
        <v>60</v>
      </c>
      <c r="AE1392" s="1114">
        <f t="shared" si="167"/>
        <v>0</v>
      </c>
    </row>
    <row r="1393" spans="6:31" ht="24" customHeight="1">
      <c r="F1393" s="1114">
        <v>1.1000000000000001</v>
      </c>
      <c r="G1393" s="1114" t="s">
        <v>2838</v>
      </c>
      <c r="H1393" s="1103" t="s">
        <v>3051</v>
      </c>
      <c r="I1393" s="1114">
        <f>(C10)</f>
        <v>861</v>
      </c>
      <c r="J1393" s="1103" t="s">
        <v>2838</v>
      </c>
      <c r="K1393" s="1114">
        <f>(F1393*I1393)</f>
        <v>947.1</v>
      </c>
      <c r="M1393" s="1144">
        <v>8.66</v>
      </c>
      <c r="N1393" s="1114" t="s">
        <v>3236</v>
      </c>
      <c r="O1393" s="1103" t="s">
        <v>4324</v>
      </c>
      <c r="P1393" s="1114">
        <f>P1391</f>
        <v>301</v>
      </c>
      <c r="Q1393" s="1114" t="s">
        <v>3236</v>
      </c>
      <c r="R1393" s="1114">
        <f t="shared" si="182"/>
        <v>2606.66</v>
      </c>
      <c r="S1393" s="1128">
        <v>8</v>
      </c>
      <c r="T1393" s="1114" t="s">
        <v>2941</v>
      </c>
      <c r="U1393" s="1103" t="s">
        <v>4337</v>
      </c>
      <c r="V1393" s="1114">
        <f t="shared" si="180"/>
        <v>53.4</v>
      </c>
      <c r="W1393" s="1114" t="s">
        <v>2941</v>
      </c>
      <c r="X1393" s="1114">
        <f t="shared" si="181"/>
        <v>427.2</v>
      </c>
      <c r="Y1393" s="1144">
        <v>2</v>
      </c>
      <c r="Z1393" s="1114" t="s">
        <v>2941</v>
      </c>
      <c r="AA1393" s="1103" t="s">
        <v>4341</v>
      </c>
      <c r="AB1393" s="1114">
        <f t="shared" si="179"/>
        <v>20</v>
      </c>
      <c r="AC1393" s="1114" t="s">
        <v>2941</v>
      </c>
      <c r="AD1393" s="1114">
        <f t="shared" si="178"/>
        <v>40</v>
      </c>
      <c r="AE1393" s="1114">
        <f t="shared" si="167"/>
        <v>0</v>
      </c>
    </row>
    <row r="1394" spans="6:31" ht="24" customHeight="1">
      <c r="F1394" s="1114">
        <v>0.5</v>
      </c>
      <c r="G1394" s="1114" t="s">
        <v>2838</v>
      </c>
      <c r="H1394" s="1103" t="s">
        <v>3020</v>
      </c>
      <c r="I1394" s="1114">
        <f>(C12)</f>
        <v>562</v>
      </c>
      <c r="J1394" s="1103" t="s">
        <v>2838</v>
      </c>
      <c r="K1394" s="1114">
        <f>(F1394*I1394)</f>
        <v>281</v>
      </c>
      <c r="M1394" s="1144">
        <v>1.51</v>
      </c>
      <c r="N1394" s="1114" t="s">
        <v>3236</v>
      </c>
      <c r="O1394" s="1103" t="s">
        <v>4324</v>
      </c>
      <c r="P1394" s="1114">
        <f>P1391</f>
        <v>301</v>
      </c>
      <c r="Q1394" s="1114" t="s">
        <v>3236</v>
      </c>
      <c r="R1394" s="1114">
        <f t="shared" si="182"/>
        <v>454.51</v>
      </c>
      <c r="S1394" s="1128">
        <v>8</v>
      </c>
      <c r="T1394" s="1114" t="s">
        <v>2941</v>
      </c>
      <c r="U1394" s="1103" t="s">
        <v>4340</v>
      </c>
      <c r="V1394" s="1114">
        <f t="shared" si="180"/>
        <v>30</v>
      </c>
      <c r="W1394" s="1114" t="s">
        <v>2941</v>
      </c>
      <c r="X1394" s="1114">
        <f t="shared" si="181"/>
        <v>240</v>
      </c>
      <c r="Y1394" s="1144">
        <v>4</v>
      </c>
      <c r="Z1394" s="1114" t="s">
        <v>2941</v>
      </c>
      <c r="AA1394" s="1103" t="s">
        <v>4342</v>
      </c>
      <c r="AB1394" s="1114">
        <f t="shared" si="179"/>
        <v>15</v>
      </c>
      <c r="AC1394" s="1114" t="s">
        <v>2941</v>
      </c>
      <c r="AD1394" s="1114">
        <f t="shared" si="178"/>
        <v>60</v>
      </c>
      <c r="AE1394" s="1114">
        <f t="shared" si="167"/>
        <v>0</v>
      </c>
    </row>
    <row r="1395" spans="6:31" ht="24" customHeight="1">
      <c r="F1395" s="1114">
        <v>1.1000000000000001</v>
      </c>
      <c r="G1395" s="1114" t="s">
        <v>2838</v>
      </c>
      <c r="H1395" s="1103" t="s">
        <v>3026</v>
      </c>
      <c r="I1395" s="1114">
        <f>(C13)</f>
        <v>461</v>
      </c>
      <c r="J1395" s="1103" t="s">
        <v>2838</v>
      </c>
      <c r="K1395" s="1114">
        <f>(F1395*I1395)</f>
        <v>507.1</v>
      </c>
      <c r="M1395" s="1144">
        <v>1.462</v>
      </c>
      <c r="N1395" s="1114" t="s">
        <v>833</v>
      </c>
      <c r="O1395" s="1103" t="s">
        <v>4330</v>
      </c>
      <c r="P1395" s="1114">
        <v>208.8</v>
      </c>
      <c r="Q1395" s="1114" t="s">
        <v>833</v>
      </c>
      <c r="R1395" s="1114">
        <f t="shared" si="182"/>
        <v>305.26560000000001</v>
      </c>
      <c r="S1395" s="1128">
        <v>8</v>
      </c>
      <c r="T1395" s="1114" t="s">
        <v>2941</v>
      </c>
      <c r="U1395" s="1103" t="s">
        <v>4341</v>
      </c>
      <c r="V1395" s="1114">
        <f t="shared" si="180"/>
        <v>20</v>
      </c>
      <c r="W1395" s="1114" t="s">
        <v>2941</v>
      </c>
      <c r="X1395" s="1114">
        <f t="shared" si="181"/>
        <v>160</v>
      </c>
      <c r="Y1395" s="1144">
        <v>0.67500000000000004</v>
      </c>
      <c r="Z1395" s="1114" t="s">
        <v>37</v>
      </c>
      <c r="AA1395" s="1103" t="s">
        <v>4343</v>
      </c>
      <c r="AB1395" s="1114">
        <f t="shared" si="179"/>
        <v>1724</v>
      </c>
      <c r="AC1395" s="1114" t="s">
        <v>37</v>
      </c>
      <c r="AD1395" s="1114">
        <f t="shared" si="178"/>
        <v>1163.7</v>
      </c>
      <c r="AE1395" s="1114">
        <f t="shared" si="167"/>
        <v>0</v>
      </c>
    </row>
    <row r="1396" spans="6:31" ht="24" customHeight="1">
      <c r="G1396" s="1114" t="s">
        <v>2851</v>
      </c>
      <c r="H1396" s="1103" t="s">
        <v>2852</v>
      </c>
      <c r="I1396" s="1103" t="s">
        <v>220</v>
      </c>
      <c r="J1396" s="1103" t="s">
        <v>2851</v>
      </c>
      <c r="K1396" s="1114">
        <v>5</v>
      </c>
      <c r="M1396" s="1144">
        <v>12.144</v>
      </c>
      <c r="N1396" s="1114" t="s">
        <v>61</v>
      </c>
      <c r="O1396" s="1103" t="s">
        <v>4360</v>
      </c>
      <c r="P1396" s="1114">
        <v>28.8</v>
      </c>
      <c r="Q1396" s="1114" t="s">
        <v>61</v>
      </c>
      <c r="R1396" s="1114">
        <f t="shared" si="182"/>
        <v>349.74720000000002</v>
      </c>
      <c r="S1396" s="1128">
        <v>4</v>
      </c>
      <c r="T1396" s="1114" t="s">
        <v>2941</v>
      </c>
      <c r="U1396" s="1103" t="s">
        <v>4342</v>
      </c>
      <c r="V1396" s="1114">
        <f t="shared" si="180"/>
        <v>15</v>
      </c>
      <c r="W1396" s="1114" t="s">
        <v>2941</v>
      </c>
      <c r="X1396" s="1114">
        <f t="shared" si="181"/>
        <v>60</v>
      </c>
      <c r="AA1396" s="1103" t="s">
        <v>4345</v>
      </c>
      <c r="AC1396" s="1109"/>
      <c r="AD1396" s="1114">
        <v>0.39</v>
      </c>
      <c r="AE1396" s="1114">
        <f t="shared" si="167"/>
        <v>0</v>
      </c>
    </row>
    <row r="1397" spans="6:31" ht="24" customHeight="1">
      <c r="K1397" s="1111" t="s">
        <v>36</v>
      </c>
      <c r="M1397" s="1144">
        <v>12</v>
      </c>
      <c r="N1397" s="1114" t="s">
        <v>2941</v>
      </c>
      <c r="O1397" s="1103" t="s">
        <v>4361</v>
      </c>
      <c r="P1397" s="1114">
        <v>66.599999999999994</v>
      </c>
      <c r="Q1397" s="1114" t="s">
        <v>2941</v>
      </c>
      <c r="R1397" s="1114">
        <f t="shared" si="182"/>
        <v>799.19999999999993</v>
      </c>
      <c r="S1397" s="1128">
        <v>2.4300000000000002</v>
      </c>
      <c r="T1397" s="1114" t="s">
        <v>37</v>
      </c>
      <c r="U1397" s="1103" t="s">
        <v>4343</v>
      </c>
      <c r="V1397" s="1114">
        <f t="shared" si="180"/>
        <v>1724</v>
      </c>
      <c r="W1397" s="1114" t="s">
        <v>37</v>
      </c>
      <c r="X1397" s="1114">
        <f t="shared" si="181"/>
        <v>4189.3200000000006</v>
      </c>
      <c r="AA1397" s="1113" t="s">
        <v>4347</v>
      </c>
      <c r="AD1397" s="1115">
        <f>SUM(AD1384:AD1396)</f>
        <v>4015.3552000000004</v>
      </c>
      <c r="AE1397" s="1114">
        <f t="shared" si="167"/>
        <v>0</v>
      </c>
    </row>
    <row r="1398" spans="6:31" ht="24" customHeight="1">
      <c r="H1398" s="1103" t="s">
        <v>3152</v>
      </c>
      <c r="K1398" s="1114">
        <f>SUM(K1392:K1396)</f>
        <v>2251.4156000000003</v>
      </c>
      <c r="M1398" s="1144">
        <v>6</v>
      </c>
      <c r="N1398" s="1114" t="s">
        <v>2941</v>
      </c>
      <c r="O1398" s="1103" t="s">
        <v>4362</v>
      </c>
      <c r="P1398" s="1114">
        <f>P1094</f>
        <v>53.4</v>
      </c>
      <c r="Q1398" s="1114" t="s">
        <v>2941</v>
      </c>
      <c r="R1398" s="1114">
        <f t="shared" si="182"/>
        <v>320.39999999999998</v>
      </c>
      <c r="U1398" s="1103" t="s">
        <v>4345</v>
      </c>
      <c r="W1398" s="1109"/>
      <c r="X1398" s="1114"/>
      <c r="AE1398" s="1114">
        <f t="shared" si="167"/>
        <v>0</v>
      </c>
    </row>
    <row r="1399" spans="6:31" ht="24" customHeight="1">
      <c r="K1399" s="1111" t="s">
        <v>36</v>
      </c>
      <c r="M1399" s="1144">
        <v>6</v>
      </c>
      <c r="N1399" s="1114" t="s">
        <v>2941</v>
      </c>
      <c r="O1399" s="1103" t="s">
        <v>4363</v>
      </c>
      <c r="P1399" s="1114">
        <v>30</v>
      </c>
      <c r="Q1399" s="1114" t="s">
        <v>2941</v>
      </c>
      <c r="R1399" s="1114">
        <f t="shared" si="182"/>
        <v>180</v>
      </c>
      <c r="U1399" s="1113" t="s">
        <v>4347</v>
      </c>
      <c r="X1399" s="1115">
        <f>SUM(X1386:X1398)</f>
        <v>14549.639200000001</v>
      </c>
      <c r="AA1399" s="1167" t="s">
        <v>4364</v>
      </c>
      <c r="AC1399" s="1107"/>
      <c r="AE1399" s="1114">
        <f t="shared" si="167"/>
        <v>0</v>
      </c>
    </row>
    <row r="1400" spans="6:31" ht="24" customHeight="1">
      <c r="H1400" s="1118" t="s">
        <v>3154</v>
      </c>
      <c r="K1400" s="1115">
        <f>(K1398/10)</f>
        <v>225.14156000000003</v>
      </c>
      <c r="M1400" s="1144">
        <v>6</v>
      </c>
      <c r="N1400" s="1114" t="s">
        <v>2941</v>
      </c>
      <c r="O1400" s="1103" t="s">
        <v>4341</v>
      </c>
      <c r="P1400" s="1114">
        <v>20</v>
      </c>
      <c r="Q1400" s="1114" t="s">
        <v>2941</v>
      </c>
      <c r="R1400" s="1114">
        <f t="shared" si="182"/>
        <v>120</v>
      </c>
      <c r="Y1400" s="1144">
        <v>2.33</v>
      </c>
      <c r="Z1400" s="1114" t="s">
        <v>3236</v>
      </c>
      <c r="AA1400" s="1103" t="s">
        <v>4324</v>
      </c>
      <c r="AB1400" s="1114">
        <f t="shared" ref="AB1400:AB1411" si="183">V1402</f>
        <v>301</v>
      </c>
      <c r="AC1400" s="1114" t="s">
        <v>3236</v>
      </c>
      <c r="AD1400" s="1114">
        <f t="shared" ref="AD1400:AD1411" si="184">AB1400*Y1400</f>
        <v>701.33</v>
      </c>
      <c r="AE1400" s="1114">
        <f t="shared" si="167"/>
        <v>0</v>
      </c>
    </row>
    <row r="1401" spans="6:31" ht="24" customHeight="1">
      <c r="F1401" s="1103" t="s">
        <v>220</v>
      </c>
      <c r="M1401" s="1144">
        <v>4</v>
      </c>
      <c r="N1401" s="1114" t="s">
        <v>2941</v>
      </c>
      <c r="O1401" s="1103" t="s">
        <v>4342</v>
      </c>
      <c r="P1401" s="1114">
        <v>15</v>
      </c>
      <c r="Q1401" s="1114" t="s">
        <v>2941</v>
      </c>
      <c r="R1401" s="1114">
        <f t="shared" si="182"/>
        <v>60</v>
      </c>
      <c r="U1401" s="1167" t="s">
        <v>4365</v>
      </c>
      <c r="W1401" s="1107"/>
      <c r="Y1401" s="1144">
        <v>0.67</v>
      </c>
      <c r="Z1401" s="1114" t="s">
        <v>3236</v>
      </c>
      <c r="AA1401" s="1103" t="s">
        <v>4324</v>
      </c>
      <c r="AB1401" s="1114">
        <f t="shared" si="183"/>
        <v>301</v>
      </c>
      <c r="AC1401" s="1114" t="s">
        <v>3236</v>
      </c>
      <c r="AD1401" s="1114">
        <f t="shared" si="184"/>
        <v>201.67000000000002</v>
      </c>
      <c r="AE1401" s="1114">
        <f t="shared" si="167"/>
        <v>0</v>
      </c>
    </row>
    <row r="1402" spans="6:31" ht="24" customHeight="1">
      <c r="K1402" s="1111" t="s">
        <v>2793</v>
      </c>
      <c r="M1402" s="1144">
        <v>1.823</v>
      </c>
      <c r="N1402" s="1114" t="s">
        <v>37</v>
      </c>
      <c r="O1402" s="1103" t="s">
        <v>4343</v>
      </c>
      <c r="P1402" s="1105">
        <f>ROUND(AE17+AE11+(AE20*0.5),2)</f>
        <v>1724</v>
      </c>
      <c r="Q1402" s="1114" t="s">
        <v>37</v>
      </c>
      <c r="R1402" s="1114">
        <f t="shared" si="182"/>
        <v>3142.8519999999999</v>
      </c>
      <c r="S1402" s="1128">
        <f>8*0.775</f>
        <v>6.2</v>
      </c>
      <c r="T1402" s="1114" t="s">
        <v>3236</v>
      </c>
      <c r="U1402" s="1103" t="s">
        <v>4324</v>
      </c>
      <c r="V1402" s="1114">
        <f>V1386</f>
        <v>301</v>
      </c>
      <c r="W1402" s="1114" t="s">
        <v>3236</v>
      </c>
      <c r="X1402" s="1114">
        <f>V1402*S1402</f>
        <v>1866.2</v>
      </c>
      <c r="Y1402" s="1144">
        <v>2.65</v>
      </c>
      <c r="Z1402" s="1114" t="s">
        <v>3236</v>
      </c>
      <c r="AA1402" s="1103" t="s">
        <v>4324</v>
      </c>
      <c r="AB1402" s="1114">
        <f t="shared" si="183"/>
        <v>301</v>
      </c>
      <c r="AC1402" s="1114" t="s">
        <v>3236</v>
      </c>
      <c r="AD1402" s="1114">
        <f t="shared" si="184"/>
        <v>797.65</v>
      </c>
      <c r="AE1402" s="1114">
        <f t="shared" si="167"/>
        <v>0</v>
      </c>
    </row>
    <row r="1403" spans="6:31" ht="24" customHeight="1">
      <c r="F1403" s="1104" t="s">
        <v>4366</v>
      </c>
      <c r="G1403" s="1114" t="s">
        <v>1363</v>
      </c>
      <c r="H1403" s="1103" t="s">
        <v>4367</v>
      </c>
      <c r="O1403" s="1103" t="s">
        <v>4345</v>
      </c>
      <c r="Q1403" s="1109"/>
      <c r="R1403" s="1114">
        <v>0.51</v>
      </c>
      <c r="S1403" s="1128">
        <f>8.4*1.123</f>
        <v>9.4332000000000011</v>
      </c>
      <c r="T1403" s="1114" t="s">
        <v>3236</v>
      </c>
      <c r="U1403" s="1103" t="s">
        <v>4324</v>
      </c>
      <c r="V1403" s="1114">
        <f t="shared" ref="V1403:V1413" si="185">V1387</f>
        <v>301</v>
      </c>
      <c r="W1403" s="1114" t="s">
        <v>3236</v>
      </c>
      <c r="X1403" s="1114">
        <f t="shared" ref="X1403:X1413" si="186">V1403*S1403</f>
        <v>2839.3932000000004</v>
      </c>
      <c r="Y1403" s="1144">
        <v>0.46</v>
      </c>
      <c r="Z1403" s="1114" t="s">
        <v>3236</v>
      </c>
      <c r="AA1403" s="1103" t="s">
        <v>4324</v>
      </c>
      <c r="AB1403" s="1114">
        <f t="shared" si="183"/>
        <v>301</v>
      </c>
      <c r="AC1403" s="1114" t="s">
        <v>3236</v>
      </c>
      <c r="AD1403" s="1114">
        <f t="shared" si="184"/>
        <v>138.46</v>
      </c>
      <c r="AE1403" s="1114">
        <f t="shared" si="167"/>
        <v>0</v>
      </c>
    </row>
    <row r="1404" spans="6:31" ht="24" customHeight="1">
      <c r="H1404" s="1111" t="s">
        <v>36</v>
      </c>
      <c r="L1404" s="1105">
        <f>5.85*1.123</f>
        <v>6.5695499999999996</v>
      </c>
      <c r="R1404" s="1115">
        <f>SUM(R1391:R1403)</f>
        <v>10968.379799999999</v>
      </c>
      <c r="S1404" s="1128">
        <f>24.24*0.663</f>
        <v>16.071120000000001</v>
      </c>
      <c r="T1404" s="1114" t="s">
        <v>3236</v>
      </c>
      <c r="U1404" s="1103" t="s">
        <v>4324</v>
      </c>
      <c r="V1404" s="1114">
        <f t="shared" si="185"/>
        <v>301</v>
      </c>
      <c r="W1404" s="1114" t="s">
        <v>3236</v>
      </c>
      <c r="X1404" s="1114">
        <f t="shared" si="186"/>
        <v>4837.4071199999998</v>
      </c>
      <c r="Y1404" s="1144">
        <v>0.41699999999999998</v>
      </c>
      <c r="Z1404" s="1114" t="s">
        <v>833</v>
      </c>
      <c r="AA1404" s="1103" t="s">
        <v>4330</v>
      </c>
      <c r="AB1404" s="1114">
        <f t="shared" si="183"/>
        <v>208.8</v>
      </c>
      <c r="AC1404" s="1114" t="s">
        <v>833</v>
      </c>
      <c r="AD1404" s="1114">
        <f t="shared" si="184"/>
        <v>87.069599999999994</v>
      </c>
      <c r="AE1404" s="1114">
        <f t="shared" si="167"/>
        <v>0</v>
      </c>
    </row>
    <row r="1405" spans="6:31" ht="24" customHeight="1">
      <c r="F1405" s="1114">
        <v>0.14000000000000001</v>
      </c>
      <c r="G1405" s="1114" t="s">
        <v>2839</v>
      </c>
      <c r="H1405" s="1103" t="s">
        <v>2963</v>
      </c>
      <c r="I1405" s="1114">
        <f>(K40)</f>
        <v>4080.66</v>
      </c>
      <c r="J1405" s="1103" t="s">
        <v>2839</v>
      </c>
      <c r="K1405" s="1114">
        <f>(F1405*I1405)</f>
        <v>571.29240000000004</v>
      </c>
      <c r="S1405" s="1128">
        <f>23.02*0.124</f>
        <v>2.8544800000000001</v>
      </c>
      <c r="T1405" s="1114" t="s">
        <v>3236</v>
      </c>
      <c r="U1405" s="1103" t="s">
        <v>4324</v>
      </c>
      <c r="V1405" s="1114">
        <f t="shared" si="185"/>
        <v>301</v>
      </c>
      <c r="W1405" s="1114" t="s">
        <v>3236</v>
      </c>
      <c r="X1405" s="1114">
        <f t="shared" si="186"/>
        <v>859.19848000000002</v>
      </c>
      <c r="Y1405" s="1144">
        <v>3.6960000000000002</v>
      </c>
      <c r="Z1405" s="1114" t="s">
        <v>61</v>
      </c>
      <c r="AA1405" s="1103" t="s">
        <v>4333</v>
      </c>
      <c r="AB1405" s="1114">
        <f t="shared" si="183"/>
        <v>28.8</v>
      </c>
      <c r="AC1405" s="1114" t="s">
        <v>61</v>
      </c>
      <c r="AD1405" s="1114">
        <f t="shared" si="184"/>
        <v>106.4448</v>
      </c>
      <c r="AE1405" s="1114">
        <f t="shared" si="167"/>
        <v>0</v>
      </c>
    </row>
    <row r="1406" spans="6:31" ht="24" customHeight="1">
      <c r="F1406" s="1114">
        <v>1.1000000000000001</v>
      </c>
      <c r="G1406" s="1114" t="s">
        <v>2838</v>
      </c>
      <c r="H1406" s="1103" t="s">
        <v>3051</v>
      </c>
      <c r="I1406" s="1114">
        <f>(C10)</f>
        <v>861</v>
      </c>
      <c r="J1406" s="1103" t="s">
        <v>2838</v>
      </c>
      <c r="K1406" s="1114">
        <f>(F1406*I1406)</f>
        <v>947.1</v>
      </c>
      <c r="S1406" s="1128">
        <f>3.31</f>
        <v>3.31</v>
      </c>
      <c r="T1406" s="1114" t="s">
        <v>833</v>
      </c>
      <c r="U1406" s="1103" t="s">
        <v>4330</v>
      </c>
      <c r="V1406" s="1114">
        <f t="shared" si="185"/>
        <v>208.8</v>
      </c>
      <c r="W1406" s="1114" t="s">
        <v>833</v>
      </c>
      <c r="X1406" s="1114">
        <f t="shared" si="186"/>
        <v>691.12800000000004</v>
      </c>
      <c r="Y1406" s="1144">
        <v>4</v>
      </c>
      <c r="Z1406" s="1114" t="s">
        <v>2941</v>
      </c>
      <c r="AA1406" s="1103" t="s">
        <v>4335</v>
      </c>
      <c r="AB1406" s="1114">
        <f t="shared" si="183"/>
        <v>66.599999999999994</v>
      </c>
      <c r="AC1406" s="1114" t="s">
        <v>2941</v>
      </c>
      <c r="AD1406" s="1114">
        <f t="shared" si="184"/>
        <v>266.39999999999998</v>
      </c>
      <c r="AE1406" s="1114">
        <f t="shared" ref="AE1406:AE1469" si="187">AG1406</f>
        <v>0</v>
      </c>
    </row>
    <row r="1407" spans="6:31" ht="24" customHeight="1">
      <c r="F1407" s="1114">
        <v>0.5</v>
      </c>
      <c r="G1407" s="1114" t="s">
        <v>2838</v>
      </c>
      <c r="H1407" s="1103" t="s">
        <v>3020</v>
      </c>
      <c r="I1407" s="1114">
        <f>(C12)</f>
        <v>562</v>
      </c>
      <c r="J1407" s="1103" t="s">
        <v>2838</v>
      </c>
      <c r="K1407" s="1114">
        <f>(F1407*I1407)</f>
        <v>281</v>
      </c>
      <c r="O1407" s="1167" t="s">
        <v>4368</v>
      </c>
      <c r="Q1407" s="1107"/>
      <c r="S1407" s="1128">
        <v>23.02</v>
      </c>
      <c r="T1407" s="1114" t="s">
        <v>61</v>
      </c>
      <c r="U1407" s="1103" t="s">
        <v>4333</v>
      </c>
      <c r="V1407" s="1114">
        <f t="shared" si="185"/>
        <v>28.8</v>
      </c>
      <c r="W1407" s="1114" t="s">
        <v>61</v>
      </c>
      <c r="X1407" s="1114">
        <f t="shared" si="186"/>
        <v>662.976</v>
      </c>
      <c r="Y1407" s="1144">
        <v>2</v>
      </c>
      <c r="Z1407" s="1114" t="s">
        <v>2941</v>
      </c>
      <c r="AA1407" s="1103" t="s">
        <v>4337</v>
      </c>
      <c r="AB1407" s="1114">
        <f t="shared" si="183"/>
        <v>53.4</v>
      </c>
      <c r="AC1407" s="1114" t="s">
        <v>2941</v>
      </c>
      <c r="AD1407" s="1114">
        <f t="shared" si="184"/>
        <v>106.8</v>
      </c>
      <c r="AE1407" s="1114">
        <f t="shared" si="187"/>
        <v>0</v>
      </c>
    </row>
    <row r="1408" spans="6:31" ht="24" customHeight="1">
      <c r="F1408" s="1114">
        <v>1.1000000000000001</v>
      </c>
      <c r="G1408" s="1114" t="s">
        <v>2838</v>
      </c>
      <c r="H1408" s="1103" t="s">
        <v>3026</v>
      </c>
      <c r="I1408" s="1114">
        <f>(C13)</f>
        <v>461</v>
      </c>
      <c r="J1408" s="1103" t="s">
        <v>2838</v>
      </c>
      <c r="K1408" s="1114">
        <f>(F1408*I1408)</f>
        <v>507.1</v>
      </c>
      <c r="M1408" s="1144">
        <v>3.95</v>
      </c>
      <c r="N1408" s="1114" t="s">
        <v>3236</v>
      </c>
      <c r="O1408" s="1103" t="s">
        <v>4369</v>
      </c>
      <c r="P1408" s="1114">
        <f>P1391</f>
        <v>301</v>
      </c>
      <c r="Q1408" s="1114" t="s">
        <v>3236</v>
      </c>
      <c r="R1408" s="1114">
        <f>P1408*M1408</f>
        <v>1188.95</v>
      </c>
      <c r="S1408" s="1128">
        <v>16</v>
      </c>
      <c r="T1408" s="1114" t="s">
        <v>2941</v>
      </c>
      <c r="U1408" s="1103" t="s">
        <v>4335</v>
      </c>
      <c r="V1408" s="1114">
        <f t="shared" si="185"/>
        <v>66.599999999999994</v>
      </c>
      <c r="W1408" s="1114" t="s">
        <v>2941</v>
      </c>
      <c r="X1408" s="1114">
        <f t="shared" si="186"/>
        <v>1065.5999999999999</v>
      </c>
      <c r="Y1408" s="1144">
        <v>2</v>
      </c>
      <c r="Z1408" s="1114" t="s">
        <v>2941</v>
      </c>
      <c r="AA1408" s="1103" t="s">
        <v>4340</v>
      </c>
      <c r="AB1408" s="1114">
        <f t="shared" si="183"/>
        <v>30</v>
      </c>
      <c r="AC1408" s="1114" t="s">
        <v>2941</v>
      </c>
      <c r="AD1408" s="1114">
        <f t="shared" si="184"/>
        <v>60</v>
      </c>
      <c r="AE1408" s="1114">
        <f t="shared" si="187"/>
        <v>0</v>
      </c>
    </row>
    <row r="1409" spans="6:31" ht="24" customHeight="1">
      <c r="G1409" s="1114" t="s">
        <v>2851</v>
      </c>
      <c r="H1409" s="1103" t="s">
        <v>2852</v>
      </c>
      <c r="I1409" s="1103" t="s">
        <v>220</v>
      </c>
      <c r="J1409" s="1103" t="s">
        <v>2851</v>
      </c>
      <c r="K1409" s="1114">
        <v>5</v>
      </c>
      <c r="M1409" s="1144">
        <v>2.86</v>
      </c>
      <c r="N1409" s="1114" t="s">
        <v>3236</v>
      </c>
      <c r="O1409" s="1103" t="s">
        <v>4324</v>
      </c>
      <c r="P1409" s="1114">
        <f t="shared" ref="P1409:P1419" si="188">P1392</f>
        <v>301</v>
      </c>
      <c r="Q1409" s="1114" t="s">
        <v>3236</v>
      </c>
      <c r="R1409" s="1114">
        <f t="shared" ref="R1409:R1419" si="189">P1409*M1409</f>
        <v>860.86</v>
      </c>
      <c r="S1409" s="1128">
        <v>8</v>
      </c>
      <c r="T1409" s="1114" t="s">
        <v>2941</v>
      </c>
      <c r="U1409" s="1103" t="s">
        <v>4337</v>
      </c>
      <c r="V1409" s="1114">
        <f t="shared" si="185"/>
        <v>53.4</v>
      </c>
      <c r="W1409" s="1114" t="s">
        <v>2941</v>
      </c>
      <c r="X1409" s="1114">
        <f t="shared" si="186"/>
        <v>427.2</v>
      </c>
      <c r="Y1409" s="1144">
        <v>2</v>
      </c>
      <c r="Z1409" s="1114" t="s">
        <v>2941</v>
      </c>
      <c r="AA1409" s="1103" t="s">
        <v>4341</v>
      </c>
      <c r="AB1409" s="1114">
        <f t="shared" si="183"/>
        <v>20</v>
      </c>
      <c r="AC1409" s="1114" t="s">
        <v>2941</v>
      </c>
      <c r="AD1409" s="1114">
        <f t="shared" si="184"/>
        <v>40</v>
      </c>
      <c r="AE1409" s="1114">
        <f t="shared" si="187"/>
        <v>0</v>
      </c>
    </row>
    <row r="1410" spans="6:31" ht="24" customHeight="1">
      <c r="G1410" s="1114"/>
      <c r="H1410" s="1103"/>
      <c r="I1410" s="1103"/>
      <c r="J1410" s="1103"/>
      <c r="K1410" s="1114"/>
      <c r="M1410" s="1144">
        <v>6.55</v>
      </c>
      <c r="N1410" s="1114" t="s">
        <v>3236</v>
      </c>
      <c r="O1410" s="1103" t="s">
        <v>4324</v>
      </c>
      <c r="P1410" s="1114">
        <f t="shared" si="188"/>
        <v>301</v>
      </c>
      <c r="Q1410" s="1114" t="s">
        <v>3236</v>
      </c>
      <c r="R1410" s="1114">
        <f t="shared" si="189"/>
        <v>1971.55</v>
      </c>
      <c r="S1410" s="1128">
        <v>8</v>
      </c>
      <c r="T1410" s="1114" t="s">
        <v>2941</v>
      </c>
      <c r="U1410" s="1103" t="s">
        <v>4340</v>
      </c>
      <c r="V1410" s="1114">
        <f t="shared" si="185"/>
        <v>30</v>
      </c>
      <c r="W1410" s="1114" t="s">
        <v>2941</v>
      </c>
      <c r="X1410" s="1114">
        <f t="shared" si="186"/>
        <v>240</v>
      </c>
      <c r="Y1410" s="1144">
        <v>2</v>
      </c>
      <c r="Z1410" s="1114" t="s">
        <v>2941</v>
      </c>
      <c r="AA1410" s="1103" t="s">
        <v>4342</v>
      </c>
      <c r="AB1410" s="1114">
        <f t="shared" si="183"/>
        <v>15</v>
      </c>
      <c r="AC1410" s="1114" t="s">
        <v>2941</v>
      </c>
      <c r="AD1410" s="1114">
        <f t="shared" si="184"/>
        <v>30</v>
      </c>
      <c r="AE1410" s="1114">
        <f t="shared" si="187"/>
        <v>0</v>
      </c>
    </row>
    <row r="1411" spans="6:31" ht="24" customHeight="1">
      <c r="K1411" s="1111" t="s">
        <v>36</v>
      </c>
      <c r="M1411" s="1144">
        <v>1.1499999999999999</v>
      </c>
      <c r="N1411" s="1114" t="s">
        <v>3236</v>
      </c>
      <c r="O1411" s="1103" t="s">
        <v>4324</v>
      </c>
      <c r="P1411" s="1114">
        <f t="shared" si="188"/>
        <v>301</v>
      </c>
      <c r="Q1411" s="1114" t="s">
        <v>3236</v>
      </c>
      <c r="R1411" s="1114">
        <f t="shared" si="189"/>
        <v>346.15</v>
      </c>
      <c r="S1411" s="1128">
        <v>8</v>
      </c>
      <c r="T1411" s="1114" t="s">
        <v>2941</v>
      </c>
      <c r="U1411" s="1103" t="s">
        <v>4341</v>
      </c>
      <c r="V1411" s="1114">
        <f t="shared" si="185"/>
        <v>20</v>
      </c>
      <c r="W1411" s="1114" t="s">
        <v>2941</v>
      </c>
      <c r="X1411" s="1114">
        <f t="shared" si="186"/>
        <v>160</v>
      </c>
      <c r="Y1411" s="1144">
        <v>0.54</v>
      </c>
      <c r="Z1411" s="1114" t="s">
        <v>37</v>
      </c>
      <c r="AA1411" s="1103" t="s">
        <v>4343</v>
      </c>
      <c r="AB1411" s="1114">
        <f t="shared" si="183"/>
        <v>1724</v>
      </c>
      <c r="AC1411" s="1114" t="s">
        <v>37</v>
      </c>
      <c r="AD1411" s="1114">
        <f t="shared" si="184"/>
        <v>930.96</v>
      </c>
      <c r="AE1411" s="1114">
        <f t="shared" si="187"/>
        <v>0</v>
      </c>
    </row>
    <row r="1412" spans="6:31" ht="24" customHeight="1">
      <c r="H1412" s="1103" t="s">
        <v>3152</v>
      </c>
      <c r="K1412" s="1114">
        <f>SUM(K1405:K1409)</f>
        <v>2311.4924000000001</v>
      </c>
      <c r="L1412" s="1105">
        <f>SUM(K1433:K1436)</f>
        <v>2406.6203999999998</v>
      </c>
      <c r="M1412" s="1144">
        <v>1.3380000000000001</v>
      </c>
      <c r="N1412" s="1114" t="s">
        <v>833</v>
      </c>
      <c r="O1412" s="1103" t="s">
        <v>4330</v>
      </c>
      <c r="P1412" s="1114">
        <f t="shared" si="188"/>
        <v>208.8</v>
      </c>
      <c r="Q1412" s="1114" t="s">
        <v>833</v>
      </c>
      <c r="R1412" s="1114">
        <f t="shared" si="189"/>
        <v>279.37440000000004</v>
      </c>
      <c r="S1412" s="1128">
        <v>4</v>
      </c>
      <c r="T1412" s="1114" t="s">
        <v>2941</v>
      </c>
      <c r="U1412" s="1103" t="s">
        <v>4342</v>
      </c>
      <c r="V1412" s="1114">
        <f t="shared" si="185"/>
        <v>15</v>
      </c>
      <c r="W1412" s="1114" t="s">
        <v>2941</v>
      </c>
      <c r="X1412" s="1114">
        <f t="shared" si="186"/>
        <v>60</v>
      </c>
      <c r="AA1412" s="1103" t="s">
        <v>4345</v>
      </c>
      <c r="AC1412" s="1109"/>
      <c r="AD1412" s="1114">
        <v>0.7</v>
      </c>
      <c r="AE1412" s="1114">
        <f t="shared" si="187"/>
        <v>0</v>
      </c>
    </row>
    <row r="1413" spans="6:31" ht="24" customHeight="1">
      <c r="K1413" s="1111" t="s">
        <v>36</v>
      </c>
      <c r="M1413" s="1144">
        <v>9.2720000000000002</v>
      </c>
      <c r="N1413" s="1114" t="s">
        <v>61</v>
      </c>
      <c r="O1413" s="1103" t="s">
        <v>4370</v>
      </c>
      <c r="P1413" s="1114">
        <f t="shared" si="188"/>
        <v>28.8</v>
      </c>
      <c r="Q1413" s="1114" t="s">
        <v>61</v>
      </c>
      <c r="R1413" s="1114">
        <f t="shared" si="189"/>
        <v>267.03360000000004</v>
      </c>
      <c r="S1413" s="1128">
        <v>3.96</v>
      </c>
      <c r="T1413" s="1114" t="s">
        <v>37</v>
      </c>
      <c r="U1413" s="1103" t="s">
        <v>4343</v>
      </c>
      <c r="V1413" s="1114">
        <f t="shared" si="185"/>
        <v>1724</v>
      </c>
      <c r="W1413" s="1114" t="s">
        <v>37</v>
      </c>
      <c r="X1413" s="1114">
        <f t="shared" si="186"/>
        <v>6827.04</v>
      </c>
      <c r="AA1413" s="1113" t="s">
        <v>4347</v>
      </c>
      <c r="AD1413" s="1115">
        <f>SUM(AD1400:AD1412)</f>
        <v>3467.4844000000003</v>
      </c>
      <c r="AE1413" s="1114">
        <f t="shared" si="187"/>
        <v>0</v>
      </c>
    </row>
    <row r="1414" spans="6:31" ht="24" customHeight="1">
      <c r="H1414" s="1118" t="s">
        <v>3154</v>
      </c>
      <c r="K1414" s="1115">
        <f>(K1412/10)</f>
        <v>231.14924000000002</v>
      </c>
      <c r="M1414" s="1144">
        <v>8</v>
      </c>
      <c r="N1414" s="1114" t="s">
        <v>2941</v>
      </c>
      <c r="O1414" s="1103" t="s">
        <v>4371</v>
      </c>
      <c r="P1414" s="1114">
        <f t="shared" si="188"/>
        <v>66.599999999999994</v>
      </c>
      <c r="Q1414" s="1114" t="s">
        <v>2941</v>
      </c>
      <c r="R1414" s="1114">
        <f t="shared" si="189"/>
        <v>532.79999999999995</v>
      </c>
      <c r="U1414" s="1103" t="s">
        <v>4345</v>
      </c>
      <c r="W1414" s="1109"/>
      <c r="X1414" s="1114">
        <v>0.09</v>
      </c>
      <c r="AE1414" s="1114">
        <f t="shared" si="187"/>
        <v>0</v>
      </c>
    </row>
    <row r="1415" spans="6:31" ht="24" customHeight="1">
      <c r="K1415" s="1111" t="s">
        <v>2793</v>
      </c>
      <c r="M1415" s="1144">
        <v>4</v>
      </c>
      <c r="N1415" s="1114" t="s">
        <v>2941</v>
      </c>
      <c r="O1415" s="1103" t="s">
        <v>4362</v>
      </c>
      <c r="P1415" s="1114">
        <f t="shared" si="188"/>
        <v>53.4</v>
      </c>
      <c r="Q1415" s="1114" t="s">
        <v>2941</v>
      </c>
      <c r="R1415" s="1114">
        <f t="shared" si="189"/>
        <v>213.6</v>
      </c>
      <c r="U1415" s="1113" t="s">
        <v>4347</v>
      </c>
      <c r="X1415" s="1115">
        <f>SUM(X1402:X1414)</f>
        <v>20536.232800000002</v>
      </c>
      <c r="AE1415" s="1114">
        <f t="shared" si="187"/>
        <v>0</v>
      </c>
    </row>
    <row r="1416" spans="6:31" ht="24" customHeight="1">
      <c r="F1416" s="1104" t="s">
        <v>4372</v>
      </c>
      <c r="G1416" s="1114" t="s">
        <v>1363</v>
      </c>
      <c r="H1416" s="1103" t="s">
        <v>4373</v>
      </c>
      <c r="M1416" s="1144">
        <v>4</v>
      </c>
      <c r="N1416" s="1114" t="s">
        <v>2941</v>
      </c>
      <c r="O1416" s="1103" t="s">
        <v>4340</v>
      </c>
      <c r="P1416" s="1114">
        <f t="shared" si="188"/>
        <v>30</v>
      </c>
      <c r="Q1416" s="1114" t="s">
        <v>2941</v>
      </c>
      <c r="R1416" s="1114">
        <f t="shared" si="189"/>
        <v>120</v>
      </c>
      <c r="AA1416" s="1167" t="s">
        <v>4374</v>
      </c>
      <c r="AC1416" s="1107"/>
      <c r="AE1416" s="1114">
        <f t="shared" si="187"/>
        <v>0</v>
      </c>
    </row>
    <row r="1417" spans="6:31" ht="24" customHeight="1">
      <c r="H1417" s="1111" t="s">
        <v>36</v>
      </c>
      <c r="M1417" s="1144">
        <v>4</v>
      </c>
      <c r="N1417" s="1114" t="s">
        <v>2941</v>
      </c>
      <c r="O1417" s="1103" t="s">
        <v>4341</v>
      </c>
      <c r="P1417" s="1114">
        <f t="shared" si="188"/>
        <v>20</v>
      </c>
      <c r="Q1417" s="1114" t="s">
        <v>2941</v>
      </c>
      <c r="R1417" s="1114">
        <f t="shared" si="189"/>
        <v>80</v>
      </c>
      <c r="Y1417" s="1144">
        <f>4.2*0.775</f>
        <v>3.2550000000000003</v>
      </c>
      <c r="Z1417" s="1114" t="s">
        <v>3236</v>
      </c>
      <c r="AA1417" s="1103" t="s">
        <v>4324</v>
      </c>
      <c r="AB1417" s="1114">
        <f>AB1400</f>
        <v>301</v>
      </c>
      <c r="AC1417" s="1114" t="s">
        <v>3236</v>
      </c>
      <c r="AD1417" s="1114">
        <f t="shared" ref="AD1417:AD1428" si="190">AB1417*Y1417</f>
        <v>979.75500000000011</v>
      </c>
      <c r="AE1417" s="1114">
        <f t="shared" si="187"/>
        <v>0</v>
      </c>
    </row>
    <row r="1418" spans="6:31" ht="24" customHeight="1">
      <c r="F1418" s="1114">
        <v>0.1</v>
      </c>
      <c r="G1418" s="1114" t="s">
        <v>2839</v>
      </c>
      <c r="H1418" s="1103" t="s">
        <v>2921</v>
      </c>
      <c r="I1418" s="1114">
        <f>(K32)</f>
        <v>4795.8599999999997</v>
      </c>
      <c r="J1418" s="1103" t="s">
        <v>2839</v>
      </c>
      <c r="K1418" s="1114">
        <f>(F1418*I1418)</f>
        <v>479.58600000000001</v>
      </c>
      <c r="M1418" s="1144">
        <v>4</v>
      </c>
      <c r="N1418" s="1114" t="s">
        <v>2941</v>
      </c>
      <c r="O1418" s="1103" t="s">
        <v>4342</v>
      </c>
      <c r="P1418" s="1114">
        <f t="shared" si="188"/>
        <v>15</v>
      </c>
      <c r="Q1418" s="1114" t="s">
        <v>2941</v>
      </c>
      <c r="R1418" s="1114">
        <f t="shared" si="189"/>
        <v>60</v>
      </c>
      <c r="U1418" s="1119" t="s">
        <v>4375</v>
      </c>
      <c r="Y1418" s="1144">
        <v>2.3580000000000001</v>
      </c>
      <c r="Z1418" s="1114" t="s">
        <v>3236</v>
      </c>
      <c r="AA1418" s="1103" t="s">
        <v>4324</v>
      </c>
      <c r="AB1418" s="1114">
        <f t="shared" ref="AB1418:AB1428" si="191">AB1401</f>
        <v>301</v>
      </c>
      <c r="AC1418" s="1114" t="s">
        <v>3236</v>
      </c>
      <c r="AD1418" s="1114">
        <f t="shared" si="190"/>
        <v>709.75800000000004</v>
      </c>
      <c r="AE1418" s="1114">
        <f t="shared" si="187"/>
        <v>0</v>
      </c>
    </row>
    <row r="1419" spans="6:31" ht="24" customHeight="1">
      <c r="F1419" s="1114">
        <v>1.1000000000000001</v>
      </c>
      <c r="G1419" s="1114" t="s">
        <v>2838</v>
      </c>
      <c r="H1419" s="1103" t="s">
        <v>3051</v>
      </c>
      <c r="I1419" s="1114">
        <f>(C10)</f>
        <v>861</v>
      </c>
      <c r="J1419" s="1103" t="s">
        <v>2838</v>
      </c>
      <c r="K1419" s="1114">
        <f>(F1419*I1419)</f>
        <v>947.1</v>
      </c>
      <c r="L1419" s="1105">
        <f>M1458+M1459+M1460</f>
        <v>11.742000000000001</v>
      </c>
      <c r="M1419" s="1144">
        <v>1.62</v>
      </c>
      <c r="N1419" s="1114" t="s">
        <v>37</v>
      </c>
      <c r="O1419" s="1103" t="s">
        <v>4343</v>
      </c>
      <c r="P1419" s="1114">
        <f t="shared" si="188"/>
        <v>1724</v>
      </c>
      <c r="Q1419" s="1114" t="s">
        <v>37</v>
      </c>
      <c r="R1419" s="1114">
        <f t="shared" si="189"/>
        <v>2792.88</v>
      </c>
      <c r="S1419" s="1128">
        <v>4.42</v>
      </c>
      <c r="T1419" s="1114" t="s">
        <v>3236</v>
      </c>
      <c r="U1419" s="1103" t="s">
        <v>4324</v>
      </c>
      <c r="V1419" s="1114">
        <f>P1458</f>
        <v>301</v>
      </c>
      <c r="W1419" s="1114" t="s">
        <v>3236</v>
      </c>
      <c r="X1419" s="1114">
        <f>V1419*S1419</f>
        <v>1330.42</v>
      </c>
      <c r="Y1419" s="1144">
        <f>8.08*0.663</f>
        <v>5.3570400000000005</v>
      </c>
      <c r="Z1419" s="1114" t="s">
        <v>3236</v>
      </c>
      <c r="AA1419" s="1103" t="s">
        <v>4324</v>
      </c>
      <c r="AB1419" s="1114">
        <f t="shared" si="191"/>
        <v>301</v>
      </c>
      <c r="AC1419" s="1114" t="s">
        <v>3236</v>
      </c>
      <c r="AD1419" s="1114">
        <f t="shared" si="190"/>
        <v>1612.4690400000002</v>
      </c>
      <c r="AE1419" s="1114">
        <f t="shared" si="187"/>
        <v>0</v>
      </c>
    </row>
    <row r="1420" spans="6:31" ht="24" customHeight="1">
      <c r="F1420" s="1114">
        <v>1.1000000000000001</v>
      </c>
      <c r="G1420" s="1114" t="s">
        <v>2838</v>
      </c>
      <c r="H1420" s="1103" t="s">
        <v>3020</v>
      </c>
      <c r="I1420" s="1114">
        <f>(C12)</f>
        <v>562</v>
      </c>
      <c r="J1420" s="1103" t="s">
        <v>2838</v>
      </c>
      <c r="K1420" s="1114">
        <f>(F1420*I1420)</f>
        <v>618.20000000000005</v>
      </c>
      <c r="O1420" s="1103" t="s">
        <v>4345</v>
      </c>
      <c r="Q1420" s="1109"/>
      <c r="R1420" s="1114">
        <v>0.25</v>
      </c>
      <c r="S1420" s="1128">
        <v>4.72</v>
      </c>
      <c r="T1420" s="1114" t="s">
        <v>3236</v>
      </c>
      <c r="U1420" s="1103" t="s">
        <v>4324</v>
      </c>
      <c r="V1420" s="1114">
        <f>P1459</f>
        <v>301</v>
      </c>
      <c r="W1420" s="1114" t="s">
        <v>3236</v>
      </c>
      <c r="X1420" s="1114">
        <f t="shared" ref="X1420:X1430" si="192">V1420*S1420</f>
        <v>1420.72</v>
      </c>
      <c r="Y1420" s="1144">
        <v>0.92600000000000005</v>
      </c>
      <c r="Z1420" s="1114" t="s">
        <v>3236</v>
      </c>
      <c r="AA1420" s="1103" t="s">
        <v>4324</v>
      </c>
      <c r="AB1420" s="1114">
        <f t="shared" si="191"/>
        <v>301</v>
      </c>
      <c r="AC1420" s="1114" t="s">
        <v>3236</v>
      </c>
      <c r="AD1420" s="1114">
        <f t="shared" si="190"/>
        <v>278.726</v>
      </c>
      <c r="AE1420" s="1114">
        <f t="shared" si="187"/>
        <v>0</v>
      </c>
    </row>
    <row r="1421" spans="6:31" ht="24" customHeight="1">
      <c r="F1421" s="1114">
        <v>1.1000000000000001</v>
      </c>
      <c r="G1421" s="1114" t="s">
        <v>2838</v>
      </c>
      <c r="H1421" s="1103" t="s">
        <v>3026</v>
      </c>
      <c r="I1421" s="1114">
        <f>(C13)</f>
        <v>461</v>
      </c>
      <c r="J1421" s="1103" t="s">
        <v>2838</v>
      </c>
      <c r="K1421" s="1114">
        <f>(F1421*I1421)</f>
        <v>507.1</v>
      </c>
      <c r="R1421" s="1115">
        <f>SUM(R1408:R1420)</f>
        <v>8713.4480000000003</v>
      </c>
      <c r="S1421" s="1128">
        <v>9.06</v>
      </c>
      <c r="T1421" s="1114" t="s">
        <v>3236</v>
      </c>
      <c r="U1421" s="1103" t="s">
        <v>4324</v>
      </c>
      <c r="V1421" s="1114">
        <f>P1460</f>
        <v>301</v>
      </c>
      <c r="W1421" s="1114" t="s">
        <v>3236</v>
      </c>
      <c r="X1421" s="1114">
        <f t="shared" si="192"/>
        <v>2727.06</v>
      </c>
      <c r="Y1421" s="1144">
        <v>0.85</v>
      </c>
      <c r="Z1421" s="1114" t="s">
        <v>833</v>
      </c>
      <c r="AA1421" s="1103" t="s">
        <v>4330</v>
      </c>
      <c r="AB1421" s="1114">
        <f t="shared" si="191"/>
        <v>208.8</v>
      </c>
      <c r="AC1421" s="1114" t="s">
        <v>833</v>
      </c>
      <c r="AD1421" s="1114">
        <f t="shared" si="190"/>
        <v>177.48000000000002</v>
      </c>
      <c r="AE1421" s="1114">
        <f t="shared" si="187"/>
        <v>0</v>
      </c>
    </row>
    <row r="1422" spans="6:31" ht="24" customHeight="1">
      <c r="G1422" s="1114" t="s">
        <v>2851</v>
      </c>
      <c r="H1422" s="1103" t="s">
        <v>2852</v>
      </c>
      <c r="I1422" s="1103" t="s">
        <v>220</v>
      </c>
      <c r="J1422" s="1103" t="s">
        <v>2851</v>
      </c>
      <c r="K1422" s="1114">
        <v>5</v>
      </c>
      <c r="M1422" s="1114"/>
      <c r="N1422" s="1114"/>
      <c r="O1422" s="1103"/>
      <c r="P1422" s="1114"/>
      <c r="Q1422" s="1104"/>
      <c r="R1422" s="1114"/>
      <c r="S1422" s="1128">
        <v>1.58</v>
      </c>
      <c r="T1422" s="1114" t="s">
        <v>3236</v>
      </c>
      <c r="U1422" s="1103" t="s">
        <v>4324</v>
      </c>
      <c r="V1422" s="1114">
        <f>P1461</f>
        <v>301</v>
      </c>
      <c r="W1422" s="1114" t="s">
        <v>3236</v>
      </c>
      <c r="X1422" s="1114">
        <f t="shared" si="192"/>
        <v>475.58000000000004</v>
      </c>
      <c r="Y1422" s="1144">
        <v>7.4720000000000004</v>
      </c>
      <c r="Z1422" s="1114" t="s">
        <v>61</v>
      </c>
      <c r="AA1422" s="1103" t="s">
        <v>4333</v>
      </c>
      <c r="AB1422" s="1114">
        <f t="shared" si="191"/>
        <v>28.8</v>
      </c>
      <c r="AC1422" s="1114" t="s">
        <v>61</v>
      </c>
      <c r="AD1422" s="1114">
        <f t="shared" si="190"/>
        <v>215.1936</v>
      </c>
      <c r="AE1422" s="1114">
        <f t="shared" si="187"/>
        <v>0</v>
      </c>
    </row>
    <row r="1423" spans="6:31" ht="24" customHeight="1">
      <c r="K1423" s="1111" t="s">
        <v>36</v>
      </c>
      <c r="M1423" s="1114"/>
      <c r="N1423" s="1114"/>
      <c r="O1423" s="1103"/>
      <c r="P1423" s="1114"/>
      <c r="Q1423" s="1104"/>
      <c r="R1423" s="1114"/>
      <c r="S1423" s="1128">
        <v>1.65</v>
      </c>
      <c r="T1423" s="1114" t="s">
        <v>833</v>
      </c>
      <c r="U1423" s="1103" t="s">
        <v>4330</v>
      </c>
      <c r="V1423" s="1114">
        <f>P1429</f>
        <v>208.8</v>
      </c>
      <c r="W1423" s="1114" t="s">
        <v>833</v>
      </c>
      <c r="X1423" s="1114">
        <f t="shared" si="192"/>
        <v>344.52</v>
      </c>
      <c r="Y1423" s="1144">
        <v>8</v>
      </c>
      <c r="Z1423" s="1114" t="s">
        <v>2941</v>
      </c>
      <c r="AA1423" s="1103" t="s">
        <v>4335</v>
      </c>
      <c r="AB1423" s="1114">
        <f t="shared" si="191"/>
        <v>66.599999999999994</v>
      </c>
      <c r="AC1423" s="1114" t="s">
        <v>2941</v>
      </c>
      <c r="AD1423" s="1114">
        <f t="shared" si="190"/>
        <v>532.79999999999995</v>
      </c>
      <c r="AE1423" s="1114">
        <f t="shared" si="187"/>
        <v>0</v>
      </c>
    </row>
    <row r="1424" spans="6:31" ht="24" customHeight="1">
      <c r="H1424" s="1103" t="s">
        <v>3152</v>
      </c>
      <c r="K1424" s="1114">
        <f>SUM(K1418:K1422)</f>
        <v>2556.9860000000003</v>
      </c>
      <c r="O1424" s="1167" t="s">
        <v>4376</v>
      </c>
      <c r="Q1424" s="1107"/>
      <c r="S1424" s="1128">
        <v>12.74</v>
      </c>
      <c r="T1424" s="1114" t="s">
        <v>61</v>
      </c>
      <c r="U1424" s="1103" t="s">
        <v>4333</v>
      </c>
      <c r="V1424" s="1114">
        <f>P1463</f>
        <v>28.8</v>
      </c>
      <c r="W1424" s="1114" t="s">
        <v>61</v>
      </c>
      <c r="X1424" s="1114">
        <f t="shared" si="192"/>
        <v>366.91200000000003</v>
      </c>
      <c r="Y1424" s="1144">
        <v>4</v>
      </c>
      <c r="Z1424" s="1114" t="s">
        <v>2941</v>
      </c>
      <c r="AA1424" s="1103" t="s">
        <v>4337</v>
      </c>
      <c r="AB1424" s="1114">
        <f t="shared" si="191"/>
        <v>53.4</v>
      </c>
      <c r="AC1424" s="1114" t="s">
        <v>2941</v>
      </c>
      <c r="AD1424" s="1114">
        <f t="shared" si="190"/>
        <v>213.6</v>
      </c>
      <c r="AE1424" s="1114">
        <f t="shared" si="187"/>
        <v>0</v>
      </c>
    </row>
    <row r="1425" spans="6:31" ht="24" customHeight="1">
      <c r="H1425" s="1109"/>
      <c r="K1425" s="1111" t="s">
        <v>36</v>
      </c>
      <c r="M1425" s="1144">
        <v>2.79</v>
      </c>
      <c r="N1425" s="1114" t="s">
        <v>3236</v>
      </c>
      <c r="O1425" s="1103" t="s">
        <v>4369</v>
      </c>
      <c r="P1425" s="1114">
        <f>P1408</f>
        <v>301</v>
      </c>
      <c r="Q1425" s="1114" t="s">
        <v>3236</v>
      </c>
      <c r="R1425" s="1114">
        <f>P1425*M1425</f>
        <v>839.79</v>
      </c>
      <c r="S1425" s="1128">
        <v>12</v>
      </c>
      <c r="T1425" s="1114" t="s">
        <v>2941</v>
      </c>
      <c r="U1425" s="1103" t="s">
        <v>4335</v>
      </c>
      <c r="V1425" s="1114">
        <f>P1464</f>
        <v>66.599999999999994</v>
      </c>
      <c r="W1425" s="1114" t="s">
        <v>2941</v>
      </c>
      <c r="X1425" s="1114">
        <f t="shared" si="192"/>
        <v>799.19999999999993</v>
      </c>
      <c r="Y1425" s="1144">
        <v>4</v>
      </c>
      <c r="Z1425" s="1114" t="s">
        <v>2941</v>
      </c>
      <c r="AA1425" s="1103" t="s">
        <v>4340</v>
      </c>
      <c r="AB1425" s="1114">
        <f t="shared" si="191"/>
        <v>30</v>
      </c>
      <c r="AC1425" s="1114" t="s">
        <v>2941</v>
      </c>
      <c r="AD1425" s="1114">
        <f t="shared" si="190"/>
        <v>120</v>
      </c>
      <c r="AE1425" s="1114">
        <f t="shared" si="187"/>
        <v>0</v>
      </c>
    </row>
    <row r="1426" spans="6:31" ht="24" customHeight="1">
      <c r="H1426" s="1118" t="s">
        <v>3154</v>
      </c>
      <c r="I1426" s="1119"/>
      <c r="J1426" s="1136"/>
      <c r="K1426" s="1115">
        <f>(K1424/10)</f>
        <v>255.69860000000003</v>
      </c>
      <c r="M1426" s="1144">
        <v>0.5</v>
      </c>
      <c r="N1426" s="1114" t="s">
        <v>3236</v>
      </c>
      <c r="O1426" s="1103" t="s">
        <v>4324</v>
      </c>
      <c r="P1426" s="1114">
        <f t="shared" ref="P1426:P1436" si="193">P1409</f>
        <v>301</v>
      </c>
      <c r="Q1426" s="1114" t="s">
        <v>3236</v>
      </c>
      <c r="R1426" s="1114">
        <f t="shared" ref="R1426:R1436" si="194">P1426*M1426</f>
        <v>150.5</v>
      </c>
      <c r="S1426" s="1128">
        <v>6</v>
      </c>
      <c r="T1426" s="1114" t="s">
        <v>2941</v>
      </c>
      <c r="U1426" s="1103" t="s">
        <v>4337</v>
      </c>
      <c r="V1426" s="1114">
        <f>P1465</f>
        <v>53.4</v>
      </c>
      <c r="W1426" s="1114" t="s">
        <v>2941</v>
      </c>
      <c r="X1426" s="1114">
        <f t="shared" si="192"/>
        <v>320.39999999999998</v>
      </c>
      <c r="Y1426" s="1144">
        <v>4</v>
      </c>
      <c r="Z1426" s="1114" t="s">
        <v>2941</v>
      </c>
      <c r="AA1426" s="1103" t="s">
        <v>4341</v>
      </c>
      <c r="AB1426" s="1114">
        <f t="shared" si="191"/>
        <v>20</v>
      </c>
      <c r="AC1426" s="1114" t="s">
        <v>2941</v>
      </c>
      <c r="AD1426" s="1114">
        <f t="shared" si="190"/>
        <v>80</v>
      </c>
      <c r="AE1426" s="1114">
        <f t="shared" si="187"/>
        <v>0</v>
      </c>
    </row>
    <row r="1427" spans="6:31" ht="24" customHeight="1">
      <c r="K1427" s="1111" t="s">
        <v>2793</v>
      </c>
      <c r="M1427" s="1144">
        <v>2.85</v>
      </c>
      <c r="N1427" s="1114" t="s">
        <v>3236</v>
      </c>
      <c r="O1427" s="1103" t="s">
        <v>4324</v>
      </c>
      <c r="P1427" s="1114">
        <f t="shared" si="193"/>
        <v>301</v>
      </c>
      <c r="Q1427" s="1114" t="s">
        <v>3236</v>
      </c>
      <c r="R1427" s="1114">
        <f t="shared" si="194"/>
        <v>857.85</v>
      </c>
      <c r="S1427" s="1128">
        <v>6</v>
      </c>
      <c r="T1427" s="1114" t="s">
        <v>2941</v>
      </c>
      <c r="U1427" s="1103" t="s">
        <v>4340</v>
      </c>
      <c r="V1427" s="1114">
        <v>30</v>
      </c>
      <c r="W1427" s="1114" t="s">
        <v>2941</v>
      </c>
      <c r="X1427" s="1114">
        <f t="shared" si="192"/>
        <v>180</v>
      </c>
      <c r="Y1427" s="1144">
        <v>4</v>
      </c>
      <c r="Z1427" s="1114" t="s">
        <v>2941</v>
      </c>
      <c r="AA1427" s="1103" t="s">
        <v>4342</v>
      </c>
      <c r="AB1427" s="1114">
        <f t="shared" si="191"/>
        <v>15</v>
      </c>
      <c r="AC1427" s="1114" t="s">
        <v>2941</v>
      </c>
      <c r="AD1427" s="1114">
        <f t="shared" si="190"/>
        <v>60</v>
      </c>
      <c r="AE1427" s="1114">
        <f t="shared" si="187"/>
        <v>0</v>
      </c>
    </row>
    <row r="1428" spans="6:31" ht="24" customHeight="1">
      <c r="M1428" s="1144">
        <v>0.5</v>
      </c>
      <c r="N1428" s="1114" t="s">
        <v>3236</v>
      </c>
      <c r="O1428" s="1103" t="s">
        <v>4324</v>
      </c>
      <c r="P1428" s="1114">
        <f t="shared" si="193"/>
        <v>301</v>
      </c>
      <c r="Q1428" s="1114" t="s">
        <v>3236</v>
      </c>
      <c r="R1428" s="1114">
        <f t="shared" si="194"/>
        <v>150.5</v>
      </c>
      <c r="S1428" s="1128">
        <v>6</v>
      </c>
      <c r="T1428" s="1114" t="s">
        <v>2941</v>
      </c>
      <c r="U1428" s="1103" t="s">
        <v>4341</v>
      </c>
      <c r="V1428" s="1114">
        <v>20</v>
      </c>
      <c r="W1428" s="1114" t="s">
        <v>2941</v>
      </c>
      <c r="X1428" s="1114">
        <f t="shared" si="192"/>
        <v>120</v>
      </c>
      <c r="Y1428" s="1144">
        <v>1.08</v>
      </c>
      <c r="Z1428" s="1114" t="s">
        <v>37</v>
      </c>
      <c r="AA1428" s="1103" t="s">
        <v>4343</v>
      </c>
      <c r="AB1428" s="1114">
        <f t="shared" si="191"/>
        <v>1724</v>
      </c>
      <c r="AC1428" s="1114" t="s">
        <v>37</v>
      </c>
      <c r="AD1428" s="1114">
        <f t="shared" si="190"/>
        <v>1861.92</v>
      </c>
      <c r="AE1428" s="1114">
        <f t="shared" si="187"/>
        <v>0</v>
      </c>
    </row>
    <row r="1429" spans="6:31" ht="24" customHeight="1">
      <c r="G1429" s="1114" t="s">
        <v>1363</v>
      </c>
      <c r="H1429" s="1103" t="s">
        <v>4377</v>
      </c>
      <c r="M1429" s="1144">
        <v>0.47099999999999997</v>
      </c>
      <c r="N1429" s="1114" t="s">
        <v>833</v>
      </c>
      <c r="O1429" s="1103" t="s">
        <v>4330</v>
      </c>
      <c r="P1429" s="1114">
        <f t="shared" si="193"/>
        <v>208.8</v>
      </c>
      <c r="Q1429" s="1114" t="s">
        <v>833</v>
      </c>
      <c r="R1429" s="1114">
        <f t="shared" si="194"/>
        <v>98.344800000000006</v>
      </c>
      <c r="S1429" s="1128">
        <v>4</v>
      </c>
      <c r="T1429" s="1114" t="s">
        <v>2941</v>
      </c>
      <c r="U1429" s="1103" t="s">
        <v>4342</v>
      </c>
      <c r="V1429" s="1114">
        <v>15</v>
      </c>
      <c r="W1429" s="1114" t="s">
        <v>2941</v>
      </c>
      <c r="X1429" s="1114">
        <f t="shared" si="192"/>
        <v>60</v>
      </c>
      <c r="AA1429" s="1103" t="s">
        <v>4345</v>
      </c>
      <c r="AC1429" s="1109"/>
      <c r="AD1429" s="1114">
        <v>0.96</v>
      </c>
      <c r="AE1429" s="1114">
        <f t="shared" si="187"/>
        <v>0</v>
      </c>
    </row>
    <row r="1430" spans="6:31" ht="24" customHeight="1">
      <c r="H1430" s="1103" t="s">
        <v>4378</v>
      </c>
      <c r="M1430" s="1144">
        <v>3.996</v>
      </c>
      <c r="N1430" s="1114" t="s">
        <v>61</v>
      </c>
      <c r="O1430" s="1103" t="s">
        <v>4370</v>
      </c>
      <c r="P1430" s="1114">
        <f t="shared" si="193"/>
        <v>28.8</v>
      </c>
      <c r="Q1430" s="1114" t="s">
        <v>61</v>
      </c>
      <c r="R1430" s="1114">
        <f t="shared" si="194"/>
        <v>115.0848</v>
      </c>
      <c r="S1430" s="1128">
        <f>1.5*1.35</f>
        <v>2.0250000000000004</v>
      </c>
      <c r="T1430" s="1114" t="s">
        <v>37</v>
      </c>
      <c r="U1430" s="1103" t="s">
        <v>4343</v>
      </c>
      <c r="V1430" s="1114">
        <f>P1469</f>
        <v>1724</v>
      </c>
      <c r="W1430" s="1114" t="s">
        <v>37</v>
      </c>
      <c r="X1430" s="1114">
        <f t="shared" si="192"/>
        <v>3491.1000000000008</v>
      </c>
      <c r="AA1430" s="1113" t="s">
        <v>4347</v>
      </c>
      <c r="AD1430" s="1115">
        <f>SUM(AD1417:AD1429)</f>
        <v>6842.6616400000012</v>
      </c>
      <c r="AE1430" s="1114">
        <f t="shared" si="187"/>
        <v>0</v>
      </c>
    </row>
    <row r="1431" spans="6:31" ht="24" customHeight="1">
      <c r="H1431" s="1103" t="s">
        <v>4379</v>
      </c>
      <c r="M1431" s="1144">
        <v>4</v>
      </c>
      <c r="N1431" s="1114" t="s">
        <v>2941</v>
      </c>
      <c r="O1431" s="1103" t="s">
        <v>4371</v>
      </c>
      <c r="P1431" s="1114">
        <f t="shared" si="193"/>
        <v>66.599999999999994</v>
      </c>
      <c r="Q1431" s="1114" t="s">
        <v>2941</v>
      </c>
      <c r="R1431" s="1114">
        <f t="shared" si="194"/>
        <v>266.39999999999998</v>
      </c>
      <c r="U1431" s="1103" t="s">
        <v>4345</v>
      </c>
      <c r="W1431" s="1109"/>
      <c r="X1431" s="1114">
        <v>0.31</v>
      </c>
      <c r="AE1431" s="1114">
        <f t="shared" si="187"/>
        <v>0</v>
      </c>
    </row>
    <row r="1432" spans="6:31" ht="24" customHeight="1">
      <c r="H1432" s="1111" t="s">
        <v>36</v>
      </c>
      <c r="M1432" s="1144">
        <v>2</v>
      </c>
      <c r="N1432" s="1114" t="s">
        <v>2941</v>
      </c>
      <c r="O1432" s="1103" t="s">
        <v>4362</v>
      </c>
      <c r="P1432" s="1114">
        <f t="shared" si="193"/>
        <v>53.4</v>
      </c>
      <c r="Q1432" s="1114" t="s">
        <v>2941</v>
      </c>
      <c r="R1432" s="1114">
        <f t="shared" si="194"/>
        <v>106.8</v>
      </c>
      <c r="U1432" s="1113" t="s">
        <v>4347</v>
      </c>
      <c r="X1432" s="1115">
        <f>SUM(X1419:X1431)</f>
        <v>11636.222000000002</v>
      </c>
      <c r="AE1432" s="1114">
        <f t="shared" si="187"/>
        <v>0</v>
      </c>
    </row>
    <row r="1433" spans="6:31" ht="24" customHeight="1">
      <c r="F1433" s="1114">
        <v>0.14000000000000001</v>
      </c>
      <c r="G1433" s="1114" t="s">
        <v>2839</v>
      </c>
      <c r="H1433" s="1103" t="s">
        <v>2921</v>
      </c>
      <c r="I1433" s="1114">
        <f>(K32)</f>
        <v>4795.8599999999997</v>
      </c>
      <c r="J1433" s="1103" t="s">
        <v>2839</v>
      </c>
      <c r="K1433" s="1114">
        <f>(F1433*I1433)</f>
        <v>671.42039999999997</v>
      </c>
      <c r="M1433" s="1144">
        <v>2</v>
      </c>
      <c r="N1433" s="1114" t="s">
        <v>2941</v>
      </c>
      <c r="O1433" s="1103" t="s">
        <v>4340</v>
      </c>
      <c r="P1433" s="1114">
        <f t="shared" si="193"/>
        <v>30</v>
      </c>
      <c r="Q1433" s="1114" t="s">
        <v>2941</v>
      </c>
      <c r="R1433" s="1114">
        <f t="shared" si="194"/>
        <v>60</v>
      </c>
      <c r="U1433" s="1105">
        <f>2.025</f>
        <v>2.0249999999999999</v>
      </c>
      <c r="Y1433" s="1108"/>
      <c r="AA1433" s="1167" t="s">
        <v>4380</v>
      </c>
      <c r="AB1433" s="1119" t="s">
        <v>4381</v>
      </c>
      <c r="AC1433" s="1119"/>
      <c r="AD1433" s="1119"/>
      <c r="AE1433" s="1114">
        <f t="shared" si="187"/>
        <v>0</v>
      </c>
    </row>
    <row r="1434" spans="6:31" ht="24" customHeight="1">
      <c r="F1434" s="1114">
        <v>1.1000000000000001</v>
      </c>
      <c r="G1434" s="1114" t="s">
        <v>2838</v>
      </c>
      <c r="H1434" s="1103" t="s">
        <v>3051</v>
      </c>
      <c r="I1434" s="1114">
        <f>(C10)</f>
        <v>861</v>
      </c>
      <c r="J1434" s="1103" t="s">
        <v>2838</v>
      </c>
      <c r="K1434" s="1114">
        <f>(F1434*I1434)</f>
        <v>947.1</v>
      </c>
      <c r="M1434" s="1144">
        <v>2</v>
      </c>
      <c r="N1434" s="1114" t="s">
        <v>2941</v>
      </c>
      <c r="O1434" s="1103" t="s">
        <v>4341</v>
      </c>
      <c r="P1434" s="1114">
        <f t="shared" si="193"/>
        <v>20</v>
      </c>
      <c r="Q1434" s="1114" t="s">
        <v>2941</v>
      </c>
      <c r="R1434" s="1114">
        <f t="shared" si="194"/>
        <v>40</v>
      </c>
      <c r="Y1434" s="1128">
        <v>4.21</v>
      </c>
      <c r="Z1434" s="1114" t="s">
        <v>3236</v>
      </c>
      <c r="AA1434" s="1103" t="s">
        <v>4324</v>
      </c>
      <c r="AB1434" s="1114">
        <f>V1436</f>
        <v>301</v>
      </c>
      <c r="AC1434" s="1114" t="s">
        <v>3236</v>
      </c>
      <c r="AD1434" s="1114">
        <f>AB1434*Y1434</f>
        <v>1267.21</v>
      </c>
      <c r="AE1434" s="1114">
        <f t="shared" si="187"/>
        <v>0</v>
      </c>
    </row>
    <row r="1435" spans="6:31" ht="24" customHeight="1">
      <c r="F1435" s="1114">
        <v>0.5</v>
      </c>
      <c r="G1435" s="1114" t="s">
        <v>2838</v>
      </c>
      <c r="H1435" s="1103" t="s">
        <v>3020</v>
      </c>
      <c r="I1435" s="1114">
        <f>(C12)</f>
        <v>562</v>
      </c>
      <c r="J1435" s="1103" t="s">
        <v>2838</v>
      </c>
      <c r="K1435" s="1114">
        <f>(F1435*I1435)</f>
        <v>281</v>
      </c>
      <c r="M1435" s="1144">
        <v>4</v>
      </c>
      <c r="N1435" s="1114" t="s">
        <v>2941</v>
      </c>
      <c r="O1435" s="1103" t="s">
        <v>4342</v>
      </c>
      <c r="P1435" s="1114">
        <f t="shared" si="193"/>
        <v>15</v>
      </c>
      <c r="Q1435" s="1114" t="s">
        <v>2941</v>
      </c>
      <c r="R1435" s="1114">
        <f t="shared" si="194"/>
        <v>60</v>
      </c>
      <c r="U1435" s="1167" t="s">
        <v>4382</v>
      </c>
      <c r="V1435" s="1119" t="s">
        <v>4381</v>
      </c>
      <c r="W1435" s="1119"/>
      <c r="X1435" s="1119"/>
      <c r="Y1435" s="1128">
        <v>0.40500000000000003</v>
      </c>
      <c r="Z1435" s="1114" t="s">
        <v>833</v>
      </c>
      <c r="AA1435" s="1103" t="s">
        <v>4330</v>
      </c>
      <c r="AB1435" s="1114">
        <f>V1437</f>
        <v>208.8</v>
      </c>
      <c r="AC1435" s="1114" t="s">
        <v>3236</v>
      </c>
      <c r="AD1435" s="1114">
        <f>AB1435*Y1435</f>
        <v>84.564000000000007</v>
      </c>
      <c r="AE1435" s="1114">
        <f t="shared" si="187"/>
        <v>0</v>
      </c>
    </row>
    <row r="1436" spans="6:31" ht="24" customHeight="1">
      <c r="F1436" s="1114">
        <v>1.1000000000000001</v>
      </c>
      <c r="G1436" s="1114" t="s">
        <v>2838</v>
      </c>
      <c r="H1436" s="1103" t="s">
        <v>3026</v>
      </c>
      <c r="I1436" s="1114">
        <f>(C13)</f>
        <v>461</v>
      </c>
      <c r="J1436" s="1103" t="s">
        <v>2838</v>
      </c>
      <c r="K1436" s="1114">
        <f>(F1436*I1436)</f>
        <v>507.1</v>
      </c>
      <c r="M1436" s="1144">
        <v>0.60799999999999998</v>
      </c>
      <c r="N1436" s="1114" t="s">
        <v>37</v>
      </c>
      <c r="O1436" s="1103" t="s">
        <v>4343</v>
      </c>
      <c r="P1436" s="1114">
        <f t="shared" si="193"/>
        <v>1724</v>
      </c>
      <c r="Q1436" s="1114" t="s">
        <v>37</v>
      </c>
      <c r="R1436" s="1114">
        <f t="shared" si="194"/>
        <v>1048.192</v>
      </c>
      <c r="S1436" s="1128">
        <v>3.7389999999999999</v>
      </c>
      <c r="T1436" s="1114" t="s">
        <v>3236</v>
      </c>
      <c r="U1436" s="1103" t="s">
        <v>4324</v>
      </c>
      <c r="V1436" s="1114">
        <f>P1475</f>
        <v>301</v>
      </c>
      <c r="W1436" s="1114" t="s">
        <v>3236</v>
      </c>
      <c r="X1436" s="1114">
        <f>V1436*S1436</f>
        <v>1125.4389999999999</v>
      </c>
      <c r="Y1436" s="1128">
        <v>0.40500000000000003</v>
      </c>
      <c r="Z1436" s="1114" t="s">
        <v>833</v>
      </c>
      <c r="AA1436" s="1103" t="s">
        <v>4343</v>
      </c>
      <c r="AB1436" s="1114">
        <f>V1438</f>
        <v>1724</v>
      </c>
      <c r="AC1436" s="1114" t="s">
        <v>3236</v>
      </c>
      <c r="AD1436" s="1114">
        <f>AB1436*Y1436</f>
        <v>698.22</v>
      </c>
      <c r="AE1436" s="1114">
        <f t="shared" si="187"/>
        <v>0</v>
      </c>
    </row>
    <row r="1437" spans="6:31" ht="24" customHeight="1">
      <c r="F1437" s="1114">
        <v>2</v>
      </c>
      <c r="G1437" s="1114" t="s">
        <v>165</v>
      </c>
      <c r="H1437" s="1103" t="s">
        <v>4383</v>
      </c>
      <c r="I1437" s="1114">
        <f>(C653)</f>
        <v>42.3</v>
      </c>
      <c r="J1437" s="1103" t="s">
        <v>165</v>
      </c>
      <c r="K1437" s="1114">
        <f>(F1437*I1437)</f>
        <v>84.6</v>
      </c>
      <c r="O1437" s="1103" t="s">
        <v>4345</v>
      </c>
      <c r="Q1437" s="1109"/>
      <c r="R1437" s="1114">
        <v>0.57999999999999996</v>
      </c>
      <c r="S1437" s="1128">
        <v>0.36</v>
      </c>
      <c r="T1437" s="1114" t="s">
        <v>833</v>
      </c>
      <c r="U1437" s="1103" t="s">
        <v>4330</v>
      </c>
      <c r="V1437" s="1114">
        <f>P1476</f>
        <v>208.8</v>
      </c>
      <c r="W1437" s="1114" t="s">
        <v>3236</v>
      </c>
      <c r="X1437" s="1114">
        <f>V1437*S1437</f>
        <v>75.168000000000006</v>
      </c>
      <c r="Y1437" s="1128"/>
      <c r="Z1437" s="1114"/>
      <c r="AA1437" s="1103"/>
      <c r="AB1437" s="1114"/>
      <c r="AC1437" s="1114"/>
      <c r="AD1437" s="1114">
        <f>SUM(AD1434:AD1436)</f>
        <v>2049.9940000000001</v>
      </c>
      <c r="AE1437" s="1114">
        <f t="shared" si="187"/>
        <v>0</v>
      </c>
    </row>
    <row r="1438" spans="6:31" ht="24" customHeight="1">
      <c r="G1438" s="1114" t="s">
        <v>2851</v>
      </c>
      <c r="H1438" s="1103" t="s">
        <v>2852</v>
      </c>
      <c r="I1438" s="1103" t="s">
        <v>220</v>
      </c>
      <c r="J1438" s="1103" t="s">
        <v>2851</v>
      </c>
      <c r="K1438" s="1114">
        <v>5</v>
      </c>
      <c r="R1438" s="1115">
        <f>SUM(R1425:R1437)</f>
        <v>3794.0416</v>
      </c>
      <c r="S1438" s="1128">
        <v>0.36</v>
      </c>
      <c r="T1438" s="1114" t="s">
        <v>833</v>
      </c>
      <c r="U1438" s="1103" t="s">
        <v>4343</v>
      </c>
      <c r="V1438" s="1114">
        <f>P1477</f>
        <v>1724</v>
      </c>
      <c r="W1438" s="1114" t="s">
        <v>3236</v>
      </c>
      <c r="X1438" s="1114">
        <f>V1438*S1438</f>
        <v>620.64</v>
      </c>
      <c r="Y1438" s="1128"/>
      <c r="Z1438" s="1114"/>
      <c r="AA1438" s="1113" t="s">
        <v>4384</v>
      </c>
      <c r="AB1438" s="1114"/>
      <c r="AC1438" s="1114"/>
      <c r="AD1438" s="1115">
        <f>AD1437/Y1436</f>
        <v>5061.7135802469138</v>
      </c>
      <c r="AE1438" s="1114">
        <f t="shared" si="187"/>
        <v>0</v>
      </c>
    </row>
    <row r="1439" spans="6:31" ht="24" customHeight="1">
      <c r="K1439" s="1111" t="s">
        <v>36</v>
      </c>
      <c r="M1439" s="1114"/>
      <c r="N1439" s="1114"/>
      <c r="O1439" s="1103"/>
      <c r="P1439" s="1114"/>
      <c r="Q1439" s="1104"/>
      <c r="R1439" s="1114"/>
      <c r="S1439" s="1128"/>
      <c r="T1439" s="1114"/>
      <c r="U1439" s="1103"/>
      <c r="V1439" s="1114"/>
      <c r="W1439" s="1114"/>
      <c r="X1439" s="1114">
        <f>SUM(X1436:X1438)</f>
        <v>1821.2469999999998</v>
      </c>
      <c r="AE1439" s="1114">
        <f t="shared" si="187"/>
        <v>0</v>
      </c>
    </row>
    <row r="1440" spans="6:31" ht="24" customHeight="1">
      <c r="F1440" s="1103" t="s">
        <v>220</v>
      </c>
      <c r="H1440" s="1103" t="s">
        <v>3152</v>
      </c>
      <c r="K1440" s="1114">
        <f>SUM(K1433:K1438)</f>
        <v>2496.2203999999997</v>
      </c>
      <c r="O1440" s="1167" t="s">
        <v>4385</v>
      </c>
      <c r="Q1440" s="1107"/>
      <c r="S1440" s="1128"/>
      <c r="T1440" s="1114"/>
      <c r="U1440" s="1113" t="s">
        <v>4384</v>
      </c>
      <c r="V1440" s="1114"/>
      <c r="W1440" s="1114"/>
      <c r="X1440" s="1115">
        <f>X1439/S1438</f>
        <v>5059.0194444444442</v>
      </c>
      <c r="AE1440" s="1114">
        <f t="shared" si="187"/>
        <v>0</v>
      </c>
    </row>
    <row r="1441" spans="6:31" ht="24" customHeight="1">
      <c r="H1441" s="1119"/>
      <c r="I1441" s="1119"/>
      <c r="J1441" s="1136"/>
      <c r="K1441" s="1138" t="s">
        <v>36</v>
      </c>
      <c r="M1441" s="1144">
        <v>5.35</v>
      </c>
      <c r="N1441" s="1114" t="s">
        <v>3236</v>
      </c>
      <c r="O1441" s="1103" t="s">
        <v>4369</v>
      </c>
      <c r="P1441" s="1114">
        <f>P1425</f>
        <v>301</v>
      </c>
      <c r="Q1441" s="1114" t="s">
        <v>3236</v>
      </c>
      <c r="R1441" s="1114">
        <f>P1441*M1441</f>
        <v>1610.35</v>
      </c>
      <c r="AE1441" s="1114">
        <f t="shared" si="187"/>
        <v>0</v>
      </c>
    </row>
    <row r="1442" spans="6:31" ht="24" customHeight="1">
      <c r="H1442" s="1118" t="s">
        <v>3154</v>
      </c>
      <c r="I1442" s="1119"/>
      <c r="J1442" s="1136"/>
      <c r="K1442" s="1115">
        <f>(K1440/10)</f>
        <v>249.62203999999997</v>
      </c>
      <c r="M1442" s="1144">
        <v>7.58</v>
      </c>
      <c r="N1442" s="1114" t="s">
        <v>3236</v>
      </c>
      <c r="O1442" s="1103" t="s">
        <v>4324</v>
      </c>
      <c r="P1442" s="1114">
        <f t="shared" ref="P1442:P1452" si="195">P1426</f>
        <v>301</v>
      </c>
      <c r="Q1442" s="1114" t="s">
        <v>3236</v>
      </c>
      <c r="R1442" s="1114">
        <f t="shared" ref="R1442:R1452" si="196">P1442*M1442</f>
        <v>2281.58</v>
      </c>
      <c r="U1442" s="1167" t="s">
        <v>4386</v>
      </c>
      <c r="V1442" s="1119" t="s">
        <v>4381</v>
      </c>
      <c r="W1442" s="1107"/>
      <c r="AE1442" s="1114">
        <f t="shared" si="187"/>
        <v>0</v>
      </c>
    </row>
    <row r="1443" spans="6:31" ht="24" customHeight="1">
      <c r="K1443" s="1111" t="s">
        <v>2793</v>
      </c>
      <c r="M1443" s="1144">
        <v>13.15</v>
      </c>
      <c r="N1443" s="1114" t="s">
        <v>3236</v>
      </c>
      <c r="O1443" s="1103" t="s">
        <v>4324</v>
      </c>
      <c r="P1443" s="1114">
        <f t="shared" si="195"/>
        <v>301</v>
      </c>
      <c r="Q1443" s="1114" t="s">
        <v>3236</v>
      </c>
      <c r="R1443" s="1114">
        <f t="shared" si="196"/>
        <v>3958.15</v>
      </c>
      <c r="S1443" s="1128">
        <v>4.21</v>
      </c>
      <c r="T1443" s="1114" t="s">
        <v>3236</v>
      </c>
      <c r="U1443" s="1103" t="s">
        <v>4324</v>
      </c>
      <c r="V1443" s="1114">
        <f>P1482</f>
        <v>301</v>
      </c>
      <c r="W1443" s="1114" t="s">
        <v>3236</v>
      </c>
      <c r="X1443" s="1114">
        <f>V1443*S1443</f>
        <v>1267.21</v>
      </c>
      <c r="AE1443" s="1114">
        <f t="shared" si="187"/>
        <v>0</v>
      </c>
    </row>
    <row r="1444" spans="6:31" ht="24" customHeight="1">
      <c r="H1444" s="1103" t="s">
        <v>220</v>
      </c>
      <c r="M1444" s="1144">
        <v>2.31</v>
      </c>
      <c r="N1444" s="1114" t="s">
        <v>3236</v>
      </c>
      <c r="O1444" s="1103" t="s">
        <v>4324</v>
      </c>
      <c r="P1444" s="1114">
        <f t="shared" si="195"/>
        <v>301</v>
      </c>
      <c r="Q1444" s="1114" t="s">
        <v>3236</v>
      </c>
      <c r="R1444" s="1114">
        <f t="shared" si="196"/>
        <v>695.31000000000006</v>
      </c>
      <c r="S1444" s="1128">
        <v>0.45</v>
      </c>
      <c r="T1444" s="1114" t="s">
        <v>833</v>
      </c>
      <c r="U1444" s="1103" t="s">
        <v>4330</v>
      </c>
      <c r="V1444" s="1114">
        <f>P1483</f>
        <v>208.8</v>
      </c>
      <c r="W1444" s="1114" t="s">
        <v>3236</v>
      </c>
      <c r="X1444" s="1114">
        <f>V1444*S1444</f>
        <v>93.960000000000008</v>
      </c>
      <c r="AE1444" s="1114">
        <f t="shared" si="187"/>
        <v>0</v>
      </c>
    </row>
    <row r="1445" spans="6:31" ht="24" customHeight="1">
      <c r="M1445" s="1144">
        <v>2.44</v>
      </c>
      <c r="N1445" s="1114" t="s">
        <v>833</v>
      </c>
      <c r="O1445" s="1103" t="s">
        <v>4330</v>
      </c>
      <c r="P1445" s="1114">
        <f t="shared" si="195"/>
        <v>208.8</v>
      </c>
      <c r="Q1445" s="1114" t="s">
        <v>833</v>
      </c>
      <c r="R1445" s="1114">
        <f t="shared" si="196"/>
        <v>509.47200000000004</v>
      </c>
      <c r="S1445" s="1128">
        <v>0.45</v>
      </c>
      <c r="T1445" s="1114" t="s">
        <v>833</v>
      </c>
      <c r="U1445" s="1103" t="s">
        <v>4343</v>
      </c>
      <c r="V1445" s="1114">
        <f>P1484</f>
        <v>1724</v>
      </c>
      <c r="W1445" s="1114" t="s">
        <v>3236</v>
      </c>
      <c r="X1445" s="1114">
        <f>V1445*S1445</f>
        <v>775.80000000000007</v>
      </c>
      <c r="AE1445" s="1114">
        <f t="shared" si="187"/>
        <v>0</v>
      </c>
    </row>
    <row r="1446" spans="6:31" ht="24" customHeight="1">
      <c r="F1446" s="1104" t="s">
        <v>4387</v>
      </c>
      <c r="G1446" s="1114" t="s">
        <v>1363</v>
      </c>
      <c r="H1446" s="1103" t="s">
        <v>4388</v>
      </c>
      <c r="M1446" s="1144">
        <v>18.62</v>
      </c>
      <c r="N1446" s="1114" t="s">
        <v>61</v>
      </c>
      <c r="O1446" s="1103" t="s">
        <v>4370</v>
      </c>
      <c r="P1446" s="1114">
        <f t="shared" si="195"/>
        <v>28.8</v>
      </c>
      <c r="Q1446" s="1114" t="s">
        <v>61</v>
      </c>
      <c r="R1446" s="1114">
        <f t="shared" si="196"/>
        <v>536.25600000000009</v>
      </c>
      <c r="S1446" s="1128">
        <f>R1485-2967</f>
        <v>709.25799999999981</v>
      </c>
      <c r="T1446" s="1114"/>
      <c r="U1446" s="1103"/>
      <c r="V1446" s="1114"/>
      <c r="W1446" s="1114"/>
      <c r="X1446" s="1114">
        <f>SUM(X1443:X1445)</f>
        <v>2136.9700000000003</v>
      </c>
      <c r="AE1446" s="1114">
        <f t="shared" si="187"/>
        <v>0</v>
      </c>
    </row>
    <row r="1447" spans="6:31" ht="24" customHeight="1">
      <c r="H1447" s="1103" t="s">
        <v>4389</v>
      </c>
      <c r="M1447" s="1144">
        <v>16</v>
      </c>
      <c r="N1447" s="1114" t="s">
        <v>2941</v>
      </c>
      <c r="O1447" s="1103" t="s">
        <v>4371</v>
      </c>
      <c r="P1447" s="1114">
        <f t="shared" si="195"/>
        <v>66.599999999999994</v>
      </c>
      <c r="Q1447" s="1114" t="s">
        <v>2941</v>
      </c>
      <c r="R1447" s="1114">
        <f t="shared" si="196"/>
        <v>1065.5999999999999</v>
      </c>
      <c r="S1447" s="1128"/>
      <c r="T1447" s="1114"/>
      <c r="U1447" s="1113" t="s">
        <v>4384</v>
      </c>
      <c r="V1447" s="1114"/>
      <c r="W1447" s="1114"/>
      <c r="X1447" s="1115">
        <f>X1446/S1445</f>
        <v>4748.822222222223</v>
      </c>
      <c r="Y1447" s="1108"/>
      <c r="AA1447" s="1167" t="s">
        <v>4390</v>
      </c>
      <c r="AC1447" s="1107"/>
      <c r="AE1447" s="1114">
        <f t="shared" si="187"/>
        <v>0</v>
      </c>
    </row>
    <row r="1448" spans="6:31" ht="24" customHeight="1">
      <c r="H1448" s="1103" t="s">
        <v>4391</v>
      </c>
      <c r="M1448" s="1144">
        <v>8</v>
      </c>
      <c r="N1448" s="1114" t="s">
        <v>2941</v>
      </c>
      <c r="O1448" s="1103" t="s">
        <v>4362</v>
      </c>
      <c r="P1448" s="1114">
        <f t="shared" si="195"/>
        <v>53.4</v>
      </c>
      <c r="Q1448" s="1114" t="s">
        <v>2941</v>
      </c>
      <c r="R1448" s="1114">
        <f t="shared" si="196"/>
        <v>427.2</v>
      </c>
      <c r="Y1448" s="1128">
        <v>3.26</v>
      </c>
      <c r="Z1448" s="1114" t="s">
        <v>3236</v>
      </c>
      <c r="AA1448" s="1103" t="s">
        <v>4324</v>
      </c>
      <c r="AB1448" s="1114">
        <f t="shared" ref="AB1448:AB1459" si="197">V1450</f>
        <v>301</v>
      </c>
      <c r="AC1448" s="1114" t="s">
        <v>3236</v>
      </c>
      <c r="AD1448" s="1114">
        <f t="shared" ref="AD1448:AD1459" si="198">AB1448*Y1448</f>
        <v>981.26</v>
      </c>
      <c r="AE1448" s="1114">
        <f t="shared" si="187"/>
        <v>0</v>
      </c>
    </row>
    <row r="1449" spans="6:31" ht="24" customHeight="1">
      <c r="H1449" s="1103" t="s">
        <v>4392</v>
      </c>
      <c r="M1449" s="1144">
        <v>8</v>
      </c>
      <c r="N1449" s="1114" t="s">
        <v>2941</v>
      </c>
      <c r="O1449" s="1103" t="s">
        <v>4340</v>
      </c>
      <c r="P1449" s="1114">
        <f t="shared" si="195"/>
        <v>30</v>
      </c>
      <c r="Q1449" s="1114" t="s">
        <v>2941</v>
      </c>
      <c r="R1449" s="1114">
        <f t="shared" si="196"/>
        <v>240</v>
      </c>
      <c r="U1449" s="1167" t="s">
        <v>4393</v>
      </c>
      <c r="W1449" s="1107"/>
      <c r="Y1449" s="1128">
        <v>0.84</v>
      </c>
      <c r="Z1449" s="1114" t="s">
        <v>3236</v>
      </c>
      <c r="AA1449" s="1103" t="s">
        <v>4324</v>
      </c>
      <c r="AB1449" s="1114">
        <f t="shared" si="197"/>
        <v>301</v>
      </c>
      <c r="AC1449" s="1114" t="s">
        <v>3236</v>
      </c>
      <c r="AD1449" s="1114">
        <f t="shared" si="198"/>
        <v>252.84</v>
      </c>
      <c r="AE1449" s="1114">
        <f t="shared" si="187"/>
        <v>0</v>
      </c>
    </row>
    <row r="1450" spans="6:31" ht="24" customHeight="1">
      <c r="H1450" s="1111" t="s">
        <v>36</v>
      </c>
      <c r="I1450" s="1111" t="s">
        <v>36</v>
      </c>
      <c r="M1450" s="1144">
        <v>8</v>
      </c>
      <c r="N1450" s="1114" t="s">
        <v>2941</v>
      </c>
      <c r="O1450" s="1103" t="s">
        <v>4341</v>
      </c>
      <c r="P1450" s="1114">
        <f t="shared" si="195"/>
        <v>20</v>
      </c>
      <c r="Q1450" s="1114" t="s">
        <v>2941</v>
      </c>
      <c r="R1450" s="1114">
        <f t="shared" si="196"/>
        <v>160</v>
      </c>
      <c r="S1450" s="1128">
        <v>3.49</v>
      </c>
      <c r="T1450" s="1114" t="s">
        <v>3236</v>
      </c>
      <c r="U1450" s="1103" t="s">
        <v>4324</v>
      </c>
      <c r="V1450" s="1114">
        <f>P1489</f>
        <v>301</v>
      </c>
      <c r="W1450" s="1114" t="s">
        <v>3236</v>
      </c>
      <c r="X1450" s="1114">
        <f>V1450*S1450</f>
        <v>1050.49</v>
      </c>
      <c r="Y1450" s="1128">
        <v>3.65</v>
      </c>
      <c r="Z1450" s="1114" t="s">
        <v>3236</v>
      </c>
      <c r="AA1450" s="1103" t="s">
        <v>4324</v>
      </c>
      <c r="AB1450" s="1114">
        <f t="shared" si="197"/>
        <v>301</v>
      </c>
      <c r="AC1450" s="1114" t="s">
        <v>3236</v>
      </c>
      <c r="AD1450" s="1114">
        <f t="shared" si="198"/>
        <v>1098.6499999999999</v>
      </c>
      <c r="AE1450" s="1114">
        <f t="shared" si="187"/>
        <v>0</v>
      </c>
    </row>
    <row r="1451" spans="6:31" ht="24" customHeight="1">
      <c r="G1451" s="1114" t="s">
        <v>3772</v>
      </c>
      <c r="H1451" s="1103" t="s">
        <v>4394</v>
      </c>
      <c r="M1451" s="1144">
        <v>4</v>
      </c>
      <c r="N1451" s="1114" t="s">
        <v>2941</v>
      </c>
      <c r="O1451" s="1103" t="s">
        <v>4342</v>
      </c>
      <c r="P1451" s="1114">
        <f t="shared" si="195"/>
        <v>15</v>
      </c>
      <c r="Q1451" s="1114" t="s">
        <v>2941</v>
      </c>
      <c r="R1451" s="1114">
        <f t="shared" si="196"/>
        <v>60</v>
      </c>
      <c r="S1451" s="1128">
        <v>2.5299999999999998</v>
      </c>
      <c r="T1451" s="1114" t="s">
        <v>3236</v>
      </c>
      <c r="U1451" s="1103" t="s">
        <v>4324</v>
      </c>
      <c r="V1451" s="1114">
        <f t="shared" ref="V1451:V1461" si="199">P1490</f>
        <v>301</v>
      </c>
      <c r="W1451" s="1114" t="s">
        <v>3236</v>
      </c>
      <c r="X1451" s="1114">
        <f t="shared" ref="X1451:X1461" si="200">V1451*S1451</f>
        <v>761.53</v>
      </c>
      <c r="Y1451" s="1128">
        <v>0.64</v>
      </c>
      <c r="Z1451" s="1114" t="s">
        <v>3236</v>
      </c>
      <c r="AA1451" s="1103" t="s">
        <v>4324</v>
      </c>
      <c r="AB1451" s="1114">
        <f t="shared" si="197"/>
        <v>301</v>
      </c>
      <c r="AC1451" s="1114" t="s">
        <v>3236</v>
      </c>
      <c r="AD1451" s="1114">
        <f t="shared" si="198"/>
        <v>192.64000000000001</v>
      </c>
      <c r="AE1451" s="1114">
        <f t="shared" si="187"/>
        <v>0</v>
      </c>
    </row>
    <row r="1452" spans="6:31" ht="24" customHeight="1">
      <c r="G1452" s="1114" t="s">
        <v>36</v>
      </c>
      <c r="H1452" s="1111" t="s">
        <v>36</v>
      </c>
      <c r="M1452" s="1144">
        <f>1.8*1.65</f>
        <v>2.9699999999999998</v>
      </c>
      <c r="N1452" s="1114" t="s">
        <v>37</v>
      </c>
      <c r="O1452" s="1103" t="s">
        <v>4343</v>
      </c>
      <c r="P1452" s="1114">
        <f t="shared" si="195"/>
        <v>1724</v>
      </c>
      <c r="Q1452" s="1114" t="s">
        <v>37</v>
      </c>
      <c r="R1452" s="1114">
        <f t="shared" si="196"/>
        <v>5120.28</v>
      </c>
      <c r="S1452" s="1128">
        <v>5.7549999999999999</v>
      </c>
      <c r="T1452" s="1114" t="s">
        <v>3236</v>
      </c>
      <c r="U1452" s="1103" t="s">
        <v>4324</v>
      </c>
      <c r="V1452" s="1114">
        <f t="shared" si="199"/>
        <v>301</v>
      </c>
      <c r="W1452" s="1114" t="s">
        <v>3236</v>
      </c>
      <c r="X1452" s="1114">
        <f t="shared" si="200"/>
        <v>1732.2549999999999</v>
      </c>
      <c r="Y1452" s="1128">
        <v>0.84099999999999997</v>
      </c>
      <c r="Z1452" s="1114" t="s">
        <v>833</v>
      </c>
      <c r="AA1452" s="1103" t="s">
        <v>4330</v>
      </c>
      <c r="AB1452" s="1114">
        <f t="shared" si="197"/>
        <v>208.8</v>
      </c>
      <c r="AC1452" s="1114" t="s">
        <v>833</v>
      </c>
      <c r="AD1452" s="1114">
        <f t="shared" si="198"/>
        <v>175.60079999999999</v>
      </c>
      <c r="AE1452" s="1114">
        <f t="shared" si="187"/>
        <v>0</v>
      </c>
    </row>
    <row r="1453" spans="6:31" ht="24" customHeight="1">
      <c r="F1453" s="1144">
        <v>1.4E-2</v>
      </c>
      <c r="G1453" s="1114" t="s">
        <v>16</v>
      </c>
      <c r="H1453" s="1103" t="s">
        <v>4395</v>
      </c>
      <c r="I1453" s="1114">
        <f>K49</f>
        <v>3651.54</v>
      </c>
      <c r="J1453" s="1103" t="s">
        <v>16</v>
      </c>
      <c r="K1453" s="1114">
        <f>(F1453*I1453)</f>
        <v>51.121560000000002</v>
      </c>
      <c r="O1453" s="1103" t="s">
        <v>4345</v>
      </c>
      <c r="Q1453" s="1109"/>
      <c r="R1453" s="1114">
        <v>0.78</v>
      </c>
      <c r="S1453" s="1128">
        <v>1.0009999999999999</v>
      </c>
      <c r="T1453" s="1114" t="s">
        <v>3236</v>
      </c>
      <c r="U1453" s="1103" t="s">
        <v>4324</v>
      </c>
      <c r="V1453" s="1114">
        <f t="shared" si="199"/>
        <v>301</v>
      </c>
      <c r="W1453" s="1114" t="s">
        <v>3236</v>
      </c>
      <c r="X1453" s="1114">
        <f t="shared" si="200"/>
        <v>301.30099999999999</v>
      </c>
      <c r="Y1453" s="1128">
        <v>5.1959999999999997</v>
      </c>
      <c r="Z1453" s="1114" t="s">
        <v>61</v>
      </c>
      <c r="AA1453" s="1103" t="s">
        <v>4333</v>
      </c>
      <c r="AB1453" s="1114">
        <f t="shared" si="197"/>
        <v>28.8</v>
      </c>
      <c r="AC1453" s="1114" t="s">
        <v>61</v>
      </c>
      <c r="AD1453" s="1114">
        <f t="shared" si="198"/>
        <v>149.6448</v>
      </c>
      <c r="AE1453" s="1114">
        <f t="shared" si="187"/>
        <v>0</v>
      </c>
    </row>
    <row r="1454" spans="6:31" ht="24" customHeight="1">
      <c r="F1454" s="1114">
        <v>0.3</v>
      </c>
      <c r="G1454" s="1114" t="s">
        <v>314</v>
      </c>
      <c r="H1454" s="1103" t="s">
        <v>4396</v>
      </c>
      <c r="I1454" s="1114">
        <f>C10</f>
        <v>861</v>
      </c>
      <c r="J1454" s="1103" t="s">
        <v>314</v>
      </c>
      <c r="K1454" s="1114">
        <f>(F1454*I1454)</f>
        <v>258.3</v>
      </c>
      <c r="R1454" s="1115">
        <f>SUM(R1441:R1453)</f>
        <v>16664.977999999999</v>
      </c>
      <c r="S1454" s="1128">
        <f>1.012</f>
        <v>1.012</v>
      </c>
      <c r="T1454" s="1114" t="s">
        <v>833</v>
      </c>
      <c r="U1454" s="1103" t="s">
        <v>4330</v>
      </c>
      <c r="V1454" s="1114">
        <f t="shared" si="199"/>
        <v>208.8</v>
      </c>
      <c r="W1454" s="1114" t="s">
        <v>833</v>
      </c>
      <c r="X1454" s="1114">
        <f t="shared" si="200"/>
        <v>211.30560000000003</v>
      </c>
      <c r="Y1454" s="1128">
        <v>4</v>
      </c>
      <c r="Z1454" s="1114" t="s">
        <v>2941</v>
      </c>
      <c r="AA1454" s="1103" t="s">
        <v>4335</v>
      </c>
      <c r="AB1454" s="1114">
        <f t="shared" si="197"/>
        <v>66.599999999999994</v>
      </c>
      <c r="AC1454" s="1114" t="s">
        <v>2941</v>
      </c>
      <c r="AD1454" s="1114">
        <f t="shared" si="198"/>
        <v>266.39999999999998</v>
      </c>
      <c r="AE1454" s="1114">
        <f t="shared" si="187"/>
        <v>0</v>
      </c>
    </row>
    <row r="1455" spans="6:31" ht="24" customHeight="1">
      <c r="F1455" s="1114">
        <v>0.3</v>
      </c>
      <c r="G1455" s="1114" t="s">
        <v>314</v>
      </c>
      <c r="H1455" s="1103" t="s">
        <v>3534</v>
      </c>
      <c r="I1455" s="1114">
        <f>C12</f>
        <v>562</v>
      </c>
      <c r="J1455" s="1103" t="s">
        <v>314</v>
      </c>
      <c r="K1455" s="1114">
        <f>(F1455*I1455)</f>
        <v>168.6</v>
      </c>
      <c r="R1455" s="1105">
        <f>R1454/M1452</f>
        <v>5611.103703703704</v>
      </c>
      <c r="S1455" s="1128" t="s">
        <v>37</v>
      </c>
      <c r="T1455" s="1114" t="s">
        <v>61</v>
      </c>
      <c r="U1455" s="1103" t="s">
        <v>4333</v>
      </c>
      <c r="V1455" s="1114">
        <f t="shared" si="199"/>
        <v>28.8</v>
      </c>
      <c r="W1455" s="1114" t="s">
        <v>61</v>
      </c>
      <c r="X1455" s="1114">
        <f t="shared" si="200"/>
        <v>0</v>
      </c>
      <c r="Y1455" s="1128">
        <v>2</v>
      </c>
      <c r="Z1455" s="1114" t="s">
        <v>2941</v>
      </c>
      <c r="AA1455" s="1103" t="s">
        <v>4337</v>
      </c>
      <c r="AB1455" s="1114">
        <f t="shared" si="197"/>
        <v>53.4</v>
      </c>
      <c r="AC1455" s="1114" t="s">
        <v>2941</v>
      </c>
      <c r="AD1455" s="1114">
        <f t="shared" si="198"/>
        <v>106.8</v>
      </c>
      <c r="AE1455" s="1114">
        <f t="shared" si="187"/>
        <v>0</v>
      </c>
    </row>
    <row r="1456" spans="6:31" ht="24" customHeight="1">
      <c r="G1456" s="1114" t="s">
        <v>2851</v>
      </c>
      <c r="H1456" s="1103" t="s">
        <v>234</v>
      </c>
      <c r="J1456" s="1103" t="s">
        <v>2851</v>
      </c>
      <c r="K1456" s="1105">
        <v>0</v>
      </c>
      <c r="S1456" s="1128">
        <v>8</v>
      </c>
      <c r="T1456" s="1114" t="s">
        <v>2941</v>
      </c>
      <c r="U1456" s="1103" t="s">
        <v>4335</v>
      </c>
      <c r="V1456" s="1114">
        <f t="shared" si="199"/>
        <v>66.599999999999994</v>
      </c>
      <c r="W1456" s="1114" t="s">
        <v>2941</v>
      </c>
      <c r="X1456" s="1114">
        <f t="shared" si="200"/>
        <v>532.79999999999995</v>
      </c>
      <c r="Y1456" s="1128">
        <v>2</v>
      </c>
      <c r="Z1456" s="1114" t="s">
        <v>2941</v>
      </c>
      <c r="AA1456" s="1103" t="s">
        <v>4340</v>
      </c>
      <c r="AB1456" s="1114">
        <f t="shared" si="197"/>
        <v>30</v>
      </c>
      <c r="AC1456" s="1114" t="s">
        <v>2941</v>
      </c>
      <c r="AD1456" s="1114">
        <f t="shared" si="198"/>
        <v>60</v>
      </c>
      <c r="AE1456" s="1114">
        <f t="shared" si="187"/>
        <v>0</v>
      </c>
    </row>
    <row r="1457" spans="6:31" ht="24" customHeight="1">
      <c r="K1457" s="1111" t="s">
        <v>36</v>
      </c>
      <c r="O1457" s="1167" t="s">
        <v>4397</v>
      </c>
      <c r="Q1457" s="1107"/>
      <c r="S1457" s="1128">
        <v>4</v>
      </c>
      <c r="T1457" s="1114" t="s">
        <v>2941</v>
      </c>
      <c r="U1457" s="1103" t="s">
        <v>4337</v>
      </c>
      <c r="V1457" s="1114">
        <f t="shared" si="199"/>
        <v>53.4</v>
      </c>
      <c r="W1457" s="1114" t="s">
        <v>2941</v>
      </c>
      <c r="X1457" s="1114">
        <f t="shared" si="200"/>
        <v>213.6</v>
      </c>
      <c r="Y1457" s="1128">
        <v>2</v>
      </c>
      <c r="Z1457" s="1114" t="s">
        <v>2941</v>
      </c>
      <c r="AA1457" s="1103" t="s">
        <v>4341</v>
      </c>
      <c r="AB1457" s="1114">
        <f t="shared" si="197"/>
        <v>20</v>
      </c>
      <c r="AC1457" s="1114" t="s">
        <v>2941</v>
      </c>
      <c r="AD1457" s="1114">
        <f t="shared" si="198"/>
        <v>40</v>
      </c>
      <c r="AE1457" s="1114">
        <f t="shared" si="187"/>
        <v>0</v>
      </c>
    </row>
    <row r="1458" spans="6:31" ht="24" customHeight="1">
      <c r="H1458" s="1104" t="s">
        <v>4398</v>
      </c>
      <c r="K1458" s="1114">
        <f>SUM(K1453:K1456)</f>
        <v>478.02156000000002</v>
      </c>
      <c r="M1458" s="1144">
        <v>10.75</v>
      </c>
      <c r="N1458" s="1114" t="s">
        <v>3236</v>
      </c>
      <c r="O1458" s="1103" t="s">
        <v>4369</v>
      </c>
      <c r="P1458" s="1114">
        <f>P1441</f>
        <v>301</v>
      </c>
      <c r="Q1458" s="1114" t="s">
        <v>3236</v>
      </c>
      <c r="R1458" s="1114">
        <f>P1458*M1458</f>
        <v>3235.75</v>
      </c>
      <c r="S1458" s="1128">
        <v>4</v>
      </c>
      <c r="T1458" s="1114" t="s">
        <v>2941</v>
      </c>
      <c r="U1458" s="1103" t="s">
        <v>4340</v>
      </c>
      <c r="V1458" s="1114">
        <f t="shared" si="199"/>
        <v>30</v>
      </c>
      <c r="W1458" s="1114" t="s">
        <v>2941</v>
      </c>
      <c r="X1458" s="1114">
        <f t="shared" si="200"/>
        <v>120</v>
      </c>
      <c r="Y1458" s="1128">
        <v>4</v>
      </c>
      <c r="Z1458" s="1114" t="s">
        <v>2941</v>
      </c>
      <c r="AA1458" s="1103" t="s">
        <v>4342</v>
      </c>
      <c r="AB1458" s="1114">
        <f t="shared" si="197"/>
        <v>15</v>
      </c>
      <c r="AC1458" s="1114" t="s">
        <v>2941</v>
      </c>
      <c r="AD1458" s="1114">
        <f t="shared" si="198"/>
        <v>60</v>
      </c>
      <c r="AE1458" s="1114">
        <f t="shared" si="187"/>
        <v>0</v>
      </c>
    </row>
    <row r="1459" spans="6:31" ht="24" customHeight="1">
      <c r="K1459" s="1111" t="s">
        <v>36</v>
      </c>
      <c r="M1459" s="1144">
        <v>0.99199999999999999</v>
      </c>
      <c r="N1459" s="1114" t="s">
        <v>3236</v>
      </c>
      <c r="O1459" s="1103" t="s">
        <v>4324</v>
      </c>
      <c r="P1459" s="1114">
        <f t="shared" ref="P1459:P1469" si="201">P1442</f>
        <v>301</v>
      </c>
      <c r="Q1459" s="1114" t="s">
        <v>3236</v>
      </c>
      <c r="R1459" s="1114">
        <f t="shared" ref="R1459:R1469" si="202">P1459*M1459</f>
        <v>298.59199999999998</v>
      </c>
      <c r="S1459" s="1128">
        <v>4</v>
      </c>
      <c r="T1459" s="1114" t="s">
        <v>2941</v>
      </c>
      <c r="U1459" s="1103" t="s">
        <v>4341</v>
      </c>
      <c r="V1459" s="1114">
        <f t="shared" si="199"/>
        <v>20</v>
      </c>
      <c r="W1459" s="1114" t="s">
        <v>2941</v>
      </c>
      <c r="X1459" s="1114">
        <f t="shared" si="200"/>
        <v>80</v>
      </c>
      <c r="Y1459" s="1128">
        <v>1.01</v>
      </c>
      <c r="Z1459" s="1114" t="s">
        <v>37</v>
      </c>
      <c r="AA1459" s="1103" t="s">
        <v>4343</v>
      </c>
      <c r="AB1459" s="1114">
        <f t="shared" si="197"/>
        <v>1724</v>
      </c>
      <c r="AC1459" s="1114" t="s">
        <v>37</v>
      </c>
      <c r="AD1459" s="1114">
        <f t="shared" si="198"/>
        <v>1741.24</v>
      </c>
      <c r="AE1459" s="1114">
        <f t="shared" si="187"/>
        <v>0</v>
      </c>
    </row>
    <row r="1460" spans="6:31" ht="24" customHeight="1">
      <c r="H1460" s="1118" t="s">
        <v>4399</v>
      </c>
      <c r="I1460" s="1119"/>
      <c r="J1460" s="1136"/>
      <c r="K1460" s="1115">
        <f>K1458/6.77</f>
        <v>70.608797636632204</v>
      </c>
      <c r="M1460" s="1144">
        <v>0</v>
      </c>
      <c r="N1460" s="1114" t="s">
        <v>3236</v>
      </c>
      <c r="O1460" s="1103" t="s">
        <v>4324</v>
      </c>
      <c r="P1460" s="1114">
        <f t="shared" si="201"/>
        <v>301</v>
      </c>
      <c r="Q1460" s="1114" t="s">
        <v>3236</v>
      </c>
      <c r="R1460" s="1114">
        <f t="shared" si="202"/>
        <v>0</v>
      </c>
      <c r="S1460" s="1128">
        <v>4</v>
      </c>
      <c r="T1460" s="1114" t="s">
        <v>2941</v>
      </c>
      <c r="U1460" s="1103" t="s">
        <v>4342</v>
      </c>
      <c r="V1460" s="1114">
        <f t="shared" si="199"/>
        <v>15</v>
      </c>
      <c r="W1460" s="1114" t="s">
        <v>2941</v>
      </c>
      <c r="X1460" s="1114">
        <f t="shared" si="200"/>
        <v>60</v>
      </c>
      <c r="Y1460" s="1108"/>
      <c r="AA1460" s="1103" t="s">
        <v>4345</v>
      </c>
      <c r="AC1460" s="1109"/>
      <c r="AD1460" s="1114">
        <v>0.84</v>
      </c>
      <c r="AE1460" s="1114">
        <f t="shared" si="187"/>
        <v>0</v>
      </c>
    </row>
    <row r="1461" spans="6:31" ht="24" customHeight="1">
      <c r="F1461" s="1103" t="s">
        <v>220</v>
      </c>
      <c r="M1461" s="1144">
        <v>0</v>
      </c>
      <c r="N1461" s="1114" t="s">
        <v>3236</v>
      </c>
      <c r="O1461" s="1103" t="s">
        <v>4324</v>
      </c>
      <c r="P1461" s="1114">
        <f t="shared" si="201"/>
        <v>301</v>
      </c>
      <c r="Q1461" s="1114" t="s">
        <v>3236</v>
      </c>
      <c r="R1461" s="1114">
        <f t="shared" si="202"/>
        <v>0</v>
      </c>
      <c r="S1461" s="1128">
        <v>1.26</v>
      </c>
      <c r="T1461" s="1114" t="s">
        <v>37</v>
      </c>
      <c r="U1461" s="1103" t="s">
        <v>4343</v>
      </c>
      <c r="V1461" s="1114">
        <f t="shared" si="199"/>
        <v>1724</v>
      </c>
      <c r="W1461" s="1114" t="s">
        <v>37</v>
      </c>
      <c r="X1461" s="1114">
        <f t="shared" si="200"/>
        <v>2172.2400000000002</v>
      </c>
      <c r="Y1461" s="1108"/>
      <c r="AA1461" s="1113" t="s">
        <v>4347</v>
      </c>
      <c r="AD1461" s="1115">
        <f>SUM(AD1448:AD1460)</f>
        <v>5125.9156000000003</v>
      </c>
      <c r="AE1461" s="1114">
        <f t="shared" si="187"/>
        <v>0</v>
      </c>
    </row>
    <row r="1462" spans="6:31" ht="24" customHeight="1">
      <c r="K1462" s="1111" t="s">
        <v>2793</v>
      </c>
      <c r="M1462" s="1144">
        <v>1.89</v>
      </c>
      <c r="N1462" s="1114" t="s">
        <v>833</v>
      </c>
      <c r="O1462" s="1103" t="s">
        <v>4330</v>
      </c>
      <c r="P1462" s="1114">
        <f t="shared" si="201"/>
        <v>208.8</v>
      </c>
      <c r="Q1462" s="1114" t="s">
        <v>833</v>
      </c>
      <c r="R1462" s="1114">
        <f t="shared" si="202"/>
        <v>394.63200000000001</v>
      </c>
      <c r="U1462" s="1103" t="s">
        <v>4345</v>
      </c>
      <c r="W1462" s="1109"/>
      <c r="X1462" s="1114">
        <v>0.14000000000000001</v>
      </c>
      <c r="AE1462" s="1114">
        <f t="shared" si="187"/>
        <v>0</v>
      </c>
    </row>
    <row r="1463" spans="6:31" ht="24" customHeight="1">
      <c r="G1463" s="1114" t="s">
        <v>3801</v>
      </c>
      <c r="H1463" s="1103" t="s">
        <v>4400</v>
      </c>
      <c r="M1463" s="1144">
        <v>8</v>
      </c>
      <c r="N1463" s="1114" t="s">
        <v>61</v>
      </c>
      <c r="O1463" s="1103" t="s">
        <v>4370</v>
      </c>
      <c r="P1463" s="1114">
        <f t="shared" si="201"/>
        <v>28.8</v>
      </c>
      <c r="Q1463" s="1114" t="s">
        <v>61</v>
      </c>
      <c r="R1463" s="1114">
        <f t="shared" si="202"/>
        <v>230.4</v>
      </c>
      <c r="U1463" s="1113" t="s">
        <v>4347</v>
      </c>
      <c r="X1463" s="1115">
        <f>SUM(X1450:X1462)</f>
        <v>7235.6616000000004</v>
      </c>
      <c r="AE1463" s="1114">
        <f t="shared" si="187"/>
        <v>0</v>
      </c>
    </row>
    <row r="1464" spans="6:31" ht="24" customHeight="1">
      <c r="G1464" s="1114" t="s">
        <v>36</v>
      </c>
      <c r="H1464" s="1111" t="s">
        <v>36</v>
      </c>
      <c r="M1464" s="1144">
        <v>0</v>
      </c>
      <c r="N1464" s="1114" t="s">
        <v>2941</v>
      </c>
      <c r="O1464" s="1103" t="s">
        <v>4371</v>
      </c>
      <c r="P1464" s="1114">
        <f t="shared" si="201"/>
        <v>66.599999999999994</v>
      </c>
      <c r="Q1464" s="1114" t="s">
        <v>2941</v>
      </c>
      <c r="R1464" s="1114">
        <f t="shared" si="202"/>
        <v>0</v>
      </c>
      <c r="AE1464" s="1114">
        <f t="shared" si="187"/>
        <v>0</v>
      </c>
    </row>
    <row r="1465" spans="6:31" ht="24" customHeight="1">
      <c r="F1465" s="1144">
        <v>7.0000000000000001E-3</v>
      </c>
      <c r="G1465" s="1114" t="s">
        <v>16</v>
      </c>
      <c r="H1465" s="1103" t="s">
        <v>4395</v>
      </c>
      <c r="I1465" s="1114">
        <f>K49</f>
        <v>3651.54</v>
      </c>
      <c r="J1465" s="1103" t="s">
        <v>16</v>
      </c>
      <c r="K1465" s="1114">
        <f>(F1465*I1465)</f>
        <v>25.560780000000001</v>
      </c>
      <c r="M1465" s="1144">
        <v>0</v>
      </c>
      <c r="N1465" s="1114" t="s">
        <v>2941</v>
      </c>
      <c r="O1465" s="1103" t="s">
        <v>4362</v>
      </c>
      <c r="P1465" s="1114">
        <f t="shared" si="201"/>
        <v>53.4</v>
      </c>
      <c r="Q1465" s="1114" t="s">
        <v>2941</v>
      </c>
      <c r="R1465" s="1114">
        <f t="shared" si="202"/>
        <v>0</v>
      </c>
      <c r="AE1465" s="1114">
        <f t="shared" si="187"/>
        <v>0</v>
      </c>
    </row>
    <row r="1466" spans="6:31" ht="24" customHeight="1">
      <c r="F1466" s="1114">
        <v>0.2</v>
      </c>
      <c r="G1466" s="1114" t="s">
        <v>314</v>
      </c>
      <c r="H1466" s="1103" t="s">
        <v>4396</v>
      </c>
      <c r="I1466" s="1114">
        <f>C10</f>
        <v>861</v>
      </c>
      <c r="J1466" s="1103" t="s">
        <v>314</v>
      </c>
      <c r="K1466" s="1114">
        <f>(F1466*I1466)</f>
        <v>172.20000000000002</v>
      </c>
      <c r="M1466" s="1144">
        <v>0</v>
      </c>
      <c r="N1466" s="1114" t="s">
        <v>2941</v>
      </c>
      <c r="O1466" s="1103" t="s">
        <v>4340</v>
      </c>
      <c r="P1466" s="1114">
        <f t="shared" si="201"/>
        <v>30</v>
      </c>
      <c r="Q1466" s="1114" t="s">
        <v>2941</v>
      </c>
      <c r="R1466" s="1114">
        <f t="shared" si="202"/>
        <v>0</v>
      </c>
      <c r="U1466" s="1167" t="s">
        <v>4401</v>
      </c>
      <c r="V1466" s="1119" t="s">
        <v>4381</v>
      </c>
      <c r="W1466" s="1107"/>
      <c r="AE1466" s="1114">
        <f t="shared" si="187"/>
        <v>0</v>
      </c>
    </row>
    <row r="1467" spans="6:31" ht="24" customHeight="1">
      <c r="F1467" s="1114">
        <v>0.2</v>
      </c>
      <c r="G1467" s="1114" t="s">
        <v>314</v>
      </c>
      <c r="H1467" s="1103" t="s">
        <v>3534</v>
      </c>
      <c r="I1467" s="1114">
        <f>C12</f>
        <v>562</v>
      </c>
      <c r="J1467" s="1103" t="s">
        <v>314</v>
      </c>
      <c r="K1467" s="1114">
        <f>(F1467*I1467)</f>
        <v>112.4</v>
      </c>
      <c r="M1467" s="1144">
        <v>0</v>
      </c>
      <c r="N1467" s="1114" t="s">
        <v>2941</v>
      </c>
      <c r="O1467" s="1103" t="s">
        <v>4341</v>
      </c>
      <c r="P1467" s="1114">
        <f t="shared" si="201"/>
        <v>20</v>
      </c>
      <c r="Q1467" s="1114" t="s">
        <v>2941</v>
      </c>
      <c r="R1467" s="1114">
        <f t="shared" si="202"/>
        <v>0</v>
      </c>
      <c r="S1467" s="1128">
        <v>6.81</v>
      </c>
      <c r="T1467" s="1114" t="s">
        <v>3236</v>
      </c>
      <c r="U1467" s="1103" t="s">
        <v>4324</v>
      </c>
      <c r="V1467" s="1114">
        <f>V1443</f>
        <v>301</v>
      </c>
      <c r="W1467" s="1114" t="s">
        <v>3236</v>
      </c>
      <c r="X1467" s="1114">
        <f>V1467*S1467</f>
        <v>2049.81</v>
      </c>
      <c r="AE1467" s="1114">
        <f t="shared" si="187"/>
        <v>0</v>
      </c>
    </row>
    <row r="1468" spans="6:31" ht="24" customHeight="1">
      <c r="H1468" s="1103" t="s">
        <v>234</v>
      </c>
      <c r="K1468" s="1105">
        <v>0</v>
      </c>
      <c r="M1468" s="1144">
        <v>0</v>
      </c>
      <c r="N1468" s="1114" t="s">
        <v>2941</v>
      </c>
      <c r="O1468" s="1103" t="s">
        <v>4342</v>
      </c>
      <c r="P1468" s="1114">
        <f t="shared" si="201"/>
        <v>15</v>
      </c>
      <c r="Q1468" s="1114" t="s">
        <v>2941</v>
      </c>
      <c r="R1468" s="1114">
        <f t="shared" si="202"/>
        <v>0</v>
      </c>
      <c r="S1468" s="1128">
        <v>0.77100000000000002</v>
      </c>
      <c r="T1468" s="1114" t="s">
        <v>833</v>
      </c>
      <c r="U1468" s="1103" t="s">
        <v>4330</v>
      </c>
      <c r="V1468" s="1114">
        <f>V1444</f>
        <v>208.8</v>
      </c>
      <c r="W1468" s="1114" t="s">
        <v>3236</v>
      </c>
      <c r="X1468" s="1114">
        <f>V1468*S1468</f>
        <v>160.98480000000001</v>
      </c>
      <c r="AE1468" s="1114">
        <f t="shared" si="187"/>
        <v>0</v>
      </c>
    </row>
    <row r="1469" spans="6:31" ht="24" customHeight="1">
      <c r="K1469" s="1111" t="s">
        <v>36</v>
      </c>
      <c r="M1469" s="1144">
        <v>1.89</v>
      </c>
      <c r="N1469" s="1114" t="s">
        <v>37</v>
      </c>
      <c r="O1469" s="1103" t="s">
        <v>4343</v>
      </c>
      <c r="P1469" s="1114">
        <f t="shared" si="201"/>
        <v>1724</v>
      </c>
      <c r="Q1469" s="1114" t="s">
        <v>37</v>
      </c>
      <c r="R1469" s="1114">
        <f t="shared" si="202"/>
        <v>3258.3599999999997</v>
      </c>
      <c r="S1469" s="1128">
        <v>0.77100000000000002</v>
      </c>
      <c r="T1469" s="1114" t="s">
        <v>833</v>
      </c>
      <c r="U1469" s="1103" t="s">
        <v>4343</v>
      </c>
      <c r="V1469" s="1114">
        <f>V1445</f>
        <v>1724</v>
      </c>
      <c r="W1469" s="1114" t="s">
        <v>3236</v>
      </c>
      <c r="X1469" s="1114">
        <f>V1469*S1469</f>
        <v>1329.204</v>
      </c>
      <c r="AE1469" s="1114">
        <f t="shared" si="187"/>
        <v>0</v>
      </c>
    </row>
    <row r="1470" spans="6:31" ht="24" customHeight="1">
      <c r="H1470" s="1104" t="s">
        <v>4398</v>
      </c>
      <c r="K1470" s="1114">
        <f>SUM(K1465:K1468)</f>
        <v>310.16078000000005</v>
      </c>
      <c r="O1470" s="1103" t="s">
        <v>4345</v>
      </c>
      <c r="Q1470" s="1109"/>
      <c r="R1470" s="1114">
        <v>0.28000000000000003</v>
      </c>
      <c r="S1470" s="1128"/>
      <c r="T1470" s="1114"/>
      <c r="U1470" s="1103"/>
      <c r="V1470" s="1114"/>
      <c r="W1470" s="1114"/>
      <c r="X1470" s="1114">
        <f>SUM(X1467:X1469)</f>
        <v>3539.9988000000003</v>
      </c>
      <c r="AE1470" s="1114">
        <f t="shared" ref="AE1470:AE1533" si="203">AG1470</f>
        <v>0</v>
      </c>
    </row>
    <row r="1471" spans="6:31" ht="24" customHeight="1">
      <c r="K1471" s="1111" t="s">
        <v>36</v>
      </c>
      <c r="R1471" s="1115">
        <f>SUM(R1458:R1470)</f>
        <v>7418.0139999999992</v>
      </c>
      <c r="S1471" s="1128"/>
      <c r="T1471" s="1114"/>
      <c r="U1471" s="1113" t="s">
        <v>4384</v>
      </c>
      <c r="V1471" s="1114"/>
      <c r="W1471" s="1114"/>
      <c r="X1471" s="1115">
        <f>X1470/S1469</f>
        <v>4591.4381322957197</v>
      </c>
      <c r="AE1471" s="1114">
        <f t="shared" si="203"/>
        <v>0</v>
      </c>
    </row>
    <row r="1472" spans="6:31" ht="24" customHeight="1">
      <c r="H1472" s="1118" t="s">
        <v>4399</v>
      </c>
      <c r="I1472" s="1119"/>
      <c r="J1472" s="1136"/>
      <c r="K1472" s="1115">
        <f>K1470/6.77</f>
        <v>45.814000000000007</v>
      </c>
      <c r="AE1472" s="1114">
        <f t="shared" si="203"/>
        <v>0</v>
      </c>
    </row>
    <row r="1473" spans="6:31" ht="24" customHeight="1">
      <c r="K1473" s="1111" t="s">
        <v>2793</v>
      </c>
      <c r="AE1473" s="1114">
        <f t="shared" si="203"/>
        <v>0</v>
      </c>
    </row>
    <row r="1474" spans="6:31" ht="24" customHeight="1">
      <c r="K1474" s="1111"/>
      <c r="O1474" s="1167" t="s">
        <v>4402</v>
      </c>
      <c r="P1474" s="1499" t="s">
        <v>4381</v>
      </c>
      <c r="Q1474" s="1499"/>
      <c r="R1474" s="1499"/>
      <c r="S1474" s="1488"/>
      <c r="T1474" s="1488"/>
      <c r="U1474" s="1488"/>
      <c r="V1474" s="1185"/>
      <c r="W1474" s="1185"/>
      <c r="AE1474" s="1114">
        <f t="shared" si="203"/>
        <v>0</v>
      </c>
    </row>
    <row r="1475" spans="6:31" ht="24" customHeight="1">
      <c r="K1475" s="1111"/>
      <c r="M1475" s="1144">
        <v>4.67</v>
      </c>
      <c r="N1475" s="1114" t="s">
        <v>3236</v>
      </c>
      <c r="O1475" s="1103" t="s">
        <v>4369</v>
      </c>
      <c r="P1475" s="1114">
        <f>P1458</f>
        <v>301</v>
      </c>
      <c r="Q1475" s="1114" t="s">
        <v>3236</v>
      </c>
      <c r="R1475" s="1114">
        <f>P1475*M1475</f>
        <v>1405.67</v>
      </c>
      <c r="S1475" s="1144"/>
      <c r="T1475" s="1114"/>
      <c r="U1475" s="1103"/>
      <c r="V1475" s="1114"/>
      <c r="W1475" s="1114"/>
      <c r="X1475" s="1114"/>
      <c r="AE1475" s="1114">
        <f t="shared" si="203"/>
        <v>0</v>
      </c>
    </row>
    <row r="1476" spans="6:31" ht="24" customHeight="1">
      <c r="G1476" s="1114" t="s">
        <v>2235</v>
      </c>
      <c r="H1476" s="1103" t="s">
        <v>4403</v>
      </c>
      <c r="K1476" s="1111"/>
      <c r="M1476" s="1144">
        <v>0.54</v>
      </c>
      <c r="N1476" s="1114" t="s">
        <v>833</v>
      </c>
      <c r="O1476" s="1103" t="s">
        <v>4330</v>
      </c>
      <c r="P1476" s="1114">
        <f>P1462</f>
        <v>208.8</v>
      </c>
      <c r="Q1476" s="1114" t="s">
        <v>3236</v>
      </c>
      <c r="R1476" s="1114">
        <f>P1476*M1476</f>
        <v>112.75200000000001</v>
      </c>
      <c r="S1476" s="1144"/>
      <c r="T1476" s="1114"/>
      <c r="U1476" s="1103"/>
      <c r="V1476" s="1114"/>
      <c r="W1476" s="1114"/>
      <c r="X1476" s="1114"/>
      <c r="AE1476" s="1114">
        <f t="shared" si="203"/>
        <v>0</v>
      </c>
    </row>
    <row r="1477" spans="6:31" ht="24" customHeight="1">
      <c r="G1477" s="1114" t="s">
        <v>36</v>
      </c>
      <c r="H1477" s="1111" t="s">
        <v>36</v>
      </c>
      <c r="K1477" s="1111"/>
      <c r="M1477" s="1144">
        <v>0.54</v>
      </c>
      <c r="N1477" s="1114" t="s">
        <v>833</v>
      </c>
      <c r="O1477" s="1103" t="s">
        <v>4343</v>
      </c>
      <c r="P1477" s="1114">
        <f>P1469</f>
        <v>1724</v>
      </c>
      <c r="Q1477" s="1114" t="s">
        <v>3236</v>
      </c>
      <c r="R1477" s="1114">
        <f>P1477*M1477</f>
        <v>930.96</v>
      </c>
      <c r="S1477" s="1144"/>
      <c r="T1477" s="1114"/>
      <c r="U1477" s="1103"/>
      <c r="V1477" s="1114"/>
      <c r="W1477" s="1114"/>
      <c r="X1477" s="1114"/>
      <c r="AE1477" s="1114">
        <f t="shared" si="203"/>
        <v>0</v>
      </c>
    </row>
    <row r="1478" spans="6:31" ht="24" customHeight="1">
      <c r="F1478" s="1144">
        <v>4.7000000000000002E-3</v>
      </c>
      <c r="G1478" s="1114" t="s">
        <v>16</v>
      </c>
      <c r="H1478" s="1103" t="s">
        <v>4395</v>
      </c>
      <c r="I1478" s="1105">
        <f>K49</f>
        <v>3651.54</v>
      </c>
      <c r="J1478" s="1103" t="s">
        <v>16</v>
      </c>
      <c r="K1478" s="1114">
        <f>(F1478*I1478)</f>
        <v>17.162238000000002</v>
      </c>
      <c r="M1478" s="1144"/>
      <c r="N1478" s="1114"/>
      <c r="O1478" s="1103"/>
      <c r="P1478" s="1114"/>
      <c r="Q1478" s="1114"/>
      <c r="R1478" s="1114">
        <f>SUM(R1475:R1477)</f>
        <v>2449.3820000000001</v>
      </c>
      <c r="S1478" s="1144"/>
      <c r="T1478" s="1114"/>
      <c r="U1478" s="1103"/>
      <c r="V1478" s="1186"/>
      <c r="W1478" s="1187"/>
      <c r="X1478" s="1114"/>
      <c r="AE1478" s="1114">
        <f t="shared" si="203"/>
        <v>0</v>
      </c>
    </row>
    <row r="1479" spans="6:31" ht="24" customHeight="1">
      <c r="F1479" s="1114">
        <v>0.15</v>
      </c>
      <c r="G1479" s="1114" t="s">
        <v>314</v>
      </c>
      <c r="H1479" s="1103" t="s">
        <v>4396</v>
      </c>
      <c r="I1479" s="1105">
        <f>C10</f>
        <v>861</v>
      </c>
      <c r="J1479" s="1103" t="s">
        <v>314</v>
      </c>
      <c r="K1479" s="1114">
        <f>(F1479*I1479)</f>
        <v>129.15</v>
      </c>
      <c r="M1479" s="1144"/>
      <c r="N1479" s="1114"/>
      <c r="O1479" s="1113" t="s">
        <v>4384</v>
      </c>
      <c r="P1479" s="1114"/>
      <c r="Q1479" s="1114"/>
      <c r="R1479" s="1115">
        <f>R1478/M1477</f>
        <v>4535.8925925925923</v>
      </c>
      <c r="S1479" s="1144"/>
      <c r="T1479" s="1114"/>
      <c r="U1479" s="1103"/>
      <c r="V1479" s="1114"/>
      <c r="W1479" s="1114"/>
      <c r="X1479" s="1115"/>
      <c r="AE1479" s="1114">
        <f t="shared" si="203"/>
        <v>0</v>
      </c>
    </row>
    <row r="1480" spans="6:31" ht="24" customHeight="1">
      <c r="F1480" s="1114">
        <v>0.15</v>
      </c>
      <c r="G1480" s="1114" t="s">
        <v>314</v>
      </c>
      <c r="H1480" s="1103" t="s">
        <v>3534</v>
      </c>
      <c r="I1480" s="1105">
        <f>C12</f>
        <v>562</v>
      </c>
      <c r="J1480" s="1103" t="s">
        <v>314</v>
      </c>
      <c r="K1480" s="1114">
        <f>(F1480*I1480)</f>
        <v>84.3</v>
      </c>
      <c r="M1480" s="1144"/>
      <c r="N1480" s="1114"/>
      <c r="O1480" s="1103"/>
      <c r="P1480" s="1114"/>
      <c r="Q1480" s="1114"/>
      <c r="R1480" s="1114"/>
      <c r="AE1480" s="1114">
        <f t="shared" si="203"/>
        <v>0</v>
      </c>
    </row>
    <row r="1481" spans="6:31" ht="24" customHeight="1">
      <c r="H1481" s="1103" t="s">
        <v>234</v>
      </c>
      <c r="K1481" s="1105">
        <v>0</v>
      </c>
      <c r="O1481" s="1167" t="s">
        <v>4404</v>
      </c>
      <c r="P1481" s="1119" t="s">
        <v>4381</v>
      </c>
      <c r="Q1481" s="1107"/>
      <c r="AE1481" s="1114">
        <f t="shared" si="203"/>
        <v>0</v>
      </c>
    </row>
    <row r="1482" spans="6:31" ht="24" customHeight="1">
      <c r="K1482" s="1111" t="s">
        <v>36</v>
      </c>
      <c r="M1482" s="1144">
        <v>7.01</v>
      </c>
      <c r="N1482" s="1114" t="s">
        <v>3236</v>
      </c>
      <c r="O1482" s="1103" t="s">
        <v>4369</v>
      </c>
      <c r="P1482" s="1114">
        <f>P1475</f>
        <v>301</v>
      </c>
      <c r="Q1482" s="1114" t="s">
        <v>3236</v>
      </c>
      <c r="R1482" s="1114">
        <f>P1482*M1482</f>
        <v>2110.0099999999998</v>
      </c>
      <c r="S1482" s="1108">
        <f>0.3028*0.3028</f>
        <v>9.1687840000000007E-2</v>
      </c>
      <c r="T1482" s="1105">
        <f>60*S1482</f>
        <v>5.5012704000000001</v>
      </c>
      <c r="U1482" s="1105">
        <f>4.58/10</f>
        <v>0.45800000000000002</v>
      </c>
      <c r="AE1482" s="1114">
        <f t="shared" si="203"/>
        <v>0</v>
      </c>
    </row>
    <row r="1483" spans="6:31" ht="24" customHeight="1">
      <c r="H1483" s="1104" t="s">
        <v>4398</v>
      </c>
      <c r="K1483" s="1114">
        <f>SUM(K1478:K1481)</f>
        <v>230.61223799999999</v>
      </c>
      <c r="M1483" s="1144">
        <v>0.81</v>
      </c>
      <c r="N1483" s="1114" t="s">
        <v>833</v>
      </c>
      <c r="O1483" s="1103" t="s">
        <v>4330</v>
      </c>
      <c r="P1483" s="1114">
        <f>P1476</f>
        <v>208.8</v>
      </c>
      <c r="Q1483" s="1114" t="s">
        <v>3236</v>
      </c>
      <c r="R1483" s="1114">
        <f>P1483*M1483</f>
        <v>169.12800000000001</v>
      </c>
      <c r="AE1483" s="1114">
        <f t="shared" si="203"/>
        <v>0</v>
      </c>
    </row>
    <row r="1484" spans="6:31" ht="24" customHeight="1">
      <c r="K1484" s="1111" t="s">
        <v>36</v>
      </c>
      <c r="M1484" s="1144">
        <v>0.81</v>
      </c>
      <c r="N1484" s="1114" t="s">
        <v>833</v>
      </c>
      <c r="O1484" s="1103" t="s">
        <v>4343</v>
      </c>
      <c r="P1484" s="1114">
        <f>P1477</f>
        <v>1724</v>
      </c>
      <c r="Q1484" s="1114" t="s">
        <v>3236</v>
      </c>
      <c r="R1484" s="1114">
        <f>P1484*M1484</f>
        <v>1396.44</v>
      </c>
      <c r="AE1484" s="1114">
        <f t="shared" si="203"/>
        <v>0</v>
      </c>
    </row>
    <row r="1485" spans="6:31" ht="24" customHeight="1">
      <c r="H1485" s="1118" t="s">
        <v>4399</v>
      </c>
      <c r="I1485" s="1119"/>
      <c r="J1485" s="1136"/>
      <c r="K1485" s="1115">
        <f>K1483/6.77</f>
        <v>34.063846085672083</v>
      </c>
      <c r="M1485" s="1144"/>
      <c r="N1485" s="1114"/>
      <c r="O1485" s="1103"/>
      <c r="P1485" s="1114"/>
      <c r="Q1485" s="1114"/>
      <c r="R1485" s="1114">
        <f>SUM(R1482:R1484)+0.68</f>
        <v>3676.2579999999998</v>
      </c>
      <c r="AE1485" s="1114">
        <f t="shared" si="203"/>
        <v>0</v>
      </c>
    </row>
    <row r="1486" spans="6:31" ht="24" customHeight="1">
      <c r="K1486" s="1111" t="s">
        <v>2793</v>
      </c>
      <c r="M1486" s="1144"/>
      <c r="N1486" s="1114"/>
      <c r="O1486" s="1113" t="s">
        <v>4384</v>
      </c>
      <c r="P1486" s="1114"/>
      <c r="Q1486" s="1114"/>
      <c r="R1486" s="1115">
        <f>R1485/M1484</f>
        <v>4538.59012345679</v>
      </c>
      <c r="AE1486" s="1114">
        <f t="shared" si="203"/>
        <v>0</v>
      </c>
    </row>
    <row r="1487" spans="6:31" ht="24" customHeight="1">
      <c r="K1487" s="1111"/>
      <c r="O1487" s="1103"/>
      <c r="Q1487" s="1109"/>
      <c r="R1487" s="1114"/>
      <c r="AE1487" s="1114">
        <f t="shared" si="203"/>
        <v>0</v>
      </c>
    </row>
    <row r="1488" spans="6:31" ht="24" customHeight="1">
      <c r="F1488" s="1131">
        <v>37.1</v>
      </c>
      <c r="G1488" s="1114" t="s">
        <v>1363</v>
      </c>
      <c r="H1488" s="1103" t="s">
        <v>4405</v>
      </c>
      <c r="O1488" s="1167" t="s">
        <v>4406</v>
      </c>
      <c r="Q1488" s="1107"/>
      <c r="AE1488" s="1114">
        <f t="shared" si="203"/>
        <v>0</v>
      </c>
    </row>
    <row r="1489" spans="6:31" ht="24" customHeight="1">
      <c r="H1489" s="1111" t="s">
        <v>36</v>
      </c>
      <c r="M1489" s="1144">
        <v>4.42</v>
      </c>
      <c r="N1489" s="1114" t="s">
        <v>3236</v>
      </c>
      <c r="O1489" s="1103" t="s">
        <v>4369</v>
      </c>
      <c r="P1489" s="1114">
        <f>P1458</f>
        <v>301</v>
      </c>
      <c r="Q1489" s="1114" t="s">
        <v>3236</v>
      </c>
      <c r="R1489" s="1114">
        <f>P1489*M1489</f>
        <v>1330.42</v>
      </c>
      <c r="AE1489" s="1114">
        <f t="shared" si="203"/>
        <v>0</v>
      </c>
    </row>
    <row r="1490" spans="6:31" ht="24" customHeight="1">
      <c r="F1490" s="1114">
        <v>0.09</v>
      </c>
      <c r="G1490" s="1114" t="s">
        <v>2839</v>
      </c>
      <c r="H1490" s="1103" t="s">
        <v>3087</v>
      </c>
      <c r="I1490" s="1114">
        <f>(C84)</f>
        <v>1322</v>
      </c>
      <c r="J1490" s="1103" t="s">
        <v>2839</v>
      </c>
      <c r="K1490" s="1114">
        <f>(F1490*I1490)</f>
        <v>118.97999999999999</v>
      </c>
      <c r="M1490" s="1144">
        <v>4.72</v>
      </c>
      <c r="N1490" s="1114" t="s">
        <v>3236</v>
      </c>
      <c r="O1490" s="1103" t="s">
        <v>4369</v>
      </c>
      <c r="P1490" s="1114">
        <f t="shared" ref="P1490:P1500" si="204">P1459</f>
        <v>301</v>
      </c>
      <c r="Q1490" s="1114" t="s">
        <v>3236</v>
      </c>
      <c r="R1490" s="1114">
        <f t="shared" ref="R1490:R1500" si="205">P1490*M1490</f>
        <v>1420.72</v>
      </c>
      <c r="AE1490" s="1114">
        <f t="shared" si="203"/>
        <v>0</v>
      </c>
    </row>
    <row r="1491" spans="6:31" ht="24" customHeight="1">
      <c r="F1491" s="1114">
        <v>2.2000000000000002</v>
      </c>
      <c r="G1491" s="1114" t="s">
        <v>2838</v>
      </c>
      <c r="H1491" s="1103" t="s">
        <v>3017</v>
      </c>
      <c r="I1491" s="1114">
        <f>(C11)</f>
        <v>804</v>
      </c>
      <c r="J1491" s="1103" t="s">
        <v>2838</v>
      </c>
      <c r="K1491" s="1114">
        <f>(F1491*I1491)</f>
        <v>1768.8000000000002</v>
      </c>
      <c r="M1491" s="1144">
        <v>9.06</v>
      </c>
      <c r="N1491" s="1114" t="s">
        <v>3236</v>
      </c>
      <c r="O1491" s="1103" t="s">
        <v>4324</v>
      </c>
      <c r="P1491" s="1114">
        <f t="shared" si="204"/>
        <v>301</v>
      </c>
      <c r="Q1491" s="1114" t="s">
        <v>3236</v>
      </c>
      <c r="R1491" s="1114">
        <f t="shared" si="205"/>
        <v>2727.06</v>
      </c>
      <c r="AE1491" s="1114">
        <f t="shared" si="203"/>
        <v>0</v>
      </c>
    </row>
    <row r="1492" spans="6:31" ht="24" customHeight="1">
      <c r="F1492" s="1114">
        <v>0.5</v>
      </c>
      <c r="G1492" s="1114" t="s">
        <v>2838</v>
      </c>
      <c r="H1492" s="1103" t="s">
        <v>3020</v>
      </c>
      <c r="I1492" s="1114">
        <f>(C12)</f>
        <v>562</v>
      </c>
      <c r="J1492" s="1103" t="s">
        <v>2838</v>
      </c>
      <c r="K1492" s="1114">
        <f>(F1492*I1492)</f>
        <v>281</v>
      </c>
      <c r="M1492" s="1144">
        <v>1.58</v>
      </c>
      <c r="N1492" s="1114" t="s">
        <v>3236</v>
      </c>
      <c r="O1492" s="1103" t="s">
        <v>4324</v>
      </c>
      <c r="P1492" s="1114">
        <f t="shared" si="204"/>
        <v>301</v>
      </c>
      <c r="Q1492" s="1114" t="s">
        <v>3236</v>
      </c>
      <c r="R1492" s="1114">
        <f t="shared" si="205"/>
        <v>475.58000000000004</v>
      </c>
      <c r="AE1492" s="1114">
        <f t="shared" si="203"/>
        <v>0</v>
      </c>
    </row>
    <row r="1493" spans="6:31" ht="24" customHeight="1">
      <c r="F1493" s="1114">
        <v>3.8</v>
      </c>
      <c r="G1493" s="1114" t="s">
        <v>2838</v>
      </c>
      <c r="H1493" s="1103" t="s">
        <v>3026</v>
      </c>
      <c r="I1493" s="1114">
        <f>(C13)</f>
        <v>461</v>
      </c>
      <c r="J1493" s="1103" t="s">
        <v>2838</v>
      </c>
      <c r="K1493" s="1114">
        <f>(F1493*I1493)</f>
        <v>1751.8</v>
      </c>
      <c r="M1493" s="1144">
        <v>1.65</v>
      </c>
      <c r="N1493" s="1114" t="s">
        <v>833</v>
      </c>
      <c r="O1493" s="1103" t="s">
        <v>4330</v>
      </c>
      <c r="P1493" s="1114">
        <f t="shared" si="204"/>
        <v>208.8</v>
      </c>
      <c r="Q1493" s="1114" t="s">
        <v>833</v>
      </c>
      <c r="R1493" s="1114">
        <f t="shared" si="205"/>
        <v>344.52</v>
      </c>
      <c r="AE1493" s="1114">
        <f t="shared" si="203"/>
        <v>0</v>
      </c>
    </row>
    <row r="1494" spans="6:31" ht="24" customHeight="1">
      <c r="G1494" s="1114" t="s">
        <v>2851</v>
      </c>
      <c r="H1494" s="1103" t="s">
        <v>4407</v>
      </c>
      <c r="I1494" s="1103" t="s">
        <v>220</v>
      </c>
      <c r="J1494" s="1103" t="s">
        <v>2851</v>
      </c>
      <c r="K1494" s="1114">
        <v>1.5</v>
      </c>
      <c r="M1494" s="1144">
        <v>12.74</v>
      </c>
      <c r="N1494" s="1114" t="s">
        <v>61</v>
      </c>
      <c r="O1494" s="1103" t="str">
        <f>O1463</f>
        <v>rubber beeding P-41/64</v>
      </c>
      <c r="P1494" s="1114">
        <f t="shared" si="204"/>
        <v>28.8</v>
      </c>
      <c r="Q1494" s="1114" t="s">
        <v>61</v>
      </c>
      <c r="R1494" s="1114">
        <f t="shared" si="205"/>
        <v>366.91200000000003</v>
      </c>
      <c r="AE1494" s="1114">
        <f t="shared" si="203"/>
        <v>0</v>
      </c>
    </row>
    <row r="1495" spans="6:31" ht="24" customHeight="1">
      <c r="K1495" s="1111" t="s">
        <v>36</v>
      </c>
      <c r="M1495" s="1144">
        <v>12</v>
      </c>
      <c r="N1495" s="1114" t="s">
        <v>2941</v>
      </c>
      <c r="O1495" s="1103" t="str">
        <f>O1464</f>
        <v>hinges 75mm x 30 mm P-41/77 b</v>
      </c>
      <c r="P1495" s="1114">
        <f t="shared" si="204"/>
        <v>66.599999999999994</v>
      </c>
      <c r="Q1495" s="1114" t="s">
        <v>2941</v>
      </c>
      <c r="R1495" s="1114">
        <f t="shared" si="205"/>
        <v>799.19999999999993</v>
      </c>
      <c r="AE1495" s="1114">
        <f t="shared" si="203"/>
        <v>0</v>
      </c>
    </row>
    <row r="1496" spans="6:31" ht="24" customHeight="1">
      <c r="H1496" s="1103" t="s">
        <v>3353</v>
      </c>
      <c r="K1496" s="1114">
        <f>SUM(K1489:K1494)</f>
        <v>3922.08</v>
      </c>
      <c r="M1496" s="1144">
        <v>6</v>
      </c>
      <c r="N1496" s="1114" t="s">
        <v>2941</v>
      </c>
      <c r="O1496" s="1103" t="str">
        <f>O1465</f>
        <v>handle 150 mm long p-42 /80b</v>
      </c>
      <c r="P1496" s="1114">
        <f t="shared" si="204"/>
        <v>53.4</v>
      </c>
      <c r="Q1496" s="1114" t="s">
        <v>2941</v>
      </c>
      <c r="R1496" s="1114">
        <f t="shared" si="205"/>
        <v>320.39999999999998</v>
      </c>
      <c r="AE1496" s="1114">
        <f t="shared" si="203"/>
        <v>0</v>
      </c>
    </row>
    <row r="1497" spans="6:31" ht="24" customHeight="1">
      <c r="K1497" s="1111" t="s">
        <v>36</v>
      </c>
      <c r="M1497" s="1144">
        <v>6</v>
      </c>
      <c r="N1497" s="1114" t="s">
        <v>2941</v>
      </c>
      <c r="O1497" s="1103" t="s">
        <v>4340</v>
      </c>
      <c r="P1497" s="1114">
        <f t="shared" si="204"/>
        <v>30</v>
      </c>
      <c r="Q1497" s="1114" t="s">
        <v>2941</v>
      </c>
      <c r="R1497" s="1114">
        <f t="shared" si="205"/>
        <v>180</v>
      </c>
      <c r="AE1497" s="1114">
        <f t="shared" si="203"/>
        <v>0</v>
      </c>
    </row>
    <row r="1498" spans="6:31" ht="24" customHeight="1">
      <c r="H1498" s="1118" t="s">
        <v>3154</v>
      </c>
      <c r="I1498" s="1119"/>
      <c r="J1498" s="1136"/>
      <c r="K1498" s="1115">
        <f>(K1496/100)</f>
        <v>39.220799999999997</v>
      </c>
      <c r="M1498" s="1144">
        <v>6</v>
      </c>
      <c r="N1498" s="1114" t="s">
        <v>2941</v>
      </c>
      <c r="O1498" s="1103" t="s">
        <v>4341</v>
      </c>
      <c r="P1498" s="1114">
        <f t="shared" si="204"/>
        <v>20</v>
      </c>
      <c r="Q1498" s="1114" t="s">
        <v>2941</v>
      </c>
      <c r="R1498" s="1114">
        <f t="shared" si="205"/>
        <v>120</v>
      </c>
      <c r="AE1498" s="1114">
        <f t="shared" si="203"/>
        <v>0</v>
      </c>
    </row>
    <row r="1499" spans="6:31" ht="24" customHeight="1">
      <c r="K1499" s="1111" t="s">
        <v>2793</v>
      </c>
      <c r="M1499" s="1144">
        <v>4</v>
      </c>
      <c r="N1499" s="1114" t="s">
        <v>2941</v>
      </c>
      <c r="O1499" s="1103" t="s">
        <v>4342</v>
      </c>
      <c r="P1499" s="1114">
        <f t="shared" si="204"/>
        <v>15</v>
      </c>
      <c r="Q1499" s="1114" t="s">
        <v>2941</v>
      </c>
      <c r="R1499" s="1114">
        <f t="shared" si="205"/>
        <v>60</v>
      </c>
      <c r="AE1499" s="1114">
        <f t="shared" si="203"/>
        <v>0</v>
      </c>
    </row>
    <row r="1500" spans="6:31" ht="24" customHeight="1">
      <c r="F1500" s="1104" t="s">
        <v>4408</v>
      </c>
      <c r="G1500" s="1114" t="s">
        <v>1363</v>
      </c>
      <c r="H1500" s="1103" t="s">
        <v>4409</v>
      </c>
      <c r="M1500" s="1144">
        <f>1.5*1.35</f>
        <v>2.0250000000000004</v>
      </c>
      <c r="N1500" s="1114" t="s">
        <v>37</v>
      </c>
      <c r="O1500" s="1103" t="s">
        <v>4343</v>
      </c>
      <c r="P1500" s="1114">
        <f t="shared" si="204"/>
        <v>1724</v>
      </c>
      <c r="Q1500" s="1114" t="s">
        <v>37</v>
      </c>
      <c r="R1500" s="1114">
        <f t="shared" si="205"/>
        <v>3491.1000000000008</v>
      </c>
      <c r="AE1500" s="1114">
        <f t="shared" si="203"/>
        <v>0</v>
      </c>
    </row>
    <row r="1501" spans="6:31" ht="24" customHeight="1">
      <c r="H1501" s="1103" t="s">
        <v>4410</v>
      </c>
      <c r="O1501" s="1103" t="s">
        <v>4345</v>
      </c>
      <c r="Q1501" s="1109"/>
      <c r="R1501" s="1114">
        <v>0.31</v>
      </c>
      <c r="AE1501" s="1114">
        <f t="shared" si="203"/>
        <v>0</v>
      </c>
    </row>
    <row r="1502" spans="6:31" ht="24" customHeight="1">
      <c r="H1502" s="1103" t="s">
        <v>4411</v>
      </c>
      <c r="R1502" s="1115">
        <f>SUM(R1489:R1501)</f>
        <v>11636.222000000002</v>
      </c>
      <c r="AE1502" s="1114">
        <f t="shared" si="203"/>
        <v>0</v>
      </c>
    </row>
    <row r="1503" spans="6:31" ht="24" customHeight="1">
      <c r="H1503" s="1103" t="s">
        <v>4412</v>
      </c>
      <c r="AE1503" s="1114">
        <f t="shared" si="203"/>
        <v>0</v>
      </c>
    </row>
    <row r="1504" spans="6:31" ht="24" customHeight="1">
      <c r="H1504" s="1111" t="s">
        <v>36</v>
      </c>
      <c r="AE1504" s="1114">
        <f t="shared" si="203"/>
        <v>0</v>
      </c>
    </row>
    <row r="1505" spans="6:31" ht="24" customHeight="1">
      <c r="F1505" s="1114">
        <v>4.8</v>
      </c>
      <c r="G1505" s="1114" t="s">
        <v>165</v>
      </c>
      <c r="H1505" s="1103" t="s">
        <v>4413</v>
      </c>
      <c r="I1505" s="1114">
        <f>(C271)</f>
        <v>49.4</v>
      </c>
      <c r="J1505" s="1103" t="s">
        <v>165</v>
      </c>
      <c r="K1505" s="1114">
        <f>(F1505*I1505)</f>
        <v>237.11999999999998</v>
      </c>
      <c r="AE1505" s="1114">
        <f t="shared" si="203"/>
        <v>0</v>
      </c>
    </row>
    <row r="1506" spans="6:31" ht="24" customHeight="1">
      <c r="F1506" s="1114">
        <v>0.75</v>
      </c>
      <c r="G1506" s="1114" t="s">
        <v>2838</v>
      </c>
      <c r="H1506" s="1103" t="s">
        <v>4414</v>
      </c>
      <c r="I1506" s="1114">
        <f>(C14)</f>
        <v>688</v>
      </c>
      <c r="J1506" s="1103" t="s">
        <v>2838</v>
      </c>
      <c r="K1506" s="1114">
        <f>(F1506*I1506)</f>
        <v>516</v>
      </c>
      <c r="AE1506" s="1114">
        <f t="shared" si="203"/>
        <v>0</v>
      </c>
    </row>
    <row r="1507" spans="6:31" ht="24" customHeight="1">
      <c r="F1507" s="1114">
        <v>0.75</v>
      </c>
      <c r="G1507" s="1114" t="s">
        <v>2838</v>
      </c>
      <c r="H1507" s="1103" t="s">
        <v>4217</v>
      </c>
      <c r="I1507" s="1114">
        <f>(C12)</f>
        <v>562</v>
      </c>
      <c r="J1507" s="1103" t="s">
        <v>2838</v>
      </c>
      <c r="K1507" s="1114">
        <f>(F1507*I1507)</f>
        <v>421.5</v>
      </c>
      <c r="AE1507" s="1114">
        <f t="shared" si="203"/>
        <v>0</v>
      </c>
    </row>
    <row r="1508" spans="6:31" ht="24" customHeight="1">
      <c r="F1508" s="1114">
        <v>1.2</v>
      </c>
      <c r="G1508" s="1114" t="s">
        <v>2838</v>
      </c>
      <c r="H1508" s="1103" t="s">
        <v>3026</v>
      </c>
      <c r="I1508" s="1114">
        <f>(C13)</f>
        <v>461</v>
      </c>
      <c r="J1508" s="1103" t="s">
        <v>2838</v>
      </c>
      <c r="K1508" s="1114">
        <f>(F1508*I1508)</f>
        <v>553.19999999999993</v>
      </c>
      <c r="AE1508" s="1114">
        <f t="shared" si="203"/>
        <v>0</v>
      </c>
    </row>
    <row r="1509" spans="6:31" ht="24" customHeight="1">
      <c r="G1509" s="1114" t="s">
        <v>2851</v>
      </c>
      <c r="H1509" s="1103" t="s">
        <v>3351</v>
      </c>
      <c r="I1509" s="1103" t="s">
        <v>220</v>
      </c>
      <c r="J1509" s="1103" t="s">
        <v>2851</v>
      </c>
      <c r="K1509" s="1114">
        <v>1.5</v>
      </c>
      <c r="AE1509" s="1114">
        <f t="shared" si="203"/>
        <v>0</v>
      </c>
    </row>
    <row r="1510" spans="6:31" ht="24" customHeight="1">
      <c r="K1510" s="1111" t="s">
        <v>36</v>
      </c>
      <c r="AE1510" s="1114">
        <f t="shared" si="203"/>
        <v>0</v>
      </c>
    </row>
    <row r="1511" spans="6:31" ht="24" customHeight="1">
      <c r="H1511" s="1103" t="s">
        <v>3152</v>
      </c>
      <c r="K1511" s="1114">
        <f>SUM(K1505:K1509)</f>
        <v>1729.3199999999997</v>
      </c>
      <c r="AE1511" s="1114">
        <f t="shared" si="203"/>
        <v>0</v>
      </c>
    </row>
    <row r="1512" spans="6:31" ht="24" customHeight="1">
      <c r="K1512" s="1111" t="s">
        <v>36</v>
      </c>
      <c r="AE1512" s="1114">
        <f t="shared" si="203"/>
        <v>0</v>
      </c>
    </row>
    <row r="1513" spans="6:31" ht="24" customHeight="1">
      <c r="H1513" s="1118" t="s">
        <v>3154</v>
      </c>
      <c r="I1513" s="1119"/>
      <c r="J1513" s="1136"/>
      <c r="K1513" s="1115">
        <f>(K1511/10)</f>
        <v>172.93199999999996</v>
      </c>
      <c r="AE1513" s="1114">
        <f t="shared" si="203"/>
        <v>0</v>
      </c>
    </row>
    <row r="1514" spans="6:31" ht="24" customHeight="1">
      <c r="K1514" s="1111" t="s">
        <v>2793</v>
      </c>
      <c r="AE1514" s="1114">
        <f t="shared" si="203"/>
        <v>0</v>
      </c>
    </row>
    <row r="1515" spans="6:31" ht="24" customHeight="1">
      <c r="F1515" s="1104" t="s">
        <v>4415</v>
      </c>
      <c r="G1515" s="1114" t="s">
        <v>1363</v>
      </c>
      <c r="H1515" s="1104" t="s">
        <v>4416</v>
      </c>
      <c r="AE1515" s="1114">
        <f t="shared" si="203"/>
        <v>0</v>
      </c>
    </row>
    <row r="1516" spans="6:31" ht="24" customHeight="1">
      <c r="H1516" s="1104" t="s">
        <v>3359</v>
      </c>
      <c r="M1516" s="1104"/>
      <c r="N1516" s="1114" t="s">
        <v>1363</v>
      </c>
      <c r="O1516" s="1103" t="s">
        <v>4417</v>
      </c>
      <c r="Q1516" s="1107"/>
      <c r="AE1516" s="1114">
        <f t="shared" si="203"/>
        <v>0</v>
      </c>
    </row>
    <row r="1517" spans="6:31" ht="24" customHeight="1">
      <c r="F1517" s="1114">
        <v>3.08</v>
      </c>
      <c r="G1517" s="1114" t="s">
        <v>4418</v>
      </c>
      <c r="H1517" s="1103" t="s">
        <v>1536</v>
      </c>
      <c r="I1517" s="1114">
        <f>E271</f>
        <v>155</v>
      </c>
      <c r="J1517" s="1103" t="s">
        <v>4418</v>
      </c>
      <c r="K1517" s="1114">
        <f>(F1517*I1517)</f>
        <v>477.40000000000003</v>
      </c>
      <c r="O1517" s="1103" t="s">
        <v>4410</v>
      </c>
      <c r="Q1517" s="1107"/>
      <c r="AE1517" s="1114">
        <f t="shared" si="203"/>
        <v>0</v>
      </c>
    </row>
    <row r="1518" spans="6:31" ht="24" customHeight="1">
      <c r="F1518" s="1114">
        <v>0.5</v>
      </c>
      <c r="G1518" s="1114" t="s">
        <v>314</v>
      </c>
      <c r="H1518" s="1103" t="s">
        <v>4419</v>
      </c>
      <c r="I1518" s="1114">
        <f>C14</f>
        <v>688</v>
      </c>
      <c r="J1518" s="1103" t="s">
        <v>314</v>
      </c>
      <c r="K1518" s="1114">
        <f>(F1518*I1518)</f>
        <v>344</v>
      </c>
      <c r="O1518" s="1103" t="s">
        <v>4411</v>
      </c>
      <c r="Q1518" s="1107"/>
      <c r="AE1518" s="1114">
        <f t="shared" si="203"/>
        <v>0</v>
      </c>
    </row>
    <row r="1519" spans="6:31" ht="24" customHeight="1">
      <c r="F1519" s="1114">
        <v>0.5</v>
      </c>
      <c r="G1519" s="1114" t="s">
        <v>314</v>
      </c>
      <c r="H1519" s="1103" t="s">
        <v>3534</v>
      </c>
      <c r="I1519" s="1114">
        <f>C12</f>
        <v>562</v>
      </c>
      <c r="J1519" s="1103" t="s">
        <v>314</v>
      </c>
      <c r="K1519" s="1114">
        <f>(F1519*I1519)</f>
        <v>281</v>
      </c>
      <c r="O1519" s="1103" t="s">
        <v>4412</v>
      </c>
      <c r="Q1519" s="1107"/>
      <c r="AE1519" s="1114">
        <f t="shared" si="203"/>
        <v>0</v>
      </c>
    </row>
    <row r="1520" spans="6:31" ht="24" customHeight="1">
      <c r="F1520" s="1114">
        <v>0.8</v>
      </c>
      <c r="G1520" s="1114" t="s">
        <v>314</v>
      </c>
      <c r="H1520" s="1103" t="s">
        <v>4420</v>
      </c>
      <c r="I1520" s="1114">
        <f>C13</f>
        <v>461</v>
      </c>
      <c r="J1520" s="1103" t="s">
        <v>314</v>
      </c>
      <c r="K1520" s="1114">
        <f>(F1520*I1520)</f>
        <v>368.8</v>
      </c>
      <c r="O1520" s="1111" t="s">
        <v>36</v>
      </c>
      <c r="Q1520" s="1107"/>
      <c r="AE1520" s="1114">
        <f t="shared" si="203"/>
        <v>0</v>
      </c>
    </row>
    <row r="1521" spans="6:31" ht="24" customHeight="1">
      <c r="G1521" s="1114" t="s">
        <v>2851</v>
      </c>
      <c r="H1521" s="1103" t="s">
        <v>3351</v>
      </c>
      <c r="J1521" s="1103" t="s">
        <v>2851</v>
      </c>
      <c r="K1521" s="1114">
        <v>1.5</v>
      </c>
      <c r="M1521" s="1114">
        <v>2.1800000000000002</v>
      </c>
      <c r="N1521" s="1114" t="s">
        <v>165</v>
      </c>
      <c r="O1521" s="1103" t="s">
        <v>4421</v>
      </c>
      <c r="P1521" s="1114">
        <v>70</v>
      </c>
      <c r="Q1521" s="1103" t="s">
        <v>165</v>
      </c>
      <c r="R1521" s="1114">
        <f>M1521*P1521</f>
        <v>152.60000000000002</v>
      </c>
      <c r="AE1521" s="1114">
        <f t="shared" si="203"/>
        <v>0</v>
      </c>
    </row>
    <row r="1522" spans="6:31" ht="24" customHeight="1">
      <c r="M1522" s="1114">
        <v>0.75</v>
      </c>
      <c r="N1522" s="1114" t="s">
        <v>2838</v>
      </c>
      <c r="O1522" s="1103" t="s">
        <v>4414</v>
      </c>
      <c r="P1522" s="1114">
        <f>C14</f>
        <v>688</v>
      </c>
      <c r="Q1522" s="1103" t="s">
        <v>2838</v>
      </c>
      <c r="R1522" s="1114">
        <f>M1522*P1522</f>
        <v>516</v>
      </c>
      <c r="AE1522" s="1114">
        <f t="shared" si="203"/>
        <v>0</v>
      </c>
    </row>
    <row r="1523" spans="6:31" ht="24" customHeight="1">
      <c r="K1523" s="1111" t="s">
        <v>36</v>
      </c>
      <c r="M1523" s="1114">
        <v>0.75</v>
      </c>
      <c r="N1523" s="1114" t="s">
        <v>2838</v>
      </c>
      <c r="O1523" s="1103" t="s">
        <v>4217</v>
      </c>
      <c r="P1523" s="1114">
        <f>C12</f>
        <v>562</v>
      </c>
      <c r="Q1523" s="1103" t="s">
        <v>2838</v>
      </c>
      <c r="R1523" s="1114">
        <f>M1523*P1523</f>
        <v>421.5</v>
      </c>
      <c r="AE1523" s="1114">
        <f t="shared" si="203"/>
        <v>0</v>
      </c>
    </row>
    <row r="1524" spans="6:31" ht="24" customHeight="1">
      <c r="H1524" s="1104" t="s">
        <v>4422</v>
      </c>
      <c r="K1524" s="1114">
        <f>SUM(K1517:K1521)</f>
        <v>1472.7</v>
      </c>
      <c r="M1524" s="1114">
        <v>1.2</v>
      </c>
      <c r="N1524" s="1114" t="s">
        <v>2838</v>
      </c>
      <c r="O1524" s="1103" t="s">
        <v>3026</v>
      </c>
      <c r="P1524" s="1114">
        <f>C13</f>
        <v>461</v>
      </c>
      <c r="Q1524" s="1103" t="s">
        <v>2838</v>
      </c>
      <c r="R1524" s="1114">
        <f>M1524*P1524</f>
        <v>553.19999999999993</v>
      </c>
      <c r="AE1524" s="1114">
        <f t="shared" si="203"/>
        <v>0</v>
      </c>
    </row>
    <row r="1525" spans="6:31" ht="24" customHeight="1">
      <c r="K1525" s="1111" t="s">
        <v>36</v>
      </c>
      <c r="N1525" s="1114" t="s">
        <v>2851</v>
      </c>
      <c r="O1525" s="1103" t="s">
        <v>3351</v>
      </c>
      <c r="P1525" s="1103" t="s">
        <v>220</v>
      </c>
      <c r="Q1525" s="1103" t="s">
        <v>2851</v>
      </c>
      <c r="R1525" s="1114">
        <v>1.5</v>
      </c>
      <c r="AE1525" s="1114">
        <f t="shared" si="203"/>
        <v>0</v>
      </c>
    </row>
    <row r="1526" spans="6:31" ht="24" customHeight="1">
      <c r="F1526" s="1103" t="s">
        <v>220</v>
      </c>
      <c r="G1526" s="1114" t="s">
        <v>220</v>
      </c>
      <c r="H1526" s="1118" t="s">
        <v>4203</v>
      </c>
      <c r="I1526" s="1106" t="s">
        <v>220</v>
      </c>
      <c r="J1526" s="1106" t="s">
        <v>220</v>
      </c>
      <c r="K1526" s="1115">
        <f>K1524/10</f>
        <v>147.27000000000001</v>
      </c>
      <c r="Q1526" s="1107"/>
      <c r="R1526" s="1111" t="s">
        <v>36</v>
      </c>
      <c r="AE1526" s="1114">
        <f t="shared" si="203"/>
        <v>0</v>
      </c>
    </row>
    <row r="1527" spans="6:31" ht="24" customHeight="1">
      <c r="K1527" s="1111" t="s">
        <v>2793</v>
      </c>
      <c r="O1527" s="1103" t="s">
        <v>3152</v>
      </c>
      <c r="Q1527" s="1107"/>
      <c r="R1527" s="1114">
        <f>SUM(R1521:R1525)</f>
        <v>1644.7999999999997</v>
      </c>
      <c r="AE1527" s="1114">
        <f t="shared" si="203"/>
        <v>0</v>
      </c>
    </row>
    <row r="1528" spans="6:31" ht="24" customHeight="1">
      <c r="F1528" s="1104" t="s">
        <v>4295</v>
      </c>
      <c r="G1528" s="1114" t="s">
        <v>1363</v>
      </c>
      <c r="H1528" s="1103" t="s">
        <v>4423</v>
      </c>
      <c r="Q1528" s="1107"/>
      <c r="R1528" s="1111" t="s">
        <v>36</v>
      </c>
      <c r="AE1528" s="1114">
        <f t="shared" si="203"/>
        <v>0</v>
      </c>
    </row>
    <row r="1529" spans="6:31" ht="24" customHeight="1">
      <c r="H1529" s="1103" t="s">
        <v>4424</v>
      </c>
      <c r="O1529" s="1103" t="s">
        <v>3154</v>
      </c>
      <c r="Q1529" s="1107"/>
      <c r="R1529" s="1114">
        <f>(R1527/10)</f>
        <v>164.47999999999996</v>
      </c>
      <c r="AE1529" s="1114">
        <f t="shared" si="203"/>
        <v>0</v>
      </c>
    </row>
    <row r="1530" spans="6:31" ht="24" customHeight="1">
      <c r="H1530" s="1103" t="s">
        <v>4425</v>
      </c>
      <c r="Q1530" s="1107"/>
      <c r="R1530" s="1111" t="s">
        <v>2793</v>
      </c>
      <c r="AE1530" s="1114">
        <f t="shared" si="203"/>
        <v>0</v>
      </c>
    </row>
    <row r="1531" spans="6:31" ht="24" customHeight="1">
      <c r="H1531" s="1111" t="s">
        <v>36</v>
      </c>
      <c r="L1531" s="1188"/>
      <c r="M1531" s="1189"/>
      <c r="N1531" s="1493" t="s">
        <v>4426</v>
      </c>
      <c r="O1531" s="1493"/>
      <c r="P1531" s="1493"/>
      <c r="Q1531" s="1493"/>
      <c r="R1531" s="1493"/>
      <c r="AE1531" s="1114">
        <f t="shared" si="203"/>
        <v>0</v>
      </c>
    </row>
    <row r="1532" spans="6:31" ht="24" customHeight="1">
      <c r="F1532" s="1114">
        <v>1.44</v>
      </c>
      <c r="G1532" s="1114" t="s">
        <v>4284</v>
      </c>
      <c r="H1532" s="1103" t="s">
        <v>4427</v>
      </c>
      <c r="I1532" s="1114">
        <f>(C196)</f>
        <v>146.1</v>
      </c>
      <c r="J1532" s="1103" t="s">
        <v>4284</v>
      </c>
      <c r="K1532" s="1114">
        <f>(F1532*I1532)</f>
        <v>210.38399999999999</v>
      </c>
      <c r="L1532" s="1190"/>
      <c r="M1532" s="1191"/>
      <c r="N1532" s="1192"/>
      <c r="O1532" s="1193" t="s">
        <v>4428</v>
      </c>
      <c r="P1532" s="1192"/>
      <c r="Q1532" s="1192"/>
      <c r="R1532" s="1192"/>
      <c r="AE1532" s="1114">
        <f t="shared" si="203"/>
        <v>0</v>
      </c>
    </row>
    <row r="1533" spans="6:31" ht="24" customHeight="1">
      <c r="F1533" s="1114">
        <v>0.7</v>
      </c>
      <c r="G1533" s="1114" t="s">
        <v>2941</v>
      </c>
      <c r="H1533" s="1103" t="s">
        <v>4287</v>
      </c>
      <c r="I1533" s="1114">
        <f>(C14)</f>
        <v>688</v>
      </c>
      <c r="J1533" s="1103" t="s">
        <v>2941</v>
      </c>
      <c r="K1533" s="1114">
        <f>(F1533*I1533)</f>
        <v>481.59999999999997</v>
      </c>
      <c r="L1533" s="1190"/>
      <c r="M1533" s="1191"/>
      <c r="N1533" s="1192"/>
      <c r="O1533" s="1194"/>
      <c r="P1533" s="1192"/>
      <c r="Q1533" s="1192"/>
      <c r="R1533" s="1192"/>
      <c r="AE1533" s="1114">
        <f t="shared" si="203"/>
        <v>0</v>
      </c>
    </row>
    <row r="1534" spans="6:31" ht="24" customHeight="1">
      <c r="F1534" s="1114">
        <v>2.5499999999999998</v>
      </c>
      <c r="G1534" s="1114" t="s">
        <v>4284</v>
      </c>
      <c r="H1534" s="1103" t="s">
        <v>4429</v>
      </c>
      <c r="I1534" s="1114">
        <f>(C195)</f>
        <v>236.6</v>
      </c>
      <c r="J1534" s="1103" t="s">
        <v>4284</v>
      </c>
      <c r="K1534" s="1114">
        <f>(F1534*I1534)</f>
        <v>603.32999999999993</v>
      </c>
      <c r="L1534" s="1190"/>
      <c r="M1534" s="1191"/>
      <c r="N1534" s="1192"/>
      <c r="O1534" s="1194"/>
      <c r="P1534" s="1192"/>
      <c r="Q1534" s="1192"/>
      <c r="R1534" s="1192"/>
      <c r="AE1534" s="1114">
        <f t="shared" ref="AE1534:AE1597" si="206">AG1534</f>
        <v>0</v>
      </c>
    </row>
    <row r="1535" spans="6:31" ht="24" customHeight="1">
      <c r="F1535" s="1114">
        <v>1.2</v>
      </c>
      <c r="G1535" s="1114" t="s">
        <v>2941</v>
      </c>
      <c r="H1535" s="1103" t="s">
        <v>4287</v>
      </c>
      <c r="I1535" s="1114">
        <f>(C14)</f>
        <v>688</v>
      </c>
      <c r="J1535" s="1103" t="s">
        <v>2941</v>
      </c>
      <c r="K1535" s="1114">
        <f>(F1535*I1535)</f>
        <v>825.6</v>
      </c>
      <c r="L1535" s="1190"/>
      <c r="M1535" s="1191">
        <v>19.13</v>
      </c>
      <c r="N1535" s="1192" t="s">
        <v>3236</v>
      </c>
      <c r="O1535" s="1194" t="s">
        <v>4430</v>
      </c>
      <c r="P1535" s="1192">
        <f>P1489</f>
        <v>301</v>
      </c>
      <c r="Q1535" s="1192" t="s">
        <v>3236</v>
      </c>
      <c r="R1535" s="1192">
        <f>P1535*M1535</f>
        <v>5758.13</v>
      </c>
      <c r="AE1535" s="1114">
        <f t="shared" si="206"/>
        <v>0</v>
      </c>
    </row>
    <row r="1536" spans="6:31" ht="24" customHeight="1">
      <c r="G1536" s="1114" t="s">
        <v>2851</v>
      </c>
      <c r="H1536" s="1103" t="s">
        <v>4187</v>
      </c>
      <c r="I1536" s="1103" t="s">
        <v>220</v>
      </c>
      <c r="J1536" s="1103" t="s">
        <v>2851</v>
      </c>
      <c r="K1536" s="1114">
        <v>1.5</v>
      </c>
      <c r="L1536" s="1190"/>
      <c r="M1536" s="1191">
        <v>2.97</v>
      </c>
      <c r="N1536" s="1192" t="s">
        <v>833</v>
      </c>
      <c r="O1536" s="1194" t="s">
        <v>4431</v>
      </c>
      <c r="P1536" s="1192">
        <f>P1493</f>
        <v>208.8</v>
      </c>
      <c r="Q1536" s="1192" t="s">
        <v>833</v>
      </c>
      <c r="R1536" s="1192">
        <f t="shared" ref="R1536:R1541" si="207">P1536*M1536</f>
        <v>620.13600000000008</v>
      </c>
      <c r="AE1536" s="1114">
        <f t="shared" si="206"/>
        <v>0</v>
      </c>
    </row>
    <row r="1537" spans="6:31" ht="24" customHeight="1">
      <c r="K1537" s="1111" t="s">
        <v>36</v>
      </c>
      <c r="L1537" s="1190"/>
      <c r="M1537" s="1191">
        <v>15.3</v>
      </c>
      <c r="N1537" s="1192" t="s">
        <v>61</v>
      </c>
      <c r="O1537" s="1194" t="s">
        <v>4432</v>
      </c>
      <c r="P1537" s="1192">
        <f>P1494</f>
        <v>28.8</v>
      </c>
      <c r="Q1537" s="1192" t="s">
        <v>61</v>
      </c>
      <c r="R1537" s="1192">
        <f t="shared" si="207"/>
        <v>440.64000000000004</v>
      </c>
      <c r="AE1537" s="1114">
        <f t="shared" si="206"/>
        <v>0</v>
      </c>
    </row>
    <row r="1538" spans="6:31" ht="24" customHeight="1">
      <c r="H1538" s="1103" t="s">
        <v>3152</v>
      </c>
      <c r="K1538" s="1114">
        <f>SUM(K1532:K1536)</f>
        <v>2122.4139999999998</v>
      </c>
      <c r="L1538" s="1190"/>
      <c r="M1538" s="1191">
        <v>3</v>
      </c>
      <c r="N1538" s="1192" t="s">
        <v>4433</v>
      </c>
      <c r="O1538" s="1194" t="s">
        <v>4434</v>
      </c>
      <c r="P1538" s="1192">
        <f>I4009</f>
        <v>350</v>
      </c>
      <c r="Q1538" s="1192" t="s">
        <v>2941</v>
      </c>
      <c r="R1538" s="1192">
        <f t="shared" si="207"/>
        <v>1050</v>
      </c>
      <c r="AE1538" s="1114">
        <f t="shared" si="206"/>
        <v>0</v>
      </c>
    </row>
    <row r="1539" spans="6:31" ht="24" customHeight="1">
      <c r="K1539" s="1111" t="s">
        <v>36</v>
      </c>
      <c r="L1539" s="1190"/>
      <c r="M1539" s="1191">
        <v>3</v>
      </c>
      <c r="N1539" s="1192" t="s">
        <v>2941</v>
      </c>
      <c r="O1539" s="1194" t="s">
        <v>4435</v>
      </c>
      <c r="P1539" s="1192">
        <f>I4010</f>
        <v>53.4</v>
      </c>
      <c r="Q1539" s="1192" t="s">
        <v>2941</v>
      </c>
      <c r="R1539" s="1192">
        <f t="shared" si="207"/>
        <v>160.19999999999999</v>
      </c>
      <c r="AE1539" s="1114">
        <f t="shared" si="206"/>
        <v>0</v>
      </c>
    </row>
    <row r="1540" spans="6:31" ht="24" customHeight="1">
      <c r="H1540" s="1118" t="s">
        <v>3154</v>
      </c>
      <c r="I1540" s="1119"/>
      <c r="J1540" s="1136"/>
      <c r="K1540" s="1115">
        <f>(K1538/10)</f>
        <v>212.24139999999997</v>
      </c>
      <c r="L1540" s="1190"/>
      <c r="M1540" s="1191">
        <v>6</v>
      </c>
      <c r="N1540" s="1192" t="s">
        <v>2941</v>
      </c>
      <c r="O1540" s="1194" t="s">
        <v>4436</v>
      </c>
      <c r="P1540" s="1192">
        <f>I3995</f>
        <v>15</v>
      </c>
      <c r="Q1540" s="1192" t="s">
        <v>2941</v>
      </c>
      <c r="R1540" s="1192">
        <f t="shared" si="207"/>
        <v>90</v>
      </c>
      <c r="AE1540" s="1114">
        <f t="shared" si="206"/>
        <v>0</v>
      </c>
    </row>
    <row r="1541" spans="6:31" ht="24" customHeight="1">
      <c r="F1541" s="1103" t="s">
        <v>220</v>
      </c>
      <c r="L1541" s="1190"/>
      <c r="M1541" s="1191">
        <v>2.97</v>
      </c>
      <c r="N1541" s="1192" t="s">
        <v>37</v>
      </c>
      <c r="O1541" s="1194" t="s">
        <v>4437</v>
      </c>
      <c r="P1541" s="1192">
        <f>R1552</f>
        <v>1724</v>
      </c>
      <c r="Q1541" s="1192" t="s">
        <v>37</v>
      </c>
      <c r="R1541" s="1192">
        <f t="shared" si="207"/>
        <v>5120.2800000000007</v>
      </c>
      <c r="AE1541" s="1114">
        <f t="shared" si="206"/>
        <v>0</v>
      </c>
    </row>
    <row r="1542" spans="6:31" ht="24" customHeight="1">
      <c r="K1542" s="1111" t="s">
        <v>2793</v>
      </c>
      <c r="L1542" s="1190"/>
      <c r="M1542" s="1191"/>
      <c r="N1542" s="1192"/>
      <c r="O1542" s="1194" t="s">
        <v>234</v>
      </c>
      <c r="P1542" s="1189"/>
      <c r="Q1542" s="1195"/>
      <c r="R1542" s="1192">
        <v>3.5</v>
      </c>
      <c r="AE1542" s="1114">
        <f t="shared" si="206"/>
        <v>0</v>
      </c>
    </row>
    <row r="1543" spans="6:31" ht="24" customHeight="1">
      <c r="F1543" s="1126">
        <v>41</v>
      </c>
      <c r="G1543" s="1114" t="s">
        <v>1363</v>
      </c>
      <c r="H1543" s="1103" t="s">
        <v>4438</v>
      </c>
      <c r="L1543" s="1190"/>
      <c r="M1543" s="1189"/>
      <c r="N1543" s="1189"/>
      <c r="O1543" s="1103" t="s">
        <v>4439</v>
      </c>
      <c r="P1543" s="1189"/>
      <c r="Q1543" s="1189"/>
      <c r="R1543" s="1196">
        <f>SUM(R1535:R1542)</f>
        <v>13242.886000000002</v>
      </c>
      <c r="AE1543" s="1114">
        <f t="shared" si="206"/>
        <v>0</v>
      </c>
    </row>
    <row r="1544" spans="6:31" ht="24" customHeight="1">
      <c r="H1544" s="1103" t="s">
        <v>4440</v>
      </c>
      <c r="L1544" s="1197"/>
      <c r="M1544" s="1189"/>
      <c r="N1544" s="1189"/>
      <c r="AE1544" s="1114">
        <f t="shared" si="206"/>
        <v>0</v>
      </c>
    </row>
    <row r="1545" spans="6:31" ht="24" customHeight="1">
      <c r="H1545" s="1103" t="s">
        <v>4441</v>
      </c>
      <c r="L1545" s="1188"/>
      <c r="M1545" s="1189"/>
      <c r="N1545" s="1189"/>
      <c r="O1545" s="1103" t="s">
        <v>3154</v>
      </c>
      <c r="P1545" s="1189"/>
      <c r="Q1545" s="1189"/>
      <c r="R1545" s="1198">
        <f>R1543/2.97</f>
        <v>4458.8841750841757</v>
      </c>
      <c r="S1545" s="1108">
        <f>R1545-3740</f>
        <v>718.88417508417569</v>
      </c>
      <c r="AE1545" s="1114">
        <f t="shared" si="206"/>
        <v>0</v>
      </c>
    </row>
    <row r="1546" spans="6:31" ht="24" customHeight="1">
      <c r="H1546" s="1111" t="s">
        <v>36</v>
      </c>
      <c r="L1546" s="1190"/>
      <c r="M1546" s="1189"/>
      <c r="N1546" s="1189"/>
      <c r="O1546" s="1199"/>
      <c r="P1546" s="1189"/>
      <c r="Q1546" s="1189"/>
      <c r="R1546" s="1189"/>
      <c r="AE1546" s="1114">
        <f t="shared" si="206"/>
        <v>0</v>
      </c>
    </row>
    <row r="1547" spans="6:31" ht="24" customHeight="1">
      <c r="F1547" s="1114">
        <v>2.2200000000000002</v>
      </c>
      <c r="G1547" s="1114" t="s">
        <v>4284</v>
      </c>
      <c r="H1547" s="1103" t="s">
        <v>4429</v>
      </c>
      <c r="I1547" s="1114">
        <f>(C207)</f>
        <v>225.4</v>
      </c>
      <c r="J1547" s="1103" t="s">
        <v>4284</v>
      </c>
      <c r="K1547" s="1114">
        <f>(F1547*I1547)</f>
        <v>500.38800000000003</v>
      </c>
      <c r="L1547" s="1190"/>
      <c r="M1547" s="1192">
        <v>1</v>
      </c>
      <c r="N1547" s="1192" t="s">
        <v>2838</v>
      </c>
      <c r="O1547" s="1194" t="s">
        <v>4442</v>
      </c>
      <c r="P1547" s="1192">
        <f>AE17</f>
        <v>760</v>
      </c>
      <c r="Q1547" s="1194" t="s">
        <v>2838</v>
      </c>
      <c r="R1547" s="1192">
        <f>P1547*M1547</f>
        <v>760</v>
      </c>
      <c r="AE1547" s="1114">
        <f t="shared" si="206"/>
        <v>0</v>
      </c>
    </row>
    <row r="1548" spans="6:31" ht="24" customHeight="1">
      <c r="F1548" s="1114">
        <v>1.1000000000000001</v>
      </c>
      <c r="G1548" s="1114" t="s">
        <v>2941</v>
      </c>
      <c r="H1548" s="1103" t="s">
        <v>4287</v>
      </c>
      <c r="I1548" s="1114">
        <f>(C14)</f>
        <v>688</v>
      </c>
      <c r="J1548" s="1103" t="s">
        <v>2941</v>
      </c>
      <c r="K1548" s="1114">
        <f>(F1548*I1548)</f>
        <v>756.80000000000007</v>
      </c>
      <c r="L1548" s="1190"/>
      <c r="M1548" s="1192">
        <v>1</v>
      </c>
      <c r="N1548" s="1192" t="s">
        <v>2838</v>
      </c>
      <c r="O1548" s="1194" t="s">
        <v>4443</v>
      </c>
      <c r="P1548" s="1192">
        <f>AE11</f>
        <v>562</v>
      </c>
      <c r="Q1548" s="1194" t="s">
        <v>2838</v>
      </c>
      <c r="R1548" s="1192">
        <f>P1548*M1548</f>
        <v>562</v>
      </c>
      <c r="AE1548" s="1114">
        <f t="shared" si="206"/>
        <v>0</v>
      </c>
    </row>
    <row r="1549" spans="6:31" ht="24" customHeight="1">
      <c r="G1549" s="1114" t="s">
        <v>2851</v>
      </c>
      <c r="H1549" s="1103" t="s">
        <v>4187</v>
      </c>
      <c r="I1549" s="1103" t="s">
        <v>220</v>
      </c>
      <c r="J1549" s="1103" t="s">
        <v>2851</v>
      </c>
      <c r="K1549" s="1114">
        <v>1.5</v>
      </c>
      <c r="L1549" s="1190"/>
      <c r="M1549" s="1192">
        <v>0.5</v>
      </c>
      <c r="N1549" s="1192" t="s">
        <v>2838</v>
      </c>
      <c r="O1549" s="1194" t="s">
        <v>4444</v>
      </c>
      <c r="P1549" s="1192">
        <f>AE20</f>
        <v>804</v>
      </c>
      <c r="Q1549" s="1194" t="s">
        <v>2838</v>
      </c>
      <c r="R1549" s="1192">
        <f>P1549*M1549</f>
        <v>402</v>
      </c>
      <c r="AE1549" s="1114">
        <f t="shared" si="206"/>
        <v>0</v>
      </c>
    </row>
    <row r="1550" spans="6:31" ht="24" customHeight="1">
      <c r="K1550" s="1111" t="s">
        <v>36</v>
      </c>
      <c r="L1550" s="1190"/>
      <c r="M1550" s="1189"/>
      <c r="N1550" s="1189"/>
      <c r="O1550" s="1189"/>
      <c r="P1550" s="1189"/>
      <c r="Q1550" s="1200"/>
      <c r="R1550" s="1192"/>
      <c r="AE1550" s="1114">
        <f t="shared" si="206"/>
        <v>0</v>
      </c>
    </row>
    <row r="1551" spans="6:31" ht="24" customHeight="1">
      <c r="H1551" s="1103" t="s">
        <v>3152</v>
      </c>
      <c r="K1551" s="1114">
        <f>SUM(K1547:K1549)</f>
        <v>1258.6880000000001</v>
      </c>
      <c r="L1551" s="1190"/>
      <c r="M1551" s="1189"/>
      <c r="N1551" s="1189"/>
      <c r="O1551" s="1194" t="s">
        <v>4445</v>
      </c>
      <c r="P1551" s="1189"/>
      <c r="Q1551" s="1200"/>
      <c r="R1551" s="1201" t="s">
        <v>36</v>
      </c>
      <c r="AE1551" s="1114">
        <f t="shared" si="206"/>
        <v>0</v>
      </c>
    </row>
    <row r="1552" spans="6:31" ht="24" customHeight="1">
      <c r="K1552" s="1111" t="s">
        <v>36</v>
      </c>
      <c r="L1552" s="1190"/>
      <c r="M1552" s="1189"/>
      <c r="N1552" s="1189"/>
      <c r="O1552" s="1189"/>
      <c r="P1552" s="1189"/>
      <c r="Q1552" s="1200"/>
      <c r="R1552" s="1196">
        <f>SUM(R1547:R1551)</f>
        <v>1724</v>
      </c>
      <c r="AE1552" s="1114">
        <f t="shared" si="206"/>
        <v>0</v>
      </c>
    </row>
    <row r="1553" spans="6:31" ht="24" customHeight="1">
      <c r="H1553" s="1118" t="s">
        <v>3154</v>
      </c>
      <c r="I1553" s="1119"/>
      <c r="J1553" s="1136"/>
      <c r="K1553" s="1115">
        <f>(K1551/10)</f>
        <v>125.86880000000001</v>
      </c>
      <c r="L1553" s="1190"/>
      <c r="AE1553" s="1114">
        <f t="shared" si="206"/>
        <v>0</v>
      </c>
    </row>
    <row r="1554" spans="6:31" ht="24" customHeight="1">
      <c r="H1554" s="1103"/>
      <c r="K1554" s="1114"/>
      <c r="L1554" s="1190"/>
      <c r="AE1554" s="1114">
        <f t="shared" si="206"/>
        <v>0</v>
      </c>
    </row>
    <row r="1555" spans="6:31" ht="24" customHeight="1">
      <c r="H1555" s="1103"/>
      <c r="K1555" s="1114"/>
      <c r="L1555" s="1190"/>
      <c r="AE1555" s="1114">
        <f t="shared" si="206"/>
        <v>0</v>
      </c>
    </row>
    <row r="1556" spans="6:31" ht="24" customHeight="1">
      <c r="F1556" s="1202">
        <v>238</v>
      </c>
      <c r="G1556" s="1203" t="s">
        <v>1363</v>
      </c>
      <c r="H1556" s="1204" t="s">
        <v>4446</v>
      </c>
      <c r="I1556" s="1205"/>
      <c r="J1556" s="1206"/>
      <c r="K1556" s="1205"/>
      <c r="L1556" s="1190"/>
      <c r="AE1556" s="1114">
        <f t="shared" si="206"/>
        <v>0</v>
      </c>
    </row>
    <row r="1557" spans="6:31" ht="24" customHeight="1">
      <c r="F1557" s="1207"/>
      <c r="G1557" s="1208"/>
      <c r="H1557" s="1209" t="s">
        <v>4447</v>
      </c>
      <c r="I1557" s="1208"/>
      <c r="J1557" s="1210"/>
      <c r="K1557" s="1208"/>
      <c r="L1557" s="1197"/>
      <c r="AE1557" s="1114">
        <f t="shared" si="206"/>
        <v>0</v>
      </c>
    </row>
    <row r="1558" spans="6:31" ht="24" customHeight="1">
      <c r="F1558" s="1207"/>
      <c r="G1558" s="1208"/>
      <c r="H1558" s="1211" t="s">
        <v>36</v>
      </c>
      <c r="I1558" s="1208"/>
      <c r="J1558" s="1210"/>
      <c r="K1558" s="1208"/>
      <c r="AE1558" s="1114">
        <f t="shared" si="206"/>
        <v>0</v>
      </c>
    </row>
    <row r="1559" spans="6:31" ht="24" customHeight="1">
      <c r="F1559" s="1212">
        <v>20</v>
      </c>
      <c r="G1559" s="1213" t="s">
        <v>4284</v>
      </c>
      <c r="H1559" s="1209" t="s">
        <v>4448</v>
      </c>
      <c r="I1559" s="1213">
        <f>D40</f>
        <v>116.2</v>
      </c>
      <c r="J1559" s="1209" t="s">
        <v>4284</v>
      </c>
      <c r="K1559" s="1213">
        <f>(F1559*I1559)</f>
        <v>2324</v>
      </c>
      <c r="AE1559" s="1114">
        <f t="shared" si="206"/>
        <v>0</v>
      </c>
    </row>
    <row r="1560" spans="6:31" ht="24" customHeight="1">
      <c r="F1560" s="1207"/>
      <c r="G1560" s="1208"/>
      <c r="H1560" s="1209" t="s">
        <v>4449</v>
      </c>
      <c r="I1560" s="1208"/>
      <c r="J1560" s="1210"/>
      <c r="K1560" s="1209" t="s">
        <v>220</v>
      </c>
      <c r="AE1560" s="1114">
        <f t="shared" si="206"/>
        <v>0</v>
      </c>
    </row>
    <row r="1561" spans="6:31" ht="24" customHeight="1">
      <c r="F1561" s="1212">
        <v>50</v>
      </c>
      <c r="G1561" s="1213" t="s">
        <v>165</v>
      </c>
      <c r="H1561" s="1209" t="s">
        <v>2830</v>
      </c>
      <c r="I1561" s="1213">
        <f>C67/1000</f>
        <v>5.96</v>
      </c>
      <c r="J1561" s="1209" t="s">
        <v>165</v>
      </c>
      <c r="K1561" s="1213">
        <f>(F1561*I1561)</f>
        <v>298</v>
      </c>
      <c r="AE1561" s="1114">
        <f t="shared" si="206"/>
        <v>0</v>
      </c>
    </row>
    <row r="1562" spans="6:31" ht="24" customHeight="1">
      <c r="F1562" s="1212">
        <v>1</v>
      </c>
      <c r="G1562" s="1213" t="s">
        <v>2851</v>
      </c>
      <c r="H1562" s="1209" t="s">
        <v>4450</v>
      </c>
      <c r="I1562" s="1213">
        <v>75</v>
      </c>
      <c r="J1562" s="1209" t="s">
        <v>2851</v>
      </c>
      <c r="K1562" s="1213">
        <f>(F1562*I1562)</f>
        <v>75</v>
      </c>
      <c r="AE1562" s="1114">
        <f t="shared" si="206"/>
        <v>0</v>
      </c>
    </row>
    <row r="1563" spans="6:31" ht="24" customHeight="1">
      <c r="F1563" s="1212">
        <v>1</v>
      </c>
      <c r="G1563" s="1213" t="s">
        <v>2851</v>
      </c>
      <c r="H1563" s="1209" t="s">
        <v>4451</v>
      </c>
      <c r="I1563" s="1213">
        <f>C38</f>
        <v>40</v>
      </c>
      <c r="J1563" s="1209" t="s">
        <v>2851</v>
      </c>
      <c r="K1563" s="1213">
        <f>(F1563*I1563)</f>
        <v>40</v>
      </c>
      <c r="AE1563" s="1114">
        <f t="shared" si="206"/>
        <v>0</v>
      </c>
    </row>
    <row r="1564" spans="6:31" ht="24" customHeight="1">
      <c r="F1564" s="1212">
        <v>2.5</v>
      </c>
      <c r="G1564" s="1213" t="s">
        <v>2851</v>
      </c>
      <c r="H1564" s="1209" t="s">
        <v>4452</v>
      </c>
      <c r="I1564" s="1213">
        <f>D14</f>
        <v>666</v>
      </c>
      <c r="J1564" s="1209" t="s">
        <v>2851</v>
      </c>
      <c r="K1564" s="1213">
        <f>(F1564*I1564)</f>
        <v>1665</v>
      </c>
      <c r="AE1564" s="1114">
        <f t="shared" si="206"/>
        <v>0</v>
      </c>
    </row>
    <row r="1565" spans="6:31" ht="24" customHeight="1">
      <c r="F1565" s="1207"/>
      <c r="G1565" s="1213" t="s">
        <v>2851</v>
      </c>
      <c r="H1565" s="1209" t="s">
        <v>4453</v>
      </c>
      <c r="I1565" s="1208"/>
      <c r="J1565" s="1209" t="s">
        <v>2851</v>
      </c>
      <c r="K1565" s="1214">
        <v>1.5</v>
      </c>
      <c r="AE1565" s="1114">
        <f t="shared" si="206"/>
        <v>0</v>
      </c>
    </row>
    <row r="1566" spans="6:31" ht="24" customHeight="1">
      <c r="F1566" s="1207"/>
      <c r="G1566" s="1208"/>
      <c r="H1566" s="1208"/>
      <c r="I1566" s="1208"/>
      <c r="J1566" s="1210"/>
      <c r="K1566" s="1211" t="s">
        <v>36</v>
      </c>
      <c r="AE1566" s="1114">
        <f t="shared" si="206"/>
        <v>0</v>
      </c>
    </row>
    <row r="1567" spans="6:31" ht="24" customHeight="1">
      <c r="F1567" s="1207"/>
      <c r="G1567" s="1208"/>
      <c r="H1567" s="1215" t="s">
        <v>4454</v>
      </c>
      <c r="I1567" s="1216"/>
      <c r="J1567" s="1217"/>
      <c r="K1567" s="1218">
        <f>SUM(K1559:K1565)</f>
        <v>4403.5</v>
      </c>
      <c r="AE1567" s="1114">
        <f t="shared" si="206"/>
        <v>0</v>
      </c>
    </row>
    <row r="1568" spans="6:31" ht="24" customHeight="1">
      <c r="F1568" s="1207"/>
      <c r="G1568" s="1208"/>
      <c r="H1568" s="1209"/>
      <c r="I1568" s="1208"/>
      <c r="J1568" s="1210"/>
      <c r="K1568" s="1211" t="s">
        <v>36</v>
      </c>
      <c r="AE1568" s="1114">
        <f t="shared" si="206"/>
        <v>0</v>
      </c>
    </row>
    <row r="1569" spans="6:31" ht="24" customHeight="1">
      <c r="F1569" s="1219"/>
      <c r="G1569" s="1220"/>
      <c r="H1569" s="1220"/>
      <c r="I1569" s="1220"/>
      <c r="J1569" s="1221"/>
      <c r="K1569" s="1222"/>
      <c r="AE1569" s="1114">
        <f t="shared" si="206"/>
        <v>0</v>
      </c>
    </row>
    <row r="1570" spans="6:31" ht="24" customHeight="1">
      <c r="F1570" s="1223" t="s">
        <v>4455</v>
      </c>
      <c r="G1570" s="1203" t="s">
        <v>1363</v>
      </c>
      <c r="H1570" s="1204" t="s">
        <v>4456</v>
      </c>
      <c r="I1570" s="1205"/>
      <c r="J1570" s="1206"/>
      <c r="K1570" s="1205"/>
      <c r="AE1570" s="1114">
        <f t="shared" si="206"/>
        <v>0</v>
      </c>
    </row>
    <row r="1571" spans="6:31" ht="24" customHeight="1">
      <c r="F1571" s="1207"/>
      <c r="G1571" s="1208"/>
      <c r="H1571" s="1209" t="s">
        <v>4457</v>
      </c>
      <c r="I1571" s="1208"/>
      <c r="J1571" s="1210"/>
      <c r="K1571" s="1208"/>
      <c r="AE1571" s="1114">
        <f t="shared" si="206"/>
        <v>0</v>
      </c>
    </row>
    <row r="1572" spans="6:31" ht="24" customHeight="1">
      <c r="F1572" s="1207"/>
      <c r="G1572" s="1208"/>
      <c r="H1572" s="1211" t="s">
        <v>36</v>
      </c>
      <c r="I1572" s="1208"/>
      <c r="J1572" s="1210"/>
      <c r="K1572" s="1208"/>
      <c r="AE1572" s="1114">
        <f t="shared" si="206"/>
        <v>0</v>
      </c>
    </row>
    <row r="1573" spans="6:31" ht="24" customHeight="1">
      <c r="F1573" s="1212">
        <v>1</v>
      </c>
      <c r="G1573" s="1213" t="s">
        <v>4458</v>
      </c>
      <c r="H1573" s="1209" t="s">
        <v>4459</v>
      </c>
      <c r="I1573" s="1213">
        <f>(C139)</f>
        <v>51750</v>
      </c>
      <c r="J1573" s="1209" t="s">
        <v>58</v>
      </c>
      <c r="K1573" s="1213">
        <f>(F1573*I1573)/10</f>
        <v>5175</v>
      </c>
      <c r="AE1573" s="1114">
        <f t="shared" si="206"/>
        <v>0</v>
      </c>
    </row>
    <row r="1574" spans="6:31" ht="24" customHeight="1">
      <c r="F1574" s="1224">
        <v>0.01</v>
      </c>
      <c r="G1574" s="1213" t="s">
        <v>4458</v>
      </c>
      <c r="H1574" s="1209" t="s">
        <v>4460</v>
      </c>
      <c r="I1574" s="1213">
        <f>(C143)</f>
        <v>50300</v>
      </c>
      <c r="J1574" s="1209" t="s">
        <v>58</v>
      </c>
      <c r="K1574" s="1213">
        <f>(F1574*I1574)/10</f>
        <v>50.3</v>
      </c>
      <c r="AE1574" s="1114">
        <f t="shared" si="206"/>
        <v>0</v>
      </c>
    </row>
    <row r="1575" spans="6:31" ht="24" customHeight="1">
      <c r="F1575" s="1224">
        <v>3.5</v>
      </c>
      <c r="G1575" s="1213" t="s">
        <v>2941</v>
      </c>
      <c r="H1575" s="1209" t="s">
        <v>4461</v>
      </c>
      <c r="I1575" s="1213">
        <f>AE38</f>
        <v>747</v>
      </c>
      <c r="J1575" s="1209" t="s">
        <v>522</v>
      </c>
      <c r="K1575" s="1213">
        <f>(F1575*I1575)</f>
        <v>2614.5</v>
      </c>
      <c r="AE1575" s="1114">
        <f t="shared" si="206"/>
        <v>0</v>
      </c>
    </row>
    <row r="1576" spans="6:31" ht="24" customHeight="1">
      <c r="F1576" s="1212">
        <v>1.3</v>
      </c>
      <c r="G1576" s="1213" t="s">
        <v>165</v>
      </c>
      <c r="H1576" s="1209" t="s">
        <v>4462</v>
      </c>
      <c r="I1576" s="1213">
        <f>C67/1000</f>
        <v>5.96</v>
      </c>
      <c r="J1576" s="1209" t="s">
        <v>165</v>
      </c>
      <c r="K1576" s="1213">
        <f>(F1576*I1576)</f>
        <v>7.7480000000000002</v>
      </c>
      <c r="AE1576" s="1114">
        <f t="shared" si="206"/>
        <v>0</v>
      </c>
    </row>
    <row r="1577" spans="6:31" ht="24" customHeight="1">
      <c r="F1577" s="1212">
        <v>0.25</v>
      </c>
      <c r="G1577" s="1213" t="s">
        <v>2941</v>
      </c>
      <c r="H1577" s="1209" t="s">
        <v>4463</v>
      </c>
      <c r="I1577" s="1213">
        <f>D14</f>
        <v>666</v>
      </c>
      <c r="J1577" s="1209" t="s">
        <v>522</v>
      </c>
      <c r="K1577" s="1213">
        <f>(F1577*I1577)</f>
        <v>166.5</v>
      </c>
      <c r="AE1577" s="1114">
        <f t="shared" si="206"/>
        <v>0</v>
      </c>
    </row>
    <row r="1578" spans="6:31" ht="24" customHeight="1">
      <c r="F1578" s="1224"/>
      <c r="G1578" s="1213" t="s">
        <v>2851</v>
      </c>
      <c r="H1578" s="1209" t="s">
        <v>2852</v>
      </c>
      <c r="I1578" s="1208"/>
      <c r="J1578" s="1209" t="s">
        <v>2851</v>
      </c>
      <c r="K1578" s="1213">
        <f>(F1578*I1578)</f>
        <v>0</v>
      </c>
      <c r="AE1578" s="1114">
        <f t="shared" si="206"/>
        <v>0</v>
      </c>
    </row>
    <row r="1579" spans="6:31" ht="24" customHeight="1">
      <c r="F1579" s="1224"/>
      <c r="G1579" s="1208"/>
      <c r="H1579" s="1208"/>
      <c r="I1579" s="1208"/>
      <c r="J1579" s="1210"/>
      <c r="K1579" s="1211" t="s">
        <v>36</v>
      </c>
      <c r="AE1579" s="1114">
        <f t="shared" si="206"/>
        <v>0</v>
      </c>
    </row>
    <row r="1580" spans="6:31" ht="24" customHeight="1">
      <c r="F1580" s="1224"/>
      <c r="G1580" s="1208"/>
      <c r="H1580" s="1209" t="s">
        <v>4464</v>
      </c>
      <c r="I1580" s="1208"/>
      <c r="J1580" s="1210"/>
      <c r="K1580" s="1213">
        <f>SUM(K1573:K1578)</f>
        <v>8014.0479999999998</v>
      </c>
      <c r="AE1580" s="1114">
        <f t="shared" si="206"/>
        <v>0</v>
      </c>
    </row>
    <row r="1581" spans="6:31" ht="24" customHeight="1">
      <c r="F1581" s="1224"/>
      <c r="G1581" s="1208"/>
      <c r="H1581" s="1208"/>
      <c r="I1581" s="1208"/>
      <c r="J1581" s="1210"/>
      <c r="K1581" s="1211" t="s">
        <v>36</v>
      </c>
      <c r="AE1581" s="1114">
        <f t="shared" si="206"/>
        <v>0</v>
      </c>
    </row>
    <row r="1582" spans="6:31" ht="24" customHeight="1">
      <c r="F1582" s="1225"/>
      <c r="G1582" s="1220"/>
      <c r="H1582" s="1226" t="s">
        <v>4465</v>
      </c>
      <c r="I1582" s="1227"/>
      <c r="J1582" s="1228"/>
      <c r="K1582" s="1229">
        <f>(K1580*10)</f>
        <v>80140.479999999996</v>
      </c>
      <c r="AE1582" s="1114">
        <f t="shared" si="206"/>
        <v>0</v>
      </c>
    </row>
    <row r="1583" spans="6:31" ht="24" customHeight="1">
      <c r="F1583" s="1128"/>
      <c r="K1583" s="1111"/>
      <c r="AE1583" s="1114">
        <f t="shared" si="206"/>
        <v>0</v>
      </c>
    </row>
    <row r="1584" spans="6:31" ht="24" customHeight="1">
      <c r="F1584" s="1128"/>
      <c r="K1584" s="1111"/>
      <c r="AE1584" s="1114">
        <f t="shared" si="206"/>
        <v>0</v>
      </c>
    </row>
    <row r="1585" spans="6:31" ht="24" customHeight="1">
      <c r="F1585" s="1128"/>
      <c r="H1585" s="1230" t="s">
        <v>4466</v>
      </c>
      <c r="K1585" s="1111"/>
      <c r="AE1585" s="1114">
        <f t="shared" si="206"/>
        <v>0</v>
      </c>
    </row>
    <row r="1586" spans="6:31" ht="24" customHeight="1">
      <c r="F1586" s="1114">
        <v>1</v>
      </c>
      <c r="G1586" s="1114" t="s">
        <v>4458</v>
      </c>
      <c r="H1586" s="1103" t="s">
        <v>4467</v>
      </c>
      <c r="I1586" s="1105">
        <f>C138</f>
        <v>51750</v>
      </c>
      <c r="J1586" s="1103" t="s">
        <v>58</v>
      </c>
      <c r="K1586" s="1114">
        <f>(F1586*I1586)/10</f>
        <v>5175</v>
      </c>
      <c r="AE1586" s="1114">
        <f t="shared" si="206"/>
        <v>0</v>
      </c>
    </row>
    <row r="1587" spans="6:31" ht="24" customHeight="1">
      <c r="F1587" s="1128">
        <v>0.01</v>
      </c>
      <c r="G1587" s="1114" t="s">
        <v>4458</v>
      </c>
      <c r="H1587" s="1103" t="s">
        <v>4460</v>
      </c>
      <c r="I1587" s="1105">
        <f>C143</f>
        <v>50300</v>
      </c>
      <c r="J1587" s="1103" t="s">
        <v>58</v>
      </c>
      <c r="K1587" s="1114">
        <f>(F1587*I1587)/10</f>
        <v>50.3</v>
      </c>
      <c r="AE1587" s="1114">
        <f t="shared" si="206"/>
        <v>0</v>
      </c>
    </row>
    <row r="1588" spans="6:31" ht="24" customHeight="1">
      <c r="F1588" s="1128">
        <v>3.5</v>
      </c>
      <c r="G1588" s="1114" t="s">
        <v>2941</v>
      </c>
      <c r="H1588" s="1103" t="s">
        <v>4461</v>
      </c>
      <c r="I1588" s="1105">
        <f>I1575</f>
        <v>747</v>
      </c>
      <c r="J1588" s="1103" t="s">
        <v>522</v>
      </c>
      <c r="K1588" s="1114">
        <f>(F1588*I1588)</f>
        <v>2614.5</v>
      </c>
      <c r="AE1588" s="1114">
        <f t="shared" si="206"/>
        <v>0</v>
      </c>
    </row>
    <row r="1589" spans="6:31" ht="24" customHeight="1">
      <c r="F1589" s="1114">
        <v>1.3</v>
      </c>
      <c r="G1589" s="1114" t="s">
        <v>165</v>
      </c>
      <c r="H1589" s="1103" t="s">
        <v>4462</v>
      </c>
      <c r="I1589" s="1105">
        <f>C67/1000</f>
        <v>5.96</v>
      </c>
      <c r="J1589" s="1103" t="s">
        <v>165</v>
      </c>
      <c r="K1589" s="1114">
        <f>(F1589*I1589)</f>
        <v>7.7480000000000002</v>
      </c>
      <c r="AE1589" s="1114">
        <f t="shared" si="206"/>
        <v>0</v>
      </c>
    </row>
    <row r="1590" spans="6:31" ht="24" customHeight="1">
      <c r="F1590" s="1114">
        <v>0.25</v>
      </c>
      <c r="G1590" s="1114" t="s">
        <v>2941</v>
      </c>
      <c r="H1590" s="1103" t="s">
        <v>4463</v>
      </c>
      <c r="I1590" s="1105">
        <f>D14</f>
        <v>666</v>
      </c>
      <c r="J1590" s="1103" t="s">
        <v>522</v>
      </c>
      <c r="K1590" s="1114">
        <f>(F1590*I1590)</f>
        <v>166.5</v>
      </c>
      <c r="AE1590" s="1114">
        <f t="shared" si="206"/>
        <v>0</v>
      </c>
    </row>
    <row r="1591" spans="6:31" ht="24" customHeight="1">
      <c r="F1591" s="1128"/>
      <c r="G1591" s="1114" t="s">
        <v>2851</v>
      </c>
      <c r="H1591" s="1103" t="s">
        <v>2852</v>
      </c>
      <c r="J1591" s="1103" t="s">
        <v>2851</v>
      </c>
      <c r="K1591" s="1114">
        <f>(F1591*I1591)</f>
        <v>0</v>
      </c>
      <c r="AE1591" s="1114">
        <f t="shared" si="206"/>
        <v>0</v>
      </c>
    </row>
    <row r="1592" spans="6:31" ht="24" customHeight="1">
      <c r="F1592" s="1128"/>
      <c r="K1592" s="1111" t="s">
        <v>36</v>
      </c>
      <c r="AE1592" s="1114">
        <f t="shared" si="206"/>
        <v>0</v>
      </c>
    </row>
    <row r="1593" spans="6:31" ht="24" customHeight="1">
      <c r="F1593" s="1128"/>
      <c r="H1593" s="1103" t="s">
        <v>4464</v>
      </c>
      <c r="K1593" s="1114">
        <f>SUM(K1586:K1591)</f>
        <v>8014.0479999999998</v>
      </c>
      <c r="AE1593" s="1114">
        <f t="shared" si="206"/>
        <v>0</v>
      </c>
    </row>
    <row r="1594" spans="6:31" ht="24" customHeight="1">
      <c r="F1594" s="1128"/>
      <c r="K1594" s="1111" t="s">
        <v>36</v>
      </c>
      <c r="AE1594" s="1114">
        <f t="shared" si="206"/>
        <v>0</v>
      </c>
    </row>
    <row r="1595" spans="6:31" ht="24" customHeight="1">
      <c r="F1595" s="1128" t="s">
        <v>220</v>
      </c>
      <c r="H1595" s="1118" t="s">
        <v>4465</v>
      </c>
      <c r="I1595" s="1119"/>
      <c r="J1595" s="1136"/>
      <c r="K1595" s="1115">
        <f>(K1593*10)</f>
        <v>80140.479999999996</v>
      </c>
      <c r="AE1595" s="1114">
        <f t="shared" si="206"/>
        <v>0</v>
      </c>
    </row>
    <row r="1596" spans="6:31" ht="24" customHeight="1">
      <c r="F1596" s="1128"/>
      <c r="K1596" s="1111" t="s">
        <v>2793</v>
      </c>
      <c r="AE1596" s="1114">
        <f t="shared" si="206"/>
        <v>0</v>
      </c>
    </row>
    <row r="1597" spans="6:31" ht="24" customHeight="1">
      <c r="F1597" s="1128"/>
      <c r="H1597" s="1103" t="s">
        <v>220</v>
      </c>
      <c r="K1597" s="1103" t="s">
        <v>220</v>
      </c>
      <c r="AE1597" s="1114">
        <f t="shared" si="206"/>
        <v>0</v>
      </c>
    </row>
    <row r="1598" spans="6:31" ht="24" customHeight="1">
      <c r="F1598" s="1133" t="s">
        <v>4468</v>
      </c>
      <c r="G1598" s="1114" t="s">
        <v>3772</v>
      </c>
      <c r="H1598" s="1103" t="s">
        <v>4456</v>
      </c>
      <c r="O1598" s="1119" t="s">
        <v>4469</v>
      </c>
      <c r="AE1598" s="1114">
        <f t="shared" ref="AE1598:AE1661" si="208">AG1598</f>
        <v>0</v>
      </c>
    </row>
    <row r="1599" spans="6:31" ht="24" customHeight="1">
      <c r="F1599" s="1128"/>
      <c r="H1599" s="1103" t="s">
        <v>4470</v>
      </c>
      <c r="M1599" s="1133" t="s">
        <v>4468</v>
      </c>
      <c r="N1599" s="1114" t="s">
        <v>3772</v>
      </c>
      <c r="O1599" s="1103" t="s">
        <v>4456</v>
      </c>
      <c r="Q1599" s="1107"/>
      <c r="AE1599" s="1114">
        <f t="shared" si="208"/>
        <v>0</v>
      </c>
    </row>
    <row r="1600" spans="6:31" ht="24" customHeight="1">
      <c r="F1600" s="1128"/>
      <c r="H1600" s="1111" t="s">
        <v>36</v>
      </c>
      <c r="M1600" s="1128"/>
      <c r="O1600" s="1103" t="s">
        <v>4470</v>
      </c>
      <c r="Q1600" s="1107"/>
      <c r="AE1600" s="1114">
        <f t="shared" si="208"/>
        <v>0</v>
      </c>
    </row>
    <row r="1601" spans="6:31" ht="24" customHeight="1">
      <c r="F1601" s="1114">
        <v>1</v>
      </c>
      <c r="G1601" s="1114" t="s">
        <v>4458</v>
      </c>
      <c r="H1601" s="1103" t="s">
        <v>4459</v>
      </c>
      <c r="I1601" s="1114">
        <f>(C139)</f>
        <v>51750</v>
      </c>
      <c r="J1601" s="1103" t="s">
        <v>58</v>
      </c>
      <c r="K1601" s="1114">
        <f>(F1601*I1601)/10</f>
        <v>5175</v>
      </c>
      <c r="L1601" s="1105">
        <f>K1626+K1630</f>
        <v>393.42</v>
      </c>
      <c r="M1601" s="1128"/>
      <c r="O1601" s="1111" t="s">
        <v>36</v>
      </c>
      <c r="Q1601" s="1107"/>
      <c r="AE1601" s="1114">
        <f t="shared" si="208"/>
        <v>0</v>
      </c>
    </row>
    <row r="1602" spans="6:31" ht="24" customHeight="1">
      <c r="F1602" s="1128">
        <v>0.01</v>
      </c>
      <c r="G1602" s="1114" t="s">
        <v>4458</v>
      </c>
      <c r="H1602" s="1103" t="s">
        <v>4460</v>
      </c>
      <c r="I1602" s="1114">
        <f>I1587</f>
        <v>50300</v>
      </c>
      <c r="J1602" s="1103" t="s">
        <v>58</v>
      </c>
      <c r="K1602" s="1114">
        <f>(F1602*I1602)/10</f>
        <v>50.3</v>
      </c>
      <c r="L1602" s="1105">
        <f>L1601/3</f>
        <v>131.14000000000001</v>
      </c>
      <c r="M1602" s="1114">
        <v>1</v>
      </c>
      <c r="N1602" s="1114" t="s">
        <v>4458</v>
      </c>
      <c r="O1602" s="1103" t="s">
        <v>4459</v>
      </c>
      <c r="P1602" s="1114">
        <f>I1601</f>
        <v>51750</v>
      </c>
      <c r="Q1602" s="1103" t="s">
        <v>58</v>
      </c>
      <c r="R1602" s="1114">
        <f>(M1602*P1602)/10</f>
        <v>5175</v>
      </c>
      <c r="AE1602" s="1114">
        <f t="shared" si="208"/>
        <v>0</v>
      </c>
    </row>
    <row r="1603" spans="6:31" ht="24" customHeight="1">
      <c r="F1603" s="1128">
        <v>3.5</v>
      </c>
      <c r="G1603" s="1114" t="s">
        <v>2941</v>
      </c>
      <c r="H1603" s="1103" t="s">
        <v>4461</v>
      </c>
      <c r="I1603" s="1114">
        <f>AE38</f>
        <v>747</v>
      </c>
      <c r="J1603" s="1103" t="s">
        <v>2941</v>
      </c>
      <c r="K1603" s="1114">
        <f>(F1603*I1603)</f>
        <v>2614.5</v>
      </c>
      <c r="M1603" s="1128">
        <v>0.01</v>
      </c>
      <c r="N1603" s="1114" t="s">
        <v>4458</v>
      </c>
      <c r="O1603" s="1106" t="s">
        <v>4471</v>
      </c>
      <c r="P1603" s="1115">
        <f>80000/112*100</f>
        <v>71428.571428571435</v>
      </c>
      <c r="Q1603" s="1103" t="s">
        <v>58</v>
      </c>
      <c r="R1603" s="1114">
        <f>(M1603*P1603)/10</f>
        <v>71.428571428571431</v>
      </c>
      <c r="AE1603" s="1114">
        <f t="shared" si="208"/>
        <v>0</v>
      </c>
    </row>
    <row r="1604" spans="6:31" ht="24" customHeight="1">
      <c r="F1604" s="1128"/>
      <c r="G1604" s="1114" t="s">
        <v>2851</v>
      </c>
      <c r="H1604" s="1103" t="s">
        <v>2852</v>
      </c>
      <c r="J1604" s="1103" t="s">
        <v>2851</v>
      </c>
      <c r="K1604" s="1114">
        <v>0</v>
      </c>
      <c r="M1604" s="1128">
        <v>3.5</v>
      </c>
      <c r="N1604" s="1114" t="s">
        <v>2941</v>
      </c>
      <c r="O1604" s="1103" t="s">
        <v>4461</v>
      </c>
      <c r="P1604" s="1114">
        <f>I1603</f>
        <v>747</v>
      </c>
      <c r="Q1604" s="1103" t="s">
        <v>2941</v>
      </c>
      <c r="R1604" s="1114">
        <f>(M1604*P1604)</f>
        <v>2614.5</v>
      </c>
      <c r="AE1604" s="1114">
        <f t="shared" si="208"/>
        <v>0</v>
      </c>
    </row>
    <row r="1605" spans="6:31" ht="24" customHeight="1">
      <c r="K1605" s="1111" t="s">
        <v>36</v>
      </c>
      <c r="M1605" s="1128"/>
      <c r="N1605" s="1114" t="s">
        <v>2851</v>
      </c>
      <c r="O1605" s="1103" t="s">
        <v>2852</v>
      </c>
      <c r="Q1605" s="1103" t="s">
        <v>2851</v>
      </c>
      <c r="R1605" s="1114">
        <v>0</v>
      </c>
      <c r="AE1605" s="1114">
        <f t="shared" si="208"/>
        <v>0</v>
      </c>
    </row>
    <row r="1606" spans="6:31" ht="24" customHeight="1">
      <c r="H1606" s="1103" t="s">
        <v>4464</v>
      </c>
      <c r="K1606" s="1114">
        <f>SUM(K1601:K1604)</f>
        <v>7839.8</v>
      </c>
      <c r="Q1606" s="1107"/>
      <c r="R1606" s="1111" t="s">
        <v>36</v>
      </c>
      <c r="AE1606" s="1114">
        <f t="shared" si="208"/>
        <v>0</v>
      </c>
    </row>
    <row r="1607" spans="6:31" ht="24" customHeight="1">
      <c r="K1607" s="1111" t="s">
        <v>36</v>
      </c>
      <c r="O1607" s="1103" t="s">
        <v>4464</v>
      </c>
      <c r="Q1607" s="1107"/>
      <c r="R1607" s="1114">
        <f>SUM(R1602:R1605)</f>
        <v>7860.9285714285716</v>
      </c>
      <c r="AE1607" s="1114">
        <f t="shared" si="208"/>
        <v>0</v>
      </c>
    </row>
    <row r="1608" spans="6:31" ht="24" customHeight="1">
      <c r="H1608" s="1118" t="s">
        <v>4465</v>
      </c>
      <c r="I1608" s="1119"/>
      <c r="J1608" s="1136"/>
      <c r="K1608" s="1115">
        <f>(K1606*10)</f>
        <v>78398</v>
      </c>
      <c r="Q1608" s="1107"/>
      <c r="R1608" s="1111" t="s">
        <v>36</v>
      </c>
      <c r="AE1608" s="1114">
        <f t="shared" si="208"/>
        <v>0</v>
      </c>
    </row>
    <row r="1609" spans="6:31" ht="24" customHeight="1">
      <c r="H1609" s="1103" t="s">
        <v>220</v>
      </c>
      <c r="K1609" s="1103" t="s">
        <v>220</v>
      </c>
      <c r="O1609" s="1118" t="s">
        <v>4465</v>
      </c>
      <c r="P1609" s="1119"/>
      <c r="Q1609" s="1136"/>
      <c r="R1609" s="1115">
        <f>(R1607*10)</f>
        <v>78609.28571428571</v>
      </c>
      <c r="AE1609" s="1114">
        <f t="shared" si="208"/>
        <v>0</v>
      </c>
    </row>
    <row r="1610" spans="6:31" ht="24" customHeight="1">
      <c r="G1610" s="1105" t="s">
        <v>3801</v>
      </c>
      <c r="H1610" s="1103" t="s">
        <v>4456</v>
      </c>
      <c r="K1610" s="1103"/>
      <c r="AE1610" s="1114">
        <f t="shared" si="208"/>
        <v>0</v>
      </c>
    </row>
    <row r="1611" spans="6:31" ht="24" customHeight="1">
      <c r="H1611" s="1103" t="s">
        <v>4472</v>
      </c>
      <c r="K1611" s="1103"/>
      <c r="N1611" s="1105" t="s">
        <v>3801</v>
      </c>
      <c r="O1611" s="1103" t="s">
        <v>4456</v>
      </c>
      <c r="Q1611" s="1107"/>
      <c r="R1611" s="1103"/>
      <c r="AE1611" s="1114">
        <f t="shared" si="208"/>
        <v>0</v>
      </c>
    </row>
    <row r="1612" spans="6:31" ht="24" customHeight="1">
      <c r="F1612" s="1128"/>
      <c r="H1612" s="1111" t="s">
        <v>36</v>
      </c>
      <c r="K1612" s="1103"/>
      <c r="O1612" s="1103" t="s">
        <v>4472</v>
      </c>
      <c r="Q1612" s="1107"/>
      <c r="R1612" s="1103"/>
      <c r="AE1612" s="1114">
        <f t="shared" si="208"/>
        <v>0</v>
      </c>
    </row>
    <row r="1613" spans="6:31" ht="24" customHeight="1">
      <c r="F1613" s="1114">
        <v>1</v>
      </c>
      <c r="G1613" s="1114" t="s">
        <v>4458</v>
      </c>
      <c r="H1613" s="1103" t="s">
        <v>4467</v>
      </c>
      <c r="I1613" s="1105">
        <f>C138</f>
        <v>51750</v>
      </c>
      <c r="J1613" s="1103" t="s">
        <v>58</v>
      </c>
      <c r="K1613" s="1114">
        <f>(F1613*I1613)/10</f>
        <v>5175</v>
      </c>
      <c r="M1613" s="1128"/>
      <c r="O1613" s="1111" t="s">
        <v>36</v>
      </c>
      <c r="Q1613" s="1107"/>
      <c r="R1613" s="1103"/>
      <c r="AE1613" s="1114">
        <f t="shared" si="208"/>
        <v>0</v>
      </c>
    </row>
    <row r="1614" spans="6:31" ht="24" customHeight="1">
      <c r="F1614" s="1128">
        <v>0.01</v>
      </c>
      <c r="G1614" s="1114" t="s">
        <v>4458</v>
      </c>
      <c r="H1614" s="1103" t="s">
        <v>4460</v>
      </c>
      <c r="I1614" s="1105">
        <f>C143</f>
        <v>50300</v>
      </c>
      <c r="J1614" s="1103" t="s">
        <v>58</v>
      </c>
      <c r="K1614" s="1114">
        <f>(F1614*I1614)/10</f>
        <v>50.3</v>
      </c>
      <c r="M1614" s="1114">
        <v>1</v>
      </c>
      <c r="N1614" s="1114" t="s">
        <v>4458</v>
      </c>
      <c r="O1614" s="1103" t="s">
        <v>4467</v>
      </c>
      <c r="P1614" s="1105">
        <f>I1613</f>
        <v>51750</v>
      </c>
      <c r="Q1614" s="1103" t="s">
        <v>58</v>
      </c>
      <c r="R1614" s="1114">
        <f>(M1614*P1614)/10</f>
        <v>5175</v>
      </c>
      <c r="AE1614" s="1114">
        <f t="shared" si="208"/>
        <v>0</v>
      </c>
    </row>
    <row r="1615" spans="6:31" ht="24" customHeight="1">
      <c r="F1615" s="1128">
        <v>3.5</v>
      </c>
      <c r="G1615" s="1114" t="s">
        <v>2941</v>
      </c>
      <c r="H1615" s="1103" t="s">
        <v>4461</v>
      </c>
      <c r="I1615" s="1105">
        <f>I1603</f>
        <v>747</v>
      </c>
      <c r="J1615" s="1103" t="s">
        <v>2941</v>
      </c>
      <c r="K1615" s="1114">
        <f>(F1615*I1615)</f>
        <v>2614.5</v>
      </c>
      <c r="M1615" s="1128">
        <v>0.01</v>
      </c>
      <c r="N1615" s="1114" t="s">
        <v>4458</v>
      </c>
      <c r="O1615" s="1106" t="str">
        <f>O1603</f>
        <v>BINDING WIRE insulated with PVC as per circular</v>
      </c>
      <c r="P1615" s="1105">
        <f>P1603</f>
        <v>71428.571428571435</v>
      </c>
      <c r="Q1615" s="1103" t="s">
        <v>58</v>
      </c>
      <c r="R1615" s="1114">
        <f>(M1615*P1615)/10</f>
        <v>71.428571428571431</v>
      </c>
      <c r="AE1615" s="1114">
        <f t="shared" si="208"/>
        <v>0</v>
      </c>
    </row>
    <row r="1616" spans="6:31" ht="24" customHeight="1">
      <c r="F1616" s="1128"/>
      <c r="G1616" s="1114" t="s">
        <v>2851</v>
      </c>
      <c r="H1616" s="1103" t="s">
        <v>2852</v>
      </c>
      <c r="J1616" s="1103" t="s">
        <v>2851</v>
      </c>
      <c r="K1616" s="1114">
        <v>0</v>
      </c>
      <c r="M1616" s="1128">
        <v>3.5</v>
      </c>
      <c r="N1616" s="1114" t="s">
        <v>4458</v>
      </c>
      <c r="O1616" s="1103" t="s">
        <v>4461</v>
      </c>
      <c r="P1616" s="1105">
        <f>I1615</f>
        <v>747</v>
      </c>
      <c r="Q1616" s="1103" t="s">
        <v>2941</v>
      </c>
      <c r="R1616" s="1114">
        <f>(M1616*P1616)</f>
        <v>2614.5</v>
      </c>
      <c r="AE1616" s="1114">
        <f t="shared" si="208"/>
        <v>0</v>
      </c>
    </row>
    <row r="1617" spans="6:31" ht="24" customHeight="1">
      <c r="K1617" s="1111" t="s">
        <v>36</v>
      </c>
      <c r="M1617" s="1128"/>
      <c r="N1617" s="1114" t="s">
        <v>4458</v>
      </c>
      <c r="O1617" s="1103" t="s">
        <v>2852</v>
      </c>
      <c r="Q1617" s="1103" t="s">
        <v>2851</v>
      </c>
      <c r="R1617" s="1114">
        <v>0</v>
      </c>
      <c r="AE1617" s="1114">
        <f t="shared" si="208"/>
        <v>0</v>
      </c>
    </row>
    <row r="1618" spans="6:31" ht="24" customHeight="1">
      <c r="H1618" s="1103" t="s">
        <v>4464</v>
      </c>
      <c r="K1618" s="1114">
        <f>SUM(K1613:K1616)</f>
        <v>7839.8</v>
      </c>
      <c r="Q1618" s="1107"/>
      <c r="R1618" s="1111" t="s">
        <v>36</v>
      </c>
      <c r="AE1618" s="1114">
        <f t="shared" si="208"/>
        <v>0</v>
      </c>
    </row>
    <row r="1619" spans="6:31" ht="24" customHeight="1">
      <c r="K1619" s="1111" t="s">
        <v>36</v>
      </c>
      <c r="O1619" s="1103" t="s">
        <v>4464</v>
      </c>
      <c r="Q1619" s="1107"/>
      <c r="R1619" s="1114">
        <f>SUM(R1614:R1617)</f>
        <v>7860.9285714285716</v>
      </c>
      <c r="AE1619" s="1114">
        <f t="shared" si="208"/>
        <v>0</v>
      </c>
    </row>
    <row r="1620" spans="6:31" ht="24" customHeight="1">
      <c r="H1620" s="1118" t="s">
        <v>4465</v>
      </c>
      <c r="I1620" s="1119"/>
      <c r="J1620" s="1136"/>
      <c r="K1620" s="1115">
        <f>(K1618*10)</f>
        <v>78398</v>
      </c>
      <c r="Q1620" s="1107"/>
      <c r="R1620" s="1111" t="s">
        <v>36</v>
      </c>
      <c r="AE1620" s="1114">
        <f t="shared" si="208"/>
        <v>0</v>
      </c>
    </row>
    <row r="1621" spans="6:31" ht="24" customHeight="1">
      <c r="H1621" s="1103" t="s">
        <v>220</v>
      </c>
      <c r="O1621" s="1118" t="s">
        <v>4465</v>
      </c>
      <c r="P1621" s="1119"/>
      <c r="Q1621" s="1136"/>
      <c r="R1621" s="1115">
        <f>(R1619*10)</f>
        <v>78609.28571428571</v>
      </c>
      <c r="AE1621" s="1114">
        <f t="shared" si="208"/>
        <v>0</v>
      </c>
    </row>
    <row r="1622" spans="6:31" ht="24" customHeight="1">
      <c r="F1622" s="1131">
        <v>44.1</v>
      </c>
      <c r="G1622" s="1114" t="s">
        <v>1363</v>
      </c>
      <c r="H1622" s="1103" t="s">
        <v>4473</v>
      </c>
      <c r="AE1622" s="1114">
        <f t="shared" si="208"/>
        <v>0</v>
      </c>
    </row>
    <row r="1623" spans="6:31" ht="24" customHeight="1">
      <c r="H1623" s="1103" t="s">
        <v>4474</v>
      </c>
      <c r="AE1623" s="1114">
        <f t="shared" si="208"/>
        <v>0</v>
      </c>
    </row>
    <row r="1624" spans="6:31" ht="24" customHeight="1">
      <c r="H1624" s="1103" t="s">
        <v>4475</v>
      </c>
      <c r="M1624" s="1131">
        <v>44.1</v>
      </c>
      <c r="N1624" s="1114" t="s">
        <v>1363</v>
      </c>
      <c r="O1624" s="1103" t="s">
        <v>4473</v>
      </c>
      <c r="AE1624" s="1114">
        <f t="shared" si="208"/>
        <v>0</v>
      </c>
    </row>
    <row r="1625" spans="6:31" ht="24" customHeight="1">
      <c r="H1625" s="1111" t="s">
        <v>36</v>
      </c>
      <c r="O1625" s="1103" t="s">
        <v>4474</v>
      </c>
      <c r="AE1625" s="1114">
        <f t="shared" si="208"/>
        <v>0</v>
      </c>
    </row>
    <row r="1626" spans="6:31" ht="24" customHeight="1">
      <c r="F1626" s="1114">
        <v>3</v>
      </c>
      <c r="G1626" s="1114" t="s">
        <v>1790</v>
      </c>
      <c r="H1626" s="1103" t="s">
        <v>4476</v>
      </c>
      <c r="I1626" s="1114">
        <f>D620</f>
        <v>120.54</v>
      </c>
      <c r="J1626" s="1103" t="s">
        <v>1790</v>
      </c>
      <c r="K1626" s="1114">
        <f t="shared" ref="K1626:K1631" si="209">(F1626*I1626)</f>
        <v>361.62</v>
      </c>
      <c r="O1626" s="1103" t="s">
        <v>4475</v>
      </c>
      <c r="AE1626" s="1114">
        <f t="shared" si="208"/>
        <v>0</v>
      </c>
    </row>
    <row r="1627" spans="6:31" ht="24" customHeight="1">
      <c r="F1627" s="1114">
        <v>1</v>
      </c>
      <c r="G1627" s="1114" t="s">
        <v>2838</v>
      </c>
      <c r="H1627" s="1103" t="s">
        <v>4477</v>
      </c>
      <c r="I1627" s="1114">
        <f>(C623)</f>
        <v>76</v>
      </c>
      <c r="J1627" s="1103" t="s">
        <v>2838</v>
      </c>
      <c r="K1627" s="1114">
        <f t="shared" si="209"/>
        <v>76</v>
      </c>
      <c r="O1627" s="1111" t="s">
        <v>36</v>
      </c>
      <c r="AE1627" s="1114">
        <f t="shared" si="208"/>
        <v>0</v>
      </c>
    </row>
    <row r="1628" spans="6:31" ht="24" customHeight="1">
      <c r="F1628" s="1114">
        <v>1</v>
      </c>
      <c r="G1628" s="1114" t="s">
        <v>2838</v>
      </c>
      <c r="H1628" s="1103" t="s">
        <v>4478</v>
      </c>
      <c r="I1628" s="1114">
        <f>(C626)</f>
        <v>79.5</v>
      </c>
      <c r="J1628" s="1103" t="s">
        <v>2838</v>
      </c>
      <c r="K1628" s="1114">
        <f t="shared" si="209"/>
        <v>79.5</v>
      </c>
      <c r="M1628" s="1114">
        <v>3</v>
      </c>
      <c r="N1628" s="1114" t="s">
        <v>1790</v>
      </c>
      <c r="O1628" s="1103" t="s">
        <v>4476</v>
      </c>
      <c r="P1628" s="1105">
        <f>I1626</f>
        <v>120.54</v>
      </c>
      <c r="Q1628" s="1105" t="str">
        <f>J1628</f>
        <v>NO.</v>
      </c>
      <c r="R1628" s="1105">
        <f t="shared" ref="R1628:R1633" si="210">P1628*M1628</f>
        <v>361.62</v>
      </c>
      <c r="AE1628" s="1114">
        <f t="shared" si="208"/>
        <v>0</v>
      </c>
    </row>
    <row r="1629" spans="6:31" ht="24" customHeight="1">
      <c r="F1629" s="1114">
        <v>2</v>
      </c>
      <c r="G1629" s="1114" t="s">
        <v>2838</v>
      </c>
      <c r="H1629" s="1103" t="s">
        <v>4479</v>
      </c>
      <c r="I1629" s="1114">
        <f>C597</f>
        <v>21.4</v>
      </c>
      <c r="J1629" s="1103" t="s">
        <v>2838</v>
      </c>
      <c r="K1629" s="1114">
        <f t="shared" si="209"/>
        <v>42.8</v>
      </c>
      <c r="M1629" s="1114">
        <v>1</v>
      </c>
      <c r="N1629" s="1114" t="s">
        <v>2838</v>
      </c>
      <c r="O1629" s="1103" t="s">
        <v>4477</v>
      </c>
      <c r="P1629" s="1105">
        <v>76.78</v>
      </c>
      <c r="Q1629" s="1105" t="str">
        <f>J1629</f>
        <v>NO.</v>
      </c>
      <c r="R1629" s="1105">
        <f t="shared" si="210"/>
        <v>76.78</v>
      </c>
      <c r="AE1629" s="1114">
        <f t="shared" si="208"/>
        <v>0</v>
      </c>
    </row>
    <row r="1630" spans="6:31" ht="24" customHeight="1">
      <c r="F1630" s="1114">
        <v>1</v>
      </c>
      <c r="G1630" s="1114" t="s">
        <v>2838</v>
      </c>
      <c r="H1630" s="1103" t="s">
        <v>4480</v>
      </c>
      <c r="I1630" s="1114">
        <f>(C696)</f>
        <v>31.8</v>
      </c>
      <c r="J1630" s="1103" t="s">
        <v>2838</v>
      </c>
      <c r="K1630" s="1114">
        <f t="shared" si="209"/>
        <v>31.8</v>
      </c>
      <c r="M1630" s="1114">
        <v>1</v>
      </c>
      <c r="N1630" s="1114" t="s">
        <v>2838</v>
      </c>
      <c r="O1630" s="1103" t="s">
        <v>4478</v>
      </c>
      <c r="P1630" s="1105">
        <f>I1628</f>
        <v>79.5</v>
      </c>
      <c r="Q1630" s="1105" t="str">
        <f>J1630</f>
        <v>NO.</v>
      </c>
      <c r="R1630" s="1105">
        <f t="shared" si="210"/>
        <v>79.5</v>
      </c>
      <c r="AE1630" s="1114">
        <f t="shared" si="208"/>
        <v>0</v>
      </c>
    </row>
    <row r="1631" spans="6:31" ht="24" customHeight="1">
      <c r="F1631" s="1114">
        <v>0.5</v>
      </c>
      <c r="G1631" s="1114" t="s">
        <v>2838</v>
      </c>
      <c r="H1631" s="1103" t="s">
        <v>4481</v>
      </c>
      <c r="I1631" s="1114">
        <f>(C15)</f>
        <v>747</v>
      </c>
      <c r="J1631" s="1103" t="s">
        <v>2838</v>
      </c>
      <c r="K1631" s="1114">
        <f t="shared" si="209"/>
        <v>373.5</v>
      </c>
      <c r="M1631" s="1115">
        <v>2</v>
      </c>
      <c r="N1631" s="1115" t="s">
        <v>213</v>
      </c>
      <c r="O1631" s="1106" t="s">
        <v>4482</v>
      </c>
      <c r="P1631" s="1105">
        <v>12</v>
      </c>
      <c r="Q1631" s="1105" t="str">
        <f>J1631</f>
        <v>NO.</v>
      </c>
      <c r="R1631" s="1105">
        <f t="shared" si="210"/>
        <v>24</v>
      </c>
      <c r="AE1631" s="1114">
        <f t="shared" si="208"/>
        <v>0</v>
      </c>
    </row>
    <row r="1632" spans="6:31" ht="24" customHeight="1">
      <c r="G1632" s="1114" t="s">
        <v>2851</v>
      </c>
      <c r="H1632" s="1103" t="s">
        <v>4483</v>
      </c>
      <c r="J1632" s="1103" t="s">
        <v>2851</v>
      </c>
      <c r="K1632" s="1114"/>
      <c r="M1632" s="1114">
        <v>1</v>
      </c>
      <c r="N1632" s="1114" t="s">
        <v>213</v>
      </c>
      <c r="O1632" s="1103" t="s">
        <v>4480</v>
      </c>
      <c r="P1632" s="1105">
        <f>I1630</f>
        <v>31.8</v>
      </c>
      <c r="Q1632" s="1105" t="str">
        <f>J1632</f>
        <v>L.S</v>
      </c>
      <c r="R1632" s="1105">
        <f t="shared" si="210"/>
        <v>31.8</v>
      </c>
      <c r="AE1632" s="1114">
        <f t="shared" si="208"/>
        <v>0</v>
      </c>
    </row>
    <row r="1633" spans="6:31" ht="24" customHeight="1">
      <c r="H1633" s="1103" t="s">
        <v>4484</v>
      </c>
      <c r="M1633" s="1114">
        <v>0.5</v>
      </c>
      <c r="N1633" s="1114" t="s">
        <v>213</v>
      </c>
      <c r="O1633" s="1103" t="s">
        <v>4481</v>
      </c>
      <c r="P1633" s="1105">
        <f>I1631</f>
        <v>747</v>
      </c>
      <c r="R1633" s="1105">
        <f t="shared" si="210"/>
        <v>373.5</v>
      </c>
      <c r="AE1633" s="1114">
        <f t="shared" si="208"/>
        <v>0</v>
      </c>
    </row>
    <row r="1634" spans="6:31" ht="24" customHeight="1">
      <c r="K1634" s="1111" t="s">
        <v>36</v>
      </c>
      <c r="N1634" s="1114" t="s">
        <v>213</v>
      </c>
      <c r="O1634" s="1103" t="s">
        <v>4483</v>
      </c>
      <c r="P1634" s="1105">
        <f>I1634</f>
        <v>0</v>
      </c>
      <c r="AE1634" s="1114">
        <f t="shared" si="208"/>
        <v>0</v>
      </c>
    </row>
    <row r="1635" spans="6:31" ht="24" customHeight="1">
      <c r="H1635" s="1103" t="s">
        <v>4485</v>
      </c>
      <c r="K1635" s="1114">
        <f>SUM(K1626:K1632)</f>
        <v>965.21999999999991</v>
      </c>
      <c r="O1635" s="1103" t="s">
        <v>4484</v>
      </c>
      <c r="R1635" s="1105">
        <f>26.98+4.7</f>
        <v>31.68</v>
      </c>
      <c r="AE1635" s="1114">
        <f t="shared" si="208"/>
        <v>0</v>
      </c>
    </row>
    <row r="1636" spans="6:31" ht="24" customHeight="1">
      <c r="F1636" s="1103" t="s">
        <v>220</v>
      </c>
      <c r="AE1636" s="1114">
        <f t="shared" si="208"/>
        <v>0</v>
      </c>
    </row>
    <row r="1637" spans="6:31" ht="24" customHeight="1">
      <c r="K1637" s="1111" t="s">
        <v>36</v>
      </c>
      <c r="O1637" s="1103" t="s">
        <v>4485</v>
      </c>
      <c r="R1637" s="1119">
        <f>SUM(R1628:R1636)</f>
        <v>978.87999999999988</v>
      </c>
      <c r="AE1637" s="1114">
        <f t="shared" si="208"/>
        <v>0</v>
      </c>
    </row>
    <row r="1638" spans="6:31" ht="24" customHeight="1">
      <c r="H1638" s="1118" t="s">
        <v>3413</v>
      </c>
      <c r="I1638" s="1119"/>
      <c r="J1638" s="1136"/>
      <c r="K1638" s="1115">
        <f>(K1635/3)</f>
        <v>321.73999999999995</v>
      </c>
      <c r="AE1638" s="1114">
        <f t="shared" si="208"/>
        <v>0</v>
      </c>
    </row>
    <row r="1639" spans="6:31" ht="24" customHeight="1">
      <c r="H1639" s="1103"/>
      <c r="K1639" s="1111" t="s">
        <v>2793</v>
      </c>
      <c r="Q1639" s="1107"/>
      <c r="R1639" s="1111" t="s">
        <v>36</v>
      </c>
      <c r="AE1639" s="1114">
        <f t="shared" si="208"/>
        <v>0</v>
      </c>
    </row>
    <row r="1640" spans="6:31" ht="24" customHeight="1">
      <c r="F1640" s="1104" t="s">
        <v>4486</v>
      </c>
      <c r="H1640" s="1103" t="s">
        <v>4487</v>
      </c>
      <c r="O1640" s="1118" t="s">
        <v>3413</v>
      </c>
      <c r="P1640" s="1119"/>
      <c r="Q1640" s="1136"/>
      <c r="R1640" s="1115">
        <f>(R1637/3)</f>
        <v>326.29333333333329</v>
      </c>
      <c r="S1640" s="1108">
        <f>310*3</f>
        <v>930</v>
      </c>
      <c r="T1640" s="1105">
        <f>S1640-R1637</f>
        <v>-48.879999999999882</v>
      </c>
      <c r="AE1640" s="1114">
        <f t="shared" si="208"/>
        <v>0</v>
      </c>
    </row>
    <row r="1641" spans="6:31" ht="24" customHeight="1">
      <c r="H1641" s="1103" t="s">
        <v>4488</v>
      </c>
      <c r="O1641" s="1103"/>
      <c r="Q1641" s="1107"/>
      <c r="R1641" s="1111" t="s">
        <v>2793</v>
      </c>
      <c r="AE1641" s="1114">
        <f t="shared" si="208"/>
        <v>0</v>
      </c>
    </row>
    <row r="1642" spans="6:31" ht="24" customHeight="1">
      <c r="H1642" s="1103" t="s">
        <v>4489</v>
      </c>
      <c r="AE1642" s="1114">
        <f t="shared" si="208"/>
        <v>0</v>
      </c>
    </row>
    <row r="1643" spans="6:31" ht="24" customHeight="1">
      <c r="H1643" s="1111" t="s">
        <v>36</v>
      </c>
      <c r="AE1643" s="1114">
        <f t="shared" si="208"/>
        <v>0</v>
      </c>
    </row>
    <row r="1644" spans="6:31" ht="24" customHeight="1">
      <c r="F1644" s="1114">
        <v>0.15</v>
      </c>
      <c r="G1644" s="1114" t="s">
        <v>2839</v>
      </c>
      <c r="H1644" s="1103" t="s">
        <v>4490</v>
      </c>
      <c r="I1644" s="1114">
        <f>(C70)</f>
        <v>1299.3899999999999</v>
      </c>
      <c r="J1644" s="1103" t="s">
        <v>2839</v>
      </c>
      <c r="K1644" s="1114">
        <f>(F1644*I1644)</f>
        <v>194.90849999999998</v>
      </c>
      <c r="AE1644" s="1114">
        <f t="shared" si="208"/>
        <v>0</v>
      </c>
    </row>
    <row r="1645" spans="6:31" ht="24" customHeight="1">
      <c r="F1645" s="1144">
        <v>8.6499999999999994E-2</v>
      </c>
      <c r="G1645" s="1114" t="s">
        <v>197</v>
      </c>
      <c r="H1645" s="1103" t="s">
        <v>2830</v>
      </c>
      <c r="I1645" s="1114">
        <f>(C67)</f>
        <v>5960</v>
      </c>
      <c r="J1645" s="1103" t="s">
        <v>197</v>
      </c>
      <c r="K1645" s="1114">
        <f>(F1645*I1645)</f>
        <v>515.54</v>
      </c>
      <c r="AE1645" s="1114">
        <f t="shared" si="208"/>
        <v>0</v>
      </c>
    </row>
    <row r="1646" spans="6:31" ht="24" customHeight="1">
      <c r="F1646" s="1114">
        <v>1.6</v>
      </c>
      <c r="G1646" s="1114" t="s">
        <v>2941</v>
      </c>
      <c r="H1646" s="1103" t="s">
        <v>3051</v>
      </c>
      <c r="I1646" s="1114">
        <f>(C10)</f>
        <v>861</v>
      </c>
      <c r="J1646" s="1103" t="s">
        <v>2941</v>
      </c>
      <c r="K1646" s="1114">
        <f>(F1646*I1646)</f>
        <v>1377.6000000000001</v>
      </c>
      <c r="AE1646" s="1114">
        <f t="shared" si="208"/>
        <v>0</v>
      </c>
    </row>
    <row r="1647" spans="6:31" ht="24" customHeight="1">
      <c r="F1647" s="1114">
        <v>0.5</v>
      </c>
      <c r="G1647" s="1114" t="s">
        <v>2941</v>
      </c>
      <c r="H1647" s="1103" t="s">
        <v>3020</v>
      </c>
      <c r="I1647" s="1114">
        <f>(C12)</f>
        <v>562</v>
      </c>
      <c r="J1647" s="1103" t="s">
        <v>2941</v>
      </c>
      <c r="K1647" s="1114">
        <f>(F1647*I1647)</f>
        <v>281</v>
      </c>
      <c r="AE1647" s="1114">
        <f t="shared" si="208"/>
        <v>0</v>
      </c>
    </row>
    <row r="1648" spans="6:31" ht="24" customHeight="1">
      <c r="F1648" s="1114">
        <v>1.1000000000000001</v>
      </c>
      <c r="G1648" s="1114" t="s">
        <v>2941</v>
      </c>
      <c r="H1648" s="1103" t="s">
        <v>3026</v>
      </c>
      <c r="I1648" s="1114">
        <f>(C13)</f>
        <v>461</v>
      </c>
      <c r="J1648" s="1103" t="s">
        <v>2941</v>
      </c>
      <c r="K1648" s="1114">
        <f>(F1648*I1648)</f>
        <v>507.1</v>
      </c>
      <c r="AE1648" s="1114">
        <f t="shared" si="208"/>
        <v>0</v>
      </c>
    </row>
    <row r="1649" spans="6:31" ht="24" customHeight="1">
      <c r="G1649" s="1114" t="s">
        <v>2851</v>
      </c>
      <c r="H1649" s="1103" t="s">
        <v>2852</v>
      </c>
      <c r="I1649" s="1103" t="s">
        <v>220</v>
      </c>
      <c r="J1649" s="1103" t="s">
        <v>2851</v>
      </c>
      <c r="K1649" s="1114">
        <v>0</v>
      </c>
      <c r="AE1649" s="1114">
        <f t="shared" si="208"/>
        <v>0</v>
      </c>
    </row>
    <row r="1650" spans="6:31" ht="24" customHeight="1">
      <c r="K1650" s="1111" t="s">
        <v>36</v>
      </c>
      <c r="AE1650" s="1114">
        <f t="shared" si="208"/>
        <v>0</v>
      </c>
    </row>
    <row r="1651" spans="6:31" ht="24" customHeight="1">
      <c r="H1651" s="1103" t="s">
        <v>3152</v>
      </c>
      <c r="K1651" s="1114">
        <f>SUM(K1644:K1649)</f>
        <v>2876.1484999999998</v>
      </c>
      <c r="AE1651" s="1114">
        <f t="shared" si="208"/>
        <v>0</v>
      </c>
    </row>
    <row r="1652" spans="6:31" ht="24" customHeight="1">
      <c r="K1652" s="1111" t="s">
        <v>36</v>
      </c>
      <c r="AE1652" s="1114">
        <f t="shared" si="208"/>
        <v>0</v>
      </c>
    </row>
    <row r="1653" spans="6:31" ht="24" customHeight="1">
      <c r="H1653" s="1118" t="s">
        <v>3154</v>
      </c>
      <c r="I1653" s="1119"/>
      <c r="J1653" s="1136"/>
      <c r="K1653" s="1115">
        <f>(K1651/10)</f>
        <v>287.61484999999999</v>
      </c>
      <c r="AE1653" s="1114">
        <f t="shared" si="208"/>
        <v>0</v>
      </c>
    </row>
    <row r="1654" spans="6:31" ht="24" customHeight="1">
      <c r="K1654" s="1111" t="s">
        <v>2793</v>
      </c>
      <c r="AE1654" s="1114">
        <f t="shared" si="208"/>
        <v>0</v>
      </c>
    </row>
    <row r="1655" spans="6:31" ht="24" customHeight="1">
      <c r="F1655" s="1104" t="s">
        <v>4491</v>
      </c>
      <c r="G1655" s="1114" t="s">
        <v>1363</v>
      </c>
      <c r="H1655" s="1103" t="s">
        <v>4492</v>
      </c>
      <c r="AE1655" s="1114">
        <f t="shared" si="208"/>
        <v>0</v>
      </c>
    </row>
    <row r="1656" spans="6:31" ht="24" customHeight="1">
      <c r="H1656" s="1103" t="s">
        <v>4493</v>
      </c>
      <c r="AE1656" s="1114">
        <f t="shared" si="208"/>
        <v>0</v>
      </c>
    </row>
    <row r="1657" spans="6:31" ht="24" customHeight="1">
      <c r="H1657" s="1103" t="s">
        <v>4494</v>
      </c>
      <c r="J1657" s="1103" t="s">
        <v>220</v>
      </c>
      <c r="AE1657" s="1114">
        <f t="shared" si="208"/>
        <v>0</v>
      </c>
    </row>
    <row r="1658" spans="6:31" ht="24" customHeight="1">
      <c r="H1658" s="1103" t="s">
        <v>4495</v>
      </c>
      <c r="AE1658" s="1114">
        <f t="shared" si="208"/>
        <v>0</v>
      </c>
    </row>
    <row r="1659" spans="6:31" ht="24" customHeight="1">
      <c r="H1659" s="1103" t="s">
        <v>4496</v>
      </c>
      <c r="AE1659" s="1114">
        <f t="shared" si="208"/>
        <v>0</v>
      </c>
    </row>
    <row r="1660" spans="6:31" ht="24" customHeight="1">
      <c r="H1660" s="1103" t="s">
        <v>4497</v>
      </c>
      <c r="AE1660" s="1114">
        <f t="shared" si="208"/>
        <v>0</v>
      </c>
    </row>
    <row r="1661" spans="6:31" ht="24" customHeight="1">
      <c r="H1661" s="1103" t="s">
        <v>4498</v>
      </c>
      <c r="AE1661" s="1114">
        <f t="shared" si="208"/>
        <v>0</v>
      </c>
    </row>
    <row r="1662" spans="6:31" ht="24" customHeight="1">
      <c r="H1662" s="1103" t="s">
        <v>4499</v>
      </c>
      <c r="AE1662" s="1114">
        <f t="shared" ref="AE1662:AE1695" si="211">AG1662</f>
        <v>0</v>
      </c>
    </row>
    <row r="1663" spans="6:31" ht="24" customHeight="1">
      <c r="H1663" s="1103" t="s">
        <v>4500</v>
      </c>
      <c r="AE1663" s="1114">
        <f t="shared" si="211"/>
        <v>0</v>
      </c>
    </row>
    <row r="1664" spans="6:31" ht="24" customHeight="1">
      <c r="H1664" s="1111" t="s">
        <v>2793</v>
      </c>
      <c r="AE1664" s="1114">
        <f t="shared" si="211"/>
        <v>0</v>
      </c>
    </row>
    <row r="1665" spans="6:31" ht="24" customHeight="1">
      <c r="AE1665" s="1114">
        <f t="shared" si="211"/>
        <v>0</v>
      </c>
    </row>
    <row r="1666" spans="6:31" ht="24" customHeight="1">
      <c r="F1666" s="1114">
        <v>1</v>
      </c>
      <c r="G1666" s="1114" t="s">
        <v>61</v>
      </c>
      <c r="H1666" s="1103" t="s">
        <v>4501</v>
      </c>
      <c r="I1666" s="1114">
        <v>45.72</v>
      </c>
      <c r="J1666" s="1103" t="s">
        <v>61</v>
      </c>
      <c r="K1666" s="1114">
        <f>(F1666*I1666)</f>
        <v>45.72</v>
      </c>
      <c r="AE1666" s="1114">
        <f t="shared" si="211"/>
        <v>0</v>
      </c>
    </row>
    <row r="1667" spans="6:31" ht="24" customHeight="1">
      <c r="F1667" s="1114">
        <v>1</v>
      </c>
      <c r="G1667" s="1114" t="s">
        <v>1671</v>
      </c>
      <c r="H1667" s="1103" t="s">
        <v>4502</v>
      </c>
      <c r="I1667" s="1114">
        <v>5</v>
      </c>
      <c r="J1667" s="1103" t="s">
        <v>1671</v>
      </c>
      <c r="K1667" s="1114">
        <f>(F1667*I1667)</f>
        <v>5</v>
      </c>
      <c r="AE1667" s="1114">
        <f t="shared" si="211"/>
        <v>0</v>
      </c>
    </row>
    <row r="1668" spans="6:31" ht="24" customHeight="1">
      <c r="G1668" s="1114" t="s">
        <v>2851</v>
      </c>
      <c r="H1668" s="1103" t="s">
        <v>4503</v>
      </c>
      <c r="J1668" s="1103" t="s">
        <v>2851</v>
      </c>
      <c r="K1668" s="1114">
        <v>7.28</v>
      </c>
      <c r="AE1668" s="1114">
        <f t="shared" si="211"/>
        <v>0</v>
      </c>
    </row>
    <row r="1669" spans="6:31" ht="24" customHeight="1">
      <c r="K1669" s="1111" t="s">
        <v>36</v>
      </c>
      <c r="AE1669" s="1114">
        <f t="shared" si="211"/>
        <v>0</v>
      </c>
    </row>
    <row r="1670" spans="6:31" ht="24" customHeight="1">
      <c r="H1670" s="1104" t="s">
        <v>4504</v>
      </c>
      <c r="K1670" s="1114">
        <f>SUM(K1666:K1668)</f>
        <v>58</v>
      </c>
      <c r="AE1670" s="1114">
        <f t="shared" si="211"/>
        <v>0</v>
      </c>
    </row>
    <row r="1671" spans="6:31" ht="24" customHeight="1">
      <c r="K1671" s="1111" t="s">
        <v>2793</v>
      </c>
      <c r="AE1671" s="1114">
        <f t="shared" si="211"/>
        <v>0</v>
      </c>
    </row>
    <row r="1672" spans="6:31" ht="24" customHeight="1">
      <c r="F1672" s="1104" t="s">
        <v>4505</v>
      </c>
      <c r="G1672" s="1114" t="s">
        <v>1363</v>
      </c>
      <c r="H1672" s="1103" t="s">
        <v>4506</v>
      </c>
      <c r="AE1672" s="1114">
        <f t="shared" si="211"/>
        <v>0</v>
      </c>
    </row>
    <row r="1673" spans="6:31" ht="24" customHeight="1">
      <c r="H1673" s="1103" t="s">
        <v>4507</v>
      </c>
      <c r="AE1673" s="1114">
        <f t="shared" si="211"/>
        <v>0</v>
      </c>
    </row>
    <row r="1674" spans="6:31" ht="24" customHeight="1">
      <c r="H1674" s="1103" t="s">
        <v>4508</v>
      </c>
      <c r="AE1674" s="1114">
        <f t="shared" si="211"/>
        <v>0</v>
      </c>
    </row>
    <row r="1675" spans="6:31" ht="24" customHeight="1">
      <c r="H1675" s="1103" t="s">
        <v>4509</v>
      </c>
      <c r="AE1675" s="1114">
        <f t="shared" si="211"/>
        <v>0</v>
      </c>
    </row>
    <row r="1676" spans="6:31" ht="24" customHeight="1">
      <c r="H1676" s="1103" t="s">
        <v>4510</v>
      </c>
      <c r="AE1676" s="1114">
        <f t="shared" si="211"/>
        <v>0</v>
      </c>
    </row>
    <row r="1677" spans="6:31" ht="24" customHeight="1">
      <c r="H1677" s="1111" t="s">
        <v>36</v>
      </c>
      <c r="I1677" s="1111" t="s">
        <v>36</v>
      </c>
      <c r="AE1677" s="1114">
        <f t="shared" si="211"/>
        <v>0</v>
      </c>
    </row>
    <row r="1678" spans="6:31" ht="24" customHeight="1">
      <c r="F1678" s="1114">
        <v>1</v>
      </c>
      <c r="G1678" s="1114" t="s">
        <v>4511</v>
      </c>
      <c r="H1678" s="1103" t="s">
        <v>4512</v>
      </c>
      <c r="I1678" s="1114">
        <v>85</v>
      </c>
      <c r="J1678" s="1103" t="s">
        <v>522</v>
      </c>
      <c r="K1678" s="1114">
        <f>(F1678*I1678)</f>
        <v>85</v>
      </c>
      <c r="AE1678" s="1114">
        <f t="shared" si="211"/>
        <v>0</v>
      </c>
    </row>
    <row r="1679" spans="6:31" ht="24" customHeight="1">
      <c r="G1679" s="1114" t="s">
        <v>2851</v>
      </c>
      <c r="H1679" s="1103" t="s">
        <v>4513</v>
      </c>
      <c r="J1679" s="1103" t="s">
        <v>2851</v>
      </c>
      <c r="K1679" s="1114">
        <v>7.5</v>
      </c>
      <c r="AE1679" s="1114">
        <f t="shared" si="211"/>
        <v>0</v>
      </c>
    </row>
    <row r="1680" spans="6:31" ht="24" customHeight="1">
      <c r="G1680" s="1114" t="s">
        <v>2851</v>
      </c>
      <c r="H1680" s="1103" t="s">
        <v>4514</v>
      </c>
      <c r="J1680" s="1103" t="s">
        <v>2851</v>
      </c>
      <c r="K1680" s="1114">
        <f>1.75+0.75</f>
        <v>2.5</v>
      </c>
      <c r="AE1680" s="1114">
        <f t="shared" si="211"/>
        <v>0</v>
      </c>
    </row>
    <row r="1681" spans="6:31" ht="24" customHeight="1">
      <c r="H1681" s="1103" t="s">
        <v>4515</v>
      </c>
      <c r="K1681" s="1111" t="s">
        <v>36</v>
      </c>
      <c r="AE1681" s="1114">
        <f t="shared" si="211"/>
        <v>0</v>
      </c>
    </row>
    <row r="1682" spans="6:31" ht="24" customHeight="1">
      <c r="H1682" s="1104" t="s">
        <v>4504</v>
      </c>
      <c r="K1682" s="1114">
        <f>SUM(K1678:K1680)</f>
        <v>95</v>
      </c>
      <c r="AE1682" s="1114">
        <f t="shared" si="211"/>
        <v>0</v>
      </c>
    </row>
    <row r="1683" spans="6:31" ht="24" customHeight="1">
      <c r="K1683" s="1111" t="s">
        <v>2793</v>
      </c>
      <c r="AE1683" s="1114">
        <f t="shared" si="211"/>
        <v>0</v>
      </c>
    </row>
    <row r="1684" spans="6:31" ht="24" customHeight="1">
      <c r="F1684" s="1104">
        <v>48</v>
      </c>
      <c r="G1684" s="1114" t="s">
        <v>1363</v>
      </c>
      <c r="H1684" s="1103" t="s">
        <v>4516</v>
      </c>
      <c r="AE1684" s="1114">
        <f t="shared" si="211"/>
        <v>0</v>
      </c>
    </row>
    <row r="1685" spans="6:31" ht="24" customHeight="1">
      <c r="H1685" s="1103" t="s">
        <v>4517</v>
      </c>
      <c r="K1685" s="1103" t="s">
        <v>220</v>
      </c>
      <c r="AE1685" s="1114">
        <f t="shared" si="211"/>
        <v>0</v>
      </c>
    </row>
    <row r="1686" spans="6:31" ht="24" customHeight="1">
      <c r="H1686" s="1111" t="s">
        <v>36</v>
      </c>
      <c r="AE1686" s="1114">
        <f t="shared" si="211"/>
        <v>0</v>
      </c>
    </row>
    <row r="1687" spans="6:31" ht="24" customHeight="1">
      <c r="F1687" s="1114">
        <v>1</v>
      </c>
      <c r="G1687" s="1114" t="s">
        <v>4511</v>
      </c>
      <c r="H1687" s="1103" t="s">
        <v>4518</v>
      </c>
      <c r="I1687" s="1114">
        <v>50</v>
      </c>
      <c r="J1687" s="1103" t="s">
        <v>522</v>
      </c>
      <c r="K1687" s="1114">
        <f>(F1687*I1687)</f>
        <v>50</v>
      </c>
      <c r="AE1687" s="1114">
        <f t="shared" si="211"/>
        <v>0</v>
      </c>
    </row>
    <row r="1688" spans="6:31" ht="24" customHeight="1">
      <c r="G1688" s="1114" t="s">
        <v>2851</v>
      </c>
      <c r="H1688" s="1103" t="s">
        <v>4519</v>
      </c>
      <c r="J1688" s="1103" t="s">
        <v>2851</v>
      </c>
      <c r="K1688" s="1114">
        <v>5</v>
      </c>
      <c r="AE1688" s="1114">
        <f t="shared" si="211"/>
        <v>0</v>
      </c>
    </row>
    <row r="1689" spans="6:31" ht="24" customHeight="1">
      <c r="K1689" s="1111" t="s">
        <v>36</v>
      </c>
      <c r="AE1689" s="1114">
        <f t="shared" si="211"/>
        <v>0</v>
      </c>
    </row>
    <row r="1690" spans="6:31" ht="24" customHeight="1">
      <c r="H1690" s="1104" t="s">
        <v>4520</v>
      </c>
      <c r="K1690" s="1114">
        <f>SUM(K1686:K1688)</f>
        <v>55</v>
      </c>
      <c r="AE1690" s="1114">
        <f t="shared" si="211"/>
        <v>0</v>
      </c>
    </row>
    <row r="1691" spans="6:31" ht="24" customHeight="1">
      <c r="K1691" s="1111" t="s">
        <v>2793</v>
      </c>
      <c r="AE1691" s="1114">
        <f t="shared" si="211"/>
        <v>0</v>
      </c>
    </row>
    <row r="1692" spans="6:31" ht="24" customHeight="1">
      <c r="F1692" s="1104" t="s">
        <v>4521</v>
      </c>
      <c r="G1692" s="1114" t="s">
        <v>1363</v>
      </c>
      <c r="H1692" s="1103" t="s">
        <v>4522</v>
      </c>
      <c r="AE1692" s="1114">
        <f t="shared" si="211"/>
        <v>0</v>
      </c>
    </row>
    <row r="1693" spans="6:31" ht="24" customHeight="1">
      <c r="H1693" s="1111" t="s">
        <v>36</v>
      </c>
      <c r="I1693" s="1111" t="s">
        <v>36</v>
      </c>
      <c r="AE1693" s="1114">
        <f t="shared" si="211"/>
        <v>0</v>
      </c>
    </row>
    <row r="1694" spans="6:31" ht="24" customHeight="1">
      <c r="F1694" s="1114">
        <v>1</v>
      </c>
      <c r="G1694" s="1114" t="s">
        <v>4511</v>
      </c>
      <c r="H1694" s="1103" t="s">
        <v>4523</v>
      </c>
      <c r="I1694" s="1114">
        <v>1.2</v>
      </c>
      <c r="J1694" s="1103" t="s">
        <v>522</v>
      </c>
      <c r="K1694" s="1114">
        <f>(F1694*I1694)</f>
        <v>1.2</v>
      </c>
      <c r="AE1694" s="1114">
        <f t="shared" si="211"/>
        <v>0</v>
      </c>
    </row>
    <row r="1695" spans="6:31" ht="24" customHeight="1">
      <c r="G1695" s="1114" t="s">
        <v>2851</v>
      </c>
      <c r="H1695" s="1103" t="s">
        <v>4519</v>
      </c>
      <c r="J1695" s="1103" t="s">
        <v>2851</v>
      </c>
      <c r="K1695" s="1114">
        <f>K1694*0.25</f>
        <v>0.3</v>
      </c>
      <c r="AE1695" s="1114">
        <f t="shared" si="211"/>
        <v>0</v>
      </c>
    </row>
    <row r="1696" spans="6:31" ht="24" customHeight="1">
      <c r="K1696" s="1111" t="s">
        <v>36</v>
      </c>
    </row>
    <row r="1697" spans="6:11" ht="24" customHeight="1">
      <c r="H1697" s="1104" t="s">
        <v>4520</v>
      </c>
      <c r="K1697" s="1114">
        <f>SUM(K1692:K1695)</f>
        <v>1.5</v>
      </c>
    </row>
    <row r="1698" spans="6:11" ht="24" customHeight="1">
      <c r="F1698" s="1103" t="s">
        <v>220</v>
      </c>
      <c r="K1698" s="1111" t="s">
        <v>36</v>
      </c>
    </row>
    <row r="1699" spans="6:11" ht="24" customHeight="1">
      <c r="F1699" s="1131">
        <v>50.1</v>
      </c>
      <c r="G1699" s="1114" t="s">
        <v>1363</v>
      </c>
      <c r="H1699" s="1103" t="s">
        <v>4524</v>
      </c>
    </row>
    <row r="1700" spans="6:11" ht="24" customHeight="1">
      <c r="H1700" s="1103" t="s">
        <v>4525</v>
      </c>
    </row>
    <row r="1701" spans="6:11" ht="24" customHeight="1">
      <c r="H1701" s="1103" t="s">
        <v>4526</v>
      </c>
    </row>
    <row r="1702" spans="6:11" ht="24" customHeight="1">
      <c r="H1702" s="1103" t="s">
        <v>4527</v>
      </c>
    </row>
    <row r="1703" spans="6:11" ht="24" customHeight="1">
      <c r="H1703" s="1103" t="s">
        <v>4528</v>
      </c>
    </row>
    <row r="1704" spans="6:11" ht="24" customHeight="1">
      <c r="H1704" s="1111" t="s">
        <v>36</v>
      </c>
      <c r="I1704" s="1111" t="s">
        <v>36</v>
      </c>
    </row>
    <row r="1705" spans="6:11" ht="24" customHeight="1">
      <c r="F1705" s="1114">
        <v>9</v>
      </c>
      <c r="G1705" s="1114" t="s">
        <v>16</v>
      </c>
      <c r="H1705" s="1103" t="s">
        <v>4529</v>
      </c>
      <c r="I1705" s="1114">
        <f>C73</f>
        <v>1987.06</v>
      </c>
      <c r="J1705" s="1103" t="s">
        <v>16</v>
      </c>
      <c r="K1705" s="1114">
        <f>(F1705*I1705)</f>
        <v>17883.54</v>
      </c>
    </row>
    <row r="1706" spans="6:11" ht="24" customHeight="1">
      <c r="F1706" s="1114">
        <v>4.5</v>
      </c>
      <c r="G1706" s="1114" t="s">
        <v>16</v>
      </c>
      <c r="H1706" s="1103" t="s">
        <v>4530</v>
      </c>
      <c r="I1706" s="1114">
        <f>K32</f>
        <v>4795.8599999999997</v>
      </c>
      <c r="J1706" s="1103" t="s">
        <v>16</v>
      </c>
      <c r="K1706" s="1114">
        <f>(F1706*I1706)</f>
        <v>21581.37</v>
      </c>
    </row>
    <row r="1707" spans="6:11" ht="24" customHeight="1">
      <c r="F1707" s="1114">
        <v>1.8</v>
      </c>
      <c r="G1707" s="1114" t="s">
        <v>314</v>
      </c>
      <c r="H1707" s="1103" t="s">
        <v>4531</v>
      </c>
      <c r="I1707" s="1114">
        <f>C11</f>
        <v>804</v>
      </c>
      <c r="J1707" s="1103" t="s">
        <v>522</v>
      </c>
      <c r="K1707" s="1114">
        <f>(F1707*I1707)</f>
        <v>1447.2</v>
      </c>
    </row>
    <row r="1708" spans="6:11" ht="24" customHeight="1">
      <c r="F1708" s="1114">
        <v>17.7</v>
      </c>
      <c r="G1708" s="1114" t="s">
        <v>314</v>
      </c>
      <c r="H1708" s="1103" t="s">
        <v>3534</v>
      </c>
      <c r="I1708" s="1114">
        <f>C12</f>
        <v>562</v>
      </c>
      <c r="J1708" s="1103" t="s">
        <v>522</v>
      </c>
      <c r="K1708" s="1114">
        <f>(F1708*I1708)</f>
        <v>9947.4</v>
      </c>
    </row>
    <row r="1709" spans="6:11" ht="24" customHeight="1">
      <c r="F1709" s="1114">
        <v>14.1</v>
      </c>
      <c r="G1709" s="1114" t="s">
        <v>314</v>
      </c>
      <c r="H1709" s="1103" t="s">
        <v>4420</v>
      </c>
      <c r="I1709" s="1114">
        <f>C13</f>
        <v>461</v>
      </c>
      <c r="J1709" s="1103" t="s">
        <v>522</v>
      </c>
      <c r="K1709" s="1114">
        <f>(F1709*I1709)</f>
        <v>6500.0999999999995</v>
      </c>
    </row>
    <row r="1710" spans="6:11" ht="24" customHeight="1">
      <c r="K1710" s="1111" t="s">
        <v>36</v>
      </c>
    </row>
    <row r="1711" spans="6:11" ht="24" customHeight="1">
      <c r="H1711" s="1104" t="s">
        <v>4532</v>
      </c>
      <c r="K1711" s="1114">
        <f>SUM(K1705:K1709)</f>
        <v>57359.61</v>
      </c>
    </row>
    <row r="1712" spans="6:11" ht="24" customHeight="1">
      <c r="K1712" s="1111" t="s">
        <v>36</v>
      </c>
    </row>
    <row r="1713" spans="6:11" ht="24" customHeight="1">
      <c r="H1713" s="1104" t="s">
        <v>4533</v>
      </c>
      <c r="K1713" s="1115">
        <f>(K1711/10)</f>
        <v>5735.9610000000002</v>
      </c>
    </row>
    <row r="1714" spans="6:11" ht="24" customHeight="1">
      <c r="K1714" s="1111" t="s">
        <v>2793</v>
      </c>
    </row>
    <row r="1716" spans="6:11" ht="24" customHeight="1">
      <c r="G1716" s="1114" t="s">
        <v>3138</v>
      </c>
      <c r="H1716" s="1103" t="s">
        <v>4534</v>
      </c>
    </row>
    <row r="1717" spans="6:11" ht="24" customHeight="1">
      <c r="H1717" s="1103" t="s">
        <v>4535</v>
      </c>
    </row>
    <row r="1718" spans="6:11" ht="24" customHeight="1">
      <c r="H1718" s="1111" t="s">
        <v>36</v>
      </c>
      <c r="I1718" s="1111" t="s">
        <v>36</v>
      </c>
    </row>
    <row r="1720" spans="6:11" ht="24" customHeight="1">
      <c r="F1720" s="1128">
        <v>0.314</v>
      </c>
      <c r="G1720" s="1114" t="s">
        <v>16</v>
      </c>
      <c r="H1720" s="1103" t="s">
        <v>4536</v>
      </c>
      <c r="I1720" s="1114">
        <f>K1713</f>
        <v>5735.9610000000002</v>
      </c>
      <c r="J1720" s="1103" t="s">
        <v>16</v>
      </c>
      <c r="K1720" s="1114">
        <f>(F1720*I1720)</f>
        <v>1801.091754</v>
      </c>
    </row>
    <row r="1721" spans="6:11" ht="24" customHeight="1">
      <c r="F1721" s="1114">
        <v>18</v>
      </c>
      <c r="G1721" s="1114" t="s">
        <v>314</v>
      </c>
      <c r="H1721" s="1103" t="s">
        <v>4537</v>
      </c>
      <c r="I1721" s="1114">
        <v>41.87</v>
      </c>
      <c r="J1721" s="1103" t="s">
        <v>522</v>
      </c>
      <c r="K1721" s="1114">
        <f>(F1721*I1721)</f>
        <v>753.66</v>
      </c>
    </row>
    <row r="1722" spans="6:11" ht="24" customHeight="1">
      <c r="F1722" s="1114">
        <v>18</v>
      </c>
      <c r="G1722" s="1114" t="s">
        <v>314</v>
      </c>
      <c r="H1722" s="1103" t="s">
        <v>4538</v>
      </c>
      <c r="I1722" s="1114">
        <v>1</v>
      </c>
      <c r="J1722" s="1103" t="s">
        <v>522</v>
      </c>
      <c r="K1722" s="1114">
        <f>(F1722*I1722)</f>
        <v>18</v>
      </c>
    </row>
    <row r="1723" spans="6:11" ht="24" customHeight="1">
      <c r="F1723" s="1114">
        <v>18</v>
      </c>
      <c r="G1723" s="1114" t="s">
        <v>314</v>
      </c>
      <c r="H1723" s="1103" t="s">
        <v>4539</v>
      </c>
      <c r="I1723" s="1114">
        <v>2</v>
      </c>
      <c r="J1723" s="1103" t="s">
        <v>522</v>
      </c>
      <c r="K1723" s="1114">
        <f>(F1723*I1723)</f>
        <v>36</v>
      </c>
    </row>
    <row r="1724" spans="6:11" ht="24" customHeight="1">
      <c r="K1724" s="1111" t="s">
        <v>36</v>
      </c>
    </row>
    <row r="1725" spans="6:11" ht="24" customHeight="1">
      <c r="H1725" s="1104" t="s">
        <v>4540</v>
      </c>
      <c r="K1725" s="1114">
        <f>SUM(K1719:K1723)</f>
        <v>2608.7517539999999</v>
      </c>
    </row>
    <row r="1726" spans="6:11" ht="24" customHeight="1">
      <c r="K1726" s="1111" t="s">
        <v>36</v>
      </c>
    </row>
    <row r="1727" spans="6:11" ht="24" customHeight="1">
      <c r="H1727" s="1104" t="s">
        <v>4541</v>
      </c>
      <c r="K1727" s="1115">
        <f>(K1725/6.28)</f>
        <v>415.40633025477706</v>
      </c>
    </row>
    <row r="1728" spans="6:11" ht="24" customHeight="1">
      <c r="K1728" s="1111" t="s">
        <v>2793</v>
      </c>
    </row>
    <row r="1729" spans="6:11" ht="24" customHeight="1">
      <c r="F1729" s="1103" t="s">
        <v>220</v>
      </c>
      <c r="H1729" s="1103" t="s">
        <v>4542</v>
      </c>
    </row>
    <row r="1730" spans="6:11" ht="24" customHeight="1">
      <c r="H1730" s="1111" t="s">
        <v>36</v>
      </c>
    </row>
    <row r="1731" spans="6:11" ht="24" customHeight="1">
      <c r="F1731" s="1128">
        <v>0.01</v>
      </c>
      <c r="G1731" s="1114" t="s">
        <v>16</v>
      </c>
      <c r="H1731" s="1103" t="s">
        <v>4536</v>
      </c>
      <c r="I1731" s="1114">
        <f>K1713</f>
        <v>5735.9610000000002</v>
      </c>
      <c r="J1731" s="1103" t="s">
        <v>16</v>
      </c>
      <c r="K1731" s="1114">
        <f>ROUND(F1731*I1731,2)</f>
        <v>57.36</v>
      </c>
    </row>
    <row r="1732" spans="6:11" ht="24" customHeight="1">
      <c r="F1732" s="1114">
        <v>0.01</v>
      </c>
      <c r="G1732" s="1114" t="s">
        <v>204</v>
      </c>
      <c r="H1732" s="1103" t="s">
        <v>4543</v>
      </c>
      <c r="I1732" s="1127" t="s">
        <v>1348</v>
      </c>
      <c r="K1732" s="1114">
        <v>1.2</v>
      </c>
    </row>
    <row r="1733" spans="6:11" ht="24" customHeight="1">
      <c r="I1733" s="1145"/>
      <c r="K1733" s="1111" t="s">
        <v>36</v>
      </c>
    </row>
    <row r="1734" spans="6:11" ht="24" customHeight="1">
      <c r="H1734" s="1104" t="s">
        <v>4544</v>
      </c>
      <c r="K1734" s="1114">
        <f>SUM(K1728:K1732)</f>
        <v>58.56</v>
      </c>
    </row>
    <row r="1735" spans="6:11" ht="24" customHeight="1">
      <c r="K1735" s="1111" t="s">
        <v>36</v>
      </c>
    </row>
    <row r="1736" spans="6:11" ht="24" customHeight="1">
      <c r="H1736" s="1104" t="s">
        <v>4545</v>
      </c>
      <c r="K1736" s="1114">
        <f>K1734/0.01</f>
        <v>5856</v>
      </c>
    </row>
    <row r="1737" spans="6:11" ht="24" customHeight="1">
      <c r="K1737" s="1111" t="s">
        <v>2793</v>
      </c>
    </row>
    <row r="1738" spans="6:11" ht="24" customHeight="1">
      <c r="F1738" s="1104" t="s">
        <v>4546</v>
      </c>
      <c r="G1738" s="1114" t="s">
        <v>3138</v>
      </c>
      <c r="H1738" s="1103" t="s">
        <v>4534</v>
      </c>
    </row>
    <row r="1739" spans="6:11" ht="24" customHeight="1">
      <c r="H1739" s="1106" t="s">
        <v>4547</v>
      </c>
    </row>
    <row r="1740" spans="6:11" ht="24" customHeight="1">
      <c r="H1740" s="1111" t="s">
        <v>36</v>
      </c>
      <c r="I1740" s="1111" t="s">
        <v>36</v>
      </c>
    </row>
    <row r="1741" spans="6:11" ht="24" customHeight="1">
      <c r="F1741" s="1128">
        <v>0.40500000000000003</v>
      </c>
      <c r="G1741" s="1114" t="s">
        <v>16</v>
      </c>
      <c r="H1741" s="1103" t="s">
        <v>4536</v>
      </c>
      <c r="I1741" s="1114">
        <f>K1736</f>
        <v>5856</v>
      </c>
      <c r="J1741" s="1103" t="s">
        <v>16</v>
      </c>
      <c r="K1741" s="1114">
        <f>(F1741*I1741)</f>
        <v>2371.6800000000003</v>
      </c>
    </row>
    <row r="1742" spans="6:11" ht="24" customHeight="1">
      <c r="F1742" s="1103" t="s">
        <v>220</v>
      </c>
      <c r="G1742" s="1114" t="s">
        <v>220</v>
      </c>
      <c r="H1742" s="1103" t="s">
        <v>4548</v>
      </c>
      <c r="I1742" s="1127" t="s">
        <v>1348</v>
      </c>
      <c r="K1742" s="1103" t="s">
        <v>220</v>
      </c>
    </row>
    <row r="1743" spans="6:11" ht="24" customHeight="1">
      <c r="K1743" s="1111" t="s">
        <v>36</v>
      </c>
    </row>
    <row r="1744" spans="6:11" ht="24" customHeight="1">
      <c r="H1744" s="1104" t="s">
        <v>4549</v>
      </c>
      <c r="K1744" s="1114">
        <f>SUM(K1738:K1742)</f>
        <v>2371.6800000000003</v>
      </c>
    </row>
    <row r="1745" spans="6:11" ht="24" customHeight="1">
      <c r="K1745" s="1111" t="s">
        <v>36</v>
      </c>
    </row>
    <row r="1746" spans="6:11" ht="24" customHeight="1">
      <c r="H1746" s="1104" t="s">
        <v>4550</v>
      </c>
      <c r="K1746" s="1115">
        <f>K1744/9</f>
        <v>263.52000000000004</v>
      </c>
    </row>
    <row r="1747" spans="6:11" ht="24" customHeight="1">
      <c r="K1747" s="1111" t="s">
        <v>2793</v>
      </c>
    </row>
    <row r="1748" spans="6:11" ht="24" customHeight="1">
      <c r="F1748" s="1104" t="s">
        <v>4551</v>
      </c>
      <c r="H1748" s="1103" t="s">
        <v>4552</v>
      </c>
    </row>
    <row r="1749" spans="6:11" ht="24" customHeight="1">
      <c r="H1749" s="1111" t="s">
        <v>36</v>
      </c>
    </row>
    <row r="1750" spans="6:11" ht="24" customHeight="1">
      <c r="F1750" s="1114">
        <v>4.32</v>
      </c>
      <c r="G1750" s="1114" t="s">
        <v>2839</v>
      </c>
      <c r="H1750" s="1103" t="s">
        <v>4553</v>
      </c>
      <c r="I1750" s="1114">
        <f>C61</f>
        <v>96.6</v>
      </c>
      <c r="J1750" s="1103" t="s">
        <v>2839</v>
      </c>
      <c r="K1750" s="1114">
        <f t="shared" ref="K1750:K1757" si="212">(F1750*I1750)</f>
        <v>417.31200000000001</v>
      </c>
    </row>
    <row r="1751" spans="6:11" ht="24" customHeight="1">
      <c r="F1751" s="1114">
        <v>1.44</v>
      </c>
      <c r="G1751" s="1114" t="s">
        <v>2839</v>
      </c>
      <c r="H1751" s="1103" t="s">
        <v>4554</v>
      </c>
      <c r="I1751" s="1114">
        <v>69.099999999999994</v>
      </c>
      <c r="J1751" s="1103" t="s">
        <v>2839</v>
      </c>
      <c r="K1751" s="1114">
        <f t="shared" si="212"/>
        <v>99.503999999999991</v>
      </c>
    </row>
    <row r="1752" spans="6:11" ht="24" customHeight="1">
      <c r="F1752" s="1114">
        <v>1.44</v>
      </c>
      <c r="G1752" s="1114" t="s">
        <v>2839</v>
      </c>
      <c r="H1752" s="1103" t="s">
        <v>4555</v>
      </c>
      <c r="I1752" s="1114">
        <f>C35</f>
        <v>513</v>
      </c>
      <c r="J1752" s="1103" t="s">
        <v>2839</v>
      </c>
      <c r="K1752" s="1114">
        <f t="shared" si="212"/>
        <v>738.72</v>
      </c>
    </row>
    <row r="1753" spans="6:11" ht="24" customHeight="1">
      <c r="F1753" s="1114">
        <v>1.44</v>
      </c>
      <c r="G1753" s="1114" t="s">
        <v>2839</v>
      </c>
      <c r="H1753" s="1103" t="s">
        <v>4556</v>
      </c>
      <c r="I1753" s="1114">
        <f>C78</f>
        <v>1835.06</v>
      </c>
      <c r="J1753" s="1103" t="s">
        <v>2839</v>
      </c>
      <c r="K1753" s="1114">
        <f t="shared" si="212"/>
        <v>2642.4863999999998</v>
      </c>
    </row>
    <row r="1754" spans="6:11" ht="24" customHeight="1">
      <c r="F1754" s="1114">
        <v>2.88</v>
      </c>
      <c r="G1754" s="1114" t="s">
        <v>2839</v>
      </c>
      <c r="H1754" s="1103" t="s">
        <v>4557</v>
      </c>
      <c r="I1754" s="1114">
        <v>10</v>
      </c>
      <c r="J1754" s="1103" t="s">
        <v>2839</v>
      </c>
      <c r="K1754" s="1114">
        <f t="shared" si="212"/>
        <v>28.799999999999997</v>
      </c>
    </row>
    <row r="1755" spans="6:11" ht="24" customHeight="1">
      <c r="F1755" s="1114">
        <v>20</v>
      </c>
      <c r="G1755" s="1114" t="s">
        <v>4558</v>
      </c>
      <c r="H1755" s="1103" t="s">
        <v>4559</v>
      </c>
      <c r="I1755" s="1114">
        <v>46.1</v>
      </c>
      <c r="J1755" s="1103" t="s">
        <v>4558</v>
      </c>
      <c r="K1755" s="1114">
        <f t="shared" si="212"/>
        <v>922</v>
      </c>
    </row>
    <row r="1756" spans="6:11" ht="24" customHeight="1">
      <c r="F1756" s="1114">
        <v>42</v>
      </c>
      <c r="G1756" s="1114" t="s">
        <v>4560</v>
      </c>
      <c r="H1756" s="1103" t="s">
        <v>4561</v>
      </c>
      <c r="I1756" s="1114">
        <v>17.5</v>
      </c>
      <c r="J1756" s="1103" t="s">
        <v>4560</v>
      </c>
      <c r="K1756" s="1114">
        <f t="shared" si="212"/>
        <v>735</v>
      </c>
    </row>
    <row r="1757" spans="6:11" ht="24" customHeight="1">
      <c r="F1757" s="1114">
        <v>4.32</v>
      </c>
      <c r="G1757" s="1114" t="s">
        <v>2839</v>
      </c>
      <c r="H1757" s="1103" t="s">
        <v>4562</v>
      </c>
      <c r="I1757" s="1114">
        <f>C26</f>
        <v>33.6</v>
      </c>
      <c r="J1757" s="1103" t="s">
        <v>2839</v>
      </c>
      <c r="K1757" s="1114">
        <f t="shared" si="212"/>
        <v>145.15200000000002</v>
      </c>
    </row>
    <row r="1758" spans="6:11" ht="24" customHeight="1">
      <c r="F1758" s="1104" t="s">
        <v>4563</v>
      </c>
      <c r="H1758" s="1103" t="s">
        <v>4564</v>
      </c>
      <c r="K1758" s="1114">
        <v>2000</v>
      </c>
    </row>
    <row r="1759" spans="6:11" ht="24" customHeight="1">
      <c r="K1759" s="1111" t="s">
        <v>36</v>
      </c>
    </row>
    <row r="1760" spans="6:11" ht="24" customHeight="1">
      <c r="H1760" s="1103" t="s">
        <v>4565</v>
      </c>
      <c r="K1760" s="1114">
        <f>SUM(K1750:K1758)</f>
        <v>7728.9744000000001</v>
      </c>
    </row>
    <row r="1761" spans="6:12" ht="24" customHeight="1">
      <c r="K1761" s="1111" t="s">
        <v>36</v>
      </c>
    </row>
    <row r="1762" spans="6:12" ht="24" customHeight="1">
      <c r="H1762" s="1103" t="s">
        <v>4566</v>
      </c>
      <c r="K1762" s="1115">
        <f>K1760/20</f>
        <v>386.44871999999998</v>
      </c>
    </row>
    <row r="1763" spans="6:12" ht="24" customHeight="1">
      <c r="K1763" s="1111" t="s">
        <v>2793</v>
      </c>
    </row>
    <row r="1765" spans="6:12" ht="24" customHeight="1">
      <c r="F1765" s="1104" t="s">
        <v>4567</v>
      </c>
      <c r="H1765" s="1103" t="s">
        <v>4568</v>
      </c>
    </row>
    <row r="1766" spans="6:12" ht="24" customHeight="1">
      <c r="H1766" s="1111" t="s">
        <v>36</v>
      </c>
    </row>
    <row r="1767" spans="6:12" ht="24" customHeight="1">
      <c r="F1767" s="1114">
        <v>0.1</v>
      </c>
      <c r="G1767" s="1114" t="s">
        <v>2839</v>
      </c>
      <c r="H1767" s="1103" t="s">
        <v>4553</v>
      </c>
      <c r="I1767" s="1114">
        <f>K90</f>
        <v>193.20000000000002</v>
      </c>
      <c r="J1767" s="1103" t="s">
        <v>2839</v>
      </c>
      <c r="K1767" s="1114">
        <f t="shared" ref="K1767:K1772" si="213">(F1767*I1767)</f>
        <v>19.320000000000004</v>
      </c>
    </row>
    <row r="1768" spans="6:12" ht="24" customHeight="1">
      <c r="F1768" s="1114">
        <v>6.3</v>
      </c>
      <c r="G1768" s="1114" t="s">
        <v>4560</v>
      </c>
      <c r="H1768" s="1103" t="s">
        <v>4569</v>
      </c>
      <c r="I1768" s="1114">
        <v>34.6</v>
      </c>
      <c r="J1768" s="1103" t="s">
        <v>4560</v>
      </c>
      <c r="K1768" s="1114">
        <f t="shared" si="213"/>
        <v>217.98</v>
      </c>
    </row>
    <row r="1769" spans="6:12" ht="24" customHeight="1">
      <c r="F1769" s="1114">
        <v>6.3</v>
      </c>
      <c r="G1769" s="1114" t="s">
        <v>4560</v>
      </c>
      <c r="H1769" s="1103" t="s">
        <v>4570</v>
      </c>
      <c r="I1769" s="1114">
        <f>I1756</f>
        <v>17.5</v>
      </c>
      <c r="J1769" s="1103" t="s">
        <v>4560</v>
      </c>
      <c r="K1769" s="1114">
        <f t="shared" si="213"/>
        <v>110.25</v>
      </c>
    </row>
    <row r="1770" spans="6:12" ht="24" customHeight="1">
      <c r="F1770" s="1114">
        <v>3.15</v>
      </c>
      <c r="G1770" s="1114" t="s">
        <v>833</v>
      </c>
      <c r="H1770" s="1103" t="s">
        <v>4571</v>
      </c>
      <c r="I1770" s="1114">
        <f>C198</f>
        <v>36.299999999999997</v>
      </c>
      <c r="J1770" s="1103" t="s">
        <v>833</v>
      </c>
      <c r="K1770" s="1114">
        <f t="shared" si="213"/>
        <v>114.34499999999998</v>
      </c>
      <c r="L1770" s="1105" t="s">
        <v>4181</v>
      </c>
    </row>
    <row r="1771" spans="6:12" ht="24" customHeight="1">
      <c r="F1771" s="1114">
        <v>0.25</v>
      </c>
      <c r="G1771" s="1114" t="s">
        <v>4511</v>
      </c>
      <c r="H1771" s="1103" t="s">
        <v>4572</v>
      </c>
      <c r="I1771" s="1114">
        <f>D16</f>
        <v>804</v>
      </c>
      <c r="J1771" s="1103" t="s">
        <v>4511</v>
      </c>
      <c r="K1771" s="1114">
        <f t="shared" si="213"/>
        <v>201</v>
      </c>
    </row>
    <row r="1772" spans="6:12" ht="24" customHeight="1">
      <c r="F1772" s="1114">
        <v>0.2</v>
      </c>
      <c r="G1772" s="1114" t="s">
        <v>4511</v>
      </c>
      <c r="H1772" s="1103" t="s">
        <v>4573</v>
      </c>
      <c r="I1772" s="1114">
        <f>AE38</f>
        <v>747</v>
      </c>
      <c r="J1772" s="1103" t="s">
        <v>4511</v>
      </c>
      <c r="K1772" s="1114">
        <f t="shared" si="213"/>
        <v>149.4</v>
      </c>
    </row>
    <row r="1773" spans="6:12" ht="24" customHeight="1">
      <c r="H1773" s="1103" t="s">
        <v>4574</v>
      </c>
      <c r="I1773" s="1103" t="s">
        <v>220</v>
      </c>
      <c r="J1773" s="1103" t="s">
        <v>220</v>
      </c>
      <c r="K1773" s="1114">
        <v>0</v>
      </c>
    </row>
    <row r="1774" spans="6:12" ht="24" customHeight="1">
      <c r="J1774" s="1103" t="s">
        <v>220</v>
      </c>
      <c r="K1774" s="1111" t="s">
        <v>36</v>
      </c>
    </row>
    <row r="1775" spans="6:12" ht="24" customHeight="1">
      <c r="F1775" s="1103" t="s">
        <v>220</v>
      </c>
      <c r="G1775" s="1114" t="s">
        <v>220</v>
      </c>
      <c r="H1775" s="1103" t="s">
        <v>4566</v>
      </c>
      <c r="K1775" s="1115">
        <f>SUM(K1767:K1774)</f>
        <v>812.29499999999996</v>
      </c>
    </row>
    <row r="1776" spans="6:12" ht="24" customHeight="1">
      <c r="H1776" s="1103" t="s">
        <v>220</v>
      </c>
      <c r="K1776" s="1111" t="s">
        <v>36</v>
      </c>
    </row>
    <row r="1777" spans="6:11" ht="24" customHeight="1">
      <c r="K1777" s="1111"/>
    </row>
    <row r="1778" spans="6:11" ht="24" customHeight="1">
      <c r="F1778" s="1104" t="s">
        <v>4575</v>
      </c>
      <c r="H1778" s="1103" t="s">
        <v>4576</v>
      </c>
    </row>
    <row r="1779" spans="6:11" ht="24" customHeight="1">
      <c r="H1779" s="1111" t="s">
        <v>36</v>
      </c>
    </row>
    <row r="1780" spans="6:11" ht="24" customHeight="1">
      <c r="F1780" s="1144">
        <v>0.48599999999999999</v>
      </c>
      <c r="G1780" s="1114" t="s">
        <v>204</v>
      </c>
      <c r="H1780" s="1103" t="s">
        <v>4553</v>
      </c>
      <c r="I1780" s="1114">
        <f>C61</f>
        <v>96.6</v>
      </c>
      <c r="J1780" s="1103" t="s">
        <v>204</v>
      </c>
      <c r="K1780" s="1114">
        <f t="shared" ref="K1780:K1786" si="214">(F1780*I1780)</f>
        <v>46.947599999999994</v>
      </c>
    </row>
    <row r="1781" spans="6:11" ht="24" customHeight="1">
      <c r="F1781" s="1144">
        <v>0.48599999999999999</v>
      </c>
      <c r="G1781" s="1114" t="s">
        <v>204</v>
      </c>
      <c r="H1781" s="1103" t="s">
        <v>4577</v>
      </c>
      <c r="I1781" s="1114">
        <f>K204</f>
        <v>4858.317</v>
      </c>
      <c r="J1781" s="1103" t="s">
        <v>204</v>
      </c>
      <c r="K1781" s="1114">
        <f t="shared" si="214"/>
        <v>2361.1420619999999</v>
      </c>
    </row>
    <row r="1782" spans="6:11" ht="24" customHeight="1">
      <c r="F1782" s="1114">
        <v>81.75</v>
      </c>
      <c r="G1782" s="1114" t="s">
        <v>4578</v>
      </c>
      <c r="H1782" s="1103" t="s">
        <v>4579</v>
      </c>
      <c r="I1782" s="1114">
        <f>I745</f>
        <v>47.3</v>
      </c>
      <c r="J1782" s="1103" t="s">
        <v>4578</v>
      </c>
      <c r="K1782" s="1114">
        <f t="shared" si="214"/>
        <v>3866.7749999999996</v>
      </c>
    </row>
    <row r="1783" spans="6:11" ht="24" customHeight="1">
      <c r="F1783" s="1114">
        <v>7.2</v>
      </c>
      <c r="G1783" s="1114" t="s">
        <v>4578</v>
      </c>
      <c r="H1783" s="1103" t="s">
        <v>4580</v>
      </c>
      <c r="I1783" s="1114">
        <f>I745</f>
        <v>47.3</v>
      </c>
      <c r="J1783" s="1103" t="s">
        <v>4578</v>
      </c>
      <c r="K1783" s="1114">
        <f t="shared" si="214"/>
        <v>340.56</v>
      </c>
    </row>
    <row r="1784" spans="6:11" ht="24" customHeight="1">
      <c r="F1784" s="1114">
        <v>43.68</v>
      </c>
      <c r="G1784" s="1114" t="s">
        <v>4578</v>
      </c>
      <c r="H1784" s="1103" t="s">
        <v>4581</v>
      </c>
      <c r="I1784" s="1114">
        <f>I743</f>
        <v>47.3</v>
      </c>
      <c r="J1784" s="1103" t="s">
        <v>4578</v>
      </c>
      <c r="K1784" s="1114">
        <f t="shared" si="214"/>
        <v>2066.0639999999999</v>
      </c>
    </row>
    <row r="1785" spans="6:11" ht="24" customHeight="1">
      <c r="F1785" s="1114">
        <v>132.63</v>
      </c>
      <c r="G1785" s="1114" t="s">
        <v>4578</v>
      </c>
      <c r="H1785" s="1103" t="s">
        <v>4582</v>
      </c>
      <c r="I1785" s="1114">
        <f>C37</f>
        <v>47.8</v>
      </c>
      <c r="J1785" s="1103" t="s">
        <v>4578</v>
      </c>
      <c r="K1785" s="1114">
        <f t="shared" si="214"/>
        <v>6339.713999999999</v>
      </c>
    </row>
    <row r="1786" spans="6:11" ht="24" customHeight="1">
      <c r="F1786" s="1114">
        <v>2.2000000000000002</v>
      </c>
      <c r="G1786" s="1114" t="s">
        <v>833</v>
      </c>
      <c r="H1786" s="1103" t="s">
        <v>4583</v>
      </c>
      <c r="I1786" s="1114">
        <v>970</v>
      </c>
      <c r="J1786" s="1103" t="s">
        <v>833</v>
      </c>
      <c r="K1786" s="1114">
        <f t="shared" si="214"/>
        <v>2134</v>
      </c>
    </row>
    <row r="1787" spans="6:11" ht="24" customHeight="1">
      <c r="F1787" s="1127" t="s">
        <v>1348</v>
      </c>
      <c r="H1787" s="1103" t="s">
        <v>4584</v>
      </c>
      <c r="I1787" s="1127" t="s">
        <v>1348</v>
      </c>
      <c r="K1787" s="1114">
        <v>250</v>
      </c>
    </row>
    <row r="1788" spans="6:11" ht="24" customHeight="1">
      <c r="F1788" s="1127" t="s">
        <v>1348</v>
      </c>
      <c r="H1788" s="1103" t="s">
        <v>4585</v>
      </c>
      <c r="I1788" s="1127" t="s">
        <v>1348</v>
      </c>
      <c r="K1788" s="1114">
        <v>20.47</v>
      </c>
    </row>
    <row r="1789" spans="6:11" ht="24" customHeight="1">
      <c r="K1789" s="1111" t="s">
        <v>36</v>
      </c>
    </row>
    <row r="1790" spans="6:11" ht="24" customHeight="1">
      <c r="K1790" s="1114">
        <f>SUM(K1780:K1789)</f>
        <v>17425.672662000001</v>
      </c>
    </row>
    <row r="1791" spans="6:11" ht="24" customHeight="1">
      <c r="K1791" s="1111" t="s">
        <v>36</v>
      </c>
    </row>
    <row r="1792" spans="6:11" ht="24" customHeight="1">
      <c r="K1792" s="1111"/>
    </row>
    <row r="1793" spans="6:11" ht="24" customHeight="1">
      <c r="F1793" s="1126">
        <v>86</v>
      </c>
      <c r="H1793" s="1103" t="s">
        <v>4586</v>
      </c>
      <c r="K1793" s="1114">
        <f>C806</f>
        <v>33.9</v>
      </c>
    </row>
    <row r="1794" spans="6:11" ht="24" customHeight="1">
      <c r="F1794" s="1131"/>
      <c r="H1794" s="1103"/>
      <c r="K1794" s="1114"/>
    </row>
    <row r="1795" spans="6:11" ht="24" customHeight="1">
      <c r="F1795" s="1104" t="s">
        <v>4587</v>
      </c>
      <c r="H1795" s="1103" t="s">
        <v>4588</v>
      </c>
      <c r="K1795" s="1127">
        <v>9.6</v>
      </c>
    </row>
    <row r="1796" spans="6:11" ht="24" customHeight="1">
      <c r="H1796" s="1103" t="s">
        <v>4589</v>
      </c>
      <c r="K1796" s="1105">
        <f>700*K1795</f>
        <v>6720</v>
      </c>
    </row>
    <row r="1797" spans="6:11" ht="24" customHeight="1">
      <c r="F1797" s="1103" t="s">
        <v>220</v>
      </c>
      <c r="H1797" s="1103" t="s">
        <v>4590</v>
      </c>
      <c r="K1797" s="1105">
        <f>200*K1795</f>
        <v>1920</v>
      </c>
    </row>
    <row r="1798" spans="6:11" ht="24" customHeight="1">
      <c r="F1798" s="1131"/>
      <c r="G1798" s="1114" t="s">
        <v>1363</v>
      </c>
      <c r="H1798" s="1103" t="s">
        <v>3388</v>
      </c>
    </row>
    <row r="1799" spans="6:11" ht="24" customHeight="1">
      <c r="H1799" s="1103" t="s">
        <v>4591</v>
      </c>
    </row>
    <row r="1800" spans="6:11" ht="24" customHeight="1">
      <c r="H1800" s="1103" t="s">
        <v>3453</v>
      </c>
    </row>
    <row r="1801" spans="6:11" ht="24" customHeight="1">
      <c r="H1801" s="1111" t="s">
        <v>36</v>
      </c>
    </row>
    <row r="1802" spans="6:11" ht="24" customHeight="1">
      <c r="G1802" s="1114" t="s">
        <v>2169</v>
      </c>
      <c r="H1802" s="1103" t="s">
        <v>3453</v>
      </c>
      <c r="K1802" s="1103" t="s">
        <v>4592</v>
      </c>
    </row>
    <row r="1803" spans="6:11" ht="24" customHeight="1">
      <c r="H1803" s="1111" t="s">
        <v>36</v>
      </c>
      <c r="K1803" s="1111" t="s">
        <v>2793</v>
      </c>
    </row>
    <row r="1804" spans="6:11" ht="24" customHeight="1">
      <c r="F1804" s="1114">
        <v>30</v>
      </c>
      <c r="G1804" s="1114" t="s">
        <v>1790</v>
      </c>
      <c r="H1804" s="1103" t="s">
        <v>3459</v>
      </c>
      <c r="I1804" s="1114">
        <f>(C661)</f>
        <v>9.1199999999999992</v>
      </c>
      <c r="J1804" s="1103" t="s">
        <v>1790</v>
      </c>
      <c r="K1804" s="1114">
        <f>(F1804*I1804)</f>
        <v>273.59999999999997</v>
      </c>
    </row>
    <row r="1805" spans="6:11" ht="24" customHeight="1">
      <c r="F1805" s="1103" t="s">
        <v>220</v>
      </c>
      <c r="H1805" s="1103" t="s">
        <v>3462</v>
      </c>
      <c r="I1805" s="1103" t="s">
        <v>220</v>
      </c>
      <c r="K1805" s="1103" t="s">
        <v>220</v>
      </c>
    </row>
    <row r="1806" spans="6:11" ht="24" customHeight="1">
      <c r="F1806" s="1114">
        <v>8</v>
      </c>
      <c r="G1806" s="1114" t="s">
        <v>2838</v>
      </c>
      <c r="H1806" s="1103" t="s">
        <v>3405</v>
      </c>
      <c r="I1806" s="1114">
        <f>(C663)</f>
        <v>8.1</v>
      </c>
      <c r="J1806" s="1103" t="s">
        <v>2838</v>
      </c>
      <c r="K1806" s="1114">
        <f t="shared" ref="K1806:K1812" si="215">(F1806*I1806)</f>
        <v>64.8</v>
      </c>
    </row>
    <row r="1807" spans="6:11" ht="24" customHeight="1">
      <c r="F1807" s="1114">
        <v>8</v>
      </c>
      <c r="G1807" s="1114" t="s">
        <v>2838</v>
      </c>
      <c r="H1807" s="1103" t="s">
        <v>3408</v>
      </c>
      <c r="I1807" s="1114">
        <f>(C672)</f>
        <v>11.5</v>
      </c>
      <c r="J1807" s="1103" t="s">
        <v>2838</v>
      </c>
      <c r="K1807" s="1114">
        <f t="shared" si="215"/>
        <v>92</v>
      </c>
    </row>
    <row r="1808" spans="6:11" ht="24" customHeight="1">
      <c r="F1808" s="1114">
        <v>3</v>
      </c>
      <c r="G1808" s="1114" t="s">
        <v>2838</v>
      </c>
      <c r="H1808" s="1103" t="s">
        <v>3467</v>
      </c>
      <c r="I1808" s="1114">
        <f>(C41)</f>
        <v>637</v>
      </c>
      <c r="J1808" s="1103" t="s">
        <v>2838</v>
      </c>
      <c r="K1808" s="1114">
        <f t="shared" si="215"/>
        <v>1911</v>
      </c>
    </row>
    <row r="1809" spans="6:11" ht="24" customHeight="1">
      <c r="F1809" s="1114">
        <v>1</v>
      </c>
      <c r="G1809" s="1114" t="s">
        <v>2838</v>
      </c>
      <c r="H1809" s="1103" t="s">
        <v>4593</v>
      </c>
      <c r="I1809" s="1114">
        <f>(C10)</f>
        <v>861</v>
      </c>
      <c r="J1809" s="1103" t="s">
        <v>2838</v>
      </c>
      <c r="K1809" s="1114">
        <f t="shared" si="215"/>
        <v>861</v>
      </c>
    </row>
    <row r="1810" spans="6:11" ht="24" customHeight="1">
      <c r="F1810" s="1114">
        <v>2</v>
      </c>
      <c r="G1810" s="1114" t="s">
        <v>2838</v>
      </c>
      <c r="H1810" s="1103" t="s">
        <v>3020</v>
      </c>
      <c r="I1810" s="1114">
        <f>(C12)</f>
        <v>562</v>
      </c>
      <c r="J1810" s="1103" t="s">
        <v>2838</v>
      </c>
      <c r="K1810" s="1114">
        <f t="shared" si="215"/>
        <v>1124</v>
      </c>
    </row>
    <row r="1811" spans="6:11" ht="24" customHeight="1">
      <c r="F1811" s="1114">
        <v>1</v>
      </c>
      <c r="G1811" s="1114" t="s">
        <v>2838</v>
      </c>
      <c r="H1811" s="1103" t="s">
        <v>3026</v>
      </c>
      <c r="I1811" s="1114">
        <f>(C13)</f>
        <v>461</v>
      </c>
      <c r="J1811" s="1103" t="s">
        <v>2838</v>
      </c>
      <c r="K1811" s="1114">
        <f t="shared" si="215"/>
        <v>461</v>
      </c>
    </row>
    <row r="1812" spans="6:11" ht="24" customHeight="1">
      <c r="F1812" s="1114">
        <v>1</v>
      </c>
      <c r="G1812" s="1114" t="s">
        <v>2838</v>
      </c>
      <c r="H1812" s="1103" t="s">
        <v>4594</v>
      </c>
      <c r="I1812" s="1103">
        <v>5</v>
      </c>
      <c r="J1812" s="1103" t="s">
        <v>522</v>
      </c>
      <c r="K1812" s="1114">
        <f t="shared" si="215"/>
        <v>5</v>
      </c>
    </row>
    <row r="1813" spans="6:11" ht="24" customHeight="1">
      <c r="H1813" s="1103" t="s">
        <v>4595</v>
      </c>
      <c r="I1813" s="1103" t="s">
        <v>220</v>
      </c>
      <c r="K1813" s="1103" t="s">
        <v>220</v>
      </c>
    </row>
    <row r="1814" spans="6:11" ht="24" customHeight="1">
      <c r="G1814" s="1114" t="s">
        <v>2851</v>
      </c>
      <c r="H1814" s="1103" t="s">
        <v>2852</v>
      </c>
      <c r="J1814" s="1103" t="s">
        <v>2851</v>
      </c>
      <c r="K1814" s="1114">
        <v>0</v>
      </c>
    </row>
    <row r="1815" spans="6:11" ht="24" customHeight="1">
      <c r="K1815" s="1111" t="s">
        <v>36</v>
      </c>
    </row>
    <row r="1816" spans="6:11" ht="24" customHeight="1">
      <c r="H1816" s="1103" t="s">
        <v>3473</v>
      </c>
      <c r="K1816" s="1114">
        <f>SUM(K1804:K1814)</f>
        <v>4792.3999999999996</v>
      </c>
    </row>
    <row r="1817" spans="6:11" ht="24" customHeight="1">
      <c r="K1817" s="1111" t="s">
        <v>36</v>
      </c>
    </row>
    <row r="1818" spans="6:11" ht="24" customHeight="1">
      <c r="H1818" s="1103" t="s">
        <v>3413</v>
      </c>
      <c r="K1818" s="1114">
        <f>(K1816/30)</f>
        <v>159.74666666666664</v>
      </c>
    </row>
    <row r="1819" spans="6:11" ht="24" customHeight="1">
      <c r="K1819" s="1111" t="s">
        <v>36</v>
      </c>
    </row>
    <row r="1820" spans="6:11" ht="24" customHeight="1">
      <c r="G1820" s="1114" t="s">
        <v>3801</v>
      </c>
      <c r="H1820" s="1103" t="s">
        <v>3453</v>
      </c>
      <c r="K1820" s="1103" t="s">
        <v>4596</v>
      </c>
    </row>
    <row r="1821" spans="6:11" ht="24" customHeight="1">
      <c r="H1821" s="1111" t="s">
        <v>36</v>
      </c>
      <c r="K1821" s="1111" t="s">
        <v>2793</v>
      </c>
    </row>
    <row r="1822" spans="6:11" ht="24" customHeight="1">
      <c r="F1822" s="1114">
        <v>30</v>
      </c>
      <c r="G1822" s="1114" t="s">
        <v>1790</v>
      </c>
      <c r="H1822" s="1103" t="s">
        <v>3459</v>
      </c>
      <c r="I1822" s="1114">
        <f>(C661)</f>
        <v>9.1199999999999992</v>
      </c>
      <c r="J1822" s="1103" t="s">
        <v>1790</v>
      </c>
      <c r="K1822" s="1114">
        <f>(F1822*I1822)</f>
        <v>273.59999999999997</v>
      </c>
    </row>
    <row r="1823" spans="6:11" ht="24" customHeight="1">
      <c r="F1823" s="1103" t="s">
        <v>220</v>
      </c>
      <c r="H1823" s="1103" t="s">
        <v>3462</v>
      </c>
      <c r="I1823" s="1103" t="s">
        <v>220</v>
      </c>
      <c r="K1823" s="1103" t="s">
        <v>220</v>
      </c>
    </row>
    <row r="1824" spans="6:11" ht="24" customHeight="1">
      <c r="F1824" s="1114">
        <v>8</v>
      </c>
      <c r="G1824" s="1114" t="s">
        <v>2838</v>
      </c>
      <c r="H1824" s="1103" t="s">
        <v>3405</v>
      </c>
      <c r="I1824" s="1114">
        <f>(C663)</f>
        <v>8.1</v>
      </c>
      <c r="J1824" s="1103" t="s">
        <v>2838</v>
      </c>
      <c r="K1824" s="1114">
        <f t="shared" ref="K1824:K1830" si="216">(F1824*I1824)</f>
        <v>64.8</v>
      </c>
    </row>
    <row r="1825" spans="6:11" ht="24" customHeight="1">
      <c r="F1825" s="1114">
        <v>8</v>
      </c>
      <c r="G1825" s="1114" t="s">
        <v>2838</v>
      </c>
      <c r="H1825" s="1103" t="s">
        <v>3408</v>
      </c>
      <c r="I1825" s="1114">
        <f>D672</f>
        <v>11.7</v>
      </c>
      <c r="J1825" s="1103" t="s">
        <v>2838</v>
      </c>
      <c r="K1825" s="1114">
        <f t="shared" si="216"/>
        <v>93.6</v>
      </c>
    </row>
    <row r="1826" spans="6:11" ht="24" customHeight="1">
      <c r="F1826" s="1114">
        <v>3</v>
      </c>
      <c r="G1826" s="1114" t="s">
        <v>2838</v>
      </c>
      <c r="H1826" s="1103" t="s">
        <v>3467</v>
      </c>
      <c r="I1826" s="1114">
        <f>(C41)</f>
        <v>637</v>
      </c>
      <c r="J1826" s="1103" t="s">
        <v>2838</v>
      </c>
      <c r="K1826" s="1114">
        <f t="shared" si="216"/>
        <v>1911</v>
      </c>
    </row>
    <row r="1827" spans="6:11" ht="24" customHeight="1">
      <c r="F1827" s="1114">
        <v>1</v>
      </c>
      <c r="G1827" s="1114" t="s">
        <v>2838</v>
      </c>
      <c r="H1827" s="1103" t="s">
        <v>4593</v>
      </c>
      <c r="I1827" s="1114">
        <f>(C10)</f>
        <v>861</v>
      </c>
      <c r="J1827" s="1103" t="s">
        <v>2838</v>
      </c>
      <c r="K1827" s="1114">
        <f t="shared" si="216"/>
        <v>861</v>
      </c>
    </row>
    <row r="1828" spans="6:11" ht="24" customHeight="1">
      <c r="F1828" s="1114">
        <v>2</v>
      </c>
      <c r="G1828" s="1114" t="s">
        <v>2838</v>
      </c>
      <c r="H1828" s="1103" t="s">
        <v>3020</v>
      </c>
      <c r="I1828" s="1114">
        <f>(C12)</f>
        <v>562</v>
      </c>
      <c r="J1828" s="1103" t="s">
        <v>2838</v>
      </c>
      <c r="K1828" s="1114">
        <f t="shared" si="216"/>
        <v>1124</v>
      </c>
    </row>
    <row r="1829" spans="6:11" ht="24" customHeight="1">
      <c r="F1829" s="1114">
        <v>1</v>
      </c>
      <c r="G1829" s="1114" t="s">
        <v>2838</v>
      </c>
      <c r="H1829" s="1103" t="s">
        <v>3026</v>
      </c>
      <c r="I1829" s="1114">
        <f>(C13)</f>
        <v>461</v>
      </c>
      <c r="J1829" s="1103" t="s">
        <v>2838</v>
      </c>
      <c r="K1829" s="1114">
        <f t="shared" si="216"/>
        <v>461</v>
      </c>
    </row>
    <row r="1830" spans="6:11" ht="24" customHeight="1">
      <c r="F1830" s="1114">
        <v>1</v>
      </c>
      <c r="G1830" s="1114" t="s">
        <v>2838</v>
      </c>
      <c r="H1830" s="1103" t="s">
        <v>4594</v>
      </c>
      <c r="I1830" s="1103">
        <v>3</v>
      </c>
      <c r="J1830" s="1103" t="s">
        <v>2838</v>
      </c>
      <c r="K1830" s="1114">
        <f t="shared" si="216"/>
        <v>3</v>
      </c>
    </row>
    <row r="1831" spans="6:11" ht="24" customHeight="1">
      <c r="H1831" s="1103" t="s">
        <v>4595</v>
      </c>
      <c r="I1831" s="1103" t="s">
        <v>220</v>
      </c>
      <c r="K1831" s="1103" t="s">
        <v>220</v>
      </c>
    </row>
    <row r="1832" spans="6:11" ht="24" customHeight="1">
      <c r="G1832" s="1114" t="s">
        <v>2851</v>
      </c>
      <c r="H1832" s="1103" t="s">
        <v>2852</v>
      </c>
      <c r="J1832" s="1103" t="s">
        <v>2851</v>
      </c>
      <c r="K1832" s="1114">
        <v>0</v>
      </c>
    </row>
    <row r="1833" spans="6:11" ht="24" customHeight="1">
      <c r="K1833" s="1111" t="s">
        <v>36</v>
      </c>
    </row>
    <row r="1834" spans="6:11" ht="24" customHeight="1">
      <c r="H1834" s="1103" t="s">
        <v>3473</v>
      </c>
      <c r="K1834" s="1114">
        <f>SUM(K1822:K1832)</f>
        <v>4792</v>
      </c>
    </row>
    <row r="1835" spans="6:11" ht="24" customHeight="1">
      <c r="K1835" s="1111" t="s">
        <v>36</v>
      </c>
    </row>
    <row r="1836" spans="6:11" ht="24" customHeight="1">
      <c r="H1836" s="1103" t="s">
        <v>3413</v>
      </c>
      <c r="K1836" s="1114">
        <f>(K1834/30)</f>
        <v>159.73333333333332</v>
      </c>
    </row>
    <row r="1837" spans="6:11" ht="24" customHeight="1">
      <c r="K1837" s="1111" t="s">
        <v>36</v>
      </c>
    </row>
    <row r="1838" spans="6:11" ht="24" customHeight="1">
      <c r="G1838" s="1114" t="s">
        <v>3772</v>
      </c>
      <c r="H1838" s="1103" t="s">
        <v>3453</v>
      </c>
      <c r="K1838" s="1103" t="s">
        <v>4597</v>
      </c>
    </row>
    <row r="1839" spans="6:11" ht="24" customHeight="1">
      <c r="H1839" s="1111" t="s">
        <v>36</v>
      </c>
      <c r="K1839" s="1111" t="s">
        <v>2793</v>
      </c>
    </row>
    <row r="1840" spans="6:11" ht="24" customHeight="1">
      <c r="F1840" s="1114">
        <v>30</v>
      </c>
      <c r="G1840" s="1114" t="s">
        <v>1790</v>
      </c>
      <c r="H1840" s="1103" t="s">
        <v>3459</v>
      </c>
      <c r="I1840" s="1114">
        <f>(C661)</f>
        <v>9.1199999999999992</v>
      </c>
      <c r="J1840" s="1103" t="s">
        <v>1790</v>
      </c>
      <c r="K1840" s="1114">
        <f>(F1840*I1840)</f>
        <v>273.59999999999997</v>
      </c>
    </row>
    <row r="1841" spans="6:18" ht="24" customHeight="1">
      <c r="F1841" s="1103" t="s">
        <v>220</v>
      </c>
      <c r="H1841" s="1103" t="s">
        <v>3462</v>
      </c>
      <c r="I1841" s="1103" t="s">
        <v>220</v>
      </c>
      <c r="K1841" s="1103" t="s">
        <v>220</v>
      </c>
    </row>
    <row r="1842" spans="6:18" ht="24" customHeight="1">
      <c r="F1842" s="1114">
        <v>8</v>
      </c>
      <c r="G1842" s="1114" t="s">
        <v>2838</v>
      </c>
      <c r="H1842" s="1103" t="s">
        <v>3405</v>
      </c>
      <c r="I1842" s="1114">
        <f>D663</f>
        <v>9.6999999999999993</v>
      </c>
      <c r="J1842" s="1103" t="s">
        <v>2838</v>
      </c>
      <c r="K1842" s="1114">
        <f t="shared" ref="K1842:K1848" si="217">(F1842*I1842)</f>
        <v>77.599999999999994</v>
      </c>
    </row>
    <row r="1843" spans="6:18" ht="24" customHeight="1">
      <c r="F1843" s="1114">
        <v>8</v>
      </c>
      <c r="G1843" s="1114" t="s">
        <v>2838</v>
      </c>
      <c r="H1843" s="1103" t="s">
        <v>3408</v>
      </c>
      <c r="I1843" s="1114">
        <f>C677</f>
        <v>24.2</v>
      </c>
      <c r="J1843" s="1103" t="s">
        <v>2838</v>
      </c>
      <c r="K1843" s="1114">
        <f t="shared" si="217"/>
        <v>193.6</v>
      </c>
    </row>
    <row r="1844" spans="6:18" ht="24" customHeight="1">
      <c r="F1844" s="1114">
        <v>3</v>
      </c>
      <c r="G1844" s="1114" t="s">
        <v>2838</v>
      </c>
      <c r="H1844" s="1103" t="s">
        <v>3467</v>
      </c>
      <c r="I1844" s="1114">
        <f>(C41)</f>
        <v>637</v>
      </c>
      <c r="J1844" s="1103" t="s">
        <v>2838</v>
      </c>
      <c r="K1844" s="1114">
        <f t="shared" si="217"/>
        <v>1911</v>
      </c>
    </row>
    <row r="1845" spans="6:18" ht="24" customHeight="1">
      <c r="F1845" s="1114">
        <v>1</v>
      </c>
      <c r="G1845" s="1114" t="s">
        <v>2838</v>
      </c>
      <c r="H1845" s="1103" t="s">
        <v>4593</v>
      </c>
      <c r="I1845" s="1114">
        <f>(C10)</f>
        <v>861</v>
      </c>
      <c r="J1845" s="1103" t="s">
        <v>2838</v>
      </c>
      <c r="K1845" s="1114">
        <f t="shared" si="217"/>
        <v>861</v>
      </c>
    </row>
    <row r="1846" spans="6:18" ht="24" customHeight="1">
      <c r="F1846" s="1114">
        <v>2</v>
      </c>
      <c r="G1846" s="1114" t="s">
        <v>2838</v>
      </c>
      <c r="H1846" s="1103" t="s">
        <v>3020</v>
      </c>
      <c r="I1846" s="1114">
        <f>(C12)</f>
        <v>562</v>
      </c>
      <c r="J1846" s="1103" t="s">
        <v>2838</v>
      </c>
      <c r="K1846" s="1114">
        <f t="shared" si="217"/>
        <v>1124</v>
      </c>
    </row>
    <row r="1847" spans="6:18" ht="24" customHeight="1">
      <c r="F1847" s="1114">
        <v>1</v>
      </c>
      <c r="G1847" s="1114" t="s">
        <v>2838</v>
      </c>
      <c r="H1847" s="1103" t="s">
        <v>3026</v>
      </c>
      <c r="I1847" s="1114">
        <f>(C13)</f>
        <v>461</v>
      </c>
      <c r="J1847" s="1103" t="s">
        <v>2838</v>
      </c>
      <c r="K1847" s="1114">
        <f t="shared" si="217"/>
        <v>461</v>
      </c>
    </row>
    <row r="1848" spans="6:18" ht="24" customHeight="1">
      <c r="F1848" s="1114">
        <v>1</v>
      </c>
      <c r="G1848" s="1114" t="s">
        <v>2838</v>
      </c>
      <c r="H1848" s="1103" t="s">
        <v>4594</v>
      </c>
      <c r="I1848" s="1103">
        <v>5.26</v>
      </c>
      <c r="J1848" s="1103" t="s">
        <v>2838</v>
      </c>
      <c r="K1848" s="1114">
        <f t="shared" si="217"/>
        <v>5.26</v>
      </c>
    </row>
    <row r="1849" spans="6:18" ht="24" customHeight="1">
      <c r="H1849" s="1103" t="s">
        <v>4595</v>
      </c>
      <c r="I1849" s="1103" t="s">
        <v>220</v>
      </c>
      <c r="K1849" s="1103" t="s">
        <v>220</v>
      </c>
    </row>
    <row r="1850" spans="6:18" ht="24" customHeight="1">
      <c r="G1850" s="1114" t="s">
        <v>2851</v>
      </c>
      <c r="H1850" s="1103" t="s">
        <v>2852</v>
      </c>
      <c r="J1850" s="1103" t="s">
        <v>2851</v>
      </c>
      <c r="K1850" s="1114">
        <v>0</v>
      </c>
    </row>
    <row r="1851" spans="6:18" ht="24" customHeight="1">
      <c r="K1851" s="1111" t="s">
        <v>36</v>
      </c>
    </row>
    <row r="1852" spans="6:18" ht="24" customHeight="1">
      <c r="H1852" s="1103" t="s">
        <v>3473</v>
      </c>
      <c r="K1852" s="1114">
        <f>SUM(K1840:K1850)</f>
        <v>4907.0600000000004</v>
      </c>
    </row>
    <row r="1853" spans="6:18" ht="24" customHeight="1">
      <c r="K1853" s="1111" t="s">
        <v>36</v>
      </c>
    </row>
    <row r="1854" spans="6:18" ht="24" customHeight="1">
      <c r="H1854" s="1103" t="s">
        <v>3413</v>
      </c>
      <c r="K1854" s="1114">
        <f>(K1852/30)</f>
        <v>163.56866666666667</v>
      </c>
      <c r="N1854" s="1114" t="s">
        <v>3772</v>
      </c>
      <c r="O1854" s="1103" t="s">
        <v>3453</v>
      </c>
      <c r="Q1854" s="1107"/>
      <c r="R1854" s="1103" t="s">
        <v>4598</v>
      </c>
    </row>
    <row r="1855" spans="6:18" ht="24" customHeight="1">
      <c r="K1855" s="1111" t="s">
        <v>36</v>
      </c>
      <c r="O1855" s="1111" t="s">
        <v>36</v>
      </c>
      <c r="Q1855" s="1107"/>
      <c r="R1855" s="1111" t="s">
        <v>2793</v>
      </c>
    </row>
    <row r="1856" spans="6:18" ht="24" customHeight="1">
      <c r="M1856" s="1114">
        <v>30</v>
      </c>
      <c r="N1856" s="1114" t="s">
        <v>1790</v>
      </c>
      <c r="O1856" s="1103" t="s">
        <v>3459</v>
      </c>
      <c r="P1856" s="1114">
        <f>I1840</f>
        <v>9.1199999999999992</v>
      </c>
      <c r="Q1856" s="1103" t="s">
        <v>1790</v>
      </c>
      <c r="R1856" s="1114">
        <f>(M1856*P1856)</f>
        <v>273.59999999999997</v>
      </c>
    </row>
    <row r="1857" spans="6:18" ht="24" customHeight="1">
      <c r="F1857" s="1231">
        <v>52</v>
      </c>
      <c r="G1857" s="1114" t="s">
        <v>1363</v>
      </c>
      <c r="H1857" s="1103" t="s">
        <v>4599</v>
      </c>
      <c r="M1857" s="1103" t="s">
        <v>220</v>
      </c>
      <c r="O1857" s="1103" t="s">
        <v>3462</v>
      </c>
      <c r="P1857" s="1114" t="str">
        <f t="shared" ref="P1857:P1866" si="218">I1841</f>
        <v xml:space="preserve"> </v>
      </c>
      <c r="Q1857" s="1107"/>
      <c r="R1857" s="1103" t="s">
        <v>220</v>
      </c>
    </row>
    <row r="1858" spans="6:18" ht="24" customHeight="1">
      <c r="H1858" s="1103" t="s">
        <v>4600</v>
      </c>
      <c r="M1858" s="1114">
        <v>8</v>
      </c>
      <c r="N1858" s="1114" t="s">
        <v>2838</v>
      </c>
      <c r="O1858" s="1103" t="s">
        <v>4601</v>
      </c>
      <c r="P1858" s="1114">
        <v>11.7</v>
      </c>
      <c r="Q1858" s="1103" t="s">
        <v>2838</v>
      </c>
      <c r="R1858" s="1114">
        <f t="shared" ref="R1858:R1863" si="219">(M1858*P1858)</f>
        <v>93.6</v>
      </c>
    </row>
    <row r="1859" spans="6:18" ht="24" customHeight="1">
      <c r="H1859" s="1103" t="s">
        <v>4602</v>
      </c>
      <c r="M1859" s="1114">
        <v>8</v>
      </c>
      <c r="N1859" s="1114" t="s">
        <v>2838</v>
      </c>
      <c r="O1859" s="1103" t="s">
        <v>4603</v>
      </c>
      <c r="P1859" s="1114">
        <v>32.700000000000003</v>
      </c>
      <c r="Q1859" s="1103" t="s">
        <v>2838</v>
      </c>
      <c r="R1859" s="1114">
        <f t="shared" si="219"/>
        <v>261.60000000000002</v>
      </c>
    </row>
    <row r="1860" spans="6:18" ht="24" customHeight="1">
      <c r="H1860" s="1103" t="s">
        <v>4604</v>
      </c>
      <c r="M1860" s="1114">
        <v>3</v>
      </c>
      <c r="N1860" s="1114" t="s">
        <v>2838</v>
      </c>
      <c r="O1860" s="1103" t="s">
        <v>3467</v>
      </c>
      <c r="P1860" s="1114">
        <f t="shared" si="218"/>
        <v>637</v>
      </c>
      <c r="Q1860" s="1103" t="s">
        <v>2838</v>
      </c>
      <c r="R1860" s="1114">
        <f t="shared" si="219"/>
        <v>1911</v>
      </c>
    </row>
    <row r="1861" spans="6:18" ht="24" customHeight="1">
      <c r="H1861" s="1103" t="s">
        <v>4605</v>
      </c>
      <c r="M1861" s="1114">
        <v>1</v>
      </c>
      <c r="N1861" s="1114" t="s">
        <v>2838</v>
      </c>
      <c r="O1861" s="1103" t="s">
        <v>4593</v>
      </c>
      <c r="P1861" s="1114">
        <f t="shared" si="218"/>
        <v>861</v>
      </c>
      <c r="Q1861" s="1103" t="s">
        <v>2838</v>
      </c>
      <c r="R1861" s="1114">
        <f t="shared" si="219"/>
        <v>861</v>
      </c>
    </row>
    <row r="1862" spans="6:18" ht="24" customHeight="1">
      <c r="H1862" s="1103" t="s">
        <v>4606</v>
      </c>
      <c r="M1862" s="1114">
        <v>2</v>
      </c>
      <c r="N1862" s="1114" t="s">
        <v>2838</v>
      </c>
      <c r="O1862" s="1103" t="s">
        <v>3020</v>
      </c>
      <c r="P1862" s="1114">
        <f t="shared" si="218"/>
        <v>562</v>
      </c>
      <c r="Q1862" s="1103" t="s">
        <v>2838</v>
      </c>
      <c r="R1862" s="1114">
        <f t="shared" si="219"/>
        <v>1124</v>
      </c>
    </row>
    <row r="1863" spans="6:18" ht="24" customHeight="1">
      <c r="H1863" s="1103" t="s">
        <v>4607</v>
      </c>
      <c r="M1863" s="1114">
        <v>1</v>
      </c>
      <c r="N1863" s="1114" t="s">
        <v>2838</v>
      </c>
      <c r="O1863" s="1103" t="s">
        <v>3026</v>
      </c>
      <c r="P1863" s="1114">
        <f t="shared" si="218"/>
        <v>461</v>
      </c>
      <c r="Q1863" s="1103" t="s">
        <v>2838</v>
      </c>
      <c r="R1863" s="1114">
        <f t="shared" si="219"/>
        <v>461</v>
      </c>
    </row>
    <row r="1864" spans="6:18" ht="24" customHeight="1">
      <c r="H1864" s="1103" t="s">
        <v>4608</v>
      </c>
      <c r="N1864" s="1114" t="s">
        <v>2851</v>
      </c>
      <c r="O1864" s="1103" t="s">
        <v>4594</v>
      </c>
      <c r="P1864" s="1114">
        <f t="shared" si="218"/>
        <v>5.26</v>
      </c>
      <c r="Q1864" s="1103" t="s">
        <v>2851</v>
      </c>
      <c r="R1864" s="1114">
        <v>5</v>
      </c>
    </row>
    <row r="1865" spans="6:18" ht="24" customHeight="1">
      <c r="H1865" s="1111" t="s">
        <v>2793</v>
      </c>
      <c r="I1865" s="1111" t="s">
        <v>2793</v>
      </c>
      <c r="O1865" s="1103" t="s">
        <v>4595</v>
      </c>
      <c r="P1865" s="1114" t="str">
        <f t="shared" si="218"/>
        <v xml:space="preserve"> </v>
      </c>
      <c r="Q1865" s="1107"/>
      <c r="R1865" s="1103" t="s">
        <v>220</v>
      </c>
    </row>
    <row r="1866" spans="6:18" ht="24" customHeight="1">
      <c r="G1866" s="1114" t="s">
        <v>1363</v>
      </c>
      <c r="H1866" s="1103" t="s">
        <v>4609</v>
      </c>
      <c r="N1866" s="1114" t="s">
        <v>2851</v>
      </c>
      <c r="O1866" s="1103" t="s">
        <v>2852</v>
      </c>
      <c r="P1866" s="1114">
        <f t="shared" si="218"/>
        <v>0</v>
      </c>
      <c r="Q1866" s="1103" t="s">
        <v>2851</v>
      </c>
      <c r="R1866" s="1114">
        <v>0</v>
      </c>
    </row>
    <row r="1867" spans="6:18" ht="24" customHeight="1">
      <c r="H1867" s="1103" t="s">
        <v>4610</v>
      </c>
      <c r="Q1867" s="1107"/>
      <c r="R1867" s="1111" t="s">
        <v>36</v>
      </c>
    </row>
    <row r="1868" spans="6:18" ht="24" customHeight="1">
      <c r="G1868" s="1114" t="s">
        <v>2235</v>
      </c>
      <c r="H1868" s="1103" t="s">
        <v>4611</v>
      </c>
      <c r="O1868" s="1103" t="s">
        <v>3473</v>
      </c>
      <c r="Q1868" s="1107"/>
      <c r="R1868" s="1114">
        <f>SUM(R1856:R1866)</f>
        <v>4990.8</v>
      </c>
    </row>
    <row r="1869" spans="6:18" ht="24" customHeight="1">
      <c r="H1869" s="1111" t="s">
        <v>36</v>
      </c>
      <c r="Q1869" s="1107"/>
      <c r="R1869" s="1111" t="s">
        <v>36</v>
      </c>
    </row>
    <row r="1870" spans="6:18" ht="24" customHeight="1">
      <c r="F1870" s="1114">
        <v>1</v>
      </c>
      <c r="G1870" s="1114" t="s">
        <v>61</v>
      </c>
      <c r="H1870" s="1103" t="s">
        <v>4612</v>
      </c>
      <c r="I1870" s="1114">
        <f>C517</f>
        <v>26</v>
      </c>
      <c r="J1870" s="1103" t="s">
        <v>61</v>
      </c>
      <c r="K1870" s="1114">
        <f>(F1870*I1870)</f>
        <v>26</v>
      </c>
      <c r="O1870" s="1103" t="s">
        <v>3413</v>
      </c>
      <c r="Q1870" s="1107"/>
      <c r="R1870" s="1114">
        <f>(R1868/30)</f>
        <v>166.36</v>
      </c>
    </row>
    <row r="1871" spans="6:18" ht="24" customHeight="1">
      <c r="F1871" s="1114">
        <v>1</v>
      </c>
      <c r="G1871" s="1114" t="s">
        <v>2851</v>
      </c>
      <c r="H1871" s="1103" t="s">
        <v>4613</v>
      </c>
      <c r="I1871" s="1114">
        <f>I1870*0.7</f>
        <v>18.2</v>
      </c>
      <c r="J1871" s="1103" t="s">
        <v>2851</v>
      </c>
      <c r="K1871" s="1114">
        <f>(F1871*I1871)</f>
        <v>18.2</v>
      </c>
      <c r="Q1871" s="1107"/>
      <c r="R1871" s="1111" t="s">
        <v>36</v>
      </c>
    </row>
    <row r="1872" spans="6:18" ht="24" customHeight="1">
      <c r="F1872" s="1114">
        <v>1</v>
      </c>
      <c r="G1872" s="1114" t="s">
        <v>61</v>
      </c>
      <c r="H1872" s="1103" t="s">
        <v>4614</v>
      </c>
      <c r="I1872" s="1114">
        <f>K1818</f>
        <v>159.74666666666664</v>
      </c>
      <c r="J1872" s="1103" t="s">
        <v>61</v>
      </c>
      <c r="K1872" s="1114">
        <f>(F1872*I1872)</f>
        <v>159.74666666666664</v>
      </c>
    </row>
    <row r="1873" spans="6:18" ht="24" customHeight="1">
      <c r="I1873" s="1103" t="s">
        <v>220</v>
      </c>
      <c r="K1873" s="1111" t="s">
        <v>36</v>
      </c>
    </row>
    <row r="1874" spans="6:18" ht="24" customHeight="1">
      <c r="H1874" s="1103" t="s">
        <v>4615</v>
      </c>
      <c r="K1874" s="1115">
        <f>SUM(K1870:K1872)</f>
        <v>203.94666666666666</v>
      </c>
    </row>
    <row r="1875" spans="6:18" ht="24" customHeight="1">
      <c r="H1875" s="1103" t="s">
        <v>220</v>
      </c>
      <c r="I1875" s="1103" t="s">
        <v>220</v>
      </c>
      <c r="K1875" s="1111" t="s">
        <v>2793</v>
      </c>
      <c r="N1875" s="1114" t="s">
        <v>3772</v>
      </c>
      <c r="O1875" s="1103" t="s">
        <v>4616</v>
      </c>
      <c r="Q1875" s="1107"/>
    </row>
    <row r="1876" spans="6:18" ht="24" customHeight="1">
      <c r="G1876" s="1114" t="s">
        <v>3801</v>
      </c>
      <c r="H1876" s="1103" t="s">
        <v>4617</v>
      </c>
      <c r="O1876" s="1111" t="s">
        <v>36</v>
      </c>
      <c r="Q1876" s="1107"/>
    </row>
    <row r="1877" spans="6:18" ht="24" customHeight="1">
      <c r="H1877" s="1111" t="s">
        <v>36</v>
      </c>
      <c r="M1877" s="1114">
        <v>1</v>
      </c>
      <c r="N1877" s="1114" t="s">
        <v>61</v>
      </c>
      <c r="O1877" s="1103" t="s">
        <v>4618</v>
      </c>
      <c r="P1877" s="1114">
        <f>C520</f>
        <v>65</v>
      </c>
      <c r="Q1877" s="1103" t="s">
        <v>61</v>
      </c>
      <c r="R1877" s="1114">
        <f>(M1877*P1877)</f>
        <v>65</v>
      </c>
    </row>
    <row r="1878" spans="6:18" ht="24" customHeight="1">
      <c r="F1878" s="1114">
        <v>1</v>
      </c>
      <c r="G1878" s="1114" t="s">
        <v>61</v>
      </c>
      <c r="H1878" s="1103" t="s">
        <v>4619</v>
      </c>
      <c r="I1878" s="1114">
        <f>C518</f>
        <v>35</v>
      </c>
      <c r="J1878" s="1103" t="s">
        <v>61</v>
      </c>
      <c r="K1878" s="1114">
        <f>(F1878*I1878)</f>
        <v>35</v>
      </c>
      <c r="M1878" s="1114">
        <v>1</v>
      </c>
      <c r="N1878" s="1114" t="s">
        <v>2851</v>
      </c>
      <c r="O1878" s="1103" t="s">
        <v>4620</v>
      </c>
      <c r="P1878" s="1114">
        <f>P1877*0.2</f>
        <v>13</v>
      </c>
      <c r="Q1878" s="1103" t="s">
        <v>2851</v>
      </c>
      <c r="R1878" s="1114">
        <f>(M1878*P1878)</f>
        <v>13</v>
      </c>
    </row>
    <row r="1879" spans="6:18" ht="24" customHeight="1">
      <c r="F1879" s="1114">
        <v>1</v>
      </c>
      <c r="G1879" s="1114" t="s">
        <v>2851</v>
      </c>
      <c r="H1879" s="1103" t="s">
        <v>4621</v>
      </c>
      <c r="I1879" s="1114">
        <f>I1878*0.4</f>
        <v>14</v>
      </c>
      <c r="J1879" s="1103" t="s">
        <v>2851</v>
      </c>
      <c r="K1879" s="1114">
        <f>(F1879*I1879)</f>
        <v>14</v>
      </c>
      <c r="M1879" s="1114">
        <v>1</v>
      </c>
      <c r="N1879" s="1114" t="s">
        <v>61</v>
      </c>
      <c r="O1879" s="1103" t="s">
        <v>4614</v>
      </c>
      <c r="P1879" s="1114">
        <f>R1870</f>
        <v>166.36</v>
      </c>
      <c r="Q1879" s="1103" t="s">
        <v>61</v>
      </c>
      <c r="R1879" s="1114">
        <f>(M1879*P1879)</f>
        <v>166.36</v>
      </c>
    </row>
    <row r="1880" spans="6:18" ht="24" customHeight="1">
      <c r="F1880" s="1114">
        <v>1</v>
      </c>
      <c r="G1880" s="1114" t="s">
        <v>61</v>
      </c>
      <c r="H1880" s="1103" t="s">
        <v>4614</v>
      </c>
      <c r="I1880" s="1114">
        <f>K1836</f>
        <v>159.73333333333332</v>
      </c>
      <c r="J1880" s="1103" t="s">
        <v>61</v>
      </c>
      <c r="K1880" s="1114">
        <f>(F1880*I1880)</f>
        <v>159.73333333333332</v>
      </c>
      <c r="P1880" s="1103" t="s">
        <v>220</v>
      </c>
      <c r="Q1880" s="1107"/>
      <c r="R1880" s="1111" t="s">
        <v>36</v>
      </c>
    </row>
    <row r="1881" spans="6:18" ht="24" customHeight="1">
      <c r="I1881" s="1103" t="s">
        <v>220</v>
      </c>
      <c r="K1881" s="1111" t="s">
        <v>36</v>
      </c>
      <c r="O1881" s="1103" t="s">
        <v>4615</v>
      </c>
      <c r="Q1881" s="1107"/>
      <c r="R1881" s="1115">
        <f>SUM(R1877:R1879)</f>
        <v>244.36</v>
      </c>
    </row>
    <row r="1882" spans="6:18" ht="24" customHeight="1">
      <c r="H1882" s="1103" t="s">
        <v>4615</v>
      </c>
      <c r="K1882" s="1115">
        <f>SUM(K1878:K1880)</f>
        <v>208.73333333333332</v>
      </c>
      <c r="P1882" s="1103" t="s">
        <v>220</v>
      </c>
      <c r="Q1882" s="1107"/>
      <c r="R1882" s="1111" t="s">
        <v>2793</v>
      </c>
    </row>
    <row r="1883" spans="6:18" ht="24" customHeight="1">
      <c r="I1883" s="1103" t="s">
        <v>220</v>
      </c>
      <c r="K1883" s="1111" t="s">
        <v>2793</v>
      </c>
    </row>
    <row r="1884" spans="6:18" ht="49.5" customHeight="1">
      <c r="G1884" s="1114" t="s">
        <v>3772</v>
      </c>
      <c r="H1884" s="1103" t="s">
        <v>4622</v>
      </c>
    </row>
    <row r="1885" spans="6:18" ht="24" customHeight="1">
      <c r="H1885" s="1111" t="s">
        <v>36</v>
      </c>
      <c r="N1885" s="1114" t="s">
        <v>3772</v>
      </c>
      <c r="O1885" s="1103" t="s">
        <v>3453</v>
      </c>
      <c r="Q1885" s="1107"/>
      <c r="R1885" s="1103" t="s">
        <v>4623</v>
      </c>
    </row>
    <row r="1886" spans="6:18" ht="24" customHeight="1">
      <c r="F1886" s="1114">
        <v>1</v>
      </c>
      <c r="G1886" s="1114" t="s">
        <v>61</v>
      </c>
      <c r="H1886" s="1103" t="s">
        <v>4624</v>
      </c>
      <c r="I1886" s="1114">
        <v>52</v>
      </c>
      <c r="J1886" s="1103" t="s">
        <v>61</v>
      </c>
      <c r="K1886" s="1114">
        <f>(F1886*I1886)</f>
        <v>52</v>
      </c>
      <c r="O1886" s="1111" t="s">
        <v>36</v>
      </c>
      <c r="Q1886" s="1107"/>
      <c r="R1886" s="1111" t="s">
        <v>2793</v>
      </c>
    </row>
    <row r="1887" spans="6:18" ht="24" customHeight="1">
      <c r="F1887" s="1114">
        <v>1</v>
      </c>
      <c r="G1887" s="1114" t="s">
        <v>2851</v>
      </c>
      <c r="H1887" s="1103" t="s">
        <v>4620</v>
      </c>
      <c r="I1887" s="1114">
        <f>I1886*0.2</f>
        <v>10.4</v>
      </c>
      <c r="J1887" s="1103" t="s">
        <v>2851</v>
      </c>
      <c r="K1887" s="1114">
        <f>(F1887*I1887)</f>
        <v>10.4</v>
      </c>
      <c r="M1887" s="1114">
        <v>30</v>
      </c>
      <c r="N1887" s="1114" t="s">
        <v>1790</v>
      </c>
      <c r="O1887" s="1103" t="s">
        <v>3459</v>
      </c>
      <c r="P1887" s="1114">
        <v>15.43</v>
      </c>
      <c r="Q1887" s="1103" t="s">
        <v>1790</v>
      </c>
      <c r="R1887" s="1114">
        <f>(M1887*P1887)</f>
        <v>462.9</v>
      </c>
    </row>
    <row r="1888" spans="6:18" ht="24" customHeight="1">
      <c r="F1888" s="1114">
        <v>1</v>
      </c>
      <c r="G1888" s="1114" t="s">
        <v>61</v>
      </c>
      <c r="H1888" s="1103" t="s">
        <v>4614</v>
      </c>
      <c r="I1888" s="1114">
        <f>K1854</f>
        <v>163.56866666666667</v>
      </c>
      <c r="J1888" s="1103" t="s">
        <v>61</v>
      </c>
      <c r="K1888" s="1114">
        <f>(F1888*I1888)</f>
        <v>163.56866666666667</v>
      </c>
      <c r="M1888" s="1103" t="s">
        <v>220</v>
      </c>
      <c r="O1888" s="1103" t="s">
        <v>3462</v>
      </c>
      <c r="P1888" s="1114" t="str">
        <f t="shared" ref="P1888:P1896" si="220">P1857</f>
        <v xml:space="preserve"> </v>
      </c>
      <c r="Q1888" s="1107"/>
      <c r="R1888" s="1103" t="s">
        <v>220</v>
      </c>
    </row>
    <row r="1889" spans="6:18" ht="24" customHeight="1">
      <c r="I1889" s="1103" t="s">
        <v>220</v>
      </c>
      <c r="K1889" s="1111" t="s">
        <v>36</v>
      </c>
      <c r="M1889" s="1114">
        <v>8</v>
      </c>
      <c r="N1889" s="1114" t="s">
        <v>2838</v>
      </c>
      <c r="O1889" s="1103" t="s">
        <v>4625</v>
      </c>
      <c r="P1889" s="1114">
        <v>15.8</v>
      </c>
      <c r="Q1889" s="1103" t="s">
        <v>2838</v>
      </c>
      <c r="R1889" s="1114">
        <f t="shared" ref="R1889:R1894" si="221">(M1889*P1889)</f>
        <v>126.4</v>
      </c>
    </row>
    <row r="1890" spans="6:18" ht="24" customHeight="1">
      <c r="H1890" s="1103" t="s">
        <v>4615</v>
      </c>
      <c r="K1890" s="1115">
        <f>SUM(K1886:K1888)</f>
        <v>225.96866666666668</v>
      </c>
      <c r="M1890" s="1114">
        <v>8</v>
      </c>
      <c r="N1890" s="1114" t="s">
        <v>2838</v>
      </c>
      <c r="O1890" s="1103" t="s">
        <v>4626</v>
      </c>
      <c r="P1890" s="1114">
        <v>38.6</v>
      </c>
      <c r="Q1890" s="1103" t="s">
        <v>2838</v>
      </c>
      <c r="R1890" s="1114">
        <f t="shared" si="221"/>
        <v>308.8</v>
      </c>
    </row>
    <row r="1891" spans="6:18" ht="36.75" customHeight="1">
      <c r="I1891" s="1103" t="s">
        <v>220</v>
      </c>
      <c r="K1891" s="1111" t="s">
        <v>2793</v>
      </c>
      <c r="M1891" s="1114">
        <v>3</v>
      </c>
      <c r="N1891" s="1114" t="s">
        <v>2838</v>
      </c>
      <c r="O1891" s="1103" t="s">
        <v>3467</v>
      </c>
      <c r="P1891" s="1114">
        <f t="shared" si="220"/>
        <v>637</v>
      </c>
      <c r="Q1891" s="1103" t="s">
        <v>2838</v>
      </c>
      <c r="R1891" s="1114">
        <f t="shared" si="221"/>
        <v>1911</v>
      </c>
    </row>
    <row r="1892" spans="6:18" ht="24" customHeight="1">
      <c r="I1892" s="1103"/>
      <c r="K1892" s="1111"/>
      <c r="M1892" s="1114">
        <v>1</v>
      </c>
      <c r="N1892" s="1114" t="s">
        <v>2838</v>
      </c>
      <c r="O1892" s="1103" t="s">
        <v>4593</v>
      </c>
      <c r="P1892" s="1114">
        <f t="shared" si="220"/>
        <v>861</v>
      </c>
      <c r="Q1892" s="1103" t="s">
        <v>2838</v>
      </c>
      <c r="R1892" s="1114">
        <f t="shared" si="221"/>
        <v>861</v>
      </c>
    </row>
    <row r="1893" spans="6:18" ht="24" customHeight="1">
      <c r="G1893" s="1114" t="s">
        <v>3772</v>
      </c>
      <c r="H1893" s="1103" t="s">
        <v>4627</v>
      </c>
      <c r="M1893" s="1114">
        <v>2</v>
      </c>
      <c r="N1893" s="1114" t="s">
        <v>2838</v>
      </c>
      <c r="O1893" s="1103" t="s">
        <v>3020</v>
      </c>
      <c r="P1893" s="1114">
        <f t="shared" si="220"/>
        <v>562</v>
      </c>
      <c r="Q1893" s="1103" t="s">
        <v>2838</v>
      </c>
      <c r="R1893" s="1114">
        <f t="shared" si="221"/>
        <v>1124</v>
      </c>
    </row>
    <row r="1894" spans="6:18" ht="24" customHeight="1">
      <c r="H1894" s="1111" t="s">
        <v>36</v>
      </c>
      <c r="M1894" s="1114">
        <v>1</v>
      </c>
      <c r="N1894" s="1114" t="s">
        <v>2838</v>
      </c>
      <c r="O1894" s="1103" t="s">
        <v>3026</v>
      </c>
      <c r="P1894" s="1114">
        <f t="shared" si="220"/>
        <v>461</v>
      </c>
      <c r="Q1894" s="1103" t="s">
        <v>2838</v>
      </c>
      <c r="R1894" s="1114">
        <f t="shared" si="221"/>
        <v>461</v>
      </c>
    </row>
    <row r="1895" spans="6:18" ht="24" customHeight="1">
      <c r="F1895" s="1114">
        <v>1</v>
      </c>
      <c r="G1895" s="1114" t="s">
        <v>61</v>
      </c>
      <c r="H1895" s="1103" t="s">
        <v>4628</v>
      </c>
      <c r="I1895" s="1114">
        <f>C521</f>
        <v>82</v>
      </c>
      <c r="J1895" s="1103" t="s">
        <v>61</v>
      </c>
      <c r="K1895" s="1114">
        <f>(F1895*I1895)</f>
        <v>82</v>
      </c>
      <c r="N1895" s="1114" t="s">
        <v>2851</v>
      </c>
      <c r="O1895" s="1103" t="s">
        <v>4594</v>
      </c>
      <c r="P1895" s="1114">
        <f t="shared" si="220"/>
        <v>5.26</v>
      </c>
      <c r="Q1895" s="1103" t="s">
        <v>2851</v>
      </c>
      <c r="R1895" s="1114">
        <v>5</v>
      </c>
    </row>
    <row r="1896" spans="6:18" ht="24" customHeight="1">
      <c r="F1896" s="1114">
        <v>1</v>
      </c>
      <c r="G1896" s="1114" t="s">
        <v>2851</v>
      </c>
      <c r="H1896" s="1103" t="s">
        <v>4620</v>
      </c>
      <c r="I1896" s="1114">
        <f>I1895*0.2</f>
        <v>16.400000000000002</v>
      </c>
      <c r="J1896" s="1103" t="s">
        <v>2851</v>
      </c>
      <c r="K1896" s="1114">
        <f>(F1896*I1896)</f>
        <v>16.400000000000002</v>
      </c>
      <c r="O1896" s="1103" t="s">
        <v>4595</v>
      </c>
      <c r="P1896" s="1114" t="str">
        <f t="shared" si="220"/>
        <v xml:space="preserve"> </v>
      </c>
      <c r="Q1896" s="1107"/>
      <c r="R1896" s="1103" t="s">
        <v>220</v>
      </c>
    </row>
    <row r="1897" spans="6:18" ht="24" customHeight="1">
      <c r="F1897" s="1114">
        <v>1</v>
      </c>
      <c r="G1897" s="1114" t="s">
        <v>61</v>
      </c>
      <c r="H1897" s="1103" t="s">
        <v>4614</v>
      </c>
      <c r="I1897" s="1114">
        <f>I1888</f>
        <v>163.56866666666667</v>
      </c>
      <c r="J1897" s="1103" t="s">
        <v>61</v>
      </c>
      <c r="K1897" s="1114">
        <f>(F1897*I1897)</f>
        <v>163.56866666666667</v>
      </c>
      <c r="N1897" s="1114" t="s">
        <v>2851</v>
      </c>
      <c r="O1897" s="1103" t="s">
        <v>2852</v>
      </c>
      <c r="P1897" s="1114" t="str">
        <f>I1881</f>
        <v xml:space="preserve"> </v>
      </c>
      <c r="Q1897" s="1103" t="s">
        <v>2851</v>
      </c>
      <c r="R1897" s="1114">
        <v>0</v>
      </c>
    </row>
    <row r="1898" spans="6:18" ht="24" customHeight="1">
      <c r="I1898" s="1103" t="s">
        <v>220</v>
      </c>
      <c r="K1898" s="1111" t="s">
        <v>36</v>
      </c>
      <c r="Q1898" s="1107"/>
      <c r="R1898" s="1111" t="s">
        <v>36</v>
      </c>
    </row>
    <row r="1899" spans="6:18" ht="24" customHeight="1">
      <c r="H1899" s="1103" t="s">
        <v>4615</v>
      </c>
      <c r="K1899" s="1115">
        <f>SUM(K1895:K1897)</f>
        <v>261.96866666666665</v>
      </c>
      <c r="O1899" s="1103" t="s">
        <v>3473</v>
      </c>
      <c r="Q1899" s="1107"/>
      <c r="R1899" s="1114">
        <f>SUM(R1887:R1897)</f>
        <v>5260.1</v>
      </c>
    </row>
    <row r="1900" spans="6:18" ht="24" customHeight="1">
      <c r="I1900" s="1103" t="s">
        <v>220</v>
      </c>
      <c r="K1900" s="1111" t="s">
        <v>2793</v>
      </c>
      <c r="Q1900" s="1107"/>
      <c r="R1900" s="1111" t="s">
        <v>36</v>
      </c>
    </row>
    <row r="1901" spans="6:18" ht="24" customHeight="1">
      <c r="I1901" s="1103"/>
      <c r="K1901" s="1111"/>
      <c r="O1901" s="1103" t="s">
        <v>3413</v>
      </c>
      <c r="Q1901" s="1107"/>
      <c r="R1901" s="1114">
        <f>(R1899/30)</f>
        <v>175.33666666666667</v>
      </c>
    </row>
    <row r="1902" spans="6:18" ht="39" customHeight="1">
      <c r="F1902" s="1142">
        <v>52.1</v>
      </c>
      <c r="H1902" s="1154" t="s">
        <v>4629</v>
      </c>
      <c r="I1902" s="1103"/>
      <c r="K1902" s="1111"/>
      <c r="Q1902" s="1107"/>
      <c r="R1902" s="1111" t="s">
        <v>36</v>
      </c>
    </row>
    <row r="1903" spans="6:18" ht="24" customHeight="1">
      <c r="I1903" s="1103"/>
      <c r="K1903" s="1111"/>
    </row>
    <row r="1904" spans="6:18" ht="24" customHeight="1">
      <c r="F1904" s="1104"/>
      <c r="G1904" s="1114"/>
      <c r="H1904" s="1103" t="s">
        <v>3388</v>
      </c>
      <c r="I1904" s="1103"/>
      <c r="K1904" s="1111"/>
    </row>
    <row r="1905" spans="6:18" ht="24" customHeight="1">
      <c r="G1905" s="1114"/>
      <c r="H1905" s="1103" t="s">
        <v>4630</v>
      </c>
      <c r="I1905" s="1103"/>
      <c r="K1905" s="1111"/>
    </row>
    <row r="1906" spans="6:18" ht="24" customHeight="1">
      <c r="H1906" s="1111" t="s">
        <v>36</v>
      </c>
      <c r="I1906" s="1103"/>
      <c r="K1906" s="1111"/>
      <c r="N1906" s="1114" t="s">
        <v>3772</v>
      </c>
      <c r="O1906" s="1103" t="s">
        <v>4627</v>
      </c>
      <c r="Q1906" s="1107"/>
    </row>
    <row r="1907" spans="6:18" ht="24" customHeight="1">
      <c r="F1907" s="1114">
        <v>30</v>
      </c>
      <c r="G1907" s="1114" t="s">
        <v>1790</v>
      </c>
      <c r="H1907" s="1103" t="s">
        <v>4631</v>
      </c>
      <c r="I1907" s="1127">
        <f>E661</f>
        <v>15.53</v>
      </c>
      <c r="J1907" s="1103" t="s">
        <v>1790</v>
      </c>
      <c r="K1907" s="1114">
        <f>(F1907*I1907)</f>
        <v>465.9</v>
      </c>
      <c r="O1907" s="1111" t="s">
        <v>36</v>
      </c>
      <c r="Q1907" s="1107"/>
    </row>
    <row r="1908" spans="6:18" ht="24" customHeight="1">
      <c r="F1908" s="1114">
        <v>8</v>
      </c>
      <c r="G1908" s="1114" t="s">
        <v>2838</v>
      </c>
      <c r="H1908" s="1103" t="s">
        <v>3405</v>
      </c>
      <c r="I1908" s="1127">
        <f>C663</f>
        <v>8.1</v>
      </c>
      <c r="J1908" s="1103" t="s">
        <v>2838</v>
      </c>
      <c r="K1908" s="1114">
        <f t="shared" ref="K1908:K1913" si="222">(F1908*I1908)</f>
        <v>64.8</v>
      </c>
      <c r="M1908" s="1114">
        <v>1</v>
      </c>
      <c r="N1908" s="1114" t="s">
        <v>61</v>
      </c>
      <c r="O1908" s="1103" t="s">
        <v>4632</v>
      </c>
      <c r="P1908" s="1114">
        <f>C521</f>
        <v>82</v>
      </c>
      <c r="Q1908" s="1103" t="s">
        <v>61</v>
      </c>
      <c r="R1908" s="1114">
        <f>(M1908*P1908)</f>
        <v>82</v>
      </c>
    </row>
    <row r="1909" spans="6:18" ht="24" customHeight="1">
      <c r="F1909" s="1114">
        <v>8</v>
      </c>
      <c r="G1909" s="1114" t="s">
        <v>2838</v>
      </c>
      <c r="H1909" s="1103" t="s">
        <v>3408</v>
      </c>
      <c r="I1909" s="1127">
        <f>D672</f>
        <v>11.7</v>
      </c>
      <c r="J1909" s="1103" t="s">
        <v>2838</v>
      </c>
      <c r="K1909" s="1114">
        <f t="shared" si="222"/>
        <v>93.6</v>
      </c>
      <c r="M1909" s="1114">
        <v>1</v>
      </c>
      <c r="N1909" s="1114" t="s">
        <v>2851</v>
      </c>
      <c r="O1909" s="1103" t="s">
        <v>4620</v>
      </c>
      <c r="P1909" s="1114">
        <f>P1908*0.2</f>
        <v>16.400000000000002</v>
      </c>
      <c r="Q1909" s="1103" t="s">
        <v>2851</v>
      </c>
      <c r="R1909" s="1114">
        <f>(M1909*P1909)</f>
        <v>16.400000000000002</v>
      </c>
    </row>
    <row r="1910" spans="6:18" ht="24" customHeight="1">
      <c r="F1910" s="1114">
        <v>3</v>
      </c>
      <c r="G1910" s="1114" t="s">
        <v>2838</v>
      </c>
      <c r="H1910" s="1103" t="s">
        <v>3467</v>
      </c>
      <c r="I1910" s="1127">
        <f>C41</f>
        <v>637</v>
      </c>
      <c r="J1910" s="1103" t="s">
        <v>2838</v>
      </c>
      <c r="K1910" s="1114">
        <f t="shared" si="222"/>
        <v>1911</v>
      </c>
      <c r="M1910" s="1114">
        <v>1</v>
      </c>
      <c r="N1910" s="1114" t="s">
        <v>61</v>
      </c>
      <c r="O1910" s="1103" t="s">
        <v>4614</v>
      </c>
      <c r="P1910" s="1114">
        <f>R1901</f>
        <v>175.33666666666667</v>
      </c>
      <c r="Q1910" s="1103" t="s">
        <v>61</v>
      </c>
      <c r="R1910" s="1114">
        <f>(M1910*P1910)</f>
        <v>175.33666666666667</v>
      </c>
    </row>
    <row r="1911" spans="6:18" ht="24" customHeight="1">
      <c r="F1911" s="1114">
        <v>1</v>
      </c>
      <c r="G1911" s="1114" t="s">
        <v>2838</v>
      </c>
      <c r="H1911" s="1103" t="s">
        <v>4593</v>
      </c>
      <c r="I1911" s="1127">
        <f>C10</f>
        <v>861</v>
      </c>
      <c r="J1911" s="1103" t="s">
        <v>2838</v>
      </c>
      <c r="K1911" s="1114">
        <f t="shared" si="222"/>
        <v>861</v>
      </c>
      <c r="P1911" s="1103" t="s">
        <v>220</v>
      </c>
      <c r="Q1911" s="1107"/>
      <c r="R1911" s="1111" t="s">
        <v>36</v>
      </c>
    </row>
    <row r="1912" spans="6:18" ht="24" customHeight="1">
      <c r="F1912" s="1114">
        <v>2</v>
      </c>
      <c r="G1912" s="1114" t="s">
        <v>2838</v>
      </c>
      <c r="H1912" s="1103" t="s">
        <v>3020</v>
      </c>
      <c r="I1912" s="1127">
        <f>C12</f>
        <v>562</v>
      </c>
      <c r="J1912" s="1103" t="s">
        <v>2838</v>
      </c>
      <c r="K1912" s="1114">
        <f t="shared" si="222"/>
        <v>1124</v>
      </c>
      <c r="O1912" s="1103" t="s">
        <v>4615</v>
      </c>
      <c r="Q1912" s="1107"/>
      <c r="R1912" s="1115">
        <f>SUM(R1908:R1910)</f>
        <v>273.73666666666668</v>
      </c>
    </row>
    <row r="1913" spans="6:18" ht="24" customHeight="1">
      <c r="F1913" s="1114">
        <v>1</v>
      </c>
      <c r="G1913" s="1114" t="s">
        <v>2838</v>
      </c>
      <c r="H1913" s="1103" t="s">
        <v>3026</v>
      </c>
      <c r="I1913" s="1127">
        <f>C13</f>
        <v>461</v>
      </c>
      <c r="J1913" s="1103" t="s">
        <v>2838</v>
      </c>
      <c r="K1913" s="1114">
        <f t="shared" si="222"/>
        <v>461</v>
      </c>
      <c r="P1913" s="1103" t="s">
        <v>220</v>
      </c>
      <c r="Q1913" s="1107"/>
      <c r="R1913" s="1111" t="s">
        <v>2793</v>
      </c>
    </row>
    <row r="1914" spans="6:18" ht="24" customHeight="1">
      <c r="K1914" s="1111" t="s">
        <v>36</v>
      </c>
    </row>
    <row r="1915" spans="6:18" ht="24" customHeight="1">
      <c r="H1915" s="1103" t="s">
        <v>3473</v>
      </c>
      <c r="K1915" s="1114">
        <f>SUM(K1907:K1913)</f>
        <v>4981.3</v>
      </c>
    </row>
    <row r="1916" spans="6:18" ht="24" customHeight="1">
      <c r="K1916" s="1111" t="s">
        <v>36</v>
      </c>
    </row>
    <row r="1917" spans="6:18" ht="24" customHeight="1">
      <c r="H1917" s="1103" t="s">
        <v>3413</v>
      </c>
      <c r="K1917" s="1114">
        <f>(K1915/30)</f>
        <v>166.04333333333335</v>
      </c>
    </row>
    <row r="1918" spans="6:18" ht="24" customHeight="1">
      <c r="K1918" s="1111" t="s">
        <v>36</v>
      </c>
    </row>
    <row r="1919" spans="6:18" ht="24" customHeight="1">
      <c r="I1919" s="1103"/>
      <c r="K1919" s="1111"/>
    </row>
    <row r="1920" spans="6:18" ht="24" customHeight="1">
      <c r="H1920" s="1105" t="s">
        <v>4633</v>
      </c>
      <c r="I1920" s="1103"/>
      <c r="K1920" s="1111"/>
    </row>
    <row r="1921" spans="6:17" ht="24" customHeight="1">
      <c r="H1921" s="1111" t="s">
        <v>36</v>
      </c>
      <c r="I1921" s="1103"/>
      <c r="K1921" s="1111"/>
    </row>
    <row r="1922" spans="6:17" ht="24" customHeight="1">
      <c r="F1922" s="1114">
        <v>1</v>
      </c>
      <c r="G1922" s="1114" t="s">
        <v>61</v>
      </c>
      <c r="H1922" s="1103" t="s">
        <v>4634</v>
      </c>
      <c r="I1922" s="1127">
        <f>E698</f>
        <v>98.6</v>
      </c>
      <c r="J1922" s="1103" t="s">
        <v>61</v>
      </c>
      <c r="K1922" s="1114">
        <f>(F1922*I1922)</f>
        <v>98.6</v>
      </c>
    </row>
    <row r="1923" spans="6:17" ht="24" customHeight="1">
      <c r="F1923" s="1114">
        <v>1</v>
      </c>
      <c r="G1923" s="1114" t="s">
        <v>2851</v>
      </c>
      <c r="H1923" s="1103" t="s">
        <v>4635</v>
      </c>
      <c r="I1923" s="1127">
        <f>I1922*0.2</f>
        <v>19.72</v>
      </c>
      <c r="J1923" s="1103" t="s">
        <v>2851</v>
      </c>
      <c r="K1923" s="1114">
        <f>(F1923*I1923)</f>
        <v>19.72</v>
      </c>
    </row>
    <row r="1924" spans="6:17" ht="24" customHeight="1">
      <c r="F1924" s="1114">
        <v>1</v>
      </c>
      <c r="G1924" s="1114" t="s">
        <v>61</v>
      </c>
      <c r="H1924" s="1103" t="s">
        <v>4614</v>
      </c>
      <c r="I1924" s="1127">
        <f>K1917</f>
        <v>166.04333333333335</v>
      </c>
      <c r="J1924" s="1103" t="s">
        <v>61</v>
      </c>
      <c r="K1924" s="1114">
        <f>(F1924*I1924)</f>
        <v>166.04333333333335</v>
      </c>
    </row>
    <row r="1925" spans="6:17" ht="24" customHeight="1">
      <c r="F1925" s="1114"/>
      <c r="G1925" s="1114"/>
      <c r="H1925" s="1129" t="s">
        <v>4636</v>
      </c>
      <c r="I1925" s="1127"/>
      <c r="J1925" s="1103" t="s">
        <v>2851</v>
      </c>
      <c r="K1925" s="1114">
        <f>1.25+0.47</f>
        <v>1.72</v>
      </c>
    </row>
    <row r="1926" spans="6:17" ht="24" customHeight="1">
      <c r="I1926" s="1103"/>
      <c r="K1926" s="1111" t="s">
        <v>36</v>
      </c>
    </row>
    <row r="1927" spans="6:17" ht="24" customHeight="1">
      <c r="H1927" s="1103" t="s">
        <v>4615</v>
      </c>
      <c r="I1927" s="1103"/>
      <c r="K1927" s="1115">
        <f>SUM(K1922:K1925)</f>
        <v>286.08333333333337</v>
      </c>
    </row>
    <row r="1928" spans="6:17" ht="24" customHeight="1">
      <c r="I1928" s="1103"/>
      <c r="K1928" s="1111" t="s">
        <v>2793</v>
      </c>
    </row>
    <row r="1929" spans="6:17" ht="24" customHeight="1">
      <c r="I1929" s="1103"/>
      <c r="K1929" s="1111"/>
    </row>
    <row r="1930" spans="6:17" ht="24" customHeight="1">
      <c r="I1930" s="1103"/>
      <c r="K1930" s="1111"/>
    </row>
    <row r="1931" spans="6:17" ht="24" customHeight="1">
      <c r="F1931" s="1131">
        <v>53.1</v>
      </c>
      <c r="G1931" s="1114" t="s">
        <v>1363</v>
      </c>
      <c r="H1931" s="1103" t="s">
        <v>4637</v>
      </c>
    </row>
    <row r="1932" spans="6:17" ht="24" customHeight="1">
      <c r="H1932" s="1106" t="s">
        <v>4638</v>
      </c>
    </row>
    <row r="1933" spans="6:17" ht="24" customHeight="1">
      <c r="H1933" s="1103" t="s">
        <v>4639</v>
      </c>
    </row>
    <row r="1934" spans="6:17" ht="24" customHeight="1">
      <c r="H1934" s="1103" t="s">
        <v>4640</v>
      </c>
    </row>
    <row r="1935" spans="6:17" ht="24" customHeight="1">
      <c r="H1935" s="1111" t="s">
        <v>36</v>
      </c>
    </row>
    <row r="1936" spans="6:17" ht="85.5" customHeight="1">
      <c r="F1936" s="1114">
        <v>1</v>
      </c>
      <c r="G1936" s="1114" t="s">
        <v>2838</v>
      </c>
      <c r="H1936" s="1129" t="s">
        <v>4641</v>
      </c>
      <c r="I1936" s="1114">
        <f>(C617)</f>
        <v>1656</v>
      </c>
      <c r="J1936" s="1103" t="s">
        <v>2838</v>
      </c>
      <c r="K1936" s="1114">
        <f>(F1936*I1936)</f>
        <v>1656</v>
      </c>
      <c r="P1936" s="1105">
        <v>2429</v>
      </c>
      <c r="Q1936" s="1105">
        <f>P1936*F1936</f>
        <v>2429</v>
      </c>
    </row>
    <row r="1937" spans="6:22" ht="24" customHeight="1">
      <c r="F1937" s="1114"/>
      <c r="G1937" s="1114"/>
      <c r="H1937" s="1103"/>
      <c r="I1937" s="1114"/>
      <c r="J1937" s="1103"/>
      <c r="K1937" s="1114"/>
      <c r="P1937" s="1105">
        <f t="shared" ref="P1937:P1944" si="223">I1937</f>
        <v>0</v>
      </c>
    </row>
    <row r="1938" spans="6:22" ht="24" customHeight="1">
      <c r="F1938" s="1114"/>
      <c r="G1938" s="1114"/>
      <c r="H1938" s="1103"/>
      <c r="I1938" s="1114"/>
      <c r="J1938" s="1104"/>
      <c r="K1938" s="1114"/>
      <c r="P1938" s="1105">
        <f t="shared" si="223"/>
        <v>0</v>
      </c>
    </row>
    <row r="1939" spans="6:22" ht="24" customHeight="1">
      <c r="F1939" s="1114">
        <v>1</v>
      </c>
      <c r="G1939" s="1114" t="s">
        <v>2838</v>
      </c>
      <c r="H1939" s="1103" t="s">
        <v>4642</v>
      </c>
      <c r="I1939" s="1114">
        <v>-168</v>
      </c>
      <c r="J1939" s="1103" t="s">
        <v>2838</v>
      </c>
      <c r="K1939" s="1114">
        <f>(F1939*I1939)</f>
        <v>-168</v>
      </c>
      <c r="P1939" s="1105">
        <f t="shared" si="223"/>
        <v>-168</v>
      </c>
      <c r="Q1939" s="1105">
        <f>F1939*P1939</f>
        <v>-168</v>
      </c>
    </row>
    <row r="1940" spans="6:22" ht="24" customHeight="1">
      <c r="F1940" s="1114"/>
      <c r="G1940" s="1114"/>
      <c r="H1940" s="1103"/>
      <c r="I1940" s="1114"/>
      <c r="J1940" s="1104"/>
      <c r="K1940" s="1114"/>
      <c r="P1940" s="1105">
        <f t="shared" si="223"/>
        <v>0</v>
      </c>
      <c r="Q1940" s="1105">
        <f t="shared" ref="Q1940:Q1945" si="224">F1940*P1940</f>
        <v>0</v>
      </c>
    </row>
    <row r="1941" spans="6:22" ht="24" customHeight="1">
      <c r="F1941" s="1114">
        <v>1</v>
      </c>
      <c r="G1941" s="1114" t="s">
        <v>2838</v>
      </c>
      <c r="H1941" s="1103" t="s">
        <v>4643</v>
      </c>
      <c r="I1941" s="1114">
        <v>250</v>
      </c>
      <c r="J1941" s="1103" t="s">
        <v>2838</v>
      </c>
      <c r="K1941" s="1114">
        <f>(F1941*I1941)</f>
        <v>250</v>
      </c>
      <c r="P1941" s="1105">
        <f t="shared" si="223"/>
        <v>250</v>
      </c>
      <c r="Q1941" s="1105">
        <f t="shared" si="224"/>
        <v>250</v>
      </c>
    </row>
    <row r="1942" spans="6:22" ht="24" customHeight="1">
      <c r="F1942" s="1114"/>
      <c r="G1942" s="1114"/>
      <c r="H1942" s="1103"/>
      <c r="I1942" s="1114"/>
      <c r="J1942" s="1103"/>
      <c r="K1942" s="1114"/>
      <c r="P1942" s="1105">
        <f t="shared" si="223"/>
        <v>0</v>
      </c>
      <c r="Q1942" s="1105">
        <f t="shared" si="224"/>
        <v>0</v>
      </c>
    </row>
    <row r="1943" spans="6:22" ht="24" customHeight="1">
      <c r="F1943" s="1114">
        <v>0.5</v>
      </c>
      <c r="G1943" s="1114" t="s">
        <v>2838</v>
      </c>
      <c r="H1943" s="1103" t="s">
        <v>4481</v>
      </c>
      <c r="I1943" s="1114">
        <f>(C15)</f>
        <v>747</v>
      </c>
      <c r="J1943" s="1103" t="s">
        <v>2838</v>
      </c>
      <c r="K1943" s="1114">
        <f>(F1943*I1943)</f>
        <v>373.5</v>
      </c>
      <c r="N1943" s="1105">
        <f>7635</f>
        <v>7635</v>
      </c>
      <c r="P1943" s="1105">
        <f t="shared" si="223"/>
        <v>747</v>
      </c>
      <c r="Q1943" s="1105">
        <f t="shared" si="224"/>
        <v>373.5</v>
      </c>
    </row>
    <row r="1944" spans="6:22" ht="24" customHeight="1">
      <c r="F1944" s="1114">
        <v>1</v>
      </c>
      <c r="G1944" s="1114" t="s">
        <v>2838</v>
      </c>
      <c r="H1944" s="1103" t="s">
        <v>3020</v>
      </c>
      <c r="I1944" s="1114">
        <f>(C12)</f>
        <v>562</v>
      </c>
      <c r="J1944" s="1103" t="s">
        <v>2838</v>
      </c>
      <c r="K1944" s="1114">
        <f>(F1944*I1944)</f>
        <v>562</v>
      </c>
      <c r="N1944" s="1105">
        <f>N1943*4%</f>
        <v>305.40000000000003</v>
      </c>
      <c r="P1944" s="1105">
        <f t="shared" si="223"/>
        <v>562</v>
      </c>
      <c r="Q1944" s="1105">
        <f t="shared" si="224"/>
        <v>562</v>
      </c>
    </row>
    <row r="1945" spans="6:22" ht="24" customHeight="1">
      <c r="F1945" s="1114">
        <v>0.5</v>
      </c>
      <c r="G1945" s="1114" t="s">
        <v>2838</v>
      </c>
      <c r="H1945" s="1103" t="s">
        <v>3051</v>
      </c>
      <c r="I1945" s="1114">
        <f>(C10)</f>
        <v>861</v>
      </c>
      <c r="J1945" s="1103" t="s">
        <v>2838</v>
      </c>
      <c r="K1945" s="1114">
        <f>(F1945*I1945)</f>
        <v>430.5</v>
      </c>
      <c r="N1945" s="1105">
        <f>SUM(N1943:N1944)</f>
        <v>7940.4</v>
      </c>
      <c r="P1945" s="1105">
        <f>I1945</f>
        <v>861</v>
      </c>
      <c r="Q1945" s="1105">
        <f t="shared" si="224"/>
        <v>430.5</v>
      </c>
    </row>
    <row r="1946" spans="6:22" ht="24" customHeight="1">
      <c r="G1946" s="1114" t="s">
        <v>2851</v>
      </c>
      <c r="H1946" s="1103" t="s">
        <v>4644</v>
      </c>
      <c r="J1946" s="1103" t="s">
        <v>2851</v>
      </c>
      <c r="K1946" s="1114">
        <v>0.82</v>
      </c>
      <c r="Q1946" s="1105">
        <v>0.82</v>
      </c>
    </row>
    <row r="1947" spans="6:22" ht="24" customHeight="1">
      <c r="K1947" s="1111" t="s">
        <v>36</v>
      </c>
      <c r="Q1947" s="1105">
        <f>SUM(Q1936:Q1946)</f>
        <v>3877.82</v>
      </c>
    </row>
    <row r="1948" spans="6:22" ht="24" customHeight="1">
      <c r="H1948" s="1103" t="s">
        <v>3569</v>
      </c>
      <c r="K1948" s="1114">
        <f>SUM(K1936:K1946)</f>
        <v>3104.82</v>
      </c>
    </row>
    <row r="1949" spans="6:22" ht="24" customHeight="1">
      <c r="K1949" s="1111" t="s">
        <v>36</v>
      </c>
    </row>
    <row r="1950" spans="6:22" ht="24" customHeight="1">
      <c r="F1950" s="1104" t="s">
        <v>4645</v>
      </c>
      <c r="H1950" s="1103" t="s">
        <v>4646</v>
      </c>
      <c r="J1950" s="1103" t="s">
        <v>522</v>
      </c>
      <c r="K1950" s="1103">
        <v>967.5</v>
      </c>
      <c r="V1950" s="1103" t="s">
        <v>4592</v>
      </c>
    </row>
    <row r="1951" spans="6:22" ht="24" customHeight="1">
      <c r="H1951" s="1103" t="s">
        <v>4647</v>
      </c>
      <c r="J1951" s="1103" t="s">
        <v>522</v>
      </c>
      <c r="K1951" s="1103">
        <v>1846</v>
      </c>
    </row>
    <row r="1952" spans="6:22" ht="24" customHeight="1">
      <c r="F1952" s="1104" t="s">
        <v>4648</v>
      </c>
      <c r="H1952" s="1103" t="s">
        <v>4649</v>
      </c>
      <c r="J1952" s="1103" t="s">
        <v>522</v>
      </c>
      <c r="K1952" s="1103">
        <v>30</v>
      </c>
    </row>
    <row r="1953" spans="6:18" ht="24" customHeight="1">
      <c r="F1953" s="1104"/>
      <c r="H1953" s="1103"/>
      <c r="K1953" s="1103"/>
    </row>
    <row r="1954" spans="6:18" ht="24" customHeight="1">
      <c r="F1954" s="1126">
        <v>54</v>
      </c>
      <c r="G1954" s="1114" t="s">
        <v>1363</v>
      </c>
      <c r="H1954" s="1103" t="s">
        <v>4650</v>
      </c>
      <c r="J1954" s="1103" t="s">
        <v>522</v>
      </c>
      <c r="K1954" s="1114">
        <v>204</v>
      </c>
    </row>
    <row r="1955" spans="6:18" ht="24" customHeight="1">
      <c r="K1955" s="1111" t="s">
        <v>2793</v>
      </c>
    </row>
    <row r="1957" spans="6:18" ht="24" customHeight="1">
      <c r="F1957" s="1131">
        <v>54.1</v>
      </c>
      <c r="G1957" s="1114" t="s">
        <v>1363</v>
      </c>
      <c r="H1957" s="1103" t="s">
        <v>4651</v>
      </c>
      <c r="J1957" s="1103" t="s">
        <v>522</v>
      </c>
      <c r="K1957" s="1114">
        <v>300</v>
      </c>
    </row>
    <row r="1958" spans="6:18" ht="24" customHeight="1">
      <c r="K1958" s="1111" t="s">
        <v>2793</v>
      </c>
    </row>
    <row r="1960" spans="6:18" ht="24" customHeight="1">
      <c r="F1960" s="1131">
        <v>54.2</v>
      </c>
      <c r="G1960" s="1114" t="s">
        <v>1363</v>
      </c>
      <c r="H1960" s="1103" t="s">
        <v>4652</v>
      </c>
      <c r="J1960" s="1103" t="s">
        <v>522</v>
      </c>
      <c r="K1960" s="1114">
        <v>250</v>
      </c>
    </row>
    <row r="1961" spans="6:18" ht="24" customHeight="1">
      <c r="K1961" s="1111" t="s">
        <v>2793</v>
      </c>
    </row>
    <row r="1962" spans="6:18" ht="24" hidden="1" customHeight="1"/>
    <row r="1963" spans="6:18" ht="24" customHeight="1">
      <c r="F1963" s="1104" t="s">
        <v>4653</v>
      </c>
      <c r="G1963" s="1114" t="s">
        <v>1363</v>
      </c>
      <c r="H1963" s="1103" t="s">
        <v>4654</v>
      </c>
      <c r="M1963" s="1104" t="s">
        <v>4653</v>
      </c>
      <c r="N1963" s="1114" t="s">
        <v>1363</v>
      </c>
      <c r="O1963" s="1103" t="s">
        <v>4654</v>
      </c>
      <c r="Q1963" s="1107"/>
    </row>
    <row r="1964" spans="6:18" ht="24" customHeight="1">
      <c r="H1964" s="1103" t="s">
        <v>4655</v>
      </c>
      <c r="O1964" s="1103" t="s">
        <v>4655</v>
      </c>
      <c r="Q1964" s="1107"/>
    </row>
    <row r="1965" spans="6:18" ht="24" customHeight="1">
      <c r="H1965" s="1103" t="s">
        <v>4656</v>
      </c>
      <c r="O1965" s="1103" t="s">
        <v>4656</v>
      </c>
      <c r="Q1965" s="1107"/>
    </row>
    <row r="1966" spans="6:18" ht="24" customHeight="1">
      <c r="H1966" s="1103" t="s">
        <v>4657</v>
      </c>
      <c r="O1966" s="1103" t="s">
        <v>4657</v>
      </c>
      <c r="Q1966" s="1107"/>
    </row>
    <row r="1967" spans="6:18" ht="24" customHeight="1">
      <c r="H1967" s="1111" t="s">
        <v>36</v>
      </c>
      <c r="O1967" s="1111" t="s">
        <v>36</v>
      </c>
      <c r="Q1967" s="1107"/>
    </row>
    <row r="1968" spans="6:18" ht="24" customHeight="1">
      <c r="F1968" s="1114">
        <v>1</v>
      </c>
      <c r="G1968" s="1114" t="s">
        <v>2838</v>
      </c>
      <c r="H1968" s="1103" t="s">
        <v>4658</v>
      </c>
      <c r="I1968" s="1114">
        <f>(C201)</f>
        <v>1190</v>
      </c>
      <c r="J1968" s="1103" t="s">
        <v>2838</v>
      </c>
      <c r="K1968" s="1114">
        <f t="shared" ref="K1968:K1974" si="225">(F1968*I1968)</f>
        <v>1190</v>
      </c>
      <c r="M1968" s="1114">
        <v>1</v>
      </c>
      <c r="N1968" s="1114" t="s">
        <v>2838</v>
      </c>
      <c r="O1968" s="1103" t="s">
        <v>4658</v>
      </c>
      <c r="P1968" s="1114">
        <f>I1968</f>
        <v>1190</v>
      </c>
      <c r="Q1968" s="1103" t="s">
        <v>2838</v>
      </c>
      <c r="R1968" s="1114">
        <f t="shared" ref="R1968:R1974" si="226">(M1968*P1968)</f>
        <v>1190</v>
      </c>
    </row>
    <row r="1969" spans="6:18" ht="24" customHeight="1">
      <c r="F1969" s="1114">
        <v>0.65</v>
      </c>
      <c r="G1969" s="1114" t="s">
        <v>2839</v>
      </c>
      <c r="H1969" s="1103" t="s">
        <v>4659</v>
      </c>
      <c r="I1969" s="1114">
        <f>(C61*2)</f>
        <v>193.2</v>
      </c>
      <c r="J1969" s="1103" t="s">
        <v>2839</v>
      </c>
      <c r="K1969" s="1114">
        <f t="shared" si="225"/>
        <v>125.58</v>
      </c>
      <c r="M1969" s="1114">
        <v>0.65</v>
      </c>
      <c r="N1969" s="1114" t="s">
        <v>2839</v>
      </c>
      <c r="O1969" s="1103" t="s">
        <v>4659</v>
      </c>
      <c r="P1969" s="1114">
        <f t="shared" ref="P1969:P1975" si="227">I1969</f>
        <v>193.2</v>
      </c>
      <c r="Q1969" s="1103" t="s">
        <v>2839</v>
      </c>
      <c r="R1969" s="1114">
        <f t="shared" si="226"/>
        <v>125.58</v>
      </c>
    </row>
    <row r="1970" spans="6:18" ht="24" customHeight="1">
      <c r="F1970" s="1114">
        <v>0.56999999999999995</v>
      </c>
      <c r="G1970" s="1114" t="s">
        <v>2839</v>
      </c>
      <c r="H1970" s="1103" t="s">
        <v>4660</v>
      </c>
      <c r="I1970" s="1114">
        <f>(C26)</f>
        <v>33.6</v>
      </c>
      <c r="J1970" s="1103" t="s">
        <v>2839</v>
      </c>
      <c r="K1970" s="1114">
        <f t="shared" si="225"/>
        <v>19.151999999999997</v>
      </c>
      <c r="M1970" s="1114">
        <v>0.56999999999999995</v>
      </c>
      <c r="N1970" s="1114" t="s">
        <v>2839</v>
      </c>
      <c r="O1970" s="1103" t="s">
        <v>4660</v>
      </c>
      <c r="P1970" s="1114">
        <f t="shared" si="227"/>
        <v>33.6</v>
      </c>
      <c r="Q1970" s="1103" t="s">
        <v>2839</v>
      </c>
      <c r="R1970" s="1114">
        <f t="shared" si="226"/>
        <v>19.151999999999997</v>
      </c>
    </row>
    <row r="1971" spans="6:18" ht="24" customHeight="1">
      <c r="F1971" s="1128">
        <v>8.1000000000000003E-2</v>
      </c>
      <c r="G1971" s="1114" t="s">
        <v>2839</v>
      </c>
      <c r="H1971" s="1103" t="s">
        <v>4661</v>
      </c>
      <c r="I1971" s="1114">
        <f>(R60)</f>
        <v>3940.6769999999997</v>
      </c>
      <c r="J1971" s="1103" t="s">
        <v>2839</v>
      </c>
      <c r="K1971" s="1114">
        <f t="shared" si="225"/>
        <v>319.19483700000001</v>
      </c>
      <c r="M1971" s="1128">
        <v>8.1000000000000003E-2</v>
      </c>
      <c r="N1971" s="1114" t="s">
        <v>2839</v>
      </c>
      <c r="O1971" s="1103" t="s">
        <v>4661</v>
      </c>
      <c r="P1971" s="1114">
        <f t="shared" si="227"/>
        <v>3940.6769999999997</v>
      </c>
      <c r="Q1971" s="1103" t="s">
        <v>2839</v>
      </c>
      <c r="R1971" s="1114">
        <f t="shared" si="226"/>
        <v>319.19483700000001</v>
      </c>
    </row>
    <row r="1972" spans="6:18" ht="24" customHeight="1">
      <c r="F1972" s="1114">
        <v>1</v>
      </c>
      <c r="G1972" s="1114" t="s">
        <v>2838</v>
      </c>
      <c r="H1972" s="1103" t="s">
        <v>4481</v>
      </c>
      <c r="I1972" s="1114">
        <f>(C15)</f>
        <v>747</v>
      </c>
      <c r="J1972" s="1103" t="s">
        <v>2838</v>
      </c>
      <c r="K1972" s="1114">
        <f t="shared" si="225"/>
        <v>747</v>
      </c>
      <c r="M1972" s="1114">
        <v>1</v>
      </c>
      <c r="N1972" s="1114" t="s">
        <v>2838</v>
      </c>
      <c r="O1972" s="1103" t="s">
        <v>4481</v>
      </c>
      <c r="P1972" s="1114">
        <f t="shared" si="227"/>
        <v>747</v>
      </c>
      <c r="Q1972" s="1103" t="s">
        <v>2838</v>
      </c>
      <c r="R1972" s="1114">
        <f t="shared" si="226"/>
        <v>747</v>
      </c>
    </row>
    <row r="1973" spans="6:18" ht="24" customHeight="1">
      <c r="F1973" s="1114">
        <v>0.5</v>
      </c>
      <c r="G1973" s="1114" t="s">
        <v>2838</v>
      </c>
      <c r="H1973" s="1103" t="s">
        <v>3017</v>
      </c>
      <c r="I1973" s="1114">
        <f>(C11)</f>
        <v>804</v>
      </c>
      <c r="J1973" s="1103" t="s">
        <v>2838</v>
      </c>
      <c r="K1973" s="1114">
        <f t="shared" si="225"/>
        <v>402</v>
      </c>
      <c r="M1973" s="1114">
        <v>0.5</v>
      </c>
      <c r="N1973" s="1114" t="s">
        <v>2838</v>
      </c>
      <c r="O1973" s="1103" t="s">
        <v>3017</v>
      </c>
      <c r="P1973" s="1114">
        <f t="shared" si="227"/>
        <v>804</v>
      </c>
      <c r="Q1973" s="1103" t="s">
        <v>2838</v>
      </c>
      <c r="R1973" s="1114">
        <f t="shared" si="226"/>
        <v>402</v>
      </c>
    </row>
    <row r="1974" spans="6:18" ht="24" customHeight="1">
      <c r="F1974" s="1114">
        <v>0.5</v>
      </c>
      <c r="G1974" s="1114" t="s">
        <v>2838</v>
      </c>
      <c r="H1974" s="1103" t="s">
        <v>3020</v>
      </c>
      <c r="I1974" s="1114">
        <f>(C12)</f>
        <v>562</v>
      </c>
      <c r="J1974" s="1103" t="s">
        <v>2838</v>
      </c>
      <c r="K1974" s="1114">
        <f t="shared" si="225"/>
        <v>281</v>
      </c>
      <c r="M1974" s="1114">
        <v>0.5</v>
      </c>
      <c r="N1974" s="1114" t="s">
        <v>2838</v>
      </c>
      <c r="O1974" s="1103" t="s">
        <v>3020</v>
      </c>
      <c r="P1974" s="1114">
        <f t="shared" si="227"/>
        <v>562</v>
      </c>
      <c r="Q1974" s="1103" t="s">
        <v>2838</v>
      </c>
      <c r="R1974" s="1114">
        <f t="shared" si="226"/>
        <v>281</v>
      </c>
    </row>
    <row r="1975" spans="6:18" ht="24" customHeight="1">
      <c r="G1975" s="1114" t="s">
        <v>2851</v>
      </c>
      <c r="H1975" s="1103" t="s">
        <v>2852</v>
      </c>
      <c r="I1975" s="1103" t="s">
        <v>220</v>
      </c>
      <c r="J1975" s="1103" t="s">
        <v>2851</v>
      </c>
      <c r="K1975" s="1114">
        <v>1.25</v>
      </c>
      <c r="N1975" s="1114"/>
      <c r="O1975" s="1106" t="s">
        <v>4662</v>
      </c>
      <c r="P1975" s="1114" t="str">
        <f t="shared" si="227"/>
        <v xml:space="preserve"> </v>
      </c>
      <c r="Q1975" s="1103"/>
      <c r="R1975" s="1114">
        <v>-164</v>
      </c>
    </row>
    <row r="1976" spans="6:18" ht="24" customHeight="1">
      <c r="K1976" s="1111" t="s">
        <v>36</v>
      </c>
      <c r="O1976" s="1106" t="s">
        <v>4663</v>
      </c>
      <c r="P1976" s="1114"/>
      <c r="Q1976" s="1103"/>
      <c r="R1976" s="1114">
        <v>134.1</v>
      </c>
    </row>
    <row r="1977" spans="6:18" ht="24" customHeight="1" thickBot="1">
      <c r="H1977" s="1103" t="s">
        <v>3569</v>
      </c>
      <c r="K1977" s="1114">
        <f>SUM(K1968:K1975)</f>
        <v>3085.176837</v>
      </c>
      <c r="N1977" s="1105" t="s">
        <v>1348</v>
      </c>
      <c r="O1977" s="1106" t="s">
        <v>234</v>
      </c>
      <c r="Q1977" s="1107"/>
      <c r="R1977" s="1114">
        <v>0.32</v>
      </c>
    </row>
    <row r="1978" spans="6:18" ht="24" customHeight="1" thickTop="1">
      <c r="K1978" s="1111" t="s">
        <v>2793</v>
      </c>
      <c r="O1978" s="1103" t="s">
        <v>3569</v>
      </c>
      <c r="Q1978" s="1107"/>
      <c r="R1978" s="1232">
        <f>SUM(R1968:R1977)</f>
        <v>3054.3468370000001</v>
      </c>
    </row>
    <row r="1979" spans="6:18" ht="24" customHeight="1" thickBot="1">
      <c r="G1979" s="1114" t="s">
        <v>220</v>
      </c>
      <c r="H1979" s="1103" t="s">
        <v>220</v>
      </c>
      <c r="K1979" s="1103" t="s">
        <v>220</v>
      </c>
      <c r="Q1979" s="1107"/>
      <c r="R1979" s="1233"/>
    </row>
    <row r="1980" spans="6:18" ht="24" customHeight="1" thickTop="1">
      <c r="J1980" s="1103" t="s">
        <v>220</v>
      </c>
      <c r="K1980" s="1103" t="s">
        <v>220</v>
      </c>
    </row>
    <row r="1981" spans="6:18" ht="24" customHeight="1">
      <c r="F1981" s="1104" t="s">
        <v>4664</v>
      </c>
      <c r="G1981" s="1114" t="s">
        <v>1363</v>
      </c>
      <c r="H1981" s="1103" t="s">
        <v>4654</v>
      </c>
      <c r="M1981" s="1104" t="s">
        <v>4664</v>
      </c>
      <c r="N1981" s="1114" t="s">
        <v>1363</v>
      </c>
      <c r="O1981" s="1103" t="s">
        <v>4654</v>
      </c>
      <c r="Q1981" s="1107"/>
    </row>
    <row r="1982" spans="6:18" ht="24" customHeight="1">
      <c r="H1982" s="1103" t="s">
        <v>4655</v>
      </c>
      <c r="O1982" s="1103" t="s">
        <v>4655</v>
      </c>
      <c r="Q1982" s="1107"/>
    </row>
    <row r="1983" spans="6:18" ht="24" customHeight="1">
      <c r="H1983" s="1103" t="s">
        <v>4656</v>
      </c>
      <c r="O1983" s="1103" t="s">
        <v>4656</v>
      </c>
      <c r="Q1983" s="1107"/>
    </row>
    <row r="1984" spans="6:18" ht="24" customHeight="1">
      <c r="H1984" s="1103" t="s">
        <v>4665</v>
      </c>
      <c r="O1984" s="1103" t="s">
        <v>4665</v>
      </c>
      <c r="Q1984" s="1107"/>
    </row>
    <row r="1985" spans="6:18" ht="24" customHeight="1">
      <c r="H1985" s="1111" t="s">
        <v>36</v>
      </c>
      <c r="O1985" s="1111" t="s">
        <v>36</v>
      </c>
      <c r="Q1985" s="1107"/>
    </row>
    <row r="1986" spans="6:18" ht="24" customHeight="1">
      <c r="F1986" s="1114">
        <v>1</v>
      </c>
      <c r="G1986" s="1114" t="s">
        <v>2838</v>
      </c>
      <c r="H1986" s="1103" t="s">
        <v>4658</v>
      </c>
      <c r="I1986" s="1114">
        <f>(C201)</f>
        <v>1190</v>
      </c>
      <c r="J1986" s="1103" t="s">
        <v>2838</v>
      </c>
      <c r="K1986" s="1114">
        <f>(F1986*I1986)</f>
        <v>1190</v>
      </c>
      <c r="M1986" s="1114">
        <v>1</v>
      </c>
      <c r="N1986" s="1114" t="s">
        <v>2838</v>
      </c>
      <c r="O1986" s="1103" t="s">
        <v>4658</v>
      </c>
      <c r="P1986" s="1114">
        <f>I1986</f>
        <v>1190</v>
      </c>
      <c r="Q1986" s="1103" t="s">
        <v>2838</v>
      </c>
      <c r="R1986" s="1114">
        <f>(M1986*P1986)</f>
        <v>1190</v>
      </c>
    </row>
    <row r="1987" spans="6:18" ht="24" customHeight="1">
      <c r="F1987" s="1128">
        <v>0.40500000000000003</v>
      </c>
      <c r="G1987" s="1114" t="s">
        <v>2839</v>
      </c>
      <c r="H1987" s="1103" t="s">
        <v>4666</v>
      </c>
      <c r="I1987" s="1114">
        <f>(K1330)</f>
        <v>3598.904</v>
      </c>
      <c r="J1987" s="1103" t="s">
        <v>2839</v>
      </c>
      <c r="K1987" s="1114">
        <f>(F1987*I1987)</f>
        <v>1457.5561200000002</v>
      </c>
      <c r="M1987" s="1128">
        <v>0.40500000000000003</v>
      </c>
      <c r="N1987" s="1114" t="s">
        <v>2839</v>
      </c>
      <c r="O1987" s="1103" t="s">
        <v>4666</v>
      </c>
      <c r="P1987" s="1114">
        <f t="shared" ref="P1987:P1996" si="228">I1987</f>
        <v>3598.904</v>
      </c>
      <c r="Q1987" s="1103" t="s">
        <v>2839</v>
      </c>
      <c r="R1987" s="1114">
        <f>(M1987*P1987)</f>
        <v>1457.5561200000002</v>
      </c>
    </row>
    <row r="1988" spans="6:18" ht="24" customHeight="1">
      <c r="H1988" s="1103" t="s">
        <v>4667</v>
      </c>
      <c r="I1988" s="1103" t="s">
        <v>220</v>
      </c>
      <c r="K1988" s="1103" t="s">
        <v>220</v>
      </c>
      <c r="O1988" s="1103" t="s">
        <v>4667</v>
      </c>
      <c r="P1988" s="1114" t="str">
        <f t="shared" si="228"/>
        <v xml:space="preserve"> </v>
      </c>
      <c r="Q1988" s="1107"/>
      <c r="R1988" s="1103" t="s">
        <v>220</v>
      </c>
    </row>
    <row r="1989" spans="6:18" ht="24" customHeight="1">
      <c r="F1989" s="1114">
        <v>1.89</v>
      </c>
      <c r="G1989" s="1114" t="s">
        <v>3189</v>
      </c>
      <c r="H1989" s="1103" t="s">
        <v>4668</v>
      </c>
      <c r="I1989" s="1114">
        <f>(K1442)</f>
        <v>249.62203999999997</v>
      </c>
      <c r="J1989" s="1103" t="s">
        <v>3189</v>
      </c>
      <c r="K1989" s="1114">
        <f>(F1989*I1989)</f>
        <v>471.78565559999993</v>
      </c>
      <c r="M1989" s="1114">
        <v>1.89</v>
      </c>
      <c r="N1989" s="1114" t="s">
        <v>3189</v>
      </c>
      <c r="O1989" s="1103" t="s">
        <v>4668</v>
      </c>
      <c r="P1989" s="1114">
        <f t="shared" si="228"/>
        <v>249.62203999999997</v>
      </c>
      <c r="Q1989" s="1103" t="s">
        <v>3189</v>
      </c>
      <c r="R1989" s="1114">
        <f>(M1989*P1989)</f>
        <v>471.78565559999993</v>
      </c>
    </row>
    <row r="1990" spans="6:18" ht="24" customHeight="1">
      <c r="H1990" s="1103" t="s">
        <v>4669</v>
      </c>
      <c r="I1990" s="1103" t="s">
        <v>220</v>
      </c>
      <c r="K1990" s="1103" t="s">
        <v>220</v>
      </c>
      <c r="O1990" s="1103" t="s">
        <v>4669</v>
      </c>
      <c r="P1990" s="1114" t="str">
        <f t="shared" si="228"/>
        <v xml:space="preserve"> </v>
      </c>
      <c r="Q1990" s="1107"/>
      <c r="R1990" s="1103" t="s">
        <v>220</v>
      </c>
    </row>
    <row r="1991" spans="6:18" ht="24" customHeight="1">
      <c r="F1991" s="1128">
        <v>8.1000000000000003E-2</v>
      </c>
      <c r="G1991" s="1114" t="s">
        <v>2839</v>
      </c>
      <c r="H1991" s="1103" t="s">
        <v>4670</v>
      </c>
      <c r="I1991" s="1114">
        <f>(R60)</f>
        <v>3940.6769999999997</v>
      </c>
      <c r="J1991" s="1103" t="s">
        <v>2839</v>
      </c>
      <c r="K1991" s="1114">
        <f>(F1991*I1991)</f>
        <v>319.19483700000001</v>
      </c>
      <c r="M1991" s="1128">
        <v>8.1000000000000003E-2</v>
      </c>
      <c r="N1991" s="1114" t="s">
        <v>2839</v>
      </c>
      <c r="O1991" s="1103" t="s">
        <v>4670</v>
      </c>
      <c r="P1991" s="1114">
        <f t="shared" si="228"/>
        <v>3940.6769999999997</v>
      </c>
      <c r="Q1991" s="1103" t="s">
        <v>2839</v>
      </c>
      <c r="R1991" s="1114">
        <f>(M1991*P1991)</f>
        <v>319.19483700000001</v>
      </c>
    </row>
    <row r="1992" spans="6:18" ht="24" customHeight="1">
      <c r="H1992" s="1103" t="s">
        <v>4671</v>
      </c>
      <c r="O1992" s="1103" t="s">
        <v>4671</v>
      </c>
      <c r="P1992" s="1114"/>
      <c r="Q1992" s="1107"/>
    </row>
    <row r="1993" spans="6:18" ht="24" customHeight="1">
      <c r="F1993" s="1114">
        <v>1</v>
      </c>
      <c r="G1993" s="1114" t="s">
        <v>2941</v>
      </c>
      <c r="H1993" s="1103" t="s">
        <v>4481</v>
      </c>
      <c r="I1993" s="1114">
        <f>(C15)</f>
        <v>747</v>
      </c>
      <c r="J1993" s="1103" t="s">
        <v>2941</v>
      </c>
      <c r="K1993" s="1114">
        <f>(F1993*I1993)</f>
        <v>747</v>
      </c>
      <c r="M1993" s="1114">
        <v>1</v>
      </c>
      <c r="N1993" s="1114" t="s">
        <v>2941</v>
      </c>
      <c r="O1993" s="1103" t="s">
        <v>4481</v>
      </c>
      <c r="P1993" s="1114">
        <f t="shared" si="228"/>
        <v>747</v>
      </c>
      <c r="Q1993" s="1103" t="s">
        <v>2941</v>
      </c>
      <c r="R1993" s="1114">
        <f>(M1993*P1993)</f>
        <v>747</v>
      </c>
    </row>
    <row r="1994" spans="6:18" ht="24" customHeight="1">
      <c r="F1994" s="1114">
        <v>0.5</v>
      </c>
      <c r="G1994" s="1114" t="s">
        <v>2838</v>
      </c>
      <c r="H1994" s="1103" t="s">
        <v>3017</v>
      </c>
      <c r="I1994" s="1114">
        <f>(C11)</f>
        <v>804</v>
      </c>
      <c r="J1994" s="1103" t="s">
        <v>2838</v>
      </c>
      <c r="K1994" s="1114">
        <f>(F1994*I1994)</f>
        <v>402</v>
      </c>
      <c r="M1994" s="1114">
        <v>0.5</v>
      </c>
      <c r="N1994" s="1114" t="s">
        <v>2838</v>
      </c>
      <c r="O1994" s="1103" t="s">
        <v>3017</v>
      </c>
      <c r="P1994" s="1114">
        <f t="shared" si="228"/>
        <v>804</v>
      </c>
      <c r="Q1994" s="1103" t="s">
        <v>2838</v>
      </c>
      <c r="R1994" s="1114">
        <f>(M1994*P1994)</f>
        <v>402</v>
      </c>
    </row>
    <row r="1995" spans="6:18" ht="24" customHeight="1">
      <c r="F1995" s="1114">
        <v>0.5</v>
      </c>
      <c r="G1995" s="1114" t="s">
        <v>2838</v>
      </c>
      <c r="H1995" s="1103" t="s">
        <v>3020</v>
      </c>
      <c r="I1995" s="1114">
        <f>(C12)</f>
        <v>562</v>
      </c>
      <c r="J1995" s="1103" t="s">
        <v>2838</v>
      </c>
      <c r="K1995" s="1114">
        <f>(F1995*I1995)</f>
        <v>281</v>
      </c>
      <c r="M1995" s="1114">
        <v>0.5</v>
      </c>
      <c r="N1995" s="1114" t="s">
        <v>2838</v>
      </c>
      <c r="O1995" s="1103" t="s">
        <v>3020</v>
      </c>
      <c r="P1995" s="1114">
        <f t="shared" si="228"/>
        <v>562</v>
      </c>
      <c r="Q1995" s="1103" t="s">
        <v>2838</v>
      </c>
      <c r="R1995" s="1114">
        <f>(M1995*P1995)</f>
        <v>281</v>
      </c>
    </row>
    <row r="1996" spans="6:18" ht="24" customHeight="1">
      <c r="G1996" s="1114" t="s">
        <v>2851</v>
      </c>
      <c r="H1996" s="1103" t="s">
        <v>2852</v>
      </c>
      <c r="I1996" s="1103" t="s">
        <v>220</v>
      </c>
      <c r="J1996" s="1103" t="s">
        <v>2851</v>
      </c>
      <c r="K1996" s="1114">
        <v>1.03</v>
      </c>
      <c r="N1996" s="1114"/>
      <c r="O1996" s="1106" t="s">
        <v>4662</v>
      </c>
      <c r="P1996" s="1114" t="str">
        <f t="shared" si="228"/>
        <v xml:space="preserve"> </v>
      </c>
      <c r="Q1996" s="1103"/>
      <c r="R1996" s="1114">
        <v>-164</v>
      </c>
    </row>
    <row r="1997" spans="6:18" ht="24" customHeight="1">
      <c r="H1997" s="1103" t="s">
        <v>220</v>
      </c>
      <c r="K1997" s="1111" t="s">
        <v>36</v>
      </c>
      <c r="O1997" s="1106" t="s">
        <v>4663</v>
      </c>
      <c r="P1997" s="1114"/>
      <c r="Q1997" s="1103"/>
      <c r="R1997" s="1114">
        <v>134.1</v>
      </c>
    </row>
    <row r="1998" spans="6:18" ht="24" customHeight="1" thickBot="1">
      <c r="H1998" s="1103" t="s">
        <v>3569</v>
      </c>
      <c r="K1998" s="1114">
        <f>SUM(K1986:K1996)</f>
        <v>4869.5666125999996</v>
      </c>
      <c r="N1998" s="1105" t="s">
        <v>1348</v>
      </c>
      <c r="O1998" s="1106" t="s">
        <v>234</v>
      </c>
      <c r="Q1998" s="1107"/>
      <c r="R1998" s="1114">
        <v>0.47</v>
      </c>
    </row>
    <row r="1999" spans="6:18" ht="24" customHeight="1" thickTop="1">
      <c r="K1999" s="1111" t="s">
        <v>2793</v>
      </c>
      <c r="O1999" s="1103" t="s">
        <v>3569</v>
      </c>
      <c r="Q1999" s="1107"/>
      <c r="R1999" s="1232">
        <f>SUM(R1986:R1998)</f>
        <v>4839.1066126000005</v>
      </c>
    </row>
    <row r="2000" spans="6:18" ht="24" customHeight="1" thickBot="1">
      <c r="G2000" s="1114" t="s">
        <v>220</v>
      </c>
      <c r="H2000" s="1103" t="s">
        <v>220</v>
      </c>
      <c r="K2000" s="1103" t="s">
        <v>220</v>
      </c>
      <c r="Q2000" s="1107"/>
      <c r="R2000" s="1233"/>
    </row>
    <row r="2001" spans="6:19" ht="24" customHeight="1" thickTop="1">
      <c r="F2001" s="1126">
        <v>57</v>
      </c>
      <c r="G2001" s="1114" t="s">
        <v>1363</v>
      </c>
      <c r="H2001" s="1103" t="s">
        <v>4672</v>
      </c>
    </row>
    <row r="2002" spans="6:19" ht="24" customHeight="1">
      <c r="H2002" s="1103" t="s">
        <v>4673</v>
      </c>
      <c r="M2002" s="1126">
        <v>57</v>
      </c>
      <c r="N2002" s="1114" t="s">
        <v>1363</v>
      </c>
      <c r="O2002" s="1103" t="s">
        <v>4672</v>
      </c>
      <c r="Q2002" s="1107"/>
      <c r="S2002" s="1105"/>
    </row>
    <row r="2003" spans="6:19" ht="24" customHeight="1">
      <c r="H2003" s="1103" t="s">
        <v>4674</v>
      </c>
      <c r="O2003" s="1103" t="s">
        <v>4673</v>
      </c>
      <c r="Q2003" s="1107"/>
      <c r="S2003" s="1105"/>
    </row>
    <row r="2004" spans="6:19" ht="24" customHeight="1">
      <c r="H2004" s="1111" t="s">
        <v>36</v>
      </c>
      <c r="O2004" s="1103" t="s">
        <v>4674</v>
      </c>
      <c r="Q2004" s="1107"/>
      <c r="S2004" s="1105"/>
    </row>
    <row r="2005" spans="6:19" ht="60.75" customHeight="1">
      <c r="F2005" s="1114">
        <v>1</v>
      </c>
      <c r="G2005" s="1114" t="s">
        <v>3584</v>
      </c>
      <c r="H2005" s="1129" t="s">
        <v>4675</v>
      </c>
      <c r="I2005" s="1114">
        <f>C613</f>
        <v>3060</v>
      </c>
      <c r="J2005" s="1103" t="s">
        <v>3584</v>
      </c>
      <c r="K2005" s="1114">
        <f>(F2005*I2005)</f>
        <v>3060</v>
      </c>
      <c r="O2005" s="1111" t="s">
        <v>36</v>
      </c>
      <c r="Q2005" s="1107"/>
      <c r="S2005" s="1105"/>
    </row>
    <row r="2006" spans="6:19" ht="48.75" customHeight="1">
      <c r="F2006" s="1114"/>
      <c r="G2006" s="1114"/>
      <c r="H2006" s="1234" t="s">
        <v>4676</v>
      </c>
      <c r="I2006" s="1114"/>
      <c r="J2006" s="1103"/>
      <c r="K2006" s="1114"/>
      <c r="M2006" s="1114">
        <v>1</v>
      </c>
      <c r="N2006" s="1114" t="s">
        <v>3584</v>
      </c>
      <c r="O2006" s="1129" t="s">
        <v>4677</v>
      </c>
      <c r="P2006" s="1114">
        <f>I2005</f>
        <v>3060</v>
      </c>
      <c r="Q2006" s="1103" t="s">
        <v>3584</v>
      </c>
      <c r="R2006" s="1114">
        <f>(M2006*P2006)</f>
        <v>3060</v>
      </c>
      <c r="S2006" s="1105"/>
    </row>
    <row r="2007" spans="6:19" ht="36" customHeight="1">
      <c r="F2007" s="1114">
        <v>1</v>
      </c>
      <c r="G2007" s="1114" t="s">
        <v>2838</v>
      </c>
      <c r="H2007" s="1103" t="s">
        <v>3051</v>
      </c>
      <c r="I2007" s="1114">
        <f>(C10)</f>
        <v>861</v>
      </c>
      <c r="J2007" s="1103" t="s">
        <v>2838</v>
      </c>
      <c r="K2007" s="1114">
        <f>(F2007*I2007)</f>
        <v>861</v>
      </c>
      <c r="M2007" s="1114"/>
      <c r="N2007" s="1114"/>
      <c r="O2007" s="1234" t="s">
        <v>4676</v>
      </c>
      <c r="P2007" s="1114"/>
      <c r="Q2007" s="1103"/>
      <c r="R2007" s="1114"/>
      <c r="S2007" s="1105"/>
    </row>
    <row r="2008" spans="6:19" ht="24" customHeight="1">
      <c r="F2008" s="1114">
        <v>2</v>
      </c>
      <c r="G2008" s="1114" t="s">
        <v>2838</v>
      </c>
      <c r="H2008" s="1103" t="s">
        <v>4481</v>
      </c>
      <c r="I2008" s="1114">
        <f>(C15)</f>
        <v>747</v>
      </c>
      <c r="J2008" s="1103" t="s">
        <v>2838</v>
      </c>
      <c r="K2008" s="1114">
        <f>(F2008*I2008)</f>
        <v>1494</v>
      </c>
      <c r="M2008" s="1114">
        <v>1</v>
      </c>
      <c r="N2008" s="1114" t="s">
        <v>2838</v>
      </c>
      <c r="O2008" s="1103" t="s">
        <v>3051</v>
      </c>
      <c r="P2008" s="1114">
        <f t="shared" ref="P2008:P2013" si="229">I2007</f>
        <v>861</v>
      </c>
      <c r="Q2008" s="1103" t="s">
        <v>2838</v>
      </c>
      <c r="R2008" s="1114">
        <f>(M2008*P2008)</f>
        <v>861</v>
      </c>
      <c r="S2008" s="1105"/>
    </row>
    <row r="2009" spans="6:19" ht="24" customHeight="1">
      <c r="F2009" s="1114">
        <v>1</v>
      </c>
      <c r="G2009" s="1114" t="s">
        <v>2838</v>
      </c>
      <c r="H2009" s="1103" t="s">
        <v>3026</v>
      </c>
      <c r="I2009" s="1114">
        <f>(C13)</f>
        <v>461</v>
      </c>
      <c r="J2009" s="1103" t="s">
        <v>2838</v>
      </c>
      <c r="K2009" s="1114">
        <f>(F2009*I2009)</f>
        <v>461</v>
      </c>
      <c r="M2009" s="1114">
        <v>2</v>
      </c>
      <c r="N2009" s="1114" t="s">
        <v>2838</v>
      </c>
      <c r="O2009" s="1103" t="s">
        <v>4481</v>
      </c>
      <c r="P2009" s="1114">
        <f t="shared" si="229"/>
        <v>747</v>
      </c>
      <c r="Q2009" s="1103" t="s">
        <v>2838</v>
      </c>
      <c r="R2009" s="1114">
        <f>(M2009*P2009)</f>
        <v>1494</v>
      </c>
      <c r="S2009" s="1105"/>
    </row>
    <row r="2010" spans="6:19" ht="24" customHeight="1">
      <c r="F2010" s="1114"/>
      <c r="G2010" s="1114"/>
      <c r="H2010" s="1234" t="s">
        <v>4678</v>
      </c>
      <c r="I2010" s="1114"/>
      <c r="J2010" s="1103"/>
      <c r="K2010" s="1114"/>
      <c r="M2010" s="1114">
        <v>1</v>
      </c>
      <c r="N2010" s="1114" t="s">
        <v>2838</v>
      </c>
      <c r="O2010" s="1103" t="s">
        <v>3026</v>
      </c>
      <c r="P2010" s="1114">
        <f t="shared" si="229"/>
        <v>461</v>
      </c>
      <c r="Q2010" s="1103" t="s">
        <v>2838</v>
      </c>
      <c r="R2010" s="1114">
        <f>(M2010*P2010)</f>
        <v>461</v>
      </c>
      <c r="S2010" s="1105"/>
    </row>
    <row r="2011" spans="6:19" ht="24" customHeight="1">
      <c r="F2011" s="1114">
        <v>0.5</v>
      </c>
      <c r="G2011" s="1114" t="s">
        <v>2838</v>
      </c>
      <c r="H2011" s="1103" t="s">
        <v>4481</v>
      </c>
      <c r="I2011" s="1114">
        <f>(C15)</f>
        <v>747</v>
      </c>
      <c r="J2011" s="1103" t="s">
        <v>2838</v>
      </c>
      <c r="K2011" s="1114">
        <f>(F2011*I2011)</f>
        <v>373.5</v>
      </c>
      <c r="M2011" s="1114"/>
      <c r="N2011" s="1114"/>
      <c r="O2011" s="1234" t="s">
        <v>4678</v>
      </c>
      <c r="P2011" s="1114"/>
      <c r="Q2011" s="1103"/>
      <c r="R2011" s="1114"/>
      <c r="S2011" s="1105"/>
    </row>
    <row r="2012" spans="6:19" ht="24" customHeight="1">
      <c r="F2012" s="1114">
        <v>0.5</v>
      </c>
      <c r="G2012" s="1114" t="s">
        <v>2838</v>
      </c>
      <c r="H2012" s="1103" t="s">
        <v>3020</v>
      </c>
      <c r="I2012" s="1114">
        <f>(C12)</f>
        <v>562</v>
      </c>
      <c r="J2012" s="1103" t="s">
        <v>2838</v>
      </c>
      <c r="K2012" s="1114">
        <f>(F2012*I2012)</f>
        <v>281</v>
      </c>
      <c r="M2012" s="1114">
        <v>0.5</v>
      </c>
      <c r="N2012" s="1114" t="s">
        <v>2838</v>
      </c>
      <c r="O2012" s="1103" t="s">
        <v>4481</v>
      </c>
      <c r="P2012" s="1114">
        <f t="shared" si="229"/>
        <v>747</v>
      </c>
      <c r="Q2012" s="1103" t="s">
        <v>2838</v>
      </c>
      <c r="R2012" s="1114">
        <f>(M2012*P2012)</f>
        <v>373.5</v>
      </c>
      <c r="S2012" s="1105"/>
    </row>
    <row r="2013" spans="6:19" ht="24" customHeight="1">
      <c r="G2013" s="1114" t="s">
        <v>2851</v>
      </c>
      <c r="H2013" s="1103" t="s">
        <v>2852</v>
      </c>
      <c r="J2013" s="1103" t="s">
        <v>2851</v>
      </c>
      <c r="K2013" s="1114">
        <v>0.7</v>
      </c>
      <c r="M2013" s="1114">
        <v>0.5</v>
      </c>
      <c r="N2013" s="1114" t="s">
        <v>2838</v>
      </c>
      <c r="O2013" s="1103" t="s">
        <v>3020</v>
      </c>
      <c r="P2013" s="1114">
        <f t="shared" si="229"/>
        <v>562</v>
      </c>
      <c r="Q2013" s="1103" t="s">
        <v>2838</v>
      </c>
      <c r="R2013" s="1114">
        <f>(M2013*P2013)</f>
        <v>281</v>
      </c>
      <c r="S2013" s="1105"/>
    </row>
    <row r="2014" spans="6:19" ht="24" customHeight="1">
      <c r="K2014" s="1111" t="s">
        <v>36</v>
      </c>
      <c r="M2014" s="1114"/>
      <c r="N2014" s="1114"/>
      <c r="O2014" s="1106" t="s">
        <v>4662</v>
      </c>
      <c r="P2014" s="1114">
        <f>I2014</f>
        <v>0</v>
      </c>
      <c r="Q2014" s="1103"/>
      <c r="R2014" s="1114">
        <v>-164</v>
      </c>
      <c r="S2014" s="1105"/>
    </row>
    <row r="2015" spans="6:19" ht="24" customHeight="1">
      <c r="H2015" s="1103" t="s">
        <v>3569</v>
      </c>
      <c r="K2015" s="1114">
        <f>SUM(K2005:K2013)</f>
        <v>6531.2</v>
      </c>
      <c r="M2015" s="1114"/>
      <c r="N2015" s="1114"/>
      <c r="O2015" s="1106" t="s">
        <v>4663</v>
      </c>
      <c r="P2015" s="1114"/>
      <c r="Q2015" s="1103"/>
      <c r="R2015" s="1114">
        <v>134.1</v>
      </c>
      <c r="S2015" s="1105"/>
    </row>
    <row r="2016" spans="6:19" ht="24" customHeight="1">
      <c r="F2016" s="1103" t="s">
        <v>220</v>
      </c>
      <c r="N2016" s="1114" t="s">
        <v>2851</v>
      </c>
      <c r="O2016" s="1103" t="s">
        <v>2852</v>
      </c>
      <c r="Q2016" s="1103" t="s">
        <v>2851</v>
      </c>
      <c r="R2016" s="1114">
        <v>0.7</v>
      </c>
      <c r="S2016" s="1105"/>
    </row>
    <row r="2017" spans="6:19" ht="24" customHeight="1">
      <c r="K2017" s="1111" t="s">
        <v>36</v>
      </c>
      <c r="O2017" s="1103" t="s">
        <v>3569</v>
      </c>
      <c r="Q2017" s="1107"/>
      <c r="R2017" s="1114"/>
      <c r="S2017" s="1105"/>
    </row>
    <row r="2018" spans="6:19" ht="24" customHeight="1">
      <c r="G2018" s="1114" t="s">
        <v>220</v>
      </c>
      <c r="H2018" s="1103" t="s">
        <v>220</v>
      </c>
      <c r="K2018" s="1103" t="s">
        <v>220</v>
      </c>
      <c r="Q2018" s="1107"/>
      <c r="R2018" s="1119">
        <f>SUM(R2006:R2017)</f>
        <v>6501.3</v>
      </c>
      <c r="S2018" s="1105"/>
    </row>
    <row r="2019" spans="6:19" ht="24" customHeight="1">
      <c r="H2019" s="1103" t="s">
        <v>220</v>
      </c>
      <c r="M2019" s="1103" t="s">
        <v>220</v>
      </c>
      <c r="S2019" s="1105"/>
    </row>
    <row r="2020" spans="6:19" ht="24" customHeight="1">
      <c r="F2020" s="1131">
        <v>57.1</v>
      </c>
      <c r="G2020" s="1114" t="s">
        <v>1363</v>
      </c>
      <c r="H2020" s="1103" t="s">
        <v>4679</v>
      </c>
      <c r="M2020" s="1126">
        <v>57</v>
      </c>
      <c r="N2020" s="1114" t="s">
        <v>1363</v>
      </c>
      <c r="O2020" s="1103" t="s">
        <v>4679</v>
      </c>
      <c r="Q2020" s="1107"/>
      <c r="S2020" s="1105"/>
    </row>
    <row r="2021" spans="6:19" ht="24" customHeight="1">
      <c r="H2021" s="1103" t="s">
        <v>4673</v>
      </c>
      <c r="O2021" s="1103" t="s">
        <v>4673</v>
      </c>
      <c r="Q2021" s="1107"/>
    </row>
    <row r="2022" spans="6:19" ht="24" customHeight="1">
      <c r="H2022" s="1103" t="s">
        <v>4674</v>
      </c>
      <c r="O2022" s="1103" t="s">
        <v>4674</v>
      </c>
      <c r="Q2022" s="1107"/>
    </row>
    <row r="2023" spans="6:19" ht="24" customHeight="1">
      <c r="H2023" s="1111" t="s">
        <v>36</v>
      </c>
      <c r="O2023" s="1111" t="s">
        <v>36</v>
      </c>
      <c r="Q2023" s="1107"/>
    </row>
    <row r="2024" spans="6:19" ht="62.25" customHeight="1">
      <c r="F2024" s="1114">
        <v>1</v>
      </c>
      <c r="G2024" s="1114" t="s">
        <v>3584</v>
      </c>
      <c r="H2024" s="1129" t="s">
        <v>4677</v>
      </c>
      <c r="I2024" s="1105">
        <f>E613</f>
        <v>3420</v>
      </c>
      <c r="J2024" s="1103" t="s">
        <v>3584</v>
      </c>
      <c r="K2024" s="1114">
        <f>(F2024*I2024)</f>
        <v>3420</v>
      </c>
      <c r="M2024" s="1114">
        <v>1</v>
      </c>
      <c r="N2024" s="1114" t="s">
        <v>3584</v>
      </c>
      <c r="O2024" s="1129" t="s">
        <v>4677</v>
      </c>
      <c r="P2024" s="1114">
        <f>I2024</f>
        <v>3420</v>
      </c>
      <c r="Q2024" s="1103" t="s">
        <v>3584</v>
      </c>
      <c r="R2024" s="1114">
        <f>(M2024*P2024)</f>
        <v>3420</v>
      </c>
    </row>
    <row r="2025" spans="6:19" ht="54.75" customHeight="1">
      <c r="F2025" s="1114"/>
      <c r="G2025" s="1114"/>
      <c r="H2025" s="1234" t="s">
        <v>4676</v>
      </c>
      <c r="J2025" s="1103"/>
      <c r="K2025" s="1114"/>
      <c r="M2025" s="1114"/>
      <c r="N2025" s="1114"/>
      <c r="O2025" s="1234" t="s">
        <v>4676</v>
      </c>
      <c r="P2025" s="1114"/>
      <c r="Q2025" s="1103"/>
      <c r="R2025" s="1114"/>
    </row>
    <row r="2026" spans="6:19" ht="24" customHeight="1">
      <c r="F2026" s="1114">
        <v>1</v>
      </c>
      <c r="G2026" s="1114" t="s">
        <v>2838</v>
      </c>
      <c r="H2026" s="1103" t="s">
        <v>3051</v>
      </c>
      <c r="I2026" s="1105">
        <f>C10</f>
        <v>861</v>
      </c>
      <c r="J2026" s="1103" t="s">
        <v>2838</v>
      </c>
      <c r="K2026" s="1114">
        <f>(F2026*I2026)</f>
        <v>861</v>
      </c>
      <c r="M2026" s="1114">
        <v>1</v>
      </c>
      <c r="N2026" s="1114" t="s">
        <v>2838</v>
      </c>
      <c r="O2026" s="1103" t="s">
        <v>3051</v>
      </c>
      <c r="P2026" s="1114">
        <f>I2026</f>
        <v>861</v>
      </c>
      <c r="Q2026" s="1103" t="s">
        <v>2838</v>
      </c>
      <c r="R2026" s="1114">
        <f>(M2026*P2026)</f>
        <v>861</v>
      </c>
    </row>
    <row r="2027" spans="6:19" ht="24" customHeight="1">
      <c r="F2027" s="1114">
        <v>2</v>
      </c>
      <c r="G2027" s="1114" t="s">
        <v>2838</v>
      </c>
      <c r="H2027" s="1103" t="s">
        <v>4481</v>
      </c>
      <c r="I2027" s="1105">
        <f>C15</f>
        <v>747</v>
      </c>
      <c r="J2027" s="1103" t="s">
        <v>2838</v>
      </c>
      <c r="K2027" s="1114">
        <f>(F2027*I2027)</f>
        <v>1494</v>
      </c>
      <c r="M2027" s="1114">
        <v>2</v>
      </c>
      <c r="N2027" s="1114" t="s">
        <v>2838</v>
      </c>
      <c r="O2027" s="1103" t="s">
        <v>4481</v>
      </c>
      <c r="P2027" s="1114">
        <f>I2027</f>
        <v>747</v>
      </c>
      <c r="Q2027" s="1103" t="s">
        <v>2838</v>
      </c>
      <c r="R2027" s="1114">
        <f>(M2027*P2027)</f>
        <v>1494</v>
      </c>
    </row>
    <row r="2028" spans="6:19" ht="24" customHeight="1">
      <c r="F2028" s="1114">
        <v>1</v>
      </c>
      <c r="G2028" s="1114" t="s">
        <v>2838</v>
      </c>
      <c r="H2028" s="1103" t="s">
        <v>3026</v>
      </c>
      <c r="I2028" s="1105">
        <f>C13</f>
        <v>461</v>
      </c>
      <c r="J2028" s="1103" t="s">
        <v>2838</v>
      </c>
      <c r="K2028" s="1114">
        <f>(F2028*I2028)</f>
        <v>461</v>
      </c>
      <c r="M2028" s="1114">
        <v>1</v>
      </c>
      <c r="N2028" s="1114" t="s">
        <v>2838</v>
      </c>
      <c r="O2028" s="1103" t="s">
        <v>3026</v>
      </c>
      <c r="P2028" s="1114">
        <f>I2028</f>
        <v>461</v>
      </c>
      <c r="Q2028" s="1103" t="s">
        <v>2838</v>
      </c>
      <c r="R2028" s="1114">
        <f>(M2028*P2028)</f>
        <v>461</v>
      </c>
    </row>
    <row r="2029" spans="6:19" ht="24" customHeight="1">
      <c r="F2029" s="1114"/>
      <c r="G2029" s="1114"/>
      <c r="H2029" s="1234" t="s">
        <v>4678</v>
      </c>
      <c r="J2029" s="1103"/>
      <c r="K2029" s="1114"/>
      <c r="M2029" s="1114"/>
      <c r="N2029" s="1114"/>
      <c r="O2029" s="1234" t="s">
        <v>4678</v>
      </c>
      <c r="Q2029" s="1103"/>
      <c r="R2029" s="1114"/>
    </row>
    <row r="2030" spans="6:19" ht="24" customHeight="1">
      <c r="F2030" s="1114">
        <v>0.5</v>
      </c>
      <c r="G2030" s="1114" t="s">
        <v>2838</v>
      </c>
      <c r="H2030" s="1103" t="s">
        <v>4481</v>
      </c>
      <c r="I2030" s="1105">
        <f>C15</f>
        <v>747</v>
      </c>
      <c r="J2030" s="1103" t="s">
        <v>2838</v>
      </c>
      <c r="K2030" s="1114">
        <f>(F2030*I2030)</f>
        <v>373.5</v>
      </c>
      <c r="M2030" s="1114">
        <v>0.5</v>
      </c>
      <c r="N2030" s="1114" t="s">
        <v>2838</v>
      </c>
      <c r="O2030" s="1103" t="s">
        <v>4481</v>
      </c>
      <c r="P2030" s="1114">
        <f>I2030</f>
        <v>747</v>
      </c>
      <c r="Q2030" s="1103" t="s">
        <v>2838</v>
      </c>
      <c r="R2030" s="1114">
        <f>(M2030*P2030)</f>
        <v>373.5</v>
      </c>
    </row>
    <row r="2031" spans="6:19" ht="24" customHeight="1">
      <c r="F2031" s="1114">
        <v>0.5</v>
      </c>
      <c r="G2031" s="1114" t="s">
        <v>2838</v>
      </c>
      <c r="H2031" s="1103" t="s">
        <v>3020</v>
      </c>
      <c r="I2031" s="1105">
        <f>C12</f>
        <v>562</v>
      </c>
      <c r="J2031" s="1103" t="s">
        <v>2838</v>
      </c>
      <c r="K2031" s="1114">
        <f>(F2031*I2031)</f>
        <v>281</v>
      </c>
      <c r="M2031" s="1114">
        <v>0.5</v>
      </c>
      <c r="N2031" s="1114" t="s">
        <v>2838</v>
      </c>
      <c r="O2031" s="1103" t="s">
        <v>3020</v>
      </c>
      <c r="P2031" s="1114">
        <f>I2031</f>
        <v>562</v>
      </c>
      <c r="Q2031" s="1103" t="s">
        <v>2838</v>
      </c>
      <c r="R2031" s="1114">
        <f>(M2031*P2031)</f>
        <v>281</v>
      </c>
    </row>
    <row r="2032" spans="6:19" ht="24" customHeight="1">
      <c r="G2032" s="1114" t="s">
        <v>2851</v>
      </c>
      <c r="H2032" s="1103" t="s">
        <v>2852</v>
      </c>
      <c r="J2032" s="1103" t="s">
        <v>2851</v>
      </c>
      <c r="K2032" s="1114">
        <v>0.7</v>
      </c>
      <c r="M2032" s="1114"/>
      <c r="N2032" s="1114"/>
      <c r="O2032" s="1106" t="s">
        <v>4662</v>
      </c>
      <c r="P2032" s="1114">
        <f>I2032</f>
        <v>0</v>
      </c>
      <c r="Q2032" s="1103"/>
      <c r="R2032" s="1114">
        <v>-164</v>
      </c>
    </row>
    <row r="2033" spans="6:18" ht="24" customHeight="1">
      <c r="K2033" s="1111" t="s">
        <v>36</v>
      </c>
      <c r="M2033" s="1114"/>
      <c r="N2033" s="1114"/>
      <c r="O2033" s="1106" t="s">
        <v>4663</v>
      </c>
      <c r="P2033" s="1114"/>
      <c r="Q2033" s="1103"/>
      <c r="R2033" s="1114">
        <v>134.1</v>
      </c>
    </row>
    <row r="2034" spans="6:18" ht="24" customHeight="1">
      <c r="H2034" s="1103" t="s">
        <v>3569</v>
      </c>
      <c r="K2034" s="1114">
        <f>SUM(K2024:K2032)</f>
        <v>6891.2</v>
      </c>
      <c r="N2034" s="1114" t="s">
        <v>2851</v>
      </c>
      <c r="O2034" s="1103" t="s">
        <v>2852</v>
      </c>
      <c r="Q2034" s="1103" t="s">
        <v>2851</v>
      </c>
      <c r="R2034" s="1114">
        <v>0.7</v>
      </c>
    </row>
    <row r="2035" spans="6:18" ht="24" customHeight="1">
      <c r="H2035" s="1103"/>
      <c r="Q2035" s="1107"/>
      <c r="R2035" s="1111" t="s">
        <v>36</v>
      </c>
    </row>
    <row r="2036" spans="6:18" ht="24" customHeight="1">
      <c r="H2036" s="1103"/>
      <c r="K2036" s="1111" t="s">
        <v>36</v>
      </c>
      <c r="O2036" s="1103" t="s">
        <v>3569</v>
      </c>
      <c r="Q2036" s="1107"/>
      <c r="R2036" s="1114"/>
    </row>
    <row r="2037" spans="6:18" ht="24" customHeight="1">
      <c r="H2037" s="1103"/>
      <c r="M2037" s="1103" t="s">
        <v>220</v>
      </c>
      <c r="Q2037" s="1107"/>
      <c r="R2037" s="1119">
        <f>SUM(R2024:R2036)</f>
        <v>6861.3</v>
      </c>
    </row>
    <row r="2038" spans="6:18" ht="24" customHeight="1">
      <c r="F2038" s="1104" t="s">
        <v>4680</v>
      </c>
      <c r="G2038" s="1114" t="s">
        <v>1363</v>
      </c>
      <c r="H2038" s="1103" t="s">
        <v>4681</v>
      </c>
      <c r="Q2038" s="1107"/>
      <c r="R2038" s="1111" t="s">
        <v>36</v>
      </c>
    </row>
    <row r="2039" spans="6:18" ht="24" customHeight="1">
      <c r="H2039" s="1103" t="s">
        <v>4682</v>
      </c>
    </row>
    <row r="2040" spans="6:18" ht="52.9" customHeight="1">
      <c r="H2040" s="1111" t="s">
        <v>36</v>
      </c>
      <c r="M2040" s="1235"/>
      <c r="N2040" s="1235"/>
      <c r="O2040" s="1235" t="s">
        <v>4683</v>
      </c>
      <c r="P2040" s="1235"/>
      <c r="Q2040" s="1235"/>
      <c r="R2040" s="1235"/>
    </row>
    <row r="2041" spans="6:18" ht="24" customHeight="1">
      <c r="G2041" s="1114" t="s">
        <v>3203</v>
      </c>
      <c r="H2041" s="1103" t="s">
        <v>4684</v>
      </c>
      <c r="M2041" s="1236">
        <v>8.5000000000000006E-2</v>
      </c>
      <c r="N2041" s="1235" t="s">
        <v>16</v>
      </c>
      <c r="O2041" s="1235" t="s">
        <v>4685</v>
      </c>
      <c r="P2041" s="1235">
        <f>Z718</f>
        <v>7594.5976077000005</v>
      </c>
      <c r="Q2041" s="1235" t="s">
        <v>522</v>
      </c>
      <c r="R2041" s="1235">
        <f>M2041*P2041</f>
        <v>645.54079665450013</v>
      </c>
    </row>
    <row r="2042" spans="6:18" ht="24" customHeight="1">
      <c r="H2042" s="1103" t="s">
        <v>4686</v>
      </c>
      <c r="M2042" s="1235">
        <v>8.5</v>
      </c>
      <c r="N2042" s="1235" t="s">
        <v>165</v>
      </c>
      <c r="O2042" s="1235" t="s">
        <v>4687</v>
      </c>
      <c r="P2042" s="1235">
        <f>Data!K1608/1000</f>
        <v>78.397999999999996</v>
      </c>
      <c r="Q2042" s="1235" t="s">
        <v>165</v>
      </c>
      <c r="R2042" s="1235">
        <f>M2042*P2042</f>
        <v>666.38299999999992</v>
      </c>
    </row>
    <row r="2043" spans="6:18" ht="24" customHeight="1">
      <c r="H2043" s="1103" t="s">
        <v>4688</v>
      </c>
      <c r="M2043" s="1235"/>
      <c r="N2043" s="1235"/>
      <c r="O2043" s="1235" t="s">
        <v>234</v>
      </c>
      <c r="P2043" s="1235"/>
      <c r="Q2043" s="1235"/>
      <c r="R2043" s="1237" t="s">
        <v>36</v>
      </c>
    </row>
    <row r="2044" spans="6:18" ht="24" customHeight="1">
      <c r="H2044" s="1103" t="s">
        <v>4689</v>
      </c>
      <c r="M2044" s="1235"/>
      <c r="N2044" s="1235"/>
      <c r="O2044" s="1235"/>
      <c r="P2044" s="1235"/>
      <c r="Q2044" s="1235"/>
      <c r="R2044" s="1235">
        <f>SUM(R2041:R2043)</f>
        <v>1311.9237966545002</v>
      </c>
    </row>
    <row r="2045" spans="6:18" ht="24" customHeight="1">
      <c r="H2045" s="1103" t="s">
        <v>4690</v>
      </c>
    </row>
    <row r="2046" spans="6:18" ht="24" customHeight="1">
      <c r="H2046" s="1103" t="s">
        <v>4691</v>
      </c>
      <c r="M2046" s="1238">
        <f>[13]Data!M2040</f>
        <v>0</v>
      </c>
      <c r="N2046" s="1238">
        <f>[13]Data!N2040</f>
        <v>0</v>
      </c>
      <c r="O2046" s="1238" t="str">
        <f>[13]Data!O2040</f>
        <v>TW  double leaf shutter for ward robe / cup board</v>
      </c>
      <c r="P2046" s="1238">
        <f>[13]Data!P2040</f>
        <v>0</v>
      </c>
    </row>
    <row r="2047" spans="6:18" ht="24" customHeight="1">
      <c r="H2047" s="1103" t="s">
        <v>4692</v>
      </c>
      <c r="M2047" s="1238">
        <f>[13]Data!M2041</f>
        <v>0</v>
      </c>
      <c r="N2047" s="1238">
        <f>[13]Data!N2041</f>
        <v>0</v>
      </c>
      <c r="O2047" s="1238" t="str">
        <f>[13]Data!O2041</f>
        <v>Rest room Cupboard - Men</v>
      </c>
      <c r="P2047" s="1238">
        <f>[13]Data!P2041</f>
        <v>0</v>
      </c>
      <c r="Q2047" s="1238">
        <f>[13]Data!Q2041</f>
        <v>0</v>
      </c>
      <c r="R2047" s="1238">
        <f>[13]Data!R2041</f>
        <v>0</v>
      </c>
    </row>
    <row r="2048" spans="6:18" ht="24" customHeight="1">
      <c r="H2048" s="1111" t="s">
        <v>36</v>
      </c>
      <c r="M2048" s="1238">
        <f>[13]Data!M2042</f>
        <v>0</v>
      </c>
      <c r="N2048" s="1238">
        <f>[13]Data!N2042</f>
        <v>0</v>
      </c>
      <c r="O2048" s="1238" t="str">
        <f>[13]Data!O2042</f>
        <v>-</v>
      </c>
      <c r="P2048" s="1238" t="str">
        <f>[13]Data!P2042</f>
        <v>-</v>
      </c>
      <c r="Q2048" s="1238" t="str">
        <f>[13]Data!Q2042</f>
        <v>-</v>
      </c>
      <c r="R2048" s="1238">
        <f>[13]Data!R2042</f>
        <v>0</v>
      </c>
    </row>
    <row r="2049" spans="6:18" ht="24" customHeight="1">
      <c r="F2049" s="1114">
        <v>3</v>
      </c>
      <c r="G2049" s="1114" t="s">
        <v>1790</v>
      </c>
      <c r="H2049" s="1103" t="s">
        <v>4693</v>
      </c>
      <c r="I2049" s="1114">
        <f>(C620)</f>
        <v>193.05</v>
      </c>
      <c r="J2049" s="1103" t="s">
        <v>1790</v>
      </c>
      <c r="K2049" s="1114">
        <f t="shared" ref="K2049:K2055" si="230">(F2049*I2049)</f>
        <v>579.15000000000009</v>
      </c>
      <c r="M2049" s="1238">
        <f>[13]Data!M2043</f>
        <v>0</v>
      </c>
      <c r="N2049" s="1238">
        <f>[13]Data!N2043</f>
        <v>0</v>
      </c>
      <c r="O2049" s="1238">
        <f>[13]Data!O2043</f>
        <v>0</v>
      </c>
      <c r="P2049" s="1238">
        <f>[13]Data!P2043</f>
        <v>0</v>
      </c>
      <c r="Q2049" s="1238">
        <f>[13]Data!Q2043</f>
        <v>0</v>
      </c>
      <c r="R2049" s="1238">
        <f>[13]Data!R2043</f>
        <v>0</v>
      </c>
    </row>
    <row r="2050" spans="6:18" ht="24" customHeight="1">
      <c r="F2050" s="1114">
        <v>1</v>
      </c>
      <c r="G2050" s="1114" t="s">
        <v>2941</v>
      </c>
      <c r="H2050" s="1103" t="s">
        <v>4694</v>
      </c>
      <c r="I2050" s="1114">
        <v>76</v>
      </c>
      <c r="J2050" s="1103" t="s">
        <v>3820</v>
      </c>
      <c r="K2050" s="1114">
        <f t="shared" si="230"/>
        <v>76</v>
      </c>
      <c r="M2050" s="1238">
        <f>[13]Data!M2044</f>
        <v>0</v>
      </c>
      <c r="N2050" s="1238">
        <f>[13]Data!N2044</f>
        <v>0</v>
      </c>
      <c r="O2050" s="1238" t="str">
        <f>[13]Data!O2044</f>
        <v>SHUTTER SIZE 3.93 x 2.10 =</v>
      </c>
      <c r="P2050" s="1238">
        <f>[13]Data!P2044</f>
        <v>8.25</v>
      </c>
      <c r="Q2050" s="1238" t="str">
        <f>[13]Data!Q2044</f>
        <v>Cum</v>
      </c>
      <c r="R2050" s="1238">
        <f>[13]Data!R2044</f>
        <v>0</v>
      </c>
    </row>
    <row r="2051" spans="6:18" ht="24" customHeight="1">
      <c r="F2051" s="1114">
        <v>1</v>
      </c>
      <c r="G2051" s="1114" t="s">
        <v>2941</v>
      </c>
      <c r="H2051" s="1103" t="s">
        <v>4695</v>
      </c>
      <c r="I2051" s="1114">
        <f>C648</f>
        <v>78.400000000000006</v>
      </c>
      <c r="J2051" s="1103" t="s">
        <v>3820</v>
      </c>
      <c r="K2051" s="1114">
        <f t="shared" si="230"/>
        <v>78.400000000000006</v>
      </c>
      <c r="M2051" s="1238">
        <f>[13]Data!M2045</f>
        <v>0</v>
      </c>
      <c r="N2051" s="1238">
        <f>[13]Data!N2045</f>
        <v>0</v>
      </c>
      <c r="O2051" s="1238" t="str">
        <f>[13]Data!O2045</f>
        <v>TW scantling(OVER 2M)</v>
      </c>
      <c r="P2051" s="1238">
        <f>[13]Data!P2045</f>
        <v>0</v>
      </c>
      <c r="Q2051" s="1238">
        <f>[13]Data!Q2045</f>
        <v>0</v>
      </c>
      <c r="R2051" s="1238">
        <f>[13]Data!R2045</f>
        <v>0</v>
      </c>
    </row>
    <row r="2052" spans="6:18" ht="24" customHeight="1">
      <c r="F2052" s="1114">
        <v>1</v>
      </c>
      <c r="G2052" s="1114" t="s">
        <v>2941</v>
      </c>
      <c r="H2052" s="1103" t="s">
        <v>4696</v>
      </c>
      <c r="I2052" s="1114">
        <f>C645</f>
        <v>178.9</v>
      </c>
      <c r="J2052" s="1103" t="s">
        <v>3820</v>
      </c>
      <c r="K2052" s="1114">
        <f t="shared" si="230"/>
        <v>178.9</v>
      </c>
      <c r="M2052" s="1238">
        <f>[13]Data!M2046</f>
        <v>0</v>
      </c>
      <c r="N2052" s="1238">
        <f>[13]Data!N2046</f>
        <v>0</v>
      </c>
      <c r="O2052" s="1238" t="str">
        <f>[13]Data!O2046</f>
        <v>Vertical (7 nos) - 1 x 7x 2.1 x 0.075 x0.0375</v>
      </c>
      <c r="P2052" s="1238">
        <f>[13]Data!P2046</f>
        <v>4.1000000000000002E-2</v>
      </c>
      <c r="Q2052" s="1238">
        <f>[13]Data!Q2046</f>
        <v>0</v>
      </c>
      <c r="R2052" s="1238">
        <f>[13]Data!R2046</f>
        <v>0</v>
      </c>
    </row>
    <row r="2053" spans="6:18" ht="24" customHeight="1">
      <c r="F2053" s="1114">
        <v>0.5</v>
      </c>
      <c r="G2053" s="1114" t="s">
        <v>2838</v>
      </c>
      <c r="H2053" s="1103" t="s">
        <v>4481</v>
      </c>
      <c r="I2053" s="1114">
        <f>(C15)</f>
        <v>747</v>
      </c>
      <c r="J2053" s="1103" t="s">
        <v>3820</v>
      </c>
      <c r="K2053" s="1114">
        <f t="shared" si="230"/>
        <v>373.5</v>
      </c>
      <c r="M2053" s="1238">
        <f>[13]Data!M2047</f>
        <v>0</v>
      </c>
      <c r="N2053" s="1238">
        <f>[13]Data!N2047</f>
        <v>0</v>
      </c>
      <c r="O2053" s="1238" t="str">
        <f>[13]Data!O2047</f>
        <v>Horizontal (5nos) - 1 x 5 x 3.93 x 0.075 x 0.0375</v>
      </c>
      <c r="P2053" s="1238">
        <f>[13]Data!P2047</f>
        <v>5.5E-2</v>
      </c>
      <c r="Q2053" s="1238">
        <f>[13]Data!Q2047</f>
        <v>0</v>
      </c>
      <c r="R2053" s="1238">
        <f>[13]Data!R2047</f>
        <v>0</v>
      </c>
    </row>
    <row r="2054" spans="6:18" ht="24" customHeight="1">
      <c r="F2054" s="1114">
        <v>0.5</v>
      </c>
      <c r="G2054" s="1114" t="s">
        <v>2838</v>
      </c>
      <c r="H2054" s="1103" t="s">
        <v>3017</v>
      </c>
      <c r="I2054" s="1114">
        <f>(C11)</f>
        <v>804</v>
      </c>
      <c r="J2054" s="1103" t="s">
        <v>3820</v>
      </c>
      <c r="K2054" s="1114">
        <f t="shared" si="230"/>
        <v>402</v>
      </c>
      <c r="M2054" s="1238">
        <f>[13]Data!M2048</f>
        <v>0</v>
      </c>
      <c r="N2054" s="1238">
        <f>[13]Data!N2048</f>
        <v>0</v>
      </c>
      <c r="O2054" s="1238">
        <f>[13]Data!O2048</f>
        <v>0</v>
      </c>
      <c r="P2054" s="1238">
        <f>[13]Data!P2048</f>
        <v>9.6000000000000002E-2</v>
      </c>
      <c r="Q2054" s="1238" t="str">
        <f>[13]Data!Q2048</f>
        <v>Cum</v>
      </c>
      <c r="R2054" s="1238">
        <f>[13]Data!R2048</f>
        <v>0</v>
      </c>
    </row>
    <row r="2055" spans="6:18" ht="24" customHeight="1">
      <c r="F2055" s="1114">
        <v>0.5</v>
      </c>
      <c r="G2055" s="1114" t="s">
        <v>2838</v>
      </c>
      <c r="H2055" s="1103" t="s">
        <v>3020</v>
      </c>
      <c r="I2055" s="1114">
        <f>(C12)</f>
        <v>562</v>
      </c>
      <c r="J2055" s="1103" t="s">
        <v>3820</v>
      </c>
      <c r="K2055" s="1114">
        <f t="shared" si="230"/>
        <v>281</v>
      </c>
      <c r="M2055" s="1238">
        <f>[13]Data!M2049</f>
        <v>0</v>
      </c>
      <c r="N2055" s="1238">
        <f>[13]Data!N2049</f>
        <v>0</v>
      </c>
      <c r="O2055" s="1238" t="str">
        <f>[13]Data!O2049</f>
        <v xml:space="preserve">TW scantling(below 2M) </v>
      </c>
      <c r="P2055" s="1238">
        <f>[13]Data!P2049</f>
        <v>0</v>
      </c>
      <c r="Q2055" s="1238">
        <f>[13]Data!Q2049</f>
        <v>0</v>
      </c>
      <c r="R2055" s="1238">
        <f>[13]Data!R2049</f>
        <v>0</v>
      </c>
    </row>
    <row r="2056" spans="6:18" ht="24" customHeight="1">
      <c r="G2056" s="1114" t="s">
        <v>2851</v>
      </c>
      <c r="H2056" s="1103" t="s">
        <v>4697</v>
      </c>
      <c r="I2056" s="1114">
        <v>2.79</v>
      </c>
      <c r="J2056" s="1103" t="s">
        <v>2851</v>
      </c>
      <c r="K2056" s="1114">
        <v>2.79</v>
      </c>
      <c r="M2056" s="1238">
        <f>[13]Data!M2050</f>
        <v>0</v>
      </c>
      <c r="N2056" s="1238">
        <f>[13]Data!N2050</f>
        <v>0</v>
      </c>
      <c r="O2056" s="1238" t="str">
        <f>[13]Data!O2050</f>
        <v>Shutter -A</v>
      </c>
      <c r="P2056" s="1238">
        <f>[13]Data!P2050</f>
        <v>0</v>
      </c>
      <c r="Q2056" s="1238">
        <f>[13]Data!Q2050</f>
        <v>0</v>
      </c>
      <c r="R2056" s="1238">
        <f>[13]Data!R2050</f>
        <v>0</v>
      </c>
    </row>
    <row r="2057" spans="6:18" ht="24" customHeight="1">
      <c r="H2057" s="1103" t="s">
        <v>4698</v>
      </c>
      <c r="M2057" s="1238">
        <f>[13]Data!M2051</f>
        <v>0</v>
      </c>
      <c r="N2057" s="1238">
        <f>[13]Data!N2051</f>
        <v>0</v>
      </c>
      <c r="O2057" s="1238" t="str">
        <f>[13]Data!O2051</f>
        <v>Vertical  - 2 x 18 x0.6 x 0.075 x 0.0375</v>
      </c>
      <c r="P2057" s="1238">
        <f>[13]Data!P2051</f>
        <v>6.0999999999999999E-2</v>
      </c>
      <c r="Q2057" s="1238">
        <f>[13]Data!Q2051</f>
        <v>0</v>
      </c>
      <c r="R2057" s="1238">
        <f>[13]Data!R2051</f>
        <v>0</v>
      </c>
    </row>
    <row r="2058" spans="6:18" ht="24" customHeight="1">
      <c r="H2058" s="1103" t="s">
        <v>4699</v>
      </c>
      <c r="M2058" s="1238">
        <f>[13]Data!M2052</f>
        <v>0</v>
      </c>
      <c r="N2058" s="1238">
        <f>[13]Data!N2052</f>
        <v>0</v>
      </c>
      <c r="O2058" s="1238" t="str">
        <f>[13]Data!O2052</f>
        <v>Horizontal  - 2 x 18 x 0.69 x 0.075 x 0.0375</v>
      </c>
      <c r="P2058" s="1238">
        <f>[13]Data!P2052</f>
        <v>7.0000000000000007E-2</v>
      </c>
      <c r="Q2058" s="1238">
        <f>[13]Data!Q2052</f>
        <v>0</v>
      </c>
      <c r="R2058" s="1238">
        <f>[13]Data!R2052</f>
        <v>0</v>
      </c>
    </row>
    <row r="2059" spans="6:18" ht="24" customHeight="1">
      <c r="H2059" s="1103" t="s">
        <v>4700</v>
      </c>
      <c r="J2059" s="1103" t="s">
        <v>2851</v>
      </c>
      <c r="K2059" s="1114">
        <v>0.12</v>
      </c>
      <c r="M2059" s="1238">
        <f>[13]Data!M2053</f>
        <v>0</v>
      </c>
      <c r="N2059" s="1238">
        <f>[13]Data!N2053</f>
        <v>0</v>
      </c>
      <c r="O2059" s="1238">
        <f>[13]Data!O2053</f>
        <v>0</v>
      </c>
      <c r="P2059" s="1238">
        <f>[13]Data!P2053</f>
        <v>0.13100000000000001</v>
      </c>
      <c r="Q2059" s="1238">
        <f>[13]Data!Q2053</f>
        <v>0</v>
      </c>
      <c r="R2059" s="1238">
        <f>[13]Data!R2053</f>
        <v>0</v>
      </c>
    </row>
    <row r="2060" spans="6:18" ht="24" customHeight="1">
      <c r="K2060" s="1111" t="s">
        <v>36</v>
      </c>
      <c r="M2060" s="1238">
        <f>[13]Data!M2054</f>
        <v>0</v>
      </c>
      <c r="N2060" s="1238">
        <f>[13]Data!N2054</f>
        <v>0</v>
      </c>
      <c r="O2060" s="1238" t="str">
        <f>[13]Data!O2054</f>
        <v>Shutter -B</v>
      </c>
      <c r="P2060" s="1238">
        <f>[13]Data!P2054</f>
        <v>0</v>
      </c>
      <c r="Q2060" s="1238">
        <f>[13]Data!Q2054</f>
        <v>0</v>
      </c>
      <c r="R2060" s="1238">
        <f>[13]Data!R2054</f>
        <v>0</v>
      </c>
    </row>
    <row r="2061" spans="6:18" ht="24" customHeight="1">
      <c r="H2061" s="1103" t="s">
        <v>4485</v>
      </c>
      <c r="K2061" s="1114">
        <f>SUM(K2049:K2059)</f>
        <v>1971.86</v>
      </c>
      <c r="M2061" s="1238">
        <f>[13]Data!M2055</f>
        <v>0</v>
      </c>
      <c r="N2061" s="1238">
        <f>[13]Data!N2055</f>
        <v>0</v>
      </c>
      <c r="O2061" s="1238" t="str">
        <f>[13]Data!O2055</f>
        <v>Vertical  - 2 x 6 x0.66 x 0.075 x 0.0375</v>
      </c>
      <c r="P2061" s="1238">
        <f>[13]Data!P2055</f>
        <v>2.1999999999999999E-2</v>
      </c>
      <c r="Q2061" s="1238">
        <f>[13]Data!Q2055</f>
        <v>0</v>
      </c>
      <c r="R2061" s="1238">
        <f>[13]Data!R2055</f>
        <v>0</v>
      </c>
    </row>
    <row r="2062" spans="6:18" ht="24" customHeight="1">
      <c r="K2062" s="1111" t="s">
        <v>36</v>
      </c>
      <c r="M2062" s="1238">
        <f>[13]Data!M2056</f>
        <v>0</v>
      </c>
      <c r="N2062" s="1238">
        <f>[13]Data!N2056</f>
        <v>0</v>
      </c>
      <c r="O2062" s="1238" t="str">
        <f>[13]Data!O2056</f>
        <v>Horizontal  - 2 x 6 x 0.69 x 0.075 x 0.0375</v>
      </c>
      <c r="P2062" s="1238">
        <f>[13]Data!P2056</f>
        <v>2.3E-2</v>
      </c>
      <c r="Q2062" s="1238">
        <f>[13]Data!Q2056</f>
        <v>0</v>
      </c>
      <c r="R2062" s="1238">
        <f>[13]Data!R2056</f>
        <v>0</v>
      </c>
    </row>
    <row r="2063" spans="6:18" ht="24" customHeight="1">
      <c r="H2063" s="1103" t="s">
        <v>3413</v>
      </c>
      <c r="K2063" s="1114">
        <f>(K2061/3)</f>
        <v>657.28666666666663</v>
      </c>
      <c r="M2063" s="1238">
        <f>[13]Data!M2057</f>
        <v>0</v>
      </c>
      <c r="N2063" s="1238">
        <f>[13]Data!N2057</f>
        <v>0</v>
      </c>
      <c r="O2063" s="1238">
        <f>[13]Data!O2057</f>
        <v>0</v>
      </c>
      <c r="P2063" s="1238">
        <f>[13]Data!P2057</f>
        <v>4.4999999999999998E-2</v>
      </c>
      <c r="Q2063" s="1238">
        <f>[13]Data!Q2057</f>
        <v>0</v>
      </c>
      <c r="R2063" s="1238">
        <f>[13]Data!R2057</f>
        <v>0</v>
      </c>
    </row>
    <row r="2064" spans="6:18" ht="24" customHeight="1">
      <c r="K2064" s="1111" t="s">
        <v>36</v>
      </c>
      <c r="M2064" s="1238">
        <f>[13]Data!M2058</f>
        <v>0</v>
      </c>
      <c r="N2064" s="1238">
        <f>[13]Data!N2058</f>
        <v>0</v>
      </c>
      <c r="O2064" s="1238">
        <f>[13]Data!O2058</f>
        <v>0</v>
      </c>
      <c r="P2064" s="1238">
        <f>[13]Data!P2058</f>
        <v>0.17599999999999999</v>
      </c>
      <c r="Q2064" s="1238" t="str">
        <f>[13]Data!Q2058</f>
        <v>Cum</v>
      </c>
      <c r="R2064" s="1238">
        <f>[13]Data!R2058</f>
        <v>0.27200000000000002</v>
      </c>
    </row>
    <row r="2065" spans="6:18" ht="24" customHeight="1">
      <c r="F2065" s="1104" t="s">
        <v>4701</v>
      </c>
      <c r="G2065" s="1114" t="s">
        <v>4702</v>
      </c>
      <c r="H2065" s="1103" t="s">
        <v>4703</v>
      </c>
      <c r="M2065" s="1238">
        <f>[13]Data!M2059</f>
        <v>0</v>
      </c>
      <c r="N2065" s="1238">
        <f>[13]Data!N2059</f>
        <v>0</v>
      </c>
      <c r="O2065" s="1238" t="str">
        <f>[13]Data!O2059</f>
        <v>Shutter  ( BWR Plywood)</v>
      </c>
      <c r="P2065" s="1238">
        <f>[13]Data!P2059</f>
        <v>0</v>
      </c>
      <c r="Q2065" s="1238">
        <f>[13]Data!Q2059</f>
        <v>0</v>
      </c>
      <c r="R2065" s="1238">
        <f>[13]Data!R2059</f>
        <v>0</v>
      </c>
    </row>
    <row r="2066" spans="6:18" ht="24" customHeight="1">
      <c r="H2066" s="1103" t="s">
        <v>4704</v>
      </c>
      <c r="M2066" s="1238">
        <f>[13]Data!M2060</f>
        <v>0</v>
      </c>
      <c r="N2066" s="1238">
        <f>[13]Data!N2060</f>
        <v>0</v>
      </c>
      <c r="O2066" s="1238" t="str">
        <f>[13]Data!O2060</f>
        <v>Shutter -A - 1 x 18 x 0.54 x 0.45</v>
      </c>
      <c r="P2066" s="1238">
        <f>[13]Data!P2060</f>
        <v>4.37</v>
      </c>
      <c r="Q2066" s="1238">
        <f>[13]Data!Q2060</f>
        <v>0</v>
      </c>
      <c r="R2066" s="1238">
        <f>[13]Data!R2060</f>
        <v>0</v>
      </c>
    </row>
    <row r="2067" spans="6:18" ht="24" customHeight="1">
      <c r="H2067" s="1103" t="s">
        <v>4688</v>
      </c>
      <c r="M2067" s="1238">
        <f>[13]Data!M2061</f>
        <v>0</v>
      </c>
      <c r="N2067" s="1238">
        <f>[13]Data!N2061</f>
        <v>0</v>
      </c>
      <c r="O2067" s="1238" t="str">
        <f>[13]Data!O2061</f>
        <v>Shutter -B - 1 x 6 x 0.54 x 0.51</v>
      </c>
      <c r="P2067" s="1238">
        <f>[13]Data!P2061</f>
        <v>1.65</v>
      </c>
      <c r="Q2067" s="1238">
        <f>[13]Data!Q2061</f>
        <v>0</v>
      </c>
      <c r="R2067" s="1238">
        <f>[13]Data!R2061</f>
        <v>0</v>
      </c>
    </row>
    <row r="2068" spans="6:18" ht="24" customHeight="1">
      <c r="H2068" s="1103" t="s">
        <v>4705</v>
      </c>
      <c r="M2068" s="1238">
        <f>[13]Data!M2062</f>
        <v>0</v>
      </c>
      <c r="N2068" s="1238">
        <f>[13]Data!N2062</f>
        <v>0</v>
      </c>
      <c r="O2068" s="1238">
        <f>[13]Data!O2062</f>
        <v>0</v>
      </c>
      <c r="P2068" s="1238">
        <f>[13]Data!P2062</f>
        <v>6.02</v>
      </c>
      <c r="Q2068" s="1238" t="str">
        <f>[13]Data!Q2062</f>
        <v>Sqm</v>
      </c>
      <c r="R2068" s="1238">
        <f>[13]Data!R2062</f>
        <v>0</v>
      </c>
    </row>
    <row r="2069" spans="6:18" ht="24" customHeight="1">
      <c r="H2069" s="1103" t="s">
        <v>4706</v>
      </c>
      <c r="M2069" s="1238">
        <f>[13]Data!M2063</f>
        <v>0</v>
      </c>
      <c r="N2069" s="1238">
        <f>[13]Data!N2063</f>
        <v>0</v>
      </c>
      <c r="O2069" s="1238">
        <f>[13]Data!O2063</f>
        <v>0</v>
      </c>
      <c r="P2069" s="1238">
        <f>[13]Data!P2063</f>
        <v>0</v>
      </c>
      <c r="Q2069" s="1238">
        <f>[13]Data!Q2063</f>
        <v>0</v>
      </c>
      <c r="R2069" s="1238">
        <f>[13]Data!R2063</f>
        <v>0</v>
      </c>
    </row>
    <row r="2070" spans="6:18" ht="24" customHeight="1">
      <c r="H2070" s="1103" t="s">
        <v>4691</v>
      </c>
      <c r="M2070" s="1238">
        <f>[13]Data!M2064</f>
        <v>0</v>
      </c>
      <c r="N2070" s="1238">
        <f>[13]Data!N2064</f>
        <v>0</v>
      </c>
      <c r="O2070" s="1238" t="str">
        <f>[13]Data!O2064</f>
        <v>Shutter area      -1X1X3.78X1.95=7.37 m2</v>
      </c>
      <c r="P2070" s="1238">
        <f>[13]Data!P2064</f>
        <v>7.37</v>
      </c>
      <c r="Q2070" s="1238" t="str">
        <f>[13]Data!Q2064</f>
        <v>Sqm</v>
      </c>
      <c r="R2070" s="1238" t="str">
        <f>[13]Data!R2064</f>
        <v xml:space="preserve"> </v>
      </c>
    </row>
    <row r="2071" spans="6:18" ht="24" customHeight="1">
      <c r="H2071" s="1103" t="s">
        <v>4692</v>
      </c>
      <c r="M2071" s="1238">
        <f>[13]Data!M2065</f>
        <v>0</v>
      </c>
      <c r="N2071" s="1238">
        <f>[13]Data!N2065</f>
        <v>0</v>
      </c>
      <c r="O2071" s="1238">
        <f>[13]Data!O2065</f>
        <v>0</v>
      </c>
      <c r="P2071" s="1238">
        <f>[13]Data!P2065</f>
        <v>0</v>
      </c>
      <c r="Q2071" s="1238">
        <f>[13]Data!Q2065</f>
        <v>0</v>
      </c>
      <c r="R2071" s="1238">
        <f>[13]Data!R2065</f>
        <v>0</v>
      </c>
    </row>
    <row r="2072" spans="6:18" ht="24" customHeight="1">
      <c r="H2072" s="1111" t="s">
        <v>36</v>
      </c>
      <c r="M2072" s="1238">
        <f>[13]Data!M2066</f>
        <v>0</v>
      </c>
      <c r="N2072" s="1238">
        <f>[13]Data!N2066</f>
        <v>0</v>
      </c>
      <c r="O2072" s="1238" t="str">
        <f>[13]Data!O2066</f>
        <v xml:space="preserve"> 3" ALU BUTT HINGES - 18 x 2</v>
      </c>
      <c r="P2072" s="1238">
        <f>[13]Data!P2066</f>
        <v>36</v>
      </c>
      <c r="Q2072" s="1238" t="str">
        <f>[13]Data!Q2066</f>
        <v>No</v>
      </c>
      <c r="R2072" s="1238">
        <f>[13]Data!R2066</f>
        <v>0</v>
      </c>
    </row>
    <row r="2073" spans="6:18" ht="24" customHeight="1">
      <c r="F2073" s="1114">
        <v>3</v>
      </c>
      <c r="G2073" s="1114" t="s">
        <v>1790</v>
      </c>
      <c r="H2073" s="1103" t="s">
        <v>4707</v>
      </c>
      <c r="I2073" s="1114">
        <f>C621</f>
        <v>115.85</v>
      </c>
      <c r="J2073" s="1103" t="s">
        <v>1790</v>
      </c>
      <c r="K2073" s="1114">
        <f t="shared" ref="K2073:K2079" si="231">(F2073*I2073)</f>
        <v>347.54999999999995</v>
      </c>
      <c r="M2073" s="1238">
        <f>[13]Data!M2067</f>
        <v>0</v>
      </c>
      <c r="N2073" s="1238">
        <f>[13]Data!N2067</f>
        <v>0</v>
      </c>
      <c r="O2073" s="1238" t="str">
        <f>[13]Data!O2067</f>
        <v xml:space="preserve"> ORNAMENTAL; HANDLE - 18 x1</v>
      </c>
      <c r="P2073" s="1238">
        <f>[13]Data!P2067</f>
        <v>18</v>
      </c>
      <c r="Q2073" s="1238" t="str">
        <f>[13]Data!Q2067</f>
        <v>No</v>
      </c>
      <c r="R2073" s="1238">
        <f>[13]Data!R2067</f>
        <v>0</v>
      </c>
    </row>
    <row r="2074" spans="6:18" ht="24" customHeight="1">
      <c r="F2074" s="1114">
        <v>1</v>
      </c>
      <c r="G2074" s="1114" t="s">
        <v>2941</v>
      </c>
      <c r="H2074" s="1103" t="s">
        <v>4708</v>
      </c>
      <c r="I2074" s="1114">
        <f>C624</f>
        <v>45</v>
      </c>
      <c r="J2074" s="1103" t="s">
        <v>3820</v>
      </c>
      <c r="K2074" s="1114">
        <f t="shared" si="231"/>
        <v>45</v>
      </c>
      <c r="M2074" s="1238">
        <f>[13]Data!M2068</f>
        <v>0</v>
      </c>
      <c r="N2074" s="1238">
        <f>[13]Data!N2068</f>
        <v>0</v>
      </c>
      <c r="O2074" s="1238" t="str">
        <f>[13]Data!O2068</f>
        <v>LOCKS &amp;KEY Qtn</v>
      </c>
      <c r="P2074" s="1238">
        <f>[13]Data!P2068</f>
        <v>18</v>
      </c>
      <c r="Q2074" s="1238" t="str">
        <f>[13]Data!Q2068</f>
        <v>No</v>
      </c>
      <c r="R2074" s="1238">
        <f>[13]Data!R2068</f>
        <v>0</v>
      </c>
    </row>
    <row r="2075" spans="6:18" ht="24" customHeight="1">
      <c r="F2075" s="1114">
        <v>1</v>
      </c>
      <c r="G2075" s="1114" t="s">
        <v>2941</v>
      </c>
      <c r="H2075" s="1103" t="s">
        <v>4709</v>
      </c>
      <c r="I2075" s="1114">
        <f>C649</f>
        <v>52.9</v>
      </c>
      <c r="J2075" s="1103" t="s">
        <v>3820</v>
      </c>
      <c r="K2075" s="1114">
        <f t="shared" si="231"/>
        <v>52.9</v>
      </c>
      <c r="M2075" s="1238">
        <f>[13]Data!M2069</f>
        <v>0</v>
      </c>
      <c r="N2075" s="1238">
        <f>[13]Data!N2069</f>
        <v>0</v>
      </c>
      <c r="O2075" s="1238" t="str">
        <f>[13]Data!O2069</f>
        <v>Enamel Paint - 3.93 x 2.60 x 2.10</v>
      </c>
      <c r="P2075" s="1238">
        <f>[13]Data!P2069</f>
        <v>21.46</v>
      </c>
      <c r="Q2075" s="1238" t="str">
        <f>[13]Data!Q2069</f>
        <v>Sqm</v>
      </c>
      <c r="R2075" s="1238">
        <f>[13]Data!R2069</f>
        <v>0</v>
      </c>
    </row>
    <row r="2076" spans="6:18" ht="24" customHeight="1">
      <c r="F2076" s="1114">
        <v>1</v>
      </c>
      <c r="G2076" s="1114" t="s">
        <v>2941</v>
      </c>
      <c r="H2076" s="1103" t="s">
        <v>4710</v>
      </c>
      <c r="I2076" s="1114">
        <f>C646</f>
        <v>119.3</v>
      </c>
      <c r="J2076" s="1103" t="s">
        <v>3820</v>
      </c>
      <c r="K2076" s="1114">
        <f t="shared" si="231"/>
        <v>119.3</v>
      </c>
      <c r="M2076" s="1238">
        <f>[13]Data!M2070</f>
        <v>0</v>
      </c>
      <c r="N2076" s="1238">
        <f>[13]Data!N2070</f>
        <v>0</v>
      </c>
      <c r="O2076" s="1238">
        <f>[13]Data!O2070</f>
        <v>0</v>
      </c>
      <c r="P2076" s="1238">
        <f>[13]Data!P2070</f>
        <v>0</v>
      </c>
      <c r="Q2076" s="1238">
        <f>[13]Data!Q2070</f>
        <v>0</v>
      </c>
      <c r="R2076" s="1238">
        <f>[13]Data!R2070</f>
        <v>0</v>
      </c>
    </row>
    <row r="2077" spans="6:18" ht="24" customHeight="1">
      <c r="F2077" s="1114">
        <v>0.5</v>
      </c>
      <c r="G2077" s="1114" t="s">
        <v>2838</v>
      </c>
      <c r="H2077" s="1103" t="s">
        <v>4481</v>
      </c>
      <c r="I2077" s="1114">
        <f>(C15)</f>
        <v>747</v>
      </c>
      <c r="J2077" s="1103" t="s">
        <v>3820</v>
      </c>
      <c r="K2077" s="1114">
        <f t="shared" si="231"/>
        <v>373.5</v>
      </c>
      <c r="M2077" s="1238">
        <f>[13]Data!M2071</f>
        <v>9.6000000000000002E-2</v>
      </c>
      <c r="N2077" s="1238" t="str">
        <f>[13]Data!N2071</f>
        <v>CUM</v>
      </c>
      <c r="O2077" s="1238" t="str">
        <f>[13]Data!O2071</f>
        <v>T.W.SCANTLING above 2M length</v>
      </c>
      <c r="P2077" s="1238">
        <f>[13]Data!P2071</f>
        <v>111600</v>
      </c>
      <c r="Q2077" s="1238" t="str">
        <f>[13]Data!Q2071</f>
        <v>CUM</v>
      </c>
      <c r="R2077" s="1238">
        <f>[13]Data!R2071</f>
        <v>10713.6</v>
      </c>
    </row>
    <row r="2078" spans="6:18" ht="24" customHeight="1">
      <c r="F2078" s="1114">
        <v>0.5</v>
      </c>
      <c r="G2078" s="1114" t="s">
        <v>2838</v>
      </c>
      <c r="H2078" s="1103" t="s">
        <v>3017</v>
      </c>
      <c r="I2078" s="1114">
        <f>(C11)</f>
        <v>804</v>
      </c>
      <c r="J2078" s="1103" t="s">
        <v>3820</v>
      </c>
      <c r="K2078" s="1114">
        <f t="shared" si="231"/>
        <v>402</v>
      </c>
      <c r="M2078" s="1238">
        <f>[13]Data!M2072</f>
        <v>0.17599999999999999</v>
      </c>
      <c r="N2078" s="1238" t="str">
        <f>[13]Data!N2072</f>
        <v>CUM</v>
      </c>
      <c r="O2078" s="1238" t="str">
        <f>[13]Data!O2072</f>
        <v>T.W.SCANTLING below 2M length</v>
      </c>
      <c r="P2078" s="1238">
        <f>[13]Data!P2072</f>
        <v>99400</v>
      </c>
      <c r="Q2078" s="1238" t="str">
        <f>[13]Data!Q2072</f>
        <v>CUM</v>
      </c>
      <c r="R2078" s="1238">
        <f>[13]Data!R2072</f>
        <v>17494.400000000001</v>
      </c>
    </row>
    <row r="2079" spans="6:18" ht="24" customHeight="1">
      <c r="F2079" s="1114">
        <v>0.5</v>
      </c>
      <c r="G2079" s="1114" t="s">
        <v>2838</v>
      </c>
      <c r="H2079" s="1103" t="s">
        <v>3020</v>
      </c>
      <c r="I2079" s="1114">
        <f>(C12)</f>
        <v>562</v>
      </c>
      <c r="J2079" s="1103" t="s">
        <v>3820</v>
      </c>
      <c r="K2079" s="1114">
        <f t="shared" si="231"/>
        <v>281</v>
      </c>
      <c r="M2079" s="1238">
        <f>[13]Data!M2073</f>
        <v>0.27200000000000002</v>
      </c>
      <c r="N2079" s="1238" t="str">
        <f>[13]Data!N2073</f>
        <v>CUM</v>
      </c>
      <c r="O2079" s="1238" t="str">
        <f>[13]Data!O2073</f>
        <v>LABOUR FOR WROUGHT &amp;PUTUP</v>
      </c>
      <c r="P2079" s="1238">
        <f>[13]Data!P2073</f>
        <v>11800</v>
      </c>
      <c r="Q2079" s="1238" t="str">
        <f>[13]Data!Q2073</f>
        <v>CUM</v>
      </c>
      <c r="R2079" s="1238">
        <f>[13]Data!R2073</f>
        <v>3209.6</v>
      </c>
    </row>
    <row r="2080" spans="6:18" ht="24" customHeight="1">
      <c r="G2080" s="1114" t="s">
        <v>2851</v>
      </c>
      <c r="H2080" s="1103" t="s">
        <v>4697</v>
      </c>
      <c r="I2080" s="1103" t="s">
        <v>220</v>
      </c>
      <c r="J2080" s="1103" t="s">
        <v>2851</v>
      </c>
      <c r="K2080" s="1114">
        <v>2.73</v>
      </c>
      <c r="M2080" s="1238">
        <f>[13]Data!M2074</f>
        <v>6.02</v>
      </c>
      <c r="N2080" s="1238" t="str">
        <f>[13]Data!N2074</f>
        <v>SQM</v>
      </c>
      <c r="O2080" s="1238" t="str">
        <f>[13]Data!O2074</f>
        <v>9mm thick BWR Ply wood</v>
      </c>
      <c r="P2080" s="1238">
        <f>[13]Data!P2074</f>
        <v>387.4</v>
      </c>
      <c r="Q2080" s="1238" t="str">
        <f>[13]Data!Q2074</f>
        <v>SQM</v>
      </c>
      <c r="R2080" s="1238">
        <f>[13]Data!R2074</f>
        <v>2332.15</v>
      </c>
    </row>
    <row r="2081" spans="6:18" ht="24" customHeight="1">
      <c r="H2081" s="1103" t="s">
        <v>4698</v>
      </c>
      <c r="M2081" s="1238">
        <f>[13]Data!M2075</f>
        <v>7.37</v>
      </c>
      <c r="N2081" s="1238" t="str">
        <f>[13]Data!N2075</f>
        <v>SQM</v>
      </c>
      <c r="O2081" s="1238" t="str">
        <f>[13]Data!O2075</f>
        <v>LABOUR CHARGE FOR SHUTTER</v>
      </c>
      <c r="P2081" s="1238">
        <f>[13]Data!P2075</f>
        <v>1105</v>
      </c>
      <c r="Q2081" s="1238" t="str">
        <f>[13]Data!Q2075</f>
        <v>SQM</v>
      </c>
      <c r="R2081" s="1238">
        <f>[13]Data!R2075</f>
        <v>8143.85</v>
      </c>
    </row>
    <row r="2082" spans="6:18" ht="24" customHeight="1">
      <c r="H2082" s="1103" t="s">
        <v>4699</v>
      </c>
      <c r="M2082" s="1238">
        <f>[13]Data!M2076</f>
        <v>36</v>
      </c>
      <c r="N2082" s="1238" t="str">
        <f>[13]Data!N2076</f>
        <v>NO.</v>
      </c>
      <c r="O2082" s="1238" t="str">
        <f>[13]Data!O2076</f>
        <v xml:space="preserve"> 3" ALU BUTT HINGES</v>
      </c>
      <c r="P2082" s="1238">
        <f>[13]Data!P2076</f>
        <v>52.8</v>
      </c>
      <c r="Q2082" s="1238" t="str">
        <f>[13]Data!Q2076</f>
        <v>NO.</v>
      </c>
      <c r="R2082" s="1238">
        <f>[13]Data!R2076</f>
        <v>1900.8</v>
      </c>
    </row>
    <row r="2083" spans="6:18" ht="24" customHeight="1">
      <c r="H2083" s="1103" t="s">
        <v>4700</v>
      </c>
      <c r="J2083" s="1103" t="s">
        <v>2851</v>
      </c>
      <c r="K2083" s="1114">
        <v>0.27</v>
      </c>
      <c r="M2083" s="1238">
        <f>[13]Data!M2077</f>
        <v>18</v>
      </c>
      <c r="N2083" s="1238" t="str">
        <f>[13]Data!N2077</f>
        <v>NO.</v>
      </c>
      <c r="O2083" s="1238" t="str">
        <f>[13]Data!O2077</f>
        <v xml:space="preserve"> ORNAMENTAL; HANDLE WITH SCREWS(100mm)p46 it-98c </v>
      </c>
      <c r="P2083" s="1238">
        <f>[13]Data!P2077</f>
        <v>45.7</v>
      </c>
      <c r="Q2083" s="1238" t="str">
        <f>[13]Data!Q2077</f>
        <v>NO.</v>
      </c>
      <c r="R2083" s="1238">
        <f>[13]Data!R2077</f>
        <v>822.6</v>
      </c>
    </row>
    <row r="2084" spans="6:18" ht="24" customHeight="1">
      <c r="K2084" s="1111" t="s">
        <v>36</v>
      </c>
      <c r="M2084" s="1238">
        <f>[13]Data!M2078</f>
        <v>18</v>
      </c>
      <c r="N2084" s="1238" t="str">
        <f>[13]Data!N2078</f>
        <v>NO.</v>
      </c>
      <c r="O2084" s="1238" t="str">
        <f>[13]Data!O2078</f>
        <v xml:space="preserve">LOCKS &amp;KEY </v>
      </c>
      <c r="P2084" s="1238">
        <f>[13]Data!P2078</f>
        <v>56.4</v>
      </c>
      <c r="Q2084" s="1238" t="str">
        <f>[13]Data!Q2078</f>
        <v>NO.</v>
      </c>
      <c r="R2084" s="1238">
        <f>[13]Data!R2078</f>
        <v>1015.2</v>
      </c>
    </row>
    <row r="2085" spans="6:18" ht="24" customHeight="1">
      <c r="H2085" s="1103" t="s">
        <v>4485</v>
      </c>
      <c r="K2085" s="1114">
        <f>SUM(K2073:K2083)</f>
        <v>1624.25</v>
      </c>
      <c r="M2085" s="1238">
        <f>[13]Data!M2079</f>
        <v>21.46</v>
      </c>
      <c r="N2085" s="1238" t="str">
        <f>[13]Data!N2079</f>
        <v>SQM</v>
      </c>
      <c r="O2085" s="1238" t="str">
        <f>[13]Data!O2079</f>
        <v>Two coat of enamel paint</v>
      </c>
      <c r="P2085" s="1238">
        <f>[13]Data!P2079</f>
        <v>63.2</v>
      </c>
      <c r="Q2085" s="1238" t="str">
        <f>[13]Data!Q2079</f>
        <v>SQM</v>
      </c>
      <c r="R2085" s="1238">
        <f>[13]Data!R2079</f>
        <v>1356.27</v>
      </c>
    </row>
    <row r="2086" spans="6:18" ht="24" customHeight="1">
      <c r="K2086" s="1111" t="s">
        <v>36</v>
      </c>
      <c r="M2086" s="1238">
        <f>[13]Data!M2080</f>
        <v>50</v>
      </c>
      <c r="N2086" s="1238" t="str">
        <f>[13]Data!N2080</f>
        <v>Nos</v>
      </c>
      <c r="O2086" s="1238" t="str">
        <f>[13]Data!O2080</f>
        <v>SUNDRIES FOR NAILS,PLUGS ETC.</v>
      </c>
      <c r="P2086" s="1238">
        <f>[13]Data!P2080</f>
        <v>212.24</v>
      </c>
      <c r="Q2086" s="1238" t="str">
        <f>[13]Data!Q2080</f>
        <v>NO.</v>
      </c>
      <c r="R2086" s="1238">
        <f>[13]Data!R2080</f>
        <v>10612</v>
      </c>
    </row>
    <row r="2087" spans="6:18" ht="24" customHeight="1">
      <c r="H2087" s="1103" t="s">
        <v>3413</v>
      </c>
      <c r="K2087" s="1114">
        <f>(K2085/3)</f>
        <v>541.41666666666663</v>
      </c>
      <c r="M2087" s="1238">
        <f>[13]Data!M2081</f>
        <v>0</v>
      </c>
      <c r="N2087" s="1238">
        <f>[13]Data!N2081</f>
        <v>0</v>
      </c>
      <c r="O2087" s="1238">
        <f>[13]Data!O2081</f>
        <v>0</v>
      </c>
      <c r="P2087" s="1238">
        <f>[13]Data!P2081</f>
        <v>0</v>
      </c>
      <c r="Q2087" s="1238">
        <f>[13]Data!Q2081</f>
        <v>0</v>
      </c>
      <c r="R2087" s="1238" t="str">
        <f>[13]Data!R2081</f>
        <v>-</v>
      </c>
    </row>
    <row r="2088" spans="6:18" ht="24" customHeight="1">
      <c r="K2088" s="1111" t="s">
        <v>36</v>
      </c>
      <c r="M2088" s="1238">
        <f>[13]Data!M2082</f>
        <v>0</v>
      </c>
      <c r="N2088" s="1238">
        <f>[13]Data!N2082</f>
        <v>0</v>
      </c>
      <c r="O2088" s="1238" t="str">
        <f>[13]Data!O2082</f>
        <v>TOTAL FOR 2.52 SQM</v>
      </c>
      <c r="P2088" s="1238">
        <f>[13]Data!P2082</f>
        <v>0</v>
      </c>
      <c r="Q2088" s="1238">
        <f>[13]Data!Q2082</f>
        <v>0</v>
      </c>
      <c r="R2088" s="1238">
        <f>[13]Data!R2082</f>
        <v>57600.47</v>
      </c>
    </row>
    <row r="2089" spans="6:18" ht="24" customHeight="1">
      <c r="F2089" s="1104" t="s">
        <v>4711</v>
      </c>
      <c r="H2089" s="1103" t="s">
        <v>4712</v>
      </c>
      <c r="M2089" s="1238">
        <f>[13]Data!M2083</f>
        <v>0</v>
      </c>
      <c r="N2089" s="1238" t="str">
        <f>[13]Data!N2083</f>
        <v xml:space="preserve"> </v>
      </c>
      <c r="O2089" s="1238">
        <f>[13]Data!O2083</f>
        <v>0</v>
      </c>
      <c r="P2089" s="1238">
        <f>[13]Data!P2083</f>
        <v>0</v>
      </c>
      <c r="Q2089" s="1238">
        <f>[13]Data!Q2083</f>
        <v>0</v>
      </c>
      <c r="R2089" s="1238" t="str">
        <f>[13]Data!R2083</f>
        <v>-</v>
      </c>
    </row>
    <row r="2090" spans="6:18" ht="24" customHeight="1">
      <c r="H2090" s="1103" t="s">
        <v>4713</v>
      </c>
      <c r="M2090" s="1238">
        <f>[13]Data!M2084</f>
        <v>0</v>
      </c>
      <c r="N2090" s="1238">
        <f>[13]Data!N2084</f>
        <v>0</v>
      </c>
      <c r="O2090" s="1238" t="str">
        <f>[13]Data!O2084</f>
        <v>RATE PER SQM</v>
      </c>
      <c r="P2090" s="1238">
        <f>[13]Data!P2084</f>
        <v>0</v>
      </c>
      <c r="Q2090" s="1238">
        <f>[13]Data!Q2084</f>
        <v>0</v>
      </c>
      <c r="R2090" s="1238">
        <f>[13]Data!R2084</f>
        <v>6981.88</v>
      </c>
    </row>
    <row r="2091" spans="6:18" ht="24" customHeight="1">
      <c r="F2091" s="1103" t="s">
        <v>220</v>
      </c>
      <c r="H2091" s="1103" t="s">
        <v>4714</v>
      </c>
      <c r="M2091" s="1238">
        <f>[13]Data!M2085</f>
        <v>0</v>
      </c>
      <c r="N2091" s="1238">
        <f>[13]Data!N2085</f>
        <v>0</v>
      </c>
      <c r="O2091" s="1238">
        <f>[13]Data!O2085</f>
        <v>0</v>
      </c>
      <c r="P2091" s="1238">
        <f>[13]Data!P2085</f>
        <v>0</v>
      </c>
      <c r="Q2091" s="1238">
        <f>[13]Data!Q2085</f>
        <v>0</v>
      </c>
      <c r="R2091" s="1238" t="str">
        <f>[13]Data!R2085</f>
        <v>=</v>
      </c>
    </row>
    <row r="2092" spans="6:18" ht="24" customHeight="1">
      <c r="H2092" s="1111" t="s">
        <v>36</v>
      </c>
    </row>
    <row r="2093" spans="6:18" ht="24" customHeight="1">
      <c r="F2093" s="1114">
        <v>3</v>
      </c>
      <c r="G2093" s="1114" t="s">
        <v>4560</v>
      </c>
      <c r="H2093" s="1103" t="s">
        <v>4715</v>
      </c>
      <c r="I2093" s="1114">
        <f>D620</f>
        <v>120.54</v>
      </c>
      <c r="J2093" s="1103" t="s">
        <v>4560</v>
      </c>
      <c r="K2093" s="1114">
        <f>(F2093*I2093)</f>
        <v>361.62</v>
      </c>
    </row>
    <row r="2094" spans="6:18" ht="24" customHeight="1">
      <c r="F2094" s="1114">
        <v>1</v>
      </c>
      <c r="G2094" s="1114" t="s">
        <v>4511</v>
      </c>
      <c r="H2094" s="1103" t="s">
        <v>4716</v>
      </c>
      <c r="I2094" s="1114">
        <f>C648</f>
        <v>78.400000000000006</v>
      </c>
      <c r="J2094" s="1103" t="s">
        <v>4511</v>
      </c>
      <c r="K2094" s="1114">
        <f>(F2094*I2094)</f>
        <v>78.400000000000006</v>
      </c>
    </row>
    <row r="2095" spans="6:18" ht="24" customHeight="1">
      <c r="F2095" s="1114">
        <v>1</v>
      </c>
      <c r="G2095" s="1114" t="s">
        <v>4511</v>
      </c>
      <c r="H2095" s="1103" t="s">
        <v>4717</v>
      </c>
      <c r="I2095" s="1114">
        <v>8</v>
      </c>
      <c r="J2095" s="1103" t="s">
        <v>4511</v>
      </c>
      <c r="K2095" s="1114">
        <f>(F2095*I2095)</f>
        <v>8</v>
      </c>
    </row>
    <row r="2096" spans="6:18" ht="24" customHeight="1">
      <c r="F2096" s="1104" t="s">
        <v>4563</v>
      </c>
      <c r="H2096" s="1103" t="s">
        <v>4718</v>
      </c>
      <c r="I2096" s="1104" t="s">
        <v>4563</v>
      </c>
      <c r="K2096" s="1114">
        <f>1.21+0.47+0.4</f>
        <v>2.08</v>
      </c>
    </row>
    <row r="2097" spans="6:11" ht="24" customHeight="1">
      <c r="K2097" s="1111" t="s">
        <v>36</v>
      </c>
    </row>
    <row r="2098" spans="6:11" ht="24" customHeight="1">
      <c r="H2098" s="1103" t="s">
        <v>4719</v>
      </c>
      <c r="K2098" s="1114">
        <f>SUM(K2093:K2096)</f>
        <v>450.09999999999997</v>
      </c>
    </row>
    <row r="2099" spans="6:11" ht="24" customHeight="1">
      <c r="K2099" s="1111" t="s">
        <v>36</v>
      </c>
    </row>
    <row r="2101" spans="6:11" ht="24" customHeight="1">
      <c r="F2101" s="1104" t="s">
        <v>4720</v>
      </c>
      <c r="G2101" s="1114" t="s">
        <v>1363</v>
      </c>
      <c r="H2101" s="1103" t="s">
        <v>4721</v>
      </c>
    </row>
    <row r="2102" spans="6:11" ht="24" customHeight="1">
      <c r="H2102" s="1103" t="s">
        <v>4722</v>
      </c>
    </row>
    <row r="2103" spans="6:11" ht="24" customHeight="1">
      <c r="H2103" s="1111" t="s">
        <v>36</v>
      </c>
    </row>
    <row r="2104" spans="6:11" ht="24" customHeight="1">
      <c r="F2104" s="1114">
        <v>1</v>
      </c>
      <c r="G2104" s="1114" t="s">
        <v>2838</v>
      </c>
      <c r="H2104" s="1103" t="s">
        <v>4722</v>
      </c>
      <c r="I2104" s="1114">
        <f>(C266)</f>
        <v>168.7</v>
      </c>
      <c r="J2104" s="1103" t="s">
        <v>2838</v>
      </c>
      <c r="K2104" s="1114">
        <f>(F2104*I2104)</f>
        <v>168.7</v>
      </c>
    </row>
    <row r="2105" spans="6:11" ht="24" customHeight="1">
      <c r="F2105" s="1114">
        <v>0.05</v>
      </c>
      <c r="G2105" s="1114" t="s">
        <v>2839</v>
      </c>
      <c r="H2105" s="1103" t="s">
        <v>4723</v>
      </c>
      <c r="I2105" s="1114">
        <f>(R60)</f>
        <v>3940.6769999999997</v>
      </c>
      <c r="J2105" s="1103" t="s">
        <v>2839</v>
      </c>
      <c r="K2105" s="1114">
        <f>(F2105*I2105)</f>
        <v>197.03385</v>
      </c>
    </row>
    <row r="2106" spans="6:11" ht="24" customHeight="1">
      <c r="F2106" s="1114">
        <v>0.5</v>
      </c>
      <c r="G2106" s="1114" t="s">
        <v>2838</v>
      </c>
      <c r="H2106" s="1103" t="s">
        <v>4481</v>
      </c>
      <c r="I2106" s="1114">
        <f>(C15)</f>
        <v>747</v>
      </c>
      <c r="J2106" s="1103" t="s">
        <v>2838</v>
      </c>
      <c r="K2106" s="1114">
        <f>(F2106*I2106)</f>
        <v>373.5</v>
      </c>
    </row>
    <row r="2107" spans="6:11" ht="24" customHeight="1">
      <c r="F2107" s="1114">
        <v>1</v>
      </c>
      <c r="G2107" s="1114" t="s">
        <v>2838</v>
      </c>
      <c r="H2107" s="1103" t="s">
        <v>3020</v>
      </c>
      <c r="I2107" s="1114">
        <f>(C12)</f>
        <v>562</v>
      </c>
      <c r="J2107" s="1103" t="s">
        <v>2838</v>
      </c>
      <c r="K2107" s="1114">
        <f>(F2107*I2107)</f>
        <v>562</v>
      </c>
    </row>
    <row r="2108" spans="6:11" ht="24" customHeight="1">
      <c r="F2108" s="1114">
        <v>1</v>
      </c>
      <c r="G2108" s="1114" t="s">
        <v>2838</v>
      </c>
      <c r="H2108" s="1103" t="s">
        <v>3026</v>
      </c>
      <c r="I2108" s="1114">
        <f>(C13)</f>
        <v>461</v>
      </c>
      <c r="J2108" s="1103" t="s">
        <v>2838</v>
      </c>
      <c r="K2108" s="1114">
        <f>(F2108*I2108)</f>
        <v>461</v>
      </c>
    </row>
    <row r="2109" spans="6:11" ht="24" customHeight="1">
      <c r="G2109" s="1114" t="s">
        <v>2851</v>
      </c>
      <c r="H2109" s="1103" t="s">
        <v>2852</v>
      </c>
      <c r="I2109" s="1103" t="s">
        <v>220</v>
      </c>
      <c r="J2109" s="1103" t="s">
        <v>2851</v>
      </c>
      <c r="K2109" s="1114">
        <v>0.54</v>
      </c>
    </row>
    <row r="2110" spans="6:11" ht="24" customHeight="1">
      <c r="H2110" s="1103" t="s">
        <v>220</v>
      </c>
      <c r="K2110" s="1111" t="s">
        <v>36</v>
      </c>
    </row>
    <row r="2111" spans="6:11" ht="24" customHeight="1">
      <c r="H2111" s="1103" t="s">
        <v>3569</v>
      </c>
      <c r="K2111" s="1114">
        <f>SUM(K2104:K2109)</f>
        <v>1762.77385</v>
      </c>
    </row>
    <row r="2112" spans="6:11" ht="24" customHeight="1">
      <c r="K2112" s="1111" t="s">
        <v>2793</v>
      </c>
    </row>
    <row r="2113" spans="6:11" ht="24" customHeight="1">
      <c r="F2113" s="1104" t="s">
        <v>4724</v>
      </c>
      <c r="G2113" s="1114" t="s">
        <v>1363</v>
      </c>
      <c r="H2113" s="1103" t="s">
        <v>4725</v>
      </c>
    </row>
    <row r="2114" spans="6:11" ht="24" customHeight="1">
      <c r="H2114" s="1103" t="s">
        <v>4726</v>
      </c>
    </row>
    <row r="2115" spans="6:11" ht="24" customHeight="1">
      <c r="H2115" s="1111" t="s">
        <v>36</v>
      </c>
    </row>
    <row r="2116" spans="6:11" ht="24" customHeight="1">
      <c r="F2116" s="1114">
        <v>1</v>
      </c>
      <c r="G2116" s="1114" t="s">
        <v>2838</v>
      </c>
      <c r="H2116" s="1103" t="s">
        <v>4727</v>
      </c>
      <c r="I2116" s="1114">
        <f>(D267)</f>
        <v>148.6</v>
      </c>
      <c r="J2116" s="1103" t="s">
        <v>2838</v>
      </c>
      <c r="K2116" s="1114">
        <f>(F2116*I2116)</f>
        <v>148.6</v>
      </c>
    </row>
    <row r="2117" spans="6:11" ht="24" customHeight="1">
      <c r="G2117" s="1114" t="s">
        <v>2851</v>
      </c>
      <c r="H2117" s="1103" t="s">
        <v>4728</v>
      </c>
      <c r="J2117" s="1103" t="s">
        <v>2851</v>
      </c>
      <c r="K2117" s="1114">
        <v>4</v>
      </c>
    </row>
    <row r="2118" spans="6:11" ht="24" customHeight="1">
      <c r="J2118" s="1103" t="s">
        <v>220</v>
      </c>
      <c r="K2118" s="1111" t="s">
        <v>36</v>
      </c>
    </row>
    <row r="2119" spans="6:11" ht="24" customHeight="1">
      <c r="H2119" s="1103" t="s">
        <v>3569</v>
      </c>
      <c r="K2119" s="1114">
        <f>SUM(K2116:K2118)</f>
        <v>152.6</v>
      </c>
    </row>
    <row r="2120" spans="6:11" ht="24" customHeight="1">
      <c r="K2120" s="1111" t="s">
        <v>36</v>
      </c>
    </row>
    <row r="2121" spans="6:11" ht="24" customHeight="1">
      <c r="F2121" s="1104" t="s">
        <v>4729</v>
      </c>
      <c r="G2121" s="1114" t="s">
        <v>1363</v>
      </c>
      <c r="H2121" s="1103" t="s">
        <v>4730</v>
      </c>
    </row>
    <row r="2122" spans="6:11" ht="24" customHeight="1">
      <c r="H2122" s="1103" t="s">
        <v>4731</v>
      </c>
    </row>
    <row r="2123" spans="6:11" ht="24" customHeight="1">
      <c r="H2123" s="1111" t="s">
        <v>36</v>
      </c>
    </row>
    <row r="2124" spans="6:11" ht="24" customHeight="1">
      <c r="F2124" s="1114">
        <v>50</v>
      </c>
      <c r="G2124" s="1114" t="s">
        <v>2838</v>
      </c>
      <c r="H2124" s="1103" t="s">
        <v>4732</v>
      </c>
      <c r="I2124" s="1114">
        <f>C204</f>
        <v>62.8</v>
      </c>
      <c r="J2124" s="1103" t="s">
        <v>2838</v>
      </c>
      <c r="K2124" s="1114">
        <f t="shared" ref="K2124:K2133" si="232">(F2124*I2124)</f>
        <v>3140</v>
      </c>
    </row>
    <row r="2125" spans="6:11" ht="24" customHeight="1">
      <c r="F2125" s="1114">
        <v>21.6</v>
      </c>
      <c r="G2125" s="1114" t="s">
        <v>2839</v>
      </c>
      <c r="H2125" s="1103" t="s">
        <v>4733</v>
      </c>
      <c r="I2125" s="1114">
        <f>(C61*2)</f>
        <v>193.2</v>
      </c>
      <c r="J2125" s="1103" t="s">
        <v>2839</v>
      </c>
      <c r="K2125" s="1114">
        <f t="shared" si="232"/>
        <v>4173.12</v>
      </c>
    </row>
    <row r="2126" spans="6:11" ht="24" customHeight="1">
      <c r="F2126" s="1114">
        <v>21.6</v>
      </c>
      <c r="G2126" s="1114" t="s">
        <v>2839</v>
      </c>
      <c r="H2126" s="1103" t="s">
        <v>4660</v>
      </c>
      <c r="I2126" s="1114">
        <f>(C26)</f>
        <v>33.6</v>
      </c>
      <c r="J2126" s="1103" t="s">
        <v>2839</v>
      </c>
      <c r="K2126" s="1114">
        <f t="shared" si="232"/>
        <v>725.7600000000001</v>
      </c>
    </row>
    <row r="2127" spans="6:11" ht="24" customHeight="1">
      <c r="F2127" s="1114">
        <v>45</v>
      </c>
      <c r="G2127" s="1114" t="s">
        <v>165</v>
      </c>
      <c r="H2127" s="1103" t="s">
        <v>2830</v>
      </c>
      <c r="I2127" s="1114">
        <f>(C67/1000)</f>
        <v>5.96</v>
      </c>
      <c r="J2127" s="1103" t="s">
        <v>165</v>
      </c>
      <c r="K2127" s="1114">
        <f t="shared" si="232"/>
        <v>268.2</v>
      </c>
    </row>
    <row r="2128" spans="6:11" ht="24" customHeight="1">
      <c r="F2128" s="1114">
        <v>0.04</v>
      </c>
      <c r="G2128" s="1114" t="s">
        <v>2839</v>
      </c>
      <c r="H2128" s="1103" t="s">
        <v>2840</v>
      </c>
      <c r="I2128" s="1114">
        <f>(C78)</f>
        <v>1835.06</v>
      </c>
      <c r="J2128" s="1103" t="s">
        <v>2839</v>
      </c>
      <c r="K2128" s="1114">
        <f t="shared" si="232"/>
        <v>73.4024</v>
      </c>
    </row>
    <row r="2129" spans="6:11" ht="24" customHeight="1">
      <c r="F2129" s="1114">
        <v>3.63</v>
      </c>
      <c r="G2129" s="1114" t="s">
        <v>165</v>
      </c>
      <c r="H2129" s="1103" t="s">
        <v>4734</v>
      </c>
      <c r="I2129" s="1114">
        <f>(C607)</f>
        <v>11.7</v>
      </c>
      <c r="J2129" s="1103" t="s">
        <v>165</v>
      </c>
      <c r="K2129" s="1114">
        <f t="shared" si="232"/>
        <v>42.470999999999997</v>
      </c>
    </row>
    <row r="2130" spans="6:11" ht="24" customHeight="1">
      <c r="F2130" s="1114">
        <v>2</v>
      </c>
      <c r="G2130" s="1114" t="s">
        <v>2838</v>
      </c>
      <c r="H2130" s="1103" t="s">
        <v>3051</v>
      </c>
      <c r="I2130" s="1114">
        <f>(C10)</f>
        <v>861</v>
      </c>
      <c r="J2130" s="1103" t="s">
        <v>2838</v>
      </c>
      <c r="K2130" s="1114">
        <f t="shared" si="232"/>
        <v>1722</v>
      </c>
    </row>
    <row r="2131" spans="6:11" ht="24" customHeight="1">
      <c r="F2131" s="1114">
        <v>1</v>
      </c>
      <c r="G2131" s="1114" t="s">
        <v>2838</v>
      </c>
      <c r="H2131" s="1103" t="s">
        <v>4735</v>
      </c>
      <c r="I2131" s="1114">
        <f>AE37</f>
        <v>724</v>
      </c>
      <c r="J2131" s="1103" t="s">
        <v>2838</v>
      </c>
      <c r="K2131" s="1114">
        <f t="shared" si="232"/>
        <v>724</v>
      </c>
    </row>
    <row r="2132" spans="6:11" ht="24" customHeight="1">
      <c r="F2132" s="1114">
        <v>5</v>
      </c>
      <c r="G2132" s="1114" t="s">
        <v>2838</v>
      </c>
      <c r="H2132" s="1103" t="s">
        <v>3020</v>
      </c>
      <c r="I2132" s="1114">
        <f>(C12)</f>
        <v>562</v>
      </c>
      <c r="J2132" s="1103" t="s">
        <v>2838</v>
      </c>
      <c r="K2132" s="1114">
        <f t="shared" si="232"/>
        <v>2810</v>
      </c>
    </row>
    <row r="2133" spans="6:11" ht="24" customHeight="1">
      <c r="F2133" s="1114">
        <v>2</v>
      </c>
      <c r="G2133" s="1114" t="s">
        <v>2838</v>
      </c>
      <c r="H2133" s="1103" t="s">
        <v>3026</v>
      </c>
      <c r="I2133" s="1114">
        <f>(C13)</f>
        <v>461</v>
      </c>
      <c r="J2133" s="1103" t="s">
        <v>2838</v>
      </c>
      <c r="K2133" s="1114">
        <f t="shared" si="232"/>
        <v>922</v>
      </c>
    </row>
    <row r="2134" spans="6:11" ht="24" customHeight="1">
      <c r="G2134" s="1114" t="s">
        <v>2851</v>
      </c>
      <c r="H2134" s="1103" t="s">
        <v>4736</v>
      </c>
      <c r="J2134" s="1103" t="s">
        <v>2851</v>
      </c>
      <c r="K2134" s="1114">
        <f>SUM(K2130:K2133)/10+7.5</f>
        <v>625.29999999999995</v>
      </c>
    </row>
    <row r="2135" spans="6:11" ht="24" customHeight="1">
      <c r="K2135" s="1111" t="s">
        <v>36</v>
      </c>
    </row>
    <row r="2136" spans="6:11" ht="24" customHeight="1">
      <c r="H2136" s="1103" t="s">
        <v>4737</v>
      </c>
      <c r="K2136" s="1114">
        <f>SUM(K2124:K2134)</f>
        <v>15226.2534</v>
      </c>
    </row>
    <row r="2137" spans="6:11" ht="24" customHeight="1">
      <c r="K2137" s="1111" t="s">
        <v>36</v>
      </c>
    </row>
    <row r="2138" spans="6:11" ht="24" customHeight="1">
      <c r="H2138" s="1103" t="s">
        <v>4738</v>
      </c>
      <c r="K2138" s="1114">
        <f>(K2136/30)</f>
        <v>507.54177999999996</v>
      </c>
    </row>
    <row r="2139" spans="6:11" ht="24" customHeight="1">
      <c r="K2139" s="1111" t="s">
        <v>2793</v>
      </c>
    </row>
    <row r="2141" spans="6:11" ht="24" customHeight="1">
      <c r="F2141" s="1104" t="s">
        <v>4739</v>
      </c>
      <c r="G2141" s="1114" t="s">
        <v>1363</v>
      </c>
      <c r="H2141" s="1103" t="s">
        <v>4740</v>
      </c>
    </row>
    <row r="2142" spans="6:11" ht="24" customHeight="1">
      <c r="H2142" s="1103" t="s">
        <v>4731</v>
      </c>
    </row>
    <row r="2143" spans="6:11" ht="24" customHeight="1">
      <c r="H2143" s="1111" t="s">
        <v>36</v>
      </c>
    </row>
    <row r="2144" spans="6:11" ht="24" customHeight="1">
      <c r="F2144" s="1114">
        <v>50</v>
      </c>
      <c r="G2144" s="1114" t="s">
        <v>2838</v>
      </c>
      <c r="H2144" s="1103" t="s">
        <v>4741</v>
      </c>
      <c r="I2144" s="1114">
        <f>C205</f>
        <v>101</v>
      </c>
      <c r="J2144" s="1103" t="s">
        <v>2838</v>
      </c>
      <c r="K2144" s="1114">
        <f t="shared" ref="K2144:K2153" si="233">(F2144*I2144)</f>
        <v>5050</v>
      </c>
    </row>
    <row r="2145" spans="6:18" ht="24" customHeight="1">
      <c r="F2145" s="1114">
        <v>21.6</v>
      </c>
      <c r="G2145" s="1114" t="s">
        <v>2839</v>
      </c>
      <c r="H2145" s="1103" t="s">
        <v>4733</v>
      </c>
      <c r="I2145" s="1114">
        <f>(C61*2)</f>
        <v>193.2</v>
      </c>
      <c r="J2145" s="1103" t="s">
        <v>2839</v>
      </c>
      <c r="K2145" s="1114">
        <f t="shared" si="233"/>
        <v>4173.12</v>
      </c>
    </row>
    <row r="2146" spans="6:18" ht="24" customHeight="1">
      <c r="F2146" s="1114">
        <v>21.6</v>
      </c>
      <c r="G2146" s="1114" t="s">
        <v>2839</v>
      </c>
      <c r="H2146" s="1103" t="s">
        <v>4660</v>
      </c>
      <c r="I2146" s="1114">
        <f>(C26)</f>
        <v>33.6</v>
      </c>
      <c r="J2146" s="1103" t="s">
        <v>2839</v>
      </c>
      <c r="K2146" s="1114">
        <f t="shared" si="233"/>
        <v>725.7600000000001</v>
      </c>
    </row>
    <row r="2147" spans="6:18" ht="24" customHeight="1">
      <c r="F2147" s="1114">
        <v>68</v>
      </c>
      <c r="G2147" s="1114" t="s">
        <v>165</v>
      </c>
      <c r="H2147" s="1103" t="s">
        <v>2830</v>
      </c>
      <c r="I2147" s="1114">
        <f>(C67/1000)</f>
        <v>5.96</v>
      </c>
      <c r="J2147" s="1103" t="s">
        <v>165</v>
      </c>
      <c r="K2147" s="1114">
        <f t="shared" si="233"/>
        <v>405.28</v>
      </c>
    </row>
    <row r="2148" spans="6:18" ht="24" customHeight="1">
      <c r="F2148" s="1114">
        <v>7.0000000000000007E-2</v>
      </c>
      <c r="G2148" s="1114" t="s">
        <v>2839</v>
      </c>
      <c r="H2148" s="1103" t="s">
        <v>2840</v>
      </c>
      <c r="I2148" s="1114">
        <f>(C78)</f>
        <v>1835.06</v>
      </c>
      <c r="J2148" s="1103" t="s">
        <v>2839</v>
      </c>
      <c r="K2148" s="1114">
        <f t="shared" si="233"/>
        <v>128.45420000000001</v>
      </c>
      <c r="M2148" s="1104" t="s">
        <v>4739</v>
      </c>
      <c r="N2148" s="1114" t="s">
        <v>1363</v>
      </c>
      <c r="O2148" s="1103" t="s">
        <v>4742</v>
      </c>
      <c r="Q2148" s="1107"/>
    </row>
    <row r="2149" spans="6:18" ht="24" customHeight="1">
      <c r="F2149" s="1114">
        <v>5.45</v>
      </c>
      <c r="G2149" s="1114" t="s">
        <v>165</v>
      </c>
      <c r="H2149" s="1103" t="s">
        <v>4734</v>
      </c>
      <c r="I2149" s="1114">
        <f>(C607)</f>
        <v>11.7</v>
      </c>
      <c r="J2149" s="1103" t="s">
        <v>165</v>
      </c>
      <c r="K2149" s="1114">
        <f t="shared" si="233"/>
        <v>63.765000000000001</v>
      </c>
      <c r="O2149" s="1103" t="s">
        <v>4731</v>
      </c>
      <c r="Q2149" s="1107"/>
    </row>
    <row r="2150" spans="6:18" ht="24" customHeight="1">
      <c r="F2150" s="1114">
        <v>3</v>
      </c>
      <c r="G2150" s="1114" t="s">
        <v>2838</v>
      </c>
      <c r="H2150" s="1103" t="s">
        <v>3051</v>
      </c>
      <c r="I2150" s="1114">
        <f>(C10)</f>
        <v>861</v>
      </c>
      <c r="J2150" s="1103" t="s">
        <v>2838</v>
      </c>
      <c r="K2150" s="1114">
        <f t="shared" si="233"/>
        <v>2583</v>
      </c>
      <c r="O2150" s="1111" t="s">
        <v>36</v>
      </c>
      <c r="Q2150" s="1107"/>
    </row>
    <row r="2151" spans="6:18" ht="39" customHeight="1">
      <c r="F2151" s="1114">
        <v>2</v>
      </c>
      <c r="G2151" s="1114" t="s">
        <v>2838</v>
      </c>
      <c r="H2151" s="1103" t="s">
        <v>4735</v>
      </c>
      <c r="I2151" s="1114">
        <f>AE37</f>
        <v>724</v>
      </c>
      <c r="J2151" s="1103" t="s">
        <v>2838</v>
      </c>
      <c r="K2151" s="1114">
        <f t="shared" si="233"/>
        <v>1448</v>
      </c>
      <c r="M2151" s="1114">
        <v>50</v>
      </c>
      <c r="N2151" s="1114" t="s">
        <v>2838</v>
      </c>
      <c r="O2151" s="1129" t="s">
        <v>4743</v>
      </c>
      <c r="P2151" s="1114">
        <v>412</v>
      </c>
      <c r="Q2151" s="1103" t="s">
        <v>2838</v>
      </c>
      <c r="R2151" s="1114">
        <f t="shared" ref="R2151:R2160" si="234">(M2151*P2151)</f>
        <v>20600</v>
      </c>
    </row>
    <row r="2152" spans="6:18" ht="24" customHeight="1">
      <c r="F2152" s="1114">
        <v>6</v>
      </c>
      <c r="G2152" s="1114" t="s">
        <v>2838</v>
      </c>
      <c r="H2152" s="1103" t="s">
        <v>3020</v>
      </c>
      <c r="I2152" s="1114">
        <f>(C12)</f>
        <v>562</v>
      </c>
      <c r="J2152" s="1103" t="s">
        <v>2838</v>
      </c>
      <c r="K2152" s="1114">
        <f t="shared" si="233"/>
        <v>3372</v>
      </c>
      <c r="M2152" s="1114">
        <v>21.6</v>
      </c>
      <c r="N2152" s="1114" t="s">
        <v>2839</v>
      </c>
      <c r="O2152" s="1103" t="s">
        <v>4733</v>
      </c>
      <c r="P2152" s="1114">
        <f>I2145</f>
        <v>193.2</v>
      </c>
      <c r="Q2152" s="1103" t="s">
        <v>2839</v>
      </c>
      <c r="R2152" s="1114">
        <f t="shared" si="234"/>
        <v>4173.12</v>
      </c>
    </row>
    <row r="2153" spans="6:18" ht="24" customHeight="1">
      <c r="F2153" s="1114">
        <v>3</v>
      </c>
      <c r="G2153" s="1114" t="s">
        <v>2838</v>
      </c>
      <c r="H2153" s="1103" t="s">
        <v>3026</v>
      </c>
      <c r="I2153" s="1114">
        <f>(C13)</f>
        <v>461</v>
      </c>
      <c r="J2153" s="1103" t="s">
        <v>2838</v>
      </c>
      <c r="K2153" s="1114">
        <f t="shared" si="233"/>
        <v>1383</v>
      </c>
      <c r="M2153" s="1114">
        <v>21.6</v>
      </c>
      <c r="N2153" s="1114" t="s">
        <v>2839</v>
      </c>
      <c r="O2153" s="1103" t="s">
        <v>4660</v>
      </c>
      <c r="P2153" s="1114">
        <f t="shared" ref="P2153:P2160" si="235">I2146</f>
        <v>33.6</v>
      </c>
      <c r="Q2153" s="1103" t="s">
        <v>2839</v>
      </c>
      <c r="R2153" s="1114">
        <f t="shared" si="234"/>
        <v>725.7600000000001</v>
      </c>
    </row>
    <row r="2154" spans="6:18" ht="24" customHeight="1">
      <c r="G2154" s="1114" t="s">
        <v>2851</v>
      </c>
      <c r="H2154" s="1103" t="s">
        <v>4736</v>
      </c>
      <c r="J2154" s="1103" t="s">
        <v>2851</v>
      </c>
      <c r="K2154" s="1114">
        <f>SUM(K2150:K2153)/10+4.8</f>
        <v>883.4</v>
      </c>
      <c r="M2154" s="1114">
        <v>115</v>
      </c>
      <c r="N2154" s="1114" t="s">
        <v>165</v>
      </c>
      <c r="O2154" s="1103" t="s">
        <v>2830</v>
      </c>
      <c r="P2154" s="1114">
        <f t="shared" si="235"/>
        <v>5.96</v>
      </c>
      <c r="Q2154" s="1103" t="s">
        <v>165</v>
      </c>
      <c r="R2154" s="1114">
        <f t="shared" si="234"/>
        <v>685.4</v>
      </c>
    </row>
    <row r="2155" spans="6:18" ht="24" customHeight="1">
      <c r="K2155" s="1111" t="s">
        <v>36</v>
      </c>
      <c r="M2155" s="1114">
        <v>0.11</v>
      </c>
      <c r="N2155" s="1114" t="s">
        <v>2839</v>
      </c>
      <c r="O2155" s="1103" t="s">
        <v>2840</v>
      </c>
      <c r="P2155" s="1114">
        <f t="shared" si="235"/>
        <v>1835.06</v>
      </c>
      <c r="Q2155" s="1103" t="s">
        <v>2839</v>
      </c>
      <c r="R2155" s="1114">
        <f t="shared" si="234"/>
        <v>201.85659999999999</v>
      </c>
    </row>
    <row r="2156" spans="6:18" ht="24" customHeight="1">
      <c r="H2156" s="1103" t="s">
        <v>4737</v>
      </c>
      <c r="K2156" s="1114">
        <f>SUM(K2144:K2154)</f>
        <v>20215.779200000001</v>
      </c>
      <c r="M2156" s="1114">
        <v>8.35</v>
      </c>
      <c r="N2156" s="1114" t="s">
        <v>165</v>
      </c>
      <c r="O2156" s="1103" t="s">
        <v>4734</v>
      </c>
      <c r="P2156" s="1114">
        <f t="shared" si="235"/>
        <v>11.7</v>
      </c>
      <c r="Q2156" s="1103" t="s">
        <v>165</v>
      </c>
      <c r="R2156" s="1114">
        <f t="shared" si="234"/>
        <v>97.694999999999993</v>
      </c>
    </row>
    <row r="2157" spans="6:18" ht="24" customHeight="1">
      <c r="K2157" s="1111" t="s">
        <v>36</v>
      </c>
      <c r="M2157" s="1114">
        <v>5</v>
      </c>
      <c r="N2157" s="1114" t="s">
        <v>2838</v>
      </c>
      <c r="O2157" s="1103" t="s">
        <v>3051</v>
      </c>
      <c r="P2157" s="1114">
        <f t="shared" si="235"/>
        <v>861</v>
      </c>
      <c r="Q2157" s="1103" t="s">
        <v>2838</v>
      </c>
      <c r="R2157" s="1114">
        <f t="shared" si="234"/>
        <v>4305</v>
      </c>
    </row>
    <row r="2158" spans="6:18" ht="24" customHeight="1">
      <c r="H2158" s="1103" t="s">
        <v>4738</v>
      </c>
      <c r="K2158" s="1114">
        <f>(K2156/30)</f>
        <v>673.85930666666673</v>
      </c>
      <c r="M2158" s="1114">
        <v>3</v>
      </c>
      <c r="N2158" s="1114" t="s">
        <v>2838</v>
      </c>
      <c r="O2158" s="1103" t="s">
        <v>4735</v>
      </c>
      <c r="P2158" s="1114">
        <f t="shared" si="235"/>
        <v>724</v>
      </c>
      <c r="Q2158" s="1103" t="s">
        <v>2838</v>
      </c>
      <c r="R2158" s="1114">
        <f t="shared" si="234"/>
        <v>2172</v>
      </c>
    </row>
    <row r="2159" spans="6:18" ht="24" customHeight="1">
      <c r="K2159" s="1111" t="s">
        <v>2793</v>
      </c>
      <c r="M2159" s="1114">
        <v>7</v>
      </c>
      <c r="N2159" s="1114" t="s">
        <v>2838</v>
      </c>
      <c r="O2159" s="1103" t="s">
        <v>3020</v>
      </c>
      <c r="P2159" s="1114">
        <f t="shared" si="235"/>
        <v>562</v>
      </c>
      <c r="Q2159" s="1103" t="s">
        <v>2838</v>
      </c>
      <c r="R2159" s="1114">
        <f t="shared" si="234"/>
        <v>3934</v>
      </c>
    </row>
    <row r="2160" spans="6:18" ht="24" customHeight="1">
      <c r="F2160" s="1104" t="s">
        <v>4744</v>
      </c>
      <c r="G2160" s="1114" t="s">
        <v>1363</v>
      </c>
      <c r="H2160" s="1103" t="s">
        <v>4730</v>
      </c>
      <c r="M2160" s="1114">
        <v>5</v>
      </c>
      <c r="N2160" s="1114" t="s">
        <v>2838</v>
      </c>
      <c r="O2160" s="1103" t="s">
        <v>3026</v>
      </c>
      <c r="P2160" s="1114">
        <f t="shared" si="235"/>
        <v>461</v>
      </c>
      <c r="Q2160" s="1103" t="s">
        <v>2838</v>
      </c>
      <c r="R2160" s="1114">
        <f t="shared" si="234"/>
        <v>2305</v>
      </c>
    </row>
    <row r="2161" spans="6:18" ht="24" customHeight="1">
      <c r="H2161" s="1103" t="s">
        <v>4745</v>
      </c>
      <c r="N2161" s="1114" t="s">
        <v>2851</v>
      </c>
      <c r="O2161" s="1103" t="s">
        <v>4736</v>
      </c>
      <c r="Q2161" s="1103" t="s">
        <v>2851</v>
      </c>
      <c r="R2161" s="1114">
        <v>234</v>
      </c>
    </row>
    <row r="2162" spans="6:18" ht="24" customHeight="1">
      <c r="H2162" s="1111" t="s">
        <v>36</v>
      </c>
      <c r="Q2162" s="1107"/>
      <c r="R2162" s="1111" t="s">
        <v>36</v>
      </c>
    </row>
    <row r="2163" spans="6:18" ht="24" customHeight="1">
      <c r="F2163" s="1114">
        <v>50</v>
      </c>
      <c r="G2163" s="1114" t="s">
        <v>2838</v>
      </c>
      <c r="H2163" s="1103" t="s">
        <v>4746</v>
      </c>
      <c r="I2163" s="1114">
        <f>C204</f>
        <v>62.8</v>
      </c>
      <c r="J2163" s="1103" t="s">
        <v>2838</v>
      </c>
      <c r="K2163" s="1114">
        <f>(F2163*I2163)</f>
        <v>3140</v>
      </c>
      <c r="O2163" s="1103" t="s">
        <v>4737</v>
      </c>
      <c r="Q2163" s="1107"/>
      <c r="R2163" s="1114">
        <f>SUM(R2151:R2161)</f>
        <v>39433.831599999998</v>
      </c>
    </row>
    <row r="2164" spans="6:18" ht="24" customHeight="1">
      <c r="F2164" s="1114">
        <v>1</v>
      </c>
      <c r="G2164" s="1114" t="s">
        <v>2838</v>
      </c>
      <c r="H2164" s="1103" t="s">
        <v>4735</v>
      </c>
      <c r="I2164" s="1114">
        <f>AE37</f>
        <v>724</v>
      </c>
      <c r="J2164" s="1103" t="s">
        <v>2838</v>
      </c>
      <c r="K2164" s="1114">
        <f>(F2164*I2164)</f>
        <v>724</v>
      </c>
      <c r="Q2164" s="1107"/>
      <c r="R2164" s="1111" t="s">
        <v>36</v>
      </c>
    </row>
    <row r="2165" spans="6:18" ht="24" customHeight="1">
      <c r="F2165" s="1114">
        <v>5</v>
      </c>
      <c r="G2165" s="1114" t="s">
        <v>2838</v>
      </c>
      <c r="H2165" s="1103" t="s">
        <v>3020</v>
      </c>
      <c r="I2165" s="1114">
        <f>C12</f>
        <v>562</v>
      </c>
      <c r="J2165" s="1103" t="s">
        <v>2838</v>
      </c>
      <c r="K2165" s="1114">
        <f>(F2165*I2165)</f>
        <v>2810</v>
      </c>
      <c r="O2165" s="1103" t="s">
        <v>4738</v>
      </c>
      <c r="Q2165" s="1107"/>
      <c r="R2165" s="1114">
        <f>(R2163/30)</f>
        <v>1314.4610533333332</v>
      </c>
    </row>
    <row r="2166" spans="6:18" ht="24" customHeight="1">
      <c r="H2166" s="1103" t="s">
        <v>234</v>
      </c>
      <c r="K2166" s="1127">
        <v>1.8</v>
      </c>
      <c r="Q2166" s="1107"/>
      <c r="R2166" s="1111" t="s">
        <v>2793</v>
      </c>
    </row>
    <row r="2167" spans="6:18" ht="24" customHeight="1">
      <c r="H2167" s="1103" t="s">
        <v>4737</v>
      </c>
      <c r="K2167" s="1114">
        <f>SUM(K2163:K2166)</f>
        <v>6675.8</v>
      </c>
    </row>
    <row r="2168" spans="6:18" ht="24" customHeight="1">
      <c r="F2168" s="1103" t="s">
        <v>220</v>
      </c>
      <c r="K2168" s="1111" t="s">
        <v>36</v>
      </c>
    </row>
    <row r="2169" spans="6:18" ht="24" customHeight="1">
      <c r="H2169" s="1103" t="s">
        <v>4738</v>
      </c>
      <c r="K2169" s="1114">
        <f>(K2167/30)</f>
        <v>222.52666666666667</v>
      </c>
    </row>
    <row r="2170" spans="6:18" ht="24" customHeight="1">
      <c r="F2170" s="1103" t="s">
        <v>220</v>
      </c>
    </row>
    <row r="2171" spans="6:18" ht="24" customHeight="1">
      <c r="F2171" s="1103" t="s">
        <v>220</v>
      </c>
    </row>
    <row r="2172" spans="6:18" ht="24" customHeight="1">
      <c r="K2172" s="1111" t="s">
        <v>2793</v>
      </c>
    </row>
    <row r="2173" spans="6:18" ht="24" customHeight="1">
      <c r="F2173" s="1104" t="s">
        <v>4739</v>
      </c>
      <c r="G2173" s="1114" t="s">
        <v>1363</v>
      </c>
      <c r="H2173" s="1103" t="s">
        <v>4740</v>
      </c>
    </row>
    <row r="2174" spans="6:18" ht="24" customHeight="1">
      <c r="H2174" s="1114" t="str">
        <f>H2161</f>
        <v>DIA S.W.PIPE(LOOSE JOINTING)</v>
      </c>
    </row>
    <row r="2175" spans="6:18" ht="24" customHeight="1">
      <c r="H2175" s="1111" t="s">
        <v>36</v>
      </c>
    </row>
    <row r="2176" spans="6:18" ht="24" customHeight="1">
      <c r="F2176" s="1114">
        <v>50</v>
      </c>
      <c r="G2176" s="1114" t="s">
        <v>2838</v>
      </c>
      <c r="H2176" s="1103" t="s">
        <v>4747</v>
      </c>
      <c r="I2176" s="1114">
        <f>C205</f>
        <v>101</v>
      </c>
      <c r="J2176" s="1103" t="s">
        <v>2838</v>
      </c>
      <c r="K2176" s="1114">
        <f>(F2176*I2176)</f>
        <v>5050</v>
      </c>
    </row>
    <row r="2177" spans="6:11" ht="24" customHeight="1">
      <c r="F2177" s="1114">
        <v>2</v>
      </c>
      <c r="G2177" s="1114" t="s">
        <v>2838</v>
      </c>
      <c r="H2177" s="1103" t="s">
        <v>4735</v>
      </c>
      <c r="I2177" s="1114">
        <f>AE37</f>
        <v>724</v>
      </c>
      <c r="J2177" s="1103" t="s">
        <v>2838</v>
      </c>
      <c r="K2177" s="1114">
        <f>(F2177*I2177)</f>
        <v>1448</v>
      </c>
    </row>
    <row r="2178" spans="6:11" ht="24" customHeight="1">
      <c r="F2178" s="1114">
        <v>6</v>
      </c>
      <c r="G2178" s="1114" t="s">
        <v>2838</v>
      </c>
      <c r="H2178" s="1103" t="s">
        <v>3020</v>
      </c>
      <c r="I2178" s="1114">
        <f>C12</f>
        <v>562</v>
      </c>
      <c r="J2178" s="1103" t="s">
        <v>2838</v>
      </c>
      <c r="K2178" s="1114">
        <f>(F2178*I2178)</f>
        <v>3372</v>
      </c>
    </row>
    <row r="2179" spans="6:11" ht="24" customHeight="1">
      <c r="H2179" s="1103" t="s">
        <v>234</v>
      </c>
      <c r="K2179" s="1127">
        <v>0.6</v>
      </c>
    </row>
    <row r="2180" spans="6:11" ht="24" customHeight="1">
      <c r="H2180" s="1103" t="s">
        <v>4737</v>
      </c>
      <c r="K2180" s="1114">
        <f>SUM(K2176:K2179)</f>
        <v>9870.6</v>
      </c>
    </row>
    <row r="2181" spans="6:11" ht="24" customHeight="1">
      <c r="K2181" s="1111" t="s">
        <v>36</v>
      </c>
    </row>
    <row r="2182" spans="6:11" ht="24" customHeight="1">
      <c r="H2182" s="1103" t="s">
        <v>4738</v>
      </c>
      <c r="K2182" s="1114">
        <f>(K2180/30)</f>
        <v>329.02000000000004</v>
      </c>
    </row>
    <row r="2183" spans="6:11" ht="24" customHeight="1">
      <c r="K2183" s="1111" t="s">
        <v>2793</v>
      </c>
    </row>
    <row r="2184" spans="6:11" ht="24" customHeight="1">
      <c r="H2184" s="1104" t="s">
        <v>4748</v>
      </c>
      <c r="K2184" s="1114">
        <f>SUM(K2181:K2182)</f>
        <v>329.02000000000004</v>
      </c>
    </row>
    <row r="2185" spans="6:11" ht="24" customHeight="1">
      <c r="K2185" s="1111" t="s">
        <v>2793</v>
      </c>
    </row>
    <row r="2186" spans="6:11" ht="24" customHeight="1">
      <c r="F2186" s="1104" t="s">
        <v>4749</v>
      </c>
      <c r="G2186" s="1114" t="s">
        <v>1363</v>
      </c>
      <c r="H2186" s="1103" t="s">
        <v>4730</v>
      </c>
    </row>
    <row r="2187" spans="6:11" ht="24" customHeight="1">
      <c r="H2187" s="1103" t="s">
        <v>4750</v>
      </c>
    </row>
    <row r="2188" spans="6:11" ht="24" customHeight="1">
      <c r="H2188" s="1111" t="s">
        <v>36</v>
      </c>
    </row>
    <row r="2189" spans="6:11" ht="24" customHeight="1">
      <c r="F2189" s="1114">
        <v>1</v>
      </c>
      <c r="G2189" s="1114" t="s">
        <v>2838</v>
      </c>
      <c r="H2189" s="1103" t="s">
        <v>4751</v>
      </c>
      <c r="I2189" s="1114">
        <f>C206</f>
        <v>100.6</v>
      </c>
      <c r="J2189" s="1103" t="s">
        <v>2838</v>
      </c>
      <c r="K2189" s="1114">
        <f>(F2189*I2189)</f>
        <v>100.6</v>
      </c>
    </row>
    <row r="2190" spans="6:11" ht="24" customHeight="1">
      <c r="F2190" s="1103" t="s">
        <v>220</v>
      </c>
      <c r="H2190" s="1103" t="s">
        <v>4752</v>
      </c>
    </row>
    <row r="2191" spans="6:11" ht="24" customHeight="1">
      <c r="F2191" s="1103" t="s">
        <v>220</v>
      </c>
      <c r="H2191" s="1103" t="s">
        <v>4753</v>
      </c>
      <c r="I2191" s="1104" t="s">
        <v>2851</v>
      </c>
      <c r="K2191" s="1114">
        <v>2.5</v>
      </c>
    </row>
    <row r="2192" spans="6:11" ht="24" customHeight="1">
      <c r="K2192" s="1111" t="s">
        <v>36</v>
      </c>
    </row>
    <row r="2193" spans="6:11" ht="24" customHeight="1">
      <c r="H2193" s="1103" t="s">
        <v>4737</v>
      </c>
      <c r="K2193" s="1114">
        <f>SUM(K2189:K2191)</f>
        <v>103.1</v>
      </c>
    </row>
    <row r="2194" spans="6:11" ht="24" customHeight="1">
      <c r="F2194" s="1104" t="s">
        <v>4749</v>
      </c>
      <c r="G2194" s="1114" t="s">
        <v>1363</v>
      </c>
      <c r="H2194" s="1103" t="s">
        <v>4740</v>
      </c>
      <c r="K2194" s="1111" t="s">
        <v>36</v>
      </c>
    </row>
    <row r="2195" spans="6:11" ht="24" customHeight="1">
      <c r="H2195" s="1103" t="s">
        <v>4750</v>
      </c>
      <c r="K2195" s="1114"/>
    </row>
    <row r="2196" spans="6:11" ht="24" customHeight="1">
      <c r="H2196" s="1111" t="s">
        <v>36</v>
      </c>
      <c r="K2196" s="1111" t="s">
        <v>36</v>
      </c>
    </row>
    <row r="2197" spans="6:11" ht="24" customHeight="1">
      <c r="F2197" s="1105">
        <v>1</v>
      </c>
      <c r="G2197" s="1105" t="s">
        <v>2941</v>
      </c>
      <c r="H2197" s="1103" t="s">
        <v>4754</v>
      </c>
      <c r="J2197" s="1107">
        <f>E206</f>
        <v>139.30000000000001</v>
      </c>
      <c r="K2197" s="1114">
        <f>J2197</f>
        <v>139.30000000000001</v>
      </c>
    </row>
    <row r="2198" spans="6:11" ht="24" customHeight="1">
      <c r="H2198" s="1103" t="s">
        <v>4753</v>
      </c>
      <c r="I2198" s="1104" t="s">
        <v>2851</v>
      </c>
      <c r="K2198" s="1114">
        <v>2.5</v>
      </c>
    </row>
    <row r="2199" spans="6:11" ht="24" customHeight="1">
      <c r="F2199" s="1104" t="s">
        <v>4755</v>
      </c>
      <c r="G2199" s="1114" t="s">
        <v>1363</v>
      </c>
      <c r="H2199" s="1106" t="s">
        <v>4730</v>
      </c>
      <c r="K2199" s="1111" t="s">
        <v>36</v>
      </c>
    </row>
    <row r="2200" spans="6:11" ht="24" customHeight="1">
      <c r="H2200" s="1106" t="s">
        <v>4756</v>
      </c>
      <c r="K2200" s="1114">
        <f>SUM(K2196:K2198)</f>
        <v>141.80000000000001</v>
      </c>
    </row>
    <row r="2201" spans="6:11" ht="24" customHeight="1">
      <c r="H2201" s="1111" t="s">
        <v>36</v>
      </c>
      <c r="K2201" s="1111" t="s">
        <v>36</v>
      </c>
    </row>
    <row r="2202" spans="6:11" ht="24" customHeight="1">
      <c r="F2202" s="1114">
        <v>1</v>
      </c>
      <c r="G2202" s="1114" t="s">
        <v>2838</v>
      </c>
      <c r="H2202" s="1103" t="s">
        <v>4757</v>
      </c>
      <c r="I2202" s="1114">
        <f>C203</f>
        <v>126.8</v>
      </c>
      <c r="J2202" s="1103" t="s">
        <v>2838</v>
      </c>
      <c r="K2202" s="1114">
        <f>(F2202*I2202)</f>
        <v>126.8</v>
      </c>
    </row>
    <row r="2203" spans="6:11" ht="24" customHeight="1">
      <c r="F2203" s="1103" t="s">
        <v>220</v>
      </c>
      <c r="H2203" s="1103" t="s">
        <v>4752</v>
      </c>
    </row>
    <row r="2204" spans="6:11" ht="24" customHeight="1">
      <c r="F2204" s="1103" t="s">
        <v>220</v>
      </c>
      <c r="H2204" s="1103" t="s">
        <v>4753</v>
      </c>
      <c r="I2204" s="1104" t="s">
        <v>2851</v>
      </c>
      <c r="K2204" s="1114">
        <v>3</v>
      </c>
    </row>
    <row r="2205" spans="6:11" ht="24" customHeight="1">
      <c r="K2205" s="1111" t="s">
        <v>36</v>
      </c>
    </row>
    <row r="2206" spans="6:11" ht="24" customHeight="1">
      <c r="H2206" s="1103" t="s">
        <v>4737</v>
      </c>
      <c r="K2206" s="1114">
        <f>SUM(K2202:K2204)</f>
        <v>129.80000000000001</v>
      </c>
    </row>
    <row r="2207" spans="6:11" ht="24" customHeight="1">
      <c r="K2207" s="1111" t="s">
        <v>36</v>
      </c>
    </row>
    <row r="2209" spans="6:12" ht="24" customHeight="1">
      <c r="F2209" s="1104" t="s">
        <v>4758</v>
      </c>
      <c r="G2209" s="1114" t="s">
        <v>1363</v>
      </c>
      <c r="H2209" s="1106" t="s">
        <v>4740</v>
      </c>
    </row>
    <row r="2210" spans="6:12" ht="24" customHeight="1">
      <c r="H2210" s="1106" t="s">
        <v>4756</v>
      </c>
    </row>
    <row r="2211" spans="6:12" ht="24" customHeight="1">
      <c r="H2211" s="1111" t="s">
        <v>36</v>
      </c>
    </row>
    <row r="2212" spans="6:12" ht="24" customHeight="1">
      <c r="F2212" s="1114">
        <v>1</v>
      </c>
      <c r="G2212" s="1114" t="s">
        <v>2838</v>
      </c>
      <c r="H2212" s="1103" t="s">
        <v>4759</v>
      </c>
      <c r="I2212" s="1114">
        <f>C208</f>
        <v>164.5</v>
      </c>
      <c r="J2212" s="1103" t="s">
        <v>2838</v>
      </c>
      <c r="K2212" s="1114">
        <f>(F2212*I2212)</f>
        <v>164.5</v>
      </c>
    </row>
    <row r="2213" spans="6:12" ht="24" customHeight="1">
      <c r="F2213" s="1103" t="s">
        <v>220</v>
      </c>
      <c r="H2213" s="1103" t="s">
        <v>4752</v>
      </c>
    </row>
    <row r="2214" spans="6:12" ht="24" customHeight="1">
      <c r="F2214" s="1103" t="s">
        <v>220</v>
      </c>
      <c r="H2214" s="1103" t="s">
        <v>4753</v>
      </c>
      <c r="I2214" s="1104" t="s">
        <v>2851</v>
      </c>
      <c r="K2214" s="1114">
        <v>3</v>
      </c>
    </row>
    <row r="2215" spans="6:12" ht="24" customHeight="1">
      <c r="K2215" s="1111" t="s">
        <v>36</v>
      </c>
    </row>
    <row r="2216" spans="6:12" ht="24" customHeight="1">
      <c r="H2216" s="1106" t="s">
        <v>4737</v>
      </c>
      <c r="K2216" s="1114">
        <f>SUM(K2212:K2214)</f>
        <v>167.5</v>
      </c>
    </row>
    <row r="2217" spans="6:12" ht="24" customHeight="1">
      <c r="K2217" s="1111" t="s">
        <v>36</v>
      </c>
    </row>
    <row r="2218" spans="6:12" ht="24" customHeight="1">
      <c r="F2218" s="1104" t="s">
        <v>4760</v>
      </c>
      <c r="H2218" s="1106" t="s">
        <v>4761</v>
      </c>
    </row>
    <row r="2219" spans="6:12" ht="24" customHeight="1">
      <c r="H2219" s="1106" t="s">
        <v>4762</v>
      </c>
    </row>
    <row r="2220" spans="6:12" ht="24" customHeight="1">
      <c r="H2220" s="1111" t="s">
        <v>36</v>
      </c>
    </row>
    <row r="2221" spans="6:12" ht="24" customHeight="1">
      <c r="F2221" s="1114">
        <v>2.5</v>
      </c>
      <c r="G2221" s="1114" t="s">
        <v>4763</v>
      </c>
      <c r="H2221" s="1103" t="s">
        <v>4761</v>
      </c>
      <c r="I2221" s="1114">
        <f>C588</f>
        <v>30</v>
      </c>
      <c r="J2221" s="1103">
        <v>2.5</v>
      </c>
      <c r="K2221" s="1114">
        <f>(F2221*I2221)/F2221</f>
        <v>30</v>
      </c>
      <c r="L2221" s="1105">
        <f>1394*1.62-K2252</f>
        <v>-1571.3569999999995</v>
      </c>
    </row>
    <row r="2222" spans="6:12" ht="24" customHeight="1">
      <c r="H2222" s="1103" t="s">
        <v>4764</v>
      </c>
      <c r="J2222" s="1103" t="s">
        <v>4763</v>
      </c>
    </row>
    <row r="2223" spans="6:12" ht="24" customHeight="1">
      <c r="G2223" s="1114" t="s">
        <v>2851</v>
      </c>
      <c r="H2223" s="1103" t="s">
        <v>4765</v>
      </c>
      <c r="J2223" s="1103" t="s">
        <v>2851</v>
      </c>
      <c r="K2223" s="1114">
        <v>1.87</v>
      </c>
    </row>
    <row r="2224" spans="6:12" ht="24" customHeight="1">
      <c r="K2224" s="1111" t="s">
        <v>36</v>
      </c>
    </row>
    <row r="2225" spans="6:11" ht="24" customHeight="1">
      <c r="H2225" s="1118" t="s">
        <v>4748</v>
      </c>
      <c r="K2225" s="1115">
        <f>SUM(K2221:K2223)</f>
        <v>31.87</v>
      </c>
    </row>
    <row r="2226" spans="6:11" ht="24" customHeight="1">
      <c r="K2226" s="1111" t="s">
        <v>2793</v>
      </c>
    </row>
    <row r="2228" spans="6:11" ht="24" customHeight="1">
      <c r="F2228" s="1104" t="s">
        <v>4766</v>
      </c>
      <c r="G2228" s="1114" t="s">
        <v>1363</v>
      </c>
      <c r="H2228" s="1103" t="s">
        <v>4767</v>
      </c>
    </row>
    <row r="2229" spans="6:11" ht="24" customHeight="1">
      <c r="H2229" s="1103" t="s">
        <v>4768</v>
      </c>
    </row>
    <row r="2230" spans="6:11" ht="24" customHeight="1">
      <c r="H2230" s="1103" t="s">
        <v>4769</v>
      </c>
    </row>
    <row r="2231" spans="6:11" ht="24" customHeight="1">
      <c r="H2231" s="1103" t="s">
        <v>4770</v>
      </c>
    </row>
    <row r="2232" spans="6:11" ht="24" customHeight="1">
      <c r="H2232" s="1103" t="s">
        <v>4771</v>
      </c>
    </row>
    <row r="2233" spans="6:11" ht="24" customHeight="1">
      <c r="H2233" s="1103" t="s">
        <v>4772</v>
      </c>
    </row>
    <row r="2234" spans="6:11" ht="24" customHeight="1">
      <c r="H2234" s="1103" t="s">
        <v>4773</v>
      </c>
    </row>
    <row r="2235" spans="6:11" ht="24" customHeight="1">
      <c r="H2235" s="1103" t="s">
        <v>4774</v>
      </c>
    </row>
    <row r="2236" spans="6:11" ht="24" customHeight="1">
      <c r="H2236" s="1103" t="s">
        <v>4775</v>
      </c>
    </row>
    <row r="2237" spans="6:11" ht="24" customHeight="1">
      <c r="H2237" s="1103" t="s">
        <v>4776</v>
      </c>
    </row>
    <row r="2238" spans="6:11" ht="24" customHeight="1">
      <c r="H2238" s="1103" t="s">
        <v>4777</v>
      </c>
    </row>
    <row r="2239" spans="6:11" ht="24" customHeight="1">
      <c r="H2239" s="1103" t="s">
        <v>4778</v>
      </c>
    </row>
    <row r="2240" spans="6:11" ht="24" customHeight="1">
      <c r="H2240" s="1111" t="s">
        <v>36</v>
      </c>
      <c r="I2240" s="1111" t="s">
        <v>36</v>
      </c>
    </row>
    <row r="2241" spans="6:13" ht="24" customHeight="1">
      <c r="F2241" s="1103" t="s">
        <v>220</v>
      </c>
    </row>
    <row r="2242" spans="6:13" ht="24" customHeight="1">
      <c r="F2242" s="1144">
        <v>1.7399999999999999E-2</v>
      </c>
      <c r="G2242" s="1114" t="s">
        <v>16</v>
      </c>
      <c r="H2242" s="1103" t="s">
        <v>4779</v>
      </c>
      <c r="I2242" s="1114">
        <f>C86</f>
        <v>34300</v>
      </c>
      <c r="J2242" s="1103" t="s">
        <v>16</v>
      </c>
      <c r="K2242" s="1114">
        <f t="shared" ref="K2242:K2249" si="236">F2242*I2242</f>
        <v>596.81999999999994</v>
      </c>
    </row>
    <row r="2243" spans="6:13" ht="24" customHeight="1">
      <c r="F2243" s="1144">
        <v>2.93E-2</v>
      </c>
      <c r="G2243" s="1114" t="s">
        <v>16</v>
      </c>
      <c r="H2243" s="1103" t="s">
        <v>4780</v>
      </c>
      <c r="I2243" s="1114">
        <f>C87</f>
        <v>39400</v>
      </c>
      <c r="J2243" s="1103" t="s">
        <v>16</v>
      </c>
      <c r="K2243" s="1114">
        <f t="shared" si="236"/>
        <v>1154.42</v>
      </c>
    </row>
    <row r="2244" spans="6:13" ht="24" customHeight="1">
      <c r="F2244" s="1144">
        <v>1.093</v>
      </c>
      <c r="G2244" s="1114" t="s">
        <v>37</v>
      </c>
      <c r="H2244" s="1103" t="s">
        <v>4781</v>
      </c>
      <c r="I2244" s="1114">
        <f>C199</f>
        <v>339</v>
      </c>
      <c r="J2244" s="1103" t="s">
        <v>37</v>
      </c>
      <c r="K2244" s="1114">
        <f t="shared" si="236"/>
        <v>370.52699999999999</v>
      </c>
    </row>
    <row r="2245" spans="6:13" ht="24" customHeight="1">
      <c r="F2245" s="1114">
        <v>6</v>
      </c>
      <c r="G2245" s="1114" t="s">
        <v>314</v>
      </c>
      <c r="H2245" s="1103" t="s">
        <v>4782</v>
      </c>
      <c r="I2245" s="1114">
        <f>C297</f>
        <v>7</v>
      </c>
      <c r="J2245" s="1103" t="s">
        <v>522</v>
      </c>
      <c r="K2245" s="1114">
        <f t="shared" si="236"/>
        <v>42</v>
      </c>
    </row>
    <row r="2246" spans="6:13" ht="24" customHeight="1">
      <c r="F2246" s="1114">
        <v>1</v>
      </c>
      <c r="G2246" s="1114" t="s">
        <v>314</v>
      </c>
      <c r="H2246" s="1103" t="s">
        <v>4783</v>
      </c>
      <c r="I2246" s="1114">
        <f>C287</f>
        <v>94.1</v>
      </c>
      <c r="J2246" s="1103" t="s">
        <v>522</v>
      </c>
      <c r="K2246" s="1114">
        <f t="shared" si="236"/>
        <v>94.1</v>
      </c>
    </row>
    <row r="2247" spans="6:13" ht="24" customHeight="1">
      <c r="F2247" s="1114">
        <v>2</v>
      </c>
      <c r="G2247" s="1114" t="s">
        <v>314</v>
      </c>
      <c r="H2247" s="1103" t="s">
        <v>4784</v>
      </c>
      <c r="I2247" s="1114">
        <f>C308</f>
        <v>3</v>
      </c>
      <c r="J2247" s="1103" t="s">
        <v>522</v>
      </c>
      <c r="K2247" s="1114">
        <f t="shared" si="236"/>
        <v>6</v>
      </c>
    </row>
    <row r="2248" spans="6:13" ht="24" customHeight="1">
      <c r="F2248" s="1114">
        <v>6</v>
      </c>
      <c r="G2248" s="1114" t="s">
        <v>314</v>
      </c>
      <c r="H2248" s="1103" t="s">
        <v>4785</v>
      </c>
      <c r="I2248" s="1114">
        <v>10.5</v>
      </c>
      <c r="J2248" s="1103" t="s">
        <v>522</v>
      </c>
      <c r="K2248" s="1114">
        <f t="shared" si="236"/>
        <v>63</v>
      </c>
    </row>
    <row r="2249" spans="6:13" ht="24" customHeight="1">
      <c r="F2249" s="1128">
        <v>1.62</v>
      </c>
      <c r="G2249" s="1114" t="s">
        <v>37</v>
      </c>
      <c r="H2249" s="1103" t="s">
        <v>4786</v>
      </c>
      <c r="I2249" s="1114">
        <f>D33</f>
        <v>925</v>
      </c>
      <c r="J2249" s="1103" t="s">
        <v>37</v>
      </c>
      <c r="K2249" s="1114">
        <f t="shared" si="236"/>
        <v>1498.5</v>
      </c>
    </row>
    <row r="2250" spans="6:13" ht="24" customHeight="1">
      <c r="G2250" s="1114" t="s">
        <v>2851</v>
      </c>
      <c r="H2250" s="1103" t="s">
        <v>4787</v>
      </c>
      <c r="J2250" s="1103" t="s">
        <v>2851</v>
      </c>
      <c r="K2250" s="1114">
        <v>4.2699999999999996</v>
      </c>
    </row>
    <row r="2251" spans="6:13" ht="24" customHeight="1">
      <c r="K2251" s="1111" t="s">
        <v>36</v>
      </c>
    </row>
    <row r="2252" spans="6:13" ht="24" customHeight="1">
      <c r="H2252" s="1118" t="s">
        <v>4788</v>
      </c>
      <c r="K2252" s="1115">
        <f>SUM(K2242:K2250)</f>
        <v>3829.6369999999997</v>
      </c>
    </row>
    <row r="2253" spans="6:13" ht="24" customHeight="1">
      <c r="K2253" s="1138" t="s">
        <v>36</v>
      </c>
    </row>
    <row r="2254" spans="6:13" ht="24" customHeight="1">
      <c r="K2254" s="1119"/>
    </row>
    <row r="2255" spans="6:13" ht="24" customHeight="1">
      <c r="H2255" s="1118" t="s">
        <v>4789</v>
      </c>
      <c r="I2255" s="1103" t="s">
        <v>220</v>
      </c>
      <c r="K2255" s="1115">
        <f>K2252/1.62</f>
        <v>2363.9734567901232</v>
      </c>
      <c r="M2255" s="1105">
        <f>1921*1.62</f>
        <v>3112.02</v>
      </c>
    </row>
    <row r="2256" spans="6:13" ht="15" customHeight="1">
      <c r="F2256" s="1103" t="s">
        <v>220</v>
      </c>
      <c r="G2256" s="1114" t="s">
        <v>220</v>
      </c>
      <c r="H2256" s="1103" t="s">
        <v>220</v>
      </c>
      <c r="I2256" s="1103" t="s">
        <v>220</v>
      </c>
      <c r="J2256" s="1103" t="s">
        <v>220</v>
      </c>
      <c r="M2256" s="1105">
        <f>M2255-K2252</f>
        <v>-717.61699999999973</v>
      </c>
    </row>
    <row r="2257" spans="6:12" ht="13.5" hidden="1" customHeight="1"/>
    <row r="2258" spans="6:12" ht="24" customHeight="1">
      <c r="G2258" s="1114" t="s">
        <v>3171</v>
      </c>
      <c r="H2258" s="1106" t="s">
        <v>3846</v>
      </c>
    </row>
    <row r="2259" spans="6:12" ht="24" customHeight="1">
      <c r="H2259" s="1103" t="s">
        <v>4790</v>
      </c>
      <c r="L2259" s="1105">
        <f>3.6*1.1</f>
        <v>3.9600000000000004</v>
      </c>
    </row>
    <row r="2260" spans="6:12" ht="24" customHeight="1">
      <c r="F2260" s="1103" t="s">
        <v>220</v>
      </c>
      <c r="H2260" s="1103" t="s">
        <v>4791</v>
      </c>
      <c r="L2260" s="1105">
        <f>3.6*1.6</f>
        <v>5.7600000000000007</v>
      </c>
    </row>
    <row r="2261" spans="6:12" ht="35.25" customHeight="1">
      <c r="F2261" s="1104" t="s">
        <v>4792</v>
      </c>
      <c r="H2261" s="1103" t="s">
        <v>3850</v>
      </c>
      <c r="K2261" s="1114">
        <f>[8]Elec.Data!K2860</f>
        <v>1499.29</v>
      </c>
    </row>
    <row r="2262" spans="6:12" ht="30.75" customHeight="1">
      <c r="F2262" s="1104" t="s">
        <v>4793</v>
      </c>
      <c r="H2262" s="1104" t="s">
        <v>3854</v>
      </c>
      <c r="K2262" s="1114">
        <f>[8]Elec.Data!K2884</f>
        <v>1503.34</v>
      </c>
    </row>
    <row r="2263" spans="6:12" ht="30.75" customHeight="1">
      <c r="F2263" s="1104" t="s">
        <v>4794</v>
      </c>
      <c r="H2263" s="1103" t="s">
        <v>3917</v>
      </c>
      <c r="K2263" s="1114">
        <f>[8]Elec.Data!K2899</f>
        <v>1531.07</v>
      </c>
    </row>
    <row r="2264" spans="6:12" ht="30.75" customHeight="1">
      <c r="F2264" s="1126">
        <v>65</v>
      </c>
      <c r="H2264" s="1103" t="s">
        <v>3856</v>
      </c>
      <c r="K2264" s="1114">
        <f>[8]Elec.Data!K2921</f>
        <v>1565.5</v>
      </c>
    </row>
    <row r="2265" spans="6:12" ht="30.75" customHeight="1">
      <c r="F2265" s="1126">
        <v>66</v>
      </c>
      <c r="H2265" s="1103" t="s">
        <v>3863</v>
      </c>
      <c r="K2265" s="1114">
        <f>[8]Elec.Data!K2945</f>
        <v>2802.19</v>
      </c>
    </row>
    <row r="2266" spans="6:12" ht="30.75" customHeight="1">
      <c r="F2266" s="1126">
        <v>67</v>
      </c>
      <c r="H2266" s="1103" t="s">
        <v>3859</v>
      </c>
      <c r="K2266" s="1114">
        <f>[8]Elec.Data!K2977</f>
        <v>764.91</v>
      </c>
    </row>
    <row r="2267" spans="6:12" ht="30.75" customHeight="1">
      <c r="F2267" s="1126">
        <v>68</v>
      </c>
      <c r="H2267" s="1103" t="s">
        <v>3861</v>
      </c>
      <c r="K2267" s="1114">
        <f>[8]Elec.Data!K2965</f>
        <v>1041.2</v>
      </c>
    </row>
    <row r="2268" spans="6:12" ht="30.75" customHeight="1">
      <c r="F2268" s="1126">
        <v>69</v>
      </c>
      <c r="H2268" s="1103" t="s">
        <v>4795</v>
      </c>
      <c r="K2268" s="1114">
        <f>[8]Elec.Data!K2988</f>
        <v>138.69999999999999</v>
      </c>
    </row>
    <row r="2269" spans="6:12" ht="30.75" customHeight="1">
      <c r="F2269" s="1126" t="s">
        <v>4796</v>
      </c>
      <c r="H2269" s="1103" t="s">
        <v>3926</v>
      </c>
      <c r="K2269" s="1114">
        <f>[8]Elec.Data!K3135</f>
        <v>486.5</v>
      </c>
    </row>
    <row r="2270" spans="6:12" ht="30.75" customHeight="1">
      <c r="F2270" s="1126" t="s">
        <v>4797</v>
      </c>
      <c r="H2270" s="1103" t="s">
        <v>4798</v>
      </c>
      <c r="J2270" s="1109"/>
      <c r="K2270" s="1114"/>
      <c r="L2270" s="1105">
        <f>37.7*90</f>
        <v>3393.0000000000005</v>
      </c>
    </row>
    <row r="2271" spans="6:12" ht="30.75" customHeight="1">
      <c r="F2271" s="1126" t="s">
        <v>4799</v>
      </c>
      <c r="H2271" s="1103" t="s">
        <v>4800</v>
      </c>
      <c r="K2271" s="1114">
        <v>12</v>
      </c>
    </row>
    <row r="2272" spans="6:12" ht="24" customHeight="1">
      <c r="F2272" s="1126" t="s">
        <v>4801</v>
      </c>
      <c r="H2272" s="1103" t="s">
        <v>4802</v>
      </c>
      <c r="K2272" s="1114">
        <v>10</v>
      </c>
    </row>
    <row r="2273" spans="6:11" ht="24" customHeight="1">
      <c r="F2273" s="1126">
        <v>71</v>
      </c>
      <c r="H2273" s="1103" t="s">
        <v>3927</v>
      </c>
      <c r="K2273" s="1114">
        <f>[8]Elec.Data!K3173</f>
        <v>1308</v>
      </c>
    </row>
    <row r="2274" spans="6:11" ht="24" customHeight="1">
      <c r="F2274" s="1126">
        <v>72</v>
      </c>
      <c r="H2274" s="1103" t="s">
        <v>4803</v>
      </c>
      <c r="K2274" s="1114">
        <v>33.9</v>
      </c>
    </row>
    <row r="2275" spans="6:11" ht="24" customHeight="1">
      <c r="F2275" s="1126" t="s">
        <v>4804</v>
      </c>
      <c r="H2275" s="1103" t="s">
        <v>3930</v>
      </c>
      <c r="K2275" s="1114">
        <f>[8]Elec.Data!K3233</f>
        <v>4116.8500000000004</v>
      </c>
    </row>
    <row r="2276" spans="6:11" ht="24" customHeight="1">
      <c r="F2276" s="1126" t="s">
        <v>4805</v>
      </c>
      <c r="H2276" s="1103" t="s">
        <v>4806</v>
      </c>
      <c r="K2276" s="1114">
        <f>[8]Elec.Data!K3221</f>
        <v>3342.85</v>
      </c>
    </row>
    <row r="2277" spans="6:11" ht="24" customHeight="1">
      <c r="F2277" s="1126">
        <v>74</v>
      </c>
      <c r="H2277" s="1103" t="s">
        <v>3931</v>
      </c>
      <c r="K2277" s="1114">
        <f>[8]Elec.Data!K3277</f>
        <v>520.79999999999995</v>
      </c>
    </row>
    <row r="2278" spans="6:11" ht="24" customHeight="1">
      <c r="F2278" s="1126" t="s">
        <v>4807</v>
      </c>
      <c r="H2278" s="1103" t="s">
        <v>4808</v>
      </c>
      <c r="K2278" s="1114">
        <v>1185</v>
      </c>
    </row>
    <row r="2279" spans="6:11" ht="24" customHeight="1">
      <c r="F2279" s="1126" t="s">
        <v>4809</v>
      </c>
      <c r="H2279" s="1103" t="s">
        <v>3934</v>
      </c>
    </row>
    <row r="2280" spans="6:11" ht="24" customHeight="1">
      <c r="F2280" s="1126">
        <v>112</v>
      </c>
      <c r="H2280" s="1103" t="s">
        <v>4810</v>
      </c>
      <c r="K2280" s="1114">
        <f>[8]Elec.Data!K3744</f>
        <v>1967.5</v>
      </c>
    </row>
    <row r="2281" spans="6:11" ht="34.5" customHeight="1">
      <c r="F2281" s="1126">
        <v>76</v>
      </c>
      <c r="H2281" s="1103" t="s">
        <v>3936</v>
      </c>
      <c r="K2281" s="1114">
        <f>[8]Elec.Data!K3295</f>
        <v>21</v>
      </c>
    </row>
    <row r="2282" spans="6:11" ht="31.5" customHeight="1">
      <c r="F2282" s="1126">
        <v>77</v>
      </c>
      <c r="H2282" s="1103" t="s">
        <v>4811</v>
      </c>
      <c r="K2282" s="1114">
        <f>[8]Elec.Data!K3080</f>
        <v>192.58</v>
      </c>
    </row>
    <row r="2283" spans="6:11" ht="38.25" customHeight="1">
      <c r="F2283" s="1131">
        <v>77.099999999999994</v>
      </c>
      <c r="H2283" s="1129" t="s">
        <v>4812</v>
      </c>
      <c r="K2283" s="1127">
        <f>[8]Elec.Data!K3105</f>
        <v>246.68</v>
      </c>
    </row>
    <row r="2284" spans="6:11" ht="24" customHeight="1">
      <c r="F2284" s="1131">
        <v>77.2</v>
      </c>
      <c r="H2284" s="1103" t="s">
        <v>4813</v>
      </c>
      <c r="K2284" s="1114">
        <v>500</v>
      </c>
    </row>
    <row r="2285" spans="6:11" ht="24" customHeight="1">
      <c r="F2285" s="1131">
        <v>77.3</v>
      </c>
      <c r="H2285" s="1103" t="s">
        <v>4814</v>
      </c>
      <c r="K2285" s="1114">
        <f>[8]Elec.Data!K3712</f>
        <v>76.67</v>
      </c>
    </row>
    <row r="2286" spans="6:11" ht="24" customHeight="1">
      <c r="F2286" s="1126">
        <v>78</v>
      </c>
      <c r="H2286" s="1103" t="s">
        <v>3942</v>
      </c>
      <c r="K2286" s="1114">
        <f>[8]Elec.Data!K3319</f>
        <v>2723</v>
      </c>
    </row>
    <row r="2287" spans="6:11" ht="24" customHeight="1">
      <c r="F2287" s="1126">
        <v>80</v>
      </c>
      <c r="H2287" s="1103" t="s">
        <v>3948</v>
      </c>
      <c r="K2287" s="1114">
        <f>[8]Elec.Data!K3441</f>
        <v>770.34</v>
      </c>
    </row>
    <row r="2288" spans="6:11" ht="24" customHeight="1">
      <c r="F2288" s="1126">
        <v>81</v>
      </c>
      <c r="H2288" s="1103" t="s">
        <v>3951</v>
      </c>
      <c r="K2288" s="1114">
        <f>K2255</f>
        <v>2363.9734567901232</v>
      </c>
    </row>
    <row r="2289" spans="6:33" ht="24" customHeight="1">
      <c r="F2289" s="1126">
        <v>82</v>
      </c>
      <c r="H2289" s="1103" t="s">
        <v>3953</v>
      </c>
      <c r="K2289" s="1114">
        <f>[8]Elec.Data!K3638</f>
        <v>2774.3</v>
      </c>
    </row>
    <row r="2290" spans="6:33" ht="24" customHeight="1">
      <c r="F2290" s="1126">
        <v>87</v>
      </c>
      <c r="H2290" s="1103" t="s">
        <v>3956</v>
      </c>
      <c r="K2290" s="1114">
        <f>[8]Elec.Data!K3458</f>
        <v>2602.1</v>
      </c>
    </row>
    <row r="2291" spans="6:33" ht="24" customHeight="1">
      <c r="H2291" s="1239" t="s">
        <v>1735</v>
      </c>
      <c r="K2291" s="1114">
        <f>[8]Elec.Data!K3762</f>
        <v>1942.75</v>
      </c>
    </row>
    <row r="2292" spans="6:33" ht="24" customHeight="1">
      <c r="H2292" s="1209" t="s">
        <v>4815</v>
      </c>
      <c r="K2292" s="1114">
        <v>137</v>
      </c>
    </row>
    <row r="2293" spans="6:33" ht="28.5" customHeight="1">
      <c r="F2293" s="1240">
        <v>77.400000000000006</v>
      </c>
      <c r="H2293" s="1137" t="s">
        <v>4816</v>
      </c>
    </row>
    <row r="2294" spans="6:33" ht="27" customHeight="1">
      <c r="H2294" s="1103" t="s">
        <v>4790</v>
      </c>
    </row>
    <row r="2295" spans="6:33" ht="42.75" customHeight="1">
      <c r="F2295" s="1105">
        <v>90</v>
      </c>
      <c r="G2295" s="1105" t="s">
        <v>4817</v>
      </c>
      <c r="H2295" s="1154" t="s">
        <v>4818</v>
      </c>
      <c r="I2295" s="1105">
        <v>19.100000000000001</v>
      </c>
      <c r="J2295" s="1107" t="s">
        <v>4817</v>
      </c>
      <c r="K2295" s="1105">
        <f>I2295*F2295</f>
        <v>1719.0000000000002</v>
      </c>
    </row>
    <row r="2296" spans="6:33" ht="24" customHeight="1">
      <c r="F2296" s="1105">
        <v>0.15</v>
      </c>
      <c r="G2296" s="1105" t="s">
        <v>58</v>
      </c>
      <c r="H2296" s="1105" t="s">
        <v>2830</v>
      </c>
      <c r="I2296" s="1105">
        <f>AC31</f>
        <v>5960</v>
      </c>
      <c r="J2296" s="1107" t="s">
        <v>58</v>
      </c>
      <c r="K2296" s="1105">
        <f>I2296*F2296</f>
        <v>894</v>
      </c>
    </row>
    <row r="2297" spans="6:33" ht="24" customHeight="1">
      <c r="F2297" s="1105">
        <v>1</v>
      </c>
      <c r="G2297" s="1105" t="s">
        <v>2941</v>
      </c>
      <c r="H2297" s="1105" t="s">
        <v>4819</v>
      </c>
      <c r="I2297" s="1105">
        <f>C809</f>
        <v>712</v>
      </c>
      <c r="J2297" s="1107" t="s">
        <v>2941</v>
      </c>
      <c r="K2297" s="1105">
        <f>I2297*F2297</f>
        <v>712</v>
      </c>
    </row>
    <row r="2298" spans="6:33" ht="24" customHeight="1">
      <c r="F2298" s="1105">
        <v>2</v>
      </c>
      <c r="G2298" s="1105" t="s">
        <v>2941</v>
      </c>
      <c r="H2298" s="1105" t="s">
        <v>3017</v>
      </c>
      <c r="I2298" s="1105">
        <f>AE10</f>
        <v>804</v>
      </c>
      <c r="J2298" s="1107" t="s">
        <v>2941</v>
      </c>
      <c r="K2298" s="1105">
        <f>I2298*F2298</f>
        <v>1608</v>
      </c>
    </row>
    <row r="2299" spans="6:33" ht="24" customHeight="1">
      <c r="F2299" s="1105">
        <v>4</v>
      </c>
      <c r="G2299" s="1105" t="s">
        <v>2941</v>
      </c>
      <c r="H2299" s="1105" t="str">
        <f>B810</f>
        <v>Electrical HELPERp-15 it-100</v>
      </c>
      <c r="I2299" s="1105">
        <f>C810</f>
        <v>556</v>
      </c>
      <c r="J2299" s="1107" t="s">
        <v>2941</v>
      </c>
      <c r="K2299" s="1105">
        <f>I2299*F2299</f>
        <v>2224</v>
      </c>
    </row>
    <row r="2300" spans="6:33" ht="24" customHeight="1">
      <c r="H2300" s="1105" t="s">
        <v>4820</v>
      </c>
      <c r="K2300" s="1105">
        <v>11.5</v>
      </c>
    </row>
    <row r="2301" spans="6:33" ht="24" customHeight="1">
      <c r="K2301" s="1111" t="s">
        <v>36</v>
      </c>
    </row>
    <row r="2302" spans="6:33" ht="36.75" customHeight="1">
      <c r="H2302" s="1103" t="s">
        <v>4821</v>
      </c>
      <c r="K2302" s="1114">
        <f>SUM(K2295:K2300)</f>
        <v>7168.5</v>
      </c>
    </row>
    <row r="2303" spans="6:33" ht="24" customHeight="1">
      <c r="K2303" s="1111" t="s">
        <v>36</v>
      </c>
    </row>
    <row r="2304" spans="6:33" ht="24" customHeight="1">
      <c r="H2304" s="1103" t="s">
        <v>4738</v>
      </c>
      <c r="K2304" s="1114">
        <f>(K2302/90)</f>
        <v>79.650000000000006</v>
      </c>
      <c r="AG2304" s="1105">
        <v>0</v>
      </c>
    </row>
    <row r="2305" spans="5:253" ht="24" customHeight="1">
      <c r="K2305" s="1111" t="s">
        <v>2793</v>
      </c>
      <c r="IS2305" s="1105">
        <v>0</v>
      </c>
    </row>
    <row r="2307" spans="5:253" ht="24" customHeight="1">
      <c r="F2307" s="1139">
        <v>78.099999999999994</v>
      </c>
      <c r="H2307" s="1106" t="s">
        <v>4822</v>
      </c>
      <c r="L2307" s="1105">
        <f>31.5+85</f>
        <v>116.5</v>
      </c>
    </row>
    <row r="2308" spans="5:253" ht="24" customHeight="1">
      <c r="H2308" s="1103" t="s">
        <v>4790</v>
      </c>
      <c r="L2308" s="1105">
        <f>L2307*10%</f>
        <v>11.65</v>
      </c>
    </row>
    <row r="2309" spans="5:253" ht="24" customHeight="1">
      <c r="F2309" s="1105">
        <v>2.5</v>
      </c>
      <c r="G2309" s="1105" t="s">
        <v>2941</v>
      </c>
      <c r="H2309" s="1105" t="s">
        <v>4823</v>
      </c>
      <c r="I2309" s="1105">
        <f>C395</f>
        <v>163</v>
      </c>
      <c r="J2309" s="1107" t="s">
        <v>2941</v>
      </c>
      <c r="K2309" s="1105">
        <f t="shared" ref="K2309:K2314" si="237">I2309*F2309</f>
        <v>407.5</v>
      </c>
    </row>
    <row r="2310" spans="5:253" ht="24" customHeight="1">
      <c r="F2310" s="1105">
        <v>20</v>
      </c>
      <c r="G2310" s="1105" t="s">
        <v>4578</v>
      </c>
      <c r="H2310" s="1210" t="s">
        <v>4824</v>
      </c>
      <c r="I2310" s="1241">
        <f>[8]Elec.Data!I3313</f>
        <v>4.96</v>
      </c>
      <c r="J2310" s="1107" t="s">
        <v>4578</v>
      </c>
      <c r="K2310" s="1105">
        <f t="shared" si="237"/>
        <v>99.2</v>
      </c>
    </row>
    <row r="2311" spans="5:253" ht="24" customHeight="1">
      <c r="F2311" s="1105">
        <v>9</v>
      </c>
      <c r="G2311" s="1105" t="s">
        <v>4578</v>
      </c>
      <c r="H2311" s="1105" t="s">
        <v>4825</v>
      </c>
      <c r="I2311" s="1105">
        <f>[8]Elec.Data!I3316</f>
        <v>3.7</v>
      </c>
      <c r="J2311" s="1107" t="s">
        <v>4578</v>
      </c>
      <c r="K2311" s="1105">
        <f t="shared" si="237"/>
        <v>33.300000000000004</v>
      </c>
    </row>
    <row r="2312" spans="5:253" ht="51.75" customHeight="1">
      <c r="F2312" s="1105">
        <v>0.5</v>
      </c>
      <c r="G2312" s="1105" t="s">
        <v>4578</v>
      </c>
      <c r="H2312" s="1105" t="s">
        <v>4826</v>
      </c>
      <c r="I2312" s="1105">
        <f>[8]Elec.Data!I3289</f>
        <v>94.9</v>
      </c>
      <c r="J2312" s="1107" t="s">
        <v>4578</v>
      </c>
      <c r="K2312" s="1105">
        <f t="shared" si="237"/>
        <v>47.45</v>
      </c>
    </row>
    <row r="2313" spans="5:253" ht="36.75" customHeight="1">
      <c r="E2313" s="1108">
        <f>25.2/5</f>
        <v>5.04</v>
      </c>
      <c r="F2313" s="1105">
        <v>0.5</v>
      </c>
      <c r="G2313" s="1105" t="s">
        <v>2941</v>
      </c>
      <c r="H2313" s="1105" t="s">
        <v>4827</v>
      </c>
      <c r="I2313" s="1105">
        <f>I2297</f>
        <v>712</v>
      </c>
      <c r="J2313" s="1107" t="s">
        <v>2941</v>
      </c>
      <c r="K2313" s="1105">
        <f t="shared" si="237"/>
        <v>356</v>
      </c>
    </row>
    <row r="2314" spans="5:253" ht="24" customHeight="1">
      <c r="F2314" s="1105">
        <v>1</v>
      </c>
      <c r="G2314" s="1105" t="s">
        <v>2941</v>
      </c>
      <c r="H2314" s="1105" t="s">
        <v>4828</v>
      </c>
      <c r="I2314" s="1105">
        <f>I2299</f>
        <v>556</v>
      </c>
      <c r="J2314" s="1107" t="s">
        <v>2941</v>
      </c>
      <c r="K2314" s="1105">
        <f t="shared" si="237"/>
        <v>556</v>
      </c>
    </row>
    <row r="2315" spans="5:253" ht="45.75" customHeight="1">
      <c r="G2315" s="1105" t="s">
        <v>1348</v>
      </c>
      <c r="H2315" s="1154" t="s">
        <v>4829</v>
      </c>
      <c r="J2315" s="1107" t="s">
        <v>1348</v>
      </c>
      <c r="K2315" s="1105">
        <v>200</v>
      </c>
    </row>
    <row r="2316" spans="5:253" ht="24" customHeight="1">
      <c r="G2316" s="1105" t="s">
        <v>1348</v>
      </c>
      <c r="H2316" s="1105" t="s">
        <v>4830</v>
      </c>
      <c r="J2316" s="1107" t="s">
        <v>1348</v>
      </c>
      <c r="K2316" s="1105">
        <v>8.32</v>
      </c>
    </row>
    <row r="2317" spans="5:253" ht="24" customHeight="1">
      <c r="K2317" s="1111" t="s">
        <v>36</v>
      </c>
    </row>
    <row r="2318" spans="5:253" ht="24" customHeight="1">
      <c r="H2318" s="1105" t="s">
        <v>4017</v>
      </c>
      <c r="K2318" s="1114">
        <f>SUM(K2309:K2316)</f>
        <v>1707.77</v>
      </c>
      <c r="L2318" s="1105">
        <f>K2352/3</f>
        <v>30.617999999999999</v>
      </c>
    </row>
    <row r="2319" spans="5:253" ht="27" customHeight="1">
      <c r="K2319" s="1111" t="s">
        <v>36</v>
      </c>
    </row>
    <row r="2320" spans="5:253" ht="45" customHeight="1">
      <c r="H2320" s="1119" t="s">
        <v>4831</v>
      </c>
    </row>
    <row r="2321" spans="6:19" ht="24" customHeight="1">
      <c r="F2321" s="1105">
        <v>0.7</v>
      </c>
      <c r="G2321" s="1105" t="s">
        <v>2941</v>
      </c>
      <c r="H2321" s="1105" t="s">
        <v>4832</v>
      </c>
      <c r="I2321" s="1105">
        <f>C17</f>
        <v>760</v>
      </c>
      <c r="J2321" s="1107" t="s">
        <v>522</v>
      </c>
      <c r="K2321" s="1105">
        <f>I2321*F2321</f>
        <v>532</v>
      </c>
      <c r="S2321" s="1108">
        <f>R2359+R2360</f>
        <v>763</v>
      </c>
    </row>
    <row r="2322" spans="6:19" ht="24" customHeight="1">
      <c r="F2322" s="1105">
        <v>0.5</v>
      </c>
      <c r="G2322" s="1105" t="s">
        <v>2941</v>
      </c>
      <c r="H2322" s="1105" t="s">
        <v>4833</v>
      </c>
      <c r="I2322" s="1105">
        <f>C12</f>
        <v>562</v>
      </c>
      <c r="J2322" s="1107" t="s">
        <v>522</v>
      </c>
      <c r="K2322" s="1105">
        <f>I2322*F2322</f>
        <v>281</v>
      </c>
    </row>
    <row r="2323" spans="6:19" ht="24" customHeight="1">
      <c r="H2323" s="1105" t="s">
        <v>4834</v>
      </c>
      <c r="K2323" s="1105">
        <f>SUM(K2321:K2322)</f>
        <v>813</v>
      </c>
    </row>
    <row r="2324" spans="6:19" ht="24" customHeight="1">
      <c r="H2324" s="1105" t="s">
        <v>4835</v>
      </c>
      <c r="K2324" s="1119">
        <f>K2323/8.16</f>
        <v>99.632352941176464</v>
      </c>
    </row>
    <row r="2326" spans="6:19" ht="24" customHeight="1">
      <c r="H2326" s="1119" t="s">
        <v>4836</v>
      </c>
    </row>
    <row r="2327" spans="6:19" ht="24" customHeight="1">
      <c r="F2327" s="1105">
        <v>2</v>
      </c>
      <c r="G2327" s="1105" t="s">
        <v>3236</v>
      </c>
      <c r="H2327" s="1105" t="s">
        <v>4837</v>
      </c>
      <c r="I2327" s="1105">
        <v>61.5</v>
      </c>
      <c r="J2327" s="1107" t="s">
        <v>3236</v>
      </c>
      <c r="K2327" s="1105">
        <f>I2327*F2327</f>
        <v>123</v>
      </c>
    </row>
    <row r="2328" spans="6:19" ht="24" customHeight="1">
      <c r="F2328" s="1105">
        <v>0.2</v>
      </c>
      <c r="G2328" s="1105" t="s">
        <v>3236</v>
      </c>
      <c r="H2328" s="1105" t="s">
        <v>4838</v>
      </c>
      <c r="I2328" s="1105">
        <f>C143/1000</f>
        <v>50.3</v>
      </c>
      <c r="J2328" s="1107" t="s">
        <v>3236</v>
      </c>
      <c r="K2328" s="1105">
        <f>I2328*F2328</f>
        <v>10.06</v>
      </c>
    </row>
    <row r="2329" spans="6:19" ht="24" customHeight="1">
      <c r="F2329" s="1105">
        <v>2</v>
      </c>
      <c r="G2329" s="1105" t="s">
        <v>3236</v>
      </c>
      <c r="H2329" s="1105" t="s">
        <v>4839</v>
      </c>
      <c r="I2329" s="1105">
        <f>K2324</f>
        <v>99.632352941176464</v>
      </c>
      <c r="J2329" s="1107" t="s">
        <v>3236</v>
      </c>
      <c r="K2329" s="1105">
        <f>I2329*F2329</f>
        <v>199.26470588235293</v>
      </c>
    </row>
    <row r="2330" spans="6:19" ht="24" customHeight="1">
      <c r="H2330" s="1105" t="s">
        <v>4840</v>
      </c>
      <c r="K2330" s="1105">
        <f>SUM(K2327:K2329)</f>
        <v>332.32470588235293</v>
      </c>
    </row>
    <row r="2331" spans="6:19" ht="24" customHeight="1">
      <c r="H2331" s="1105" t="s">
        <v>4841</v>
      </c>
      <c r="K2331" s="1119">
        <f>K2330/10</f>
        <v>33.232470588235294</v>
      </c>
    </row>
    <row r="2333" spans="6:19" ht="24" customHeight="1">
      <c r="H2333" s="1119" t="s">
        <v>4842</v>
      </c>
      <c r="O2333" s="1119" t="s">
        <v>4843</v>
      </c>
      <c r="Q2333" s="1107"/>
    </row>
    <row r="2334" spans="6:19" ht="24" customHeight="1">
      <c r="F2334" s="1105">
        <v>0.25</v>
      </c>
      <c r="G2334" s="1105" t="s">
        <v>314</v>
      </c>
      <c r="H2334" s="1105" t="s">
        <v>4844</v>
      </c>
      <c r="I2334" s="1105">
        <f>C11</f>
        <v>804</v>
      </c>
      <c r="J2334" s="1107" t="s">
        <v>522</v>
      </c>
      <c r="K2334" s="1105">
        <f>I2334*F2334</f>
        <v>201</v>
      </c>
      <c r="M2334" s="1105">
        <v>15</v>
      </c>
      <c r="N2334" s="1105" t="s">
        <v>833</v>
      </c>
      <c r="O2334" s="1105" t="s">
        <v>4845</v>
      </c>
      <c r="P2334" s="1105">
        <v>158.69999999999999</v>
      </c>
      <c r="Q2334" s="1107" t="s">
        <v>833</v>
      </c>
      <c r="R2334" s="1105">
        <f>P2334*M2334</f>
        <v>2380.5</v>
      </c>
    </row>
    <row r="2335" spans="6:19" ht="24" customHeight="1">
      <c r="F2335" s="1105">
        <v>1</v>
      </c>
      <c r="G2335" s="1105" t="s">
        <v>314</v>
      </c>
      <c r="H2335" s="1105" t="s">
        <v>4833</v>
      </c>
      <c r="I2335" s="1105">
        <f>C12</f>
        <v>562</v>
      </c>
      <c r="J2335" s="1107" t="s">
        <v>522</v>
      </c>
      <c r="K2335" s="1105">
        <f>I2335*F2335</f>
        <v>562</v>
      </c>
      <c r="M2335" s="1105">
        <v>0.5</v>
      </c>
      <c r="N2335" s="1105" t="s">
        <v>3236</v>
      </c>
      <c r="O2335" s="1105" t="s">
        <v>4838</v>
      </c>
      <c r="P2335" s="1105">
        <f>C143/1000</f>
        <v>50.3</v>
      </c>
      <c r="Q2335" s="1107" t="s">
        <v>3236</v>
      </c>
      <c r="R2335" s="1105">
        <f>P2335*M2335</f>
        <v>25.15</v>
      </c>
    </row>
    <row r="2336" spans="6:19" ht="24" customHeight="1">
      <c r="G2336" s="1107" t="s">
        <v>2851</v>
      </c>
      <c r="H2336" s="1105" t="s">
        <v>4846</v>
      </c>
      <c r="I2336" s="1105">
        <f>SUM(K2334:K2335)*10/100</f>
        <v>76.3</v>
      </c>
      <c r="J2336" s="1107" t="s">
        <v>2851</v>
      </c>
      <c r="K2336" s="1105">
        <f>I2336</f>
        <v>76.3</v>
      </c>
      <c r="M2336" s="1105">
        <v>0.5</v>
      </c>
      <c r="N2336" s="1105" t="s">
        <v>314</v>
      </c>
      <c r="O2336" s="1105" t="s">
        <v>4832</v>
      </c>
      <c r="P2336" s="1105">
        <f>C17</f>
        <v>760</v>
      </c>
      <c r="Q2336" s="1107" t="s">
        <v>3236</v>
      </c>
      <c r="R2336" s="1105">
        <f>P2336*M2336</f>
        <v>380</v>
      </c>
    </row>
    <row r="2337" spans="4:18" ht="24" customHeight="1">
      <c r="H2337" s="1105" t="s">
        <v>4847</v>
      </c>
      <c r="K2337" s="1105">
        <f>SUM(K2334:K2336)</f>
        <v>839.3</v>
      </c>
      <c r="M2337" s="1105">
        <v>0.5</v>
      </c>
      <c r="N2337" s="1105" t="s">
        <v>314</v>
      </c>
      <c r="O2337" s="1105" t="s">
        <v>4833</v>
      </c>
      <c r="P2337" s="1105">
        <f>C12</f>
        <v>562</v>
      </c>
      <c r="Q2337" s="1107" t="s">
        <v>3236</v>
      </c>
      <c r="R2337" s="1105">
        <f>P2337*M2337</f>
        <v>281</v>
      </c>
    </row>
    <row r="2338" spans="4:18" ht="24" customHeight="1">
      <c r="H2338" s="1105" t="s">
        <v>4848</v>
      </c>
      <c r="K2338" s="1119">
        <f>K2337/2.44</f>
        <v>343.97540983606558</v>
      </c>
      <c r="O2338" s="1105" t="s">
        <v>4849</v>
      </c>
      <c r="Q2338" s="1107"/>
      <c r="R2338" s="1105">
        <f>SUM(R2334:R2337)</f>
        <v>3066.65</v>
      </c>
    </row>
    <row r="2339" spans="4:18" ht="24" customHeight="1">
      <c r="K2339" s="1105">
        <v>0</v>
      </c>
      <c r="O2339" s="1119" t="s">
        <v>4850</v>
      </c>
      <c r="Q2339" s="1107"/>
      <c r="R2339" s="1119">
        <f>R2338/15</f>
        <v>204.44333333333333</v>
      </c>
    </row>
    <row r="2340" spans="4:18" ht="24" customHeight="1">
      <c r="H2340" s="1119" t="s">
        <v>4851</v>
      </c>
    </row>
    <row r="2341" spans="4:18" ht="24" customHeight="1">
      <c r="F2341" s="1108">
        <v>7.0999999999999994E-2</v>
      </c>
      <c r="G2341" s="1105" t="s">
        <v>4852</v>
      </c>
      <c r="H2341" s="1105" t="s">
        <v>4853</v>
      </c>
      <c r="I2341" s="1105">
        <f>Y688</f>
        <v>8132.0113076999987</v>
      </c>
      <c r="J2341" s="1107" t="s">
        <v>4854</v>
      </c>
      <c r="K2341" s="1105">
        <f>I2341*F2341</f>
        <v>577.37280284669987</v>
      </c>
    </row>
    <row r="2342" spans="4:18" ht="24" customHeight="1">
      <c r="F2342" s="1105">
        <v>1</v>
      </c>
      <c r="G2342" s="1105" t="s">
        <v>4560</v>
      </c>
      <c r="H2342" s="1105" t="s">
        <v>3238</v>
      </c>
      <c r="I2342" s="1105">
        <f>K2338</f>
        <v>343.97540983606558</v>
      </c>
      <c r="J2342" s="1107" t="s">
        <v>4560</v>
      </c>
      <c r="K2342" s="1105">
        <f>I2342*F2342</f>
        <v>343.97540983606558</v>
      </c>
    </row>
    <row r="2343" spans="4:18" ht="43.5" customHeight="1">
      <c r="F2343" s="1105" t="s">
        <v>220</v>
      </c>
      <c r="H2343" s="1105" t="s">
        <v>4855</v>
      </c>
      <c r="K2343" s="1119">
        <f>SUM(K2341:K2342)</f>
        <v>921.34821268276551</v>
      </c>
      <c r="O2343" s="1500" t="s">
        <v>4856</v>
      </c>
      <c r="P2343" s="1501"/>
      <c r="Q2343" s="1501"/>
    </row>
    <row r="2344" spans="4:18" ht="51" customHeight="1">
      <c r="M2344" s="1105">
        <v>0.47</v>
      </c>
      <c r="N2344" s="1105" t="s">
        <v>16</v>
      </c>
      <c r="O2344" s="1105" t="s">
        <v>4553</v>
      </c>
      <c r="P2344" s="1105">
        <f>K90</f>
        <v>193.20000000000002</v>
      </c>
      <c r="Q2344" s="1107" t="s">
        <v>522</v>
      </c>
      <c r="R2344" s="1105">
        <f>P2344*M2344</f>
        <v>90.804000000000002</v>
      </c>
    </row>
    <row r="2346" spans="4:18" ht="36.75" customHeight="1">
      <c r="H2346" s="1242" t="s">
        <v>4857</v>
      </c>
      <c r="K2346" s="1108"/>
      <c r="M2346" s="1105">
        <v>0.24</v>
      </c>
      <c r="N2346" s="1105" t="s">
        <v>16</v>
      </c>
      <c r="O2346" s="1105" t="s">
        <v>4858</v>
      </c>
      <c r="P2346" s="1105">
        <f>AC15</f>
        <v>1584.06</v>
      </c>
      <c r="Q2346" s="1107" t="s">
        <v>522</v>
      </c>
      <c r="R2346" s="1105">
        <f>P2346*M2346</f>
        <v>380.17439999999999</v>
      </c>
    </row>
    <row r="2347" spans="4:18" ht="41.25" customHeight="1">
      <c r="D2347" s="1105">
        <f>24/5</f>
        <v>4.8</v>
      </c>
      <c r="F2347" s="1105">
        <v>98.5</v>
      </c>
      <c r="G2347" s="1105" t="s">
        <v>1790</v>
      </c>
      <c r="H2347" s="1153" t="s">
        <v>4859</v>
      </c>
      <c r="I2347" s="1108">
        <f>E2313</f>
        <v>5.04</v>
      </c>
      <c r="J2347" s="1107" t="s">
        <v>1790</v>
      </c>
      <c r="K2347" s="1105">
        <f>I2347*F2347</f>
        <v>496.44</v>
      </c>
      <c r="M2347" s="1105">
        <v>0.79</v>
      </c>
      <c r="N2347" s="1107" t="s">
        <v>37</v>
      </c>
      <c r="O2347" s="1153" t="s">
        <v>4860</v>
      </c>
      <c r="P2347" s="1105">
        <f>X559</f>
        <v>1433.9236080969044</v>
      </c>
      <c r="Q2347" s="1107" t="s">
        <v>2851</v>
      </c>
      <c r="R2347" s="1105">
        <f>P2347*M2347</f>
        <v>1132.7996503965546</v>
      </c>
    </row>
    <row r="2348" spans="4:18" ht="24" customHeight="1">
      <c r="F2348" s="1105">
        <v>0.3</v>
      </c>
      <c r="G2348" s="1105" t="s">
        <v>1790</v>
      </c>
      <c r="H2348" s="1105" t="s">
        <v>3929</v>
      </c>
      <c r="I2348" s="1105">
        <f>C16</f>
        <v>842</v>
      </c>
      <c r="J2348" s="1107" t="s">
        <v>522</v>
      </c>
      <c r="K2348" s="1105">
        <f>I2348*F2348</f>
        <v>252.6</v>
      </c>
      <c r="M2348" s="1105">
        <v>0.24</v>
      </c>
      <c r="N2348" s="1105" t="s">
        <v>16</v>
      </c>
      <c r="O2348" s="1105" t="s">
        <v>509</v>
      </c>
      <c r="P2348" s="1105">
        <f>I140</f>
        <v>1835.06</v>
      </c>
      <c r="Q2348" s="1107"/>
      <c r="R2348" s="1105">
        <f>P2348*M2348</f>
        <v>440.41439999999994</v>
      </c>
    </row>
    <row r="2349" spans="4:18" ht="24" customHeight="1">
      <c r="F2349" s="1105">
        <v>0.3</v>
      </c>
      <c r="G2349" s="1105" t="s">
        <v>1790</v>
      </c>
      <c r="H2349" s="1105" t="s">
        <v>4833</v>
      </c>
      <c r="I2349" s="1105">
        <f>C12</f>
        <v>562</v>
      </c>
      <c r="J2349" s="1107" t="s">
        <v>522</v>
      </c>
      <c r="K2349" s="1105">
        <f>I2349*F2349</f>
        <v>168.6</v>
      </c>
      <c r="O2349" s="1105" t="s">
        <v>234</v>
      </c>
      <c r="Q2349" s="1107"/>
      <c r="R2349" s="1105" t="s">
        <v>4861</v>
      </c>
    </row>
    <row r="2350" spans="4:18" ht="24" customHeight="1">
      <c r="H2350" s="1105" t="s">
        <v>14</v>
      </c>
      <c r="K2350" s="1105">
        <v>0.9</v>
      </c>
      <c r="R2350" s="1119">
        <f>SUM(R2344:R2348)</f>
        <v>2044.1924503965545</v>
      </c>
    </row>
    <row r="2351" spans="4:18" ht="24" customHeight="1">
      <c r="H2351" s="1119" t="s">
        <v>4862</v>
      </c>
      <c r="K2351" s="1119">
        <f>SUM(K2347:K2350)</f>
        <v>918.54</v>
      </c>
      <c r="R2351" s="1105" t="s">
        <v>4863</v>
      </c>
    </row>
    <row r="2352" spans="4:18" ht="24" customHeight="1">
      <c r="H2352" s="1119" t="s">
        <v>4864</v>
      </c>
      <c r="K2352" s="1119">
        <f>K2351/10</f>
        <v>91.853999999999999</v>
      </c>
      <c r="R2352" s="1105">
        <v>0</v>
      </c>
    </row>
    <row r="2353" spans="6:18" ht="24" customHeight="1">
      <c r="H2353" s="1119" t="s">
        <v>4865</v>
      </c>
      <c r="K2353" s="1119">
        <f>K2352/3</f>
        <v>30.617999999999999</v>
      </c>
      <c r="O2353" s="1500" t="s">
        <v>4866</v>
      </c>
      <c r="P2353" s="1501"/>
      <c r="Q2353" s="1501"/>
    </row>
    <row r="2354" spans="6:18" ht="24" customHeight="1">
      <c r="G2354" s="1184" t="s">
        <v>4867</v>
      </c>
      <c r="H2354" s="1105" t="s">
        <v>4868</v>
      </c>
      <c r="I2354" s="1119">
        <f>I2356-K2352</f>
        <v>739.36525499999993</v>
      </c>
      <c r="K2354" s="1119"/>
      <c r="M2354" s="1105">
        <v>1</v>
      </c>
      <c r="N2354" s="1105" t="s">
        <v>16</v>
      </c>
      <c r="O2354" s="1105" t="s">
        <v>3238</v>
      </c>
      <c r="P2354" s="1105">
        <f>R2365</f>
        <v>343.97540983606558</v>
      </c>
      <c r="Q2354" s="1107" t="s">
        <v>522</v>
      </c>
      <c r="R2354" s="1105">
        <f>P2354*M2354</f>
        <v>343.97540983606558</v>
      </c>
    </row>
    <row r="2355" spans="6:18" ht="24" customHeight="1">
      <c r="G2355" s="1119"/>
      <c r="I2355" s="1119"/>
      <c r="K2355" s="1119"/>
      <c r="M2355" s="1108">
        <v>7.0999999999999994E-2</v>
      </c>
      <c r="N2355" s="1105" t="s">
        <v>16</v>
      </c>
      <c r="O2355" s="1105" t="s">
        <v>4858</v>
      </c>
      <c r="P2355" s="1105">
        <f>P2346</f>
        <v>1584.06</v>
      </c>
      <c r="Q2355" s="1107" t="s">
        <v>522</v>
      </c>
      <c r="R2355" s="1105">
        <f>P2355*M2355</f>
        <v>112.46825999999999</v>
      </c>
    </row>
    <row r="2356" spans="6:18" ht="24" customHeight="1">
      <c r="G2356" s="1184" t="s">
        <v>3801</v>
      </c>
      <c r="H2356" s="1105" t="s">
        <v>4869</v>
      </c>
      <c r="I2356" s="1119">
        <f>K770</f>
        <v>831.21925499999998</v>
      </c>
      <c r="K2356" s="1119"/>
      <c r="R2356" s="1105" t="s">
        <v>4861</v>
      </c>
    </row>
    <row r="2357" spans="6:18" ht="24" customHeight="1">
      <c r="G2357" s="1119"/>
      <c r="I2357" s="1119"/>
      <c r="K2357" s="1119"/>
      <c r="N2357" s="1107"/>
      <c r="Q2357" s="1107"/>
      <c r="R2357" s="1119">
        <f>SUM(R2354:R2355)</f>
        <v>456.44366983606557</v>
      </c>
    </row>
    <row r="2358" spans="6:18" ht="24" customHeight="1">
      <c r="G2358" s="1184" t="s">
        <v>2235</v>
      </c>
      <c r="H2358" s="1154" t="s">
        <v>4870</v>
      </c>
      <c r="I2358" s="1119">
        <f>I2356*1.2</f>
        <v>997.46310599999993</v>
      </c>
      <c r="K2358" s="1119"/>
      <c r="Q2358" s="1107"/>
      <c r="R2358" s="1105" t="s">
        <v>4861</v>
      </c>
    </row>
    <row r="2359" spans="6:18" ht="24" customHeight="1">
      <c r="G2359" s="1184"/>
      <c r="K2359" s="1119"/>
      <c r="M2359" s="1105">
        <v>0.25</v>
      </c>
      <c r="N2359" s="1105" t="s">
        <v>54</v>
      </c>
      <c r="O2359" s="1105" t="s">
        <v>4871</v>
      </c>
      <c r="P2359" s="1105">
        <f>AE10</f>
        <v>804</v>
      </c>
      <c r="Q2359" s="1107"/>
      <c r="R2359" s="1105">
        <f>P2359*M2359</f>
        <v>201</v>
      </c>
    </row>
    <row r="2360" spans="6:18" ht="24" customHeight="1">
      <c r="G2360" s="1184" t="s">
        <v>4872</v>
      </c>
      <c r="H2360" s="1105" t="s">
        <v>4873</v>
      </c>
      <c r="I2360" s="1119">
        <f>I2356*1.1</f>
        <v>914.34118050000006</v>
      </c>
      <c r="K2360" s="1119"/>
      <c r="M2360" s="1105">
        <v>1</v>
      </c>
      <c r="N2360" s="1105" t="s">
        <v>54</v>
      </c>
      <c r="O2360" s="1105" t="s">
        <v>4874</v>
      </c>
      <c r="P2360" s="1105">
        <f>AE11</f>
        <v>562</v>
      </c>
      <c r="R2360" s="1105">
        <f>P2360*M2360</f>
        <v>562</v>
      </c>
    </row>
    <row r="2361" spans="6:18" ht="42" customHeight="1">
      <c r="K2361" s="1119"/>
      <c r="M2361" s="1105">
        <v>1</v>
      </c>
      <c r="N2361" s="1105" t="s">
        <v>54</v>
      </c>
      <c r="O2361" s="1154" t="s">
        <v>4875</v>
      </c>
      <c r="P2361" s="1105" t="s">
        <v>1348</v>
      </c>
      <c r="R2361" s="1105">
        <f>(R2359+R2360)*10%</f>
        <v>76.3</v>
      </c>
    </row>
    <row r="2362" spans="6:18" ht="24" customHeight="1">
      <c r="R2362" s="1105" t="s">
        <v>4861</v>
      </c>
    </row>
    <row r="2363" spans="6:18" ht="24" customHeight="1">
      <c r="H2363" s="1119" t="s">
        <v>4876</v>
      </c>
      <c r="R2363" s="1119">
        <f>SUM(R2359:R2361)</f>
        <v>839.3</v>
      </c>
    </row>
    <row r="2364" spans="6:18" ht="24" customHeight="1">
      <c r="F2364" s="1105">
        <v>11.5</v>
      </c>
      <c r="G2364" s="1105" t="s">
        <v>37</v>
      </c>
      <c r="H2364" s="1105" t="s">
        <v>4877</v>
      </c>
      <c r="I2364" s="1105">
        <v>187.8</v>
      </c>
      <c r="J2364" s="1107" t="s">
        <v>37</v>
      </c>
      <c r="K2364" s="1105">
        <f t="shared" ref="K2364:K2369" si="238">F2364*I2364</f>
        <v>2159.7000000000003</v>
      </c>
      <c r="R2364" s="1105" t="s">
        <v>4861</v>
      </c>
    </row>
    <row r="2365" spans="6:18" ht="24" customHeight="1">
      <c r="F2365" s="1105">
        <v>2</v>
      </c>
      <c r="G2365" s="1105" t="s">
        <v>4878</v>
      </c>
      <c r="H2365" s="1105" t="s">
        <v>4879</v>
      </c>
      <c r="I2365" s="1105">
        <v>194.5</v>
      </c>
      <c r="J2365" s="1107" t="s">
        <v>4880</v>
      </c>
      <c r="K2365" s="1105">
        <f t="shared" si="238"/>
        <v>389</v>
      </c>
      <c r="R2365" s="1105">
        <f>R2363/2.44</f>
        <v>343.97540983606558</v>
      </c>
    </row>
    <row r="2366" spans="6:18" ht="24" customHeight="1">
      <c r="F2366" s="1105">
        <v>20</v>
      </c>
      <c r="G2366" s="1105" t="s">
        <v>4881</v>
      </c>
      <c r="H2366" s="1132" t="s">
        <v>4882</v>
      </c>
      <c r="I2366" s="1105">
        <v>3.88</v>
      </c>
      <c r="J2366" s="1107" t="s">
        <v>4881</v>
      </c>
      <c r="K2366" s="1105">
        <f t="shared" si="238"/>
        <v>77.599999999999994</v>
      </c>
    </row>
    <row r="2367" spans="6:18" ht="24" customHeight="1">
      <c r="F2367" s="1105">
        <v>2.2000000000000002</v>
      </c>
      <c r="G2367" s="1105" t="s">
        <v>54</v>
      </c>
      <c r="H2367" s="1105" t="s">
        <v>4883</v>
      </c>
      <c r="I2367" s="1105">
        <f>AE18</f>
        <v>739</v>
      </c>
      <c r="J2367" s="1107" t="s">
        <v>522</v>
      </c>
      <c r="K2367" s="1105">
        <f t="shared" si="238"/>
        <v>1625.8000000000002</v>
      </c>
    </row>
    <row r="2368" spans="6:18" ht="24" customHeight="1">
      <c r="F2368" s="1105">
        <v>1.1000000000000001</v>
      </c>
      <c r="G2368" s="1105" t="s">
        <v>54</v>
      </c>
      <c r="H2368" s="1105" t="s">
        <v>4884</v>
      </c>
      <c r="I2368" s="1105">
        <f>C16</f>
        <v>842</v>
      </c>
      <c r="J2368" s="1107" t="s">
        <v>522</v>
      </c>
      <c r="K2368" s="1105">
        <f t="shared" si="238"/>
        <v>926.2</v>
      </c>
    </row>
    <row r="2369" spans="6:18" ht="24" customHeight="1">
      <c r="F2369" s="1105">
        <v>3.2</v>
      </c>
      <c r="G2369" s="1105" t="s">
        <v>54</v>
      </c>
      <c r="H2369" s="1105" t="s">
        <v>4885</v>
      </c>
      <c r="I2369" s="1105">
        <f>C12</f>
        <v>562</v>
      </c>
      <c r="J2369" s="1107" t="s">
        <v>522</v>
      </c>
      <c r="K2369" s="1105">
        <f t="shared" si="238"/>
        <v>1798.4</v>
      </c>
      <c r="O2369" s="1109"/>
    </row>
    <row r="2370" spans="6:18" ht="24" customHeight="1">
      <c r="H2370" s="1105" t="s">
        <v>4886</v>
      </c>
      <c r="J2370" s="1107" t="s">
        <v>2851</v>
      </c>
      <c r="K2370" s="1105">
        <v>0.5</v>
      </c>
      <c r="O2370" s="1243" t="s">
        <v>4887</v>
      </c>
      <c r="Q2370" s="1107"/>
    </row>
    <row r="2371" spans="6:18" ht="24" customHeight="1">
      <c r="K2371" s="1132" t="s">
        <v>4164</v>
      </c>
      <c r="M2371" s="1105">
        <v>11</v>
      </c>
      <c r="N2371" s="1105" t="s">
        <v>37</v>
      </c>
      <c r="O2371" s="1105" t="s">
        <v>4888</v>
      </c>
      <c r="P2371" s="1105">
        <f>I2364</f>
        <v>187.8</v>
      </c>
      <c r="Q2371" s="1107" t="s">
        <v>37</v>
      </c>
      <c r="R2371" s="1105">
        <f>M2371*P2371</f>
        <v>2065.8000000000002</v>
      </c>
    </row>
    <row r="2372" spans="6:18" ht="24" customHeight="1">
      <c r="H2372" s="1243" t="s">
        <v>4889</v>
      </c>
      <c r="K2372" s="1119">
        <f>SUM(K2364:K2371)</f>
        <v>6977.2000000000007</v>
      </c>
      <c r="M2372" s="1105">
        <v>20</v>
      </c>
      <c r="N2372" s="1107" t="s">
        <v>1671</v>
      </c>
      <c r="O2372" s="1105" t="s">
        <v>4890</v>
      </c>
      <c r="P2372" s="1105">
        <f>I2366</f>
        <v>3.88</v>
      </c>
      <c r="Q2372" s="1107" t="s">
        <v>1671</v>
      </c>
      <c r="R2372" s="1105">
        <f>M2372*P2372</f>
        <v>77.599999999999994</v>
      </c>
    </row>
    <row r="2373" spans="6:18" ht="24" customHeight="1">
      <c r="K2373" s="1132" t="s">
        <v>4164</v>
      </c>
      <c r="M2373" s="1105">
        <v>2.2000000000000002</v>
      </c>
      <c r="N2373" s="1105" t="s">
        <v>54</v>
      </c>
      <c r="O2373" s="1105" t="s">
        <v>4883</v>
      </c>
      <c r="P2373" s="1105">
        <f>AE18</f>
        <v>739</v>
      </c>
      <c r="Q2373" s="1107" t="s">
        <v>522</v>
      </c>
      <c r="R2373" s="1105">
        <f>M2373*P2373</f>
        <v>1625.8000000000002</v>
      </c>
    </row>
    <row r="2374" spans="6:18" ht="24" customHeight="1">
      <c r="H2374" s="1243" t="s">
        <v>4541</v>
      </c>
      <c r="I2374" s="1105" t="s">
        <v>220</v>
      </c>
      <c r="K2374" s="1119">
        <f>K2372/10</f>
        <v>697.72</v>
      </c>
      <c r="M2374" s="1105">
        <v>1.1000000000000001</v>
      </c>
      <c r="N2374" s="1105" t="s">
        <v>54</v>
      </c>
      <c r="O2374" s="1105" t="s">
        <v>4884</v>
      </c>
      <c r="P2374" s="1105">
        <f>I2368</f>
        <v>842</v>
      </c>
      <c r="Q2374" s="1107" t="s">
        <v>522</v>
      </c>
      <c r="R2374" s="1105">
        <f>M2374*P2374</f>
        <v>926.2</v>
      </c>
    </row>
    <row r="2375" spans="6:18" ht="24" customHeight="1">
      <c r="K2375" s="1132" t="s">
        <v>4164</v>
      </c>
      <c r="M2375" s="1105">
        <v>3.2</v>
      </c>
      <c r="N2375" s="1105" t="s">
        <v>54</v>
      </c>
      <c r="O2375" s="1105" t="s">
        <v>4885</v>
      </c>
      <c r="P2375" s="1105">
        <f>I2369</f>
        <v>562</v>
      </c>
      <c r="Q2375" s="1107" t="s">
        <v>522</v>
      </c>
      <c r="R2375" s="1105">
        <f>M2375*P2375</f>
        <v>1798.4</v>
      </c>
    </row>
    <row r="2376" spans="6:18" ht="24" customHeight="1">
      <c r="O2376" s="1105" t="s">
        <v>4886</v>
      </c>
      <c r="Q2376" s="1107" t="s">
        <v>1348</v>
      </c>
      <c r="R2376" s="1105">
        <v>0.74</v>
      </c>
    </row>
    <row r="2378" spans="6:18" ht="39" customHeight="1">
      <c r="H2378" s="1242" t="s">
        <v>4891</v>
      </c>
      <c r="Q2378" s="1107"/>
      <c r="R2378" s="1132" t="s">
        <v>4164</v>
      </c>
    </row>
    <row r="2379" spans="6:18" ht="24" customHeight="1">
      <c r="O2379" s="1243" t="s">
        <v>4889</v>
      </c>
      <c r="Q2379" s="1107"/>
      <c r="R2379" s="1119">
        <f>SUM(R2371:R2378)</f>
        <v>6494.5400000000009</v>
      </c>
    </row>
    <row r="2380" spans="6:18" ht="24" customHeight="1">
      <c r="F2380" s="1105" t="s">
        <v>3137</v>
      </c>
      <c r="H2380" s="1105" t="s">
        <v>4892</v>
      </c>
      <c r="Q2380" s="1107"/>
      <c r="R2380" s="1132" t="s">
        <v>4164</v>
      </c>
    </row>
    <row r="2381" spans="6:18" ht="24" customHeight="1">
      <c r="H2381" s="1105" t="s">
        <v>4893</v>
      </c>
      <c r="O2381" s="1243" t="s">
        <v>4894</v>
      </c>
      <c r="Q2381" s="1107"/>
      <c r="R2381" s="1119">
        <f>R2379/10</f>
        <v>649.45400000000006</v>
      </c>
    </row>
    <row r="2382" spans="6:18" ht="24" customHeight="1">
      <c r="Q2382" s="1107"/>
      <c r="R2382" s="1132" t="s">
        <v>4164</v>
      </c>
    </row>
    <row r="2383" spans="6:18" ht="24" customHeight="1">
      <c r="F2383" s="1105">
        <v>1.96</v>
      </c>
      <c r="G2383" s="1105" t="s">
        <v>16</v>
      </c>
      <c r="H2383" s="1105" t="s">
        <v>4895</v>
      </c>
      <c r="I2383" s="1105">
        <f>K1713</f>
        <v>5735.9610000000002</v>
      </c>
      <c r="J2383" s="1103" t="s">
        <v>2839</v>
      </c>
      <c r="K2383" s="1114">
        <f t="shared" ref="K2383:K2388" si="239">(F2383*I2383)</f>
        <v>11242.483560000001</v>
      </c>
    </row>
    <row r="2384" spans="6:18" ht="24" customHeight="1">
      <c r="F2384" s="1105">
        <v>2</v>
      </c>
      <c r="G2384" s="1105" t="s">
        <v>54</v>
      </c>
      <c r="H2384" s="1105" t="s">
        <v>4896</v>
      </c>
      <c r="I2384" s="1105">
        <f>C10</f>
        <v>861</v>
      </c>
      <c r="J2384" s="1103" t="s">
        <v>2838</v>
      </c>
      <c r="K2384" s="1114">
        <f t="shared" si="239"/>
        <v>1722</v>
      </c>
    </row>
    <row r="2385" spans="5:18" ht="24" customHeight="1">
      <c r="F2385" s="1105">
        <v>2</v>
      </c>
      <c r="G2385" s="1105" t="s">
        <v>54</v>
      </c>
      <c r="H2385" s="1105" t="s">
        <v>4897</v>
      </c>
      <c r="I2385" s="1105">
        <f>C13</f>
        <v>461</v>
      </c>
      <c r="J2385" s="1103" t="s">
        <v>2838</v>
      </c>
      <c r="K2385" s="1114">
        <f t="shared" si="239"/>
        <v>922</v>
      </c>
      <c r="N2385" s="1114" t="s">
        <v>1363</v>
      </c>
      <c r="Q2385" s="1107"/>
    </row>
    <row r="2386" spans="5:18" ht="24" customHeight="1">
      <c r="F2386" s="1105">
        <v>0.28000000000000003</v>
      </c>
      <c r="G2386" s="1105" t="s">
        <v>37</v>
      </c>
      <c r="H2386" s="1105" t="s">
        <v>4898</v>
      </c>
      <c r="I2386" s="1105">
        <f>I2354</f>
        <v>739.36525499999993</v>
      </c>
      <c r="J2386" s="1103" t="s">
        <v>2838</v>
      </c>
      <c r="K2386" s="1114">
        <f t="shared" si="239"/>
        <v>207.02227139999999</v>
      </c>
      <c r="O2386" s="1103" t="s">
        <v>4899</v>
      </c>
      <c r="Q2386" s="1109"/>
    </row>
    <row r="2387" spans="5:18" ht="24" customHeight="1">
      <c r="F2387" s="1105">
        <v>500</v>
      </c>
      <c r="G2387" s="1105" t="s">
        <v>54</v>
      </c>
      <c r="H2387" s="1244" t="s">
        <v>4900</v>
      </c>
      <c r="I2387" s="1105">
        <v>2</v>
      </c>
      <c r="J2387" s="1103" t="s">
        <v>2838</v>
      </c>
      <c r="K2387" s="1114">
        <f t="shared" si="239"/>
        <v>1000</v>
      </c>
      <c r="O2387" s="1103" t="s">
        <v>4901</v>
      </c>
      <c r="Q2387" s="1109"/>
    </row>
    <row r="2388" spans="5:18" ht="24" customHeight="1">
      <c r="F2388" s="1105">
        <v>8.5</v>
      </c>
      <c r="G2388" s="1105" t="s">
        <v>4902</v>
      </c>
      <c r="H2388" s="1105" t="s">
        <v>4903</v>
      </c>
      <c r="I2388" s="1105">
        <v>43.6</v>
      </c>
      <c r="J2388" s="1107" t="s">
        <v>4902</v>
      </c>
      <c r="K2388" s="1114">
        <f t="shared" si="239"/>
        <v>370.6</v>
      </c>
      <c r="O2388" s="1103" t="s">
        <v>4904</v>
      </c>
      <c r="Q2388" s="1109"/>
    </row>
    <row r="2389" spans="5:18" ht="24" customHeight="1">
      <c r="H2389" s="1105" t="s">
        <v>234</v>
      </c>
      <c r="K2389" s="1127">
        <v>1.96</v>
      </c>
      <c r="O2389" s="1103" t="s">
        <v>4905</v>
      </c>
      <c r="Q2389" s="1109"/>
    </row>
    <row r="2390" spans="5:18" ht="24" customHeight="1">
      <c r="I2390" s="1105" t="s">
        <v>4906</v>
      </c>
      <c r="K2390" s="1114">
        <f>SUM(K2383:K2389)</f>
        <v>15466.065831399999</v>
      </c>
      <c r="O2390" s="1111" t="s">
        <v>36</v>
      </c>
      <c r="P2390" s="1111" t="s">
        <v>36</v>
      </c>
      <c r="Q2390" s="1109"/>
      <c r="R2390" s="1114"/>
    </row>
    <row r="2391" spans="5:18" ht="24" customHeight="1">
      <c r="K2391" s="1111" t="s">
        <v>36</v>
      </c>
      <c r="M2391" s="1105">
        <v>8</v>
      </c>
      <c r="N2391" s="1114" t="s">
        <v>4154</v>
      </c>
      <c r="O2391" s="1103" t="s">
        <v>4907</v>
      </c>
      <c r="P2391" s="1127">
        <v>4.0999999999999996</v>
      </c>
      <c r="Q2391" s="1104" t="s">
        <v>522</v>
      </c>
      <c r="R2391" s="1114">
        <f>P2391*M2391</f>
        <v>32.799999999999997</v>
      </c>
    </row>
    <row r="2392" spans="5:18" ht="24" customHeight="1">
      <c r="E2392" s="1105">
        <f>23+26.65</f>
        <v>49.65</v>
      </c>
      <c r="I2392" s="1105" t="s">
        <v>4850</v>
      </c>
      <c r="K2392" s="1115">
        <f>K2390/39.2</f>
        <v>394.54249569897956</v>
      </c>
      <c r="M2392" s="1105">
        <v>8</v>
      </c>
      <c r="N2392" s="1114" t="s">
        <v>4154</v>
      </c>
      <c r="O2392" s="1103" t="s">
        <v>4908</v>
      </c>
      <c r="P2392" s="1127">
        <v>3.69</v>
      </c>
      <c r="Q2392" s="1104" t="s">
        <v>522</v>
      </c>
      <c r="R2392" s="1114">
        <f>P2392*M2392</f>
        <v>29.52</v>
      </c>
    </row>
    <row r="2393" spans="5:18" ht="24" customHeight="1">
      <c r="E2393" s="1105">
        <f>E2392/2</f>
        <v>24.824999999999999</v>
      </c>
      <c r="K2393" s="1111" t="s">
        <v>2793</v>
      </c>
      <c r="M2393" s="1105">
        <v>8</v>
      </c>
      <c r="N2393" s="1114" t="s">
        <v>4154</v>
      </c>
      <c r="O2393" s="1103" t="s">
        <v>4909</v>
      </c>
      <c r="P2393" s="1127">
        <v>4.0999999999999996</v>
      </c>
      <c r="Q2393" s="1104" t="s">
        <v>522</v>
      </c>
      <c r="R2393" s="1114">
        <f>P2393*M2393</f>
        <v>32.799999999999997</v>
      </c>
    </row>
    <row r="2394" spans="5:18" ht="24" customHeight="1">
      <c r="M2394" s="1105">
        <v>0.75</v>
      </c>
      <c r="N2394" s="1114" t="s">
        <v>165</v>
      </c>
      <c r="O2394" s="1103" t="s">
        <v>4910</v>
      </c>
      <c r="P2394" s="1114">
        <v>176.4</v>
      </c>
      <c r="Q2394" s="1104" t="s">
        <v>522</v>
      </c>
      <c r="R2394" s="1114">
        <f t="shared" ref="R2394:R2399" si="240">(M2394*P2394)</f>
        <v>132.30000000000001</v>
      </c>
    </row>
    <row r="2395" spans="5:18" ht="24" customHeight="1">
      <c r="M2395" s="1105">
        <v>2.25</v>
      </c>
      <c r="N2395" s="1114" t="s">
        <v>4911</v>
      </c>
      <c r="O2395" s="1103" t="s">
        <v>4912</v>
      </c>
      <c r="P2395" s="1114">
        <v>140.41</v>
      </c>
      <c r="Q2395" s="1104" t="s">
        <v>4911</v>
      </c>
      <c r="R2395" s="1114">
        <f t="shared" si="240"/>
        <v>315.92250000000001</v>
      </c>
    </row>
    <row r="2396" spans="5:18" ht="24" customHeight="1">
      <c r="H2396" s="1119" t="s">
        <v>220</v>
      </c>
      <c r="M2396" s="1105">
        <v>4.5</v>
      </c>
      <c r="N2396" s="1114" t="s">
        <v>4911</v>
      </c>
      <c r="O2396" s="1103" t="s">
        <v>4913</v>
      </c>
      <c r="P2396" s="1114">
        <v>65</v>
      </c>
      <c r="Q2396" s="1104" t="s">
        <v>4911</v>
      </c>
      <c r="R2396" s="1114">
        <f t="shared" si="240"/>
        <v>292.5</v>
      </c>
    </row>
    <row r="2397" spans="5:18" ht="34.5" customHeight="1">
      <c r="F2397" s="1105">
        <v>1</v>
      </c>
      <c r="G2397" s="1105" t="s">
        <v>54</v>
      </c>
      <c r="H2397" s="1154" t="s">
        <v>4914</v>
      </c>
      <c r="I2397" s="1105">
        <v>450</v>
      </c>
      <c r="J2397" s="1103" t="s">
        <v>2838</v>
      </c>
      <c r="K2397" s="1114">
        <f>(F2397*I2397)</f>
        <v>450</v>
      </c>
      <c r="M2397" s="1105">
        <v>6</v>
      </c>
      <c r="N2397" s="1114" t="s">
        <v>4154</v>
      </c>
      <c r="O2397" s="1103" t="s">
        <v>4915</v>
      </c>
      <c r="P2397" s="1114">
        <v>8</v>
      </c>
      <c r="Q2397" s="1104" t="s">
        <v>522</v>
      </c>
      <c r="R2397" s="1114">
        <f t="shared" si="240"/>
        <v>48</v>
      </c>
    </row>
    <row r="2398" spans="5:18" ht="24" customHeight="1">
      <c r="F2398" s="1105">
        <v>0.25</v>
      </c>
      <c r="G2398" s="1105" t="s">
        <v>54</v>
      </c>
      <c r="H2398" s="1105" t="s">
        <v>4896</v>
      </c>
      <c r="I2398" s="1105">
        <f>I2384</f>
        <v>861</v>
      </c>
      <c r="J2398" s="1103" t="s">
        <v>2838</v>
      </c>
      <c r="K2398" s="1114">
        <f>(F2398*I2398)</f>
        <v>215.25</v>
      </c>
      <c r="M2398" s="1105">
        <v>6</v>
      </c>
      <c r="N2398" s="1114" t="s">
        <v>4154</v>
      </c>
      <c r="O2398" s="1103" t="s">
        <v>4916</v>
      </c>
      <c r="P2398" s="1114">
        <v>8.61</v>
      </c>
      <c r="Q2398" s="1104" t="s">
        <v>522</v>
      </c>
      <c r="R2398" s="1114">
        <f t="shared" si="240"/>
        <v>51.66</v>
      </c>
    </row>
    <row r="2399" spans="5:18" ht="24" customHeight="1">
      <c r="F2399" s="1105">
        <v>0.28000000000000003</v>
      </c>
      <c r="G2399" s="1105" t="s">
        <v>37</v>
      </c>
      <c r="H2399" s="1105" t="s">
        <v>4833</v>
      </c>
      <c r="I2399" s="1105">
        <f>C12</f>
        <v>562</v>
      </c>
      <c r="J2399" s="1103" t="s">
        <v>2838</v>
      </c>
      <c r="K2399" s="1114">
        <f>(F2399*I2399)</f>
        <v>157.36000000000001</v>
      </c>
      <c r="M2399" s="1105">
        <v>4</v>
      </c>
      <c r="N2399" s="1114" t="s">
        <v>4154</v>
      </c>
      <c r="O2399" s="1103" t="s">
        <v>4917</v>
      </c>
      <c r="P2399" s="1114">
        <v>8.61</v>
      </c>
      <c r="Q2399" s="1104" t="s">
        <v>522</v>
      </c>
      <c r="R2399" s="1114">
        <f t="shared" si="240"/>
        <v>34.44</v>
      </c>
    </row>
    <row r="2400" spans="5:18" ht="24" customHeight="1">
      <c r="H2400" s="1244"/>
      <c r="J2400" s="1103"/>
      <c r="K2400" s="1114"/>
      <c r="M2400" s="1105">
        <v>300</v>
      </c>
      <c r="N2400" s="1114" t="s">
        <v>4918</v>
      </c>
      <c r="O2400" s="1103" t="s">
        <v>4919</v>
      </c>
      <c r="P2400" s="1114">
        <v>30</v>
      </c>
      <c r="Q2400" s="1104" t="s">
        <v>4920</v>
      </c>
      <c r="R2400" s="1114">
        <f>P2400*M2400/100</f>
        <v>90</v>
      </c>
    </row>
    <row r="2401" spans="6:18" ht="24" customHeight="1">
      <c r="K2401" s="1114"/>
      <c r="M2401" s="1105">
        <v>300</v>
      </c>
      <c r="N2401" s="1114" t="s">
        <v>4918</v>
      </c>
      <c r="O2401" s="1103" t="s">
        <v>4921</v>
      </c>
      <c r="P2401" s="1114">
        <v>44.99</v>
      </c>
      <c r="Q2401" s="1104" t="s">
        <v>4922</v>
      </c>
      <c r="R2401" s="1114">
        <f>P2401*M2401/500</f>
        <v>26.994</v>
      </c>
    </row>
    <row r="2402" spans="6:18" ht="24" customHeight="1">
      <c r="K2402" s="1245" t="s">
        <v>4164</v>
      </c>
      <c r="M2402" s="1105">
        <v>1.5</v>
      </c>
      <c r="N2402" s="1114" t="s">
        <v>165</v>
      </c>
      <c r="O2402" s="1103" t="s">
        <v>4923</v>
      </c>
      <c r="P2402" s="1114">
        <v>20.95</v>
      </c>
      <c r="Q2402" s="1104" t="s">
        <v>165</v>
      </c>
      <c r="R2402" s="1114">
        <f>P2402*M2402</f>
        <v>31.424999999999997</v>
      </c>
    </row>
    <row r="2403" spans="6:18" ht="24" customHeight="1">
      <c r="K2403" s="1115">
        <f>SUM(K2397:K2402)</f>
        <v>822.61</v>
      </c>
      <c r="M2403" s="1105">
        <v>2.25</v>
      </c>
      <c r="N2403" s="1114" t="s">
        <v>4911</v>
      </c>
      <c r="O2403" s="1103" t="s">
        <v>4924</v>
      </c>
      <c r="P2403" s="1114">
        <v>212.41</v>
      </c>
      <c r="Q2403" s="1104" t="s">
        <v>4911</v>
      </c>
      <c r="R2403" s="1114">
        <f>(M2403*P2403)</f>
        <v>477.92250000000001</v>
      </c>
    </row>
    <row r="2404" spans="6:18" ht="24" customHeight="1">
      <c r="K2404" s="1245" t="s">
        <v>4164</v>
      </c>
      <c r="M2404" s="1105">
        <v>0.75</v>
      </c>
      <c r="N2404" s="1114" t="s">
        <v>4911</v>
      </c>
      <c r="O2404" s="1103" t="s">
        <v>4925</v>
      </c>
      <c r="P2404" s="1114">
        <v>205.21</v>
      </c>
      <c r="Q2404" s="1104" t="s">
        <v>4911</v>
      </c>
      <c r="R2404" s="1114">
        <f>(M2404*P2404)</f>
        <v>153.9075</v>
      </c>
    </row>
    <row r="2405" spans="6:18" ht="24" customHeight="1">
      <c r="K2405" s="1114"/>
      <c r="M2405" s="1105">
        <v>2.25</v>
      </c>
      <c r="N2405" s="1114" t="s">
        <v>4911</v>
      </c>
      <c r="O2405" s="1103" t="s">
        <v>4926</v>
      </c>
      <c r="P2405" s="1114">
        <v>185.21</v>
      </c>
      <c r="Q2405" s="1104" t="s">
        <v>4911</v>
      </c>
      <c r="R2405" s="1114">
        <f>(M2405*P2405)</f>
        <v>416.72250000000003</v>
      </c>
    </row>
    <row r="2406" spans="6:18" ht="24" customHeight="1">
      <c r="M2406" s="1105">
        <v>500</v>
      </c>
      <c r="N2406" s="1114" t="s">
        <v>4918</v>
      </c>
      <c r="O2406" s="1103" t="s">
        <v>4927</v>
      </c>
      <c r="P2406" s="1114">
        <v>52.25</v>
      </c>
      <c r="Q2406" s="1104" t="s">
        <v>165</v>
      </c>
      <c r="R2406" s="1114">
        <f>(M2406*P2406)/1000</f>
        <v>26.125</v>
      </c>
    </row>
    <row r="2407" spans="6:18" ht="24" customHeight="1">
      <c r="H2407" s="1119" t="s">
        <v>4928</v>
      </c>
      <c r="M2407" s="1105">
        <v>1</v>
      </c>
      <c r="N2407" s="1114" t="s">
        <v>4154</v>
      </c>
      <c r="O2407" s="1103" t="s">
        <v>4929</v>
      </c>
      <c r="P2407" s="1114">
        <v>131.21</v>
      </c>
      <c r="Q2407" s="1109" t="s">
        <v>4930</v>
      </c>
      <c r="R2407" s="1114">
        <f>P2407/1</f>
        <v>131.21</v>
      </c>
    </row>
    <row r="2408" spans="6:18" ht="24" customHeight="1">
      <c r="F2408" s="1105">
        <v>1</v>
      </c>
      <c r="G2408" s="1105" t="s">
        <v>54</v>
      </c>
      <c r="H2408" s="1105" t="s">
        <v>4931</v>
      </c>
      <c r="I2408" s="1105">
        <f>C619</f>
        <v>931</v>
      </c>
      <c r="J2408" s="1103" t="s">
        <v>2838</v>
      </c>
      <c r="K2408" s="1114">
        <f>(F2408*I2408)</f>
        <v>931</v>
      </c>
      <c r="M2408" s="1105">
        <v>1</v>
      </c>
      <c r="N2408" s="1114" t="s">
        <v>4154</v>
      </c>
      <c r="O2408" s="1103" t="s">
        <v>4932</v>
      </c>
      <c r="P2408" s="1114">
        <v>12.3</v>
      </c>
      <c r="Q2408" s="1109" t="s">
        <v>4930</v>
      </c>
      <c r="R2408" s="1114">
        <f>P2408/1</f>
        <v>12.3</v>
      </c>
    </row>
    <row r="2409" spans="6:18" ht="24" customHeight="1">
      <c r="F2409" s="1105">
        <v>0.5</v>
      </c>
      <c r="G2409" s="1105" t="s">
        <v>54</v>
      </c>
      <c r="H2409" s="1105" t="s">
        <v>4933</v>
      </c>
      <c r="I2409" s="1105">
        <f>C15</f>
        <v>747</v>
      </c>
      <c r="J2409" s="1103" t="s">
        <v>2838</v>
      </c>
      <c r="K2409" s="1114">
        <f>(F2409*I2409)</f>
        <v>373.5</v>
      </c>
      <c r="M2409" s="1105">
        <v>4</v>
      </c>
      <c r="N2409" s="1114" t="s">
        <v>4154</v>
      </c>
      <c r="O2409" s="1103" t="s">
        <v>4934</v>
      </c>
      <c r="P2409" s="1114">
        <f>AE13</f>
        <v>688</v>
      </c>
      <c r="Q2409" s="1104" t="s">
        <v>522</v>
      </c>
      <c r="R2409" s="1114">
        <f>(M2409*P2409)</f>
        <v>2752</v>
      </c>
    </row>
    <row r="2410" spans="6:18" ht="24" customHeight="1">
      <c r="F2410" s="1105">
        <v>0.5</v>
      </c>
      <c r="G2410" s="1105" t="s">
        <v>54</v>
      </c>
      <c r="H2410" s="1105" t="s">
        <v>4896</v>
      </c>
      <c r="I2410" s="1105">
        <f>I2398</f>
        <v>861</v>
      </c>
      <c r="J2410" s="1103" t="s">
        <v>2838</v>
      </c>
      <c r="K2410" s="1114">
        <f>(F2410*I2410)</f>
        <v>430.5</v>
      </c>
      <c r="M2410" s="1105">
        <v>2</v>
      </c>
      <c r="N2410" s="1114" t="s">
        <v>4154</v>
      </c>
      <c r="O2410" s="1103" t="s">
        <v>4935</v>
      </c>
      <c r="P2410" s="1114">
        <f>AE14</f>
        <v>666</v>
      </c>
      <c r="Q2410" s="1104" t="s">
        <v>522</v>
      </c>
      <c r="R2410" s="1114">
        <f>(M2410*P2410)</f>
        <v>1332</v>
      </c>
    </row>
    <row r="2411" spans="6:18" ht="24" customHeight="1">
      <c r="F2411" s="1105">
        <v>0.5</v>
      </c>
      <c r="G2411" s="1105" t="s">
        <v>37</v>
      </c>
      <c r="H2411" s="1105" t="s">
        <v>4833</v>
      </c>
      <c r="I2411" s="1105">
        <f>I2399</f>
        <v>562</v>
      </c>
      <c r="J2411" s="1103" t="s">
        <v>2838</v>
      </c>
      <c r="K2411" s="1114">
        <f>(F2411*I2411)</f>
        <v>281</v>
      </c>
      <c r="M2411" s="1105">
        <v>2</v>
      </c>
      <c r="N2411" s="1114" t="s">
        <v>4154</v>
      </c>
      <c r="O2411" s="1103" t="s">
        <v>4936</v>
      </c>
      <c r="P2411" s="1114">
        <f>AE12</f>
        <v>461</v>
      </c>
      <c r="Q2411" s="1104" t="s">
        <v>522</v>
      </c>
      <c r="R2411" s="1114">
        <f>(M2411*P2411)</f>
        <v>922</v>
      </c>
    </row>
    <row r="2412" spans="6:18" ht="24" customHeight="1">
      <c r="H2412" s="1105" t="s">
        <v>4937</v>
      </c>
      <c r="J2412" s="1104" t="s">
        <v>4938</v>
      </c>
      <c r="K2412" s="1114">
        <v>0.25</v>
      </c>
      <c r="N2412" s="1114"/>
      <c r="O2412" s="1103" t="s">
        <v>4939</v>
      </c>
      <c r="P2412" s="1114"/>
      <c r="Q2412" s="1104"/>
      <c r="R2412" s="1114">
        <v>20</v>
      </c>
    </row>
    <row r="2413" spans="6:18" ht="24" customHeight="1">
      <c r="K2413" s="1114"/>
      <c r="P2413" s="1114"/>
      <c r="Q2413" s="1107"/>
      <c r="R2413" s="1132" t="s">
        <v>4940</v>
      </c>
    </row>
    <row r="2414" spans="6:18" ht="24" customHeight="1">
      <c r="K2414" s="1245" t="s">
        <v>4164</v>
      </c>
      <c r="O2414" s="1103" t="s">
        <v>4941</v>
      </c>
      <c r="Q2414" s="1107"/>
      <c r="R2414" s="1105">
        <f>SUM(R2391:R2413)</f>
        <v>7362.549</v>
      </c>
    </row>
    <row r="2415" spans="6:18" ht="26.25" customHeight="1">
      <c r="K2415" s="1115">
        <f>SUM(K2408:K2414)</f>
        <v>2016.25</v>
      </c>
      <c r="O2415" s="1119"/>
      <c r="P2415" s="1119"/>
      <c r="Q2415" s="1136"/>
      <c r="R2415" s="1111" t="s">
        <v>2793</v>
      </c>
    </row>
    <row r="2416" spans="6:18" ht="24" customHeight="1">
      <c r="K2416" s="1245" t="s">
        <v>4164</v>
      </c>
      <c r="O2416" s="1119" t="s">
        <v>4942</v>
      </c>
      <c r="P2416" s="1119"/>
      <c r="Q2416" s="1136"/>
      <c r="R2416" s="1113">
        <f>R2414/5.67</f>
        <v>1298.5095238095239</v>
      </c>
    </row>
    <row r="2417" spans="6:18" ht="32.25" customHeight="1">
      <c r="K2417" s="1104"/>
    </row>
    <row r="2418" spans="6:18" ht="24" customHeight="1">
      <c r="K2418" s="1104"/>
    </row>
    <row r="2419" spans="6:18" ht="24" customHeight="1">
      <c r="K2419" s="1104"/>
    </row>
    <row r="2420" spans="6:18" ht="24" customHeight="1">
      <c r="F2420" s="1104" t="s">
        <v>4225</v>
      </c>
      <c r="G2420" s="1104"/>
      <c r="H2420" s="1502" t="s">
        <v>4943</v>
      </c>
      <c r="I2420" s="1502"/>
      <c r="J2420" s="1502"/>
      <c r="K2420" s="1502"/>
    </row>
    <row r="2421" spans="6:18" ht="24" customHeight="1">
      <c r="F2421" s="1104"/>
      <c r="G2421" s="1104"/>
      <c r="H2421" s="1104"/>
      <c r="I2421" s="1104"/>
    </row>
    <row r="2422" spans="6:18" ht="24" customHeight="1">
      <c r="F2422" s="1114">
        <v>10.5</v>
      </c>
      <c r="G2422" s="1114" t="s">
        <v>37</v>
      </c>
      <c r="H2422" s="1503" t="s">
        <v>4944</v>
      </c>
      <c r="I2422" s="1114">
        <v>315</v>
      </c>
      <c r="J2422" s="1103" t="s">
        <v>37</v>
      </c>
      <c r="K2422" s="1114">
        <f>(F2422*I2422)</f>
        <v>3307.5</v>
      </c>
    </row>
    <row r="2423" spans="6:18" ht="24" customHeight="1">
      <c r="H2423" s="1503"/>
      <c r="I2423" s="1103" t="s">
        <v>220</v>
      </c>
      <c r="K2423" s="1103" t="s">
        <v>220</v>
      </c>
    </row>
    <row r="2424" spans="6:18" ht="24" customHeight="1">
      <c r="F2424" s="1114">
        <v>0.22</v>
      </c>
      <c r="G2424" s="1114" t="s">
        <v>2839</v>
      </c>
      <c r="H2424" s="1103" t="s">
        <v>4223</v>
      </c>
      <c r="I2424" s="1114">
        <f>K32</f>
        <v>4795.8599999999997</v>
      </c>
      <c r="J2424" s="1103" t="s">
        <v>2839</v>
      </c>
      <c r="K2424" s="1114">
        <f>(F2424*I2424)</f>
        <v>1055.0891999999999</v>
      </c>
    </row>
    <row r="2425" spans="6:18" ht="24" customHeight="1">
      <c r="F2425" s="1114">
        <v>64</v>
      </c>
      <c r="G2425" s="1114" t="s">
        <v>165</v>
      </c>
      <c r="H2425" s="1103" t="s">
        <v>4945</v>
      </c>
      <c r="I2425" s="1114">
        <f>C67</f>
        <v>5960</v>
      </c>
      <c r="J2425" s="1103" t="s">
        <v>4946</v>
      </c>
      <c r="K2425" s="1114">
        <f>I2425*F2425/1000</f>
        <v>381.44</v>
      </c>
    </row>
    <row r="2426" spans="6:18" ht="24" customHeight="1">
      <c r="F2426" s="1114">
        <v>4.5</v>
      </c>
      <c r="G2426" s="1114" t="s">
        <v>165</v>
      </c>
      <c r="H2426" s="1103" t="s">
        <v>4947</v>
      </c>
      <c r="I2426" s="1114">
        <f>C608</f>
        <v>24.7</v>
      </c>
      <c r="J2426" s="1103" t="s">
        <v>165</v>
      </c>
      <c r="K2426" s="1114">
        <f>F2426*I2426</f>
        <v>111.14999999999999</v>
      </c>
    </row>
    <row r="2427" spans="6:18" ht="24" customHeight="1">
      <c r="F2427" s="1114">
        <v>5.4</v>
      </c>
      <c r="G2427" s="1114" t="s">
        <v>2941</v>
      </c>
      <c r="H2427" s="1103" t="s">
        <v>4948</v>
      </c>
      <c r="I2427" s="1114">
        <f>C11</f>
        <v>804</v>
      </c>
      <c r="J2427" s="1103" t="s">
        <v>2941</v>
      </c>
      <c r="K2427" s="1114">
        <f>(F2427*I2427)</f>
        <v>4341.6000000000004</v>
      </c>
      <c r="M2427" s="1104" t="s">
        <v>4225</v>
      </c>
      <c r="N2427" s="1104"/>
      <c r="O2427" s="1504" t="s">
        <v>4949</v>
      </c>
      <c r="P2427" s="1504"/>
      <c r="Q2427" s="1504"/>
      <c r="R2427" s="1504"/>
    </row>
    <row r="2428" spans="6:18" ht="24" customHeight="1">
      <c r="F2428" s="1114">
        <v>2.16</v>
      </c>
      <c r="G2428" s="1114" t="s">
        <v>2941</v>
      </c>
      <c r="H2428" s="1103" t="s">
        <v>4184</v>
      </c>
      <c r="I2428" s="1114">
        <f>C12</f>
        <v>562</v>
      </c>
      <c r="J2428" s="1103" t="s">
        <v>2941</v>
      </c>
      <c r="K2428" s="1114">
        <f>(F2428*I2428)</f>
        <v>1213.92</v>
      </c>
      <c r="M2428" s="1104"/>
      <c r="N2428" s="1104"/>
      <c r="O2428" s="1104"/>
      <c r="P2428" s="1104"/>
      <c r="Q2428" s="1107"/>
    </row>
    <row r="2429" spans="6:18" ht="24" customHeight="1">
      <c r="F2429" s="1114">
        <v>6.5</v>
      </c>
      <c r="G2429" s="1114" t="s">
        <v>2941</v>
      </c>
      <c r="H2429" s="1103" t="s">
        <v>4186</v>
      </c>
      <c r="I2429" s="1114">
        <f>C13</f>
        <v>461</v>
      </c>
      <c r="J2429" s="1103" t="s">
        <v>2941</v>
      </c>
      <c r="K2429" s="1114">
        <f>(F2429*I2429)</f>
        <v>2996.5</v>
      </c>
      <c r="M2429" s="1114">
        <v>10.5</v>
      </c>
      <c r="N2429" s="1114" t="s">
        <v>37</v>
      </c>
      <c r="O2429" s="1503" t="s">
        <v>4950</v>
      </c>
      <c r="P2429" s="1114">
        <v>480</v>
      </c>
      <c r="Q2429" s="1103" t="s">
        <v>37</v>
      </c>
      <c r="R2429" s="1114">
        <f>(M2429*P2429)</f>
        <v>5040</v>
      </c>
    </row>
    <row r="2430" spans="6:18" ht="24" customHeight="1">
      <c r="F2430" s="1114"/>
      <c r="G2430" s="1114"/>
      <c r="H2430" s="1103"/>
      <c r="I2430" s="1114"/>
      <c r="J2430" s="1103" t="s">
        <v>2941</v>
      </c>
      <c r="K2430" s="1114">
        <v>0</v>
      </c>
      <c r="O2430" s="1503"/>
      <c r="P2430" s="1103" t="s">
        <v>220</v>
      </c>
      <c r="Q2430" s="1107"/>
      <c r="R2430" s="1103" t="s">
        <v>220</v>
      </c>
    </row>
    <row r="2431" spans="6:18" ht="24" customHeight="1">
      <c r="F2431" s="1128"/>
      <c r="G2431" s="1114"/>
      <c r="I2431" s="1114"/>
      <c r="J2431" s="1103"/>
      <c r="K2431" s="1114"/>
      <c r="M2431" s="1114">
        <v>0.22</v>
      </c>
      <c r="N2431" s="1114" t="s">
        <v>2839</v>
      </c>
      <c r="O2431" s="1103" t="s">
        <v>4223</v>
      </c>
      <c r="P2431" s="1114">
        <f t="shared" ref="P2431:P2436" si="241">I2424</f>
        <v>4795.8599999999997</v>
      </c>
      <c r="Q2431" s="1103" t="s">
        <v>2839</v>
      </c>
      <c r="R2431" s="1114">
        <f>(M2431*P2431)</f>
        <v>1055.0891999999999</v>
      </c>
    </row>
    <row r="2432" spans="6:18" ht="24" customHeight="1">
      <c r="F2432" s="1114"/>
      <c r="G2432" s="1114"/>
      <c r="H2432" s="1106" t="s">
        <v>3152</v>
      </c>
      <c r="K2432" s="1245" t="s">
        <v>4164</v>
      </c>
      <c r="M2432" s="1114">
        <v>64</v>
      </c>
      <c r="N2432" s="1114" t="s">
        <v>165</v>
      </c>
      <c r="O2432" s="1103" t="s">
        <v>4945</v>
      </c>
      <c r="P2432" s="1114">
        <f t="shared" si="241"/>
        <v>5960</v>
      </c>
      <c r="Q2432" s="1103" t="s">
        <v>4946</v>
      </c>
      <c r="R2432" s="1114">
        <f>P2432*M2432/1000</f>
        <v>381.44</v>
      </c>
    </row>
    <row r="2433" spans="6:18" ht="24" customHeight="1">
      <c r="F2433" s="1114"/>
      <c r="G2433" s="1114"/>
      <c r="H2433" s="1106"/>
      <c r="K2433" s="1115">
        <f>SUM(K2422:K2430)</f>
        <v>13407.199200000001</v>
      </c>
      <c r="M2433" s="1114">
        <v>4.5</v>
      </c>
      <c r="N2433" s="1114" t="s">
        <v>165</v>
      </c>
      <c r="O2433" s="1103" t="s">
        <v>4951</v>
      </c>
      <c r="P2433" s="1114">
        <f t="shared" si="241"/>
        <v>24.7</v>
      </c>
      <c r="Q2433" s="1103" t="s">
        <v>165</v>
      </c>
      <c r="R2433" s="1114">
        <f>M2433*P2433</f>
        <v>111.14999999999999</v>
      </c>
    </row>
    <row r="2434" spans="6:18" ht="24" customHeight="1">
      <c r="F2434" s="1114"/>
      <c r="G2434" s="1114"/>
      <c r="H2434" s="1106"/>
      <c r="I2434" s="1114"/>
      <c r="J2434" s="1103"/>
      <c r="K2434" s="1246" t="s">
        <v>3330</v>
      </c>
      <c r="M2434" s="1114">
        <v>5.4</v>
      </c>
      <c r="N2434" s="1114" t="s">
        <v>2941</v>
      </c>
      <c r="O2434" s="1103" t="s">
        <v>4948</v>
      </c>
      <c r="P2434" s="1114">
        <f t="shared" si="241"/>
        <v>804</v>
      </c>
      <c r="Q2434" s="1103" t="s">
        <v>2941</v>
      </c>
      <c r="R2434" s="1114">
        <f>(M2434*P2434)</f>
        <v>4341.6000000000004</v>
      </c>
    </row>
    <row r="2435" spans="6:18" ht="24" customHeight="1">
      <c r="F2435" s="1103"/>
      <c r="H2435" s="1106" t="s">
        <v>3154</v>
      </c>
      <c r="I2435" s="1103"/>
      <c r="K2435" s="1113">
        <f>K2433/10</f>
        <v>1340.71992</v>
      </c>
      <c r="M2435" s="1114">
        <v>2.16</v>
      </c>
      <c r="N2435" s="1114" t="s">
        <v>2941</v>
      </c>
      <c r="O2435" s="1103" t="s">
        <v>4184</v>
      </c>
      <c r="P2435" s="1114">
        <f t="shared" si="241"/>
        <v>562</v>
      </c>
      <c r="Q2435" s="1103" t="s">
        <v>2941</v>
      </c>
      <c r="R2435" s="1114">
        <f>(M2435*P2435)</f>
        <v>1213.92</v>
      </c>
    </row>
    <row r="2436" spans="6:18" ht="24" customHeight="1">
      <c r="K2436" s="1132" t="s">
        <v>4164</v>
      </c>
      <c r="M2436" s="1114">
        <v>6.5</v>
      </c>
      <c r="N2436" s="1114" t="s">
        <v>2941</v>
      </c>
      <c r="O2436" s="1103" t="s">
        <v>4186</v>
      </c>
      <c r="P2436" s="1114">
        <f t="shared" si="241"/>
        <v>461</v>
      </c>
      <c r="Q2436" s="1103" t="s">
        <v>2941</v>
      </c>
      <c r="R2436" s="1114">
        <f>(M2436*P2436)</f>
        <v>2996.5</v>
      </c>
    </row>
    <row r="2437" spans="6:18" ht="24" customHeight="1">
      <c r="M2437" s="1114"/>
      <c r="N2437" s="1114"/>
      <c r="O2437" s="1103"/>
      <c r="P2437" s="1114"/>
      <c r="Q2437" s="1103" t="s">
        <v>2941</v>
      </c>
      <c r="R2437" s="1114">
        <f>(M2437*P2437)</f>
        <v>0</v>
      </c>
    </row>
    <row r="2438" spans="6:18" ht="24" customHeight="1">
      <c r="M2438" s="1128"/>
      <c r="N2438" s="1114"/>
      <c r="P2438" s="1114"/>
      <c r="Q2438" s="1103"/>
      <c r="R2438" s="1114"/>
    </row>
    <row r="2439" spans="6:18" ht="24" customHeight="1">
      <c r="F2439" s="1114"/>
      <c r="G2439" s="1114"/>
      <c r="H2439" s="1106" t="s">
        <v>4952</v>
      </c>
      <c r="I2439" s="1114"/>
      <c r="J2439" s="1103"/>
      <c r="K2439" s="1114"/>
      <c r="M2439" s="1114"/>
      <c r="N2439" s="1114"/>
      <c r="O2439" s="1106" t="s">
        <v>3152</v>
      </c>
      <c r="Q2439" s="1107"/>
      <c r="R2439" s="1245" t="s">
        <v>4164</v>
      </c>
    </row>
    <row r="2440" spans="6:18" ht="24" customHeight="1">
      <c r="F2440" s="1114"/>
      <c r="G2440" s="1114"/>
      <c r="I2440" s="1114"/>
      <c r="J2440" s="1103"/>
      <c r="M2440" s="1114"/>
      <c r="N2440" s="1114"/>
      <c r="O2440" s="1106"/>
      <c r="Q2440" s="1107"/>
      <c r="R2440" s="1115">
        <f>SUM(R2429:R2437)</f>
        <v>15139.699200000001</v>
      </c>
    </row>
    <row r="2441" spans="6:18" ht="24" customHeight="1">
      <c r="F2441" s="1114">
        <v>10</v>
      </c>
      <c r="G2441" s="1114" t="s">
        <v>37</v>
      </c>
      <c r="H2441" s="1103" t="s">
        <v>4953</v>
      </c>
      <c r="I2441" s="1114">
        <f>K1213</f>
        <v>455.31452000000002</v>
      </c>
      <c r="J2441" s="1103" t="s">
        <v>37</v>
      </c>
      <c r="K2441" s="1114">
        <f>F2441*I2441</f>
        <v>4553.1451999999999</v>
      </c>
      <c r="M2441" s="1114"/>
      <c r="N2441" s="1114"/>
      <c r="O2441" s="1106"/>
      <c r="P2441" s="1114"/>
      <c r="Q2441" s="1103"/>
      <c r="R2441" s="1246" t="s">
        <v>3330</v>
      </c>
    </row>
    <row r="2442" spans="6:18" ht="24" customHeight="1">
      <c r="F2442" s="1105">
        <v>9.8000000000000007</v>
      </c>
      <c r="G2442" s="1114" t="s">
        <v>165</v>
      </c>
      <c r="H2442" s="1105" t="s">
        <v>4954</v>
      </c>
      <c r="I2442" s="1114">
        <f>C148</f>
        <v>143.80000000000001</v>
      </c>
      <c r="J2442" s="1103" t="s">
        <v>165</v>
      </c>
      <c r="K2442" s="1114">
        <f>F2442*I2442</f>
        <v>1409.2400000000002</v>
      </c>
      <c r="M2442" s="1103"/>
      <c r="O2442" s="1106" t="s">
        <v>3154</v>
      </c>
      <c r="P2442" s="1103"/>
      <c r="Q2442" s="1107"/>
      <c r="R2442" s="1113">
        <f>R2440/10</f>
        <v>1513.96992</v>
      </c>
    </row>
    <row r="2443" spans="6:18" ht="24" customHeight="1">
      <c r="F2443" s="1105">
        <v>1.1000000000000001</v>
      </c>
      <c r="G2443" s="1105" t="s">
        <v>4154</v>
      </c>
      <c r="H2443" s="1103" t="s">
        <v>3051</v>
      </c>
      <c r="I2443" s="1105">
        <f>I2410</f>
        <v>861</v>
      </c>
      <c r="J2443" s="1107" t="s">
        <v>522</v>
      </c>
      <c r="K2443" s="1105">
        <f>F2443*I2443</f>
        <v>947.1</v>
      </c>
      <c r="Q2443" s="1107"/>
      <c r="R2443" s="1132" t="s">
        <v>4164</v>
      </c>
    </row>
    <row r="2444" spans="6:18" ht="24" customHeight="1">
      <c r="H2444" s="1105" t="s">
        <v>234</v>
      </c>
      <c r="K2444" s="1105">
        <v>0.2</v>
      </c>
    </row>
    <row r="2445" spans="6:18" ht="24" customHeight="1">
      <c r="K2445" s="1111" t="s">
        <v>2793</v>
      </c>
    </row>
    <row r="2446" spans="6:18" ht="24" customHeight="1">
      <c r="F2446" s="1103" t="s">
        <v>220</v>
      </c>
      <c r="H2446" s="1106" t="s">
        <v>3152</v>
      </c>
      <c r="K2446" s="1119">
        <f>SUM(K2441:K2444)</f>
        <v>6909.6852000000008</v>
      </c>
    </row>
    <row r="2447" spans="6:18" ht="24" customHeight="1">
      <c r="K2447" s="1156" t="s">
        <v>4164</v>
      </c>
    </row>
    <row r="2448" spans="6:18" ht="24" customHeight="1">
      <c r="F2448" s="1103" t="s">
        <v>220</v>
      </c>
      <c r="H2448" s="1106" t="s">
        <v>3154</v>
      </c>
      <c r="K2448" s="1113">
        <f>K2446/10</f>
        <v>690.96852000000013</v>
      </c>
    </row>
    <row r="2449" spans="6:11" ht="24" customHeight="1">
      <c r="K2449" s="1132" t="s">
        <v>4164</v>
      </c>
    </row>
    <row r="2454" spans="6:11" ht="24" customHeight="1">
      <c r="H2454" s="1119" t="s">
        <v>4955</v>
      </c>
    </row>
    <row r="2456" spans="6:11" ht="24" customHeight="1">
      <c r="F2456" s="1107" t="s">
        <v>4956</v>
      </c>
      <c r="G2456" s="1107"/>
      <c r="H2456" s="1107"/>
      <c r="I2456" s="1105">
        <v>15.21</v>
      </c>
      <c r="J2456" s="1107" t="s">
        <v>4578</v>
      </c>
    </row>
    <row r="2457" spans="6:11" ht="24" customHeight="1">
      <c r="F2457" s="1105" t="s">
        <v>4957</v>
      </c>
      <c r="I2457" s="1105">
        <v>22.61</v>
      </c>
      <c r="J2457" s="1107" t="s">
        <v>4578</v>
      </c>
    </row>
    <row r="2458" spans="6:11" ht="24" customHeight="1">
      <c r="F2458" s="1105" t="s">
        <v>4958</v>
      </c>
      <c r="I2458" s="1105">
        <v>3.24</v>
      </c>
      <c r="J2458" s="1107" t="s">
        <v>4578</v>
      </c>
    </row>
    <row r="2459" spans="6:11" ht="24" customHeight="1">
      <c r="F2459" s="1105" t="s">
        <v>4959</v>
      </c>
      <c r="I2459" s="1105">
        <v>2.16</v>
      </c>
      <c r="J2459" s="1107" t="s">
        <v>4578</v>
      </c>
    </row>
    <row r="2461" spans="6:11" ht="24" customHeight="1">
      <c r="I2461" s="1132" t="s">
        <v>4164</v>
      </c>
    </row>
    <row r="2462" spans="6:11" ht="24" customHeight="1">
      <c r="I2462" s="1105">
        <f>SUM(I2456:I2460)</f>
        <v>43.22</v>
      </c>
    </row>
    <row r="2463" spans="6:11" ht="24" customHeight="1">
      <c r="I2463" s="1105" t="s">
        <v>4960</v>
      </c>
    </row>
    <row r="2466" spans="6:11" ht="24" customHeight="1">
      <c r="F2466" s="1105">
        <v>43.22</v>
      </c>
      <c r="G2466" s="1105" t="s">
        <v>165</v>
      </c>
      <c r="H2466" s="1105" t="s">
        <v>2787</v>
      </c>
      <c r="I2466" s="1105">
        <f>C660</f>
        <v>62.6</v>
      </c>
      <c r="J2466" s="1107" t="s">
        <v>165</v>
      </c>
      <c r="K2466" s="1105">
        <f>I2466*F2466</f>
        <v>2705.5720000000001</v>
      </c>
    </row>
    <row r="2467" spans="6:11" ht="24" customHeight="1">
      <c r="F2467" s="1105">
        <v>0.81</v>
      </c>
      <c r="G2467" s="1105" t="s">
        <v>37</v>
      </c>
      <c r="H2467" s="1105" t="s">
        <v>4961</v>
      </c>
      <c r="I2467" s="1105">
        <f>C199</f>
        <v>339</v>
      </c>
      <c r="J2467" s="1107" t="s">
        <v>37</v>
      </c>
      <c r="K2467" s="1105">
        <f>I2467*F2467</f>
        <v>274.59000000000003</v>
      </c>
    </row>
    <row r="2468" spans="6:11" ht="24" customHeight="1">
      <c r="F2468" s="1105">
        <v>0.81</v>
      </c>
      <c r="G2468" s="1105" t="s">
        <v>37</v>
      </c>
      <c r="H2468" s="1105" t="s">
        <v>4962</v>
      </c>
      <c r="I2468" s="1105">
        <f>D199</f>
        <v>91</v>
      </c>
      <c r="J2468" s="1107" t="s">
        <v>37</v>
      </c>
      <c r="K2468" s="1105">
        <f>I2468*F2468</f>
        <v>73.710000000000008</v>
      </c>
    </row>
    <row r="2469" spans="6:11" ht="24" customHeight="1">
      <c r="H2469" s="1105" t="s">
        <v>4963</v>
      </c>
      <c r="I2469" s="1105">
        <f>46.61</f>
        <v>46.61</v>
      </c>
      <c r="J2469" s="1107" t="s">
        <v>2851</v>
      </c>
      <c r="K2469" s="1105">
        <f>I2469</f>
        <v>46.61</v>
      </c>
    </row>
    <row r="2470" spans="6:11" ht="24" customHeight="1">
      <c r="K2470" s="1132" t="s">
        <v>4164</v>
      </c>
    </row>
    <row r="2471" spans="6:11" ht="24" customHeight="1">
      <c r="H2471" s="1119" t="s">
        <v>4964</v>
      </c>
      <c r="K2471" s="1119">
        <f>SUM(K2466:K2469)</f>
        <v>3100.4820000000004</v>
      </c>
    </row>
    <row r="2472" spans="6:11" ht="24" customHeight="1">
      <c r="H2472" s="1105">
        <f>0.6*1.35</f>
        <v>0.81</v>
      </c>
      <c r="K2472" s="1132" t="s">
        <v>4164</v>
      </c>
    </row>
    <row r="2473" spans="6:11" ht="24" customHeight="1">
      <c r="H2473" s="1119" t="s">
        <v>4965</v>
      </c>
      <c r="K2473" s="1119">
        <f>K2471/H2472</f>
        <v>3827.7555555555559</v>
      </c>
    </row>
    <row r="2475" spans="6:11" ht="24" customHeight="1">
      <c r="F2475" s="1107" t="s">
        <v>4966</v>
      </c>
      <c r="G2475" s="1107"/>
      <c r="H2475" s="1107"/>
      <c r="I2475" s="1105">
        <v>11.78</v>
      </c>
      <c r="J2475" s="1107" t="s">
        <v>4578</v>
      </c>
    </row>
    <row r="2476" spans="6:11" ht="24" customHeight="1">
      <c r="F2476" s="1105" t="s">
        <v>4967</v>
      </c>
      <c r="I2476" s="1105">
        <v>15.07</v>
      </c>
      <c r="J2476" s="1107" t="s">
        <v>4578</v>
      </c>
    </row>
    <row r="2477" spans="6:11" ht="24" customHeight="1">
      <c r="F2477" s="1105" t="s">
        <v>4968</v>
      </c>
      <c r="I2477" s="1105">
        <v>2.16</v>
      </c>
      <c r="J2477" s="1107" t="s">
        <v>4578</v>
      </c>
    </row>
    <row r="2478" spans="6:11" ht="24" customHeight="1">
      <c r="F2478" s="1105" t="s">
        <v>4959</v>
      </c>
      <c r="I2478" s="1105">
        <v>2.16</v>
      </c>
      <c r="J2478" s="1107" t="s">
        <v>4578</v>
      </c>
    </row>
    <row r="2479" spans="6:11" ht="24" customHeight="1">
      <c r="F2479" s="1105" t="s">
        <v>4969</v>
      </c>
      <c r="I2479" s="1105">
        <f>1.91-0.08</f>
        <v>1.8299999999999998</v>
      </c>
    </row>
    <row r="2480" spans="6:11" ht="24" customHeight="1">
      <c r="I2480" s="1132" t="s">
        <v>4970</v>
      </c>
    </row>
    <row r="2481" spans="6:11" ht="24" customHeight="1">
      <c r="I2481" s="1119">
        <f>SUM(I2475:I2479)</f>
        <v>33</v>
      </c>
      <c r="J2481" s="1107" t="s">
        <v>4578</v>
      </c>
    </row>
    <row r="2482" spans="6:11" ht="24" customHeight="1">
      <c r="I2482" s="1132" t="s">
        <v>4970</v>
      </c>
    </row>
    <row r="2485" spans="6:11" ht="24" customHeight="1">
      <c r="F2485" s="1105">
        <f>I2481</f>
        <v>33</v>
      </c>
      <c r="G2485" s="1105" t="s">
        <v>165</v>
      </c>
      <c r="H2485" s="1105" t="s">
        <v>2787</v>
      </c>
      <c r="I2485" s="1105">
        <f>I2466</f>
        <v>62.6</v>
      </c>
      <c r="J2485" s="1107" t="s">
        <v>165</v>
      </c>
      <c r="K2485" s="1105">
        <f>I2485*F2485</f>
        <v>2065.8000000000002</v>
      </c>
    </row>
    <row r="2486" spans="6:11" ht="24" customHeight="1">
      <c r="F2486" s="1105">
        <v>0.54</v>
      </c>
      <c r="G2486" s="1105" t="s">
        <v>37</v>
      </c>
      <c r="H2486" s="1105" t="s">
        <v>4961</v>
      </c>
      <c r="I2486" s="1105">
        <f>I2467</f>
        <v>339</v>
      </c>
      <c r="J2486" s="1107" t="s">
        <v>37</v>
      </c>
      <c r="K2486" s="1105">
        <f>I2486*F2486</f>
        <v>183.06</v>
      </c>
    </row>
    <row r="2487" spans="6:11" ht="24" customHeight="1">
      <c r="F2487" s="1105">
        <v>0.54</v>
      </c>
      <c r="G2487" s="1105" t="s">
        <v>37</v>
      </c>
      <c r="H2487" s="1105" t="str">
        <f>H2468</f>
        <v>Fly proof  Mesh</v>
      </c>
      <c r="I2487" s="1105">
        <f>I2468</f>
        <v>91</v>
      </c>
      <c r="J2487" s="1107" t="s">
        <v>37</v>
      </c>
      <c r="K2487" s="1105">
        <f>I2487*F2487</f>
        <v>49.14</v>
      </c>
    </row>
    <row r="2488" spans="6:11" ht="24" customHeight="1">
      <c r="H2488" s="1105" t="s">
        <v>4963</v>
      </c>
      <c r="I2488" s="1105">
        <v>53.5</v>
      </c>
      <c r="J2488" s="1107" t="s">
        <v>2851</v>
      </c>
      <c r="K2488" s="1105">
        <v>52.8</v>
      </c>
    </row>
    <row r="2489" spans="6:11" ht="24" customHeight="1">
      <c r="K2489" s="1132" t="s">
        <v>4164</v>
      </c>
    </row>
    <row r="2490" spans="6:11" ht="24" customHeight="1">
      <c r="H2490" s="1119" t="s">
        <v>4964</v>
      </c>
      <c r="K2490" s="1119">
        <f>SUM(K2485:K2488)</f>
        <v>2350.8000000000002</v>
      </c>
    </row>
    <row r="2491" spans="6:11" ht="24" customHeight="1">
      <c r="K2491" s="1132" t="s">
        <v>4164</v>
      </c>
    </row>
    <row r="2492" spans="6:11" ht="24" customHeight="1">
      <c r="I2492" s="1119" t="s">
        <v>4971</v>
      </c>
      <c r="K2492" s="1119">
        <f>K2490/0.54</f>
        <v>4353.333333333333</v>
      </c>
    </row>
    <row r="2495" spans="6:11" ht="24" customHeight="1">
      <c r="H2495" s="1119" t="s">
        <v>4972</v>
      </c>
    </row>
    <row r="2497" spans="6:18" ht="24" customHeight="1">
      <c r="F2497" s="1107" t="s">
        <v>4973</v>
      </c>
      <c r="G2497" s="1107"/>
      <c r="H2497" s="1107"/>
      <c r="I2497" s="1105">
        <v>9.42</v>
      </c>
      <c r="J2497" s="1107" t="s">
        <v>4578</v>
      </c>
      <c r="K2497" s="1107"/>
    </row>
    <row r="2498" spans="6:18" ht="24" customHeight="1">
      <c r="F2498" s="1105" t="s">
        <v>4974</v>
      </c>
      <c r="I2498" s="1105">
        <v>9.42</v>
      </c>
      <c r="J2498" s="1107" t="s">
        <v>4578</v>
      </c>
      <c r="K2498" s="1107"/>
    </row>
    <row r="2499" spans="6:18" ht="24" customHeight="1">
      <c r="F2499" s="1105" t="s">
        <v>4975</v>
      </c>
      <c r="I2499" s="1105">
        <v>1.44</v>
      </c>
      <c r="J2499" s="1107" t="s">
        <v>4578</v>
      </c>
      <c r="K2499" s="1107"/>
    </row>
    <row r="2500" spans="6:18" ht="24" customHeight="1">
      <c r="F2500" s="1105" t="s">
        <v>4959</v>
      </c>
      <c r="I2500" s="1105">
        <v>2.16</v>
      </c>
      <c r="J2500" s="1107" t="s">
        <v>4578</v>
      </c>
      <c r="K2500" s="1107"/>
    </row>
    <row r="2501" spans="6:18" ht="24" customHeight="1">
      <c r="F2501" s="1105" t="s">
        <v>4969</v>
      </c>
      <c r="I2501" s="1105">
        <v>1.56</v>
      </c>
      <c r="K2501" s="1107"/>
    </row>
    <row r="2502" spans="6:18" ht="24" customHeight="1">
      <c r="I2502" s="1132" t="s">
        <v>4970</v>
      </c>
      <c r="K2502" s="1107"/>
      <c r="O2502" s="1119" t="s">
        <v>4976</v>
      </c>
      <c r="Q2502" s="1107"/>
    </row>
    <row r="2503" spans="6:18" ht="24" customHeight="1">
      <c r="I2503" s="1105">
        <f>SUM(I2497:I2501)</f>
        <v>24</v>
      </c>
      <c r="J2503" s="1107" t="s">
        <v>4578</v>
      </c>
      <c r="K2503" s="1107"/>
      <c r="Q2503" s="1107"/>
    </row>
    <row r="2504" spans="6:18" ht="24" customHeight="1">
      <c r="I2504" s="1132" t="s">
        <v>4970</v>
      </c>
      <c r="M2504" s="1107" t="s">
        <v>4977</v>
      </c>
      <c r="N2504" s="1107"/>
      <c r="O2504" s="1107"/>
      <c r="P2504" s="1108">
        <f>3.77*3.9</f>
        <v>14.702999999999999</v>
      </c>
      <c r="Q2504" s="1107" t="s">
        <v>4578</v>
      </c>
      <c r="R2504" s="1107"/>
    </row>
    <row r="2505" spans="6:18" ht="24" customHeight="1">
      <c r="M2505" s="1105" t="s">
        <v>4978</v>
      </c>
      <c r="P2505" s="1105">
        <f>12*0.6*3.14</f>
        <v>22.607999999999997</v>
      </c>
      <c r="Q2505" s="1107" t="s">
        <v>4578</v>
      </c>
      <c r="R2505" s="1107"/>
    </row>
    <row r="2506" spans="6:18" ht="24" customHeight="1">
      <c r="M2506" s="1105" t="s">
        <v>4979</v>
      </c>
      <c r="P2506" s="1105">
        <f>2*1.285*1.2</f>
        <v>3.0839999999999996</v>
      </c>
      <c r="Q2506" s="1107" t="s">
        <v>4578</v>
      </c>
      <c r="R2506" s="1107"/>
    </row>
    <row r="2507" spans="6:18" ht="24" customHeight="1">
      <c r="F2507" s="1105">
        <v>24</v>
      </c>
      <c r="G2507" s="1105" t="s">
        <v>165</v>
      </c>
      <c r="H2507" s="1105" t="s">
        <v>2787</v>
      </c>
      <c r="I2507" s="1105">
        <f>I2485</f>
        <v>62.6</v>
      </c>
      <c r="J2507" s="1107" t="s">
        <v>165</v>
      </c>
      <c r="K2507" s="1105">
        <f>I2507*F2507</f>
        <v>1502.4</v>
      </c>
      <c r="M2507" s="1105" t="s">
        <v>4959</v>
      </c>
      <c r="P2507" s="1105">
        <f>3*0.6*1.2</f>
        <v>2.1599999999999997</v>
      </c>
      <c r="Q2507" s="1107" t="s">
        <v>4578</v>
      </c>
      <c r="R2507" s="1107"/>
    </row>
    <row r="2508" spans="6:18" ht="24" customHeight="1">
      <c r="F2508" s="1105">
        <v>0.36</v>
      </c>
      <c r="G2508" s="1105" t="s">
        <v>37</v>
      </c>
      <c r="H2508" s="1105" t="s">
        <v>4961</v>
      </c>
      <c r="I2508" s="1105">
        <f>I2486</f>
        <v>339</v>
      </c>
      <c r="J2508" s="1107" t="s">
        <v>37</v>
      </c>
      <c r="K2508" s="1105">
        <f>I2508*F2508</f>
        <v>122.03999999999999</v>
      </c>
      <c r="M2508" s="1105" t="s">
        <v>4969</v>
      </c>
      <c r="P2508" s="1105">
        <v>0.16</v>
      </c>
      <c r="Q2508" s="1107"/>
      <c r="R2508" s="1107"/>
    </row>
    <row r="2509" spans="6:18" ht="24" customHeight="1">
      <c r="F2509" s="1105">
        <v>0.36</v>
      </c>
      <c r="G2509" s="1105" t="s">
        <v>37</v>
      </c>
      <c r="H2509" s="1105" t="s">
        <v>4980</v>
      </c>
      <c r="I2509" s="1105">
        <f>C198</f>
        <v>36.299999999999997</v>
      </c>
      <c r="J2509" s="1107" t="s">
        <v>37</v>
      </c>
      <c r="K2509" s="1105">
        <f>I2509*F2509</f>
        <v>13.067999999999998</v>
      </c>
      <c r="P2509" s="1132" t="s">
        <v>4970</v>
      </c>
      <c r="Q2509" s="1107"/>
      <c r="R2509" s="1107"/>
    </row>
    <row r="2510" spans="6:18" ht="24" customHeight="1">
      <c r="H2510" s="1105" t="s">
        <v>4981</v>
      </c>
      <c r="I2510" s="1105">
        <v>28.34</v>
      </c>
      <c r="J2510" s="1107" t="s">
        <v>2851</v>
      </c>
      <c r="K2510" s="1105">
        <f>28.14</f>
        <v>28.14</v>
      </c>
      <c r="P2510" s="1148">
        <f>SUM(P2504:P2508)</f>
        <v>42.714999999999989</v>
      </c>
      <c r="Q2510" s="1107" t="s">
        <v>4578</v>
      </c>
      <c r="R2510" s="1107">
        <f>42.55-42.713</f>
        <v>-0.16300000000000381</v>
      </c>
    </row>
    <row r="2511" spans="6:18" ht="24" customHeight="1">
      <c r="K2511" s="1132" t="s">
        <v>4164</v>
      </c>
      <c r="P2511" s="1132" t="s">
        <v>4970</v>
      </c>
      <c r="Q2511" s="1107"/>
    </row>
    <row r="2512" spans="6:18" ht="24" customHeight="1">
      <c r="H2512" s="1119" t="s">
        <v>4964</v>
      </c>
      <c r="K2512" s="1119">
        <f>SUM(K2507:K2510)</f>
        <v>1665.6480000000001</v>
      </c>
      <c r="Q2512" s="1107"/>
    </row>
    <row r="2513" spans="6:18" ht="24" customHeight="1">
      <c r="K2513" s="1132" t="s">
        <v>4164</v>
      </c>
      <c r="Q2513" s="1107"/>
    </row>
    <row r="2514" spans="6:18" ht="24" customHeight="1">
      <c r="K2514" s="1105">
        <f>0.6*0.6</f>
        <v>0.36</v>
      </c>
      <c r="M2514" s="1108">
        <f>P2510</f>
        <v>42.714999999999989</v>
      </c>
      <c r="N2514" s="1105" t="s">
        <v>165</v>
      </c>
      <c r="O2514" s="1105" t="s">
        <v>2787</v>
      </c>
      <c r="P2514" s="1105">
        <f>I2507</f>
        <v>62.6</v>
      </c>
      <c r="Q2514" s="1107" t="s">
        <v>165</v>
      </c>
      <c r="R2514" s="1105">
        <f>P2514*M2514</f>
        <v>2673.9589999999994</v>
      </c>
    </row>
    <row r="2515" spans="6:18" ht="24" customHeight="1">
      <c r="H2515" s="1119" t="s">
        <v>4982</v>
      </c>
      <c r="K2515" s="1105">
        <f>K2512/K2514</f>
        <v>4626.8</v>
      </c>
      <c r="M2515" s="1105">
        <v>0.77</v>
      </c>
      <c r="N2515" s="1105" t="s">
        <v>37</v>
      </c>
      <c r="O2515" s="1105" t="s">
        <v>4961</v>
      </c>
      <c r="P2515" s="1105">
        <f>I2508</f>
        <v>339</v>
      </c>
      <c r="Q2515" s="1107" t="s">
        <v>37</v>
      </c>
      <c r="R2515" s="1105">
        <f>P2515*M2515</f>
        <v>261.03000000000003</v>
      </c>
    </row>
    <row r="2516" spans="6:18" ht="24" customHeight="1">
      <c r="M2516" s="1105">
        <v>0.77</v>
      </c>
      <c r="N2516" s="1105" t="s">
        <v>37</v>
      </c>
      <c r="O2516" s="1105" t="s">
        <v>4980</v>
      </c>
      <c r="P2516" s="1105">
        <f>I2509</f>
        <v>36.299999999999997</v>
      </c>
      <c r="Q2516" s="1107" t="s">
        <v>37</v>
      </c>
      <c r="R2516" s="1105">
        <f>P2516*M2516</f>
        <v>27.950999999999997</v>
      </c>
    </row>
    <row r="2517" spans="6:18" ht="24" customHeight="1">
      <c r="F2517" s="1119" t="s">
        <v>4983</v>
      </c>
      <c r="G2517" s="1119"/>
      <c r="O2517" s="1105" t="s">
        <v>4981</v>
      </c>
      <c r="P2517" s="1105">
        <f>I2510</f>
        <v>28.34</v>
      </c>
      <c r="Q2517" s="1107" t="s">
        <v>2851</v>
      </c>
      <c r="R2517" s="1105">
        <f>28.34+0.11</f>
        <v>28.45</v>
      </c>
    </row>
    <row r="2518" spans="6:18" ht="24" customHeight="1">
      <c r="Q2518" s="1107"/>
      <c r="R2518" s="1132" t="s">
        <v>4164</v>
      </c>
    </row>
    <row r="2519" spans="6:18" ht="24" customHeight="1">
      <c r="F2519" s="1105" t="s">
        <v>4984</v>
      </c>
      <c r="I2519" s="1105">
        <v>3.93</v>
      </c>
      <c r="J2519" s="1107" t="s">
        <v>165</v>
      </c>
      <c r="O2519" s="1119" t="s">
        <v>4964</v>
      </c>
      <c r="Q2519" s="1107"/>
      <c r="R2519" s="1119">
        <f>SUM(R2514:R2517)</f>
        <v>2991.3899999999994</v>
      </c>
    </row>
    <row r="2520" spans="6:18" ht="24" customHeight="1">
      <c r="F2520" s="1105" t="s">
        <v>4985</v>
      </c>
      <c r="I2520" s="1105">
        <v>3.14</v>
      </c>
      <c r="J2520" s="1107" t="s">
        <v>165</v>
      </c>
      <c r="Q2520" s="1107"/>
      <c r="R2520" s="1132" t="s">
        <v>4164</v>
      </c>
    </row>
    <row r="2521" spans="6:18" ht="24" customHeight="1">
      <c r="F2521" s="1105" t="s">
        <v>4986</v>
      </c>
      <c r="I2521" s="1105">
        <v>1.18</v>
      </c>
      <c r="J2521" s="1107" t="s">
        <v>165</v>
      </c>
      <c r="O2521" s="1184" t="s">
        <v>4971</v>
      </c>
      <c r="Q2521" s="1107"/>
      <c r="R2521" s="1119">
        <f>R2519/M2515</f>
        <v>3884.9220779220773</v>
      </c>
    </row>
    <row r="2522" spans="6:18" ht="24" customHeight="1">
      <c r="N2522" s="1105">
        <f>1.285*0.6</f>
        <v>0.77099999999999991</v>
      </c>
    </row>
    <row r="2524" spans="6:18" ht="24" customHeight="1">
      <c r="H2524" s="1119" t="s">
        <v>4982</v>
      </c>
    </row>
    <row r="2527" spans="6:18" ht="24" customHeight="1">
      <c r="F2527" s="1105" t="s">
        <v>4987</v>
      </c>
      <c r="I2527" s="1105">
        <v>24.34</v>
      </c>
      <c r="J2527" s="1107" t="s">
        <v>165</v>
      </c>
    </row>
    <row r="2528" spans="6:18" ht="24" customHeight="1">
      <c r="F2528" s="1105" t="s">
        <v>4988</v>
      </c>
      <c r="I2528" s="1105">
        <v>11.78</v>
      </c>
      <c r="J2528" s="1107" t="s">
        <v>165</v>
      </c>
    </row>
    <row r="2529" spans="6:12" ht="24" customHeight="1">
      <c r="F2529" s="1105" t="s">
        <v>4989</v>
      </c>
      <c r="I2529" s="1105">
        <v>59.35</v>
      </c>
      <c r="J2529" s="1107" t="s">
        <v>165</v>
      </c>
    </row>
    <row r="2530" spans="6:12" ht="24" customHeight="1">
      <c r="F2530" s="1105" t="s">
        <v>4990</v>
      </c>
      <c r="I2530" s="1105">
        <v>5.04</v>
      </c>
      <c r="J2530" s="1107" t="s">
        <v>165</v>
      </c>
    </row>
    <row r="2531" spans="6:12" ht="24" customHeight="1">
      <c r="F2531" s="1105" t="s">
        <v>4991</v>
      </c>
      <c r="I2531" s="1105">
        <v>4.8</v>
      </c>
      <c r="J2531" s="1107" t="s">
        <v>165</v>
      </c>
    </row>
    <row r="2532" spans="6:12" ht="24" customHeight="1">
      <c r="F2532" s="1105" t="s">
        <v>4992</v>
      </c>
      <c r="I2532" s="1105">
        <v>2.69</v>
      </c>
    </row>
    <row r="2533" spans="6:12" ht="24" customHeight="1">
      <c r="I2533" s="1132" t="s">
        <v>4970</v>
      </c>
    </row>
    <row r="2534" spans="6:12" ht="24" customHeight="1">
      <c r="I2534" s="1119">
        <f>SUM(I2527:I2532)</f>
        <v>108</v>
      </c>
      <c r="J2534" s="1107" t="s">
        <v>165</v>
      </c>
    </row>
    <row r="2535" spans="6:12" ht="24" customHeight="1">
      <c r="I2535" s="1132" t="s">
        <v>4970</v>
      </c>
    </row>
    <row r="2536" spans="6:12" ht="24" customHeight="1">
      <c r="L2536" s="1105" t="s">
        <v>4993</v>
      </c>
    </row>
    <row r="2537" spans="6:12" ht="24" customHeight="1">
      <c r="F2537" s="1105">
        <v>108</v>
      </c>
      <c r="G2537" s="1105" t="s">
        <v>165</v>
      </c>
      <c r="H2537" s="1105" t="s">
        <v>4994</v>
      </c>
      <c r="I2537" s="1105">
        <f>I2466</f>
        <v>62.6</v>
      </c>
      <c r="J2537" s="1107" t="s">
        <v>165</v>
      </c>
      <c r="K2537" s="1105">
        <f>F2537*I2537</f>
        <v>6760.8</v>
      </c>
    </row>
    <row r="2538" spans="6:12" ht="24" customHeight="1">
      <c r="F2538" s="1105">
        <v>2.1</v>
      </c>
      <c r="G2538" s="1105" t="s">
        <v>37</v>
      </c>
      <c r="H2538" s="1105" t="s">
        <v>4961</v>
      </c>
      <c r="I2538" s="1105">
        <f>I2467</f>
        <v>339</v>
      </c>
      <c r="J2538" s="1107" t="s">
        <v>37</v>
      </c>
      <c r="K2538" s="1105">
        <f>F2538*I2538</f>
        <v>711.9</v>
      </c>
      <c r="L2538" s="1108">
        <v>42.713000000000001</v>
      </c>
    </row>
    <row r="2539" spans="6:12" ht="24" customHeight="1">
      <c r="F2539" s="1105">
        <v>2.1</v>
      </c>
      <c r="G2539" s="1105" t="s">
        <v>37</v>
      </c>
      <c r="H2539" s="1105" t="s">
        <v>4995</v>
      </c>
      <c r="I2539" s="1105">
        <f>I2468</f>
        <v>91</v>
      </c>
      <c r="J2539" s="1107" t="s">
        <v>37</v>
      </c>
      <c r="K2539" s="1105">
        <f>F2539*I2539</f>
        <v>191.1</v>
      </c>
      <c r="L2539" s="1105">
        <v>0.77</v>
      </c>
    </row>
    <row r="2540" spans="6:12" ht="24" customHeight="1">
      <c r="H2540" s="1105" t="s">
        <v>4996</v>
      </c>
      <c r="I2540" s="1105">
        <v>267.10000000000002</v>
      </c>
      <c r="J2540" s="1107" t="s">
        <v>2851</v>
      </c>
      <c r="K2540" s="1105">
        <f>I2540</f>
        <v>267.10000000000002</v>
      </c>
      <c r="L2540" s="1105">
        <v>0.77</v>
      </c>
    </row>
    <row r="2541" spans="6:12" ht="24" customHeight="1">
      <c r="K2541" s="1132" t="s">
        <v>4164</v>
      </c>
    </row>
    <row r="2542" spans="6:12" ht="24" customHeight="1">
      <c r="K2542" s="1105">
        <f>SUM(K2537:K2540)</f>
        <v>7930.9000000000005</v>
      </c>
    </row>
    <row r="2543" spans="6:12" ht="24" customHeight="1">
      <c r="H2543" s="1105" t="s">
        <v>4997</v>
      </c>
      <c r="I2543" s="1105">
        <v>500</v>
      </c>
      <c r="J2543" s="1107" t="s">
        <v>2851</v>
      </c>
      <c r="K2543" s="1105">
        <f>I2543</f>
        <v>500</v>
      </c>
    </row>
    <row r="2544" spans="6:12" ht="24" customHeight="1">
      <c r="K2544" s="1132" t="s">
        <v>4164</v>
      </c>
    </row>
    <row r="2545" spans="6:11" ht="24" customHeight="1">
      <c r="H2545" s="1119" t="s">
        <v>4998</v>
      </c>
      <c r="K2545" s="1119">
        <f>SUM(K2542:K2543)</f>
        <v>8430.9000000000015</v>
      </c>
    </row>
    <row r="2546" spans="6:11" ht="24" customHeight="1">
      <c r="K2546" s="1132" t="s">
        <v>4164</v>
      </c>
    </row>
    <row r="2548" spans="6:11" ht="24" customHeight="1">
      <c r="K2548" s="1105">
        <f>8054-K2545</f>
        <v>-376.90000000000146</v>
      </c>
    </row>
    <row r="2550" spans="6:11" ht="24" customHeight="1">
      <c r="H2550" s="1119" t="s">
        <v>4999</v>
      </c>
    </row>
    <row r="2552" spans="6:11" ht="24" customHeight="1">
      <c r="F2552" s="1119" t="s">
        <v>4983</v>
      </c>
      <c r="G2552" s="1119"/>
    </row>
    <row r="2554" spans="6:11" ht="24" customHeight="1">
      <c r="F2554" s="1105" t="s">
        <v>5000</v>
      </c>
      <c r="I2554" s="1108">
        <v>2.944</v>
      </c>
      <c r="J2554" s="1107" t="s">
        <v>165</v>
      </c>
    </row>
    <row r="2555" spans="6:11" ht="24" customHeight="1">
      <c r="F2555" s="1105" t="s">
        <v>5001</v>
      </c>
      <c r="I2555" s="1108">
        <v>2.355</v>
      </c>
      <c r="J2555" s="1107" t="s">
        <v>165</v>
      </c>
    </row>
    <row r="2556" spans="6:11" ht="24" customHeight="1">
      <c r="F2556" s="1105" t="s">
        <v>5002</v>
      </c>
      <c r="I2556" s="1108">
        <v>0.88300000000000001</v>
      </c>
      <c r="J2556" s="1107" t="s">
        <v>165</v>
      </c>
    </row>
    <row r="2559" spans="6:11" ht="24" customHeight="1">
      <c r="H2559" s="1119" t="s">
        <v>4999</v>
      </c>
    </row>
    <row r="2561" spans="6:18" ht="24" customHeight="1">
      <c r="N2561" s="1247">
        <v>24.1</v>
      </c>
      <c r="O2561" s="1119" t="s">
        <v>4976</v>
      </c>
      <c r="Q2561" s="1107"/>
    </row>
    <row r="2562" spans="6:18" ht="24" customHeight="1">
      <c r="F2562" s="1105" t="s">
        <v>5003</v>
      </c>
      <c r="I2562" s="1105">
        <v>16.38</v>
      </c>
      <c r="J2562" s="1107" t="s">
        <v>165</v>
      </c>
      <c r="N2562" s="1248" t="s">
        <v>2793</v>
      </c>
      <c r="O2562" s="1249"/>
      <c r="Q2562" s="1107"/>
    </row>
    <row r="2563" spans="6:18" ht="24" customHeight="1">
      <c r="F2563" s="1105" t="s">
        <v>5004</v>
      </c>
      <c r="I2563" s="1105">
        <v>8.7799999999999994</v>
      </c>
      <c r="J2563" s="1107" t="s">
        <v>165</v>
      </c>
      <c r="M2563" s="1107" t="s">
        <v>5005</v>
      </c>
      <c r="N2563" s="1107"/>
      <c r="O2563" s="1107"/>
      <c r="P2563" s="1105">
        <v>14.8</v>
      </c>
      <c r="Q2563" s="1107" t="s">
        <v>4578</v>
      </c>
    </row>
    <row r="2564" spans="6:18" ht="24" customHeight="1">
      <c r="F2564" s="1105" t="s">
        <v>5006</v>
      </c>
      <c r="I2564" s="1105">
        <v>37.67</v>
      </c>
      <c r="J2564" s="1107" t="s">
        <v>165</v>
      </c>
      <c r="M2564" s="1105" t="s">
        <v>4957</v>
      </c>
      <c r="P2564" s="1105">
        <v>22.61</v>
      </c>
      <c r="Q2564" s="1107" t="s">
        <v>4578</v>
      </c>
    </row>
    <row r="2565" spans="6:18" ht="24" customHeight="1">
      <c r="F2565" s="1105" t="s">
        <v>5007</v>
      </c>
      <c r="I2565" s="1105">
        <v>3.24</v>
      </c>
      <c r="J2565" s="1107" t="s">
        <v>165</v>
      </c>
      <c r="M2565" s="1105" t="s">
        <v>4958</v>
      </c>
      <c r="P2565" s="1105">
        <v>3.24</v>
      </c>
      <c r="Q2565" s="1107" t="s">
        <v>4578</v>
      </c>
    </row>
    <row r="2566" spans="6:18" ht="24" customHeight="1">
      <c r="F2566" s="1105" t="s">
        <v>5008</v>
      </c>
      <c r="I2566" s="1105">
        <v>3.6</v>
      </c>
      <c r="J2566" s="1107" t="s">
        <v>165</v>
      </c>
      <c r="M2566" s="1105" t="s">
        <v>4959</v>
      </c>
      <c r="P2566" s="1105">
        <v>2.16</v>
      </c>
      <c r="Q2566" s="1107" t="s">
        <v>4578</v>
      </c>
    </row>
    <row r="2567" spans="6:18" ht="24" customHeight="1">
      <c r="F2567" s="1105" t="s">
        <v>4992</v>
      </c>
      <c r="I2567" s="1105">
        <v>2.88</v>
      </c>
      <c r="Q2567" s="1107"/>
    </row>
    <row r="2568" spans="6:18" ht="24" customHeight="1">
      <c r="I2568" s="1132" t="s">
        <v>4970</v>
      </c>
      <c r="P2568" s="1132" t="s">
        <v>4164</v>
      </c>
      <c r="Q2568" s="1107"/>
    </row>
    <row r="2569" spans="6:18" ht="24" customHeight="1">
      <c r="I2569" s="1119">
        <f>SUM(I2562:I2567)</f>
        <v>72.549999999999983</v>
      </c>
      <c r="J2569" s="1107" t="s">
        <v>165</v>
      </c>
      <c r="P2569" s="1105">
        <f>SUM(P2563:P2567)</f>
        <v>42.81</v>
      </c>
      <c r="Q2569" s="1107"/>
    </row>
    <row r="2570" spans="6:18" ht="24" customHeight="1">
      <c r="I2570" s="1132" t="s">
        <v>4970</v>
      </c>
      <c r="P2570" s="1105" t="s">
        <v>4960</v>
      </c>
      <c r="Q2570" s="1107"/>
    </row>
    <row r="2571" spans="6:18" ht="24" customHeight="1">
      <c r="Q2571" s="1107"/>
    </row>
    <row r="2572" spans="6:18" ht="24" customHeight="1">
      <c r="F2572" s="1105">
        <v>72.55</v>
      </c>
      <c r="G2572" s="1105" t="s">
        <v>165</v>
      </c>
      <c r="H2572" s="1105" t="s">
        <v>4994</v>
      </c>
      <c r="I2572" s="1105">
        <f>I2537</f>
        <v>62.6</v>
      </c>
      <c r="J2572" s="1107" t="s">
        <v>165</v>
      </c>
      <c r="K2572" s="1105">
        <f>F2572*I2572</f>
        <v>4541.63</v>
      </c>
      <c r="Q2572" s="1107"/>
    </row>
    <row r="2573" spans="6:18" ht="24" customHeight="1">
      <c r="F2573" s="1105">
        <v>1.01</v>
      </c>
      <c r="G2573" s="1105" t="s">
        <v>37</v>
      </c>
      <c r="H2573" s="1105" t="s">
        <v>4961</v>
      </c>
      <c r="I2573" s="1105">
        <f>I2538</f>
        <v>339</v>
      </c>
      <c r="J2573" s="1107" t="s">
        <v>37</v>
      </c>
      <c r="K2573" s="1186">
        <f>F2573*I2573</f>
        <v>342.39</v>
      </c>
      <c r="M2573" s="1105">
        <v>42.81</v>
      </c>
      <c r="N2573" s="1105" t="s">
        <v>165</v>
      </c>
      <c r="O2573" s="1105" t="s">
        <v>5009</v>
      </c>
      <c r="P2573" s="1105">
        <f>I2572</f>
        <v>62.6</v>
      </c>
      <c r="Q2573" s="1107" t="s">
        <v>165</v>
      </c>
      <c r="R2573" s="1105">
        <f>P2573*M2573</f>
        <v>2679.9060000000004</v>
      </c>
    </row>
    <row r="2574" spans="6:18" ht="24" customHeight="1">
      <c r="F2574" s="1105">
        <v>1.01</v>
      </c>
      <c r="G2574" s="1105" t="s">
        <v>37</v>
      </c>
      <c r="H2574" s="1105" t="str">
        <f>H2539</f>
        <v>Fly proof mesh</v>
      </c>
      <c r="I2574" s="1105">
        <f>I2539</f>
        <v>91</v>
      </c>
      <c r="J2574" s="1107" t="s">
        <v>37</v>
      </c>
      <c r="K2574" s="1105">
        <f>F2574*I2574</f>
        <v>91.91</v>
      </c>
      <c r="M2574" s="1105">
        <v>0.77</v>
      </c>
      <c r="N2574" s="1105" t="s">
        <v>37</v>
      </c>
      <c r="O2574" s="1105" t="s">
        <v>5010</v>
      </c>
      <c r="P2574" s="1105">
        <f>I2573</f>
        <v>339</v>
      </c>
      <c r="Q2574" s="1107" t="s">
        <v>37</v>
      </c>
      <c r="R2574" s="1105">
        <f>P2574*M2574</f>
        <v>261.03000000000003</v>
      </c>
    </row>
    <row r="2575" spans="6:18" ht="24" customHeight="1">
      <c r="H2575" s="1105" t="s">
        <v>4996</v>
      </c>
      <c r="I2575" s="1105">
        <v>266.49</v>
      </c>
      <c r="J2575" s="1107" t="s">
        <v>2851</v>
      </c>
      <c r="K2575" s="1105">
        <f>I2575</f>
        <v>266.49</v>
      </c>
      <c r="M2575" s="1105">
        <v>0.77</v>
      </c>
      <c r="N2575" s="1105" t="s">
        <v>37</v>
      </c>
      <c r="O2575" s="1105" t="s">
        <v>5011</v>
      </c>
      <c r="P2575" s="1105">
        <f>I2574</f>
        <v>91</v>
      </c>
      <c r="Q2575" s="1107" t="s">
        <v>37</v>
      </c>
      <c r="R2575" s="1105">
        <f>P2575*M2575</f>
        <v>70.070000000000007</v>
      </c>
    </row>
    <row r="2576" spans="6:18" ht="24" customHeight="1">
      <c r="K2576" s="1132" t="s">
        <v>4164</v>
      </c>
      <c r="O2576" s="1105" t="s">
        <v>4963</v>
      </c>
      <c r="P2576" s="1105">
        <f>46.62+0.48</f>
        <v>47.099999999999994</v>
      </c>
      <c r="Q2576" s="1107" t="s">
        <v>2851</v>
      </c>
      <c r="R2576" s="1105">
        <f>P2576</f>
        <v>47.099999999999994</v>
      </c>
    </row>
    <row r="2577" spans="6:23" ht="24" customHeight="1">
      <c r="K2577" s="1105">
        <f>SUM(K2572:K2575)</f>
        <v>5242.42</v>
      </c>
      <c r="Q2577" s="1107"/>
      <c r="R2577" s="1132" t="s">
        <v>4164</v>
      </c>
    </row>
    <row r="2578" spans="6:23" ht="24" customHeight="1">
      <c r="H2578" s="1105" t="s">
        <v>4997</v>
      </c>
      <c r="I2578" s="1105">
        <v>255</v>
      </c>
      <c r="J2578" s="1107" t="s">
        <v>2851</v>
      </c>
      <c r="K2578" s="1105">
        <v>255</v>
      </c>
      <c r="O2578" s="1119" t="s">
        <v>4964</v>
      </c>
      <c r="Q2578" s="1107"/>
      <c r="R2578" s="1119">
        <f>SUM(R2573:R2576)</f>
        <v>3058.1060000000007</v>
      </c>
    </row>
    <row r="2579" spans="6:23" ht="24" customHeight="1">
      <c r="K2579" s="1132" t="s">
        <v>4164</v>
      </c>
      <c r="Q2579" s="1107"/>
      <c r="R2579" s="1132" t="s">
        <v>4164</v>
      </c>
    </row>
    <row r="2580" spans="6:23" ht="24" customHeight="1">
      <c r="H2580" s="1119" t="s">
        <v>4998</v>
      </c>
      <c r="K2580" s="1119">
        <f>SUM(K2577:K2578)</f>
        <v>5497.42</v>
      </c>
      <c r="O2580" s="1105">
        <f>1.285*0.6</f>
        <v>0.77099999999999991</v>
      </c>
      <c r="Q2580" s="1107"/>
      <c r="R2580" s="1105">
        <f>R2578/O2580</f>
        <v>3966.4150453955913</v>
      </c>
    </row>
    <row r="2581" spans="6:23" ht="24" customHeight="1">
      <c r="K2581" s="1132" t="s">
        <v>4164</v>
      </c>
      <c r="M2581" s="1105">
        <f>I2574</f>
        <v>91</v>
      </c>
      <c r="O2581" s="1107">
        <f>M2581*L2540</f>
        <v>70.070000000000007</v>
      </c>
    </row>
    <row r="2582" spans="6:23" ht="24" customHeight="1">
      <c r="O2582" s="1107">
        <v>0.8</v>
      </c>
    </row>
    <row r="2583" spans="6:23" ht="24" customHeight="1">
      <c r="K2583" s="1105">
        <f>5261-K2580</f>
        <v>-236.42000000000007</v>
      </c>
      <c r="O2583" s="1107">
        <f>SUM(O2579:O2582)</f>
        <v>71.641000000000005</v>
      </c>
    </row>
    <row r="2584" spans="6:23" ht="24" customHeight="1">
      <c r="O2584" s="1107">
        <f>O2583/0.77</f>
        <v>93.040259740259742</v>
      </c>
    </row>
    <row r="2585" spans="6:23" ht="24" customHeight="1">
      <c r="H2585" s="1119" t="s">
        <v>4999</v>
      </c>
    </row>
    <row r="2587" spans="6:23" ht="24" customHeight="1">
      <c r="F2587" s="1119" t="s">
        <v>4983</v>
      </c>
      <c r="G2587" s="1119"/>
      <c r="U2587" s="1105" t="s">
        <v>5012</v>
      </c>
      <c r="W2587" s="1107"/>
    </row>
    <row r="2588" spans="6:23" ht="24" customHeight="1">
      <c r="W2588" s="1107"/>
    </row>
    <row r="2589" spans="6:23" ht="24" customHeight="1">
      <c r="F2589" s="1105" t="s">
        <v>5000</v>
      </c>
      <c r="I2589" s="1108">
        <v>2.944</v>
      </c>
      <c r="J2589" s="1107" t="s">
        <v>165</v>
      </c>
      <c r="S2589" s="1108" t="s">
        <v>5013</v>
      </c>
      <c r="V2589" s="1250">
        <f>2*0.85*2.025</f>
        <v>3.4424999999999999</v>
      </c>
      <c r="W2589" s="1107"/>
    </row>
    <row r="2590" spans="6:23" ht="24" customHeight="1">
      <c r="F2590" s="1105" t="s">
        <v>5001</v>
      </c>
      <c r="I2590" s="1108">
        <v>2.355</v>
      </c>
      <c r="J2590" s="1107" t="s">
        <v>165</v>
      </c>
      <c r="S2590" s="1108" t="s">
        <v>5014</v>
      </c>
      <c r="V2590" s="1250">
        <v>2.2800000000000001E-2</v>
      </c>
      <c r="W2590" s="1107"/>
    </row>
    <row r="2591" spans="6:23" ht="24" customHeight="1">
      <c r="F2591" s="1105" t="s">
        <v>5002</v>
      </c>
      <c r="I2591" s="1108">
        <v>0.88300000000000001</v>
      </c>
      <c r="J2591" s="1107" t="s">
        <v>165</v>
      </c>
      <c r="S2591" s="1108" t="s">
        <v>5015</v>
      </c>
      <c r="V2591" s="1148">
        <f>2*3*0.85*0.15*0.0375</f>
        <v>2.8687499999999994E-2</v>
      </c>
      <c r="W2591" s="1107"/>
    </row>
    <row r="2592" spans="6:23" ht="24" customHeight="1">
      <c r="T2592" s="1105" t="s">
        <v>5016</v>
      </c>
      <c r="V2592" s="1148">
        <f>2*3*0.85*0.075*0.0375</f>
        <v>1.4343749999999997E-2</v>
      </c>
      <c r="W2592" s="1107"/>
    </row>
    <row r="2593" spans="6:33" ht="24" customHeight="1">
      <c r="V2593" s="1251">
        <f>SUM(V2591:V2592)</f>
        <v>4.3031249999999993E-2</v>
      </c>
      <c r="W2593" s="1107"/>
    </row>
    <row r="2594" spans="6:33" ht="24" customHeight="1">
      <c r="H2594" s="1119" t="s">
        <v>4999</v>
      </c>
      <c r="W2594" s="1107"/>
    </row>
    <row r="2595" spans="6:33" ht="24" customHeight="1">
      <c r="W2595" s="1107"/>
    </row>
    <row r="2596" spans="6:33" ht="24" customHeight="1">
      <c r="S2596" s="1108" t="s">
        <v>5017</v>
      </c>
      <c r="V2596" s="1148">
        <f>2*4*0.725*0.3*0.01875</f>
        <v>3.2625000000000001E-2</v>
      </c>
      <c r="W2596" s="1107"/>
    </row>
    <row r="2597" spans="6:33" ht="24" customHeight="1">
      <c r="F2597" s="1105" t="s">
        <v>5003</v>
      </c>
      <c r="I2597" s="1105">
        <v>16.38</v>
      </c>
      <c r="J2597" s="1107" t="s">
        <v>165</v>
      </c>
      <c r="S2597" s="1108" t="s">
        <v>5018</v>
      </c>
      <c r="V2597" s="1148">
        <f>2*0.725*0.3*0.01875</f>
        <v>8.1562500000000003E-3</v>
      </c>
      <c r="W2597" s="1107"/>
    </row>
    <row r="2598" spans="6:33" ht="24" customHeight="1">
      <c r="F2598" s="1105" t="s">
        <v>5004</v>
      </c>
      <c r="I2598" s="1105">
        <v>8.7799999999999994</v>
      </c>
      <c r="J2598" s="1107" t="s">
        <v>165</v>
      </c>
      <c r="V2598" s="1251">
        <f>SUM(V2596:V2597)</f>
        <v>4.0781250000000005E-2</v>
      </c>
      <c r="W2598" s="1107"/>
    </row>
    <row r="2599" spans="6:33" ht="24" customHeight="1">
      <c r="F2599" s="1105" t="s">
        <v>5006</v>
      </c>
      <c r="I2599" s="1105">
        <v>37.67</v>
      </c>
      <c r="J2599" s="1107" t="s">
        <v>165</v>
      </c>
      <c r="U2599" s="1119" t="s">
        <v>5019</v>
      </c>
      <c r="W2599" s="1107"/>
      <c r="Y2599" s="1148">
        <v>2.3099999999999999E-2</v>
      </c>
      <c r="Z2599" s="1105">
        <f>Y2599*V2601</f>
        <v>2577.96</v>
      </c>
    </row>
    <row r="2600" spans="6:33" ht="24" customHeight="1">
      <c r="F2600" s="1105" t="s">
        <v>5007</v>
      </c>
      <c r="I2600" s="1105">
        <v>3.24</v>
      </c>
      <c r="J2600" s="1107" t="s">
        <v>165</v>
      </c>
      <c r="W2600" s="1107"/>
      <c r="Y2600" s="1148">
        <v>4.48E-2</v>
      </c>
      <c r="Z2600" s="1105">
        <f>Y2600*V2602</f>
        <v>4453.12</v>
      </c>
    </row>
    <row r="2601" spans="6:33" ht="40.5" customHeight="1">
      <c r="F2601" s="1105" t="s">
        <v>5008</v>
      </c>
      <c r="I2601" s="1105">
        <v>3.6</v>
      </c>
      <c r="J2601" s="1107" t="s">
        <v>165</v>
      </c>
      <c r="S2601" s="1148">
        <f>V2590</f>
        <v>2.2800000000000001E-2</v>
      </c>
      <c r="T2601" s="1105" t="s">
        <v>2839</v>
      </c>
      <c r="U2601" s="1105" t="s">
        <v>5020</v>
      </c>
      <c r="V2601" s="1105">
        <f>I2633</f>
        <v>111600</v>
      </c>
      <c r="W2601" s="1107" t="s">
        <v>2839</v>
      </c>
      <c r="X2601" s="1105">
        <f>S2601*V2601</f>
        <v>2544.48</v>
      </c>
      <c r="Y2601" s="1148">
        <v>2.2690000000000001</v>
      </c>
      <c r="Z2601" s="1105">
        <f>Y2601*336</f>
        <v>762.38400000000001</v>
      </c>
      <c r="AD2601" s="1495" t="s">
        <v>5021</v>
      </c>
      <c r="AE2601" s="1495"/>
      <c r="AF2601" s="1495"/>
      <c r="AG2601" s="1495"/>
    </row>
    <row r="2602" spans="6:33" ht="24" customHeight="1">
      <c r="F2602" s="1105" t="s">
        <v>4992</v>
      </c>
      <c r="I2602" s="1105">
        <v>2.88</v>
      </c>
      <c r="S2602" s="1148">
        <f>V2593</f>
        <v>4.3031249999999993E-2</v>
      </c>
      <c r="T2602" s="1105" t="s">
        <v>2839</v>
      </c>
      <c r="U2602" s="1105" t="s">
        <v>4150</v>
      </c>
      <c r="V2602" s="1105">
        <f t="shared" ref="V2602:V2610" si="242">I2634</f>
        <v>99400</v>
      </c>
      <c r="W2602" s="1107" t="s">
        <v>2839</v>
      </c>
      <c r="X2602" s="1105">
        <f t="shared" ref="X2602:X2612" si="243">S2602*V2602</f>
        <v>4277.3062499999996</v>
      </c>
      <c r="Y2602" s="1148">
        <v>3.4849999999999999</v>
      </c>
      <c r="Z2602" s="1105">
        <f>Y2602*V2604</f>
        <v>4617.625</v>
      </c>
      <c r="AF2602" s="1107"/>
    </row>
    <row r="2603" spans="6:33" ht="24" customHeight="1">
      <c r="I2603" s="1132" t="s">
        <v>4970</v>
      </c>
      <c r="S2603" s="1148">
        <f>V2598</f>
        <v>4.0781250000000005E-2</v>
      </c>
      <c r="T2603" s="1105" t="s">
        <v>2839</v>
      </c>
      <c r="U2603" s="1105" t="s">
        <v>4151</v>
      </c>
      <c r="V2603" s="1105">
        <f t="shared" si="242"/>
        <v>107000</v>
      </c>
      <c r="W2603" s="1107" t="s">
        <v>2839</v>
      </c>
      <c r="X2603" s="1105">
        <f t="shared" si="243"/>
        <v>4363.5937500000009</v>
      </c>
      <c r="Y2603" s="1148">
        <v>2</v>
      </c>
      <c r="Z2603" s="1105">
        <f>Y2603*V2605</f>
        <v>900</v>
      </c>
      <c r="AB2603" s="1105" t="s">
        <v>5022</v>
      </c>
      <c r="AE2603" s="1250">
        <f>2*0.95*2.025</f>
        <v>3.8474999999999997</v>
      </c>
      <c r="AF2603" s="1107"/>
    </row>
    <row r="2604" spans="6:33" ht="24" customHeight="1">
      <c r="I2604" s="1119">
        <f>SUM(I2597:I2602)</f>
        <v>72.549999999999983</v>
      </c>
      <c r="J2604" s="1107" t="s">
        <v>165</v>
      </c>
      <c r="S2604" s="1148">
        <f>V2589</f>
        <v>3.4424999999999999</v>
      </c>
      <c r="T2604" s="1105" t="s">
        <v>3189</v>
      </c>
      <c r="U2604" s="1105" t="s">
        <v>4152</v>
      </c>
      <c r="V2604" s="1105">
        <f t="shared" si="242"/>
        <v>1325</v>
      </c>
      <c r="W2604" s="1107" t="s">
        <v>3189</v>
      </c>
      <c r="X2604" s="1105">
        <f t="shared" si="243"/>
        <v>4561.3125</v>
      </c>
      <c r="Y2604" s="1148">
        <v>6</v>
      </c>
      <c r="Z2604" s="1105">
        <f>Y2604*V2606</f>
        <v>474</v>
      </c>
      <c r="AB2604" s="1105" t="s">
        <v>5014</v>
      </c>
      <c r="AE2604" s="1250">
        <v>2.2800000000000001E-2</v>
      </c>
      <c r="AF2604" s="1107"/>
    </row>
    <row r="2605" spans="6:33" ht="24" customHeight="1">
      <c r="I2605" s="1132" t="s">
        <v>4970</v>
      </c>
      <c r="S2605" s="1108">
        <v>2</v>
      </c>
      <c r="T2605" s="1105" t="s">
        <v>4154</v>
      </c>
      <c r="U2605" s="1105" t="s">
        <v>4155</v>
      </c>
      <c r="V2605" s="1105">
        <f t="shared" si="242"/>
        <v>450</v>
      </c>
      <c r="W2605" s="1107" t="s">
        <v>522</v>
      </c>
      <c r="X2605" s="1105">
        <f t="shared" si="243"/>
        <v>900</v>
      </c>
      <c r="Y2605" s="1148">
        <v>4</v>
      </c>
      <c r="Z2605" s="1105">
        <f>Y2605*V2607</f>
        <v>520</v>
      </c>
      <c r="AB2605" s="1105" t="s">
        <v>5023</v>
      </c>
      <c r="AE2605" s="1148">
        <f>2*3*0.95*0.15*0.0375</f>
        <v>3.2062499999999994E-2</v>
      </c>
      <c r="AF2605" s="1107"/>
    </row>
    <row r="2606" spans="6:33" ht="24" customHeight="1">
      <c r="S2606" s="1108">
        <v>6</v>
      </c>
      <c r="T2606" s="1105" t="s">
        <v>4154</v>
      </c>
      <c r="U2606" s="1105" t="s">
        <v>4156</v>
      </c>
      <c r="V2606" s="1105">
        <f t="shared" si="242"/>
        <v>79</v>
      </c>
      <c r="W2606" s="1107" t="s">
        <v>522</v>
      </c>
      <c r="X2606" s="1105">
        <f t="shared" si="243"/>
        <v>474</v>
      </c>
      <c r="Y2606" s="1148">
        <v>1</v>
      </c>
      <c r="Z2606" s="1105">
        <f>Y2606*X2608</f>
        <v>985</v>
      </c>
      <c r="AC2606" s="1105" t="s">
        <v>5024</v>
      </c>
      <c r="AE2606" s="1148">
        <f>2*3*0.95*0.075*0.0375</f>
        <v>1.6031249999999997E-2</v>
      </c>
      <c r="AF2606" s="1107"/>
    </row>
    <row r="2607" spans="6:33" ht="24" customHeight="1">
      <c r="F2607" s="1105">
        <v>73</v>
      </c>
      <c r="G2607" s="1105" t="s">
        <v>165</v>
      </c>
      <c r="H2607" s="1105" t="s">
        <v>4994</v>
      </c>
      <c r="I2607" s="1105">
        <f>I2572</f>
        <v>62.6</v>
      </c>
      <c r="J2607" s="1107" t="s">
        <v>165</v>
      </c>
      <c r="K2607" s="1105">
        <f>F2607*I2607</f>
        <v>4569.8</v>
      </c>
      <c r="S2607" s="1108">
        <v>4</v>
      </c>
      <c r="T2607" s="1105" t="s">
        <v>4154</v>
      </c>
      <c r="U2607" s="1105" t="s">
        <v>4157</v>
      </c>
      <c r="V2607" s="1105">
        <f t="shared" si="242"/>
        <v>130</v>
      </c>
      <c r="W2607" s="1107" t="s">
        <v>522</v>
      </c>
      <c r="X2607" s="1105">
        <f t="shared" si="243"/>
        <v>520</v>
      </c>
      <c r="Y2607" s="1148">
        <v>2</v>
      </c>
      <c r="Z2607" s="1105">
        <f>Y2607*V2609</f>
        <v>15</v>
      </c>
      <c r="AE2607" s="1251">
        <f>SUM(AE2605:AE2606)</f>
        <v>4.8093749999999991E-2</v>
      </c>
      <c r="AF2607" s="1107"/>
    </row>
    <row r="2608" spans="6:33" ht="24" customHeight="1">
      <c r="F2608" s="1105">
        <v>1.01</v>
      </c>
      <c r="G2608" s="1105" t="s">
        <v>37</v>
      </c>
      <c r="H2608" s="1105" t="s">
        <v>4961</v>
      </c>
      <c r="I2608" s="1105">
        <f>I2573</f>
        <v>339</v>
      </c>
      <c r="J2608" s="1107" t="s">
        <v>37</v>
      </c>
      <c r="K2608" s="1186">
        <f>F2608*I2608</f>
        <v>342.39</v>
      </c>
      <c r="S2608" s="1108">
        <v>1</v>
      </c>
      <c r="T2608" s="1105" t="s">
        <v>4154</v>
      </c>
      <c r="U2608" s="1105" t="s">
        <v>4159</v>
      </c>
      <c r="V2608" s="1105">
        <f t="shared" si="242"/>
        <v>985</v>
      </c>
      <c r="W2608" s="1107" t="s">
        <v>522</v>
      </c>
      <c r="X2608" s="1105">
        <f t="shared" si="243"/>
        <v>985</v>
      </c>
      <c r="Y2608" s="1148">
        <v>2</v>
      </c>
      <c r="Z2608" s="1105">
        <f>Y2608*V2610</f>
        <v>91.8</v>
      </c>
      <c r="AF2608" s="1107"/>
    </row>
    <row r="2609" spans="6:33" ht="24" customHeight="1">
      <c r="F2609" s="1105">
        <v>1.01</v>
      </c>
      <c r="G2609" s="1105" t="s">
        <v>37</v>
      </c>
      <c r="H2609" s="1105" t="s">
        <v>5025</v>
      </c>
      <c r="I2609" s="1105">
        <f>C198</f>
        <v>36.299999999999997</v>
      </c>
      <c r="J2609" s="1107" t="s">
        <v>37</v>
      </c>
      <c r="K2609" s="1105">
        <f>F2609*I2609</f>
        <v>36.662999999999997</v>
      </c>
      <c r="S2609" s="1108">
        <v>2</v>
      </c>
      <c r="T2609" s="1105" t="s">
        <v>4154</v>
      </c>
      <c r="U2609" s="1105" t="s">
        <v>3212</v>
      </c>
      <c r="V2609" s="1105">
        <v>7.5</v>
      </c>
      <c r="W2609" s="1107" t="s">
        <v>522</v>
      </c>
      <c r="X2609" s="1105">
        <f t="shared" si="243"/>
        <v>15</v>
      </c>
      <c r="Y2609" s="1148"/>
      <c r="Z2609" s="1105">
        <v>20</v>
      </c>
      <c r="AF2609" s="1107"/>
    </row>
    <row r="2610" spans="6:33" ht="24" customHeight="1">
      <c r="H2610" s="1105" t="s">
        <v>4996</v>
      </c>
      <c r="I2610" s="1105">
        <v>266.81</v>
      </c>
      <c r="J2610" s="1107" t="s">
        <v>2851</v>
      </c>
      <c r="K2610" s="1105">
        <f>I2610</f>
        <v>266.81</v>
      </c>
      <c r="S2610" s="1108">
        <v>2</v>
      </c>
      <c r="T2610" s="1105" t="s">
        <v>4154</v>
      </c>
      <c r="U2610" s="1105" t="s">
        <v>3214</v>
      </c>
      <c r="V2610" s="1105">
        <f t="shared" si="242"/>
        <v>45.9</v>
      </c>
      <c r="W2610" s="1107" t="s">
        <v>522</v>
      </c>
      <c r="X2610" s="1105">
        <f t="shared" si="243"/>
        <v>91.8</v>
      </c>
      <c r="Z2610" s="1105">
        <f>SUM(Z2599:Z2609)</f>
        <v>15416.888999999999</v>
      </c>
      <c r="AB2610" s="1105" t="s">
        <v>5026</v>
      </c>
      <c r="AE2610" s="1148">
        <f>2*4*0.825*0.3*0.01875</f>
        <v>3.7124999999999991E-2</v>
      </c>
      <c r="AF2610" s="1107"/>
    </row>
    <row r="2611" spans="6:33" ht="24" customHeight="1">
      <c r="K2611" s="1132" t="s">
        <v>4164</v>
      </c>
      <c r="W2611" s="1107"/>
      <c r="Z2611" s="1105">
        <f>Z2610/3.485</f>
        <v>4423.784505021521</v>
      </c>
      <c r="AB2611" s="1105" t="s">
        <v>5027</v>
      </c>
      <c r="AE2611" s="1148">
        <f>2*0.825*0.3*0.01875</f>
        <v>9.2812499999999978E-3</v>
      </c>
      <c r="AF2611" s="1107"/>
    </row>
    <row r="2612" spans="6:33" ht="24" customHeight="1">
      <c r="K2612" s="1105">
        <f>SUM(K2607:K2610)</f>
        <v>5215.6630000000005</v>
      </c>
      <c r="S2612" s="1108">
        <v>10</v>
      </c>
      <c r="U2612" s="1105" t="s">
        <v>4087</v>
      </c>
      <c r="V2612" s="1105">
        <f>I2643</f>
        <v>2.39</v>
      </c>
      <c r="W2612" s="1107"/>
      <c r="X2612" s="1105">
        <f t="shared" si="243"/>
        <v>23.900000000000002</v>
      </c>
      <c r="AE2612" s="1251">
        <f>SUM(AE2610:AE2611)</f>
        <v>4.6406249999999989E-2</v>
      </c>
      <c r="AF2612" s="1107"/>
    </row>
    <row r="2613" spans="6:33" ht="24" customHeight="1">
      <c r="H2613" s="1105" t="s">
        <v>4997</v>
      </c>
      <c r="I2613" s="1105">
        <v>255</v>
      </c>
      <c r="J2613" s="1107" t="s">
        <v>2851</v>
      </c>
      <c r="K2613" s="1105">
        <v>255</v>
      </c>
      <c r="T2613" s="1119"/>
      <c r="U2613" s="1119" t="s">
        <v>3154</v>
      </c>
      <c r="W2613" s="1107"/>
      <c r="X2613" s="1119">
        <f>SUM(X2601:X2612)</f>
        <v>18756.392500000002</v>
      </c>
      <c r="AD2613" s="1119" t="s">
        <v>5019</v>
      </c>
      <c r="AF2613" s="1107"/>
    </row>
    <row r="2614" spans="6:33" ht="24" customHeight="1">
      <c r="K2614" s="1132" t="s">
        <v>4164</v>
      </c>
      <c r="T2614" s="1119"/>
      <c r="U2614" s="1119"/>
      <c r="W2614" s="1107"/>
      <c r="X2614" s="1132" t="s">
        <v>4164</v>
      </c>
      <c r="AF2614" s="1107"/>
    </row>
    <row r="2615" spans="6:33" ht="24" customHeight="1">
      <c r="H2615" s="1119" t="s">
        <v>4998</v>
      </c>
      <c r="K2615" s="1119">
        <f>SUM(K2612:K2613)</f>
        <v>5470.6630000000005</v>
      </c>
      <c r="M2615" s="1105">
        <f>5227-K2615</f>
        <v>-243.66300000000047</v>
      </c>
      <c r="T2615" s="1119"/>
      <c r="U2615" s="1119" t="s">
        <v>5028</v>
      </c>
      <c r="W2615" s="1107"/>
      <c r="X2615" s="1119">
        <f>X2613/3.4425</f>
        <v>5448.4800290486573</v>
      </c>
      <c r="AB2615" s="1148">
        <f>AE2604</f>
        <v>2.2800000000000001E-2</v>
      </c>
      <c r="AC2615" s="1105" t="s">
        <v>2839</v>
      </c>
      <c r="AD2615" s="1105" t="s">
        <v>5020</v>
      </c>
      <c r="AE2615" s="1105">
        <f>V2601</f>
        <v>111600</v>
      </c>
      <c r="AF2615" s="1107" t="s">
        <v>2839</v>
      </c>
      <c r="AG2615" s="1105">
        <f>AB2615*AE2615</f>
        <v>2544.48</v>
      </c>
    </row>
    <row r="2616" spans="6:33" ht="24" customHeight="1">
      <c r="K2616" s="1132" t="s">
        <v>4164</v>
      </c>
      <c r="AB2616" s="1148">
        <f>AE2607</f>
        <v>4.8093749999999991E-2</v>
      </c>
      <c r="AC2616" s="1105" t="s">
        <v>2839</v>
      </c>
      <c r="AD2616" s="1105" t="s">
        <v>4150</v>
      </c>
      <c r="AE2616" s="1105">
        <f t="shared" ref="AE2616:AE2624" si="244">V2602</f>
        <v>99400</v>
      </c>
      <c r="AF2616" s="1107" t="s">
        <v>2839</v>
      </c>
      <c r="AG2616" s="1105">
        <f t="shared" ref="AG2616:AG2624" si="245">AB2616*AE2616</f>
        <v>4780.5187499999993</v>
      </c>
    </row>
    <row r="2617" spans="6:33" ht="24" customHeight="1">
      <c r="AB2617" s="1165">
        <f>AE2612</f>
        <v>4.6406249999999989E-2</v>
      </c>
      <c r="AC2617" s="1105" t="s">
        <v>2839</v>
      </c>
      <c r="AD2617" s="1105" t="s">
        <v>4151</v>
      </c>
      <c r="AE2617" s="1105">
        <f t="shared" si="244"/>
        <v>107000</v>
      </c>
      <c r="AF2617" s="1107" t="s">
        <v>2839</v>
      </c>
      <c r="AG2617" s="1105">
        <f t="shared" si="245"/>
        <v>4965.4687499999991</v>
      </c>
    </row>
    <row r="2618" spans="6:33" ht="24" customHeight="1">
      <c r="AB2618" s="1148">
        <f>AE2603</f>
        <v>3.8474999999999997</v>
      </c>
      <c r="AC2618" s="1105" t="s">
        <v>3189</v>
      </c>
      <c r="AD2618" s="1105" t="s">
        <v>4152</v>
      </c>
      <c r="AE2618" s="1105">
        <f t="shared" si="244"/>
        <v>1325</v>
      </c>
      <c r="AF2618" s="1107" t="s">
        <v>3189</v>
      </c>
      <c r="AG2618" s="1105">
        <f t="shared" si="245"/>
        <v>5097.9375</v>
      </c>
    </row>
    <row r="2619" spans="6:33" ht="24" customHeight="1">
      <c r="H2619" s="1119" t="s">
        <v>5029</v>
      </c>
      <c r="I2619" s="1119"/>
      <c r="AB2619" s="1105">
        <v>2</v>
      </c>
      <c r="AC2619" s="1105" t="s">
        <v>4154</v>
      </c>
      <c r="AD2619" s="1105" t="s">
        <v>4155</v>
      </c>
      <c r="AE2619" s="1105">
        <f t="shared" si="244"/>
        <v>450</v>
      </c>
      <c r="AF2619" s="1107" t="s">
        <v>522</v>
      </c>
      <c r="AG2619" s="1105">
        <f t="shared" si="245"/>
        <v>900</v>
      </c>
    </row>
    <row r="2620" spans="6:33" ht="24" customHeight="1">
      <c r="AB2620" s="1105">
        <v>6</v>
      </c>
      <c r="AC2620" s="1105" t="s">
        <v>4154</v>
      </c>
      <c r="AD2620" s="1105" t="s">
        <v>4156</v>
      </c>
      <c r="AE2620" s="1105">
        <f t="shared" si="244"/>
        <v>79</v>
      </c>
      <c r="AF2620" s="1107" t="s">
        <v>522</v>
      </c>
      <c r="AG2620" s="1105">
        <f t="shared" si="245"/>
        <v>474</v>
      </c>
    </row>
    <row r="2621" spans="6:33" ht="24" customHeight="1">
      <c r="F2621" s="1105" t="s">
        <v>5030</v>
      </c>
      <c r="AB2621" s="1105">
        <v>4</v>
      </c>
      <c r="AC2621" s="1105" t="s">
        <v>4154</v>
      </c>
      <c r="AD2621" s="1105" t="s">
        <v>4157</v>
      </c>
      <c r="AE2621" s="1105">
        <f t="shared" si="244"/>
        <v>130</v>
      </c>
      <c r="AF2621" s="1107" t="s">
        <v>522</v>
      </c>
      <c r="AG2621" s="1105">
        <f t="shared" si="245"/>
        <v>520</v>
      </c>
    </row>
    <row r="2622" spans="6:33" ht="24" customHeight="1">
      <c r="F2622" s="1105" t="s">
        <v>5014</v>
      </c>
      <c r="I2622" s="1250">
        <v>2.2800000000000001E-2</v>
      </c>
      <c r="AB2622" s="1105">
        <v>1</v>
      </c>
      <c r="AC2622" s="1105" t="s">
        <v>4154</v>
      </c>
      <c r="AD2622" s="1105" t="s">
        <v>4159</v>
      </c>
      <c r="AE2622" s="1105">
        <f t="shared" si="244"/>
        <v>985</v>
      </c>
      <c r="AF2622" s="1107" t="s">
        <v>522</v>
      </c>
      <c r="AG2622" s="1105">
        <f t="shared" si="245"/>
        <v>985</v>
      </c>
    </row>
    <row r="2623" spans="6:33" ht="24" customHeight="1">
      <c r="F2623" s="1105" t="s">
        <v>5031</v>
      </c>
      <c r="I2623" s="1148">
        <v>2.3599999999999999E-2</v>
      </c>
      <c r="AB2623" s="1105">
        <v>2</v>
      </c>
      <c r="AC2623" s="1105" t="s">
        <v>4154</v>
      </c>
      <c r="AD2623" s="1105" t="s">
        <v>3212</v>
      </c>
      <c r="AE2623" s="1105">
        <f t="shared" si="244"/>
        <v>7.5</v>
      </c>
      <c r="AF2623" s="1107" t="s">
        <v>522</v>
      </c>
      <c r="AG2623" s="1105">
        <f t="shared" si="245"/>
        <v>15</v>
      </c>
    </row>
    <row r="2624" spans="6:33" ht="24" customHeight="1">
      <c r="G2624" s="1105" t="s">
        <v>5032</v>
      </c>
      <c r="I2624" s="1148">
        <v>1.18E-2</v>
      </c>
      <c r="AB2624" s="1105">
        <v>2</v>
      </c>
      <c r="AC2624" s="1105" t="s">
        <v>4154</v>
      </c>
      <c r="AD2624" s="1105" t="s">
        <v>3214</v>
      </c>
      <c r="AE2624" s="1105">
        <f t="shared" si="244"/>
        <v>45.9</v>
      </c>
      <c r="AF2624" s="1107" t="s">
        <v>522</v>
      </c>
      <c r="AG2624" s="1105">
        <f t="shared" si="245"/>
        <v>91.8</v>
      </c>
    </row>
    <row r="2625" spans="6:33" ht="24" customHeight="1">
      <c r="I2625" s="1251">
        <f>SUM(I2623:I2624)</f>
        <v>3.5400000000000001E-2</v>
      </c>
      <c r="AF2625" s="1107"/>
    </row>
    <row r="2626" spans="6:33" ht="24" customHeight="1">
      <c r="O2626" s="1119" t="s">
        <v>5033</v>
      </c>
      <c r="Q2626" s="1107"/>
      <c r="AF2626" s="1107"/>
      <c r="AG2626" s="1132">
        <v>10.54</v>
      </c>
    </row>
    <row r="2627" spans="6:33" ht="24" customHeight="1">
      <c r="Q2627" s="1107"/>
      <c r="AC2627" s="1119"/>
      <c r="AD2627" s="1119" t="s">
        <v>3154</v>
      </c>
      <c r="AF2627" s="1107"/>
      <c r="AG2627" s="1119">
        <f>SUM(AG2615:AG2626)</f>
        <v>20384.744999999999</v>
      </c>
    </row>
    <row r="2628" spans="6:33" ht="24" customHeight="1">
      <c r="F2628" s="1105" t="s">
        <v>5034</v>
      </c>
      <c r="I2628" s="1148">
        <v>2.5899999999999999E-2</v>
      </c>
      <c r="M2628" s="1105" t="s">
        <v>5035</v>
      </c>
      <c r="Q2628" s="1107"/>
      <c r="AC2628" s="1119"/>
      <c r="AD2628" s="1119"/>
      <c r="AF2628" s="1107"/>
      <c r="AG2628" s="1132" t="s">
        <v>4164</v>
      </c>
    </row>
    <row r="2629" spans="6:33" ht="24" customHeight="1">
      <c r="F2629" s="1105" t="s">
        <v>5036</v>
      </c>
      <c r="I2629" s="1148">
        <f>2*0.575*0.3*0.01875</f>
        <v>6.4687499999999997E-3</v>
      </c>
      <c r="K2629" s="1105">
        <f>3643035-3769622.98</f>
        <v>-126587.97999999998</v>
      </c>
      <c r="M2629" s="1105" t="s">
        <v>5014</v>
      </c>
      <c r="P2629" s="1250">
        <v>2.2800000000000001E-2</v>
      </c>
      <c r="Q2629" s="1107"/>
      <c r="AC2629" s="1119"/>
      <c r="AD2629" s="1119" t="s">
        <v>5037</v>
      </c>
      <c r="AF2629" s="1107"/>
      <c r="AG2629" s="1119">
        <f>AG2627/3.8475</f>
        <v>5298.179337231968</v>
      </c>
    </row>
    <row r="2630" spans="6:33" ht="24" customHeight="1">
      <c r="I2630" s="1251">
        <f>SUM(I2628:I2629)</f>
        <v>3.2368750000000002E-2</v>
      </c>
      <c r="M2630" s="1105" t="s">
        <v>5038</v>
      </c>
      <c r="P2630" s="1148">
        <v>1.8599999999999998E-2</v>
      </c>
      <c r="Q2630" s="1107"/>
    </row>
    <row r="2631" spans="6:33" ht="24" customHeight="1">
      <c r="H2631" s="1119" t="s">
        <v>5019</v>
      </c>
      <c r="N2631" s="1105" t="s">
        <v>5039</v>
      </c>
      <c r="P2631" s="1148">
        <v>9.2999999999999992E-3</v>
      </c>
      <c r="Q2631" s="1107"/>
    </row>
    <row r="2632" spans="6:33" ht="24" customHeight="1">
      <c r="P2632" s="1251">
        <f>SUM(P2630:P2631)</f>
        <v>2.7899999999999998E-2</v>
      </c>
      <c r="Q2632" s="1107"/>
    </row>
    <row r="2633" spans="6:33" ht="24" customHeight="1">
      <c r="F2633" s="1148">
        <v>2.2800000000000001E-2</v>
      </c>
      <c r="G2633" s="1105" t="s">
        <v>2839</v>
      </c>
      <c r="H2633" s="1105" t="s">
        <v>4149</v>
      </c>
      <c r="I2633" s="1105">
        <f>AC26</f>
        <v>111600</v>
      </c>
      <c r="J2633" s="1107" t="s">
        <v>2839</v>
      </c>
      <c r="K2633" s="1105">
        <f>F2633*I2633</f>
        <v>2544.48</v>
      </c>
      <c r="Q2633" s="1107"/>
    </row>
    <row r="2634" spans="6:33" ht="24" customHeight="1">
      <c r="F2634" s="1148">
        <v>3.5400000000000001E-2</v>
      </c>
      <c r="G2634" s="1105" t="s">
        <v>2839</v>
      </c>
      <c r="H2634" s="1105" t="s">
        <v>4150</v>
      </c>
      <c r="I2634" s="1105">
        <f>AC27</f>
        <v>99400</v>
      </c>
      <c r="J2634" s="1107" t="s">
        <v>2839</v>
      </c>
      <c r="K2634" s="1105">
        <f t="shared" ref="K2634:K2643" si="246">F2634*I2634</f>
        <v>3518.76</v>
      </c>
      <c r="Q2634" s="1107"/>
    </row>
    <row r="2635" spans="6:33" ht="24" customHeight="1">
      <c r="F2635" s="1165">
        <v>3.2300000000000002E-2</v>
      </c>
      <c r="G2635" s="1105" t="s">
        <v>2839</v>
      </c>
      <c r="H2635" s="1105" t="s">
        <v>5040</v>
      </c>
      <c r="I2635" s="1105">
        <v>107000</v>
      </c>
      <c r="J2635" s="1107" t="s">
        <v>2839</v>
      </c>
      <c r="K2635" s="1105">
        <f t="shared" si="246"/>
        <v>3456.1000000000004</v>
      </c>
      <c r="M2635" s="1105" t="s">
        <v>5041</v>
      </c>
      <c r="P2635" s="1148">
        <v>1.9E-2</v>
      </c>
      <c r="Q2635" s="1107"/>
      <c r="AB2635" s="1108"/>
      <c r="AD2635" s="1119" t="s">
        <v>5012</v>
      </c>
      <c r="AF2635" s="1107"/>
    </row>
    <row r="2636" spans="6:33" ht="24" customHeight="1">
      <c r="F2636" s="1108">
        <v>2.835</v>
      </c>
      <c r="G2636" s="1105" t="s">
        <v>3189</v>
      </c>
      <c r="H2636" s="1105" t="s">
        <v>4152</v>
      </c>
      <c r="I2636" s="1105">
        <f>AE30</f>
        <v>1325</v>
      </c>
      <c r="J2636" s="1107" t="s">
        <v>3189</v>
      </c>
      <c r="K2636" s="1105">
        <f t="shared" si="246"/>
        <v>3756.375</v>
      </c>
      <c r="M2636" s="1105" t="s">
        <v>5042</v>
      </c>
      <c r="P2636" s="1148">
        <v>4.7999999999999996E-3</v>
      </c>
      <c r="Q2636" s="1107"/>
      <c r="AB2636" s="1108"/>
      <c r="AD2636" s="1119" t="s">
        <v>5043</v>
      </c>
      <c r="AF2636" s="1107"/>
    </row>
    <row r="2637" spans="6:33" ht="24" customHeight="1">
      <c r="F2637" s="1105">
        <v>2</v>
      </c>
      <c r="G2637" s="1105" t="s">
        <v>4154</v>
      </c>
      <c r="H2637" s="1105" t="s">
        <v>5044</v>
      </c>
      <c r="I2637" s="1105">
        <v>450</v>
      </c>
      <c r="J2637" s="1107" t="s">
        <v>522</v>
      </c>
      <c r="K2637" s="1105">
        <f t="shared" si="246"/>
        <v>900</v>
      </c>
      <c r="P2637" s="1251">
        <f>SUM(P2635:P2636)</f>
        <v>2.3799999999999998E-2</v>
      </c>
      <c r="Q2637" s="1107"/>
      <c r="AB2637" s="1108" t="s">
        <v>5013</v>
      </c>
      <c r="AE2637" s="1250">
        <f>2*0.85*2.025</f>
        <v>3.4424999999999999</v>
      </c>
      <c r="AF2637" s="1107"/>
    </row>
    <row r="2638" spans="6:33" ht="24" customHeight="1">
      <c r="F2638" s="1105">
        <v>6</v>
      </c>
      <c r="G2638" s="1105" t="s">
        <v>4154</v>
      </c>
      <c r="H2638" s="1105" t="s">
        <v>5045</v>
      </c>
      <c r="I2638" s="1105">
        <v>79</v>
      </c>
      <c r="J2638" s="1107" t="s">
        <v>522</v>
      </c>
      <c r="K2638" s="1105">
        <f t="shared" si="246"/>
        <v>474</v>
      </c>
      <c r="O2638" s="1119" t="s">
        <v>5019</v>
      </c>
      <c r="Q2638" s="1107"/>
      <c r="AB2638" s="1108" t="s">
        <v>5014</v>
      </c>
      <c r="AE2638" s="1250">
        <v>2.2800000000000001E-2</v>
      </c>
      <c r="AF2638" s="1107"/>
    </row>
    <row r="2639" spans="6:33" ht="24" customHeight="1">
      <c r="F2639" s="1105">
        <v>4</v>
      </c>
      <c r="G2639" s="1105" t="s">
        <v>4154</v>
      </c>
      <c r="H2639" s="1105" t="s">
        <v>5046</v>
      </c>
      <c r="I2639" s="1105">
        <v>130</v>
      </c>
      <c r="J2639" s="1107" t="s">
        <v>522</v>
      </c>
      <c r="K2639" s="1105">
        <f t="shared" si="246"/>
        <v>520</v>
      </c>
      <c r="Q2639" s="1107"/>
      <c r="AB2639" s="1108" t="s">
        <v>5015</v>
      </c>
      <c r="AE2639" s="1148">
        <f>2*3*0.85*0.15*0.0375</f>
        <v>2.8687499999999994E-2</v>
      </c>
      <c r="AF2639" s="1107"/>
    </row>
    <row r="2640" spans="6:33" ht="24" customHeight="1">
      <c r="F2640" s="1105">
        <v>1</v>
      </c>
      <c r="G2640" s="1105" t="s">
        <v>4154</v>
      </c>
      <c r="H2640" s="1105" t="s">
        <v>5047</v>
      </c>
      <c r="I2640" s="1105">
        <v>985</v>
      </c>
      <c r="J2640" s="1107" t="s">
        <v>522</v>
      </c>
      <c r="K2640" s="1105">
        <f t="shared" si="246"/>
        <v>985</v>
      </c>
      <c r="M2640" s="1148">
        <f>P2629</f>
        <v>2.2800000000000001E-2</v>
      </c>
      <c r="N2640" s="1105" t="s">
        <v>2839</v>
      </c>
      <c r="O2640" s="1105" t="s">
        <v>5020</v>
      </c>
      <c r="P2640" s="1105">
        <f>I2633</f>
        <v>111600</v>
      </c>
      <c r="Q2640" s="1107" t="s">
        <v>2839</v>
      </c>
      <c r="R2640" s="1105">
        <f>M2640*P2640</f>
        <v>2544.48</v>
      </c>
      <c r="AB2640" s="1108"/>
      <c r="AC2640" s="1105" t="s">
        <v>5016</v>
      </c>
      <c r="AE2640" s="1148">
        <f>2*3*0.85*0.075*0.0375</f>
        <v>1.4343749999999997E-2</v>
      </c>
      <c r="AF2640" s="1107"/>
    </row>
    <row r="2641" spans="6:34" ht="24" customHeight="1">
      <c r="F2641" s="1105">
        <v>2</v>
      </c>
      <c r="G2641" s="1105" t="s">
        <v>4154</v>
      </c>
      <c r="H2641" s="1105" t="s">
        <v>5048</v>
      </c>
      <c r="I2641" s="1105">
        <v>22.9</v>
      </c>
      <c r="J2641" s="1107" t="s">
        <v>522</v>
      </c>
      <c r="K2641" s="1105">
        <f t="shared" si="246"/>
        <v>45.8</v>
      </c>
      <c r="M2641" s="1148">
        <f>P2632</f>
        <v>2.7899999999999998E-2</v>
      </c>
      <c r="N2641" s="1105" t="s">
        <v>2839</v>
      </c>
      <c r="O2641" s="1105" t="s">
        <v>4150</v>
      </c>
      <c r="P2641" s="1105">
        <f t="shared" ref="P2641:P2649" si="247">I2634</f>
        <v>99400</v>
      </c>
      <c r="Q2641" s="1107" t="s">
        <v>2839</v>
      </c>
      <c r="R2641" s="1105">
        <f t="shared" ref="R2641:R2649" si="248">M2641*P2641</f>
        <v>2773.2599999999998</v>
      </c>
      <c r="AA2641" s="1108"/>
      <c r="AB2641" s="1108"/>
      <c r="AE2641" s="1251">
        <f>SUM(AE2639:AE2640)</f>
        <v>4.3031249999999993E-2</v>
      </c>
      <c r="AF2641" s="1107"/>
    </row>
    <row r="2642" spans="6:34" ht="24" customHeight="1">
      <c r="F2642" s="1105">
        <v>2</v>
      </c>
      <c r="G2642" s="1105" t="s">
        <v>4154</v>
      </c>
      <c r="H2642" s="1105" t="s">
        <v>3214</v>
      </c>
      <c r="I2642" s="1105">
        <f>I2823</f>
        <v>45.9</v>
      </c>
      <c r="J2642" s="1107" t="s">
        <v>522</v>
      </c>
      <c r="K2642" s="1105">
        <f t="shared" si="246"/>
        <v>91.8</v>
      </c>
      <c r="M2642" s="1165">
        <f>P2637</f>
        <v>2.3799999999999998E-2</v>
      </c>
      <c r="N2642" s="1105" t="s">
        <v>2839</v>
      </c>
      <c r="O2642" s="1105" t="s">
        <v>5049</v>
      </c>
      <c r="P2642" s="1105">
        <f t="shared" si="247"/>
        <v>107000</v>
      </c>
      <c r="Q2642" s="1107" t="s">
        <v>2839</v>
      </c>
      <c r="R2642" s="1105">
        <f t="shared" si="248"/>
        <v>2546.6</v>
      </c>
      <c r="AA2642" s="1108"/>
      <c r="AB2642" s="1108"/>
      <c r="AF2642" s="1107"/>
    </row>
    <row r="2643" spans="6:34" ht="24" customHeight="1">
      <c r="F2643" s="1105">
        <v>118</v>
      </c>
      <c r="H2643" s="1105" t="s">
        <v>4087</v>
      </c>
      <c r="I2643" s="1105">
        <f>P2831</f>
        <v>2.39</v>
      </c>
      <c r="K2643" s="1105">
        <f t="shared" si="246"/>
        <v>282.02000000000004</v>
      </c>
      <c r="M2643" s="1108">
        <v>2.23</v>
      </c>
      <c r="N2643" s="1105" t="s">
        <v>3189</v>
      </c>
      <c r="O2643" s="1105" t="s">
        <v>4152</v>
      </c>
      <c r="P2643" s="1105">
        <f t="shared" si="247"/>
        <v>1325</v>
      </c>
      <c r="Q2643" s="1107" t="s">
        <v>3189</v>
      </c>
      <c r="R2643" s="1105">
        <f t="shared" si="248"/>
        <v>2954.75</v>
      </c>
      <c r="AA2643" s="1108"/>
      <c r="AB2643" s="1108"/>
      <c r="AF2643" s="1107"/>
    </row>
    <row r="2644" spans="6:34" ht="24" customHeight="1">
      <c r="K2644" s="1132"/>
      <c r="M2644" s="1105">
        <v>2</v>
      </c>
      <c r="N2644" s="1105" t="s">
        <v>4154</v>
      </c>
      <c r="O2644" s="1119" t="s">
        <v>5044</v>
      </c>
      <c r="P2644" s="1105">
        <f t="shared" si="247"/>
        <v>450</v>
      </c>
      <c r="Q2644" s="1107" t="s">
        <v>522</v>
      </c>
      <c r="R2644" s="1105">
        <f t="shared" si="248"/>
        <v>900</v>
      </c>
      <c r="AA2644" s="1108"/>
      <c r="AB2644" s="1108" t="s">
        <v>5017</v>
      </c>
      <c r="AE2644" s="1148">
        <f>2*4*0.725*0.3*0.01875</f>
        <v>3.2625000000000001E-2</v>
      </c>
      <c r="AF2644" s="1107"/>
    </row>
    <row r="2645" spans="6:34" ht="24" customHeight="1">
      <c r="G2645" s="1119"/>
      <c r="H2645" s="1119" t="s">
        <v>3154</v>
      </c>
      <c r="K2645" s="1119">
        <f>SUM(K2633:K2644)</f>
        <v>16574.334999999999</v>
      </c>
      <c r="L2645" s="1252"/>
      <c r="M2645" s="1105">
        <v>6</v>
      </c>
      <c r="N2645" s="1105" t="s">
        <v>4154</v>
      </c>
      <c r="O2645" s="1119" t="s">
        <v>5045</v>
      </c>
      <c r="P2645" s="1105">
        <f t="shared" si="247"/>
        <v>79</v>
      </c>
      <c r="Q2645" s="1107" t="s">
        <v>522</v>
      </c>
      <c r="R2645" s="1105">
        <f t="shared" si="248"/>
        <v>474</v>
      </c>
      <c r="AA2645" s="1108"/>
      <c r="AB2645" s="1108" t="s">
        <v>5018</v>
      </c>
      <c r="AE2645" s="1148">
        <f>2*0.725*0.3*0.01875</f>
        <v>8.1562500000000003E-3</v>
      </c>
      <c r="AF2645" s="1107"/>
    </row>
    <row r="2646" spans="6:34" ht="24" customHeight="1">
      <c r="G2646" s="1119"/>
      <c r="H2646" s="1119"/>
      <c r="K2646" s="1132" t="s">
        <v>4164</v>
      </c>
      <c r="M2646" s="1105">
        <v>4</v>
      </c>
      <c r="N2646" s="1105" t="s">
        <v>4154</v>
      </c>
      <c r="O2646" s="1119" t="s">
        <v>5046</v>
      </c>
      <c r="P2646" s="1105">
        <f t="shared" si="247"/>
        <v>130</v>
      </c>
      <c r="Q2646" s="1107" t="s">
        <v>522</v>
      </c>
      <c r="R2646" s="1105">
        <f t="shared" si="248"/>
        <v>520</v>
      </c>
      <c r="AA2646" s="1108"/>
      <c r="AB2646" s="1108"/>
      <c r="AE2646" s="1251">
        <f>SUM(AE2644:AE2645)</f>
        <v>4.0781250000000005E-2</v>
      </c>
      <c r="AF2646" s="1107"/>
    </row>
    <row r="2647" spans="6:34" ht="24" customHeight="1">
      <c r="G2647" s="1119"/>
      <c r="H2647" s="1119" t="s">
        <v>4167</v>
      </c>
      <c r="K2647" s="1119">
        <f>K2645/2.835</f>
        <v>5846.3262786596115</v>
      </c>
      <c r="M2647" s="1105">
        <v>1</v>
      </c>
      <c r="N2647" s="1105" t="s">
        <v>4154</v>
      </c>
      <c r="O2647" s="1119" t="s">
        <v>5047</v>
      </c>
      <c r="P2647" s="1105">
        <f t="shared" si="247"/>
        <v>985</v>
      </c>
      <c r="Q2647" s="1107" t="s">
        <v>522</v>
      </c>
      <c r="R2647" s="1105">
        <f t="shared" si="248"/>
        <v>985</v>
      </c>
      <c r="AA2647" s="1108"/>
      <c r="AB2647" s="1108"/>
      <c r="AD2647" s="1119" t="s">
        <v>5019</v>
      </c>
      <c r="AF2647" s="1107"/>
      <c r="AH2647" s="1148"/>
    </row>
    <row r="2648" spans="6:34" ht="24" customHeight="1">
      <c r="G2648" s="1119"/>
      <c r="K2648" s="1132" t="s">
        <v>4164</v>
      </c>
      <c r="M2648" s="1105">
        <v>2</v>
      </c>
      <c r="N2648" s="1105" t="s">
        <v>4154</v>
      </c>
      <c r="O2648" s="1105" t="s">
        <v>3212</v>
      </c>
      <c r="P2648" s="1105">
        <f>C288</f>
        <v>7.3</v>
      </c>
      <c r="Q2648" s="1107" t="s">
        <v>522</v>
      </c>
      <c r="R2648" s="1105">
        <f t="shared" si="248"/>
        <v>14.6</v>
      </c>
      <c r="AA2648" s="1108"/>
      <c r="AB2648" s="1108"/>
      <c r="AF2648" s="1107"/>
      <c r="AH2648" s="1148"/>
    </row>
    <row r="2649" spans="6:34" ht="24" customHeight="1">
      <c r="F2649" s="1253" t="s">
        <v>1033</v>
      </c>
      <c r="G2649" s="1254"/>
      <c r="H2649" s="1125" t="s">
        <v>4153</v>
      </c>
      <c r="I2649" s="1254"/>
      <c r="J2649" s="1255"/>
      <c r="K2649" s="1254"/>
      <c r="M2649" s="1105">
        <v>2</v>
      </c>
      <c r="N2649" s="1105" t="s">
        <v>4154</v>
      </c>
      <c r="O2649" s="1105" t="s">
        <v>3214</v>
      </c>
      <c r="P2649" s="1105">
        <f t="shared" si="247"/>
        <v>45.9</v>
      </c>
      <c r="Q2649" s="1107" t="s">
        <v>522</v>
      </c>
      <c r="R2649" s="1105">
        <f t="shared" si="248"/>
        <v>91.8</v>
      </c>
      <c r="AA2649" s="1108"/>
      <c r="AB2649" s="1148">
        <f>AE2638</f>
        <v>2.2800000000000001E-2</v>
      </c>
      <c r="AC2649" s="1105" t="s">
        <v>2839</v>
      </c>
      <c r="AD2649" s="1105" t="s">
        <v>5020</v>
      </c>
      <c r="AE2649" s="1105">
        <f>V2601</f>
        <v>111600</v>
      </c>
      <c r="AF2649" s="1107" t="s">
        <v>2839</v>
      </c>
      <c r="AG2649" s="1105">
        <f>AB2649*AE2649</f>
        <v>2544.48</v>
      </c>
      <c r="AH2649" s="1148"/>
    </row>
    <row r="2650" spans="6:34" ht="24" customHeight="1">
      <c r="F2650" s="1254"/>
      <c r="G2650" s="1254"/>
      <c r="H2650" s="1256" t="s">
        <v>36</v>
      </c>
      <c r="I2650" s="1256" t="s">
        <v>36</v>
      </c>
      <c r="J2650" s="1125" t="s">
        <v>36</v>
      </c>
      <c r="K2650" s="1254"/>
      <c r="Q2650" s="1107"/>
      <c r="R2650" s="1105">
        <v>21</v>
      </c>
      <c r="AA2650" s="1108"/>
      <c r="AB2650" s="1148">
        <f>AE2641</f>
        <v>4.3031249999999993E-2</v>
      </c>
      <c r="AC2650" s="1105" t="s">
        <v>2839</v>
      </c>
      <c r="AD2650" s="1105" t="s">
        <v>4150</v>
      </c>
      <c r="AE2650" s="1105">
        <f t="shared" ref="AE2650:AE2660" si="249">V2602</f>
        <v>99400</v>
      </c>
      <c r="AF2650" s="1107" t="s">
        <v>2839</v>
      </c>
      <c r="AG2650" s="1105">
        <f t="shared" ref="AG2650:AG2660" si="250">AB2650*AE2650</f>
        <v>4277.3062499999996</v>
      </c>
      <c r="AH2650" s="1148"/>
    </row>
    <row r="2651" spans="6:34" ht="37.5" customHeight="1">
      <c r="F2651" s="1254"/>
      <c r="G2651" s="1254"/>
      <c r="H2651" s="1254"/>
      <c r="I2651" s="1254"/>
      <c r="J2651" s="1255"/>
      <c r="K2651" s="1254"/>
      <c r="Q2651" s="1107"/>
      <c r="R2651" s="1132" t="s">
        <v>4164</v>
      </c>
      <c r="AA2651" s="1108"/>
      <c r="AB2651" s="1148">
        <f>AE2646</f>
        <v>4.0781250000000005E-2</v>
      </c>
      <c r="AC2651" s="1105" t="s">
        <v>2839</v>
      </c>
      <c r="AD2651" s="1154" t="s">
        <v>5049</v>
      </c>
      <c r="AE2651" s="1105">
        <f t="shared" si="249"/>
        <v>107000</v>
      </c>
      <c r="AF2651" s="1107" t="s">
        <v>2839</v>
      </c>
      <c r="AG2651" s="1105">
        <f t="shared" si="250"/>
        <v>4363.5937500000009</v>
      </c>
      <c r="AH2651" s="1148"/>
    </row>
    <row r="2652" spans="6:34" ht="34.5" customHeight="1">
      <c r="F2652" s="1254"/>
      <c r="G2652" s="1254"/>
      <c r="H2652" s="1125" t="s">
        <v>4158</v>
      </c>
      <c r="I2652" s="1254"/>
      <c r="J2652" s="1255"/>
      <c r="K2652" s="1254"/>
      <c r="N2652" s="1119"/>
      <c r="O2652" s="1119" t="s">
        <v>3154</v>
      </c>
      <c r="Q2652" s="1107"/>
      <c r="R2652" s="1119">
        <f>SUM(R2640:R2650)</f>
        <v>13825.49</v>
      </c>
      <c r="AA2652" s="1108"/>
      <c r="AB2652" s="1148">
        <f>AE2637</f>
        <v>3.4424999999999999</v>
      </c>
      <c r="AC2652" s="1105" t="s">
        <v>3189</v>
      </c>
      <c r="AD2652" s="1154" t="s">
        <v>4152</v>
      </c>
      <c r="AE2652" s="1105">
        <f t="shared" si="249"/>
        <v>1325</v>
      </c>
      <c r="AF2652" s="1107" t="s">
        <v>3189</v>
      </c>
      <c r="AG2652" s="1105">
        <f t="shared" si="250"/>
        <v>4561.3125</v>
      </c>
      <c r="AH2652" s="1148"/>
    </row>
    <row r="2653" spans="6:34" ht="24" customHeight="1">
      <c r="F2653" s="1254"/>
      <c r="G2653" s="1254"/>
      <c r="H2653" s="1125"/>
      <c r="I2653" s="1254"/>
      <c r="J2653" s="1255"/>
      <c r="K2653" s="1254"/>
      <c r="N2653" s="1119"/>
      <c r="O2653" s="1119"/>
      <c r="Q2653" s="1107"/>
      <c r="R2653" s="1132" t="s">
        <v>4164</v>
      </c>
      <c r="AA2653" s="1108"/>
      <c r="AB2653" s="1108">
        <v>2</v>
      </c>
      <c r="AC2653" s="1105" t="s">
        <v>4154</v>
      </c>
      <c r="AD2653" s="1105" t="s">
        <v>5044</v>
      </c>
      <c r="AE2653" s="1105">
        <v>450</v>
      </c>
      <c r="AF2653" s="1107" t="s">
        <v>522</v>
      </c>
      <c r="AG2653" s="1105">
        <f t="shared" si="250"/>
        <v>900</v>
      </c>
      <c r="AH2653" s="1148"/>
    </row>
    <row r="2654" spans="6:34" ht="24" customHeight="1">
      <c r="F2654" s="1254"/>
      <c r="G2654" s="1254"/>
      <c r="H2654" s="1125" t="s">
        <v>4160</v>
      </c>
      <c r="I2654" s="1254"/>
      <c r="J2654" s="1255"/>
      <c r="K2654" s="1254"/>
      <c r="N2654" s="1119"/>
      <c r="O2654" s="1119" t="s">
        <v>5050</v>
      </c>
      <c r="Q2654" s="1107"/>
      <c r="R2654" s="1119">
        <f>R2652/M2643</f>
        <v>6199.7713004484303</v>
      </c>
      <c r="AA2654" s="1108"/>
      <c r="AB2654" s="1108">
        <v>6</v>
      </c>
      <c r="AC2654" s="1105" t="s">
        <v>4154</v>
      </c>
      <c r="AD2654" s="1105" t="s">
        <v>5045</v>
      </c>
      <c r="AE2654" s="1105">
        <v>79</v>
      </c>
      <c r="AF2654" s="1107" t="s">
        <v>522</v>
      </c>
      <c r="AG2654" s="1105">
        <f t="shared" si="250"/>
        <v>474</v>
      </c>
      <c r="AH2654" s="1148"/>
    </row>
    <row r="2655" spans="6:34" ht="24" customHeight="1">
      <c r="F2655" s="1254"/>
      <c r="G2655" s="1254"/>
      <c r="H2655" s="1125" t="s">
        <v>4161</v>
      </c>
      <c r="I2655" s="1254"/>
      <c r="J2655" s="1255"/>
      <c r="K2655" s="1254"/>
      <c r="N2655" s="1119"/>
      <c r="Q2655" s="1107"/>
      <c r="R2655" s="1132" t="s">
        <v>4164</v>
      </c>
      <c r="AA2655" s="1148"/>
      <c r="AB2655" s="1108">
        <v>4</v>
      </c>
      <c r="AC2655" s="1105" t="s">
        <v>4154</v>
      </c>
      <c r="AD2655" s="1105" t="s">
        <v>5046</v>
      </c>
      <c r="AE2655" s="1105">
        <v>130</v>
      </c>
      <c r="AF2655" s="1107" t="s">
        <v>522</v>
      </c>
      <c r="AG2655" s="1105">
        <f t="shared" si="250"/>
        <v>520</v>
      </c>
      <c r="AH2655" s="1148"/>
    </row>
    <row r="2656" spans="6:34" ht="24" customHeight="1">
      <c r="F2656" s="1254"/>
      <c r="G2656" s="1254"/>
      <c r="H2656" s="1125" t="s">
        <v>4162</v>
      </c>
      <c r="I2656" s="1254"/>
      <c r="J2656" s="1255"/>
      <c r="K2656" s="1254"/>
      <c r="M2656" s="1105" t="s">
        <v>1033</v>
      </c>
      <c r="O2656" s="1105" t="s">
        <v>4153</v>
      </c>
      <c r="AA2656" s="1148"/>
      <c r="AB2656" s="1108">
        <v>1</v>
      </c>
      <c r="AC2656" s="1105" t="s">
        <v>4154</v>
      </c>
      <c r="AD2656" s="1105" t="s">
        <v>5047</v>
      </c>
      <c r="AE2656" s="1105">
        <v>985</v>
      </c>
      <c r="AF2656" s="1107" t="s">
        <v>522</v>
      </c>
      <c r="AG2656" s="1105">
        <f t="shared" si="250"/>
        <v>985</v>
      </c>
      <c r="AH2656" s="1148"/>
    </row>
    <row r="2657" spans="6:34" ht="24" customHeight="1">
      <c r="F2657" s="1254"/>
      <c r="G2657" s="1254"/>
      <c r="H2657" s="1125" t="s">
        <v>4163</v>
      </c>
      <c r="I2657" s="1254"/>
      <c r="J2657" s="1255"/>
      <c r="K2657" s="1254"/>
      <c r="O2657" s="1105" t="s">
        <v>36</v>
      </c>
      <c r="P2657" s="1105" t="s">
        <v>36</v>
      </c>
      <c r="Q2657" s="1105" t="s">
        <v>36</v>
      </c>
      <c r="AA2657" s="1148"/>
      <c r="AB2657" s="1108">
        <v>2</v>
      </c>
      <c r="AC2657" s="1105" t="s">
        <v>4154</v>
      </c>
      <c r="AD2657" s="1105" t="s">
        <v>5051</v>
      </c>
      <c r="AE2657" s="1105">
        <v>24.6</v>
      </c>
      <c r="AF2657" s="1107" t="s">
        <v>522</v>
      </c>
      <c r="AG2657" s="1105">
        <f t="shared" si="250"/>
        <v>49.2</v>
      </c>
      <c r="AH2657" s="1148"/>
    </row>
    <row r="2658" spans="6:34" ht="24" customHeight="1">
      <c r="F2658" s="1254"/>
      <c r="G2658" s="1254"/>
      <c r="H2658" s="1125" t="s">
        <v>5052</v>
      </c>
      <c r="I2658" s="1254"/>
      <c r="J2658" s="1125" t="s">
        <v>220</v>
      </c>
      <c r="K2658" s="1257">
        <v>3.7699999999999997E-2</v>
      </c>
      <c r="AA2658" s="1148"/>
      <c r="AB2658" s="1108">
        <v>2</v>
      </c>
      <c r="AC2658" s="1105" t="s">
        <v>4154</v>
      </c>
      <c r="AD2658" s="1105" t="s">
        <v>3214</v>
      </c>
      <c r="AE2658" s="1105">
        <f t="shared" si="249"/>
        <v>45.9</v>
      </c>
      <c r="AF2658" s="1107" t="s">
        <v>522</v>
      </c>
      <c r="AG2658" s="1105">
        <f t="shared" si="250"/>
        <v>91.8</v>
      </c>
    </row>
    <row r="2659" spans="6:34" ht="24" customHeight="1">
      <c r="F2659" s="1254"/>
      <c r="G2659" s="1254"/>
      <c r="H2659" s="1125" t="s">
        <v>5053</v>
      </c>
      <c r="I2659" s="1254"/>
      <c r="J2659" s="1258" t="s">
        <v>220</v>
      </c>
      <c r="K2659" s="1258" t="s">
        <v>220</v>
      </c>
      <c r="O2659" s="1105" t="s">
        <v>4158</v>
      </c>
      <c r="AA2659" s="1108"/>
      <c r="AB2659" s="1108"/>
      <c r="AE2659" s="1105">
        <f t="shared" si="249"/>
        <v>0</v>
      </c>
      <c r="AF2659" s="1107"/>
      <c r="AG2659" s="1105">
        <f t="shared" si="250"/>
        <v>0</v>
      </c>
    </row>
    <row r="2660" spans="6:34" ht="24" customHeight="1">
      <c r="F2660" s="1254"/>
      <c r="G2660" s="1254"/>
      <c r="H2660" s="1125" t="s">
        <v>4168</v>
      </c>
      <c r="I2660" s="1254"/>
      <c r="J2660" s="1255"/>
      <c r="K2660" s="1258" t="s">
        <v>220</v>
      </c>
      <c r="AA2660" s="1108"/>
      <c r="AB2660" s="1108">
        <v>118</v>
      </c>
      <c r="AD2660" s="1105" t="s">
        <v>4087</v>
      </c>
      <c r="AE2660" s="1105">
        <f t="shared" si="249"/>
        <v>2.39</v>
      </c>
      <c r="AF2660" s="1107"/>
      <c r="AG2660" s="1105">
        <f t="shared" si="250"/>
        <v>282.02000000000004</v>
      </c>
    </row>
    <row r="2661" spans="6:34" ht="24" customHeight="1">
      <c r="F2661" s="1254"/>
      <c r="G2661" s="1254"/>
      <c r="H2661" s="1254"/>
      <c r="I2661" s="1254"/>
      <c r="J2661" s="1255"/>
      <c r="K2661" s="1254"/>
      <c r="O2661" s="1105" t="s">
        <v>4160</v>
      </c>
      <c r="AA2661" s="1108"/>
      <c r="AB2661" s="1108"/>
      <c r="AC2661" s="1119"/>
      <c r="AD2661" s="1119" t="s">
        <v>3154</v>
      </c>
      <c r="AF2661" s="1107"/>
      <c r="AG2661" s="1119">
        <f>SUM(AG2649:AG2660)</f>
        <v>19048.712500000001</v>
      </c>
    </row>
    <row r="2662" spans="6:34" ht="24" customHeight="1">
      <c r="F2662" s="1259">
        <v>1.18E-2</v>
      </c>
      <c r="G2662" s="1260" t="s">
        <v>2839</v>
      </c>
      <c r="H2662" s="1125" t="s">
        <v>3205</v>
      </c>
      <c r="I2662" s="1260">
        <f>AC26</f>
        <v>111600</v>
      </c>
      <c r="J2662" s="1125" t="s">
        <v>2839</v>
      </c>
      <c r="K2662" s="1260">
        <f t="shared" ref="K2662:K2671" si="251">(F2662*I2662)</f>
        <v>1316.8799999999999</v>
      </c>
      <c r="O2662" s="1105" t="s">
        <v>4161</v>
      </c>
      <c r="AA2662" s="1108"/>
      <c r="AB2662" s="1108"/>
      <c r="AC2662" s="1119"/>
      <c r="AD2662" s="1119"/>
      <c r="AF2662" s="1107"/>
      <c r="AG2662" s="1132" t="s">
        <v>4164</v>
      </c>
    </row>
    <row r="2663" spans="6:34" ht="24" customHeight="1">
      <c r="F2663" s="1259">
        <v>3.7699999999999997E-2</v>
      </c>
      <c r="G2663" s="1260" t="s">
        <v>2839</v>
      </c>
      <c r="H2663" s="1125" t="s">
        <v>3206</v>
      </c>
      <c r="I2663" s="1260">
        <f>AC27</f>
        <v>99400</v>
      </c>
      <c r="J2663" s="1125" t="s">
        <v>2839</v>
      </c>
      <c r="K2663" s="1260">
        <f t="shared" si="251"/>
        <v>3747.3799999999997</v>
      </c>
      <c r="O2663" s="1105" t="s">
        <v>4162</v>
      </c>
      <c r="AA2663" s="1108"/>
      <c r="AB2663" s="1108"/>
      <c r="AC2663" s="1119"/>
      <c r="AD2663" s="1119" t="s">
        <v>5028</v>
      </c>
      <c r="AF2663" s="1107"/>
      <c r="AG2663" s="1119">
        <f>AG2661/3.4425</f>
        <v>5533.3950617283954</v>
      </c>
    </row>
    <row r="2664" spans="6:34" ht="24" customHeight="1">
      <c r="F2664" s="1259">
        <v>1.8550000000000001E-2</v>
      </c>
      <c r="G2664" s="1260" t="s">
        <v>2839</v>
      </c>
      <c r="H2664" s="1125" t="s">
        <v>4169</v>
      </c>
      <c r="I2664" s="1260">
        <f>AE33</f>
        <v>11800</v>
      </c>
      <c r="J2664" s="1125" t="s">
        <v>2839</v>
      </c>
      <c r="K2664" s="1260">
        <f t="shared" si="251"/>
        <v>218.89000000000001</v>
      </c>
      <c r="O2664" s="1105" t="s">
        <v>4163</v>
      </c>
      <c r="AA2664" s="1108"/>
      <c r="AE2664" s="1107"/>
    </row>
    <row r="2665" spans="6:34" ht="24" customHeight="1">
      <c r="F2665" s="1259">
        <v>1.36</v>
      </c>
      <c r="G2665" s="1260" t="s">
        <v>3189</v>
      </c>
      <c r="H2665" s="1125" t="s">
        <v>4170</v>
      </c>
      <c r="I2665" s="1260">
        <v>269.10000000000002</v>
      </c>
      <c r="J2665" s="1125" t="s">
        <v>3189</v>
      </c>
      <c r="K2665" s="1260">
        <f t="shared" si="251"/>
        <v>365.97600000000006</v>
      </c>
      <c r="O2665" s="1105" t="s">
        <v>5052</v>
      </c>
      <c r="Q2665" s="1105" t="s">
        <v>220</v>
      </c>
      <c r="R2665" s="1105">
        <v>0.04</v>
      </c>
      <c r="AA2665" s="1108"/>
      <c r="AE2665" s="1107"/>
    </row>
    <row r="2666" spans="6:34" ht="24" customHeight="1">
      <c r="F2666" s="1259">
        <v>2.0499999999999998</v>
      </c>
      <c r="G2666" s="1260" t="s">
        <v>3189</v>
      </c>
      <c r="H2666" s="1125" t="s">
        <v>4171</v>
      </c>
      <c r="I2666" s="1260">
        <f>D30</f>
        <v>1105</v>
      </c>
      <c r="J2666" s="1125" t="s">
        <v>3189</v>
      </c>
      <c r="K2666" s="1260">
        <f t="shared" si="251"/>
        <v>2265.25</v>
      </c>
      <c r="O2666" s="1105" t="s">
        <v>5053</v>
      </c>
      <c r="Q2666" s="1105" t="s">
        <v>220</v>
      </c>
      <c r="R2666" s="1105" t="s">
        <v>220</v>
      </c>
      <c r="AA2666" s="1108"/>
      <c r="AE2666" s="1107"/>
    </row>
    <row r="2667" spans="6:34" ht="24" customHeight="1">
      <c r="F2667" s="1260">
        <v>2</v>
      </c>
      <c r="G2667" s="1260" t="s">
        <v>2838</v>
      </c>
      <c r="H2667" s="1125" t="s">
        <v>5054</v>
      </c>
      <c r="I2667" s="1260">
        <f>E285</f>
        <v>50.3</v>
      </c>
      <c r="J2667" s="1125" t="s">
        <v>2838</v>
      </c>
      <c r="K2667" s="1260">
        <f t="shared" si="251"/>
        <v>100.6</v>
      </c>
      <c r="O2667" s="1105" t="s">
        <v>4168</v>
      </c>
      <c r="R2667" s="1105" t="s">
        <v>220</v>
      </c>
      <c r="AA2667" s="1108"/>
      <c r="AB2667" s="1119"/>
      <c r="AC2667" s="1119"/>
      <c r="AE2667" s="1107"/>
      <c r="AF2667" s="1119"/>
    </row>
    <row r="2668" spans="6:34" ht="24" customHeight="1">
      <c r="F2668" s="1260">
        <v>6</v>
      </c>
      <c r="G2668" s="1260" t="s">
        <v>2838</v>
      </c>
      <c r="H2668" s="1125" t="s">
        <v>4130</v>
      </c>
      <c r="I2668" s="1260">
        <f>C282</f>
        <v>45.7</v>
      </c>
      <c r="J2668" s="1125" t="s">
        <v>2838</v>
      </c>
      <c r="K2668" s="1260">
        <f t="shared" si="251"/>
        <v>274.20000000000005</v>
      </c>
      <c r="AA2668" s="1108"/>
      <c r="AB2668" s="1119"/>
      <c r="AC2668" s="1119"/>
      <c r="AE2668" s="1107"/>
      <c r="AF2668" s="1132"/>
    </row>
    <row r="2669" spans="6:34" ht="24" customHeight="1">
      <c r="F2669" s="1260">
        <v>2</v>
      </c>
      <c r="G2669" s="1260" t="s">
        <v>2838</v>
      </c>
      <c r="H2669" s="1125" t="s">
        <v>5055</v>
      </c>
      <c r="I2669" s="1260">
        <f>I1134</f>
        <v>56.4</v>
      </c>
      <c r="J2669" s="1125" t="s">
        <v>2838</v>
      </c>
      <c r="K2669" s="1260">
        <f t="shared" si="251"/>
        <v>112.8</v>
      </c>
      <c r="M2669" s="1105">
        <v>0.01</v>
      </c>
      <c r="N2669" s="1105" t="s">
        <v>2839</v>
      </c>
      <c r="O2669" s="1105" t="s">
        <v>3205</v>
      </c>
      <c r="P2669" s="1105">
        <f>I2662</f>
        <v>111600</v>
      </c>
      <c r="Q2669" s="1105" t="s">
        <v>2839</v>
      </c>
      <c r="R2669" s="1105">
        <v>764.29</v>
      </c>
      <c r="AA2669" s="1108"/>
      <c r="AB2669" s="1119"/>
      <c r="AC2669" s="1119"/>
      <c r="AE2669" s="1107"/>
      <c r="AF2669" s="1119"/>
    </row>
    <row r="2670" spans="6:34" ht="24" customHeight="1">
      <c r="F2670" s="1260">
        <v>1</v>
      </c>
      <c r="G2670" s="1260" t="s">
        <v>2838</v>
      </c>
      <c r="H2670" s="1125" t="s">
        <v>5056</v>
      </c>
      <c r="I2670" s="1260">
        <f>I1135</f>
        <v>63.2</v>
      </c>
      <c r="J2670" s="1125" t="s">
        <v>2838</v>
      </c>
      <c r="K2670" s="1260">
        <f t="shared" si="251"/>
        <v>63.2</v>
      </c>
      <c r="M2670" s="1105">
        <v>0.04</v>
      </c>
      <c r="N2670" s="1105" t="s">
        <v>2839</v>
      </c>
      <c r="O2670" s="1105" t="s">
        <v>3206</v>
      </c>
      <c r="P2670" s="1105">
        <f>I2663</f>
        <v>99400</v>
      </c>
      <c r="Q2670" s="1105" t="s">
        <v>2839</v>
      </c>
      <c r="R2670" s="1105">
        <v>2172.65</v>
      </c>
      <c r="AA2670" s="1108"/>
    </row>
    <row r="2671" spans="6:34" ht="24" customHeight="1">
      <c r="F2671" s="1260">
        <v>2.52</v>
      </c>
      <c r="G2671" s="1260" t="s">
        <v>3189</v>
      </c>
      <c r="H2671" s="1125" t="s">
        <v>4175</v>
      </c>
      <c r="I2671" s="1260">
        <f>K1167</f>
        <v>172.13200000000001</v>
      </c>
      <c r="J2671" s="1125" t="s">
        <v>3189</v>
      </c>
      <c r="K2671" s="1260">
        <f t="shared" si="251"/>
        <v>433.77264000000002</v>
      </c>
      <c r="M2671" s="1105">
        <v>0.02</v>
      </c>
      <c r="N2671" s="1105" t="s">
        <v>2839</v>
      </c>
      <c r="O2671" s="1105" t="s">
        <v>4169</v>
      </c>
      <c r="P2671" s="1105">
        <f>I2664</f>
        <v>11800</v>
      </c>
      <c r="Q2671" s="1105" t="s">
        <v>2839</v>
      </c>
      <c r="R2671" s="1105">
        <v>56.02</v>
      </c>
    </row>
    <row r="2672" spans="6:34" ht="24" customHeight="1">
      <c r="F2672" s="1254"/>
      <c r="G2672" s="1254"/>
      <c r="H2672" s="1125" t="s">
        <v>4176</v>
      </c>
      <c r="I2672" s="1261" t="s">
        <v>2851</v>
      </c>
      <c r="J2672" s="1255"/>
      <c r="K2672" s="1260">
        <v>2.13</v>
      </c>
      <c r="M2672" s="1105">
        <v>1.36</v>
      </c>
      <c r="N2672" s="1105" t="s">
        <v>3189</v>
      </c>
      <c r="O2672" s="1105" t="s">
        <v>4170</v>
      </c>
      <c r="P2672" s="1105">
        <v>385.89</v>
      </c>
      <c r="Q2672" s="1105" t="s">
        <v>3189</v>
      </c>
      <c r="R2672" s="1105">
        <v>524.80999999999995</v>
      </c>
    </row>
    <row r="2673" spans="6:18" ht="24" customHeight="1">
      <c r="F2673" s="1254"/>
      <c r="G2673" s="1254"/>
      <c r="H2673" s="1262"/>
      <c r="I2673" s="1262"/>
      <c r="J2673" s="1263"/>
      <c r="K2673" s="1264" t="s">
        <v>36</v>
      </c>
      <c r="M2673" s="1105">
        <v>2.0499999999999998</v>
      </c>
      <c r="N2673" s="1105" t="s">
        <v>3189</v>
      </c>
      <c r="O2673" s="1105" t="s">
        <v>4171</v>
      </c>
      <c r="P2673" s="1105">
        <f t="shared" ref="P2673:P2678" si="252">I2666</f>
        <v>1105</v>
      </c>
      <c r="Q2673" s="1105" t="s">
        <v>3189</v>
      </c>
      <c r="R2673" s="1105">
        <v>586.29999999999995</v>
      </c>
    </row>
    <row r="2674" spans="6:18" ht="24" customHeight="1">
      <c r="F2674" s="1254"/>
      <c r="G2674" s="1254"/>
      <c r="H2674" s="1265" t="s">
        <v>4177</v>
      </c>
      <c r="I2674" s="1262"/>
      <c r="J2674" s="1263"/>
      <c r="K2674" s="1266">
        <f>SUM(K2662:K2672)</f>
        <v>8901.0786399999979</v>
      </c>
      <c r="M2674" s="1105">
        <v>2</v>
      </c>
      <c r="N2674" s="1105" t="s">
        <v>2838</v>
      </c>
      <c r="O2674" s="1105" t="s">
        <v>5054</v>
      </c>
      <c r="P2674" s="1105">
        <f t="shared" si="252"/>
        <v>50.3</v>
      </c>
      <c r="Q2674" s="1105" t="s">
        <v>2838</v>
      </c>
      <c r="R2674" s="1105">
        <v>50</v>
      </c>
    </row>
    <row r="2675" spans="6:18" ht="24" customHeight="1">
      <c r="F2675" s="1254"/>
      <c r="G2675" s="1260" t="s">
        <v>220</v>
      </c>
      <c r="H2675" s="1262"/>
      <c r="I2675" s="1262"/>
      <c r="J2675" s="1263"/>
      <c r="K2675" s="1264" t="s">
        <v>36</v>
      </c>
      <c r="M2675" s="1105">
        <v>6</v>
      </c>
      <c r="N2675" s="1105" t="s">
        <v>2838</v>
      </c>
      <c r="O2675" s="1105" t="s">
        <v>4130</v>
      </c>
      <c r="P2675" s="1105">
        <f t="shared" si="252"/>
        <v>45.7</v>
      </c>
      <c r="Q2675" s="1105" t="s">
        <v>2838</v>
      </c>
      <c r="R2675" s="1105">
        <v>150</v>
      </c>
    </row>
    <row r="2676" spans="6:18" ht="24" customHeight="1">
      <c r="F2676" s="1254"/>
      <c r="G2676" s="1254"/>
      <c r="H2676" s="1265" t="s">
        <v>3154</v>
      </c>
      <c r="I2676" s="1262"/>
      <c r="J2676" s="1263"/>
      <c r="K2676" s="1266">
        <f>K2674/2.52</f>
        <v>3532.1740634920625</v>
      </c>
      <c r="M2676" s="1105">
        <v>2</v>
      </c>
      <c r="N2676" s="1105" t="s">
        <v>2838</v>
      </c>
      <c r="O2676" s="1105" t="s">
        <v>5057</v>
      </c>
      <c r="P2676" s="1105">
        <f t="shared" si="252"/>
        <v>56.4</v>
      </c>
      <c r="Q2676" s="1105" t="s">
        <v>2838</v>
      </c>
      <c r="R2676" s="1105">
        <v>70</v>
      </c>
    </row>
    <row r="2677" spans="6:18" ht="24" customHeight="1">
      <c r="F2677" s="1254"/>
      <c r="G2677" s="1254"/>
      <c r="H2677" s="1262"/>
      <c r="I2677" s="1262"/>
      <c r="J2677" s="1263"/>
      <c r="K2677" s="1264" t="s">
        <v>2793</v>
      </c>
      <c r="M2677" s="1105">
        <v>1</v>
      </c>
      <c r="N2677" s="1105" t="s">
        <v>2838</v>
      </c>
      <c r="O2677" s="1105" t="s">
        <v>5056</v>
      </c>
      <c r="P2677" s="1105">
        <f t="shared" si="252"/>
        <v>63.2</v>
      </c>
      <c r="Q2677" s="1105" t="s">
        <v>2838</v>
      </c>
      <c r="R2677" s="1105">
        <v>60</v>
      </c>
    </row>
    <row r="2678" spans="6:18" ht="24" customHeight="1">
      <c r="F2678" s="1254"/>
      <c r="G2678" s="1254"/>
      <c r="H2678" s="1262"/>
      <c r="I2678" s="1262"/>
      <c r="J2678" s="1263"/>
      <c r="K2678" s="1262"/>
      <c r="M2678" s="1105">
        <v>2.52</v>
      </c>
      <c r="N2678" s="1105" t="s">
        <v>3189</v>
      </c>
      <c r="O2678" s="1105" t="s">
        <v>4175</v>
      </c>
      <c r="P2678" s="1105">
        <f t="shared" si="252"/>
        <v>172.13200000000001</v>
      </c>
      <c r="Q2678" s="1105" t="s">
        <v>3189</v>
      </c>
      <c r="R2678" s="1105">
        <v>124.71</v>
      </c>
    </row>
    <row r="2679" spans="6:18" ht="24" customHeight="1">
      <c r="F2679" s="1252" t="s">
        <v>5058</v>
      </c>
      <c r="G2679" s="1252"/>
      <c r="H2679" s="1252"/>
      <c r="I2679" s="1252"/>
      <c r="J2679" s="1252"/>
      <c r="K2679" s="1252"/>
      <c r="O2679" s="1105" t="s">
        <v>4176</v>
      </c>
      <c r="P2679" s="1105" t="s">
        <v>2851</v>
      </c>
      <c r="R2679" s="1105">
        <v>0.28000000000000003</v>
      </c>
    </row>
    <row r="2680" spans="6:18" ht="24" customHeight="1">
      <c r="F2680" s="1267">
        <v>4</v>
      </c>
      <c r="G2680" s="1105" t="s">
        <v>213</v>
      </c>
      <c r="H2680" s="1105" t="s">
        <v>5059</v>
      </c>
      <c r="I2680" s="1105">
        <f>C394</f>
        <v>151.4</v>
      </c>
      <c r="J2680" s="1107" t="s">
        <v>5060</v>
      </c>
      <c r="K2680" s="1267">
        <f>I2680*F2680</f>
        <v>605.6</v>
      </c>
      <c r="R2680" s="1105" t="s">
        <v>36</v>
      </c>
    </row>
    <row r="2681" spans="6:18" ht="24" customHeight="1">
      <c r="F2681" s="1267">
        <v>2.52</v>
      </c>
      <c r="G2681" s="1105" t="s">
        <v>5060</v>
      </c>
      <c r="H2681" s="1105" t="s">
        <v>5061</v>
      </c>
      <c r="I2681" s="1105">
        <f>C34/1000</f>
        <v>47.3</v>
      </c>
      <c r="J2681" s="1107" t="s">
        <v>165</v>
      </c>
      <c r="K2681" s="1267">
        <f t="shared" ref="K2681:K2687" si="253">I2681*F2681</f>
        <v>119.196</v>
      </c>
      <c r="O2681" s="1105" t="s">
        <v>4177</v>
      </c>
      <c r="R2681" s="1105">
        <v>4559.0600000000004</v>
      </c>
    </row>
    <row r="2682" spans="6:18" ht="24" customHeight="1">
      <c r="F2682" s="1267">
        <v>1.1299999999999999</v>
      </c>
      <c r="G2682" s="1105" t="s">
        <v>5060</v>
      </c>
      <c r="H2682" s="1105" t="s">
        <v>5062</v>
      </c>
      <c r="I2682" s="1105">
        <f>I2681</f>
        <v>47.3</v>
      </c>
      <c r="J2682" s="1107" t="s">
        <v>165</v>
      </c>
      <c r="K2682" s="1267">
        <f t="shared" si="253"/>
        <v>53.448999999999991</v>
      </c>
      <c r="N2682" s="1105" t="s">
        <v>220</v>
      </c>
      <c r="R2682" s="1105" t="s">
        <v>36</v>
      </c>
    </row>
    <row r="2683" spans="6:18" ht="24" customHeight="1">
      <c r="F2683" s="1267">
        <v>0.35</v>
      </c>
      <c r="G2683" s="1105" t="s">
        <v>165</v>
      </c>
      <c r="H2683" s="1105" t="s">
        <v>5063</v>
      </c>
      <c r="I2683" s="1105">
        <f>I2682</f>
        <v>47.3</v>
      </c>
      <c r="J2683" s="1107" t="s">
        <v>165</v>
      </c>
      <c r="K2683" s="1267">
        <f t="shared" si="253"/>
        <v>16.555</v>
      </c>
      <c r="O2683" s="1105" t="s">
        <v>3154</v>
      </c>
      <c r="R2683" s="1105">
        <v>1809.15</v>
      </c>
    </row>
    <row r="2684" spans="6:18" ht="24" customHeight="1">
      <c r="F2684" s="1267">
        <v>4</v>
      </c>
      <c r="G2684" s="1105" t="s">
        <v>165</v>
      </c>
      <c r="H2684" s="1105" t="s">
        <v>5064</v>
      </c>
      <c r="I2684" s="1105">
        <f>C37</f>
        <v>47.8</v>
      </c>
      <c r="J2684" s="1107" t="s">
        <v>165</v>
      </c>
      <c r="K2684" s="1267">
        <f t="shared" si="253"/>
        <v>191.2</v>
      </c>
      <c r="R2684" s="1105" t="s">
        <v>2793</v>
      </c>
    </row>
    <row r="2685" spans="6:18" ht="24" customHeight="1">
      <c r="F2685" s="1267">
        <v>6</v>
      </c>
      <c r="G2685" s="1105" t="s">
        <v>213</v>
      </c>
      <c r="H2685" s="1105" t="s">
        <v>5065</v>
      </c>
      <c r="I2685" s="1105">
        <v>1</v>
      </c>
      <c r="J2685" s="1107" t="s">
        <v>522</v>
      </c>
      <c r="K2685" s="1267">
        <f t="shared" si="253"/>
        <v>6</v>
      </c>
    </row>
    <row r="2686" spans="6:18" ht="24" customHeight="1">
      <c r="F2686" s="1267">
        <v>0.5</v>
      </c>
      <c r="G2686" s="1105" t="s">
        <v>213</v>
      </c>
      <c r="H2686" s="1105" t="s">
        <v>4833</v>
      </c>
      <c r="I2686" s="1105">
        <f>C12</f>
        <v>562</v>
      </c>
      <c r="J2686" s="1107" t="s">
        <v>522</v>
      </c>
      <c r="K2686" s="1267">
        <f t="shared" si="253"/>
        <v>281</v>
      </c>
    </row>
    <row r="2687" spans="6:18" ht="24" customHeight="1">
      <c r="F2687" s="1267">
        <v>0.5</v>
      </c>
      <c r="G2687" s="1105" t="s">
        <v>213</v>
      </c>
      <c r="H2687" s="1105" t="s">
        <v>4897</v>
      </c>
      <c r="I2687" s="1105">
        <f>C13</f>
        <v>461</v>
      </c>
      <c r="J2687" s="1107" t="s">
        <v>522</v>
      </c>
      <c r="K2687" s="1267">
        <f t="shared" si="253"/>
        <v>230.5</v>
      </c>
    </row>
    <row r="2688" spans="6:18" ht="24" customHeight="1">
      <c r="G2688" s="1105" t="s">
        <v>2851</v>
      </c>
      <c r="H2688" s="1105" t="s">
        <v>5066</v>
      </c>
      <c r="I2688" s="1145" t="s">
        <v>2851</v>
      </c>
      <c r="K2688" s="1105">
        <v>21.69</v>
      </c>
      <c r="L2688" s="1105">
        <f>24*176</f>
        <v>4224</v>
      </c>
    </row>
    <row r="2689" spans="6:12" ht="24" customHeight="1">
      <c r="H2689" s="1268" t="s">
        <v>5067</v>
      </c>
      <c r="K2689" s="1269">
        <f>SUM(K2680:K2688)</f>
        <v>1525.19</v>
      </c>
    </row>
    <row r="2690" spans="6:12" ht="24" customHeight="1">
      <c r="H2690" s="1268" t="s">
        <v>4964</v>
      </c>
      <c r="K2690" s="1269">
        <f>K2689/2</f>
        <v>762.59500000000003</v>
      </c>
    </row>
    <row r="2691" spans="6:12" ht="24" customHeight="1">
      <c r="L2691" s="1105">
        <f>K2725+K2716</f>
        <v>168.11200000000002</v>
      </c>
    </row>
    <row r="2692" spans="6:12" ht="24" customHeight="1">
      <c r="H2692" s="1105" t="s">
        <v>5068</v>
      </c>
    </row>
    <row r="2694" spans="6:12" ht="24" customHeight="1">
      <c r="F2694" s="1270"/>
      <c r="G2694" s="1270"/>
      <c r="H2694" s="1271" t="s">
        <v>5069</v>
      </c>
      <c r="I2694" s="1270"/>
      <c r="J2694" s="1272"/>
      <c r="K2694" s="1270"/>
    </row>
    <row r="2695" spans="6:12" ht="24" customHeight="1">
      <c r="F2695" s="1270"/>
      <c r="G2695" s="1270"/>
      <c r="H2695" s="1270" t="s">
        <v>5070</v>
      </c>
      <c r="I2695" s="1270"/>
      <c r="J2695" s="1272"/>
      <c r="K2695" s="1270"/>
    </row>
    <row r="2696" spans="6:12" ht="24" customHeight="1">
      <c r="F2696" s="1270">
        <v>41.6</v>
      </c>
      <c r="G2696" s="1270" t="s">
        <v>165</v>
      </c>
      <c r="H2696" s="1270" t="s">
        <v>5071</v>
      </c>
      <c r="I2696" s="1270">
        <f>I2681</f>
        <v>47.3</v>
      </c>
      <c r="J2696" s="1272" t="s">
        <v>165</v>
      </c>
      <c r="K2696" s="1270">
        <f>F2696*I2696</f>
        <v>1967.6799999999998</v>
      </c>
    </row>
    <row r="2697" spans="6:12" ht="24" customHeight="1">
      <c r="F2697" s="1270">
        <v>0.5</v>
      </c>
      <c r="G2697" s="1270" t="s">
        <v>54</v>
      </c>
      <c r="H2697" s="1270" t="s">
        <v>5072</v>
      </c>
      <c r="I2697" s="1270">
        <f>AE21</f>
        <v>661</v>
      </c>
      <c r="J2697" s="1272" t="s">
        <v>522</v>
      </c>
      <c r="K2697" s="1270">
        <f>F2697*I2697</f>
        <v>330.5</v>
      </c>
    </row>
    <row r="2698" spans="6:12" ht="24" customHeight="1">
      <c r="F2698" s="1270">
        <v>1</v>
      </c>
      <c r="G2698" s="1270" t="s">
        <v>314</v>
      </c>
      <c r="H2698" s="1270" t="s">
        <v>5073</v>
      </c>
      <c r="I2698" s="1270">
        <f>C10</f>
        <v>861</v>
      </c>
      <c r="J2698" s="1272" t="s">
        <v>522</v>
      </c>
      <c r="K2698" s="1270">
        <f>F2698*I2698</f>
        <v>861</v>
      </c>
    </row>
    <row r="2699" spans="6:12" ht="24" customHeight="1">
      <c r="F2699" s="1270">
        <v>1</v>
      </c>
      <c r="G2699" s="1270" t="s">
        <v>314</v>
      </c>
      <c r="H2699" s="1270" t="s">
        <v>4186</v>
      </c>
      <c r="I2699" s="1270">
        <f>C13</f>
        <v>461</v>
      </c>
      <c r="J2699" s="1272" t="s">
        <v>522</v>
      </c>
      <c r="K2699" s="1270">
        <f>F2699*I2699</f>
        <v>461</v>
      </c>
    </row>
    <row r="2700" spans="6:12" ht="24" customHeight="1">
      <c r="F2700" s="1270"/>
      <c r="G2700" s="1270" t="s">
        <v>2851</v>
      </c>
      <c r="H2700" s="1270" t="s">
        <v>5074</v>
      </c>
      <c r="I2700" s="1270"/>
      <c r="J2700" s="1272" t="s">
        <v>2851</v>
      </c>
      <c r="K2700" s="1270">
        <v>27.7</v>
      </c>
    </row>
    <row r="2701" spans="6:12" ht="24" customHeight="1">
      <c r="F2701" s="1270"/>
      <c r="G2701" s="1270"/>
      <c r="H2701" s="1273" t="s">
        <v>5075</v>
      </c>
      <c r="I2701" s="1270"/>
      <c r="J2701" s="1273" t="s">
        <v>5076</v>
      </c>
      <c r="K2701" s="1270">
        <f>SUM(K2696:K2700)</f>
        <v>3647.8799999999997</v>
      </c>
    </row>
    <row r="2702" spans="6:12" ht="24" customHeight="1">
      <c r="F2702" s="1270"/>
      <c r="G2702" s="1270"/>
      <c r="H2702" s="1273" t="s">
        <v>5077</v>
      </c>
      <c r="I2702" s="1270"/>
      <c r="J2702" s="1273" t="s">
        <v>5076</v>
      </c>
      <c r="K2702" s="1270">
        <f>K2701/16</f>
        <v>227.99249999999998</v>
      </c>
    </row>
    <row r="2703" spans="6:12" ht="24" customHeight="1">
      <c r="F2703" s="1270"/>
      <c r="G2703" s="1270"/>
      <c r="H2703" s="1274" t="s">
        <v>5078</v>
      </c>
      <c r="I2703" s="1275"/>
      <c r="J2703" s="1274" t="s">
        <v>5076</v>
      </c>
      <c r="K2703" s="1275">
        <f>K2702/0.95</f>
        <v>239.9921052631579</v>
      </c>
    </row>
    <row r="2704" spans="6:12" ht="24" customHeight="1">
      <c r="F2704" s="1270"/>
      <c r="G2704" s="1270"/>
      <c r="H2704" s="1270"/>
      <c r="I2704" s="1270"/>
      <c r="J2704" s="1272"/>
      <c r="K2704" s="1270"/>
    </row>
    <row r="2705" spans="6:11" ht="24" customHeight="1">
      <c r="F2705" s="1270"/>
      <c r="G2705" s="1270"/>
      <c r="H2705" s="1270"/>
      <c r="I2705" s="1270"/>
      <c r="J2705" s="1272"/>
      <c r="K2705" s="1270"/>
    </row>
    <row r="2706" spans="6:11" ht="24" customHeight="1">
      <c r="F2706" s="1183" t="s">
        <v>4408</v>
      </c>
      <c r="G2706" s="1180" t="s">
        <v>1363</v>
      </c>
      <c r="H2706" s="1182" t="s">
        <v>4409</v>
      </c>
      <c r="I2706" s="1270"/>
      <c r="J2706" s="1272"/>
      <c r="K2706" s="1270"/>
    </row>
    <row r="2707" spans="6:11" ht="50.25" customHeight="1">
      <c r="F2707" s="1270"/>
      <c r="G2707" s="1270"/>
      <c r="H2707" s="1182" t="s">
        <v>4410</v>
      </c>
      <c r="I2707" s="1270"/>
      <c r="J2707" s="1272"/>
      <c r="K2707" s="1270"/>
    </row>
    <row r="2708" spans="6:11" ht="24" customHeight="1">
      <c r="F2708" s="1270"/>
      <c r="G2708" s="1270"/>
      <c r="H2708" s="1182" t="s">
        <v>4411</v>
      </c>
      <c r="I2708" s="1270"/>
      <c r="J2708" s="1272"/>
      <c r="K2708" s="1270"/>
    </row>
    <row r="2709" spans="6:11" ht="24" customHeight="1">
      <c r="F2709" s="1270"/>
      <c r="G2709" s="1270"/>
      <c r="H2709" s="1182" t="s">
        <v>4412</v>
      </c>
      <c r="I2709" s="1270"/>
      <c r="J2709" s="1272"/>
      <c r="K2709" s="1270"/>
    </row>
    <row r="2710" spans="6:11" ht="24" customHeight="1">
      <c r="F2710" s="1270"/>
      <c r="G2710" s="1270"/>
      <c r="H2710" s="1276" t="s">
        <v>36</v>
      </c>
      <c r="I2710" s="1270"/>
      <c r="J2710" s="1272"/>
      <c r="K2710" s="1270"/>
    </row>
    <row r="2711" spans="6:11" ht="24" customHeight="1">
      <c r="F2711" s="1180">
        <v>1.8</v>
      </c>
      <c r="G2711" s="1180" t="s">
        <v>165</v>
      </c>
      <c r="H2711" s="1182" t="s">
        <v>5079</v>
      </c>
      <c r="I2711" s="1180">
        <f>C609</f>
        <v>22.4</v>
      </c>
      <c r="J2711" s="1183" t="s">
        <v>165</v>
      </c>
      <c r="K2711" s="1180">
        <f>(F2711*I2711)</f>
        <v>40.32</v>
      </c>
    </row>
    <row r="2712" spans="6:11" ht="24" customHeight="1">
      <c r="F2712" s="1180">
        <v>0.25</v>
      </c>
      <c r="G2712" s="1180" t="s">
        <v>2838</v>
      </c>
      <c r="H2712" s="1182" t="s">
        <v>4414</v>
      </c>
      <c r="I2712" s="1180">
        <f>C14</f>
        <v>688</v>
      </c>
      <c r="J2712" s="1183" t="s">
        <v>2838</v>
      </c>
      <c r="K2712" s="1180">
        <f>(F2712*I2712)</f>
        <v>172</v>
      </c>
    </row>
    <row r="2713" spans="6:11" ht="24" customHeight="1">
      <c r="F2713" s="1180">
        <v>0.25</v>
      </c>
      <c r="G2713" s="1180" t="s">
        <v>2838</v>
      </c>
      <c r="H2713" s="1182" t="s">
        <v>4217</v>
      </c>
      <c r="I2713" s="1180">
        <f>C12</f>
        <v>562</v>
      </c>
      <c r="J2713" s="1183" t="s">
        <v>2838</v>
      </c>
      <c r="K2713" s="1180">
        <f>(F2713*I2713)</f>
        <v>140.5</v>
      </c>
    </row>
    <row r="2714" spans="6:11" ht="24" customHeight="1">
      <c r="F2714" s="1180">
        <v>0.4</v>
      </c>
      <c r="G2714" s="1180" t="s">
        <v>2838</v>
      </c>
      <c r="H2714" s="1182" t="s">
        <v>3026</v>
      </c>
      <c r="I2714" s="1180">
        <f>C13</f>
        <v>461</v>
      </c>
      <c r="J2714" s="1183" t="s">
        <v>2838</v>
      </c>
      <c r="K2714" s="1180">
        <f>(F2714*I2714)</f>
        <v>184.4</v>
      </c>
    </row>
    <row r="2715" spans="6:11" ht="24" customHeight="1">
      <c r="F2715" s="1270"/>
      <c r="G2715" s="1180"/>
      <c r="H2715" s="1182"/>
      <c r="I2715" s="1182" t="s">
        <v>220</v>
      </c>
      <c r="J2715" s="1183"/>
      <c r="K2715" s="1180">
        <f>SUM(K2711:K2714)</f>
        <v>537.22</v>
      </c>
    </row>
    <row r="2716" spans="6:11" ht="24" customHeight="1">
      <c r="F2716" s="1270"/>
      <c r="G2716" s="1270"/>
      <c r="H2716" s="1275"/>
      <c r="I2716" s="1275"/>
      <c r="J2716" s="1277"/>
      <c r="K2716" s="1278">
        <f>K2715/10</f>
        <v>53.722000000000001</v>
      </c>
    </row>
    <row r="2717" spans="6:11" ht="24" customHeight="1">
      <c r="F2717" s="1180">
        <v>3</v>
      </c>
      <c r="G2717" s="1180" t="s">
        <v>165</v>
      </c>
      <c r="H2717" s="1182" t="s">
        <v>4413</v>
      </c>
      <c r="I2717" s="1279">
        <f>C271</f>
        <v>49.4</v>
      </c>
      <c r="J2717" s="1183" t="s">
        <v>165</v>
      </c>
      <c r="K2717" s="1279">
        <f>(F2717*I2717)</f>
        <v>148.19999999999999</v>
      </c>
    </row>
    <row r="2718" spans="6:11" ht="24" customHeight="1">
      <c r="F2718" s="1180">
        <v>0.5</v>
      </c>
      <c r="G2718" s="1180" t="s">
        <v>2838</v>
      </c>
      <c r="H2718" s="1182" t="s">
        <v>4414</v>
      </c>
      <c r="I2718" s="1279">
        <f>C14</f>
        <v>688</v>
      </c>
      <c r="J2718" s="1183" t="s">
        <v>2838</v>
      </c>
      <c r="K2718" s="1279">
        <f>(F2718*I2718)</f>
        <v>344</v>
      </c>
    </row>
    <row r="2719" spans="6:11" ht="24" customHeight="1">
      <c r="F2719" s="1180">
        <v>0.5</v>
      </c>
      <c r="G2719" s="1180" t="s">
        <v>2838</v>
      </c>
      <c r="H2719" s="1182" t="s">
        <v>4217</v>
      </c>
      <c r="I2719" s="1279">
        <f>I2713</f>
        <v>562</v>
      </c>
      <c r="J2719" s="1183" t="s">
        <v>2838</v>
      </c>
      <c r="K2719" s="1279">
        <f>(F2719*I2719)</f>
        <v>281</v>
      </c>
    </row>
    <row r="2720" spans="6:11" ht="24" customHeight="1">
      <c r="F2720" s="1180">
        <v>0.8</v>
      </c>
      <c r="G2720" s="1180" t="s">
        <v>2838</v>
      </c>
      <c r="H2720" s="1182" t="s">
        <v>3026</v>
      </c>
      <c r="I2720" s="1279">
        <f>I2714</f>
        <v>461</v>
      </c>
      <c r="J2720" s="1183" t="s">
        <v>2838</v>
      </c>
      <c r="K2720" s="1279">
        <f>(F2720*I2720)</f>
        <v>368.8</v>
      </c>
    </row>
    <row r="2721" spans="6:12" ht="24" customHeight="1">
      <c r="F2721" s="1270"/>
      <c r="G2721" s="1180" t="s">
        <v>2851</v>
      </c>
      <c r="H2721" s="1182" t="s">
        <v>3351</v>
      </c>
      <c r="I2721" s="1182" t="s">
        <v>220</v>
      </c>
      <c r="J2721" s="1183" t="s">
        <v>2851</v>
      </c>
      <c r="K2721" s="1180">
        <v>1.9</v>
      </c>
    </row>
    <row r="2722" spans="6:12" ht="24" customHeight="1">
      <c r="F2722" s="1270"/>
      <c r="G2722" s="1270"/>
      <c r="H2722" s="1275"/>
      <c r="I2722" s="1275"/>
      <c r="J2722" s="1277"/>
      <c r="K2722" s="1280" t="s">
        <v>36</v>
      </c>
    </row>
    <row r="2723" spans="6:12" ht="24" customHeight="1">
      <c r="F2723" s="1270"/>
      <c r="G2723" s="1270"/>
      <c r="H2723" s="1281" t="s">
        <v>3152</v>
      </c>
      <c r="I2723" s="1275"/>
      <c r="J2723" s="1277"/>
      <c r="K2723" s="1282">
        <f>SUM(K2717:K2721)</f>
        <v>1143.9000000000001</v>
      </c>
    </row>
    <row r="2724" spans="6:12" ht="24" customHeight="1">
      <c r="F2724" s="1270"/>
      <c r="G2724" s="1270"/>
      <c r="H2724" s="1275"/>
      <c r="I2724" s="1275"/>
      <c r="J2724" s="1277"/>
      <c r="K2724" s="1280" t="s">
        <v>36</v>
      </c>
    </row>
    <row r="2725" spans="6:12" ht="24" customHeight="1">
      <c r="F2725" s="1270"/>
      <c r="G2725" s="1270"/>
      <c r="H2725" s="1281" t="s">
        <v>3154</v>
      </c>
      <c r="I2725" s="1275"/>
      <c r="J2725" s="1277"/>
      <c r="K2725" s="1282">
        <f>(K2723/10)</f>
        <v>114.39000000000001</v>
      </c>
    </row>
    <row r="2726" spans="6:12" ht="24" customHeight="1">
      <c r="F2726" s="1270"/>
      <c r="G2726" s="1270"/>
      <c r="H2726" s="1270"/>
      <c r="I2726" s="1270"/>
      <c r="J2726" s="1270"/>
      <c r="K2726" s="1270"/>
    </row>
    <row r="2727" spans="6:12" ht="24" customHeight="1">
      <c r="F2727" s="1283"/>
      <c r="G2727" s="1180" t="s">
        <v>1363</v>
      </c>
      <c r="H2727" s="1182" t="s">
        <v>3388</v>
      </c>
      <c r="I2727" s="1270"/>
      <c r="J2727" s="1272"/>
      <c r="K2727" s="1270"/>
    </row>
    <row r="2728" spans="6:12" ht="24" customHeight="1">
      <c r="F2728" s="1270"/>
      <c r="G2728" s="1270"/>
      <c r="H2728" s="1182" t="s">
        <v>4591</v>
      </c>
      <c r="I2728" s="1270"/>
      <c r="J2728" s="1272"/>
      <c r="K2728" s="1270"/>
    </row>
    <row r="2729" spans="6:12" ht="24" customHeight="1">
      <c r="F2729" s="1270"/>
      <c r="G2729" s="1270"/>
      <c r="H2729" s="1182" t="s">
        <v>5080</v>
      </c>
      <c r="I2729" s="1270"/>
      <c r="J2729" s="1272"/>
      <c r="K2729" s="1270"/>
    </row>
    <row r="2730" spans="6:12" ht="24" customHeight="1">
      <c r="F2730" s="1270"/>
      <c r="G2730" s="1270"/>
      <c r="H2730" s="1276" t="s">
        <v>36</v>
      </c>
      <c r="I2730" s="1270"/>
      <c r="J2730" s="1272"/>
      <c r="K2730" s="1270"/>
    </row>
    <row r="2731" spans="6:12" ht="24" customHeight="1">
      <c r="F2731" s="1270"/>
      <c r="G2731" s="1180" t="s">
        <v>2169</v>
      </c>
      <c r="H2731" s="1182" t="s">
        <v>3453</v>
      </c>
      <c r="I2731" s="1270"/>
      <c r="J2731" s="1272"/>
      <c r="K2731" s="1182" t="s">
        <v>4592</v>
      </c>
    </row>
    <row r="2732" spans="6:12" ht="24" customHeight="1">
      <c r="F2732" s="1270"/>
      <c r="G2732" s="1270"/>
      <c r="H2732" s="1276" t="s">
        <v>36</v>
      </c>
      <c r="I2732" s="1270"/>
      <c r="J2732" s="1272"/>
      <c r="K2732" s="1276" t="s">
        <v>2793</v>
      </c>
    </row>
    <row r="2733" spans="6:12" ht="24" customHeight="1">
      <c r="F2733" s="1180">
        <v>30</v>
      </c>
      <c r="G2733" s="1180" t="s">
        <v>1790</v>
      </c>
      <c r="H2733" s="1182" t="s">
        <v>3459</v>
      </c>
      <c r="I2733" s="1180">
        <f>C661</f>
        <v>9.1199999999999992</v>
      </c>
      <c r="J2733" s="1183" t="s">
        <v>1790</v>
      </c>
      <c r="K2733" s="1180">
        <f>(F2733*I2733)</f>
        <v>273.59999999999997</v>
      </c>
    </row>
    <row r="2734" spans="6:12" ht="24" customHeight="1">
      <c r="F2734" s="1182" t="s">
        <v>220</v>
      </c>
      <c r="G2734" s="1270"/>
      <c r="H2734" s="1182" t="s">
        <v>3462</v>
      </c>
      <c r="I2734" s="1182" t="s">
        <v>220</v>
      </c>
      <c r="J2734" s="1272"/>
      <c r="K2734" s="1182" t="s">
        <v>220</v>
      </c>
    </row>
    <row r="2735" spans="6:12" ht="24" customHeight="1">
      <c r="F2735" s="1180">
        <v>8</v>
      </c>
      <c r="G2735" s="1180" t="s">
        <v>2838</v>
      </c>
      <c r="H2735" s="1182" t="s">
        <v>3405</v>
      </c>
      <c r="I2735" s="1180">
        <f>I1806</f>
        <v>8.1</v>
      </c>
      <c r="J2735" s="1183" t="s">
        <v>2838</v>
      </c>
      <c r="K2735" s="1180">
        <f t="shared" ref="K2735:K2740" si="254">(F2735*I2735)</f>
        <v>64.8</v>
      </c>
    </row>
    <row r="2736" spans="6:12" ht="24" customHeight="1">
      <c r="F2736" s="1180">
        <v>8</v>
      </c>
      <c r="G2736" s="1180" t="s">
        <v>2838</v>
      </c>
      <c r="H2736" s="1182" t="s">
        <v>3408</v>
      </c>
      <c r="I2736" s="1180">
        <f>I1807</f>
        <v>11.5</v>
      </c>
      <c r="J2736" s="1183" t="s">
        <v>2838</v>
      </c>
      <c r="K2736" s="1180">
        <f t="shared" si="254"/>
        <v>92</v>
      </c>
      <c r="L2736" s="1188"/>
    </row>
    <row r="2737" spans="6:12" ht="24" customHeight="1">
      <c r="F2737" s="1180">
        <v>3</v>
      </c>
      <c r="G2737" s="1180" t="s">
        <v>2838</v>
      </c>
      <c r="H2737" s="1182" t="s">
        <v>3467</v>
      </c>
      <c r="I2737" s="1180">
        <f>C41</f>
        <v>637</v>
      </c>
      <c r="J2737" s="1183" t="s">
        <v>2838</v>
      </c>
      <c r="K2737" s="1180">
        <f t="shared" si="254"/>
        <v>1911</v>
      </c>
      <c r="L2737" s="1190"/>
    </row>
    <row r="2738" spans="6:12" ht="24" customHeight="1">
      <c r="F2738" s="1180">
        <v>1</v>
      </c>
      <c r="G2738" s="1180" t="s">
        <v>2838</v>
      </c>
      <c r="H2738" s="1182" t="s">
        <v>4593</v>
      </c>
      <c r="I2738" s="1180">
        <f>C10</f>
        <v>861</v>
      </c>
      <c r="J2738" s="1183" t="s">
        <v>2838</v>
      </c>
      <c r="K2738" s="1180">
        <f t="shared" si="254"/>
        <v>861</v>
      </c>
      <c r="L2738" s="1190"/>
    </row>
    <row r="2739" spans="6:12" ht="24" customHeight="1">
      <c r="F2739" s="1180">
        <v>2</v>
      </c>
      <c r="G2739" s="1180" t="s">
        <v>2838</v>
      </c>
      <c r="H2739" s="1182" t="s">
        <v>3020</v>
      </c>
      <c r="I2739" s="1180">
        <f>C12</f>
        <v>562</v>
      </c>
      <c r="J2739" s="1183" t="s">
        <v>2838</v>
      </c>
      <c r="K2739" s="1180">
        <f t="shared" si="254"/>
        <v>1124</v>
      </c>
      <c r="L2739" s="1190"/>
    </row>
    <row r="2740" spans="6:12" ht="24" customHeight="1">
      <c r="F2740" s="1180">
        <v>1</v>
      </c>
      <c r="G2740" s="1180" t="s">
        <v>2838</v>
      </c>
      <c r="H2740" s="1182" t="s">
        <v>3026</v>
      </c>
      <c r="I2740" s="1180">
        <f>C13</f>
        <v>461</v>
      </c>
      <c r="J2740" s="1183" t="s">
        <v>2838</v>
      </c>
      <c r="K2740" s="1180">
        <f t="shared" si="254"/>
        <v>461</v>
      </c>
      <c r="L2740" s="1190"/>
    </row>
    <row r="2741" spans="6:12" ht="33.75" customHeight="1">
      <c r="F2741" s="1270"/>
      <c r="G2741" s="1180" t="s">
        <v>2851</v>
      </c>
      <c r="H2741" s="1284" t="s">
        <v>5081</v>
      </c>
      <c r="I2741" s="1180" t="s">
        <v>4938</v>
      </c>
      <c r="J2741" s="1183" t="s">
        <v>2851</v>
      </c>
      <c r="K2741" s="1180">
        <v>64.849999999999994</v>
      </c>
      <c r="L2741" s="1190"/>
    </row>
    <row r="2742" spans="6:12" ht="30.75" customHeight="1">
      <c r="F2742" s="1270"/>
      <c r="G2742" s="1270"/>
      <c r="H2742" s="1182"/>
      <c r="I2742" s="1180"/>
      <c r="J2742" s="1272"/>
      <c r="K2742" s="1279"/>
      <c r="L2742" s="1190"/>
    </row>
    <row r="2743" spans="6:12" ht="24" customHeight="1">
      <c r="F2743" s="1270"/>
      <c r="G2743" s="1270"/>
      <c r="H2743" s="1270"/>
      <c r="I2743" s="1270"/>
      <c r="J2743" s="1270"/>
      <c r="K2743" s="1270"/>
      <c r="L2743" s="1190"/>
    </row>
    <row r="2744" spans="6:12" ht="24" customHeight="1">
      <c r="F2744" s="1270"/>
      <c r="G2744" s="1270"/>
      <c r="H2744" s="1270"/>
      <c r="I2744" s="1270"/>
      <c r="J2744" s="1272"/>
      <c r="K2744" s="1276" t="s">
        <v>36</v>
      </c>
      <c r="L2744" s="1190"/>
    </row>
    <row r="2745" spans="6:12" ht="24" customHeight="1">
      <c r="F2745" s="1270"/>
      <c r="G2745" s="1270"/>
      <c r="H2745" s="1281" t="s">
        <v>3473</v>
      </c>
      <c r="I2745" s="1275"/>
      <c r="J2745" s="1277"/>
      <c r="K2745" s="1282">
        <f>SUM(K2733:K2744)</f>
        <v>4852.25</v>
      </c>
      <c r="L2745" s="1197"/>
    </row>
    <row r="2746" spans="6:12" ht="24" customHeight="1">
      <c r="F2746" s="1270"/>
      <c r="G2746" s="1270"/>
      <c r="H2746" s="1275"/>
      <c r="I2746" s="1275"/>
      <c r="J2746" s="1277"/>
      <c r="K2746" s="1280" t="s">
        <v>36</v>
      </c>
    </row>
    <row r="2747" spans="6:12" ht="24" customHeight="1">
      <c r="F2747" s="1270"/>
      <c r="G2747" s="1270"/>
      <c r="H2747" s="1281" t="s">
        <v>3413</v>
      </c>
      <c r="I2747" s="1275"/>
      <c r="J2747" s="1277"/>
      <c r="K2747" s="1282">
        <f>(K2745/30)</f>
        <v>161.74166666666667</v>
      </c>
    </row>
    <row r="2748" spans="6:12" ht="24" customHeight="1">
      <c r="F2748" s="1270"/>
      <c r="G2748" s="1270"/>
      <c r="H2748" s="1270"/>
      <c r="I2748" s="1270"/>
      <c r="J2748" s="1270"/>
      <c r="K2748" s="1270"/>
    </row>
    <row r="2749" spans="6:12" ht="24" customHeight="1">
      <c r="F2749" s="1270"/>
      <c r="G2749" s="1270"/>
      <c r="H2749" s="1270"/>
      <c r="I2749" s="1270"/>
      <c r="J2749" s="1270"/>
      <c r="K2749" s="1270"/>
    </row>
    <row r="2750" spans="6:12" ht="24" customHeight="1">
      <c r="F2750" s="1285">
        <v>52</v>
      </c>
      <c r="G2750" s="1180" t="s">
        <v>1363</v>
      </c>
      <c r="H2750" s="1182" t="s">
        <v>4599</v>
      </c>
      <c r="I2750" s="1270"/>
      <c r="J2750" s="1272"/>
      <c r="K2750" s="1270"/>
    </row>
    <row r="2751" spans="6:12" ht="24" customHeight="1">
      <c r="F2751" s="1270"/>
      <c r="G2751" s="1270"/>
      <c r="H2751" s="1182" t="s">
        <v>4600</v>
      </c>
      <c r="I2751" s="1270"/>
      <c r="J2751" s="1272"/>
      <c r="K2751" s="1270"/>
    </row>
    <row r="2752" spans="6:12" ht="24" customHeight="1">
      <c r="F2752" s="1270"/>
      <c r="G2752" s="1270"/>
      <c r="H2752" s="1182" t="s">
        <v>4602</v>
      </c>
      <c r="I2752" s="1270"/>
      <c r="J2752" s="1272"/>
      <c r="K2752" s="1270"/>
    </row>
    <row r="2753" spans="5:24" ht="24" customHeight="1">
      <c r="F2753" s="1270"/>
      <c r="G2753" s="1270"/>
      <c r="H2753" s="1182" t="s">
        <v>4604</v>
      </c>
      <c r="I2753" s="1270"/>
      <c r="J2753" s="1272"/>
      <c r="K2753" s="1270"/>
    </row>
    <row r="2754" spans="5:24" ht="24" customHeight="1">
      <c r="F2754" s="1270"/>
      <c r="G2754" s="1270"/>
      <c r="H2754" s="1182" t="s">
        <v>4605</v>
      </c>
      <c r="I2754" s="1270"/>
      <c r="J2754" s="1272"/>
      <c r="K2754" s="1270"/>
    </row>
    <row r="2755" spans="5:24" ht="24" customHeight="1">
      <c r="E2755" s="1105">
        <f>6*0.3</f>
        <v>1.7999999999999998</v>
      </c>
      <c r="F2755" s="1270"/>
      <c r="G2755" s="1270"/>
      <c r="H2755" s="1182" t="s">
        <v>5082</v>
      </c>
      <c r="I2755" s="1270"/>
      <c r="J2755" s="1272"/>
      <c r="K2755" s="1270"/>
    </row>
    <row r="2756" spans="5:24" ht="24" customHeight="1">
      <c r="E2756" s="1105">
        <f>3.5+E2755</f>
        <v>5.3</v>
      </c>
      <c r="F2756" s="1270"/>
      <c r="G2756" s="1270"/>
      <c r="H2756" s="1182" t="s">
        <v>4607</v>
      </c>
      <c r="I2756" s="1270"/>
      <c r="J2756" s="1272"/>
      <c r="K2756" s="1270"/>
      <c r="L2756" s="1105">
        <f>K2790</f>
        <v>201</v>
      </c>
    </row>
    <row r="2757" spans="5:24" ht="24" customHeight="1">
      <c r="E2757" s="1105">
        <f>3.14*0.3*0.3</f>
        <v>0.28259999999999996</v>
      </c>
      <c r="F2757" s="1270"/>
      <c r="G2757" s="1270"/>
      <c r="H2757" s="1182" t="s">
        <v>4608</v>
      </c>
      <c r="I2757" s="1270"/>
      <c r="J2757" s="1272"/>
      <c r="K2757" s="1270"/>
      <c r="L2757" s="1105">
        <f>K2791</f>
        <v>1967</v>
      </c>
    </row>
    <row r="2758" spans="5:24" ht="24" customHeight="1">
      <c r="F2758" s="1270"/>
      <c r="G2758" s="1270"/>
      <c r="H2758" s="1276" t="s">
        <v>2793</v>
      </c>
      <c r="I2758" s="1276" t="s">
        <v>2793</v>
      </c>
      <c r="J2758" s="1272"/>
      <c r="K2758" s="1270"/>
    </row>
    <row r="2759" spans="5:24" ht="24" customHeight="1">
      <c r="E2759" s="1105">
        <f>E2757/4</f>
        <v>7.0649999999999991E-2</v>
      </c>
      <c r="F2759" s="1270"/>
      <c r="G2759" s="1180" t="s">
        <v>1363</v>
      </c>
      <c r="H2759" s="1182" t="s">
        <v>4609</v>
      </c>
      <c r="I2759" s="1270"/>
      <c r="J2759" s="1272"/>
      <c r="K2759" s="1270"/>
      <c r="L2759" s="1105">
        <f>SUM(L2756:L2757)</f>
        <v>2168</v>
      </c>
    </row>
    <row r="2760" spans="5:24" ht="24" customHeight="1">
      <c r="E2760" s="1148">
        <f>E2759*E2756</f>
        <v>0.37444499999999992</v>
      </c>
      <c r="F2760" s="1270"/>
      <c r="G2760" s="1270"/>
      <c r="H2760" s="1182" t="s">
        <v>4610</v>
      </c>
      <c r="I2760" s="1270"/>
      <c r="J2760" s="1272"/>
      <c r="K2760" s="1270"/>
    </row>
    <row r="2761" spans="5:24" ht="24" customHeight="1">
      <c r="F2761" s="1270"/>
      <c r="G2761" s="1180" t="s">
        <v>2235</v>
      </c>
      <c r="H2761" s="1182" t="s">
        <v>4611</v>
      </c>
      <c r="I2761" s="1270"/>
      <c r="J2761" s="1272"/>
      <c r="K2761" s="1270"/>
    </row>
    <row r="2762" spans="5:24" ht="24" customHeight="1">
      <c r="F2762" s="1270"/>
      <c r="G2762" s="1270"/>
      <c r="H2762" s="1276" t="s">
        <v>36</v>
      </c>
      <c r="I2762" s="1270"/>
      <c r="J2762" s="1272"/>
      <c r="K2762" s="1270"/>
    </row>
    <row r="2763" spans="5:24" ht="24" customHeight="1">
      <c r="F2763" s="1180">
        <v>1</v>
      </c>
      <c r="G2763" s="1180" t="s">
        <v>61</v>
      </c>
      <c r="H2763" s="1182" t="s">
        <v>4612</v>
      </c>
      <c r="I2763" s="1180">
        <f>I1870</f>
        <v>26</v>
      </c>
      <c r="J2763" s="1183" t="s">
        <v>61</v>
      </c>
      <c r="K2763" s="1180">
        <f>(F2763*I2763)</f>
        <v>26</v>
      </c>
    </row>
    <row r="2764" spans="5:24" ht="24" customHeight="1">
      <c r="F2764" s="1180">
        <v>1</v>
      </c>
      <c r="G2764" s="1180" t="s">
        <v>2851</v>
      </c>
      <c r="H2764" s="1182" t="s">
        <v>4613</v>
      </c>
      <c r="I2764" s="1180">
        <f>I2763*0.7</f>
        <v>18.2</v>
      </c>
      <c r="J2764" s="1183" t="s">
        <v>2851</v>
      </c>
      <c r="K2764" s="1180">
        <f>(F2764*I2764)</f>
        <v>18.2</v>
      </c>
    </row>
    <row r="2765" spans="5:24" ht="24" customHeight="1">
      <c r="F2765" s="1180">
        <v>1</v>
      </c>
      <c r="G2765" s="1180" t="s">
        <v>61</v>
      </c>
      <c r="H2765" s="1182" t="s">
        <v>4614</v>
      </c>
      <c r="I2765" s="1180">
        <f>K2747</f>
        <v>161.74166666666667</v>
      </c>
      <c r="J2765" s="1183" t="s">
        <v>61</v>
      </c>
      <c r="K2765" s="1180">
        <f>(F2765*I2765)</f>
        <v>161.74166666666667</v>
      </c>
    </row>
    <row r="2766" spans="5:24" ht="24" customHeight="1">
      <c r="F2766" s="1270"/>
      <c r="G2766" s="1270"/>
      <c r="H2766" s="1270"/>
      <c r="I2766" s="1182" t="s">
        <v>220</v>
      </c>
      <c r="J2766" s="1272"/>
      <c r="K2766" s="1276"/>
    </row>
    <row r="2767" spans="5:24" ht="24" customHeight="1">
      <c r="F2767" s="1270"/>
      <c r="G2767" s="1270"/>
      <c r="H2767" s="1281" t="s">
        <v>4615</v>
      </c>
      <c r="I2767" s="1275"/>
      <c r="J2767" s="1277"/>
      <c r="K2767" s="1282">
        <f>SUM(K2763:K2765)</f>
        <v>205.94166666666666</v>
      </c>
      <c r="S2767" s="1286"/>
      <c r="T2767" s="1270"/>
      <c r="U2767" s="1270"/>
      <c r="V2767" s="1270"/>
      <c r="W2767" s="1272"/>
      <c r="X2767" s="1270"/>
    </row>
    <row r="2768" spans="5:24" ht="24" customHeight="1">
      <c r="F2768" s="1270"/>
      <c r="G2768" s="1270"/>
      <c r="H2768" s="1182" t="s">
        <v>220</v>
      </c>
      <c r="I2768" s="1182" t="s">
        <v>220</v>
      </c>
      <c r="J2768" s="1272"/>
      <c r="K2768" s="1276" t="s">
        <v>2793</v>
      </c>
      <c r="S2768" s="1287" t="s">
        <v>4044</v>
      </c>
      <c r="T2768" s="1180" t="s">
        <v>1363</v>
      </c>
      <c r="U2768" s="1182" t="s">
        <v>5083</v>
      </c>
      <c r="V2768" s="1270"/>
      <c r="W2768" s="1272"/>
      <c r="X2768" s="1270"/>
    </row>
    <row r="2769" spans="6:29" ht="24" customHeight="1">
      <c r="F2769" s="1270"/>
      <c r="G2769" s="1270"/>
      <c r="H2769" s="1270"/>
      <c r="I2769" s="1270"/>
      <c r="J2769" s="1270"/>
      <c r="K2769" s="1270"/>
      <c r="S2769" s="1286"/>
      <c r="T2769" s="1270"/>
      <c r="U2769" s="1182" t="s">
        <v>4046</v>
      </c>
      <c r="V2769" s="1270"/>
      <c r="W2769" s="1272"/>
      <c r="X2769" s="1270"/>
    </row>
    <row r="2770" spans="6:29" ht="24" customHeight="1">
      <c r="F2770" s="1288"/>
      <c r="G2770" s="1289"/>
      <c r="H2770" s="1289"/>
      <c r="I2770" s="1289"/>
      <c r="J2770" s="1289"/>
      <c r="K2770" s="1289"/>
      <c r="S2770" s="1286"/>
      <c r="T2770" s="1270"/>
      <c r="U2770" s="1182" t="s">
        <v>4047</v>
      </c>
      <c r="V2770" s="1270"/>
      <c r="W2770" s="1272"/>
      <c r="X2770" s="1270"/>
    </row>
    <row r="2771" spans="6:29" ht="24" customHeight="1">
      <c r="F2771" s="1290"/>
      <c r="G2771" s="1291" t="s">
        <v>5084</v>
      </c>
      <c r="H2771" s="1292"/>
      <c r="I2771" s="1292"/>
      <c r="J2771" s="1293"/>
      <c r="K2771" s="1292"/>
      <c r="S2771" s="1286"/>
      <c r="T2771" s="1270"/>
      <c r="U2771" s="1276" t="s">
        <v>36</v>
      </c>
      <c r="V2771" s="1270"/>
      <c r="W2771" s="1272"/>
      <c r="X2771" s="1270"/>
    </row>
    <row r="2772" spans="6:29" ht="24" customHeight="1">
      <c r="F2772" s="1294"/>
      <c r="G2772" s="1292"/>
      <c r="H2772" s="1292"/>
      <c r="I2772" s="1292"/>
      <c r="J2772" s="1293"/>
      <c r="K2772" s="1292"/>
      <c r="S2772" s="1286"/>
      <c r="T2772" s="1270"/>
      <c r="U2772" s="1182" t="s">
        <v>5085</v>
      </c>
      <c r="V2772" s="1270"/>
      <c r="W2772" s="1272"/>
      <c r="X2772" s="1270"/>
    </row>
    <row r="2773" spans="6:29" ht="24" customHeight="1">
      <c r="F2773" s="1294">
        <v>5</v>
      </c>
      <c r="G2773" s="1292" t="s">
        <v>5086</v>
      </c>
      <c r="H2773" s="1292" t="s">
        <v>5087</v>
      </c>
      <c r="I2773" s="1292">
        <v>160</v>
      </c>
      <c r="J2773" s="1293" t="s">
        <v>5088</v>
      </c>
      <c r="K2773" s="1292">
        <f>I2773*F2773</f>
        <v>800</v>
      </c>
      <c r="S2773" s="1286"/>
      <c r="T2773" s="1270"/>
      <c r="U2773" s="1182" t="s">
        <v>5089</v>
      </c>
      <c r="V2773" s="1270"/>
      <c r="W2773" s="1272"/>
      <c r="X2773" s="1270"/>
    </row>
    <row r="2774" spans="6:29" ht="24" customHeight="1">
      <c r="F2774" s="1294">
        <v>1</v>
      </c>
      <c r="G2774" s="1292" t="s">
        <v>54</v>
      </c>
      <c r="H2774" s="1292" t="s">
        <v>5090</v>
      </c>
      <c r="I2774" s="1292">
        <v>75</v>
      </c>
      <c r="J2774" s="1293" t="s">
        <v>522</v>
      </c>
      <c r="K2774" s="1292">
        <f>I2774*F2774</f>
        <v>75</v>
      </c>
      <c r="S2774" s="1286"/>
      <c r="T2774" s="1270"/>
      <c r="U2774" s="1270"/>
      <c r="V2774" s="1270"/>
      <c r="W2774" s="1183" t="s">
        <v>36</v>
      </c>
      <c r="X2774" s="1270"/>
    </row>
    <row r="2775" spans="6:29" ht="24" customHeight="1">
      <c r="F2775" s="1294">
        <v>2.5</v>
      </c>
      <c r="G2775" s="1292" t="s">
        <v>54</v>
      </c>
      <c r="H2775" s="1292" t="s">
        <v>5091</v>
      </c>
      <c r="I2775" s="1292">
        <f>C14</f>
        <v>688</v>
      </c>
      <c r="J2775" s="1293" t="s">
        <v>54</v>
      </c>
      <c r="K2775" s="1292">
        <f>I2775*F2775</f>
        <v>1720</v>
      </c>
      <c r="S2775" s="1286"/>
      <c r="T2775" s="1270"/>
      <c r="U2775" s="1182" t="s">
        <v>5092</v>
      </c>
      <c r="V2775" s="1270"/>
      <c r="W2775" s="1272"/>
      <c r="X2775" s="1270"/>
    </row>
    <row r="2776" spans="6:29" ht="24" customHeight="1">
      <c r="F2776" s="1294"/>
      <c r="G2776" s="1292"/>
      <c r="H2776" s="1292" t="s">
        <v>234</v>
      </c>
      <c r="I2776" s="1295" t="s">
        <v>2851</v>
      </c>
      <c r="J2776" s="1293"/>
      <c r="K2776" s="1292">
        <v>0.25</v>
      </c>
      <c r="S2776" s="1286"/>
      <c r="T2776" s="1270"/>
      <c r="U2776" s="1182" t="s">
        <v>5093</v>
      </c>
      <c r="V2776" s="1270"/>
      <c r="W2776" s="1272"/>
      <c r="X2776" s="1181">
        <v>2.7099999999999999E-2</v>
      </c>
    </row>
    <row r="2777" spans="6:29" ht="24" customHeight="1">
      <c r="F2777" s="1294"/>
      <c r="G2777" s="1292"/>
      <c r="H2777" s="1292"/>
      <c r="I2777" s="1292"/>
      <c r="J2777" s="1293"/>
      <c r="K2777" s="1296" t="s">
        <v>2793</v>
      </c>
      <c r="S2777" s="1286"/>
      <c r="T2777" s="1270"/>
      <c r="U2777" s="1270"/>
      <c r="V2777" s="1270"/>
      <c r="W2777" s="1183" t="s">
        <v>220</v>
      </c>
      <c r="X2777" s="1276" t="s">
        <v>36</v>
      </c>
      <c r="Y2777" s="1165">
        <f>SUM(X2778:X2779)</f>
        <v>1.6420000000000001E-2</v>
      </c>
    </row>
    <row r="2778" spans="6:29" ht="24" customHeight="1">
      <c r="F2778" s="1294"/>
      <c r="G2778" s="1292"/>
      <c r="H2778" s="1292"/>
      <c r="I2778" s="1292" t="s">
        <v>5094</v>
      </c>
      <c r="J2778" s="1293" t="s">
        <v>2793</v>
      </c>
      <c r="K2778" s="1291">
        <f>SUM(K2773:K2777)</f>
        <v>2595.25</v>
      </c>
      <c r="L2778" s="1165">
        <f>K2811+K2810</f>
        <v>1.6420000000000001E-2</v>
      </c>
      <c r="S2778" s="1286"/>
      <c r="T2778" s="1270"/>
      <c r="U2778" s="1182" t="s">
        <v>5095</v>
      </c>
      <c r="V2778" s="1270"/>
      <c r="W2778" s="1297" t="s">
        <v>220</v>
      </c>
      <c r="X2778" s="1181">
        <v>1.2840000000000001E-2</v>
      </c>
    </row>
    <row r="2779" spans="6:29" ht="24" customHeight="1">
      <c r="F2779" s="1298"/>
      <c r="G2779" s="1299"/>
      <c r="H2779" s="1299"/>
      <c r="I2779" s="1299"/>
      <c r="J2779" s="1300"/>
      <c r="K2779" s="1301" t="s">
        <v>2793</v>
      </c>
      <c r="S2779" s="1286"/>
      <c r="T2779" s="1270"/>
      <c r="U2779" s="1182" t="s">
        <v>5096</v>
      </c>
      <c r="V2779" s="1270"/>
      <c r="W2779" s="1183" t="s">
        <v>220</v>
      </c>
      <c r="X2779" s="1181">
        <v>3.5799999999999998E-3</v>
      </c>
    </row>
    <row r="2780" spans="6:29" ht="24" customHeight="1">
      <c r="F2780" s="1270"/>
      <c r="G2780" s="1270"/>
      <c r="H2780" s="1270"/>
      <c r="I2780" s="1270"/>
      <c r="J2780" s="1272"/>
      <c r="K2780" s="1270"/>
      <c r="S2780" s="1286"/>
      <c r="T2780" s="1270"/>
      <c r="U2780" s="1270"/>
      <c r="V2780" s="1270"/>
      <c r="W2780" s="1272"/>
      <c r="X2780" s="1276" t="s">
        <v>36</v>
      </c>
    </row>
    <row r="2781" spans="6:29" ht="24" customHeight="1">
      <c r="F2781" s="1270" t="s">
        <v>5097</v>
      </c>
      <c r="G2781" s="1270"/>
      <c r="H2781" s="1270"/>
      <c r="I2781" s="1270"/>
      <c r="J2781" s="1272"/>
      <c r="K2781" s="1270"/>
      <c r="S2781" s="1302">
        <f>F2813</f>
        <v>1.898E-2</v>
      </c>
      <c r="T2781" s="1180" t="s">
        <v>2839</v>
      </c>
      <c r="U2781" s="1182" t="s">
        <v>5098</v>
      </c>
      <c r="V2781" s="1180">
        <f>C86</f>
        <v>34300</v>
      </c>
      <c r="W2781" s="1183" t="s">
        <v>2839</v>
      </c>
      <c r="X2781" s="1180">
        <f>(S2781*V2781)</f>
        <v>651.01400000000001</v>
      </c>
    </row>
    <row r="2782" spans="6:29" ht="24" customHeight="1">
      <c r="F2782" s="1270"/>
      <c r="G2782" s="1270"/>
      <c r="H2782" s="1270"/>
      <c r="I2782" s="1270"/>
      <c r="J2782" s="1272"/>
      <c r="K2782" s="1270"/>
      <c r="S2782" s="1302">
        <f t="shared" ref="S2782:S2792" si="255">F2814</f>
        <v>2.7099999999999999E-2</v>
      </c>
      <c r="T2782" s="1180" t="s">
        <v>2839</v>
      </c>
      <c r="U2782" s="1182" t="s">
        <v>5098</v>
      </c>
      <c r="V2782" s="1180">
        <f>V2781</f>
        <v>34300</v>
      </c>
      <c r="W2782" s="1183" t="s">
        <v>2839</v>
      </c>
      <c r="X2782" s="1180">
        <f t="shared" ref="X2782:X2792" si="256">(S2782*V2782)</f>
        <v>929.53</v>
      </c>
    </row>
    <row r="2783" spans="6:29" ht="24" customHeight="1">
      <c r="F2783" s="1270" t="s">
        <v>5099</v>
      </c>
      <c r="G2783" s="1270"/>
      <c r="H2783" s="1270"/>
      <c r="I2783" s="1270"/>
      <c r="J2783" s="1272"/>
      <c r="K2783" s="1270"/>
      <c r="S2783" s="1302">
        <f t="shared" si="255"/>
        <v>1.6420000000000001E-2</v>
      </c>
      <c r="T2783" s="1180" t="s">
        <v>2839</v>
      </c>
      <c r="U2783" s="1182" t="s">
        <v>5100</v>
      </c>
      <c r="V2783" s="1180">
        <f>C87</f>
        <v>39400</v>
      </c>
      <c r="W2783" s="1183" t="s">
        <v>2839</v>
      </c>
      <c r="X2783" s="1180">
        <f t="shared" si="256"/>
        <v>646.94799999999998</v>
      </c>
      <c r="AC2783" s="1119" t="s">
        <v>5101</v>
      </c>
    </row>
    <row r="2784" spans="6:29" ht="24" customHeight="1">
      <c r="F2784" s="1270"/>
      <c r="G2784" s="1270"/>
      <c r="H2784" s="1270"/>
      <c r="I2784" s="1270"/>
      <c r="J2784" s="1272"/>
      <c r="K2784" s="1270"/>
      <c r="S2784" s="1302"/>
      <c r="T2784" s="1270"/>
      <c r="U2784" s="1182"/>
      <c r="V2784" s="1180">
        <f>V958</f>
        <v>0</v>
      </c>
      <c r="W2784" s="1272"/>
      <c r="X2784" s="1180">
        <f t="shared" si="256"/>
        <v>0</v>
      </c>
      <c r="AC2784" s="1119" t="s">
        <v>5102</v>
      </c>
    </row>
    <row r="2785" spans="6:33" ht="24" customHeight="1">
      <c r="F2785" s="1270"/>
      <c r="G2785" s="1286">
        <v>0.745</v>
      </c>
      <c r="H2785" s="1270" t="s">
        <v>16</v>
      </c>
      <c r="I2785" s="1270"/>
      <c r="J2785" s="1272"/>
      <c r="K2785" s="1270"/>
      <c r="S2785" s="1302">
        <f t="shared" si="255"/>
        <v>1.8225</v>
      </c>
      <c r="T2785" s="1180" t="s">
        <v>3189</v>
      </c>
      <c r="U2785" s="1182" t="s">
        <v>4059</v>
      </c>
      <c r="V2785" s="1180">
        <f>I2817</f>
        <v>1325</v>
      </c>
      <c r="W2785" s="1183" t="s">
        <v>3189</v>
      </c>
      <c r="X2785" s="1180">
        <f t="shared" si="256"/>
        <v>2414.8125</v>
      </c>
    </row>
    <row r="2786" spans="6:33" ht="24" customHeight="1">
      <c r="F2786" s="1270"/>
      <c r="G2786" s="1270"/>
      <c r="H2786" s="1270"/>
      <c r="I2786" s="1270"/>
      <c r="J2786" s="1272"/>
      <c r="K2786" s="1270"/>
      <c r="S2786" s="1302">
        <f t="shared" si="255"/>
        <v>2</v>
      </c>
      <c r="T2786" s="1180" t="s">
        <v>2941</v>
      </c>
      <c r="U2786" s="1182" t="s">
        <v>4060</v>
      </c>
      <c r="V2786" s="1180">
        <f t="shared" ref="V2786:V2791" si="257">I2818</f>
        <v>120</v>
      </c>
      <c r="W2786" s="1183" t="s">
        <v>2838</v>
      </c>
      <c r="X2786" s="1180">
        <f t="shared" si="256"/>
        <v>240</v>
      </c>
      <c r="AB2786" s="1303">
        <v>2.6159999999999999E-2</v>
      </c>
      <c r="AC2786" s="1119" t="s">
        <v>2839</v>
      </c>
      <c r="AD2786" s="1119" t="s">
        <v>4149</v>
      </c>
      <c r="AE2786" s="1119">
        <f>I2813</f>
        <v>111600</v>
      </c>
      <c r="AF2786" s="1136" t="s">
        <v>2839</v>
      </c>
      <c r="AG2786" s="1119">
        <f>AE2786*AB2786</f>
        <v>2919.4560000000001</v>
      </c>
    </row>
    <row r="2787" spans="6:33" ht="24" customHeight="1">
      <c r="F2787" s="1275" t="s">
        <v>5103</v>
      </c>
      <c r="G2787" s="1270"/>
      <c r="H2787" s="1270"/>
      <c r="I2787" s="1270"/>
      <c r="J2787" s="1272"/>
      <c r="K2787" s="1270"/>
      <c r="S2787" s="1302">
        <f t="shared" si="255"/>
        <v>3</v>
      </c>
      <c r="T2787" s="1180" t="s">
        <v>2838</v>
      </c>
      <c r="U2787" s="1182" t="s">
        <v>4061</v>
      </c>
      <c r="V2787" s="1180">
        <f t="shared" si="257"/>
        <v>110.17</v>
      </c>
      <c r="W2787" s="1183" t="s">
        <v>2838</v>
      </c>
      <c r="X2787" s="1180">
        <f t="shared" si="256"/>
        <v>330.51</v>
      </c>
      <c r="AB2787" s="1303">
        <v>4.7809999999999998E-2</v>
      </c>
      <c r="AC2787" s="1119" t="s">
        <v>2839</v>
      </c>
      <c r="AD2787" s="1119" t="s">
        <v>4150</v>
      </c>
      <c r="AE2787" s="1119">
        <f>I2814</f>
        <v>99400</v>
      </c>
      <c r="AF2787" s="1136" t="s">
        <v>2839</v>
      </c>
      <c r="AG2787" s="1119">
        <f t="shared" ref="AG2787:AG2796" si="258">AE2787*AB2787</f>
        <v>4752.3139999999994</v>
      </c>
    </row>
    <row r="2788" spans="6:33" ht="24" customHeight="1">
      <c r="F2788" s="1270"/>
      <c r="G2788" s="1270"/>
      <c r="H2788" s="1270"/>
      <c r="I2788" s="1270"/>
      <c r="J2788" s="1272"/>
      <c r="K2788" s="1270"/>
      <c r="S2788" s="1302">
        <f t="shared" si="255"/>
        <v>2</v>
      </c>
      <c r="T2788" s="1180" t="s">
        <v>2838</v>
      </c>
      <c r="U2788" s="1182" t="s">
        <v>4063</v>
      </c>
      <c r="V2788" s="1180">
        <f t="shared" si="257"/>
        <v>160</v>
      </c>
      <c r="W2788" s="1183" t="s">
        <v>2838</v>
      </c>
      <c r="X2788" s="1180">
        <f t="shared" si="256"/>
        <v>320</v>
      </c>
      <c r="AB2788" s="1304">
        <v>4.5879999999999997E-2</v>
      </c>
      <c r="AC2788" s="1119" t="s">
        <v>2839</v>
      </c>
      <c r="AD2788" s="1119" t="s">
        <v>5104</v>
      </c>
      <c r="AE2788" s="1119">
        <v>116700</v>
      </c>
      <c r="AF2788" s="1136" t="s">
        <v>2839</v>
      </c>
      <c r="AG2788" s="1119">
        <f t="shared" si="258"/>
        <v>5354.1959999999999</v>
      </c>
    </row>
    <row r="2789" spans="6:33" ht="24" customHeight="1">
      <c r="F2789" s="1286">
        <v>0.37</v>
      </c>
      <c r="G2789" s="1270" t="s">
        <v>16</v>
      </c>
      <c r="H2789" s="1270" t="s">
        <v>5105</v>
      </c>
      <c r="I2789" s="1270">
        <f>I2992</f>
        <v>8281.8690000000006</v>
      </c>
      <c r="J2789" s="1273" t="s">
        <v>16</v>
      </c>
      <c r="K2789" s="1270">
        <f>F2789*I2789</f>
        <v>3064.29153</v>
      </c>
      <c r="S2789" s="1302">
        <f t="shared" si="255"/>
        <v>1</v>
      </c>
      <c r="T2789" s="1180" t="s">
        <v>2838</v>
      </c>
      <c r="U2789" s="1182" t="s">
        <v>4065</v>
      </c>
      <c r="V2789" s="1180">
        <f t="shared" si="257"/>
        <v>550</v>
      </c>
      <c r="W2789" s="1183" t="s">
        <v>2838</v>
      </c>
      <c r="X2789" s="1180">
        <f t="shared" si="256"/>
        <v>550</v>
      </c>
      <c r="AB2789" s="1304">
        <v>3.95</v>
      </c>
      <c r="AC2789" s="1119" t="s">
        <v>3189</v>
      </c>
      <c r="AD2789" s="1119" t="s">
        <v>4152</v>
      </c>
      <c r="AE2789" s="1119">
        <f>I2817</f>
        <v>1325</v>
      </c>
      <c r="AF2789" s="1136" t="s">
        <v>3189</v>
      </c>
      <c r="AG2789" s="1119">
        <f t="shared" si="258"/>
        <v>5233.75</v>
      </c>
    </row>
    <row r="2790" spans="6:33" ht="24" customHeight="1">
      <c r="F2790" s="1270">
        <v>0.25</v>
      </c>
      <c r="G2790" s="1270" t="s">
        <v>54</v>
      </c>
      <c r="H2790" s="1270" t="s">
        <v>3706</v>
      </c>
      <c r="I2790" s="1270">
        <f>C11</f>
        <v>804</v>
      </c>
      <c r="J2790" s="1273" t="s">
        <v>522</v>
      </c>
      <c r="K2790" s="1270">
        <f>F2790*I2790</f>
        <v>201</v>
      </c>
      <c r="S2790" s="1302">
        <f t="shared" si="255"/>
        <v>1</v>
      </c>
      <c r="T2790" s="1180" t="s">
        <v>2838</v>
      </c>
      <c r="U2790" s="1182" t="s">
        <v>4067</v>
      </c>
      <c r="V2790" s="1180">
        <f t="shared" si="257"/>
        <v>7.3</v>
      </c>
      <c r="W2790" s="1183" t="s">
        <v>2838</v>
      </c>
      <c r="X2790" s="1180">
        <f t="shared" si="256"/>
        <v>7.3</v>
      </c>
      <c r="AB2790" s="1119">
        <v>2</v>
      </c>
      <c r="AC2790" s="1119" t="s">
        <v>4154</v>
      </c>
      <c r="AD2790" s="1119" t="s">
        <v>4155</v>
      </c>
      <c r="AE2790" s="1119">
        <f t="shared" ref="AE2790:AE2795" si="259">I2818</f>
        <v>120</v>
      </c>
      <c r="AF2790" s="1136" t="s">
        <v>522</v>
      </c>
      <c r="AG2790" s="1119">
        <f t="shared" si="258"/>
        <v>240</v>
      </c>
    </row>
    <row r="2791" spans="6:33" ht="24" customHeight="1">
      <c r="F2791" s="1270">
        <v>3.5</v>
      </c>
      <c r="G2791" s="1270" t="s">
        <v>4</v>
      </c>
      <c r="H2791" s="1270" t="s">
        <v>4184</v>
      </c>
      <c r="I2791" s="1270">
        <f>C12</f>
        <v>562</v>
      </c>
      <c r="J2791" s="1273" t="s">
        <v>522</v>
      </c>
      <c r="K2791" s="1270">
        <f>F2791*I2791</f>
        <v>1967</v>
      </c>
      <c r="S2791" s="1302">
        <f t="shared" si="255"/>
        <v>1</v>
      </c>
      <c r="T2791" s="1180" t="s">
        <v>2838</v>
      </c>
      <c r="U2791" s="1182" t="s">
        <v>3214</v>
      </c>
      <c r="V2791" s="1180">
        <f t="shared" si="257"/>
        <v>45.9</v>
      </c>
      <c r="W2791" s="1183" t="s">
        <v>2838</v>
      </c>
      <c r="X2791" s="1180">
        <f t="shared" si="256"/>
        <v>45.9</v>
      </c>
      <c r="AB2791" s="1119">
        <v>6</v>
      </c>
      <c r="AC2791" s="1119" t="s">
        <v>4154</v>
      </c>
      <c r="AD2791" s="1119" t="s">
        <v>4156</v>
      </c>
      <c r="AE2791" s="1119">
        <f t="shared" si="259"/>
        <v>110.17</v>
      </c>
      <c r="AF2791" s="1136" t="s">
        <v>522</v>
      </c>
      <c r="AG2791" s="1119">
        <f t="shared" si="258"/>
        <v>661.02</v>
      </c>
    </row>
    <row r="2792" spans="6:33" ht="24" customHeight="1">
      <c r="F2792" s="1270">
        <v>12</v>
      </c>
      <c r="G2792" s="1270" t="s">
        <v>3236</v>
      </c>
      <c r="H2792" s="1270" t="s">
        <v>5106</v>
      </c>
      <c r="I2792" s="1270"/>
      <c r="J2792" s="1273" t="s">
        <v>3236</v>
      </c>
      <c r="K2792" s="1270">
        <f>I2792*F2792</f>
        <v>0</v>
      </c>
      <c r="S2792" s="1286">
        <f t="shared" si="255"/>
        <v>64</v>
      </c>
      <c r="T2792" s="1270"/>
      <c r="U2792" s="1270" t="s">
        <v>5107</v>
      </c>
      <c r="V2792" s="1270">
        <f>P2831</f>
        <v>2.39</v>
      </c>
      <c r="W2792" s="1272"/>
      <c r="X2792" s="1180">
        <f t="shared" si="256"/>
        <v>152.96</v>
      </c>
      <c r="AB2792" s="1119">
        <v>4</v>
      </c>
      <c r="AC2792" s="1119" t="s">
        <v>4154</v>
      </c>
      <c r="AD2792" s="1119" t="s">
        <v>4157</v>
      </c>
      <c r="AE2792" s="1119">
        <f t="shared" si="259"/>
        <v>160</v>
      </c>
      <c r="AF2792" s="1136" t="s">
        <v>522</v>
      </c>
      <c r="AG2792" s="1119">
        <f t="shared" si="258"/>
        <v>640</v>
      </c>
    </row>
    <row r="2793" spans="6:33" ht="24" customHeight="1">
      <c r="F2793" s="1270"/>
      <c r="G2793" s="1270" t="s">
        <v>5108</v>
      </c>
      <c r="H2793" s="1270" t="s">
        <v>5109</v>
      </c>
      <c r="I2793" s="1270"/>
      <c r="J2793" s="1273" t="s">
        <v>4938</v>
      </c>
      <c r="K2793" s="1270">
        <f>L2759*10%</f>
        <v>216.8</v>
      </c>
      <c r="S2793" s="1286"/>
      <c r="T2793" s="1270"/>
      <c r="U2793" s="1182" t="s">
        <v>5110</v>
      </c>
      <c r="V2793" s="1270"/>
      <c r="W2793" s="1272"/>
      <c r="X2793" s="1180">
        <f>SUM(X2781:X2792)</f>
        <v>6288.9745000000003</v>
      </c>
      <c r="AB2793" s="1119">
        <v>1</v>
      </c>
      <c r="AC2793" s="1119" t="s">
        <v>4154</v>
      </c>
      <c r="AD2793" s="1119" t="s">
        <v>4159</v>
      </c>
      <c r="AE2793" s="1119">
        <f t="shared" si="259"/>
        <v>550</v>
      </c>
      <c r="AF2793" s="1136" t="s">
        <v>522</v>
      </c>
      <c r="AG2793" s="1119">
        <f t="shared" si="258"/>
        <v>550</v>
      </c>
    </row>
    <row r="2794" spans="6:33" ht="24" customHeight="1">
      <c r="F2794" s="1270"/>
      <c r="G2794" s="1270"/>
      <c r="H2794" s="1270"/>
      <c r="I2794" s="1270"/>
      <c r="J2794" s="1272"/>
      <c r="K2794" s="1270" t="s">
        <v>5111</v>
      </c>
      <c r="S2794" s="1286"/>
      <c r="T2794" s="1270"/>
      <c r="U2794" s="1270"/>
      <c r="V2794" s="1270"/>
      <c r="W2794" s="1272"/>
      <c r="X2794" s="1276" t="s">
        <v>36</v>
      </c>
      <c r="AB2794" s="1119">
        <v>2</v>
      </c>
      <c r="AC2794" s="1119" t="s">
        <v>4154</v>
      </c>
      <c r="AD2794" s="1119" t="s">
        <v>3212</v>
      </c>
      <c r="AE2794" s="1119">
        <f t="shared" si="259"/>
        <v>7.3</v>
      </c>
      <c r="AF2794" s="1136" t="s">
        <v>522</v>
      </c>
      <c r="AG2794" s="1119">
        <f t="shared" si="258"/>
        <v>14.6</v>
      </c>
    </row>
    <row r="2795" spans="6:33" ht="24" customHeight="1">
      <c r="F2795" s="1270"/>
      <c r="G2795" s="1270"/>
      <c r="H2795" s="1270"/>
      <c r="I2795" s="1270"/>
      <c r="J2795" s="1272"/>
      <c r="K2795" s="1270"/>
      <c r="S2795" s="1286"/>
      <c r="T2795" s="1270"/>
      <c r="U2795" s="1182" t="s">
        <v>3154</v>
      </c>
      <c r="V2795" s="1270"/>
      <c r="W2795" s="1272"/>
      <c r="X2795" s="1180">
        <f>X2793/1.8225</f>
        <v>3450.7404663923185</v>
      </c>
      <c r="AB2795" s="1119">
        <v>2</v>
      </c>
      <c r="AC2795" s="1119" t="s">
        <v>4154</v>
      </c>
      <c r="AD2795" s="1119" t="s">
        <v>3214</v>
      </c>
      <c r="AE2795" s="1119">
        <f t="shared" si="259"/>
        <v>45.9</v>
      </c>
      <c r="AF2795" s="1136" t="s">
        <v>522</v>
      </c>
      <c r="AG2795" s="1119">
        <f t="shared" si="258"/>
        <v>91.8</v>
      </c>
    </row>
    <row r="2796" spans="6:33" ht="24" customHeight="1">
      <c r="F2796" s="1270"/>
      <c r="G2796" s="1270"/>
      <c r="H2796" s="1270"/>
      <c r="I2796" s="1270" t="s">
        <v>5112</v>
      </c>
      <c r="J2796" s="1272"/>
      <c r="K2796" s="1270">
        <f>SUM(K2789:K2793)</f>
        <v>5449.0915300000006</v>
      </c>
      <c r="S2796" s="1286"/>
      <c r="T2796" s="1270"/>
      <c r="U2796" s="1270"/>
      <c r="V2796" s="1270"/>
      <c r="W2796" s="1272"/>
      <c r="X2796" s="1270"/>
      <c r="AB2796" s="1119">
        <v>10</v>
      </c>
      <c r="AC2796" s="1119"/>
      <c r="AD2796" s="1119" t="s">
        <v>4088</v>
      </c>
      <c r="AE2796" s="1119">
        <f>V2792</f>
        <v>2.39</v>
      </c>
      <c r="AF2796" s="1136"/>
      <c r="AG2796" s="1119">
        <f t="shared" si="258"/>
        <v>23.900000000000002</v>
      </c>
    </row>
    <row r="2797" spans="6:33" ht="24" customHeight="1">
      <c r="F2797" s="1270"/>
      <c r="G2797" s="1270"/>
      <c r="H2797" s="1270"/>
      <c r="I2797" s="1270"/>
      <c r="J2797" s="1272"/>
      <c r="K2797" s="1270"/>
      <c r="AB2797" s="1119"/>
      <c r="AC2797" s="1119"/>
      <c r="AD2797" s="1119" t="s">
        <v>3154</v>
      </c>
      <c r="AE2797" s="1119"/>
      <c r="AF2797" s="1136"/>
      <c r="AG2797" s="1119">
        <f>SUM(AG2786:AG2796)</f>
        <v>20481.036</v>
      </c>
    </row>
    <row r="2798" spans="6:33" ht="24" customHeight="1">
      <c r="F2798" s="1270"/>
      <c r="G2798" s="1270"/>
      <c r="H2798" s="1270"/>
      <c r="I2798" s="1270" t="s">
        <v>5113</v>
      </c>
      <c r="J2798" s="1272"/>
      <c r="K2798" s="1270">
        <f>K2796/3.5</f>
        <v>1556.8832942857146</v>
      </c>
      <c r="AB2798" s="1119"/>
      <c r="AC2798" s="1119"/>
      <c r="AD2798" s="1119"/>
      <c r="AE2798" s="1119"/>
      <c r="AF2798" s="1136"/>
      <c r="AG2798" s="1305" t="s">
        <v>4164</v>
      </c>
    </row>
    <row r="2799" spans="6:33" ht="24" customHeight="1">
      <c r="F2799" s="1270"/>
      <c r="G2799" s="1270"/>
      <c r="H2799" s="1270"/>
      <c r="I2799" s="1270"/>
      <c r="J2799" s="1272"/>
      <c r="K2799" s="1270"/>
      <c r="AB2799" s="1119"/>
      <c r="AC2799" s="1119"/>
      <c r="AD2799" s="1119" t="s">
        <v>3154</v>
      </c>
      <c r="AE2799" s="1119"/>
      <c r="AF2799" s="1136"/>
      <c r="AG2799" s="1119">
        <f>AG2797/AB2789</f>
        <v>5185.0724050632907</v>
      </c>
    </row>
    <row r="2800" spans="6:33" ht="54.75" customHeight="1">
      <c r="F2800" s="1183" t="s">
        <v>4044</v>
      </c>
      <c r="G2800" s="1180" t="s">
        <v>1363</v>
      </c>
      <c r="H2800" s="1182" t="s">
        <v>4051</v>
      </c>
      <c r="I2800" s="1270"/>
      <c r="J2800" s="1272"/>
      <c r="K2800" s="1270"/>
      <c r="AB2800" s="1119"/>
      <c r="AC2800" s="1119"/>
      <c r="AD2800" s="1119"/>
      <c r="AE2800" s="1119"/>
      <c r="AF2800" s="1136"/>
      <c r="AG2800" s="1305" t="s">
        <v>4164</v>
      </c>
    </row>
    <row r="2801" spans="6:18" ht="24" customHeight="1">
      <c r="F2801" s="1270"/>
      <c r="G2801" s="1270"/>
      <c r="H2801" s="1182" t="s">
        <v>4046</v>
      </c>
      <c r="I2801" s="1270"/>
      <c r="J2801" s="1272"/>
      <c r="K2801" s="1270"/>
    </row>
    <row r="2802" spans="6:18" ht="24" customHeight="1">
      <c r="F2802" s="1270"/>
      <c r="G2802" s="1270"/>
      <c r="H2802" s="1182" t="s">
        <v>4047</v>
      </c>
      <c r="I2802" s="1275" t="s">
        <v>5114</v>
      </c>
      <c r="J2802" s="1272"/>
      <c r="K2802" s="1270"/>
    </row>
    <row r="2803" spans="6:18" ht="24" customHeight="1">
      <c r="F2803" s="1270"/>
      <c r="G2803" s="1270"/>
      <c r="H2803" s="1276" t="s">
        <v>36</v>
      </c>
      <c r="I2803" s="1270"/>
      <c r="J2803" s="1272"/>
      <c r="K2803" s="1270"/>
    </row>
    <row r="2804" spans="6:18" ht="24" customHeight="1">
      <c r="F2804" s="1270"/>
      <c r="G2804" s="1270"/>
      <c r="H2804" s="1182" t="s">
        <v>5085</v>
      </c>
      <c r="I2804" s="1270"/>
      <c r="J2804" s="1272"/>
      <c r="K2804" s="1270"/>
    </row>
    <row r="2805" spans="6:18" ht="24" customHeight="1">
      <c r="F2805" s="1270"/>
      <c r="G2805" s="1270"/>
      <c r="H2805" s="1182" t="s">
        <v>5089</v>
      </c>
      <c r="I2805" s="1270"/>
      <c r="J2805" s="1272"/>
      <c r="K2805" s="1270"/>
    </row>
    <row r="2806" spans="6:18" ht="24" customHeight="1">
      <c r="F2806" s="1270"/>
      <c r="G2806" s="1270"/>
      <c r="H2806" s="1270"/>
      <c r="I2806" s="1270"/>
      <c r="J2806" s="1183" t="s">
        <v>36</v>
      </c>
      <c r="K2806" s="1270"/>
    </row>
    <row r="2807" spans="6:18" ht="24" customHeight="1">
      <c r="F2807" s="1270"/>
      <c r="G2807" s="1270"/>
      <c r="H2807" s="1182" t="s">
        <v>5092</v>
      </c>
      <c r="I2807" s="1270"/>
      <c r="J2807" s="1272"/>
      <c r="K2807" s="1270"/>
      <c r="M2807" s="1183" t="s">
        <v>4044</v>
      </c>
      <c r="N2807" s="1180" t="s">
        <v>1363</v>
      </c>
      <c r="O2807" s="1182" t="s">
        <v>4051</v>
      </c>
      <c r="P2807" s="1270"/>
      <c r="Q2807" s="1272"/>
      <c r="R2807" s="1270"/>
    </row>
    <row r="2808" spans="6:18" ht="24" customHeight="1">
      <c r="F2808" s="1270"/>
      <c r="G2808" s="1270"/>
      <c r="H2808" s="1182" t="s">
        <v>5093</v>
      </c>
      <c r="I2808" s="1270"/>
      <c r="J2808" s="1272"/>
      <c r="K2808" s="1181">
        <v>2.7099999999999999E-2</v>
      </c>
      <c r="M2808" s="1270"/>
      <c r="N2808" s="1270"/>
      <c r="O2808" s="1182" t="s">
        <v>4046</v>
      </c>
      <c r="P2808" s="1270"/>
      <c r="Q2808" s="1272"/>
      <c r="R2808" s="1270"/>
    </row>
    <row r="2809" spans="6:18" ht="24" customHeight="1">
      <c r="F2809" s="1270"/>
      <c r="G2809" s="1270"/>
      <c r="H2809" s="1270"/>
      <c r="I2809" s="1270"/>
      <c r="J2809" s="1183" t="s">
        <v>220</v>
      </c>
      <c r="K2809" s="1276" t="s">
        <v>36</v>
      </c>
      <c r="M2809" s="1270"/>
      <c r="N2809" s="1270"/>
      <c r="O2809" s="1182" t="s">
        <v>5115</v>
      </c>
      <c r="P2809" s="1275" t="s">
        <v>5116</v>
      </c>
      <c r="Q2809" s="1272"/>
      <c r="R2809" s="1270"/>
    </row>
    <row r="2810" spans="6:18" ht="24" customHeight="1">
      <c r="F2810" s="1270"/>
      <c r="G2810" s="1270"/>
      <c r="H2810" s="1182" t="s">
        <v>5095</v>
      </c>
      <c r="I2810" s="1270"/>
      <c r="J2810" s="1297" t="s">
        <v>220</v>
      </c>
      <c r="K2810" s="1181">
        <v>1.2840000000000001E-2</v>
      </c>
      <c r="M2810" s="1270"/>
      <c r="N2810" s="1270"/>
      <c r="O2810" s="1276" t="s">
        <v>36</v>
      </c>
      <c r="P2810" s="1270"/>
      <c r="Q2810" s="1272"/>
      <c r="R2810" s="1270"/>
    </row>
    <row r="2811" spans="6:18" ht="24" customHeight="1">
      <c r="F2811" s="1270"/>
      <c r="G2811" s="1270"/>
      <c r="H2811" s="1182" t="s">
        <v>5117</v>
      </c>
      <c r="I2811" s="1270"/>
      <c r="J2811" s="1183" t="s">
        <v>220</v>
      </c>
      <c r="K2811" s="1181">
        <v>3.5799999999999998E-3</v>
      </c>
      <c r="M2811" s="1270"/>
      <c r="N2811" s="1270"/>
      <c r="O2811" s="1182" t="s">
        <v>5118</v>
      </c>
      <c r="P2811" s="1270"/>
      <c r="Q2811" s="1272"/>
      <c r="R2811" s="1270"/>
    </row>
    <row r="2812" spans="6:18" ht="24" customHeight="1">
      <c r="F2812" s="1306"/>
      <c r="G2812" s="1270"/>
      <c r="H2812" s="1270"/>
      <c r="I2812" s="1270"/>
      <c r="J2812" s="1272"/>
      <c r="K2812" s="1276" t="s">
        <v>36</v>
      </c>
      <c r="M2812" s="1270"/>
      <c r="N2812" s="1270"/>
      <c r="O2812" s="1182" t="s">
        <v>5089</v>
      </c>
      <c r="P2812" s="1270"/>
      <c r="Q2812" s="1272"/>
      <c r="R2812" s="1270"/>
    </row>
    <row r="2813" spans="6:18" ht="24" customHeight="1">
      <c r="F2813" s="1181">
        <v>1.898E-2</v>
      </c>
      <c r="G2813" s="1180" t="s">
        <v>2839</v>
      </c>
      <c r="H2813" s="1182" t="s">
        <v>4062</v>
      </c>
      <c r="I2813" s="1180">
        <f>AC26</f>
        <v>111600</v>
      </c>
      <c r="J2813" s="1183" t="s">
        <v>2839</v>
      </c>
      <c r="K2813" s="1180">
        <f>(F2813*I2813)</f>
        <v>2118.1680000000001</v>
      </c>
      <c r="M2813" s="1270"/>
      <c r="N2813" s="1270"/>
      <c r="O2813" s="1270"/>
      <c r="P2813" s="1270"/>
      <c r="Q2813" s="1183" t="s">
        <v>36</v>
      </c>
      <c r="R2813" s="1270"/>
    </row>
    <row r="2814" spans="6:18" ht="24" customHeight="1">
      <c r="F2814" s="1181">
        <f>K2808</f>
        <v>2.7099999999999999E-2</v>
      </c>
      <c r="G2814" s="1180" t="s">
        <v>2839</v>
      </c>
      <c r="H2814" s="1182" t="s">
        <v>4064</v>
      </c>
      <c r="I2814" s="1180">
        <f>AC27</f>
        <v>99400</v>
      </c>
      <c r="J2814" s="1183" t="s">
        <v>2839</v>
      </c>
      <c r="K2814" s="1180">
        <f t="shared" ref="K2814:K2824" si="260">(F2814*I2814)</f>
        <v>2693.74</v>
      </c>
      <c r="M2814" s="1270"/>
      <c r="N2814" s="1270"/>
      <c r="O2814" s="1182" t="s">
        <v>5119</v>
      </c>
      <c r="P2814" s="1270"/>
      <c r="Q2814" s="1272"/>
      <c r="R2814" s="1270"/>
    </row>
    <row r="2815" spans="6:18" ht="24" customHeight="1">
      <c r="F2815" s="1181">
        <f>L2778</f>
        <v>1.6420000000000001E-2</v>
      </c>
      <c r="G2815" s="1180" t="s">
        <v>2839</v>
      </c>
      <c r="H2815" s="1182" t="s">
        <v>4066</v>
      </c>
      <c r="I2815" s="1180">
        <f>AC28</f>
        <v>95000</v>
      </c>
      <c r="J2815" s="1183" t="s">
        <v>2839</v>
      </c>
      <c r="K2815" s="1180">
        <f t="shared" si="260"/>
        <v>1559.9</v>
      </c>
      <c r="M2815" s="1270"/>
      <c r="N2815" s="1270"/>
      <c r="O2815" s="1182" t="s">
        <v>5120</v>
      </c>
      <c r="P2815" s="1270"/>
      <c r="Q2815" s="1272"/>
      <c r="R2815" s="1181">
        <v>2.784E-2</v>
      </c>
    </row>
    <row r="2816" spans="6:18" ht="24" customHeight="1">
      <c r="F2816" s="1307"/>
      <c r="G2816" s="1270"/>
      <c r="H2816" s="1182" t="s">
        <v>4139</v>
      </c>
      <c r="I2816" s="1180"/>
      <c r="J2816" s="1272"/>
      <c r="K2816" s="1180"/>
      <c r="M2816" s="1270"/>
      <c r="N2816" s="1270"/>
      <c r="O2816" s="1270"/>
      <c r="P2816" s="1270"/>
      <c r="Q2816" s="1183" t="s">
        <v>220</v>
      </c>
      <c r="R2816" s="1276" t="s">
        <v>36</v>
      </c>
    </row>
    <row r="2817" spans="6:18" ht="24" customHeight="1">
      <c r="F2817" s="1307">
        <v>1.8225</v>
      </c>
      <c r="G2817" s="1180" t="s">
        <v>3189</v>
      </c>
      <c r="H2817" s="1182" t="s">
        <v>4059</v>
      </c>
      <c r="I2817" s="1180">
        <f>I954</f>
        <v>1325</v>
      </c>
      <c r="J2817" s="1183" t="s">
        <v>3189</v>
      </c>
      <c r="K2817" s="1180">
        <f t="shared" si="260"/>
        <v>2414.8125</v>
      </c>
      <c r="M2817" s="1270"/>
      <c r="N2817" s="1270"/>
      <c r="O2817" s="1182" t="s">
        <v>5121</v>
      </c>
      <c r="P2817" s="1270"/>
      <c r="Q2817" s="1297" t="s">
        <v>220</v>
      </c>
      <c r="R2817" s="1181">
        <v>2.5499999999999998E-2</v>
      </c>
    </row>
    <row r="2818" spans="6:18" ht="24" customHeight="1">
      <c r="F2818" s="1180">
        <v>2</v>
      </c>
      <c r="G2818" s="1180" t="s">
        <v>2941</v>
      </c>
      <c r="H2818" s="1182" t="s">
        <v>5122</v>
      </c>
      <c r="I2818" s="1180">
        <v>120</v>
      </c>
      <c r="J2818" s="1183" t="s">
        <v>2838</v>
      </c>
      <c r="K2818" s="1180">
        <f t="shared" si="260"/>
        <v>240</v>
      </c>
      <c r="M2818" s="1270"/>
      <c r="N2818" s="1270"/>
      <c r="O2818" s="1182"/>
      <c r="P2818" s="1270"/>
      <c r="Q2818" s="1183" t="s">
        <v>220</v>
      </c>
      <c r="R2818" s="1181"/>
    </row>
    <row r="2819" spans="6:18" ht="24" customHeight="1">
      <c r="F2819" s="1180">
        <v>3</v>
      </c>
      <c r="G2819" s="1180" t="s">
        <v>2838</v>
      </c>
      <c r="H2819" s="1182" t="s">
        <v>5123</v>
      </c>
      <c r="I2819" s="1180">
        <v>110.17</v>
      </c>
      <c r="J2819" s="1183" t="s">
        <v>2838</v>
      </c>
      <c r="K2819" s="1180">
        <f t="shared" si="260"/>
        <v>330.51</v>
      </c>
      <c r="M2819" s="1270"/>
      <c r="N2819" s="1270"/>
      <c r="O2819" s="1270"/>
      <c r="P2819" s="1270"/>
      <c r="Q2819" s="1272"/>
      <c r="R2819" s="1276" t="s">
        <v>36</v>
      </c>
    </row>
    <row r="2820" spans="6:18" ht="24" customHeight="1">
      <c r="F2820" s="1180">
        <v>2</v>
      </c>
      <c r="G2820" s="1180" t="s">
        <v>2838</v>
      </c>
      <c r="H2820" s="1182" t="s">
        <v>5124</v>
      </c>
      <c r="I2820" s="1180">
        <v>160</v>
      </c>
      <c r="J2820" s="1183" t="s">
        <v>2838</v>
      </c>
      <c r="K2820" s="1180">
        <f t="shared" si="260"/>
        <v>320</v>
      </c>
      <c r="M2820" s="1181">
        <v>1.898E-2</v>
      </c>
      <c r="N2820" s="1180" t="s">
        <v>2839</v>
      </c>
      <c r="O2820" s="1182" t="s">
        <v>4062</v>
      </c>
      <c r="P2820" s="1180">
        <f>I2813</f>
        <v>111600</v>
      </c>
      <c r="Q2820" s="1183" t="s">
        <v>2839</v>
      </c>
      <c r="R2820" s="1180">
        <f>(M2820*P2820)</f>
        <v>2118.1680000000001</v>
      </c>
    </row>
    <row r="2821" spans="6:18" ht="24" customHeight="1">
      <c r="F2821" s="1180">
        <v>1</v>
      </c>
      <c r="G2821" s="1180" t="s">
        <v>2838</v>
      </c>
      <c r="H2821" s="1182" t="s">
        <v>5125</v>
      </c>
      <c r="I2821" s="1180">
        <v>550</v>
      </c>
      <c r="J2821" s="1183" t="s">
        <v>2838</v>
      </c>
      <c r="K2821" s="1180">
        <f t="shared" si="260"/>
        <v>550</v>
      </c>
      <c r="M2821" s="1181">
        <f>R2815</f>
        <v>2.784E-2</v>
      </c>
      <c r="N2821" s="1180" t="s">
        <v>2839</v>
      </c>
      <c r="O2821" s="1182" t="s">
        <v>4064</v>
      </c>
      <c r="P2821" s="1180">
        <f t="shared" ref="P2821:P2830" si="261">I2814</f>
        <v>99400</v>
      </c>
      <c r="Q2821" s="1183" t="s">
        <v>2839</v>
      </c>
      <c r="R2821" s="1180">
        <f t="shared" ref="R2821:R2830" si="262">(M2821*P2821)</f>
        <v>2767.2959999999998</v>
      </c>
    </row>
    <row r="2822" spans="6:18" ht="24" customHeight="1">
      <c r="F2822" s="1180">
        <v>1</v>
      </c>
      <c r="G2822" s="1180" t="s">
        <v>2838</v>
      </c>
      <c r="H2822" s="1182" t="s">
        <v>4067</v>
      </c>
      <c r="I2822" s="1180">
        <f>C288</f>
        <v>7.3</v>
      </c>
      <c r="J2822" s="1183" t="s">
        <v>2838</v>
      </c>
      <c r="K2822" s="1180">
        <f t="shared" si="260"/>
        <v>7.3</v>
      </c>
      <c r="M2822" s="1181">
        <f>R2817</f>
        <v>2.5499999999999998E-2</v>
      </c>
      <c r="N2822" s="1180" t="s">
        <v>2839</v>
      </c>
      <c r="O2822" s="1182" t="s">
        <v>4066</v>
      </c>
      <c r="P2822" s="1180">
        <f t="shared" si="261"/>
        <v>95000</v>
      </c>
      <c r="Q2822" s="1183" t="s">
        <v>2839</v>
      </c>
      <c r="R2822" s="1180">
        <f t="shared" si="262"/>
        <v>2422.5</v>
      </c>
    </row>
    <row r="2823" spans="6:18" ht="24" customHeight="1">
      <c r="F2823" s="1180">
        <v>1</v>
      </c>
      <c r="G2823" s="1180" t="s">
        <v>2838</v>
      </c>
      <c r="H2823" s="1182" t="s">
        <v>3214</v>
      </c>
      <c r="I2823" s="1180">
        <f>I2841</f>
        <v>45.9</v>
      </c>
      <c r="J2823" s="1183" t="s">
        <v>2838</v>
      </c>
      <c r="K2823" s="1180">
        <f t="shared" si="260"/>
        <v>45.9</v>
      </c>
      <c r="M2823" s="1307"/>
      <c r="N2823" s="1270"/>
      <c r="O2823" s="1182" t="s">
        <v>5126</v>
      </c>
      <c r="P2823" s="1180"/>
      <c r="Q2823" s="1272"/>
      <c r="R2823" s="1180"/>
    </row>
    <row r="2824" spans="6:18" ht="24" customHeight="1">
      <c r="F2824" s="1270">
        <v>64</v>
      </c>
      <c r="G2824" s="1270"/>
      <c r="H2824" s="1270" t="s">
        <v>5127</v>
      </c>
      <c r="I2824" s="1270">
        <f>P1121</f>
        <v>2.39</v>
      </c>
      <c r="J2824" s="1272"/>
      <c r="K2824" s="1180">
        <f t="shared" si="260"/>
        <v>152.96</v>
      </c>
      <c r="M2824" s="1307">
        <v>2.2275</v>
      </c>
      <c r="N2824" s="1180" t="s">
        <v>3189</v>
      </c>
      <c r="O2824" s="1182" t="s">
        <v>4059</v>
      </c>
      <c r="P2824" s="1180">
        <f t="shared" si="261"/>
        <v>1325</v>
      </c>
      <c r="Q2824" s="1183" t="s">
        <v>3189</v>
      </c>
      <c r="R2824" s="1180">
        <f t="shared" si="262"/>
        <v>2951.4375</v>
      </c>
    </row>
    <row r="2825" spans="6:18" ht="24" customHeight="1">
      <c r="F2825" s="1270"/>
      <c r="G2825" s="1270"/>
      <c r="H2825" s="1182" t="s">
        <v>5110</v>
      </c>
      <c r="I2825" s="1270"/>
      <c r="J2825" s="1272"/>
      <c r="K2825" s="1180">
        <f>SUM(K2813:K2824)</f>
        <v>10433.290499999997</v>
      </c>
      <c r="M2825" s="1180">
        <v>1</v>
      </c>
      <c r="N2825" s="1180" t="s">
        <v>2941</v>
      </c>
      <c r="O2825" s="1182" t="s">
        <v>4060</v>
      </c>
      <c r="P2825" s="1180">
        <f t="shared" si="261"/>
        <v>120</v>
      </c>
      <c r="Q2825" s="1183" t="s">
        <v>2838</v>
      </c>
      <c r="R2825" s="1180">
        <f t="shared" si="262"/>
        <v>120</v>
      </c>
    </row>
    <row r="2826" spans="6:18" ht="24" customHeight="1">
      <c r="F2826" s="1270"/>
      <c r="G2826" s="1270"/>
      <c r="H2826" s="1270"/>
      <c r="I2826" s="1270"/>
      <c r="J2826" s="1272"/>
      <c r="K2826" s="1276" t="s">
        <v>36</v>
      </c>
      <c r="M2826" s="1180">
        <v>3</v>
      </c>
      <c r="N2826" s="1180" t="s">
        <v>2838</v>
      </c>
      <c r="O2826" s="1182" t="s">
        <v>4061</v>
      </c>
      <c r="P2826" s="1180">
        <f t="shared" si="261"/>
        <v>110.17</v>
      </c>
      <c r="Q2826" s="1183" t="s">
        <v>2838</v>
      </c>
      <c r="R2826" s="1180">
        <f t="shared" si="262"/>
        <v>330.51</v>
      </c>
    </row>
    <row r="2827" spans="6:18" ht="24" customHeight="1">
      <c r="F2827" s="1270"/>
      <c r="G2827" s="1270"/>
      <c r="H2827" s="1182" t="s">
        <v>3154</v>
      </c>
      <c r="I2827" s="1270"/>
      <c r="J2827" s="1272"/>
      <c r="K2827" s="1282">
        <f>K2825/F2817</f>
        <v>5724.713580246912</v>
      </c>
      <c r="M2827" s="1180">
        <v>2</v>
      </c>
      <c r="N2827" s="1180" t="s">
        <v>2838</v>
      </c>
      <c r="O2827" s="1182" t="s">
        <v>4063</v>
      </c>
      <c r="P2827" s="1180">
        <f t="shared" si="261"/>
        <v>160</v>
      </c>
      <c r="Q2827" s="1183" t="s">
        <v>2838</v>
      </c>
      <c r="R2827" s="1180">
        <f t="shared" si="262"/>
        <v>320</v>
      </c>
    </row>
    <row r="2828" spans="6:18" ht="24" customHeight="1">
      <c r="F2828" s="1270"/>
      <c r="G2828" s="1270"/>
      <c r="H2828" s="1270"/>
      <c r="I2828" s="1270"/>
      <c r="J2828" s="1272"/>
      <c r="K2828" s="1270"/>
      <c r="M2828" s="1180">
        <v>1</v>
      </c>
      <c r="N2828" s="1180" t="s">
        <v>2838</v>
      </c>
      <c r="O2828" s="1182" t="s">
        <v>4065</v>
      </c>
      <c r="P2828" s="1180">
        <f t="shared" si="261"/>
        <v>550</v>
      </c>
      <c r="Q2828" s="1183" t="s">
        <v>2838</v>
      </c>
      <c r="R2828" s="1180">
        <f t="shared" si="262"/>
        <v>550</v>
      </c>
    </row>
    <row r="2829" spans="6:18" ht="24" customHeight="1">
      <c r="F2829" s="1183" t="s">
        <v>4044</v>
      </c>
      <c r="G2829" s="1180" t="s">
        <v>1363</v>
      </c>
      <c r="H2829" s="1182" t="s">
        <v>5128</v>
      </c>
      <c r="I2829" s="1270"/>
      <c r="J2829" s="1272"/>
      <c r="K2829" s="1270"/>
      <c r="M2829" s="1180">
        <v>1</v>
      </c>
      <c r="N2829" s="1180" t="s">
        <v>2838</v>
      </c>
      <c r="O2829" s="1182" t="s">
        <v>4067</v>
      </c>
      <c r="P2829" s="1180">
        <f t="shared" si="261"/>
        <v>7.3</v>
      </c>
      <c r="Q2829" s="1183" t="s">
        <v>2838</v>
      </c>
      <c r="R2829" s="1180">
        <f t="shared" si="262"/>
        <v>7.3</v>
      </c>
    </row>
    <row r="2830" spans="6:18" ht="24" customHeight="1">
      <c r="F2830" s="1270"/>
      <c r="G2830" s="1270"/>
      <c r="H2830" s="1182" t="s">
        <v>4046</v>
      </c>
      <c r="I2830" s="1270"/>
      <c r="J2830" s="1272"/>
      <c r="K2830" s="1270"/>
      <c r="M2830" s="1180">
        <v>1</v>
      </c>
      <c r="N2830" s="1180" t="s">
        <v>2838</v>
      </c>
      <c r="O2830" s="1182" t="s">
        <v>3214</v>
      </c>
      <c r="P2830" s="1180">
        <f t="shared" si="261"/>
        <v>45.9</v>
      </c>
      <c r="Q2830" s="1183" t="s">
        <v>2838</v>
      </c>
      <c r="R2830" s="1180">
        <f t="shared" si="262"/>
        <v>45.9</v>
      </c>
    </row>
    <row r="2831" spans="6:18" ht="24" customHeight="1">
      <c r="F2831" s="1270"/>
      <c r="G2831" s="1270"/>
      <c r="H2831" s="1182" t="s">
        <v>4047</v>
      </c>
      <c r="I2831" s="1270"/>
      <c r="J2831" s="1272">
        <f>1.1*2.025</f>
        <v>2.2275</v>
      </c>
      <c r="K2831" s="1270"/>
      <c r="M2831" s="1270">
        <v>58</v>
      </c>
      <c r="N2831" s="1180" t="s">
        <v>2838</v>
      </c>
      <c r="O2831" s="1270" t="s">
        <v>4088</v>
      </c>
      <c r="P2831" s="1270">
        <f>P1121</f>
        <v>2.39</v>
      </c>
      <c r="Q2831" s="1272" t="s">
        <v>2838</v>
      </c>
      <c r="R2831" s="1180">
        <f>(M2831*P2831)</f>
        <v>138.62</v>
      </c>
    </row>
    <row r="2832" spans="6:18" ht="24" customHeight="1">
      <c r="F2832" s="1270"/>
      <c r="G2832" s="1270"/>
      <c r="H2832" s="1276" t="s">
        <v>36</v>
      </c>
      <c r="I2832" s="1270"/>
      <c r="J2832" s="1272"/>
      <c r="K2832" s="1270"/>
      <c r="M2832" s="1270"/>
      <c r="N2832" s="1270"/>
      <c r="O2832" s="1182" t="s">
        <v>5129</v>
      </c>
      <c r="P2832" s="1270"/>
      <c r="Q2832" s="1272"/>
      <c r="R2832" s="1180">
        <f>SUM(R2820:R2831)</f>
        <v>11771.7315</v>
      </c>
    </row>
    <row r="2833" spans="6:18" ht="28.5" customHeight="1">
      <c r="F2833" s="1270"/>
      <c r="G2833" s="1270"/>
      <c r="H2833" s="1182" t="s">
        <v>4049</v>
      </c>
      <c r="I2833" s="1270"/>
      <c r="J2833" s="1272"/>
      <c r="K2833" s="1270"/>
      <c r="M2833" s="1270"/>
      <c r="N2833" s="1270"/>
      <c r="O2833" s="1270"/>
      <c r="P2833" s="1270"/>
      <c r="Q2833" s="1272"/>
      <c r="R2833" s="1276" t="s">
        <v>36</v>
      </c>
    </row>
    <row r="2834" spans="6:18" ht="39" customHeight="1">
      <c r="F2834" s="1286">
        <v>1.823</v>
      </c>
      <c r="G2834" s="1180" t="s">
        <v>3189</v>
      </c>
      <c r="H2834" s="1284" t="s">
        <v>5130</v>
      </c>
      <c r="I2834" s="1270">
        <v>2370</v>
      </c>
      <c r="J2834" s="1183" t="s">
        <v>3189</v>
      </c>
      <c r="K2834" s="1270">
        <f>F2835*I2834</f>
        <v>4320.51</v>
      </c>
      <c r="M2834" s="1270"/>
      <c r="N2834" s="1270"/>
      <c r="O2834" s="1182" t="s">
        <v>3154</v>
      </c>
      <c r="P2834" s="1270"/>
      <c r="Q2834" s="1272"/>
      <c r="R2834" s="1180">
        <f>R2832/M2824</f>
        <v>5284.7279461279459</v>
      </c>
    </row>
    <row r="2835" spans="6:18" ht="24" customHeight="1">
      <c r="F2835" s="1302">
        <v>1.823</v>
      </c>
      <c r="G2835" s="1180" t="s">
        <v>3189</v>
      </c>
      <c r="H2835" s="1182" t="s">
        <v>5131</v>
      </c>
      <c r="I2835" s="1180">
        <v>185</v>
      </c>
      <c r="J2835" s="1183" t="s">
        <v>3189</v>
      </c>
      <c r="K2835" s="1180">
        <f t="shared" ref="K2835:K2841" si="263">(F2835*I2835)</f>
        <v>337.255</v>
      </c>
    </row>
    <row r="2836" spans="6:18" ht="24" customHeight="1">
      <c r="F2836" s="1180">
        <v>2</v>
      </c>
      <c r="G2836" s="1180" t="s">
        <v>2941</v>
      </c>
      <c r="H2836" s="1182" t="s">
        <v>4060</v>
      </c>
      <c r="I2836" s="1180">
        <f t="shared" ref="I2836:I2841" si="264">I990</f>
        <v>53.4</v>
      </c>
      <c r="J2836" s="1183" t="s">
        <v>2838</v>
      </c>
      <c r="K2836" s="1180">
        <f t="shared" si="263"/>
        <v>106.8</v>
      </c>
    </row>
    <row r="2837" spans="6:18" ht="24" customHeight="1">
      <c r="F2837" s="1180">
        <v>3</v>
      </c>
      <c r="G2837" s="1180" t="s">
        <v>2838</v>
      </c>
      <c r="H2837" s="1182" t="s">
        <v>4061</v>
      </c>
      <c r="I2837" s="1180">
        <f t="shared" si="264"/>
        <v>83</v>
      </c>
      <c r="J2837" s="1183" t="s">
        <v>2838</v>
      </c>
      <c r="K2837" s="1180">
        <f t="shared" si="263"/>
        <v>249</v>
      </c>
    </row>
    <row r="2838" spans="6:18" ht="24" customHeight="1">
      <c r="F2838" s="1180">
        <v>2</v>
      </c>
      <c r="G2838" s="1180" t="s">
        <v>2838</v>
      </c>
      <c r="H2838" s="1182" t="s">
        <v>4063</v>
      </c>
      <c r="I2838" s="1180">
        <f t="shared" si="264"/>
        <v>60</v>
      </c>
      <c r="J2838" s="1183" t="s">
        <v>2838</v>
      </c>
      <c r="K2838" s="1180">
        <f t="shared" si="263"/>
        <v>120</v>
      </c>
    </row>
    <row r="2839" spans="6:18" ht="24" customHeight="1">
      <c r="F2839" s="1180">
        <v>1</v>
      </c>
      <c r="G2839" s="1180" t="s">
        <v>2838</v>
      </c>
      <c r="H2839" s="1182" t="s">
        <v>4065</v>
      </c>
      <c r="I2839" s="1180">
        <f t="shared" si="264"/>
        <v>167.6</v>
      </c>
      <c r="J2839" s="1183" t="s">
        <v>2838</v>
      </c>
      <c r="K2839" s="1180">
        <f t="shared" si="263"/>
        <v>167.6</v>
      </c>
    </row>
    <row r="2840" spans="6:18" ht="24" customHeight="1">
      <c r="F2840" s="1180">
        <v>1</v>
      </c>
      <c r="G2840" s="1180" t="s">
        <v>2838</v>
      </c>
      <c r="H2840" s="1182" t="s">
        <v>4067</v>
      </c>
      <c r="I2840" s="1180">
        <f t="shared" si="264"/>
        <v>7.3</v>
      </c>
      <c r="J2840" s="1183" t="s">
        <v>2838</v>
      </c>
      <c r="K2840" s="1180">
        <f t="shared" si="263"/>
        <v>7.3</v>
      </c>
      <c r="M2840" s="1183" t="s">
        <v>4044</v>
      </c>
      <c r="N2840" s="1180" t="s">
        <v>1363</v>
      </c>
      <c r="O2840" s="1182" t="s">
        <v>4051</v>
      </c>
      <c r="P2840" s="1270"/>
      <c r="Q2840" s="1272"/>
      <c r="R2840" s="1270"/>
    </row>
    <row r="2841" spans="6:18" ht="24" customHeight="1">
      <c r="F2841" s="1180">
        <v>1</v>
      </c>
      <c r="G2841" s="1180" t="s">
        <v>2838</v>
      </c>
      <c r="H2841" s="1182" t="s">
        <v>3214</v>
      </c>
      <c r="I2841" s="1180">
        <f t="shared" si="264"/>
        <v>45.9</v>
      </c>
      <c r="J2841" s="1183" t="s">
        <v>2838</v>
      </c>
      <c r="K2841" s="1180">
        <f t="shared" si="263"/>
        <v>45.9</v>
      </c>
      <c r="M2841" s="1270"/>
      <c r="N2841" s="1270"/>
      <c r="O2841" s="1182" t="s">
        <v>4046</v>
      </c>
      <c r="P2841" s="1275" t="s">
        <v>5132</v>
      </c>
      <c r="Q2841" s="1272"/>
      <c r="R2841" s="1270"/>
    </row>
    <row r="2842" spans="6:18" ht="24" customHeight="1">
      <c r="F2842" s="1270"/>
      <c r="G2842" s="1270"/>
      <c r="H2842" s="1270"/>
      <c r="I2842" s="1270"/>
      <c r="J2842" s="1272"/>
      <c r="K2842" s="1279">
        <v>0.85</v>
      </c>
      <c r="M2842" s="1270"/>
      <c r="N2842" s="1270"/>
      <c r="O2842" s="1182" t="s">
        <v>5115</v>
      </c>
      <c r="P2842" s="1275" t="s">
        <v>5133</v>
      </c>
      <c r="Q2842" s="1272"/>
      <c r="R2842" s="1270"/>
    </row>
    <row r="2843" spans="6:18" ht="24" customHeight="1">
      <c r="F2843" s="1270"/>
      <c r="G2843" s="1270"/>
      <c r="H2843" s="1182" t="s">
        <v>5134</v>
      </c>
      <c r="I2843" s="1270"/>
      <c r="J2843" s="1272"/>
      <c r="K2843" s="1180">
        <f>SUM(K2834:K2842)</f>
        <v>5355.2150000000011</v>
      </c>
      <c r="M2843" s="1270"/>
      <c r="N2843" s="1270"/>
      <c r="O2843" s="1276" t="s">
        <v>36</v>
      </c>
      <c r="Q2843" s="1272"/>
      <c r="R2843" s="1270"/>
    </row>
    <row r="2844" spans="6:18" ht="24" customHeight="1">
      <c r="F2844" s="1270"/>
      <c r="G2844" s="1270"/>
      <c r="H2844" s="1270"/>
      <c r="I2844" s="1270"/>
      <c r="J2844" s="1272"/>
      <c r="K2844" s="1276" t="s">
        <v>36</v>
      </c>
      <c r="M2844" s="1270"/>
      <c r="N2844" s="1270"/>
      <c r="O2844" s="1182" t="s">
        <v>5135</v>
      </c>
      <c r="P2844" s="1270"/>
      <c r="Q2844" s="1272"/>
      <c r="R2844" s="1270"/>
    </row>
    <row r="2845" spans="6:18" ht="24" customHeight="1">
      <c r="F2845" s="1270"/>
      <c r="G2845" s="1270"/>
      <c r="H2845" s="1182" t="s">
        <v>3154</v>
      </c>
      <c r="I2845" s="1270"/>
      <c r="J2845" s="1272"/>
      <c r="K2845" s="1180">
        <f>K2843/F2835</f>
        <v>2937.5836533187062</v>
      </c>
      <c r="M2845" s="1270"/>
      <c r="N2845" s="1270"/>
      <c r="O2845" s="1182" t="s">
        <v>5136</v>
      </c>
      <c r="P2845" s="1270"/>
      <c r="Q2845" s="1272"/>
      <c r="R2845" s="1270"/>
    </row>
    <row r="2846" spans="6:18" ht="24" customHeight="1">
      <c r="F2846" s="1182" t="s">
        <v>220</v>
      </c>
      <c r="G2846" s="1270"/>
      <c r="H2846" s="1270"/>
      <c r="I2846" s="1270"/>
      <c r="J2846" s="1272"/>
      <c r="K2846" s="1270"/>
      <c r="M2846" s="1270"/>
      <c r="N2846" s="1270"/>
      <c r="O2846" s="1270"/>
      <c r="P2846" s="1270"/>
      <c r="Q2846" s="1183" t="s">
        <v>36</v>
      </c>
      <c r="R2846" s="1270"/>
    </row>
    <row r="2847" spans="6:18" ht="24" customHeight="1">
      <c r="F2847" s="1270"/>
      <c r="G2847" s="1270"/>
      <c r="H2847" s="1270"/>
      <c r="I2847" s="1270"/>
      <c r="J2847" s="1272"/>
      <c r="K2847" s="1270"/>
      <c r="M2847" s="1270"/>
      <c r="N2847" s="1270"/>
      <c r="O2847" s="1182" t="s">
        <v>5137</v>
      </c>
      <c r="P2847" s="1270"/>
      <c r="Q2847" s="1272"/>
      <c r="R2847" s="1270"/>
    </row>
    <row r="2848" spans="6:18" ht="24" customHeight="1">
      <c r="F2848" s="1283" t="s">
        <v>1033</v>
      </c>
      <c r="G2848" s="1270"/>
      <c r="H2848" s="1182" t="s">
        <v>1987</v>
      </c>
      <c r="I2848" s="1270"/>
      <c r="J2848" s="1308"/>
      <c r="K2848" s="1270"/>
      <c r="M2848" s="1270"/>
      <c r="N2848" s="1270"/>
      <c r="O2848" s="1182" t="s">
        <v>5138</v>
      </c>
      <c r="P2848" s="1270"/>
      <c r="Q2848" s="1272"/>
      <c r="R2848" s="1181">
        <v>2.8910000000000002E-2</v>
      </c>
    </row>
    <row r="2849" spans="6:18" ht="24" customHeight="1">
      <c r="F2849" s="1270"/>
      <c r="G2849" s="1270"/>
      <c r="H2849" s="1276" t="s">
        <v>36</v>
      </c>
      <c r="I2849" s="1276" t="s">
        <v>36</v>
      </c>
      <c r="J2849" s="1182" t="s">
        <v>36</v>
      </c>
      <c r="K2849" s="1270"/>
      <c r="M2849" s="1270"/>
      <c r="N2849" s="1270"/>
      <c r="O2849" s="1270"/>
      <c r="P2849" s="1270"/>
      <c r="Q2849" s="1183" t="s">
        <v>220</v>
      </c>
      <c r="R2849" s="1276" t="s">
        <v>36</v>
      </c>
    </row>
    <row r="2850" spans="6:18" ht="24" customHeight="1">
      <c r="F2850" s="1270"/>
      <c r="G2850" s="1270"/>
      <c r="H2850" s="1270"/>
      <c r="I2850" s="1270"/>
      <c r="J2850" s="1308"/>
      <c r="K2850" s="1270"/>
      <c r="M2850" s="1270"/>
      <c r="N2850" s="1270"/>
      <c r="O2850" s="1182" t="s">
        <v>5139</v>
      </c>
      <c r="P2850" s="1270"/>
      <c r="Q2850" s="1297" t="s">
        <v>220</v>
      </c>
      <c r="R2850" s="1181"/>
    </row>
    <row r="2851" spans="6:18" ht="24" customHeight="1">
      <c r="F2851" s="1270"/>
      <c r="G2851" s="1270"/>
      <c r="H2851" s="1182" t="s">
        <v>4158</v>
      </c>
      <c r="I2851" s="1270"/>
      <c r="J2851" s="1308"/>
      <c r="K2851" s="1270"/>
      <c r="M2851" s="1270"/>
      <c r="N2851" s="1270"/>
      <c r="O2851" s="1182" t="s">
        <v>5140</v>
      </c>
      <c r="P2851" s="1270"/>
      <c r="Q2851" s="1183" t="s">
        <v>220</v>
      </c>
      <c r="R2851" s="1181">
        <v>1.7999999999999999E-2</v>
      </c>
    </row>
    <row r="2852" spans="6:18" ht="24" customHeight="1">
      <c r="F2852" s="1270"/>
      <c r="G2852" s="1270"/>
      <c r="H2852" s="1182"/>
      <c r="I2852" s="1270"/>
      <c r="J2852" s="1308"/>
      <c r="K2852" s="1270"/>
      <c r="M2852" s="1270"/>
      <c r="N2852" s="1270"/>
      <c r="O2852" s="1270"/>
      <c r="P2852" s="1270"/>
      <c r="Q2852" s="1272"/>
      <c r="R2852" s="1276" t="s">
        <v>36</v>
      </c>
    </row>
    <row r="2853" spans="6:18" ht="24" customHeight="1">
      <c r="F2853" s="1270"/>
      <c r="G2853" s="1270"/>
      <c r="H2853" s="1309" t="s">
        <v>4160</v>
      </c>
      <c r="I2853" s="1270"/>
      <c r="J2853" s="1308"/>
      <c r="K2853" s="1310"/>
      <c r="M2853" s="1181">
        <v>1.9220000000000001E-2</v>
      </c>
      <c r="N2853" s="1180" t="s">
        <v>2839</v>
      </c>
      <c r="O2853" s="1182" t="s">
        <v>4062</v>
      </c>
      <c r="P2853" s="1180">
        <f>P2820</f>
        <v>111600</v>
      </c>
      <c r="Q2853" s="1183" t="s">
        <v>2839</v>
      </c>
      <c r="R2853" s="1180">
        <f>(M2853*P2853)</f>
        <v>2144.9520000000002</v>
      </c>
    </row>
    <row r="2854" spans="6:18" ht="24" customHeight="1">
      <c r="F2854" s="1270"/>
      <c r="G2854" s="1270"/>
      <c r="H2854" s="1182" t="s">
        <v>4161</v>
      </c>
      <c r="I2854" s="1311">
        <f>0.0118+0.00675</f>
        <v>1.8550000000000001E-2</v>
      </c>
      <c r="J2854" s="1308"/>
      <c r="K2854" s="1270"/>
      <c r="M2854" s="1181">
        <f>R2848</f>
        <v>2.8910000000000002E-2</v>
      </c>
      <c r="N2854" s="1180" t="s">
        <v>2839</v>
      </c>
      <c r="O2854" s="1182" t="s">
        <v>4064</v>
      </c>
      <c r="P2854" s="1180">
        <f t="shared" ref="P2854:P2863" si="265">P2821</f>
        <v>99400</v>
      </c>
      <c r="Q2854" s="1183" t="s">
        <v>2839</v>
      </c>
      <c r="R2854" s="1180">
        <f>(M2854*P2854)</f>
        <v>2873.654</v>
      </c>
    </row>
    <row r="2855" spans="6:18" ht="24" customHeight="1">
      <c r="F2855" s="1270"/>
      <c r="G2855" s="1270"/>
      <c r="H2855" s="1182" t="s">
        <v>4162</v>
      </c>
      <c r="I2855" s="1270"/>
      <c r="J2855" s="1308"/>
      <c r="K2855" s="1270"/>
      <c r="M2855" s="1181">
        <f>R2851</f>
        <v>1.7999999999999999E-2</v>
      </c>
      <c r="N2855" s="1180" t="s">
        <v>2839</v>
      </c>
      <c r="O2855" s="1182" t="s">
        <v>4066</v>
      </c>
      <c r="P2855" s="1180">
        <f t="shared" si="265"/>
        <v>95000</v>
      </c>
      <c r="Q2855" s="1183" t="s">
        <v>2839</v>
      </c>
      <c r="R2855" s="1180">
        <f>(M2855*P2855)</f>
        <v>1709.9999999999998</v>
      </c>
    </row>
    <row r="2856" spans="6:18" ht="24" customHeight="1">
      <c r="F2856" s="1270"/>
      <c r="G2856" s="1270"/>
      <c r="H2856" s="1182" t="s">
        <v>4163</v>
      </c>
      <c r="I2856" s="1270"/>
      <c r="J2856" s="1308"/>
      <c r="K2856" s="1270"/>
      <c r="M2856" s="1307"/>
      <c r="N2856" s="1270"/>
      <c r="O2856" s="1182" t="s">
        <v>5126</v>
      </c>
      <c r="P2856" s="1180"/>
      <c r="Q2856" s="1272"/>
      <c r="R2856" s="1180"/>
    </row>
    <row r="2857" spans="6:18" ht="24" customHeight="1">
      <c r="F2857" s="1270"/>
      <c r="G2857" s="1270"/>
      <c r="H2857" s="1182" t="s">
        <v>5052</v>
      </c>
      <c r="I2857" s="1270"/>
      <c r="J2857" s="1182" t="s">
        <v>220</v>
      </c>
      <c r="K2857" s="1181">
        <v>3.7699999999999997E-2</v>
      </c>
      <c r="M2857" s="1307">
        <v>2.2549999999999999</v>
      </c>
      <c r="N2857" s="1180" t="s">
        <v>3189</v>
      </c>
      <c r="O2857" s="1182" t="s">
        <v>4059</v>
      </c>
      <c r="P2857" s="1180">
        <f t="shared" si="265"/>
        <v>1325</v>
      </c>
      <c r="Q2857" s="1183" t="s">
        <v>3189</v>
      </c>
      <c r="R2857" s="1180">
        <f t="shared" ref="R2857:R2863" si="266">(M2857*P2857)</f>
        <v>2987.875</v>
      </c>
    </row>
    <row r="2858" spans="6:18" ht="24" customHeight="1">
      <c r="F2858" s="1270"/>
      <c r="G2858" s="1270"/>
      <c r="H2858" s="1182" t="s">
        <v>5141</v>
      </c>
      <c r="I2858" s="1270"/>
      <c r="J2858" s="1309" t="s">
        <v>220</v>
      </c>
      <c r="K2858" s="1309" t="s">
        <v>220</v>
      </c>
      <c r="M2858" s="1180">
        <v>1</v>
      </c>
      <c r="N2858" s="1180" t="s">
        <v>2941</v>
      </c>
      <c r="O2858" s="1182" t="s">
        <v>4060</v>
      </c>
      <c r="P2858" s="1180">
        <f t="shared" si="265"/>
        <v>120</v>
      </c>
      <c r="Q2858" s="1183" t="s">
        <v>2838</v>
      </c>
      <c r="R2858" s="1180">
        <f t="shared" si="266"/>
        <v>120</v>
      </c>
    </row>
    <row r="2859" spans="6:18" ht="67.5" customHeight="1">
      <c r="F2859" s="1270"/>
      <c r="G2859" s="1270"/>
      <c r="H2859" s="1182" t="s">
        <v>4168</v>
      </c>
      <c r="I2859" s="1270"/>
      <c r="J2859" s="1308"/>
      <c r="K2859" s="1309" t="s">
        <v>220</v>
      </c>
      <c r="M2859" s="1180">
        <v>3</v>
      </c>
      <c r="N2859" s="1180" t="s">
        <v>2838</v>
      </c>
      <c r="O2859" s="1182" t="s">
        <v>4061</v>
      </c>
      <c r="P2859" s="1180">
        <f t="shared" si="265"/>
        <v>110.17</v>
      </c>
      <c r="Q2859" s="1183" t="s">
        <v>2838</v>
      </c>
      <c r="R2859" s="1180">
        <f t="shared" si="266"/>
        <v>330.51</v>
      </c>
    </row>
    <row r="2860" spans="6:18" ht="24" customHeight="1">
      <c r="F2860" s="1270"/>
      <c r="G2860" s="1270"/>
      <c r="H2860" s="1182"/>
      <c r="I2860" s="1270"/>
      <c r="J2860" s="1308"/>
      <c r="K2860" s="1309"/>
      <c r="M2860" s="1180">
        <v>2</v>
      </c>
      <c r="N2860" s="1180" t="s">
        <v>2838</v>
      </c>
      <c r="O2860" s="1182" t="s">
        <v>4063</v>
      </c>
      <c r="P2860" s="1180">
        <f t="shared" si="265"/>
        <v>160</v>
      </c>
      <c r="Q2860" s="1183" t="s">
        <v>2838</v>
      </c>
      <c r="R2860" s="1180">
        <f t="shared" si="266"/>
        <v>320</v>
      </c>
    </row>
    <row r="2861" spans="6:18" ht="24" customHeight="1">
      <c r="F2861" s="1270"/>
      <c r="G2861" s="1270"/>
      <c r="H2861" s="1182"/>
      <c r="I2861" s="1270"/>
      <c r="J2861" s="1308"/>
      <c r="K2861" s="1309"/>
      <c r="M2861" s="1180">
        <v>1</v>
      </c>
      <c r="N2861" s="1180" t="s">
        <v>2838</v>
      </c>
      <c r="O2861" s="1182" t="s">
        <v>4065</v>
      </c>
      <c r="P2861" s="1180">
        <f t="shared" si="265"/>
        <v>550</v>
      </c>
      <c r="Q2861" s="1183" t="s">
        <v>2838</v>
      </c>
      <c r="R2861" s="1180">
        <f t="shared" si="266"/>
        <v>550</v>
      </c>
    </row>
    <row r="2862" spans="6:18" ht="24" customHeight="1">
      <c r="F2862" s="1270"/>
      <c r="G2862" s="1270"/>
      <c r="H2862" s="1270"/>
      <c r="I2862" s="1270"/>
      <c r="J2862" s="1308"/>
      <c r="K2862" s="1270"/>
      <c r="M2862" s="1180">
        <v>1</v>
      </c>
      <c r="N2862" s="1180" t="s">
        <v>2838</v>
      </c>
      <c r="O2862" s="1182" t="s">
        <v>4067</v>
      </c>
      <c r="P2862" s="1180">
        <f t="shared" si="265"/>
        <v>7.3</v>
      </c>
      <c r="Q2862" s="1183" t="s">
        <v>2838</v>
      </c>
      <c r="R2862" s="1180">
        <f t="shared" si="266"/>
        <v>7.3</v>
      </c>
    </row>
    <row r="2863" spans="6:18" ht="24" customHeight="1">
      <c r="F2863" s="1312">
        <v>1.18E-2</v>
      </c>
      <c r="G2863" s="1180" t="s">
        <v>2839</v>
      </c>
      <c r="H2863" s="1182" t="s">
        <v>3205</v>
      </c>
      <c r="I2863" s="1180">
        <f>I2813</f>
        <v>111600</v>
      </c>
      <c r="J2863" s="1182" t="s">
        <v>2839</v>
      </c>
      <c r="K2863" s="1180">
        <f t="shared" ref="K2863:K2872" si="267">(F2863*I2863)</f>
        <v>1316.8799999999999</v>
      </c>
      <c r="M2863" s="1180">
        <v>1</v>
      </c>
      <c r="N2863" s="1180" t="s">
        <v>2838</v>
      </c>
      <c r="O2863" s="1182" t="s">
        <v>3214</v>
      </c>
      <c r="P2863" s="1180">
        <f t="shared" si="265"/>
        <v>45.9</v>
      </c>
      <c r="Q2863" s="1183" t="s">
        <v>2838</v>
      </c>
      <c r="R2863" s="1180">
        <f t="shared" si="266"/>
        <v>45.9</v>
      </c>
    </row>
    <row r="2864" spans="6:18" ht="24" customHeight="1">
      <c r="F2864" s="1181">
        <v>6.7499999999999999E-3</v>
      </c>
      <c r="G2864" s="1180" t="s">
        <v>2839</v>
      </c>
      <c r="H2864" s="1182" t="s">
        <v>3206</v>
      </c>
      <c r="I2864" s="1180">
        <f>I2814</f>
        <v>99400</v>
      </c>
      <c r="J2864" s="1182" t="s">
        <v>2839</v>
      </c>
      <c r="K2864" s="1180">
        <f t="shared" si="267"/>
        <v>670.95</v>
      </c>
      <c r="M2864" s="1270">
        <v>58</v>
      </c>
      <c r="N2864" s="1180" t="s">
        <v>2838</v>
      </c>
      <c r="O2864" s="1270" t="s">
        <v>4088</v>
      </c>
      <c r="P2864" s="1270">
        <f>P2831</f>
        <v>2.39</v>
      </c>
      <c r="Q2864" s="1272" t="s">
        <v>2838</v>
      </c>
      <c r="R2864" s="1180">
        <f>(M2864*P2864)</f>
        <v>138.62</v>
      </c>
    </row>
    <row r="2865" spans="6:18" ht="24" customHeight="1">
      <c r="F2865" s="1181">
        <v>1.8550000000000001E-2</v>
      </c>
      <c r="G2865" s="1180" t="s">
        <v>2839</v>
      </c>
      <c r="H2865" s="1182" t="s">
        <v>4169</v>
      </c>
      <c r="I2865" s="1180">
        <f>C30</f>
        <v>11800</v>
      </c>
      <c r="J2865" s="1182" t="s">
        <v>2839</v>
      </c>
      <c r="K2865" s="1180">
        <f t="shared" si="267"/>
        <v>218.89000000000001</v>
      </c>
      <c r="M2865" s="1270"/>
      <c r="N2865" s="1270"/>
      <c r="O2865" s="1182" t="s">
        <v>5142</v>
      </c>
      <c r="P2865" s="1270"/>
      <c r="Q2865" s="1272"/>
      <c r="R2865" s="1180">
        <f>SUM(R2853:R2864)+21.502</f>
        <v>11250.313</v>
      </c>
    </row>
    <row r="2866" spans="6:18" ht="24" customHeight="1">
      <c r="F2866" s="1181">
        <v>2.0499999999999998</v>
      </c>
      <c r="G2866" s="1180" t="s">
        <v>3189</v>
      </c>
      <c r="H2866" s="1182" t="s">
        <v>5143</v>
      </c>
      <c r="I2866" s="1180">
        <v>840</v>
      </c>
      <c r="J2866" s="1182" t="s">
        <v>3189</v>
      </c>
      <c r="K2866" s="1180">
        <f t="shared" si="267"/>
        <v>1721.9999999999998</v>
      </c>
      <c r="M2866" s="1270"/>
      <c r="N2866" s="1270"/>
      <c r="O2866" s="1270"/>
      <c r="P2866" s="1270"/>
      <c r="Q2866" s="1272"/>
      <c r="R2866" s="1276" t="s">
        <v>36</v>
      </c>
    </row>
    <row r="2867" spans="6:18" ht="36" customHeight="1">
      <c r="F2867" s="1181">
        <v>2.0499999999999998</v>
      </c>
      <c r="G2867" s="1180" t="s">
        <v>3189</v>
      </c>
      <c r="H2867" s="1284" t="s">
        <v>5144</v>
      </c>
      <c r="I2867" s="1180">
        <v>285</v>
      </c>
      <c r="J2867" s="1182" t="s">
        <v>3189</v>
      </c>
      <c r="K2867" s="1180">
        <f t="shared" si="267"/>
        <v>584.25</v>
      </c>
      <c r="M2867" s="1270"/>
      <c r="N2867" s="1270"/>
      <c r="O2867" s="1182" t="s">
        <v>3154</v>
      </c>
      <c r="P2867" s="1270"/>
      <c r="Q2867" s="1272"/>
      <c r="R2867" s="1180">
        <f>R2865/M2857</f>
        <v>4989.0523281596452</v>
      </c>
    </row>
    <row r="2868" spans="6:18" ht="24" customHeight="1">
      <c r="F2868" s="1180">
        <v>2</v>
      </c>
      <c r="G2868" s="1180" t="s">
        <v>2838</v>
      </c>
      <c r="H2868" s="1182" t="s">
        <v>5054</v>
      </c>
      <c r="I2868" s="1180">
        <f>E285</f>
        <v>50.3</v>
      </c>
      <c r="J2868" s="1182" t="s">
        <v>2838</v>
      </c>
      <c r="K2868" s="1180">
        <f t="shared" si="267"/>
        <v>100.6</v>
      </c>
    </row>
    <row r="2869" spans="6:18" ht="24" customHeight="1">
      <c r="F2869" s="1180">
        <v>8</v>
      </c>
      <c r="G2869" s="1180" t="s">
        <v>2838</v>
      </c>
      <c r="H2869" s="1182" t="s">
        <v>4130</v>
      </c>
      <c r="I2869" s="1180">
        <f>C282</f>
        <v>45.7</v>
      </c>
      <c r="J2869" s="1182" t="s">
        <v>2838</v>
      </c>
      <c r="K2869" s="1180">
        <f t="shared" si="267"/>
        <v>365.6</v>
      </c>
    </row>
    <row r="2870" spans="6:18" ht="24" customHeight="1">
      <c r="F2870" s="1180">
        <v>2</v>
      </c>
      <c r="G2870" s="1180" t="s">
        <v>2838</v>
      </c>
      <c r="H2870" s="1182" t="s">
        <v>5057</v>
      </c>
      <c r="I2870" s="1180">
        <f>I1134</f>
        <v>56.4</v>
      </c>
      <c r="J2870" s="1182" t="s">
        <v>2838</v>
      </c>
      <c r="K2870" s="1180">
        <f t="shared" si="267"/>
        <v>112.8</v>
      </c>
    </row>
    <row r="2871" spans="6:18" ht="24" customHeight="1">
      <c r="F2871" s="1180">
        <v>1</v>
      </c>
      <c r="G2871" s="1180" t="s">
        <v>2838</v>
      </c>
      <c r="H2871" s="1182" t="s">
        <v>5145</v>
      </c>
      <c r="I2871" s="1180">
        <f>I1135</f>
        <v>63.2</v>
      </c>
      <c r="J2871" s="1182" t="s">
        <v>2838</v>
      </c>
      <c r="K2871" s="1180">
        <f t="shared" si="267"/>
        <v>63.2</v>
      </c>
    </row>
    <row r="2872" spans="6:18" ht="24" customHeight="1">
      <c r="F2872" s="1302">
        <v>0.94499999999999995</v>
      </c>
      <c r="G2872" s="1180" t="s">
        <v>3189</v>
      </c>
      <c r="H2872" s="1182" t="s">
        <v>4175</v>
      </c>
      <c r="I2872" s="1180">
        <f>K1167</f>
        <v>172.13200000000001</v>
      </c>
      <c r="J2872" s="1182" t="s">
        <v>3189</v>
      </c>
      <c r="K2872" s="1180">
        <f t="shared" si="267"/>
        <v>162.66473999999999</v>
      </c>
    </row>
    <row r="2873" spans="6:18" ht="24" customHeight="1">
      <c r="F2873" s="1270"/>
      <c r="G2873" s="1270"/>
      <c r="H2873" s="1182" t="s">
        <v>4176</v>
      </c>
      <c r="I2873" s="1183" t="s">
        <v>2851</v>
      </c>
      <c r="J2873" s="1308"/>
      <c r="K2873" s="1180">
        <v>0.6</v>
      </c>
    </row>
    <row r="2874" spans="6:18" ht="24" customHeight="1">
      <c r="F2874" s="1270"/>
      <c r="G2874" s="1270"/>
      <c r="H2874" s="1275"/>
      <c r="I2874" s="1275"/>
      <c r="J2874" s="1252"/>
      <c r="K2874" s="1280" t="s">
        <v>36</v>
      </c>
    </row>
    <row r="2875" spans="6:18" ht="24" customHeight="1">
      <c r="F2875" s="1270"/>
      <c r="G2875" s="1270"/>
      <c r="H2875" s="1313" t="s">
        <v>4177</v>
      </c>
      <c r="I2875" s="1275"/>
      <c r="J2875" s="1252"/>
      <c r="K2875" s="1282">
        <f>SUM(K2863:K2873)</f>
        <v>5318.4347400000006</v>
      </c>
    </row>
    <row r="2876" spans="6:18" ht="24" customHeight="1">
      <c r="F2876" s="1270"/>
      <c r="G2876" s="1180" t="s">
        <v>220</v>
      </c>
      <c r="H2876" s="1275"/>
      <c r="I2876" s="1275"/>
      <c r="J2876" s="1252"/>
      <c r="K2876" s="1280" t="s">
        <v>36</v>
      </c>
    </row>
    <row r="2877" spans="6:18" ht="24" customHeight="1">
      <c r="F2877" s="1270"/>
      <c r="G2877" s="1270"/>
      <c r="H2877" s="1313" t="s">
        <v>3154</v>
      </c>
      <c r="I2877" s="1275"/>
      <c r="J2877" s="1252"/>
      <c r="K2877" s="1282">
        <f>K2875/2.52</f>
        <v>2110.4899761904762</v>
      </c>
    </row>
    <row r="2878" spans="6:18" ht="24" customHeight="1">
      <c r="F2878" s="1270"/>
      <c r="G2878" s="1270"/>
      <c r="H2878" s="1275"/>
      <c r="I2878" s="1275"/>
      <c r="J2878" s="1252"/>
      <c r="K2878" s="1280" t="s">
        <v>2793</v>
      </c>
    </row>
    <row r="2879" spans="6:18" ht="24" customHeight="1">
      <c r="F2879" s="1270"/>
      <c r="G2879" s="1270"/>
      <c r="H2879" s="1270"/>
      <c r="I2879" s="1270"/>
      <c r="J2879" s="1272"/>
      <c r="K2879" s="1270"/>
    </row>
    <row r="2880" spans="6:18" ht="24" customHeight="1">
      <c r="F2880" s="1270"/>
      <c r="G2880" s="1270"/>
      <c r="H2880" s="1270" t="s">
        <v>5146</v>
      </c>
      <c r="I2880" s="1270"/>
      <c r="J2880" s="1272"/>
      <c r="K2880" s="1270"/>
    </row>
    <row r="2881" spans="6:11" ht="24" customHeight="1">
      <c r="F2881" s="1270"/>
      <c r="G2881" s="1270"/>
      <c r="H2881" s="1270" t="s">
        <v>5147</v>
      </c>
      <c r="I2881" s="1270"/>
      <c r="J2881" s="1272"/>
      <c r="K2881" s="1270"/>
    </row>
    <row r="2882" spans="6:11" ht="24" customHeight="1">
      <c r="F2882" s="1270"/>
      <c r="G2882" s="1270"/>
      <c r="H2882" s="1270"/>
      <c r="I2882" s="1270"/>
      <c r="J2882" s="1272"/>
      <c r="K2882" s="1270"/>
    </row>
    <row r="2883" spans="6:11" ht="24" customHeight="1">
      <c r="F2883" s="1270">
        <v>2</v>
      </c>
      <c r="G2883" s="1270" t="s">
        <v>61</v>
      </c>
      <c r="H2883" s="1270" t="s">
        <v>5148</v>
      </c>
      <c r="I2883" s="1270">
        <v>64</v>
      </c>
      <c r="J2883" s="1272" t="s">
        <v>61</v>
      </c>
      <c r="K2883" s="1270">
        <f>F2883*I2883</f>
        <v>128</v>
      </c>
    </row>
    <row r="2884" spans="6:11" ht="24" customHeight="1">
      <c r="F2884" s="1270">
        <v>1</v>
      </c>
      <c r="G2884" s="1270" t="s">
        <v>314</v>
      </c>
      <c r="H2884" s="1270" t="s">
        <v>5149</v>
      </c>
      <c r="I2884" s="1270">
        <f>C625</f>
        <v>33</v>
      </c>
      <c r="J2884" s="1272" t="s">
        <v>522</v>
      </c>
      <c r="K2884" s="1270">
        <f>F2884*I2884</f>
        <v>33</v>
      </c>
    </row>
    <row r="2885" spans="6:11" ht="24" customHeight="1">
      <c r="F2885" s="1270"/>
      <c r="G2885" s="1270"/>
      <c r="H2885" s="1270" t="s">
        <v>5150</v>
      </c>
      <c r="I2885" s="1270"/>
      <c r="J2885" s="1272" t="s">
        <v>2851</v>
      </c>
      <c r="K2885" s="1270">
        <v>1.4</v>
      </c>
    </row>
    <row r="2886" spans="6:11" ht="24" customHeight="1">
      <c r="F2886" s="1270"/>
      <c r="G2886" s="1270"/>
      <c r="H2886" s="1273" t="s">
        <v>5151</v>
      </c>
      <c r="I2886" s="1270"/>
      <c r="J2886" s="1272"/>
      <c r="K2886" s="1270">
        <f>SUM(K2883:K2885)</f>
        <v>162.4</v>
      </c>
    </row>
    <row r="2887" spans="6:11" ht="24" customHeight="1">
      <c r="F2887" s="1270"/>
      <c r="G2887" s="1270"/>
      <c r="H2887" s="1270"/>
      <c r="I2887" s="1270"/>
      <c r="J2887" s="1272"/>
      <c r="K2887" s="1270"/>
    </row>
    <row r="2888" spans="6:11" ht="24" customHeight="1">
      <c r="F2888" s="1270"/>
      <c r="G2888" s="1270"/>
      <c r="H2888" s="1274" t="s">
        <v>5152</v>
      </c>
      <c r="I2888" s="1275"/>
      <c r="J2888" s="1277"/>
      <c r="K2888" s="1275">
        <f>K2886/2</f>
        <v>81.2</v>
      </c>
    </row>
    <row r="2889" spans="6:11" ht="24" customHeight="1">
      <c r="F2889" s="1270"/>
      <c r="G2889" s="1270"/>
      <c r="H2889" s="1270"/>
      <c r="I2889" s="1270"/>
      <c r="J2889" s="1272"/>
      <c r="K2889" s="1270"/>
    </row>
    <row r="2890" spans="6:11" ht="24" customHeight="1">
      <c r="F2890" s="1270"/>
      <c r="G2890" s="1270"/>
      <c r="H2890" s="1270"/>
      <c r="I2890" s="1270"/>
      <c r="J2890" s="1272"/>
      <c r="K2890" s="1270"/>
    </row>
    <row r="2891" spans="6:11" ht="24" customHeight="1">
      <c r="F2891" s="1270"/>
      <c r="G2891" s="1270"/>
      <c r="H2891" s="1270"/>
      <c r="I2891" s="1270"/>
      <c r="J2891" s="1272"/>
      <c r="K2891" s="1270"/>
    </row>
    <row r="2892" spans="6:11" ht="24" customHeight="1">
      <c r="F2892" s="1270"/>
      <c r="G2892" s="1270"/>
      <c r="H2892" s="1270"/>
      <c r="I2892" s="1270"/>
      <c r="J2892" s="1272"/>
      <c r="K2892" s="1270"/>
    </row>
    <row r="2893" spans="6:11" ht="24" customHeight="1">
      <c r="F2893" s="1270"/>
      <c r="G2893" s="1270"/>
      <c r="H2893" s="1314" t="s">
        <v>5153</v>
      </c>
      <c r="I2893" s="1270"/>
      <c r="J2893" s="1272"/>
      <c r="K2893" s="1270"/>
    </row>
    <row r="2894" spans="6:11" ht="24" customHeight="1">
      <c r="F2894" s="1183"/>
      <c r="G2894" s="1180" t="s">
        <v>1363</v>
      </c>
      <c r="H2894" s="1182" t="s">
        <v>3461</v>
      </c>
      <c r="I2894" s="1270"/>
      <c r="J2894" s="1272"/>
      <c r="K2894" s="1270"/>
    </row>
    <row r="2895" spans="6:11" ht="24" customHeight="1">
      <c r="F2895" s="1270"/>
      <c r="G2895" s="1270"/>
      <c r="H2895" s="1182" t="s">
        <v>3248</v>
      </c>
      <c r="I2895" s="1270"/>
      <c r="J2895" s="1272"/>
      <c r="K2895" s="1270"/>
    </row>
    <row r="2896" spans="6:11" ht="24" customHeight="1">
      <c r="F2896" s="1270"/>
      <c r="G2896" s="1270"/>
      <c r="H2896" s="1276" t="s">
        <v>36</v>
      </c>
      <c r="I2896" s="1270"/>
      <c r="J2896" s="1272"/>
      <c r="K2896" s="1270"/>
    </row>
    <row r="2897" spans="6:11" ht="24" customHeight="1">
      <c r="F2897" s="1180">
        <v>9</v>
      </c>
      <c r="G2897" s="1180" t="s">
        <v>2839</v>
      </c>
      <c r="H2897" s="1182" t="s">
        <v>3466</v>
      </c>
      <c r="I2897" s="1180">
        <f t="shared" ref="I2897:I2902" si="268">I503</f>
        <v>1299.3899999999999</v>
      </c>
      <c r="J2897" s="1183" t="s">
        <v>2839</v>
      </c>
      <c r="K2897" s="1180">
        <f t="shared" ref="K2897:K2902" si="269">(F2897*I2897)</f>
        <v>11694.509999999998</v>
      </c>
    </row>
    <row r="2898" spans="6:11" ht="24" customHeight="1">
      <c r="F2898" s="1302">
        <v>3.2309999999999999</v>
      </c>
      <c r="G2898" s="1180" t="s">
        <v>197</v>
      </c>
      <c r="H2898" s="1182" t="s">
        <v>2830</v>
      </c>
      <c r="I2898" s="1180">
        <f t="shared" si="268"/>
        <v>5960</v>
      </c>
      <c r="J2898" s="1183" t="s">
        <v>197</v>
      </c>
      <c r="K2898" s="1180">
        <f t="shared" si="269"/>
        <v>19256.759999999998</v>
      </c>
    </row>
    <row r="2899" spans="6:11" ht="24" customHeight="1">
      <c r="F2899" s="1180">
        <v>4.5</v>
      </c>
      <c r="G2899" s="1180" t="s">
        <v>2839</v>
      </c>
      <c r="H2899" s="1182" t="s">
        <v>2840</v>
      </c>
      <c r="I2899" s="1180">
        <f t="shared" si="268"/>
        <v>1835.06</v>
      </c>
      <c r="J2899" s="1183" t="s">
        <v>2839</v>
      </c>
      <c r="K2899" s="1180">
        <f t="shared" si="269"/>
        <v>8257.77</v>
      </c>
    </row>
    <row r="2900" spans="6:11" ht="24" customHeight="1">
      <c r="F2900" s="1180">
        <v>3.5</v>
      </c>
      <c r="G2900" s="1180" t="s">
        <v>2838</v>
      </c>
      <c r="H2900" s="1182" t="s">
        <v>3017</v>
      </c>
      <c r="I2900" s="1180">
        <f t="shared" si="268"/>
        <v>804</v>
      </c>
      <c r="J2900" s="1183" t="s">
        <v>2838</v>
      </c>
      <c r="K2900" s="1180">
        <f t="shared" si="269"/>
        <v>2814</v>
      </c>
    </row>
    <row r="2901" spans="6:11" ht="24" customHeight="1">
      <c r="F2901" s="1180">
        <v>21.2</v>
      </c>
      <c r="G2901" s="1180" t="s">
        <v>2838</v>
      </c>
      <c r="H2901" s="1182" t="s">
        <v>3020</v>
      </c>
      <c r="I2901" s="1180">
        <f t="shared" si="268"/>
        <v>562</v>
      </c>
      <c r="J2901" s="1183" t="s">
        <v>2838</v>
      </c>
      <c r="K2901" s="1180">
        <f t="shared" si="269"/>
        <v>11914.4</v>
      </c>
    </row>
    <row r="2902" spans="6:11" ht="24" customHeight="1">
      <c r="F2902" s="1180">
        <v>35.299999999999997</v>
      </c>
      <c r="G2902" s="1180" t="s">
        <v>2838</v>
      </c>
      <c r="H2902" s="1182" t="s">
        <v>3026</v>
      </c>
      <c r="I2902" s="1180">
        <f t="shared" si="268"/>
        <v>461</v>
      </c>
      <c r="J2902" s="1183" t="s">
        <v>2838</v>
      </c>
      <c r="K2902" s="1180">
        <f t="shared" si="269"/>
        <v>16273.3</v>
      </c>
    </row>
    <row r="2903" spans="6:11" ht="24" customHeight="1">
      <c r="F2903" s="1270"/>
      <c r="G2903" s="1180" t="s">
        <v>2851</v>
      </c>
      <c r="H2903" s="1182" t="s">
        <v>2852</v>
      </c>
      <c r="I2903" s="1182" t="s">
        <v>220</v>
      </c>
      <c r="J2903" s="1183" t="s">
        <v>2851</v>
      </c>
      <c r="K2903" s="1180">
        <v>0</v>
      </c>
    </row>
    <row r="2904" spans="6:11" ht="24" customHeight="1">
      <c r="F2904" s="1270"/>
      <c r="G2904" s="1270"/>
      <c r="H2904" s="1270"/>
      <c r="I2904" s="1270"/>
      <c r="J2904" s="1272"/>
      <c r="K2904" s="1276" t="s">
        <v>36</v>
      </c>
    </row>
    <row r="2905" spans="6:11" ht="24" customHeight="1">
      <c r="F2905" s="1270"/>
      <c r="G2905" s="1270"/>
      <c r="H2905" s="1182" t="s">
        <v>3263</v>
      </c>
      <c r="I2905" s="1270"/>
      <c r="J2905" s="1272"/>
      <c r="K2905" s="1180">
        <f>SUM(K2897:K2903)</f>
        <v>70210.739999999991</v>
      </c>
    </row>
    <row r="2906" spans="6:11" ht="24" customHeight="1">
      <c r="F2906" s="1270"/>
      <c r="G2906" s="1270"/>
      <c r="H2906" s="1270"/>
      <c r="I2906" s="1270"/>
      <c r="J2906" s="1272"/>
      <c r="K2906" s="1276" t="s">
        <v>36</v>
      </c>
    </row>
    <row r="2907" spans="6:11" ht="24" customHeight="1">
      <c r="F2907" s="1270"/>
      <c r="G2907" s="1270"/>
      <c r="H2907" s="1182" t="s">
        <v>2946</v>
      </c>
      <c r="I2907" s="1270"/>
      <c r="J2907" s="1272"/>
      <c r="K2907" s="1180">
        <f>(K2905/10)</f>
        <v>7021.0739999999987</v>
      </c>
    </row>
    <row r="2908" spans="6:11" ht="24" customHeight="1">
      <c r="F2908" s="1270"/>
      <c r="G2908" s="1270"/>
      <c r="H2908" s="1270"/>
      <c r="I2908" s="1270"/>
      <c r="J2908" s="1272"/>
      <c r="K2908" s="1270"/>
    </row>
    <row r="2909" spans="6:11" ht="24" customHeight="1">
      <c r="F2909" s="1180">
        <v>1</v>
      </c>
      <c r="G2909" s="1180" t="s">
        <v>2839</v>
      </c>
      <c r="H2909" s="1182" t="s">
        <v>3271</v>
      </c>
      <c r="I2909" s="1270"/>
      <c r="J2909" s="1272"/>
      <c r="K2909" s="1180"/>
    </row>
    <row r="2910" spans="6:11" ht="24" customHeight="1">
      <c r="F2910" s="1270"/>
      <c r="G2910" s="1270"/>
      <c r="H2910" s="1270"/>
      <c r="I2910" s="1270"/>
      <c r="J2910" s="1272"/>
      <c r="K2910" s="1276" t="s">
        <v>36</v>
      </c>
    </row>
    <row r="2911" spans="6:11" ht="24" customHeight="1">
      <c r="F2911" s="1270"/>
      <c r="G2911" s="1270"/>
      <c r="H2911" s="1182" t="s">
        <v>5154</v>
      </c>
      <c r="I2911" s="1270"/>
      <c r="J2911" s="1272"/>
      <c r="K2911" s="1180">
        <f>SUM(K2907:K2909)</f>
        <v>7021.0739999999987</v>
      </c>
    </row>
    <row r="2912" spans="6:11" ht="24" customHeight="1">
      <c r="F2912" s="1270"/>
      <c r="G2912" s="1270"/>
      <c r="H2912" s="1270"/>
      <c r="I2912" s="1270"/>
      <c r="J2912" s="1272"/>
      <c r="K2912" s="1276" t="s">
        <v>36</v>
      </c>
    </row>
    <row r="2913" spans="6:16" ht="24" customHeight="1">
      <c r="F2913" s="1270"/>
      <c r="G2913" s="1180" t="s">
        <v>3483</v>
      </c>
      <c r="H2913" s="1182" t="s">
        <v>3062</v>
      </c>
      <c r="I2913" s="1270"/>
      <c r="J2913" s="1272"/>
      <c r="K2913" s="1180">
        <f>K2911+C22</f>
        <v>7124.3739999999989</v>
      </c>
    </row>
    <row r="2914" spans="6:16" ht="24" customHeight="1">
      <c r="F2914" s="1270"/>
      <c r="G2914" s="1180" t="s">
        <v>3485</v>
      </c>
      <c r="H2914" s="1182" t="s">
        <v>3066</v>
      </c>
      <c r="I2914" s="1270"/>
      <c r="J2914" s="1272"/>
      <c r="K2914" s="1180">
        <f>K2913+C23</f>
        <v>7327.8739999999989</v>
      </c>
    </row>
    <row r="2915" spans="6:16" ht="24" customHeight="1">
      <c r="F2915" s="1270"/>
      <c r="G2915" s="1180" t="s">
        <v>3487</v>
      </c>
      <c r="H2915" s="1182" t="s">
        <v>3069</v>
      </c>
      <c r="I2915" s="1270"/>
      <c r="J2915" s="1272"/>
      <c r="K2915" s="1180">
        <f>K2914+C23</f>
        <v>7531.3739999999989</v>
      </c>
    </row>
    <row r="2916" spans="6:16" ht="24" customHeight="1">
      <c r="F2916" s="1270"/>
      <c r="G2916" s="1180" t="s">
        <v>3489</v>
      </c>
      <c r="H2916" s="1182" t="s">
        <v>3071</v>
      </c>
      <c r="I2916" s="1270"/>
      <c r="J2916" s="1272"/>
      <c r="K2916" s="1180">
        <f>K2915+C23</f>
        <v>7734.8739999999989</v>
      </c>
    </row>
    <row r="2917" spans="6:16" ht="24" customHeight="1">
      <c r="F2917" s="1270"/>
      <c r="G2917" s="1270"/>
      <c r="H2917" s="1270"/>
      <c r="I2917" s="1270"/>
      <c r="J2917" s="1272"/>
      <c r="K2917" s="1270"/>
    </row>
    <row r="2918" spans="6:16" ht="24" customHeight="1">
      <c r="F2918" s="1270"/>
      <c r="G2918" s="1274"/>
      <c r="H2918" s="1314"/>
      <c r="I2918" s="1270"/>
      <c r="J2918" s="1308"/>
      <c r="K2918" s="1270"/>
    </row>
    <row r="2919" spans="6:16" ht="24" customHeight="1">
      <c r="F2919" s="1270"/>
      <c r="G2919" s="1270"/>
      <c r="H2919" s="1275" t="s">
        <v>5155</v>
      </c>
      <c r="I2919" s="1270"/>
      <c r="J2919" s="1308"/>
      <c r="K2919" s="1270"/>
    </row>
    <row r="2920" spans="6:16" ht="24" customHeight="1">
      <c r="F2920" s="1270"/>
      <c r="G2920" s="1270"/>
      <c r="H2920" s="1270"/>
      <c r="I2920" s="1270"/>
      <c r="J2920" s="1308"/>
      <c r="K2920" s="1270"/>
    </row>
    <row r="2921" spans="6:16" ht="24" customHeight="1">
      <c r="F2921" s="1310"/>
      <c r="G2921" s="1270"/>
      <c r="H2921" s="1270" t="s">
        <v>5156</v>
      </c>
      <c r="I2921" s="1270"/>
      <c r="J2921" s="1270"/>
      <c r="K2921" s="1270"/>
    </row>
    <row r="2922" spans="6:16" ht="24" customHeight="1">
      <c r="F2922" s="1286"/>
      <c r="G2922" s="1270"/>
      <c r="H2922" s="1270" t="s">
        <v>5157</v>
      </c>
      <c r="I2922" s="1270"/>
      <c r="J2922" s="1270"/>
      <c r="K2922" s="1270"/>
    </row>
    <row r="2923" spans="6:16" ht="24" customHeight="1">
      <c r="F2923" s="1270"/>
      <c r="G2923" s="1270"/>
      <c r="H2923" s="1308" t="s">
        <v>5158</v>
      </c>
      <c r="I2923" s="1270"/>
      <c r="J2923" s="1273"/>
      <c r="K2923" s="1270"/>
      <c r="P2923" s="1105">
        <f>0.35*4</f>
        <v>1.4</v>
      </c>
    </row>
    <row r="2924" spans="6:16" ht="24" customHeight="1">
      <c r="F2924" s="1270"/>
      <c r="G2924" s="1270"/>
      <c r="H2924" s="1277" t="s">
        <v>5159</v>
      </c>
      <c r="I2924" s="1275"/>
      <c r="J2924" s="1274"/>
      <c r="K2924" s="1275"/>
      <c r="P2924" s="1105">
        <f>0.3*4</f>
        <v>1.2</v>
      </c>
    </row>
    <row r="2925" spans="6:16" ht="24" customHeight="1">
      <c r="F2925" s="1270"/>
      <c r="G2925" s="1270"/>
      <c r="H2925" s="1270" t="s">
        <v>5160</v>
      </c>
      <c r="I2925" s="1270"/>
      <c r="J2925" s="1308"/>
      <c r="K2925" s="1270"/>
      <c r="P2925" s="1105">
        <f>1.28*2</f>
        <v>2.56</v>
      </c>
    </row>
    <row r="2926" spans="6:16" ht="24" customHeight="1">
      <c r="F2926" s="1270"/>
      <c r="G2926" s="1270"/>
      <c r="H2926" s="1275" t="s">
        <v>1420</v>
      </c>
      <c r="I2926" s="1270"/>
      <c r="J2926" s="1308"/>
      <c r="K2926" s="1270"/>
      <c r="P2926" s="1105" t="s">
        <v>5161</v>
      </c>
    </row>
    <row r="2927" spans="6:16" ht="24" customHeight="1">
      <c r="F2927" s="1310">
        <v>3.5999999999999997E-2</v>
      </c>
      <c r="G2927" s="1270" t="s">
        <v>16</v>
      </c>
      <c r="H2927" s="1270" t="s">
        <v>5162</v>
      </c>
      <c r="I2927" s="1270">
        <f>K2913</f>
        <v>7124.3739999999989</v>
      </c>
      <c r="J2927" s="1270" t="s">
        <v>16</v>
      </c>
      <c r="K2927" s="1270">
        <f>F2927*I2927</f>
        <v>256.47746399999994</v>
      </c>
    </row>
    <row r="2928" spans="6:16" ht="24" customHeight="1">
      <c r="F2928" s="1286">
        <v>3.0649999999999999</v>
      </c>
      <c r="G2928" s="1270" t="s">
        <v>3236</v>
      </c>
      <c r="H2928" s="1315" t="s">
        <v>5163</v>
      </c>
      <c r="I2928" s="1270">
        <f>K1582/1000</f>
        <v>80.140479999999997</v>
      </c>
      <c r="J2928" s="1270" t="s">
        <v>3236</v>
      </c>
      <c r="K2928" s="1270">
        <f>F2928*I2928</f>
        <v>245.63057119999999</v>
      </c>
    </row>
    <row r="2929" spans="6:11" ht="24" customHeight="1">
      <c r="F2929" s="1286">
        <v>0.79800000000000004</v>
      </c>
      <c r="G2929" s="1270" t="s">
        <v>833</v>
      </c>
      <c r="H2929" s="1270" t="s">
        <v>5164</v>
      </c>
      <c r="I2929" s="1270">
        <f>I2358</f>
        <v>997.46310599999993</v>
      </c>
      <c r="J2929" s="1270" t="s">
        <v>833</v>
      </c>
      <c r="K2929" s="1270">
        <f>F2929*I2929</f>
        <v>795.97555858800001</v>
      </c>
    </row>
    <row r="2930" spans="6:11" ht="24" customHeight="1">
      <c r="F2930" s="1270"/>
      <c r="G2930" s="1270"/>
      <c r="H2930" s="1274" t="s">
        <v>5165</v>
      </c>
      <c r="I2930" s="1275"/>
      <c r="J2930" s="1274" t="s">
        <v>5076</v>
      </c>
      <c r="K2930" s="1275">
        <f>SUM(K2927:K2929)</f>
        <v>1298.0835937879999</v>
      </c>
    </row>
    <row r="2931" spans="6:11" ht="24" customHeight="1">
      <c r="F2931" s="1310"/>
      <c r="G2931" s="1270"/>
      <c r="H2931" s="1274" t="s">
        <v>4841</v>
      </c>
      <c r="I2931" s="1270"/>
      <c r="J2931" s="1274" t="s">
        <v>5076</v>
      </c>
      <c r="K2931" s="1275">
        <f>K2930/2.1</f>
        <v>618.1350446609523</v>
      </c>
    </row>
    <row r="2932" spans="6:11" ht="24" customHeight="1">
      <c r="F2932" s="1286"/>
      <c r="G2932" s="1270"/>
      <c r="H2932" s="1270"/>
      <c r="I2932" s="1270"/>
      <c r="J2932" s="1270"/>
      <c r="K2932" s="1270"/>
    </row>
    <row r="2933" spans="6:11" ht="24" customHeight="1">
      <c r="F2933" s="1270"/>
      <c r="G2933" s="1270"/>
      <c r="H2933" s="1273"/>
      <c r="I2933" s="1270"/>
      <c r="J2933" s="1273"/>
      <c r="K2933" s="1270"/>
    </row>
    <row r="2934" spans="6:11" ht="24" customHeight="1">
      <c r="F2934" s="1270"/>
      <c r="G2934" s="1270"/>
      <c r="H2934" s="1274"/>
      <c r="I2934" s="1275"/>
      <c r="J2934" s="1274"/>
      <c r="K2934" s="1275"/>
    </row>
    <row r="2935" spans="6:11" ht="24" customHeight="1">
      <c r="F2935" s="1270"/>
      <c r="G2935" s="1270"/>
      <c r="H2935" s="1275" t="s">
        <v>1421</v>
      </c>
      <c r="I2935" s="1270"/>
      <c r="J2935" s="1308"/>
      <c r="K2935" s="1270"/>
    </row>
    <row r="2936" spans="6:11" ht="56.25" customHeight="1">
      <c r="F2936" s="1310">
        <v>3.5999999999999997E-2</v>
      </c>
      <c r="G2936" s="1270" t="s">
        <v>16</v>
      </c>
      <c r="H2936" s="1270" t="s">
        <v>5162</v>
      </c>
      <c r="I2936" s="1270">
        <f>K2914</f>
        <v>7327.8739999999989</v>
      </c>
      <c r="J2936" s="1270" t="s">
        <v>16</v>
      </c>
      <c r="K2936" s="1270">
        <f>F2936*I2936</f>
        <v>263.80346399999996</v>
      </c>
    </row>
    <row r="2937" spans="6:11" ht="24" customHeight="1">
      <c r="F2937" s="1286">
        <v>3.0649999999999999</v>
      </c>
      <c r="G2937" s="1270" t="s">
        <v>3236</v>
      </c>
      <c r="H2937" s="1315" t="s">
        <v>5163</v>
      </c>
      <c r="I2937" s="1270">
        <f>K1582/1000</f>
        <v>80.140479999999997</v>
      </c>
      <c r="J2937" s="1270" t="s">
        <v>3236</v>
      </c>
      <c r="K2937" s="1270">
        <f>F2937*I2937</f>
        <v>245.63057119999999</v>
      </c>
    </row>
    <row r="2938" spans="6:11" ht="24" customHeight="1">
      <c r="F2938" s="1286">
        <v>0.79800000000000004</v>
      </c>
      <c r="G2938" s="1270" t="s">
        <v>833</v>
      </c>
      <c r="H2938" s="1270" t="s">
        <v>5164</v>
      </c>
      <c r="I2938" s="1270">
        <f>I2358</f>
        <v>997.46310599999993</v>
      </c>
      <c r="J2938" s="1270" t="s">
        <v>833</v>
      </c>
      <c r="K2938" s="1270">
        <f>F2938*I2938</f>
        <v>795.97555858800001</v>
      </c>
    </row>
    <row r="2939" spans="6:11" ht="24" customHeight="1">
      <c r="F2939" s="1270"/>
      <c r="G2939" s="1270"/>
      <c r="H2939" s="1274" t="s">
        <v>5165</v>
      </c>
      <c r="I2939" s="1275"/>
      <c r="J2939" s="1274" t="s">
        <v>5076</v>
      </c>
      <c r="K2939" s="1275">
        <f>SUM(K2936:K2938)</f>
        <v>1305.4095937879999</v>
      </c>
    </row>
    <row r="2940" spans="6:11" ht="24" customHeight="1">
      <c r="F2940" s="1310"/>
      <c r="G2940" s="1270"/>
      <c r="H2940" s="1274" t="s">
        <v>4841</v>
      </c>
      <c r="I2940" s="1270"/>
      <c r="J2940" s="1274" t="s">
        <v>5076</v>
      </c>
      <c r="K2940" s="1275">
        <f>K2939/2.1</f>
        <v>621.62361608952381</v>
      </c>
    </row>
    <row r="2941" spans="6:11" ht="24" customHeight="1">
      <c r="F2941" s="1286"/>
      <c r="G2941" s="1270"/>
      <c r="H2941" s="1270"/>
      <c r="I2941" s="1270"/>
      <c r="J2941" s="1270"/>
      <c r="K2941" s="1270"/>
    </row>
    <row r="2942" spans="6:11" ht="24" customHeight="1">
      <c r="F2942" s="1270"/>
      <c r="G2942" s="1270"/>
      <c r="H2942" s="1270"/>
      <c r="I2942" s="1270"/>
      <c r="J2942" s="1308"/>
      <c r="K2942" s="1270"/>
    </row>
    <row r="2943" spans="6:11" ht="24" customHeight="1">
      <c r="F2943" s="1270"/>
      <c r="G2943" s="1270"/>
      <c r="H2943" s="1270"/>
      <c r="I2943" s="1270"/>
      <c r="J2943" s="1308"/>
      <c r="K2943" s="1270"/>
    </row>
    <row r="2944" spans="6:11" ht="24" customHeight="1">
      <c r="F2944" s="1270"/>
      <c r="G2944" s="1270"/>
      <c r="H2944" s="1270"/>
      <c r="I2944" s="1270"/>
      <c r="J2944" s="1308"/>
      <c r="K2944" s="1270"/>
    </row>
    <row r="2945" spans="6:11" ht="24" customHeight="1">
      <c r="F2945" s="1270"/>
      <c r="G2945" s="1270"/>
      <c r="H2945" s="1275" t="s">
        <v>5166</v>
      </c>
      <c r="I2945" s="1270"/>
      <c r="J2945" s="1308"/>
      <c r="K2945" s="1270"/>
    </row>
    <row r="2946" spans="6:11" ht="24" customHeight="1">
      <c r="F2946" s="1310">
        <v>3.5999999999999997E-2</v>
      </c>
      <c r="G2946" s="1270" t="s">
        <v>16</v>
      </c>
      <c r="H2946" s="1270" t="s">
        <v>5162</v>
      </c>
      <c r="I2946" s="1270">
        <f>K2915</f>
        <v>7531.3739999999989</v>
      </c>
      <c r="J2946" s="1270" t="s">
        <v>16</v>
      </c>
      <c r="K2946" s="1270">
        <f>F2946*I2946</f>
        <v>271.12946399999993</v>
      </c>
    </row>
    <row r="2947" spans="6:11" ht="24" customHeight="1">
      <c r="F2947" s="1286">
        <v>3.0649999999999999</v>
      </c>
      <c r="G2947" s="1270" t="s">
        <v>3236</v>
      </c>
      <c r="H2947" s="1315" t="s">
        <v>5163</v>
      </c>
      <c r="I2947" s="1270">
        <f>I2928</f>
        <v>80.140479999999997</v>
      </c>
      <c r="J2947" s="1270" t="s">
        <v>3236</v>
      </c>
      <c r="K2947" s="1270">
        <f>F2947*I2947</f>
        <v>245.63057119999999</v>
      </c>
    </row>
    <row r="2948" spans="6:11" ht="24" customHeight="1">
      <c r="F2948" s="1286">
        <v>0.79800000000000004</v>
      </c>
      <c r="G2948" s="1270" t="s">
        <v>833</v>
      </c>
      <c r="H2948" s="1270" t="s">
        <v>5164</v>
      </c>
      <c r="I2948" s="1270">
        <f>I2929</f>
        <v>997.46310599999993</v>
      </c>
      <c r="J2948" s="1270" t="s">
        <v>833</v>
      </c>
      <c r="K2948" s="1270">
        <f>F2948*I2948</f>
        <v>795.97555858800001</v>
      </c>
    </row>
    <row r="2949" spans="6:11" ht="24" customHeight="1">
      <c r="F2949" s="1270"/>
      <c r="G2949" s="1270"/>
      <c r="H2949" s="1274" t="s">
        <v>5165</v>
      </c>
      <c r="I2949" s="1275"/>
      <c r="J2949" s="1274" t="s">
        <v>5076</v>
      </c>
      <c r="K2949" s="1275">
        <f>SUM(K2946:K2948)</f>
        <v>1312.735593788</v>
      </c>
    </row>
    <row r="2950" spans="6:11" ht="24" customHeight="1">
      <c r="F2950" s="1310"/>
      <c r="G2950" s="1270"/>
      <c r="H2950" s="1274" t="s">
        <v>4841</v>
      </c>
      <c r="I2950" s="1270"/>
      <c r="J2950" s="1274" t="s">
        <v>5076</v>
      </c>
      <c r="K2950" s="1275">
        <f>K2949/2.1</f>
        <v>625.1121875180952</v>
      </c>
    </row>
    <row r="2951" spans="6:11" ht="24" customHeight="1">
      <c r="F2951" s="1286"/>
      <c r="G2951" s="1270"/>
      <c r="H2951" s="1270"/>
      <c r="I2951" s="1270"/>
      <c r="J2951" s="1270"/>
      <c r="K2951" s="1270"/>
    </row>
    <row r="2952" spans="6:11" ht="24" customHeight="1">
      <c r="F2952" s="1270"/>
      <c r="G2952" s="1270"/>
      <c r="H2952" s="1270"/>
      <c r="I2952" s="1270"/>
      <c r="J2952" s="1308"/>
      <c r="K2952" s="1270"/>
    </row>
    <row r="2953" spans="6:11" ht="24" customHeight="1">
      <c r="F2953" s="1270"/>
      <c r="G2953" s="1270"/>
      <c r="H2953" s="1270"/>
      <c r="I2953" s="1270"/>
      <c r="J2953" s="1308"/>
      <c r="K2953" s="1270"/>
    </row>
    <row r="2954" spans="6:11" ht="24" customHeight="1">
      <c r="F2954" s="1270"/>
      <c r="G2954" s="1270"/>
      <c r="H2954" s="1275" t="s">
        <v>5167</v>
      </c>
      <c r="I2954" s="1270"/>
      <c r="J2954" s="1308"/>
      <c r="K2954" s="1270"/>
    </row>
    <row r="2955" spans="6:11" ht="24" customHeight="1">
      <c r="F2955" s="1310">
        <v>3.5999999999999997E-2</v>
      </c>
      <c r="G2955" s="1270" t="s">
        <v>16</v>
      </c>
      <c r="H2955" s="1270" t="s">
        <v>5162</v>
      </c>
      <c r="I2955" s="1270">
        <f>K2916</f>
        <v>7734.8739999999989</v>
      </c>
      <c r="J2955" s="1270" t="s">
        <v>16</v>
      </c>
      <c r="K2955" s="1270">
        <f>F2955*I2955</f>
        <v>278.45546399999995</v>
      </c>
    </row>
    <row r="2956" spans="6:11" ht="24" customHeight="1">
      <c r="F2956" s="1286">
        <v>3.0649999999999999</v>
      </c>
      <c r="G2956" s="1270" t="s">
        <v>3236</v>
      </c>
      <c r="H2956" s="1315" t="s">
        <v>5163</v>
      </c>
      <c r="I2956" s="1270">
        <f>I2947</f>
        <v>80.140479999999997</v>
      </c>
      <c r="J2956" s="1270" t="s">
        <v>3236</v>
      </c>
      <c r="K2956" s="1270">
        <f>F2956*I2956</f>
        <v>245.63057119999999</v>
      </c>
    </row>
    <row r="2957" spans="6:11" ht="24" customHeight="1">
      <c r="F2957" s="1286">
        <v>0.79800000000000004</v>
      </c>
      <c r="G2957" s="1270" t="s">
        <v>833</v>
      </c>
      <c r="H2957" s="1270" t="s">
        <v>5164</v>
      </c>
      <c r="I2957" s="1270">
        <f>I2948</f>
        <v>997.46310599999993</v>
      </c>
      <c r="J2957" s="1270" t="s">
        <v>833</v>
      </c>
      <c r="K2957" s="1270">
        <f>F2957*I2957</f>
        <v>795.97555858800001</v>
      </c>
    </row>
    <row r="2958" spans="6:11" ht="24" customHeight="1">
      <c r="F2958" s="1270"/>
      <c r="G2958" s="1270"/>
      <c r="H2958" s="1274" t="s">
        <v>5165</v>
      </c>
      <c r="I2958" s="1275"/>
      <c r="J2958" s="1274" t="s">
        <v>5076</v>
      </c>
      <c r="K2958" s="1275">
        <f>SUM(K2955:K2957)</f>
        <v>1320.061593788</v>
      </c>
    </row>
    <row r="2959" spans="6:11" ht="24" customHeight="1">
      <c r="F2959" s="1310"/>
      <c r="G2959" s="1270"/>
      <c r="H2959" s="1274" t="s">
        <v>4841</v>
      </c>
      <c r="I2959" s="1270"/>
      <c r="J2959" s="1274" t="s">
        <v>5076</v>
      </c>
      <c r="K2959" s="1275">
        <f>K2958/2.1</f>
        <v>628.60075894666659</v>
      </c>
    </row>
    <row r="2960" spans="6:11" ht="24" customHeight="1">
      <c r="F2960" s="1286"/>
      <c r="G2960" s="1270"/>
      <c r="H2960" s="1270"/>
      <c r="I2960" s="1270"/>
      <c r="J2960" s="1270"/>
      <c r="K2960" s="1270"/>
    </row>
    <row r="2961" spans="6:15" ht="24" customHeight="1">
      <c r="F2961" s="1270"/>
      <c r="G2961" s="1270"/>
      <c r="H2961" s="1270"/>
      <c r="I2961" s="1270"/>
      <c r="J2961" s="1272"/>
      <c r="K2961" s="1270"/>
    </row>
    <row r="2962" spans="6:15" ht="24" customHeight="1">
      <c r="F2962" s="1270"/>
      <c r="G2962" s="1270"/>
      <c r="H2962" s="1270"/>
      <c r="I2962" s="1270"/>
      <c r="J2962" s="1272"/>
      <c r="K2962" s="1270"/>
    </row>
    <row r="2963" spans="6:15" ht="24" customHeight="1">
      <c r="F2963" s="1270"/>
      <c r="G2963" s="1270"/>
      <c r="H2963" s="1270"/>
      <c r="I2963" s="1270">
        <f>160*10.76</f>
        <v>1721.6</v>
      </c>
      <c r="J2963" s="1272"/>
      <c r="K2963" s="1270"/>
    </row>
    <row r="2964" spans="6:15" ht="24" customHeight="1">
      <c r="F2964" s="1183" t="s">
        <v>4044</v>
      </c>
      <c r="G2964" s="1180" t="s">
        <v>1363</v>
      </c>
      <c r="H2964" s="1182" t="s">
        <v>5128</v>
      </c>
      <c r="I2964" s="1270">
        <f>148*10.76</f>
        <v>1592.48</v>
      </c>
      <c r="J2964" s="1272"/>
      <c r="K2964" s="1270"/>
    </row>
    <row r="2965" spans="6:15" ht="24" customHeight="1">
      <c r="F2965" s="1270"/>
      <c r="G2965" s="1270"/>
      <c r="H2965" s="1182" t="s">
        <v>4046</v>
      </c>
      <c r="I2965" s="1270"/>
      <c r="J2965" s="1272"/>
      <c r="K2965" s="1270"/>
    </row>
    <row r="2966" spans="6:15" ht="24" customHeight="1">
      <c r="F2966" s="1270"/>
      <c r="G2966" s="1270"/>
      <c r="H2966" s="1182" t="s">
        <v>4075</v>
      </c>
      <c r="I2966" s="1270"/>
      <c r="J2966" s="1272"/>
      <c r="K2966" s="1270"/>
    </row>
    <row r="2967" spans="6:15" ht="24" customHeight="1">
      <c r="F2967" s="1270"/>
      <c r="G2967" s="1270"/>
      <c r="H2967" s="1276" t="s">
        <v>36</v>
      </c>
      <c r="I2967" s="1310">
        <f>1.4*2.025</f>
        <v>2.8349999999999995</v>
      </c>
      <c r="J2967" s="1272"/>
      <c r="K2967" s="1270"/>
    </row>
    <row r="2968" spans="6:15" ht="24" customHeight="1">
      <c r="F2968" s="1270"/>
      <c r="G2968" s="1270"/>
      <c r="H2968" s="1182" t="s">
        <v>5168</v>
      </c>
      <c r="I2968" s="1270"/>
      <c r="J2968" s="1272"/>
      <c r="K2968" s="1270"/>
    </row>
    <row r="2969" spans="6:15" ht="24" customHeight="1">
      <c r="F2969" s="1270"/>
      <c r="G2969" s="1270"/>
      <c r="H2969" s="1270"/>
      <c r="I2969" s="1270"/>
      <c r="J2969" s="1272"/>
      <c r="K2969" s="1270"/>
    </row>
    <row r="2970" spans="6:15" ht="44.25" customHeight="1">
      <c r="F2970" s="1286">
        <v>1.64</v>
      </c>
      <c r="G2970" s="1180" t="s">
        <v>3189</v>
      </c>
      <c r="H2970" s="1284" t="s">
        <v>5130</v>
      </c>
      <c r="I2970" s="1270">
        <f>I2834</f>
        <v>2370</v>
      </c>
      <c r="J2970" s="1183" t="s">
        <v>3189</v>
      </c>
      <c r="K2970" s="1270">
        <f>F2971*I2970</f>
        <v>3886.7999999999997</v>
      </c>
    </row>
    <row r="2971" spans="6:15" ht="24" customHeight="1">
      <c r="F2971" s="1302">
        <v>1.64</v>
      </c>
      <c r="G2971" s="1180" t="s">
        <v>3189</v>
      </c>
      <c r="H2971" s="1182" t="s">
        <v>4059</v>
      </c>
      <c r="I2971" s="1270">
        <f t="shared" ref="I2971:I2977" si="270">I2835</f>
        <v>185</v>
      </c>
      <c r="J2971" s="1183" t="s">
        <v>3189</v>
      </c>
      <c r="K2971" s="1180">
        <f t="shared" ref="K2971:K2977" si="271">(F2971*I2971)</f>
        <v>303.39999999999998</v>
      </c>
      <c r="O2971" s="1182" t="s">
        <v>5128</v>
      </c>
    </row>
    <row r="2972" spans="6:15" ht="24" customHeight="1">
      <c r="F2972" s="1180">
        <v>2</v>
      </c>
      <c r="G2972" s="1180" t="s">
        <v>2941</v>
      </c>
      <c r="H2972" s="1182" t="s">
        <v>4060</v>
      </c>
      <c r="I2972" s="1270">
        <f t="shared" si="270"/>
        <v>53.4</v>
      </c>
      <c r="J2972" s="1183" t="s">
        <v>2838</v>
      </c>
      <c r="K2972" s="1180">
        <f t="shared" si="271"/>
        <v>106.8</v>
      </c>
      <c r="O2972" s="1182" t="s">
        <v>4046</v>
      </c>
    </row>
    <row r="2973" spans="6:15" ht="24" customHeight="1">
      <c r="F2973" s="1180">
        <v>3</v>
      </c>
      <c r="G2973" s="1180" t="s">
        <v>2838</v>
      </c>
      <c r="H2973" s="1182" t="s">
        <v>4061</v>
      </c>
      <c r="I2973" s="1270">
        <f t="shared" si="270"/>
        <v>83</v>
      </c>
      <c r="J2973" s="1183" t="s">
        <v>2838</v>
      </c>
      <c r="K2973" s="1180">
        <f t="shared" si="271"/>
        <v>249</v>
      </c>
      <c r="O2973" s="1182" t="s">
        <v>5169</v>
      </c>
    </row>
    <row r="2974" spans="6:15" ht="24" customHeight="1">
      <c r="F2974" s="1180">
        <v>2</v>
      </c>
      <c r="G2974" s="1180" t="s">
        <v>2838</v>
      </c>
      <c r="H2974" s="1182" t="s">
        <v>4063</v>
      </c>
      <c r="I2974" s="1270">
        <f t="shared" si="270"/>
        <v>60</v>
      </c>
      <c r="J2974" s="1183" t="s">
        <v>2838</v>
      </c>
      <c r="K2974" s="1180">
        <f t="shared" si="271"/>
        <v>120</v>
      </c>
      <c r="O2974" s="1276" t="s">
        <v>36</v>
      </c>
    </row>
    <row r="2975" spans="6:15" ht="24" customHeight="1">
      <c r="F2975" s="1180">
        <v>1</v>
      </c>
      <c r="G2975" s="1180" t="s">
        <v>2838</v>
      </c>
      <c r="H2975" s="1182" t="s">
        <v>4065</v>
      </c>
      <c r="I2975" s="1270">
        <f t="shared" si="270"/>
        <v>167.6</v>
      </c>
      <c r="J2975" s="1183" t="s">
        <v>2838</v>
      </c>
      <c r="K2975" s="1180">
        <f t="shared" si="271"/>
        <v>167.6</v>
      </c>
      <c r="L2975" s="1105" t="s">
        <v>220</v>
      </c>
      <c r="O2975" s="1182" t="s">
        <v>5170</v>
      </c>
    </row>
    <row r="2976" spans="6:15" ht="24" customHeight="1">
      <c r="F2976" s="1180">
        <v>1</v>
      </c>
      <c r="G2976" s="1180" t="s">
        <v>2838</v>
      </c>
      <c r="H2976" s="1182" t="s">
        <v>4067</v>
      </c>
      <c r="I2976" s="1270">
        <f t="shared" si="270"/>
        <v>7.3</v>
      </c>
      <c r="J2976" s="1183" t="s">
        <v>2838</v>
      </c>
      <c r="K2976" s="1180">
        <f t="shared" si="271"/>
        <v>7.3</v>
      </c>
    </row>
    <row r="2977" spans="6:18" ht="39.75" customHeight="1">
      <c r="F2977" s="1180">
        <v>1</v>
      </c>
      <c r="G2977" s="1180" t="s">
        <v>2838</v>
      </c>
      <c r="H2977" s="1182" t="s">
        <v>3214</v>
      </c>
      <c r="I2977" s="1270">
        <f t="shared" si="270"/>
        <v>45.9</v>
      </c>
      <c r="J2977" s="1183" t="s">
        <v>2838</v>
      </c>
      <c r="K2977" s="1180">
        <f t="shared" si="271"/>
        <v>45.9</v>
      </c>
      <c r="M2977" s="1286">
        <v>2.2549999999999999</v>
      </c>
      <c r="N2977" s="1180" t="s">
        <v>3189</v>
      </c>
      <c r="O2977" s="1284" t="s">
        <v>5130</v>
      </c>
      <c r="P2977" s="1270">
        <f>I2970</f>
        <v>2370</v>
      </c>
      <c r="Q2977" s="1183" t="s">
        <v>3189</v>
      </c>
      <c r="R2977" s="1270">
        <f>M2978*P2977</f>
        <v>5344.3499999999995</v>
      </c>
    </row>
    <row r="2978" spans="6:18" ht="24" customHeight="1">
      <c r="F2978" s="1270"/>
      <c r="G2978" s="1270"/>
      <c r="H2978" s="1270"/>
      <c r="I2978" s="1270"/>
      <c r="J2978" s="1272"/>
      <c r="K2978" s="1279">
        <v>0.63</v>
      </c>
      <c r="M2978" s="1302">
        <v>2.2549999999999999</v>
      </c>
      <c r="N2978" s="1180" t="s">
        <v>3189</v>
      </c>
      <c r="O2978" s="1182" t="s">
        <v>4059</v>
      </c>
      <c r="P2978" s="1270">
        <f t="shared" ref="P2978:P2984" si="272">I2971</f>
        <v>185</v>
      </c>
      <c r="Q2978" s="1183" t="s">
        <v>3189</v>
      </c>
      <c r="R2978" s="1180">
        <f t="shared" ref="R2978:R2984" si="273">(M2978*P2978)</f>
        <v>417.17499999999995</v>
      </c>
    </row>
    <row r="2979" spans="6:18" ht="24" customHeight="1">
      <c r="F2979" s="1270"/>
      <c r="G2979" s="1270"/>
      <c r="H2979" s="1182" t="s">
        <v>5171</v>
      </c>
      <c r="I2979" s="1270"/>
      <c r="J2979" s="1272"/>
      <c r="K2979" s="1180">
        <f>SUM(K2970:K2978)</f>
        <v>4887.43</v>
      </c>
      <c r="M2979" s="1180">
        <v>2</v>
      </c>
      <c r="N2979" s="1180" t="s">
        <v>2941</v>
      </c>
      <c r="O2979" s="1182" t="s">
        <v>4060</v>
      </c>
      <c r="P2979" s="1270">
        <f t="shared" si="272"/>
        <v>53.4</v>
      </c>
      <c r="Q2979" s="1183" t="s">
        <v>2838</v>
      </c>
      <c r="R2979" s="1180">
        <f t="shared" si="273"/>
        <v>106.8</v>
      </c>
    </row>
    <row r="2980" spans="6:18" ht="24" customHeight="1">
      <c r="F2980" s="1270"/>
      <c r="G2980" s="1270"/>
      <c r="H2980" s="1270"/>
      <c r="I2980" s="1270"/>
      <c r="J2980" s="1272"/>
      <c r="K2980" s="1276" t="s">
        <v>36</v>
      </c>
      <c r="M2980" s="1180">
        <v>3</v>
      </c>
      <c r="N2980" s="1180" t="s">
        <v>2838</v>
      </c>
      <c r="O2980" s="1182" t="s">
        <v>4061</v>
      </c>
      <c r="P2980" s="1270">
        <f t="shared" si="272"/>
        <v>83</v>
      </c>
      <c r="Q2980" s="1183" t="s">
        <v>2838</v>
      </c>
      <c r="R2980" s="1180">
        <f t="shared" si="273"/>
        <v>249</v>
      </c>
    </row>
    <row r="2981" spans="6:18" ht="24" customHeight="1">
      <c r="F2981" s="1270"/>
      <c r="G2981" s="1270"/>
      <c r="H2981" s="1182" t="s">
        <v>3154</v>
      </c>
      <c r="I2981" s="1270"/>
      <c r="J2981" s="1272"/>
      <c r="K2981" s="1180">
        <f>K2979/F2971</f>
        <v>2980.1402439024396</v>
      </c>
      <c r="M2981" s="1180">
        <v>2</v>
      </c>
      <c r="N2981" s="1180" t="s">
        <v>2838</v>
      </c>
      <c r="O2981" s="1182" t="s">
        <v>4063</v>
      </c>
      <c r="P2981" s="1270">
        <f t="shared" si="272"/>
        <v>60</v>
      </c>
      <c r="Q2981" s="1183" t="s">
        <v>2838</v>
      </c>
      <c r="R2981" s="1180">
        <f t="shared" si="273"/>
        <v>120</v>
      </c>
    </row>
    <row r="2982" spans="6:18" ht="24" customHeight="1">
      <c r="F2982" s="1182" t="s">
        <v>220</v>
      </c>
      <c r="G2982" s="1270"/>
      <c r="H2982" s="1270"/>
      <c r="I2982" s="1270"/>
      <c r="J2982" s="1272"/>
      <c r="K2982" s="1270"/>
      <c r="M2982" s="1180">
        <v>1</v>
      </c>
      <c r="N2982" s="1180" t="s">
        <v>2838</v>
      </c>
      <c r="O2982" s="1182" t="s">
        <v>4065</v>
      </c>
      <c r="P2982" s="1270">
        <f t="shared" si="272"/>
        <v>167.6</v>
      </c>
      <c r="Q2982" s="1183" t="s">
        <v>2838</v>
      </c>
      <c r="R2982" s="1180">
        <f t="shared" si="273"/>
        <v>167.6</v>
      </c>
    </row>
    <row r="2983" spans="6:18" ht="24" customHeight="1">
      <c r="F2983" s="1270"/>
      <c r="G2983" s="1270"/>
      <c r="H2983" s="1270"/>
      <c r="I2983" s="1270"/>
      <c r="J2983" s="1272"/>
      <c r="K2983" s="1270"/>
      <c r="M2983" s="1180">
        <v>1</v>
      </c>
      <c r="N2983" s="1180" t="s">
        <v>2838</v>
      </c>
      <c r="O2983" s="1182" t="s">
        <v>4067</v>
      </c>
      <c r="P2983" s="1270">
        <f t="shared" si="272"/>
        <v>7.3</v>
      </c>
      <c r="Q2983" s="1183" t="s">
        <v>2838</v>
      </c>
      <c r="R2983" s="1180">
        <f t="shared" si="273"/>
        <v>7.3</v>
      </c>
    </row>
    <row r="2984" spans="6:18" ht="24" customHeight="1">
      <c r="F2984" s="1292" t="s">
        <v>5172</v>
      </c>
      <c r="G2984" s="1292"/>
      <c r="H2984" s="1292"/>
      <c r="I2984" s="1292"/>
      <c r="J2984" s="1293"/>
      <c r="K2984" s="1292"/>
      <c r="M2984" s="1180">
        <v>1</v>
      </c>
      <c r="N2984" s="1180" t="s">
        <v>2838</v>
      </c>
      <c r="O2984" s="1182" t="s">
        <v>3214</v>
      </c>
      <c r="P2984" s="1270">
        <f t="shared" si="272"/>
        <v>45.9</v>
      </c>
      <c r="Q2984" s="1183" t="s">
        <v>2838</v>
      </c>
      <c r="R2984" s="1180">
        <f t="shared" si="273"/>
        <v>45.9</v>
      </c>
    </row>
    <row r="2985" spans="6:18" ht="24" customHeight="1">
      <c r="F2985" s="1292"/>
      <c r="G2985" s="1292"/>
      <c r="H2985" s="1292"/>
      <c r="I2985" s="1292"/>
      <c r="J2985" s="1293"/>
      <c r="K2985" s="1292"/>
      <c r="M2985" s="1270"/>
      <c r="N2985" s="1270"/>
      <c r="O2985" s="1270"/>
      <c r="P2985" s="1270"/>
      <c r="Q2985" s="1272"/>
      <c r="R2985" s="1276" t="s">
        <v>36</v>
      </c>
    </row>
    <row r="2986" spans="6:18" ht="24" customHeight="1">
      <c r="F2986" s="1292" t="s">
        <v>5173</v>
      </c>
      <c r="G2986" s="1292"/>
      <c r="H2986" s="1292"/>
      <c r="I2986" s="1292"/>
      <c r="J2986" s="1293"/>
      <c r="K2986" s="1292"/>
      <c r="M2986" s="1270"/>
      <c r="N2986" s="1270"/>
      <c r="O2986" s="1182" t="s">
        <v>5174</v>
      </c>
      <c r="P2986" s="1270"/>
      <c r="Q2986" s="1272"/>
      <c r="R2986" s="1180">
        <f>SUM(R2977:R2984)+0.17</f>
        <v>6458.2950000000001</v>
      </c>
    </row>
    <row r="2987" spans="6:18" ht="24" customHeight="1">
      <c r="F2987" s="1292"/>
      <c r="G2987" s="1292"/>
      <c r="H2987" s="1292"/>
      <c r="I2987" s="1292"/>
      <c r="J2987" s="1293"/>
      <c r="K2987" s="1292"/>
      <c r="M2987" s="1270"/>
      <c r="N2987" s="1270"/>
      <c r="O2987" s="1270"/>
      <c r="P2987" s="1270"/>
      <c r="Q2987" s="1272"/>
      <c r="R2987" s="1276" t="s">
        <v>36</v>
      </c>
    </row>
    <row r="2988" spans="6:18" ht="24" customHeight="1">
      <c r="F2988" s="1292"/>
      <c r="G2988" s="1316">
        <v>0.99350000000000005</v>
      </c>
      <c r="H2988" s="1292" t="s">
        <v>16</v>
      </c>
      <c r="I2988" s="1292"/>
      <c r="J2988" s="1293"/>
      <c r="K2988" s="1292"/>
      <c r="M2988" s="1270"/>
      <c r="N2988" s="1270"/>
      <c r="O2988" s="1182" t="s">
        <v>3154</v>
      </c>
      <c r="P2988" s="1270"/>
      <c r="Q2988" s="1272"/>
      <c r="R2988" s="1180">
        <f>R2986/M2978</f>
        <v>2863.9889135254989</v>
      </c>
    </row>
    <row r="2989" spans="6:18" ht="24" customHeight="1">
      <c r="F2989" s="1292"/>
      <c r="G2989" s="1292"/>
      <c r="H2989" s="1292"/>
      <c r="I2989" s="1292"/>
      <c r="J2989" s="1293"/>
      <c r="K2989" s="1292"/>
    </row>
    <row r="2990" spans="6:18" ht="24" customHeight="1">
      <c r="F2990" s="1291" t="s">
        <v>5103</v>
      </c>
      <c r="G2990" s="1292"/>
      <c r="H2990" s="1292"/>
      <c r="I2990" s="1292"/>
      <c r="J2990" s="1293"/>
      <c r="K2990" s="1292"/>
    </row>
    <row r="2991" spans="6:18" ht="24" customHeight="1">
      <c r="F2991" s="1292"/>
      <c r="G2991" s="1292"/>
      <c r="H2991" s="1292"/>
      <c r="I2991" s="1292"/>
      <c r="J2991" s="1293"/>
      <c r="K2991" s="1292"/>
    </row>
    <row r="2992" spans="6:18" ht="24" customHeight="1">
      <c r="F2992" s="1316">
        <v>0.42</v>
      </c>
      <c r="G2992" s="1292" t="s">
        <v>16</v>
      </c>
      <c r="H2992" s="1292" t="s">
        <v>5175</v>
      </c>
      <c r="I2992" s="1292">
        <f>K817</f>
        <v>8281.8690000000006</v>
      </c>
      <c r="J2992" s="1295" t="s">
        <v>16</v>
      </c>
      <c r="K2992" s="1292">
        <f>F2992*I2992</f>
        <v>3478.3849800000003</v>
      </c>
    </row>
    <row r="2993" spans="6:11" ht="24" customHeight="1">
      <c r="F2993" s="1292">
        <v>0.25</v>
      </c>
      <c r="G2993" s="1292" t="s">
        <v>54</v>
      </c>
      <c r="H2993" s="1292" t="s">
        <v>3706</v>
      </c>
      <c r="I2993" s="1292">
        <f>C11</f>
        <v>804</v>
      </c>
      <c r="J2993" s="1295" t="s">
        <v>522</v>
      </c>
      <c r="K2993" s="1292">
        <f>F2993*I2993</f>
        <v>201</v>
      </c>
    </row>
    <row r="2994" spans="6:11" ht="24" customHeight="1">
      <c r="F2994" s="1292">
        <v>3.5</v>
      </c>
      <c r="G2994" s="1292" t="s">
        <v>4</v>
      </c>
      <c r="H2994" s="1292" t="s">
        <v>4184</v>
      </c>
      <c r="I2994" s="1292">
        <f>C12</f>
        <v>562</v>
      </c>
      <c r="J2994" s="1295" t="s">
        <v>522</v>
      </c>
      <c r="K2994" s="1292">
        <f>F2994*I2994</f>
        <v>1967</v>
      </c>
    </row>
    <row r="2995" spans="6:11" ht="24" customHeight="1">
      <c r="F2995" s="1292">
        <v>32.1</v>
      </c>
      <c r="G2995" s="1292" t="s">
        <v>165</v>
      </c>
      <c r="H2995" s="1292" t="s">
        <v>5176</v>
      </c>
      <c r="I2995" s="1292"/>
      <c r="J2995" s="1295"/>
      <c r="K2995" s="1292">
        <f>(F2995*I2995)/1000</f>
        <v>0</v>
      </c>
    </row>
    <row r="2996" spans="6:11" ht="24" customHeight="1">
      <c r="F2996" s="1292"/>
      <c r="G2996" s="1292" t="s">
        <v>5108</v>
      </c>
      <c r="H2996" s="1292" t="s">
        <v>5109</v>
      </c>
      <c r="I2996" s="1292"/>
      <c r="J2996" s="1295" t="s">
        <v>4938</v>
      </c>
      <c r="K2996" s="1292">
        <f>(K2993+K2994)*10%</f>
        <v>216.8</v>
      </c>
    </row>
    <row r="2997" spans="6:11" ht="24" customHeight="1">
      <c r="F2997" s="1292"/>
      <c r="G2997" s="1292"/>
      <c r="H2997" s="1292"/>
      <c r="I2997" s="1292"/>
      <c r="J2997" s="1293"/>
      <c r="K2997" s="1292" t="s">
        <v>5111</v>
      </c>
    </row>
    <row r="2998" spans="6:11" ht="24" customHeight="1">
      <c r="F2998" s="1292"/>
      <c r="G2998" s="1292"/>
      <c r="H2998" s="1292"/>
      <c r="I2998" s="1292"/>
      <c r="J2998" s="1293"/>
      <c r="K2998" s="1292"/>
    </row>
    <row r="2999" spans="6:11" ht="24" customHeight="1">
      <c r="F2999" s="1292"/>
      <c r="G2999" s="1292"/>
      <c r="H2999" s="1292"/>
      <c r="I2999" s="1292" t="s">
        <v>5177</v>
      </c>
      <c r="J2999" s="1293"/>
      <c r="K2999" s="1292">
        <f>SUM(K2992:K2996)</f>
        <v>5863.1849800000009</v>
      </c>
    </row>
    <row r="3000" spans="6:11" ht="24" customHeight="1">
      <c r="F3000" s="1292"/>
      <c r="G3000" s="1292"/>
      <c r="H3000" s="1292"/>
      <c r="I3000" s="1292"/>
      <c r="J3000" s="1293"/>
      <c r="K3000" s="1292"/>
    </row>
    <row r="3001" spans="6:11" ht="24" customHeight="1">
      <c r="F3001" s="1292"/>
      <c r="G3001" s="1292"/>
      <c r="H3001" s="1292"/>
      <c r="I3001" s="1292" t="s">
        <v>5113</v>
      </c>
      <c r="J3001" s="1293"/>
      <c r="K3001" s="1292">
        <f>K2999/3.5</f>
        <v>1675.1957085714289</v>
      </c>
    </row>
    <row r="3002" spans="6:11" ht="24" customHeight="1">
      <c r="F3002" s="1292"/>
      <c r="G3002" s="1291" t="s">
        <v>5178</v>
      </c>
      <c r="H3002" s="1292"/>
      <c r="I3002" s="1292"/>
      <c r="J3002" s="1293"/>
      <c r="K3002" s="1292"/>
    </row>
    <row r="3003" spans="6:11" ht="24" customHeight="1">
      <c r="F3003" s="1270"/>
      <c r="G3003" s="1270"/>
      <c r="H3003" s="1270"/>
      <c r="I3003" s="1270"/>
      <c r="J3003" s="1272"/>
      <c r="K3003" s="1270"/>
    </row>
    <row r="3004" spans="6:11" ht="42" customHeight="1">
      <c r="F3004" s="1270">
        <v>1</v>
      </c>
      <c r="G3004" s="1292" t="s">
        <v>16</v>
      </c>
      <c r="H3004" s="1270" t="s">
        <v>2784</v>
      </c>
      <c r="I3004" s="1270">
        <f>AC38</f>
        <v>513</v>
      </c>
      <c r="J3004" s="1295" t="s">
        <v>16</v>
      </c>
      <c r="K3004" s="1292">
        <f>F3004*I3004</f>
        <v>513</v>
      </c>
    </row>
    <row r="3005" spans="6:11" ht="24" customHeight="1">
      <c r="F3005" s="1270">
        <v>1</v>
      </c>
      <c r="G3005" s="1292" t="s">
        <v>16</v>
      </c>
      <c r="H3005" s="1270" t="s">
        <v>5179</v>
      </c>
      <c r="I3005" s="1270">
        <f>AE28</f>
        <v>33.6</v>
      </c>
      <c r="J3005" s="1295" t="s">
        <v>16</v>
      </c>
      <c r="K3005" s="1292">
        <f>F3005*I3005</f>
        <v>33.6</v>
      </c>
    </row>
    <row r="3006" spans="6:11" ht="24" customHeight="1">
      <c r="F3006" s="1270"/>
      <c r="G3006" s="1270"/>
      <c r="H3006" s="1270"/>
      <c r="I3006" s="1270"/>
      <c r="J3006" s="1272"/>
      <c r="K3006" s="1275">
        <f>SUM(K3004:K3005)</f>
        <v>546.6</v>
      </c>
    </row>
    <row r="3008" spans="6:11" ht="24" customHeight="1">
      <c r="H3008" s="1105" t="s">
        <v>5180</v>
      </c>
      <c r="I3008" s="1154"/>
      <c r="J3008" s="1109"/>
    </row>
    <row r="3009" spans="8:11" ht="32.25" customHeight="1">
      <c r="H3009" s="1154" t="s">
        <v>5181</v>
      </c>
      <c r="I3009" s="1270">
        <f>C764</f>
        <v>1010</v>
      </c>
      <c r="J3009" s="1109" t="s">
        <v>992</v>
      </c>
      <c r="K3009" s="1105">
        <f>I3009</f>
        <v>1010</v>
      </c>
    </row>
    <row r="3010" spans="8:11" ht="24" customHeight="1">
      <c r="J3010" s="1109"/>
    </row>
    <row r="3011" spans="8:11" ht="24" customHeight="1">
      <c r="J3011" s="1109"/>
    </row>
    <row r="3012" spans="8:11" ht="24" customHeight="1">
      <c r="H3012" s="1105" t="s">
        <v>5182</v>
      </c>
      <c r="I3012" s="1105">
        <v>471.2</v>
      </c>
      <c r="J3012" s="1109" t="s">
        <v>992</v>
      </c>
      <c r="K3012" s="1105">
        <f>I3012</f>
        <v>471.2</v>
      </c>
    </row>
    <row r="3013" spans="8:11" ht="24" customHeight="1">
      <c r="J3013" s="1109"/>
    </row>
    <row r="3014" spans="8:11" ht="24" customHeight="1">
      <c r="H3014" s="1105" t="s">
        <v>5183</v>
      </c>
      <c r="I3014" s="1105">
        <v>379.4</v>
      </c>
      <c r="J3014" s="1109" t="s">
        <v>992</v>
      </c>
      <c r="K3014" s="1105">
        <f>I3014</f>
        <v>379.4</v>
      </c>
    </row>
    <row r="3015" spans="8:11" ht="24" customHeight="1">
      <c r="J3015" s="1109"/>
    </row>
    <row r="3016" spans="8:11" ht="24" customHeight="1">
      <c r="H3016" s="1105" t="s">
        <v>5184</v>
      </c>
      <c r="J3016" s="1109"/>
    </row>
    <row r="3017" spans="8:11" ht="24" customHeight="1">
      <c r="H3017" s="1105" t="s">
        <v>5185</v>
      </c>
      <c r="I3017" s="1105">
        <v>948</v>
      </c>
      <c r="J3017" s="1109" t="s">
        <v>992</v>
      </c>
      <c r="K3017" s="1105">
        <f>I3017</f>
        <v>948</v>
      </c>
    </row>
    <row r="3018" spans="8:11" ht="24" customHeight="1">
      <c r="H3018" s="1103" t="s">
        <v>5186</v>
      </c>
      <c r="I3018" s="1105">
        <f>K2291</f>
        <v>1942.75</v>
      </c>
      <c r="J3018" s="1109"/>
      <c r="K3018" s="1105">
        <f>I3018</f>
        <v>1942.75</v>
      </c>
    </row>
    <row r="3019" spans="8:11" ht="24" customHeight="1">
      <c r="J3019" s="1109"/>
    </row>
    <row r="3020" spans="8:11" ht="44.25" customHeight="1">
      <c r="J3020" s="1109"/>
    </row>
    <row r="3021" spans="8:11" ht="68.25" customHeight="1">
      <c r="J3021" s="1109"/>
    </row>
    <row r="3022" spans="8:11" ht="24" customHeight="1">
      <c r="J3022" s="1109"/>
    </row>
    <row r="3023" spans="8:11" ht="24" customHeight="1">
      <c r="J3023" s="1109"/>
    </row>
    <row r="3024" spans="8:11" ht="24" customHeight="1">
      <c r="J3024" s="1109"/>
    </row>
    <row r="3025" spans="8:11" ht="24" customHeight="1">
      <c r="H3025" s="1145"/>
      <c r="J3025" s="1109"/>
    </row>
    <row r="3026" spans="8:11" ht="24" customHeight="1">
      <c r="J3026" s="1109"/>
    </row>
    <row r="3027" spans="8:11" ht="24" customHeight="1">
      <c r="H3027" s="1184"/>
      <c r="I3027" s="1119"/>
      <c r="J3027" s="1243"/>
      <c r="K3027" s="1119"/>
    </row>
    <row r="3030" spans="8:11" ht="24" customHeight="1">
      <c r="H3030" s="1105" t="s">
        <v>1736</v>
      </c>
    </row>
    <row r="3031" spans="8:11" ht="24" customHeight="1">
      <c r="H3031" s="1105" t="s">
        <v>5187</v>
      </c>
      <c r="J3031" s="1107" t="s">
        <v>522</v>
      </c>
      <c r="K3031" s="1105">
        <v>130</v>
      </c>
    </row>
    <row r="3033" spans="8:11" ht="24" customHeight="1">
      <c r="H3033" s="1105" t="s">
        <v>5188</v>
      </c>
      <c r="J3033" s="1107" t="s">
        <v>522</v>
      </c>
      <c r="K3033" s="1105">
        <v>170</v>
      </c>
    </row>
    <row r="3036" spans="8:11" ht="24" customHeight="1">
      <c r="H3036" s="1103" t="s">
        <v>5189</v>
      </c>
      <c r="J3036" s="1107" t="s">
        <v>522</v>
      </c>
      <c r="K3036" s="1114">
        <v>443</v>
      </c>
    </row>
    <row r="3038" spans="8:11" ht="45" customHeight="1">
      <c r="H3038" s="1129" t="s">
        <v>5190</v>
      </c>
      <c r="J3038" s="1107" t="s">
        <v>522</v>
      </c>
      <c r="K3038" s="1114">
        <f>[8]Elec.Data!K3767</f>
        <v>1437.4</v>
      </c>
    </row>
    <row r="3040" spans="8:11" ht="41.25" customHeight="1"/>
    <row r="3041" spans="6:18" ht="24" customHeight="1">
      <c r="H3041" s="1105" t="s">
        <v>5184</v>
      </c>
      <c r="J3041" s="1107" t="s">
        <v>522</v>
      </c>
      <c r="K3041" s="1105">
        <f>K3017</f>
        <v>948</v>
      </c>
    </row>
    <row r="3042" spans="6:18" ht="24" customHeight="1">
      <c r="H3042" s="1105" t="s">
        <v>5191</v>
      </c>
    </row>
    <row r="3044" spans="6:18" ht="24" customHeight="1">
      <c r="F3044" s="1105">
        <v>0.5</v>
      </c>
      <c r="H3044" s="1105" t="s">
        <v>5192</v>
      </c>
      <c r="J3044" s="1107">
        <f>C15</f>
        <v>747</v>
      </c>
      <c r="K3044" s="1105">
        <f>J3044*F3044</f>
        <v>373.5</v>
      </c>
    </row>
    <row r="3045" spans="6:18" ht="24" customHeight="1">
      <c r="F3045" s="1105">
        <v>0.5</v>
      </c>
      <c r="H3045" s="1105" t="s">
        <v>4184</v>
      </c>
      <c r="J3045" s="1107">
        <f>C12</f>
        <v>562</v>
      </c>
      <c r="K3045" s="1105">
        <f>J3045*F3045</f>
        <v>281</v>
      </c>
    </row>
    <row r="3046" spans="6:18" ht="24" customHeight="1">
      <c r="I3046" s="1494" t="s">
        <v>5193</v>
      </c>
      <c r="J3046" s="1494"/>
      <c r="K3046" s="1119">
        <f>SUM(K3041:K3045)</f>
        <v>1602.5</v>
      </c>
    </row>
    <row r="3049" spans="6:18" ht="24" customHeight="1">
      <c r="F3049" s="1183" t="s">
        <v>4044</v>
      </c>
      <c r="G3049" s="1180" t="s">
        <v>1363</v>
      </c>
      <c r="H3049" s="1182" t="s">
        <v>5128</v>
      </c>
      <c r="I3049" s="1270"/>
      <c r="J3049" s="1272"/>
      <c r="K3049" s="1270"/>
    </row>
    <row r="3050" spans="6:18" ht="24" customHeight="1">
      <c r="F3050" s="1270"/>
      <c r="G3050" s="1270"/>
      <c r="H3050" s="1182" t="s">
        <v>4046</v>
      </c>
      <c r="I3050" s="1270"/>
      <c r="J3050" s="1272"/>
      <c r="K3050" s="1270"/>
    </row>
    <row r="3051" spans="6:18" ht="24" customHeight="1">
      <c r="F3051" s="1270"/>
      <c r="G3051" s="1270"/>
      <c r="H3051" s="1182" t="s">
        <v>5194</v>
      </c>
      <c r="I3051" s="1270"/>
      <c r="J3051" s="1272"/>
      <c r="K3051" s="1270"/>
    </row>
    <row r="3052" spans="6:18" ht="24" customHeight="1">
      <c r="F3052" s="1270"/>
      <c r="G3052" s="1270"/>
      <c r="H3052" s="1276" t="s">
        <v>36</v>
      </c>
      <c r="I3052" s="1270"/>
      <c r="J3052" s="1272"/>
      <c r="K3052" s="1270"/>
    </row>
    <row r="3053" spans="6:18" ht="24" customHeight="1">
      <c r="F3053" s="1270"/>
      <c r="G3053" s="1270"/>
      <c r="H3053" s="1182" t="s">
        <v>5195</v>
      </c>
      <c r="I3053" s="1270"/>
      <c r="J3053" s="1272"/>
      <c r="K3053" s="1270"/>
    </row>
    <row r="3054" spans="6:18" ht="24" customHeight="1">
      <c r="F3054" s="1270"/>
      <c r="G3054" s="1270"/>
      <c r="H3054" s="1270"/>
      <c r="I3054" s="1270"/>
      <c r="J3054" s="1272"/>
      <c r="K3054" s="1270"/>
    </row>
    <row r="3055" spans="6:18" ht="38.25" customHeight="1">
      <c r="F3055" s="1310">
        <v>2.2275</v>
      </c>
      <c r="G3055" s="1180" t="s">
        <v>3189</v>
      </c>
      <c r="H3055" s="1284" t="s">
        <v>5130</v>
      </c>
      <c r="I3055" s="1270">
        <f>I2834</f>
        <v>2370</v>
      </c>
      <c r="J3055" s="1183" t="s">
        <v>3189</v>
      </c>
      <c r="K3055" s="1270">
        <f>F3056*I3055</f>
        <v>5279.1750000000002</v>
      </c>
    </row>
    <row r="3056" spans="6:18" ht="24" customHeight="1">
      <c r="F3056" s="1307">
        <f>F3055</f>
        <v>2.2275</v>
      </c>
      <c r="G3056" s="1180" t="s">
        <v>3189</v>
      </c>
      <c r="H3056" s="1182" t="s">
        <v>4059</v>
      </c>
      <c r="I3056" s="1279">
        <f>I2867</f>
        <v>285</v>
      </c>
      <c r="J3056" s="1183" t="s">
        <v>3189</v>
      </c>
      <c r="K3056" s="1180">
        <f t="shared" ref="K3056:K3062" si="274">(F3056*I3056)</f>
        <v>634.83749999999998</v>
      </c>
      <c r="M3056" s="1183" t="s">
        <v>4044</v>
      </c>
      <c r="N3056" s="1180" t="s">
        <v>1363</v>
      </c>
      <c r="O3056" s="1182" t="s">
        <v>5128</v>
      </c>
      <c r="P3056" s="1270"/>
      <c r="Q3056" s="1272"/>
      <c r="R3056" s="1270"/>
    </row>
    <row r="3057" spans="6:18" ht="24" customHeight="1">
      <c r="F3057" s="1180">
        <v>4</v>
      </c>
      <c r="G3057" s="1180" t="s">
        <v>2941</v>
      </c>
      <c r="H3057" s="1182" t="s">
        <v>4060</v>
      </c>
      <c r="I3057" s="1270">
        <f t="shared" ref="I3057:I3062" si="275">I2972</f>
        <v>53.4</v>
      </c>
      <c r="J3057" s="1183" t="s">
        <v>2838</v>
      </c>
      <c r="K3057" s="1180">
        <f t="shared" si="274"/>
        <v>213.6</v>
      </c>
      <c r="M3057" s="1270"/>
      <c r="N3057" s="1270"/>
      <c r="O3057" s="1182" t="s">
        <v>4046</v>
      </c>
      <c r="P3057" s="1270"/>
      <c r="Q3057" s="1272"/>
      <c r="R3057" s="1270"/>
    </row>
    <row r="3058" spans="6:18" ht="24" customHeight="1">
      <c r="F3058" s="1180">
        <v>6</v>
      </c>
      <c r="G3058" s="1180" t="s">
        <v>2838</v>
      </c>
      <c r="H3058" s="1182" t="s">
        <v>4061</v>
      </c>
      <c r="I3058" s="1270">
        <f t="shared" si="275"/>
        <v>83</v>
      </c>
      <c r="J3058" s="1183" t="s">
        <v>2838</v>
      </c>
      <c r="K3058" s="1180">
        <f t="shared" si="274"/>
        <v>498</v>
      </c>
      <c r="M3058" s="1270"/>
      <c r="N3058" s="1270"/>
      <c r="O3058" s="1182" t="s">
        <v>5196</v>
      </c>
      <c r="P3058" s="1270"/>
      <c r="Q3058" s="1272"/>
      <c r="R3058" s="1270"/>
    </row>
    <row r="3059" spans="6:18" ht="24" customHeight="1">
      <c r="F3059" s="1180">
        <v>4</v>
      </c>
      <c r="G3059" s="1180" t="s">
        <v>2838</v>
      </c>
      <c r="H3059" s="1182" t="s">
        <v>4063</v>
      </c>
      <c r="I3059" s="1270">
        <f t="shared" si="275"/>
        <v>60</v>
      </c>
      <c r="J3059" s="1183" t="s">
        <v>2838</v>
      </c>
      <c r="K3059" s="1180">
        <f t="shared" si="274"/>
        <v>240</v>
      </c>
      <c r="M3059" s="1270"/>
      <c r="N3059" s="1270"/>
      <c r="O3059" s="1276" t="s">
        <v>36</v>
      </c>
      <c r="P3059" s="1270"/>
      <c r="Q3059" s="1272"/>
      <c r="R3059" s="1270"/>
    </row>
    <row r="3060" spans="6:18" ht="24" customHeight="1">
      <c r="F3060" s="1180">
        <v>1</v>
      </c>
      <c r="G3060" s="1180" t="s">
        <v>2838</v>
      </c>
      <c r="H3060" s="1182" t="s">
        <v>4065</v>
      </c>
      <c r="I3060" s="1270">
        <f t="shared" si="275"/>
        <v>167.6</v>
      </c>
      <c r="J3060" s="1183" t="s">
        <v>2838</v>
      </c>
      <c r="K3060" s="1180">
        <f t="shared" si="274"/>
        <v>167.6</v>
      </c>
      <c r="M3060" s="1270"/>
      <c r="N3060" s="1270"/>
      <c r="O3060" s="1182" t="s">
        <v>5197</v>
      </c>
      <c r="P3060" s="1270"/>
      <c r="Q3060" s="1272"/>
      <c r="R3060" s="1270"/>
    </row>
    <row r="3061" spans="6:18" ht="24" customHeight="1">
      <c r="F3061" s="1180">
        <v>2</v>
      </c>
      <c r="G3061" s="1180" t="s">
        <v>2838</v>
      </c>
      <c r="H3061" s="1182" t="s">
        <v>4067</v>
      </c>
      <c r="I3061" s="1270">
        <f t="shared" si="275"/>
        <v>7.3</v>
      </c>
      <c r="J3061" s="1183" t="s">
        <v>2838</v>
      </c>
      <c r="K3061" s="1180">
        <f t="shared" si="274"/>
        <v>14.6</v>
      </c>
      <c r="M3061" s="1270"/>
      <c r="N3061" s="1270"/>
      <c r="O3061" s="1270"/>
      <c r="P3061" s="1270"/>
      <c r="Q3061" s="1272"/>
      <c r="R3061" s="1270"/>
    </row>
    <row r="3062" spans="6:18" ht="33.75" customHeight="1">
      <c r="F3062" s="1180">
        <v>2</v>
      </c>
      <c r="G3062" s="1180" t="s">
        <v>2838</v>
      </c>
      <c r="H3062" s="1182" t="s">
        <v>3214</v>
      </c>
      <c r="I3062" s="1270">
        <f t="shared" si="275"/>
        <v>45.9</v>
      </c>
      <c r="J3062" s="1183" t="s">
        <v>2838</v>
      </c>
      <c r="K3062" s="1180">
        <f t="shared" si="274"/>
        <v>91.8</v>
      </c>
      <c r="M3062" s="1286">
        <v>3.29</v>
      </c>
      <c r="N3062" s="1180" t="s">
        <v>3189</v>
      </c>
      <c r="O3062" s="1284" t="s">
        <v>5130</v>
      </c>
      <c r="P3062" s="1270">
        <f>I3055</f>
        <v>2370</v>
      </c>
      <c r="Q3062" s="1183" t="s">
        <v>3189</v>
      </c>
      <c r="R3062" s="1270">
        <f>M3063*P3062</f>
        <v>7797.3</v>
      </c>
    </row>
    <row r="3063" spans="6:18" ht="33.75" customHeight="1">
      <c r="F3063" s="1270"/>
      <c r="G3063" s="1270"/>
      <c r="H3063" s="1270"/>
      <c r="I3063" s="1270"/>
      <c r="J3063" s="1272"/>
      <c r="K3063" s="1279">
        <v>0.2</v>
      </c>
      <c r="M3063" s="1302">
        <v>3.29</v>
      </c>
      <c r="N3063" s="1180" t="s">
        <v>3189</v>
      </c>
      <c r="O3063" s="1182" t="s">
        <v>4059</v>
      </c>
      <c r="P3063" s="1270">
        <f t="shared" ref="P3063:P3069" si="276">I3056</f>
        <v>285</v>
      </c>
      <c r="Q3063" s="1183" t="s">
        <v>3189</v>
      </c>
      <c r="R3063" s="1180">
        <f t="shared" ref="R3063:R3069" si="277">(M3063*P3063)</f>
        <v>937.65</v>
      </c>
    </row>
    <row r="3064" spans="6:18" ht="24" customHeight="1">
      <c r="F3064" s="1270"/>
      <c r="G3064" s="1270"/>
      <c r="H3064" s="1182" t="s">
        <v>5198</v>
      </c>
      <c r="I3064" s="1270"/>
      <c r="J3064" s="1272"/>
      <c r="K3064" s="1180">
        <f>SUM(K3055:K3063)</f>
        <v>7139.8125000000009</v>
      </c>
      <c r="M3064" s="1180">
        <v>4</v>
      </c>
      <c r="N3064" s="1180" t="s">
        <v>2941</v>
      </c>
      <c r="O3064" s="1182" t="s">
        <v>4060</v>
      </c>
      <c r="P3064" s="1270">
        <f t="shared" si="276"/>
        <v>53.4</v>
      </c>
      <c r="Q3064" s="1183" t="s">
        <v>2838</v>
      </c>
      <c r="R3064" s="1180">
        <f t="shared" si="277"/>
        <v>213.6</v>
      </c>
    </row>
    <row r="3065" spans="6:18" ht="24" customHeight="1">
      <c r="F3065" s="1270"/>
      <c r="G3065" s="1270"/>
      <c r="H3065" s="1270"/>
      <c r="I3065" s="1270"/>
      <c r="J3065" s="1272"/>
      <c r="K3065" s="1276" t="s">
        <v>36</v>
      </c>
      <c r="M3065" s="1180">
        <v>6</v>
      </c>
      <c r="N3065" s="1180" t="s">
        <v>2838</v>
      </c>
      <c r="O3065" s="1182" t="s">
        <v>4061</v>
      </c>
      <c r="P3065" s="1270">
        <f t="shared" si="276"/>
        <v>83</v>
      </c>
      <c r="Q3065" s="1183" t="s">
        <v>2838</v>
      </c>
      <c r="R3065" s="1180">
        <f t="shared" si="277"/>
        <v>498</v>
      </c>
    </row>
    <row r="3066" spans="6:18" ht="24" customHeight="1">
      <c r="F3066" s="1270"/>
      <c r="G3066" s="1270"/>
      <c r="H3066" s="1182" t="s">
        <v>3154</v>
      </c>
      <c r="I3066" s="1270"/>
      <c r="J3066" s="1272"/>
      <c r="K3066" s="1180">
        <f>K3064/F3056</f>
        <v>3205.3030303030305</v>
      </c>
      <c r="M3066" s="1180">
        <v>4</v>
      </c>
      <c r="N3066" s="1180" t="s">
        <v>2838</v>
      </c>
      <c r="O3066" s="1182" t="s">
        <v>4063</v>
      </c>
      <c r="P3066" s="1270">
        <f t="shared" si="276"/>
        <v>60</v>
      </c>
      <c r="Q3066" s="1183" t="s">
        <v>2838</v>
      </c>
      <c r="R3066" s="1180">
        <f t="shared" si="277"/>
        <v>240</v>
      </c>
    </row>
    <row r="3067" spans="6:18" ht="24" customHeight="1">
      <c r="M3067" s="1180">
        <v>1</v>
      </c>
      <c r="N3067" s="1180" t="s">
        <v>2838</v>
      </c>
      <c r="O3067" s="1182" t="s">
        <v>4065</v>
      </c>
      <c r="P3067" s="1270">
        <f t="shared" si="276"/>
        <v>167.6</v>
      </c>
      <c r="Q3067" s="1183" t="s">
        <v>2838</v>
      </c>
      <c r="R3067" s="1180">
        <f t="shared" si="277"/>
        <v>167.6</v>
      </c>
    </row>
    <row r="3068" spans="6:18" ht="24" customHeight="1">
      <c r="F3068" s="1183" t="s">
        <v>4044</v>
      </c>
      <c r="G3068" s="1180" t="s">
        <v>1363</v>
      </c>
      <c r="H3068" s="1182" t="s">
        <v>5128</v>
      </c>
      <c r="I3068" s="1270"/>
      <c r="J3068" s="1272"/>
      <c r="K3068" s="1270"/>
      <c r="M3068" s="1180">
        <v>2</v>
      </c>
      <c r="N3068" s="1180" t="s">
        <v>2838</v>
      </c>
      <c r="O3068" s="1182" t="s">
        <v>4067</v>
      </c>
      <c r="P3068" s="1270">
        <f t="shared" si="276"/>
        <v>7.3</v>
      </c>
      <c r="Q3068" s="1183" t="s">
        <v>2838</v>
      </c>
      <c r="R3068" s="1180">
        <f t="shared" si="277"/>
        <v>14.6</v>
      </c>
    </row>
    <row r="3069" spans="6:18" ht="24" customHeight="1">
      <c r="F3069" s="1270"/>
      <c r="G3069" s="1270"/>
      <c r="H3069" s="1182" t="s">
        <v>4046</v>
      </c>
      <c r="I3069" s="1270"/>
      <c r="J3069" s="1272"/>
      <c r="K3069" s="1270"/>
      <c r="M3069" s="1180">
        <v>2</v>
      </c>
      <c r="N3069" s="1180" t="s">
        <v>2838</v>
      </c>
      <c r="O3069" s="1182" t="s">
        <v>3214</v>
      </c>
      <c r="P3069" s="1270">
        <f t="shared" si="276"/>
        <v>45.9</v>
      </c>
      <c r="Q3069" s="1183" t="s">
        <v>2838</v>
      </c>
      <c r="R3069" s="1180">
        <f t="shared" si="277"/>
        <v>91.8</v>
      </c>
    </row>
    <row r="3070" spans="6:18" ht="24" customHeight="1">
      <c r="F3070" s="1270"/>
      <c r="G3070" s="1270"/>
      <c r="H3070" s="1182" t="s">
        <v>5199</v>
      </c>
      <c r="I3070" s="1270"/>
      <c r="J3070" s="1272"/>
      <c r="K3070" s="1270"/>
      <c r="M3070" s="1270"/>
      <c r="N3070" s="1270"/>
      <c r="O3070" s="1270"/>
      <c r="P3070" s="1270"/>
      <c r="Q3070" s="1272"/>
      <c r="R3070" s="1276" t="s">
        <v>36</v>
      </c>
    </row>
    <row r="3071" spans="6:18" ht="24" customHeight="1">
      <c r="F3071" s="1270"/>
      <c r="G3071" s="1270"/>
      <c r="H3071" s="1276" t="s">
        <v>36</v>
      </c>
      <c r="I3071" s="1270"/>
      <c r="J3071" s="1272"/>
      <c r="K3071" s="1270"/>
      <c r="M3071" s="1270"/>
      <c r="N3071" s="1270"/>
      <c r="O3071" s="1182" t="s">
        <v>5200</v>
      </c>
      <c r="P3071" s="1270"/>
      <c r="Q3071" s="1272"/>
      <c r="R3071" s="1180">
        <f>SUM(R3062:R3070)+0.5</f>
        <v>9961.0500000000011</v>
      </c>
    </row>
    <row r="3072" spans="6:18" ht="24" customHeight="1">
      <c r="F3072" s="1270"/>
      <c r="G3072" s="1270"/>
      <c r="H3072" s="1182" t="s">
        <v>5201</v>
      </c>
      <c r="I3072" s="1270"/>
      <c r="J3072" s="1272"/>
      <c r="K3072" s="1270"/>
      <c r="M3072" s="1270"/>
      <c r="N3072" s="1270"/>
      <c r="O3072" s="1270"/>
      <c r="P3072" s="1270"/>
      <c r="Q3072" s="1272"/>
      <c r="R3072" s="1276" t="s">
        <v>36</v>
      </c>
    </row>
    <row r="3073" spans="6:18" ht="24" customHeight="1">
      <c r="F3073" s="1270"/>
      <c r="G3073" s="1270"/>
      <c r="H3073" s="1270"/>
      <c r="I3073" s="1270"/>
      <c r="J3073" s="1272"/>
      <c r="K3073" s="1270"/>
      <c r="M3073" s="1270"/>
      <c r="N3073" s="1270"/>
      <c r="O3073" s="1182" t="s">
        <v>3154</v>
      </c>
      <c r="P3073" s="1270"/>
      <c r="Q3073" s="1272"/>
      <c r="R3073" s="1180">
        <f>R3071/M3062</f>
        <v>3027.6747720364747</v>
      </c>
    </row>
    <row r="3074" spans="6:18" ht="24" customHeight="1">
      <c r="F3074" s="1286">
        <v>2.87</v>
      </c>
      <c r="G3074" s="1180" t="s">
        <v>3189</v>
      </c>
      <c r="H3074" s="1284" t="s">
        <v>5130</v>
      </c>
      <c r="I3074" s="1270">
        <f>I3055</f>
        <v>2370</v>
      </c>
      <c r="J3074" s="1183" t="s">
        <v>3189</v>
      </c>
      <c r="K3074" s="1270">
        <f>F3075*I3074</f>
        <v>6801.9000000000005</v>
      </c>
      <c r="Q3074" s="1107"/>
    </row>
    <row r="3075" spans="6:18" ht="24" customHeight="1">
      <c r="F3075" s="1302">
        <f>F3074</f>
        <v>2.87</v>
      </c>
      <c r="G3075" s="1180" t="s">
        <v>3189</v>
      </c>
      <c r="H3075" s="1182" t="s">
        <v>4059</v>
      </c>
      <c r="I3075" s="1279">
        <f t="shared" ref="I3075:I3081" si="278">I3056</f>
        <v>285</v>
      </c>
      <c r="J3075" s="1183" t="s">
        <v>3189</v>
      </c>
      <c r="K3075" s="1180">
        <f t="shared" ref="K3075:K3081" si="279">(F3075*I3075)</f>
        <v>817.95</v>
      </c>
    </row>
    <row r="3076" spans="6:18" ht="24" customHeight="1">
      <c r="F3076" s="1180">
        <v>4</v>
      </c>
      <c r="G3076" s="1180" t="s">
        <v>2941</v>
      </c>
      <c r="H3076" s="1182" t="s">
        <v>4060</v>
      </c>
      <c r="I3076" s="1270">
        <f t="shared" si="278"/>
        <v>53.4</v>
      </c>
      <c r="J3076" s="1183" t="s">
        <v>2838</v>
      </c>
      <c r="K3076" s="1180">
        <f t="shared" si="279"/>
        <v>213.6</v>
      </c>
    </row>
    <row r="3077" spans="6:18" ht="24" customHeight="1">
      <c r="F3077" s="1180">
        <v>6</v>
      </c>
      <c r="G3077" s="1180" t="s">
        <v>2838</v>
      </c>
      <c r="H3077" s="1182" t="s">
        <v>4061</v>
      </c>
      <c r="I3077" s="1270">
        <f t="shared" si="278"/>
        <v>83</v>
      </c>
      <c r="J3077" s="1183" t="s">
        <v>2838</v>
      </c>
      <c r="K3077" s="1180">
        <f t="shared" si="279"/>
        <v>498</v>
      </c>
    </row>
    <row r="3078" spans="6:18" ht="24" customHeight="1">
      <c r="F3078" s="1180">
        <v>4</v>
      </c>
      <c r="G3078" s="1180" t="s">
        <v>2838</v>
      </c>
      <c r="H3078" s="1182" t="s">
        <v>4063</v>
      </c>
      <c r="I3078" s="1270">
        <f t="shared" si="278"/>
        <v>60</v>
      </c>
      <c r="J3078" s="1183" t="s">
        <v>2838</v>
      </c>
      <c r="K3078" s="1180">
        <f t="shared" si="279"/>
        <v>240</v>
      </c>
    </row>
    <row r="3079" spans="6:18" ht="24" customHeight="1">
      <c r="F3079" s="1180">
        <v>1</v>
      </c>
      <c r="G3079" s="1180" t="s">
        <v>2838</v>
      </c>
      <c r="H3079" s="1182" t="s">
        <v>4065</v>
      </c>
      <c r="I3079" s="1270">
        <f t="shared" si="278"/>
        <v>167.6</v>
      </c>
      <c r="J3079" s="1183" t="s">
        <v>2838</v>
      </c>
      <c r="K3079" s="1180">
        <f t="shared" si="279"/>
        <v>167.6</v>
      </c>
    </row>
    <row r="3080" spans="6:18" ht="24" customHeight="1">
      <c r="F3080" s="1180">
        <v>2</v>
      </c>
      <c r="G3080" s="1180" t="s">
        <v>2838</v>
      </c>
      <c r="H3080" s="1182" t="s">
        <v>4067</v>
      </c>
      <c r="I3080" s="1270">
        <f t="shared" si="278"/>
        <v>7.3</v>
      </c>
      <c r="J3080" s="1183" t="s">
        <v>2838</v>
      </c>
      <c r="K3080" s="1180">
        <f t="shared" si="279"/>
        <v>14.6</v>
      </c>
    </row>
    <row r="3081" spans="6:18" ht="24" customHeight="1">
      <c r="F3081" s="1180">
        <v>2</v>
      </c>
      <c r="G3081" s="1180" t="s">
        <v>2838</v>
      </c>
      <c r="H3081" s="1182" t="s">
        <v>3214</v>
      </c>
      <c r="I3081" s="1270">
        <f t="shared" si="278"/>
        <v>45.9</v>
      </c>
      <c r="J3081" s="1183" t="s">
        <v>2838</v>
      </c>
      <c r="K3081" s="1180">
        <f t="shared" si="279"/>
        <v>91.8</v>
      </c>
    </row>
    <row r="3082" spans="6:18" ht="24" customHeight="1">
      <c r="F3082" s="1270"/>
      <c r="G3082" s="1270"/>
      <c r="H3082" s="1270"/>
      <c r="I3082" s="1270"/>
      <c r="J3082" s="1272"/>
      <c r="K3082" s="1279">
        <f>1.19+0.16</f>
        <v>1.3499999999999999</v>
      </c>
    </row>
    <row r="3083" spans="6:18" ht="24" customHeight="1">
      <c r="F3083" s="1270"/>
      <c r="G3083" s="1270"/>
      <c r="H3083" s="1182" t="s">
        <v>5202</v>
      </c>
      <c r="I3083" s="1270"/>
      <c r="J3083" s="1272"/>
      <c r="K3083" s="1180">
        <f>SUM(K3074:K3082)</f>
        <v>8846.8000000000011</v>
      </c>
    </row>
    <row r="3084" spans="6:18" ht="24" customHeight="1">
      <c r="F3084" s="1270"/>
      <c r="G3084" s="1270"/>
      <c r="H3084" s="1270"/>
      <c r="I3084" s="1270"/>
      <c r="J3084" s="1272"/>
      <c r="K3084" s="1276" t="s">
        <v>36</v>
      </c>
    </row>
    <row r="3085" spans="6:18" ht="24" customHeight="1">
      <c r="F3085" s="1270"/>
      <c r="G3085" s="1270"/>
      <c r="H3085" s="1182" t="s">
        <v>3154</v>
      </c>
      <c r="I3085" s="1270"/>
      <c r="J3085" s="1272"/>
      <c r="K3085" s="1180">
        <f>K3083/F3075</f>
        <v>3082.508710801394</v>
      </c>
    </row>
    <row r="3087" spans="6:18" ht="24" customHeight="1">
      <c r="F3087" s="1253" t="s">
        <v>1033</v>
      </c>
      <c r="G3087" s="1254"/>
      <c r="H3087" s="1125" t="s">
        <v>5203</v>
      </c>
      <c r="I3087" s="1254"/>
      <c r="J3087" s="1255"/>
      <c r="K3087" s="1254"/>
    </row>
    <row r="3088" spans="6:18" ht="24" customHeight="1">
      <c r="F3088" s="1254"/>
      <c r="G3088" s="1254"/>
      <c r="H3088" s="1256" t="s">
        <v>36</v>
      </c>
      <c r="I3088" s="1256" t="s">
        <v>36</v>
      </c>
      <c r="J3088" s="1125" t="s">
        <v>36</v>
      </c>
      <c r="K3088" s="1254"/>
    </row>
    <row r="3089" spans="6:42" ht="24" customHeight="1">
      <c r="F3089" s="1254"/>
      <c r="G3089" s="1254"/>
      <c r="H3089" s="1254"/>
      <c r="I3089" s="1254"/>
      <c r="J3089" s="1255"/>
      <c r="K3089" s="1254"/>
    </row>
    <row r="3090" spans="6:42" ht="24" customHeight="1">
      <c r="F3090" s="1254"/>
      <c r="G3090" s="1254"/>
      <c r="H3090" s="1125" t="s">
        <v>4158</v>
      </c>
      <c r="I3090" s="1254"/>
      <c r="J3090" s="1255"/>
      <c r="K3090" s="1254"/>
    </row>
    <row r="3091" spans="6:42" ht="24" customHeight="1">
      <c r="F3091" s="1254"/>
      <c r="G3091" s="1254"/>
      <c r="H3091" s="1125"/>
      <c r="I3091" s="1254"/>
      <c r="J3091" s="1255"/>
      <c r="K3091" s="1254"/>
    </row>
    <row r="3092" spans="6:42" ht="24" customHeight="1">
      <c r="F3092" s="1254"/>
      <c r="G3092" s="1254"/>
      <c r="H3092" s="1125" t="s">
        <v>4160</v>
      </c>
      <c r="I3092" s="1254"/>
      <c r="J3092" s="1255"/>
      <c r="K3092" s="1254"/>
    </row>
    <row r="3093" spans="6:42" ht="24" customHeight="1">
      <c r="F3093" s="1254"/>
      <c r="G3093" s="1254"/>
      <c r="H3093" s="1125" t="s">
        <v>4161</v>
      </c>
      <c r="I3093" s="1254"/>
      <c r="J3093" s="1255"/>
      <c r="K3093" s="1254"/>
    </row>
    <row r="3094" spans="6:42" ht="24" customHeight="1">
      <c r="F3094" s="1254"/>
      <c r="G3094" s="1254"/>
      <c r="H3094" s="1125" t="s">
        <v>4162</v>
      </c>
      <c r="I3094" s="1254"/>
      <c r="J3094" s="1255"/>
      <c r="K3094" s="1254"/>
      <c r="S3094" s="1104"/>
      <c r="T3094" s="1114"/>
      <c r="U3094" s="1103"/>
      <c r="W3094" s="1107"/>
    </row>
    <row r="3095" spans="6:42" ht="24" customHeight="1">
      <c r="F3095" s="1254"/>
      <c r="G3095" s="1254"/>
      <c r="H3095" s="1125" t="s">
        <v>4163</v>
      </c>
      <c r="I3095" s="1254"/>
      <c r="J3095" s="1255"/>
      <c r="K3095" s="1254"/>
      <c r="S3095" s="1105"/>
      <c r="U3095" s="1103"/>
      <c r="W3095" s="1107"/>
    </row>
    <row r="3096" spans="6:42" ht="24" customHeight="1">
      <c r="F3096" s="1254"/>
      <c r="G3096" s="1254"/>
      <c r="H3096" s="1125" t="s">
        <v>5052</v>
      </c>
      <c r="I3096" s="1254"/>
      <c r="J3096" s="1125" t="s">
        <v>220</v>
      </c>
      <c r="K3096" s="1257">
        <v>3.7699999999999997E-2</v>
      </c>
      <c r="S3096" s="1105"/>
      <c r="U3096" s="1103"/>
      <c r="W3096" s="1107"/>
    </row>
    <row r="3097" spans="6:42" ht="24" customHeight="1">
      <c r="F3097" s="1254"/>
      <c r="G3097" s="1254"/>
      <c r="H3097" s="1125" t="s">
        <v>5204</v>
      </c>
      <c r="I3097" s="1254"/>
      <c r="J3097" s="1258" t="s">
        <v>220</v>
      </c>
      <c r="K3097" s="1258" t="s">
        <v>220</v>
      </c>
      <c r="S3097" s="1105"/>
      <c r="U3097" s="1103"/>
      <c r="W3097" s="1107"/>
    </row>
    <row r="3098" spans="6:42" ht="24" customHeight="1">
      <c r="F3098" s="1254"/>
      <c r="G3098" s="1254"/>
      <c r="H3098" s="1125" t="s">
        <v>4168</v>
      </c>
      <c r="I3098" s="1254"/>
      <c r="J3098" s="1255"/>
      <c r="K3098" s="1258" t="s">
        <v>220</v>
      </c>
      <c r="S3098" s="1105"/>
      <c r="U3098" s="1103"/>
      <c r="W3098" s="1107"/>
    </row>
    <row r="3099" spans="6:42" ht="31.5" customHeight="1">
      <c r="F3099" s="1254"/>
      <c r="G3099" s="1254"/>
      <c r="H3099" s="1254"/>
      <c r="I3099" s="1254"/>
      <c r="J3099" s="1255"/>
      <c r="K3099" s="1254"/>
      <c r="S3099" s="1105"/>
      <c r="U3099" s="1105" t="s">
        <v>5205</v>
      </c>
      <c r="W3099" s="1107"/>
    </row>
    <row r="3100" spans="6:42" ht="24.75" customHeight="1">
      <c r="F3100" s="1259">
        <v>1.18E-2</v>
      </c>
      <c r="G3100" s="1260" t="s">
        <v>2839</v>
      </c>
      <c r="H3100" s="1125" t="s">
        <v>3205</v>
      </c>
      <c r="I3100" s="1260">
        <f>I2662</f>
        <v>111600</v>
      </c>
      <c r="J3100" s="1125" t="s">
        <v>2839</v>
      </c>
      <c r="K3100" s="1260">
        <f t="shared" ref="K3100:K3108" si="280">(F3100*I3100)</f>
        <v>1316.8799999999999</v>
      </c>
      <c r="S3100" s="1105"/>
      <c r="U3100" s="1113"/>
      <c r="W3100" s="1107"/>
    </row>
    <row r="3101" spans="6:42" ht="36" customHeight="1">
      <c r="F3101" s="1259">
        <v>3.7699999999999997E-2</v>
      </c>
      <c r="G3101" s="1260" t="s">
        <v>2839</v>
      </c>
      <c r="H3101" s="1125" t="s">
        <v>3206</v>
      </c>
      <c r="I3101" s="1260">
        <f t="shared" ref="I3101:I3108" si="281">I2663</f>
        <v>99400</v>
      </c>
      <c r="J3101" s="1125" t="s">
        <v>2839</v>
      </c>
      <c r="K3101" s="1260">
        <f t="shared" si="280"/>
        <v>3747.3799999999997</v>
      </c>
      <c r="S3101" s="1105"/>
      <c r="U3101" s="1103" t="s">
        <v>5206</v>
      </c>
      <c r="V3101" s="1148">
        <f xml:space="preserve"> 3.08*2.1</f>
        <v>6.4680000000000009</v>
      </c>
      <c r="W3101" s="1107" t="s">
        <v>833</v>
      </c>
      <c r="X3101" s="1105" t="s">
        <v>833</v>
      </c>
    </row>
    <row r="3102" spans="6:42" ht="45" customHeight="1">
      <c r="F3102" s="1259">
        <v>1.8550000000000001E-2</v>
      </c>
      <c r="G3102" s="1260" t="s">
        <v>2839</v>
      </c>
      <c r="H3102" s="1125" t="s">
        <v>4169</v>
      </c>
      <c r="I3102" s="1260">
        <f t="shared" si="281"/>
        <v>11800</v>
      </c>
      <c r="J3102" s="1125" t="s">
        <v>2839</v>
      </c>
      <c r="K3102" s="1260">
        <f t="shared" si="280"/>
        <v>218.89000000000001</v>
      </c>
      <c r="S3102" s="1105"/>
      <c r="U3102" s="1103" t="s">
        <v>5207</v>
      </c>
      <c r="V3102" s="1165">
        <f>4*2.05*0.075*0.0375</f>
        <v>2.3062499999999996E-2</v>
      </c>
      <c r="W3102" s="1107" t="s">
        <v>204</v>
      </c>
      <c r="AE3102" s="1119" t="s">
        <v>5208</v>
      </c>
      <c r="AP3102" s="1119" t="s">
        <v>5209</v>
      </c>
    </row>
    <row r="3103" spans="6:42" ht="31.5" customHeight="1">
      <c r="F3103" s="1259">
        <v>1.36</v>
      </c>
      <c r="G3103" s="1260" t="s">
        <v>3189</v>
      </c>
      <c r="H3103" s="1125" t="s">
        <v>5210</v>
      </c>
      <c r="I3103" s="1260">
        <f>I1055</f>
        <v>387.4</v>
      </c>
      <c r="J3103" s="1125" t="s">
        <v>3189</v>
      </c>
      <c r="K3103" s="1260">
        <f t="shared" si="280"/>
        <v>526.86400000000003</v>
      </c>
      <c r="S3103" s="1105"/>
      <c r="W3103" s="1103" t="s">
        <v>36</v>
      </c>
      <c r="AE3103" s="1105" t="s">
        <v>5211</v>
      </c>
      <c r="AP3103" s="1105" t="s">
        <v>5211</v>
      </c>
    </row>
    <row r="3104" spans="6:42" ht="31.5" customHeight="1">
      <c r="F3104" s="1259">
        <v>2.0499999999999998</v>
      </c>
      <c r="G3104" s="1260" t="s">
        <v>3189</v>
      </c>
      <c r="H3104" s="1125" t="s">
        <v>4171</v>
      </c>
      <c r="I3104" s="1260">
        <f t="shared" si="281"/>
        <v>1105</v>
      </c>
      <c r="J3104" s="1125" t="s">
        <v>3189</v>
      </c>
      <c r="K3104" s="1260">
        <f t="shared" si="280"/>
        <v>2265.25</v>
      </c>
      <c r="S3104" s="1105"/>
      <c r="U3104" s="1103" t="s">
        <v>5212</v>
      </c>
      <c r="V3104" s="1165">
        <f>2*3*0.55*0.15*0.0375</f>
        <v>1.8562499999999999E-2</v>
      </c>
      <c r="W3104" s="1107" t="s">
        <v>204</v>
      </c>
      <c r="AE3104" s="1105" t="s">
        <v>5213</v>
      </c>
      <c r="AP3104" s="1105" t="s">
        <v>5213</v>
      </c>
    </row>
    <row r="3105" spans="6:47" ht="36" customHeight="1">
      <c r="F3105" s="1260">
        <v>2</v>
      </c>
      <c r="G3105" s="1260" t="s">
        <v>2838</v>
      </c>
      <c r="H3105" s="1125" t="s">
        <v>5214</v>
      </c>
      <c r="I3105" s="1260">
        <v>52.8</v>
      </c>
      <c r="J3105" s="1125" t="s">
        <v>2838</v>
      </c>
      <c r="K3105" s="1260">
        <f t="shared" si="280"/>
        <v>105.6</v>
      </c>
      <c r="S3105" s="1105"/>
      <c r="U3105" s="1103" t="s">
        <v>220</v>
      </c>
      <c r="V3105" s="1103" t="s">
        <v>220</v>
      </c>
      <c r="W3105" s="1107"/>
      <c r="X3105" s="1159" t="s">
        <v>220</v>
      </c>
      <c r="AC3105" s="1105">
        <v>0.1</v>
      </c>
      <c r="AD3105" s="1105" t="s">
        <v>4</v>
      </c>
      <c r="AE3105" s="1105" t="s">
        <v>4832</v>
      </c>
      <c r="AF3105" s="1105">
        <f>AE17</f>
        <v>760</v>
      </c>
      <c r="AG3105" s="1105" t="s">
        <v>522</v>
      </c>
      <c r="AH3105" s="1105">
        <f>AC3105*AF3105</f>
        <v>76</v>
      </c>
      <c r="AM3105" s="1105">
        <v>0.1</v>
      </c>
      <c r="AN3105" s="1105" t="s">
        <v>4</v>
      </c>
      <c r="AP3105" s="1105" t="s">
        <v>4832</v>
      </c>
      <c r="AQ3105" s="1105">
        <f>AF3105</f>
        <v>760</v>
      </c>
      <c r="AR3105" s="1105" t="s">
        <v>522</v>
      </c>
      <c r="AS3105" s="1105">
        <f>AQ3105*AM3105</f>
        <v>76</v>
      </c>
    </row>
    <row r="3106" spans="6:47" ht="24.75" customHeight="1">
      <c r="F3106" s="1260">
        <v>6</v>
      </c>
      <c r="G3106" s="1260" t="s">
        <v>2838</v>
      </c>
      <c r="H3106" s="1125" t="s">
        <v>4130</v>
      </c>
      <c r="I3106" s="1260">
        <f t="shared" si="281"/>
        <v>45.7</v>
      </c>
      <c r="J3106" s="1125" t="s">
        <v>2838</v>
      </c>
      <c r="K3106" s="1260">
        <f t="shared" si="280"/>
        <v>274.20000000000005</v>
      </c>
      <c r="S3106" s="1105"/>
      <c r="W3106" s="1103" t="s">
        <v>220</v>
      </c>
      <c r="X3106" s="1103" t="s">
        <v>220</v>
      </c>
      <c r="AC3106" s="1105">
        <v>0.1</v>
      </c>
      <c r="AD3106" s="1105" t="s">
        <v>5215</v>
      </c>
      <c r="AE3106" s="1105" t="s">
        <v>4184</v>
      </c>
      <c r="AF3106" s="1105">
        <f>AE11</f>
        <v>562</v>
      </c>
      <c r="AG3106" s="1105" t="s">
        <v>522</v>
      </c>
      <c r="AH3106" s="1105">
        <f>AC3106*AF3106</f>
        <v>56.2</v>
      </c>
      <c r="AM3106" s="1105">
        <v>0.1</v>
      </c>
      <c r="AN3106" s="1105" t="s">
        <v>5215</v>
      </c>
      <c r="AP3106" s="1105" t="s">
        <v>4184</v>
      </c>
      <c r="AQ3106" s="1105">
        <f>AF3106</f>
        <v>562</v>
      </c>
      <c r="AR3106" s="1105" t="s">
        <v>522</v>
      </c>
      <c r="AS3106" s="1105">
        <f>AQ3106*AM3106</f>
        <v>56.2</v>
      </c>
    </row>
    <row r="3107" spans="6:47" ht="29.25" customHeight="1">
      <c r="F3107" s="1260">
        <v>2</v>
      </c>
      <c r="G3107" s="1260" t="s">
        <v>2838</v>
      </c>
      <c r="H3107" s="1125" t="s">
        <v>5057</v>
      </c>
      <c r="I3107" s="1260">
        <f t="shared" si="281"/>
        <v>56.4</v>
      </c>
      <c r="J3107" s="1125" t="s">
        <v>2838</v>
      </c>
      <c r="K3107" s="1260">
        <f t="shared" si="280"/>
        <v>112.8</v>
      </c>
      <c r="S3107" s="1105"/>
      <c r="U3107" s="1103" t="s">
        <v>5216</v>
      </c>
      <c r="V3107" s="1105">
        <f>2*0.625*0.425</f>
        <v>0.53125</v>
      </c>
      <c r="W3107" s="1159" t="s">
        <v>220</v>
      </c>
      <c r="X3107" s="1159" t="s">
        <v>220</v>
      </c>
      <c r="AC3107" s="1105">
        <v>10</v>
      </c>
      <c r="AD3107" s="1105" t="s">
        <v>5217</v>
      </c>
      <c r="AE3107" s="1105" t="s">
        <v>5218</v>
      </c>
      <c r="AF3107" s="1105">
        <v>18.3</v>
      </c>
      <c r="AG3107" s="1105" t="s">
        <v>5219</v>
      </c>
      <c r="AH3107" s="1105">
        <f>(AC3107*AF3107)/100</f>
        <v>1.83</v>
      </c>
      <c r="AM3107" s="1105">
        <v>10</v>
      </c>
      <c r="AN3107" s="1105" t="s">
        <v>5217</v>
      </c>
      <c r="AP3107" s="1105" t="s">
        <v>5220</v>
      </c>
      <c r="AQ3107" s="1105">
        <f>AF3107</f>
        <v>18.3</v>
      </c>
      <c r="AR3107" s="1105" t="s">
        <v>5219</v>
      </c>
      <c r="AS3107" s="1105">
        <f>(AQ3107*AM3107)/100</f>
        <v>1.83</v>
      </c>
    </row>
    <row r="3108" spans="6:47" ht="24" customHeight="1">
      <c r="F3108" s="1260">
        <v>1</v>
      </c>
      <c r="G3108" s="1260" t="s">
        <v>2838</v>
      </c>
      <c r="H3108" s="1125" t="s">
        <v>5056</v>
      </c>
      <c r="I3108" s="1260">
        <f t="shared" si="281"/>
        <v>63.2</v>
      </c>
      <c r="J3108" s="1125" t="s">
        <v>2838</v>
      </c>
      <c r="K3108" s="1260">
        <f t="shared" si="280"/>
        <v>63.2</v>
      </c>
      <c r="S3108" s="1105"/>
      <c r="U3108" s="1103" t="s">
        <v>5221</v>
      </c>
      <c r="V3108" s="1105">
        <f>2*0.425*1.025</f>
        <v>0.87124999999999986</v>
      </c>
      <c r="W3108" s="1107"/>
      <c r="X3108" s="1159">
        <v>1.26</v>
      </c>
      <c r="AC3108" s="1105">
        <v>0.25</v>
      </c>
      <c r="AD3108" s="1105" t="s">
        <v>4</v>
      </c>
      <c r="AE3108" s="1105" t="s">
        <v>5222</v>
      </c>
      <c r="AF3108" s="1105">
        <v>3.57</v>
      </c>
      <c r="AG3108" s="1105" t="s">
        <v>522</v>
      </c>
      <c r="AH3108" s="1105">
        <v>1</v>
      </c>
      <c r="AM3108" s="1105">
        <v>0.25</v>
      </c>
      <c r="AN3108" s="1105" t="s">
        <v>4</v>
      </c>
      <c r="AP3108" s="1105" t="s">
        <v>5223</v>
      </c>
      <c r="AQ3108" s="1105">
        <f>AF3108</f>
        <v>3.57</v>
      </c>
      <c r="AR3108" s="1105" t="s">
        <v>522</v>
      </c>
      <c r="AS3108" s="1105">
        <f>AQ3108*AM3108</f>
        <v>0.89249999999999996</v>
      </c>
      <c r="AU3108" s="1105">
        <f>3.09/0.25</f>
        <v>12.36</v>
      </c>
    </row>
    <row r="3109" spans="6:47" ht="27.75" customHeight="1">
      <c r="F3109" s="1260">
        <v>6.55</v>
      </c>
      <c r="G3109" s="1260" t="s">
        <v>3189</v>
      </c>
      <c r="H3109" s="1125" t="s">
        <v>5224</v>
      </c>
      <c r="I3109" s="1260">
        <f>K1540</f>
        <v>212.24139999999997</v>
      </c>
      <c r="J3109" s="1125" t="s">
        <v>3189</v>
      </c>
      <c r="K3109" s="1260">
        <f>(F3109*I3109)</f>
        <v>1390.1811699999998</v>
      </c>
      <c r="S3109" s="1105"/>
      <c r="V3109" s="1119">
        <f>SUM(V3107:V3108)</f>
        <v>1.4024999999999999</v>
      </c>
      <c r="W3109" s="1107" t="s">
        <v>833</v>
      </c>
      <c r="X3109" s="1103" t="s">
        <v>220</v>
      </c>
      <c r="AF3109" s="1105" t="s">
        <v>5225</v>
      </c>
      <c r="AH3109" s="1105">
        <f>SUM(AH3105:AH3108)</f>
        <v>135.03</v>
      </c>
      <c r="AQ3109" s="1105" t="s">
        <v>5225</v>
      </c>
      <c r="AS3109" s="1105">
        <f>SUM(AS3105:AS3108)</f>
        <v>134.92250000000001</v>
      </c>
    </row>
    <row r="3110" spans="6:47" ht="24" customHeight="1">
      <c r="F3110" s="1254">
        <v>50</v>
      </c>
      <c r="G3110" s="1254" t="s">
        <v>4</v>
      </c>
      <c r="H3110" s="1125" t="s">
        <v>5226</v>
      </c>
      <c r="I3110" s="1317">
        <f>I961</f>
        <v>2.39</v>
      </c>
      <c r="J3110" s="1255"/>
      <c r="K3110" s="1260">
        <f>(F3110*I3110)</f>
        <v>119.5</v>
      </c>
      <c r="S3110" s="1105"/>
      <c r="W3110" s="1107"/>
      <c r="X3110" s="1159" t="s">
        <v>220</v>
      </c>
    </row>
    <row r="3111" spans="6:47" ht="26.25" customHeight="1">
      <c r="F3111" s="1254"/>
      <c r="G3111" s="1254"/>
      <c r="H3111" s="1262"/>
      <c r="I3111" s="1262"/>
      <c r="J3111" s="1263"/>
      <c r="K3111" s="1264" t="s">
        <v>36</v>
      </c>
      <c r="S3111" s="1105"/>
      <c r="W3111" s="1107"/>
      <c r="X3111" s="1103" t="s">
        <v>220</v>
      </c>
      <c r="AE3111" s="1105" t="s">
        <v>5103</v>
      </c>
      <c r="AF3111" s="1105" t="s">
        <v>5227</v>
      </c>
      <c r="AG3111" s="1105" t="s">
        <v>5227</v>
      </c>
      <c r="AH3111" s="1105" t="s">
        <v>5228</v>
      </c>
      <c r="AP3111" s="1105" t="s">
        <v>5103</v>
      </c>
      <c r="AQ3111" s="1119" t="s">
        <v>5227</v>
      </c>
      <c r="AR3111" s="1119" t="s">
        <v>5228</v>
      </c>
    </row>
    <row r="3112" spans="6:47" ht="24" customHeight="1">
      <c r="F3112" s="1254"/>
      <c r="G3112" s="1254"/>
      <c r="H3112" s="1265" t="s">
        <v>4177</v>
      </c>
      <c r="I3112" s="1262"/>
      <c r="J3112" s="1263"/>
      <c r="K3112" s="1266">
        <f>SUM(K3100:K3110)</f>
        <v>10140.74517</v>
      </c>
      <c r="S3112" s="1104" t="s">
        <v>4083</v>
      </c>
      <c r="T3112" s="1114"/>
      <c r="U3112" s="1106" t="s">
        <v>5229</v>
      </c>
      <c r="W3112" s="1107"/>
      <c r="X3112" s="1103" t="s">
        <v>220</v>
      </c>
      <c r="AF3112" s="1105">
        <v>331</v>
      </c>
      <c r="AG3112" s="1105">
        <v>331</v>
      </c>
      <c r="AH3112" s="1105">
        <v>283</v>
      </c>
    </row>
    <row r="3113" spans="6:47" ht="24" customHeight="1">
      <c r="F3113" s="1254"/>
      <c r="G3113" s="1260" t="s">
        <v>220</v>
      </c>
      <c r="H3113" s="1262"/>
      <c r="I3113" s="1262"/>
      <c r="J3113" s="1263"/>
      <c r="K3113" s="1264" t="s">
        <v>36</v>
      </c>
      <c r="S3113" s="1105"/>
      <c r="U3113" s="1111" t="s">
        <v>36</v>
      </c>
      <c r="W3113" s="1107"/>
      <c r="AE3113" s="1105" t="s">
        <v>5230</v>
      </c>
      <c r="AF3113" s="1105">
        <f>AH3109</f>
        <v>135.03</v>
      </c>
      <c r="AG3113" s="1105">
        <f>AH3109</f>
        <v>135.03</v>
      </c>
      <c r="AH3113" s="1105">
        <f>AH3109</f>
        <v>135.03</v>
      </c>
      <c r="AP3113" s="1105" t="s">
        <v>5230</v>
      </c>
      <c r="AQ3113" s="1119">
        <v>96</v>
      </c>
      <c r="AR3113" s="1119">
        <v>85</v>
      </c>
      <c r="AS3113" s="1119">
        <v>85</v>
      </c>
    </row>
    <row r="3114" spans="6:47" ht="21" customHeight="1">
      <c r="F3114" s="1254"/>
      <c r="G3114" s="1254"/>
      <c r="H3114" s="1265" t="s">
        <v>3154</v>
      </c>
      <c r="I3114" s="1262"/>
      <c r="J3114" s="1263"/>
      <c r="K3114" s="1266">
        <f>K3112/2.52</f>
        <v>4024.1052261904761</v>
      </c>
      <c r="S3114" s="1143">
        <v>7.0699999999999999E-2</v>
      </c>
      <c r="T3114" s="1114" t="s">
        <v>2839</v>
      </c>
      <c r="U3114" s="1103" t="s">
        <v>5231</v>
      </c>
      <c r="V3114" s="1114">
        <f>P3154</f>
        <v>99400</v>
      </c>
      <c r="W3114" s="1103" t="s">
        <v>2839</v>
      </c>
      <c r="X3114" s="1114">
        <f>V3114*S3114</f>
        <v>7027.58</v>
      </c>
      <c r="AE3114" s="1105" t="s">
        <v>4839</v>
      </c>
      <c r="AF3114" s="1105">
        <f>SUM(AF3112:AF3113)</f>
        <v>466.03</v>
      </c>
      <c r="AG3114" s="1105">
        <f>SUM(AG3112:AG3113)</f>
        <v>466.03</v>
      </c>
      <c r="AH3114" s="1105">
        <f>SUM(AH3112:AH3113)</f>
        <v>418.03</v>
      </c>
      <c r="AP3114" s="1105" t="s">
        <v>4839</v>
      </c>
      <c r="AQ3114" s="1105">
        <f>AS3109</f>
        <v>134.92250000000001</v>
      </c>
      <c r="AR3114" s="1105">
        <f>AS3109</f>
        <v>134.92250000000001</v>
      </c>
    </row>
    <row r="3115" spans="6:47" ht="23.25" customHeight="1">
      <c r="F3115" s="1254"/>
      <c r="G3115" s="1254"/>
      <c r="H3115" s="1262"/>
      <c r="I3115" s="1262"/>
      <c r="J3115" s="1263"/>
      <c r="K3115" s="1264" t="s">
        <v>2793</v>
      </c>
      <c r="S3115" s="1143">
        <v>3.6659999999999999</v>
      </c>
      <c r="T3115" s="1114" t="s">
        <v>3189</v>
      </c>
      <c r="U3115" s="1103" t="s">
        <v>5232</v>
      </c>
      <c r="V3115" s="1114">
        <f>I1176</f>
        <v>208.8</v>
      </c>
      <c r="W3115" s="1103" t="s">
        <v>2839</v>
      </c>
      <c r="X3115" s="1114">
        <f t="shared" ref="X3115:X3122" si="282">V3115*S3115</f>
        <v>765.46080000000006</v>
      </c>
      <c r="AF3115" s="1105">
        <f>ROUNDUP(AF3114,0)</f>
        <v>467</v>
      </c>
      <c r="AG3115" s="1105">
        <f>ROUNDUP(AG3114,0)</f>
        <v>467</v>
      </c>
      <c r="AH3115" s="1105">
        <f>ROUNDUP(AH3114,0)</f>
        <v>419</v>
      </c>
      <c r="AQ3115" s="1119">
        <f>SUM(AQ3112:AQ3114)</f>
        <v>230.92250000000001</v>
      </c>
      <c r="AR3115" s="1119">
        <f>SUM(AR3112:AR3114)</f>
        <v>219.92250000000001</v>
      </c>
    </row>
    <row r="3116" spans="6:47" ht="39" customHeight="1">
      <c r="S3116" s="1144">
        <v>5.16</v>
      </c>
      <c r="T3116" s="1114" t="s">
        <v>3189</v>
      </c>
      <c r="U3116" s="1103" t="s">
        <v>3208</v>
      </c>
      <c r="V3116" s="1114">
        <f>AE32</f>
        <v>1239</v>
      </c>
      <c r="W3116" s="1103" t="s">
        <v>3189</v>
      </c>
      <c r="X3116" s="1114">
        <f t="shared" si="282"/>
        <v>6393.24</v>
      </c>
      <c r="AQ3116" s="1105">
        <f>ROUNDUP(AQ3115,0)</f>
        <v>231</v>
      </c>
      <c r="AR3116" s="1105">
        <f>ROUNDUP(AR3115,0)</f>
        <v>220</v>
      </c>
    </row>
    <row r="3117" spans="6:47" ht="39" customHeight="1">
      <c r="S3117" s="1144">
        <v>22.66</v>
      </c>
      <c r="T3117" s="1114" t="s">
        <v>298</v>
      </c>
      <c r="U3117" s="1103" t="s">
        <v>5233</v>
      </c>
      <c r="V3117" s="1114">
        <v>45.7</v>
      </c>
      <c r="W3117" s="1103" t="s">
        <v>3189</v>
      </c>
      <c r="X3117" s="1114">
        <f t="shared" si="282"/>
        <v>1035.5620000000001</v>
      </c>
    </row>
    <row r="3118" spans="6:47" ht="39" customHeight="1">
      <c r="H3118" s="1119" t="s">
        <v>5234</v>
      </c>
      <c r="O3118" s="1119" t="s">
        <v>5235</v>
      </c>
      <c r="Q3118" s="1107"/>
      <c r="S3118" s="1114">
        <v>15</v>
      </c>
      <c r="T3118" s="1114" t="s">
        <v>2838</v>
      </c>
      <c r="U3118" s="1103" t="s">
        <v>4085</v>
      </c>
      <c r="V3118" s="1114">
        <f>C279</f>
        <v>83</v>
      </c>
      <c r="W3118" s="1103" t="s">
        <v>2838</v>
      </c>
      <c r="X3118" s="1114">
        <f t="shared" si="282"/>
        <v>1245</v>
      </c>
    </row>
    <row r="3119" spans="6:47" ht="39" customHeight="1">
      <c r="F3119" s="1105">
        <v>1</v>
      </c>
      <c r="H3119" s="1105" t="s">
        <v>5236</v>
      </c>
      <c r="I3119" s="1105">
        <v>143.97999999999999</v>
      </c>
      <c r="J3119" s="1107" t="s">
        <v>522</v>
      </c>
      <c r="K3119" s="1105">
        <f>I3119</f>
        <v>143.97999999999999</v>
      </c>
      <c r="M3119" s="1105">
        <v>1</v>
      </c>
      <c r="O3119" s="1105" t="s">
        <v>5237</v>
      </c>
      <c r="P3119" s="1105">
        <v>16.399999999999999</v>
      </c>
      <c r="Q3119" s="1107" t="s">
        <v>522</v>
      </c>
      <c r="R3119" s="1105">
        <f>P3119</f>
        <v>16.399999999999999</v>
      </c>
      <c r="S3119" s="1114">
        <v>10</v>
      </c>
      <c r="T3119" s="1114" t="s">
        <v>2838</v>
      </c>
      <c r="U3119" s="1103" t="s">
        <v>5238</v>
      </c>
      <c r="V3119" s="1114">
        <v>76.2</v>
      </c>
      <c r="W3119" s="1103" t="s">
        <v>2838</v>
      </c>
      <c r="X3119" s="1114">
        <f t="shared" si="282"/>
        <v>762</v>
      </c>
    </row>
    <row r="3120" spans="6:47" ht="39" customHeight="1">
      <c r="F3120" s="1105">
        <v>1</v>
      </c>
      <c r="H3120" s="1105" t="s">
        <v>5239</v>
      </c>
      <c r="I3120" s="1105">
        <v>41.65</v>
      </c>
      <c r="J3120" s="1107" t="s">
        <v>522</v>
      </c>
      <c r="K3120" s="1105">
        <f>I3120</f>
        <v>41.65</v>
      </c>
      <c r="M3120" s="1105">
        <v>1</v>
      </c>
      <c r="O3120" s="1105" t="s">
        <v>5240</v>
      </c>
      <c r="P3120" s="1105">
        <v>8.1</v>
      </c>
      <c r="Q3120" s="1107" t="s">
        <v>522</v>
      </c>
      <c r="R3120" s="1105">
        <f>P3120</f>
        <v>8.1</v>
      </c>
      <c r="S3120" s="1114">
        <v>5</v>
      </c>
      <c r="T3120" s="1114" t="s">
        <v>2838</v>
      </c>
      <c r="U3120" s="1103" t="s">
        <v>5241</v>
      </c>
      <c r="V3120" s="1114">
        <f>P3161</f>
        <v>53.4</v>
      </c>
      <c r="W3120" s="1103" t="s">
        <v>2838</v>
      </c>
      <c r="X3120" s="1114">
        <f t="shared" si="282"/>
        <v>267</v>
      </c>
    </row>
    <row r="3121" spans="6:24" ht="39" customHeight="1">
      <c r="F3121" s="1108">
        <v>0.125</v>
      </c>
      <c r="H3121" s="1105" t="s">
        <v>5242</v>
      </c>
      <c r="I3121" s="1105">
        <f>C15</f>
        <v>747</v>
      </c>
      <c r="J3121" s="1107" t="s">
        <v>522</v>
      </c>
      <c r="K3121" s="1105">
        <f>F3121*I3121</f>
        <v>93.375</v>
      </c>
      <c r="M3121" s="1108">
        <v>0.125</v>
      </c>
      <c r="O3121" s="1105" t="s">
        <v>5242</v>
      </c>
      <c r="P3121" s="1105">
        <f>I3121</f>
        <v>747</v>
      </c>
      <c r="Q3121" s="1107" t="s">
        <v>522</v>
      </c>
      <c r="R3121" s="1105">
        <f>M3121*P3121</f>
        <v>93.375</v>
      </c>
      <c r="S3121" s="1114">
        <v>5</v>
      </c>
      <c r="T3121" s="1114" t="s">
        <v>2838</v>
      </c>
      <c r="U3121" s="1103" t="s">
        <v>3212</v>
      </c>
      <c r="V3121" s="1114">
        <f>P3160</f>
        <v>7.3</v>
      </c>
      <c r="W3121" s="1103" t="s">
        <v>2838</v>
      </c>
      <c r="X3121" s="1114">
        <f t="shared" si="282"/>
        <v>36.5</v>
      </c>
    </row>
    <row r="3122" spans="6:24" ht="39" customHeight="1">
      <c r="F3122" s="1108"/>
      <c r="H3122" s="1105" t="s">
        <v>234</v>
      </c>
      <c r="K3122" s="1105">
        <v>2.11</v>
      </c>
      <c r="M3122" s="1108"/>
      <c r="O3122" s="1105" t="s">
        <v>234</v>
      </c>
      <c r="Q3122" s="1107"/>
      <c r="R3122" s="1105">
        <v>4.37</v>
      </c>
      <c r="S3122" s="1114">
        <v>10</v>
      </c>
      <c r="T3122" s="1114" t="s">
        <v>2838</v>
      </c>
      <c r="U3122" s="1103" t="s">
        <v>5243</v>
      </c>
      <c r="V3122" s="1114">
        <f>I3110</f>
        <v>2.39</v>
      </c>
      <c r="W3122" s="1103" t="s">
        <v>2838</v>
      </c>
      <c r="X3122" s="1114">
        <f t="shared" si="282"/>
        <v>23.900000000000002</v>
      </c>
    </row>
    <row r="3123" spans="6:24" ht="24" customHeight="1">
      <c r="H3123" s="1184" t="s">
        <v>4964</v>
      </c>
      <c r="I3123" s="1119"/>
      <c r="J3123" s="1136"/>
      <c r="K3123" s="1119">
        <f>SUM(K3119:K3122)</f>
        <v>281.11500000000001</v>
      </c>
      <c r="O3123" s="1184" t="s">
        <v>4964</v>
      </c>
      <c r="P3123" s="1119"/>
      <c r="Q3123" s="1136"/>
      <c r="R3123" s="1119">
        <f>SUM(R3119:R3122)</f>
        <v>122.245</v>
      </c>
      <c r="S3123" s="1114"/>
      <c r="T3123" s="1114">
        <f>R3123-90</f>
        <v>32.245000000000005</v>
      </c>
      <c r="U3123" s="1103"/>
      <c r="V3123" s="1114"/>
      <c r="W3123" s="1103" t="s">
        <v>2838</v>
      </c>
      <c r="X3123" s="1111" t="s">
        <v>36</v>
      </c>
    </row>
    <row r="3124" spans="6:24" ht="24" customHeight="1">
      <c r="R3124" s="1105">
        <f>R3123-87</f>
        <v>35.245000000000005</v>
      </c>
      <c r="S3124" s="1114"/>
      <c r="U3124" s="1104" t="s">
        <v>5244</v>
      </c>
      <c r="W3124" s="1107"/>
      <c r="X3124" s="1114">
        <f>SUM(X3114:X3122)</f>
        <v>17556.2428</v>
      </c>
    </row>
    <row r="3125" spans="6:24" ht="24" customHeight="1">
      <c r="S3125" s="1105"/>
      <c r="W3125" s="1107"/>
      <c r="X3125" s="1111" t="s">
        <v>36</v>
      </c>
    </row>
    <row r="3126" spans="6:24" ht="24" customHeight="1">
      <c r="F3126" s="1104" t="s">
        <v>4096</v>
      </c>
      <c r="G3126" s="1114" t="s">
        <v>1363</v>
      </c>
      <c r="H3126" s="1103" t="s">
        <v>4097</v>
      </c>
      <c r="S3126" s="1105"/>
      <c r="T3126" s="1114" t="s">
        <v>220</v>
      </c>
      <c r="U3126" s="1118" t="s">
        <v>3154</v>
      </c>
      <c r="W3126" s="1107"/>
      <c r="X3126" s="1115">
        <f>X3124/S3116</f>
        <v>3402.3726356589145</v>
      </c>
    </row>
    <row r="3127" spans="6:24" ht="24" customHeight="1">
      <c r="H3127" s="1103" t="s">
        <v>4098</v>
      </c>
      <c r="S3127" s="1105"/>
      <c r="W3127" s="1107"/>
      <c r="X3127" s="1111" t="s">
        <v>2793</v>
      </c>
    </row>
    <row r="3128" spans="6:24" ht="24" customHeight="1">
      <c r="H3128" s="1103" t="s">
        <v>4100</v>
      </c>
      <c r="S3128" s="1105"/>
    </row>
    <row r="3129" spans="6:24" ht="24" customHeight="1">
      <c r="H3129" s="1103" t="s">
        <v>4101</v>
      </c>
      <c r="S3129" s="1104"/>
      <c r="T3129" s="1114"/>
      <c r="U3129" s="1103" t="s">
        <v>5245</v>
      </c>
      <c r="W3129" s="1107"/>
      <c r="X3129" s="1103" t="s">
        <v>220</v>
      </c>
    </row>
    <row r="3130" spans="6:24" ht="24" customHeight="1">
      <c r="H3130" s="1103" t="s">
        <v>4102</v>
      </c>
      <c r="S3130" s="1105"/>
      <c r="U3130" s="1111" t="s">
        <v>36</v>
      </c>
      <c r="W3130" s="1107"/>
    </row>
    <row r="3131" spans="6:24" ht="24" customHeight="1">
      <c r="H3131" s="1103" t="s">
        <v>4103</v>
      </c>
      <c r="S3131" s="1143">
        <v>2.7400000000000001E-2</v>
      </c>
      <c r="T3131" s="1114" t="s">
        <v>2839</v>
      </c>
      <c r="U3131" s="1103" t="s">
        <v>5231</v>
      </c>
      <c r="V3131" s="1114">
        <f>V3114</f>
        <v>99400</v>
      </c>
      <c r="W3131" s="1103" t="s">
        <v>2839</v>
      </c>
      <c r="X3131" s="1114">
        <f>V3131*S3131</f>
        <v>2723.56</v>
      </c>
    </row>
    <row r="3132" spans="6:24" ht="24" customHeight="1">
      <c r="H3132" s="1111" t="s">
        <v>36</v>
      </c>
      <c r="S3132" s="1143">
        <v>1.1599999999999999</v>
      </c>
      <c r="T3132" s="1114" t="s">
        <v>3189</v>
      </c>
      <c r="U3132" s="1103" t="s">
        <v>5232</v>
      </c>
      <c r="V3132" s="1114">
        <f t="shared" ref="V3132:V3139" si="283">V3115</f>
        <v>208.8</v>
      </c>
      <c r="W3132" s="1103" t="s">
        <v>2839</v>
      </c>
      <c r="X3132" s="1114">
        <f t="shared" ref="X3132:X3139" si="284">V3132*S3132</f>
        <v>242.208</v>
      </c>
    </row>
    <row r="3133" spans="6:24" ht="24" customHeight="1">
      <c r="H3133" s="1103" t="s">
        <v>5246</v>
      </c>
      <c r="M3133" s="1104" t="s">
        <v>4096</v>
      </c>
      <c r="N3133" s="1114" t="s">
        <v>1363</v>
      </c>
      <c r="O3133" s="1103" t="s">
        <v>4097</v>
      </c>
      <c r="Q3133" s="1107"/>
      <c r="S3133" s="1144">
        <v>1.74</v>
      </c>
      <c r="T3133" s="1114" t="s">
        <v>3189</v>
      </c>
      <c r="U3133" s="1103" t="s">
        <v>3208</v>
      </c>
      <c r="V3133" s="1114">
        <f t="shared" si="283"/>
        <v>1239</v>
      </c>
      <c r="W3133" s="1103" t="s">
        <v>3189</v>
      </c>
      <c r="X3133" s="1114">
        <f t="shared" si="284"/>
        <v>2155.86</v>
      </c>
    </row>
    <row r="3134" spans="6:24" ht="24" customHeight="1">
      <c r="H3134" s="1103" t="s">
        <v>4105</v>
      </c>
      <c r="O3134" s="1103" t="s">
        <v>4098</v>
      </c>
      <c r="Q3134" s="1107"/>
      <c r="S3134" s="1144">
        <v>8.74</v>
      </c>
      <c r="T3134" s="1114" t="s">
        <v>298</v>
      </c>
      <c r="U3134" s="1103" t="s">
        <v>5233</v>
      </c>
      <c r="V3134" s="1114">
        <f t="shared" si="283"/>
        <v>45.7</v>
      </c>
      <c r="W3134" s="1103" t="s">
        <v>3189</v>
      </c>
      <c r="X3134" s="1114">
        <f t="shared" si="284"/>
        <v>399.41800000000001</v>
      </c>
    </row>
    <row r="3135" spans="6:24" ht="24" customHeight="1">
      <c r="J3135" s="1103" t="s">
        <v>36</v>
      </c>
      <c r="O3135" s="1103" t="s">
        <v>4100</v>
      </c>
      <c r="Q3135" s="1107"/>
      <c r="S3135" s="1114">
        <v>6</v>
      </c>
      <c r="T3135" s="1114" t="s">
        <v>2838</v>
      </c>
      <c r="U3135" s="1103" t="s">
        <v>4085</v>
      </c>
      <c r="V3135" s="1114">
        <f t="shared" si="283"/>
        <v>83</v>
      </c>
      <c r="W3135" s="1103" t="s">
        <v>2838</v>
      </c>
      <c r="X3135" s="1114">
        <f t="shared" si="284"/>
        <v>498</v>
      </c>
    </row>
    <row r="3136" spans="6:24" ht="24" customHeight="1">
      <c r="H3136" s="1103" t="s">
        <v>5247</v>
      </c>
      <c r="O3136" s="1103" t="s">
        <v>4101</v>
      </c>
      <c r="Q3136" s="1107"/>
      <c r="S3136" s="1114">
        <v>4</v>
      </c>
      <c r="T3136" s="1114" t="s">
        <v>2838</v>
      </c>
      <c r="U3136" s="1103" t="s">
        <v>5238</v>
      </c>
      <c r="V3136" s="1114">
        <f t="shared" si="283"/>
        <v>76.2</v>
      </c>
      <c r="W3136" s="1103" t="s">
        <v>2838</v>
      </c>
      <c r="X3136" s="1114">
        <f t="shared" si="284"/>
        <v>304.8</v>
      </c>
    </row>
    <row r="3137" spans="6:24" ht="24" customHeight="1">
      <c r="H3137" s="1103" t="s">
        <v>220</v>
      </c>
      <c r="I3137" s="1103" t="s">
        <v>220</v>
      </c>
      <c r="K3137" s="1159" t="s">
        <v>220</v>
      </c>
      <c r="O3137" s="1103" t="s">
        <v>4102</v>
      </c>
      <c r="Q3137" s="1107"/>
      <c r="S3137" s="1114">
        <v>2</v>
      </c>
      <c r="T3137" s="1114" t="s">
        <v>2838</v>
      </c>
      <c r="U3137" s="1103" t="s">
        <v>5241</v>
      </c>
      <c r="V3137" s="1114">
        <f t="shared" si="283"/>
        <v>53.4</v>
      </c>
      <c r="W3137" s="1103" t="s">
        <v>2838</v>
      </c>
      <c r="X3137" s="1114">
        <f t="shared" si="284"/>
        <v>106.8</v>
      </c>
    </row>
    <row r="3138" spans="6:24" ht="24" customHeight="1">
      <c r="J3138" s="1103" t="s">
        <v>220</v>
      </c>
      <c r="K3138" s="1103" t="s">
        <v>220</v>
      </c>
      <c r="O3138" s="1103" t="s">
        <v>4103</v>
      </c>
      <c r="Q3138" s="1107"/>
      <c r="S3138" s="1114">
        <v>2</v>
      </c>
      <c r="T3138" s="1114" t="s">
        <v>2838</v>
      </c>
      <c r="U3138" s="1103" t="s">
        <v>3212</v>
      </c>
      <c r="V3138" s="1114">
        <f t="shared" si="283"/>
        <v>7.3</v>
      </c>
      <c r="W3138" s="1103" t="s">
        <v>2838</v>
      </c>
      <c r="X3138" s="1114">
        <f t="shared" si="284"/>
        <v>14.6</v>
      </c>
    </row>
    <row r="3139" spans="6:24" ht="24" customHeight="1">
      <c r="H3139" s="1103" t="s">
        <v>5248</v>
      </c>
      <c r="J3139" s="1159" t="s">
        <v>220</v>
      </c>
      <c r="K3139" s="1159" t="s">
        <v>220</v>
      </c>
      <c r="O3139" s="1113" t="s">
        <v>5249</v>
      </c>
      <c r="Q3139" s="1107"/>
      <c r="S3139" s="1114">
        <v>10</v>
      </c>
      <c r="T3139" s="1114" t="s">
        <v>2838</v>
      </c>
      <c r="U3139" s="1103" t="s">
        <v>5243</v>
      </c>
      <c r="V3139" s="1114">
        <f t="shared" si="283"/>
        <v>2.39</v>
      </c>
      <c r="W3139" s="1103" t="s">
        <v>2838</v>
      </c>
      <c r="X3139" s="1114">
        <f t="shared" si="284"/>
        <v>23.900000000000002</v>
      </c>
    </row>
    <row r="3140" spans="6:24" ht="24" customHeight="1">
      <c r="H3140" s="1103" t="s">
        <v>5250</v>
      </c>
      <c r="K3140" s="1159">
        <v>1.26</v>
      </c>
      <c r="O3140" s="1103" t="s">
        <v>5251</v>
      </c>
      <c r="P3140" s="1148">
        <f>1.1*2.05</f>
        <v>2.2549999999999999</v>
      </c>
      <c r="Q3140" s="1107" t="s">
        <v>833</v>
      </c>
      <c r="S3140" s="1114"/>
      <c r="T3140" s="1114"/>
      <c r="U3140" s="1103"/>
      <c r="V3140" s="1114"/>
      <c r="W3140" s="1103" t="s">
        <v>2838</v>
      </c>
      <c r="X3140" s="1111" t="s">
        <v>36</v>
      </c>
    </row>
    <row r="3141" spans="6:24" ht="24" customHeight="1">
      <c r="K3141" s="1103" t="s">
        <v>220</v>
      </c>
      <c r="O3141" s="1103" t="s">
        <v>5252</v>
      </c>
      <c r="P3141" s="1165">
        <f>2*2.05*0.075*0.0375</f>
        <v>1.1531249999999998E-2</v>
      </c>
      <c r="Q3141" s="1107" t="s">
        <v>204</v>
      </c>
      <c r="S3141" s="1114"/>
      <c r="U3141" s="1104" t="s">
        <v>5253</v>
      </c>
      <c r="W3141" s="1107"/>
      <c r="X3141" s="1114">
        <f>SUM(X3131:X3139)</f>
        <v>6469.1460000000006</v>
      </c>
    </row>
    <row r="3142" spans="6:24" ht="24" customHeight="1">
      <c r="K3142" s="1159" t="s">
        <v>220</v>
      </c>
      <c r="Q3142" s="1103" t="s">
        <v>36</v>
      </c>
      <c r="S3142" s="1105"/>
      <c r="W3142" s="1107"/>
      <c r="X3142" s="1111" t="s">
        <v>36</v>
      </c>
    </row>
    <row r="3143" spans="6:24" ht="24" customHeight="1">
      <c r="K3143" s="1103" t="s">
        <v>220</v>
      </c>
      <c r="O3143" s="1103" t="s">
        <v>5254</v>
      </c>
      <c r="P3143" s="1165">
        <f>1*3*1.1*0.15*0.0375</f>
        <v>1.8562499999999999E-2</v>
      </c>
      <c r="Q3143" s="1107" t="s">
        <v>204</v>
      </c>
      <c r="S3143" s="1105"/>
      <c r="T3143" s="1114" t="s">
        <v>220</v>
      </c>
      <c r="U3143" s="1118" t="s">
        <v>3154</v>
      </c>
      <c r="W3143" s="1107"/>
      <c r="X3143" s="1115">
        <f>X3141/S3133</f>
        <v>3717.9000000000005</v>
      </c>
    </row>
    <row r="3144" spans="6:24" ht="24" customHeight="1">
      <c r="F3144" s="1104" t="s">
        <v>4083</v>
      </c>
      <c r="G3144" s="1114"/>
      <c r="H3144" s="1103" t="s">
        <v>4123</v>
      </c>
      <c r="K3144" s="1103" t="s">
        <v>220</v>
      </c>
      <c r="O3144" s="1103" t="s">
        <v>220</v>
      </c>
      <c r="P3144" s="1103" t="s">
        <v>220</v>
      </c>
      <c r="Q3144" s="1107"/>
      <c r="R3144" s="1159" t="s">
        <v>220</v>
      </c>
      <c r="S3144" s="1105"/>
      <c r="W3144" s="1107"/>
      <c r="X3144" s="1111" t="s">
        <v>2793</v>
      </c>
    </row>
    <row r="3145" spans="6:24" ht="24" customHeight="1">
      <c r="H3145" s="1111" t="s">
        <v>36</v>
      </c>
      <c r="Q3145" s="1103" t="s">
        <v>220</v>
      </c>
      <c r="R3145" s="1103" t="s">
        <v>220</v>
      </c>
    </row>
    <row r="3146" spans="6:24" ht="24" customHeight="1">
      <c r="F3146" s="1143">
        <v>1.153E-2</v>
      </c>
      <c r="G3146" s="1114" t="s">
        <v>2839</v>
      </c>
      <c r="H3146" s="1103" t="s">
        <v>3205</v>
      </c>
      <c r="I3146" s="1114">
        <f>AC26</f>
        <v>111600</v>
      </c>
      <c r="J3146" s="1103" t="s">
        <v>2839</v>
      </c>
      <c r="K3146" s="1114">
        <f>I3146*F3146</f>
        <v>1286.748</v>
      </c>
      <c r="O3146" s="1103" t="s">
        <v>5255</v>
      </c>
      <c r="P3146" s="1105">
        <f>1*0.625*0.975</f>
        <v>0.609375</v>
      </c>
      <c r="Q3146" s="1159" t="s">
        <v>220</v>
      </c>
      <c r="R3146" s="1159" t="s">
        <v>220</v>
      </c>
    </row>
    <row r="3147" spans="6:24" ht="24" customHeight="1">
      <c r="F3147" s="1144">
        <v>1.52E-2</v>
      </c>
      <c r="G3147" s="1114" t="s">
        <v>2839</v>
      </c>
      <c r="H3147" s="1103" t="s">
        <v>3206</v>
      </c>
      <c r="I3147" s="1114">
        <f>AC27</f>
        <v>99400</v>
      </c>
      <c r="J3147" s="1103" t="s">
        <v>2839</v>
      </c>
      <c r="K3147" s="1114">
        <f t="shared" ref="K3147:K3155" si="285">I3147*F3147</f>
        <v>1510.88</v>
      </c>
      <c r="O3147" s="1103" t="s">
        <v>5221</v>
      </c>
      <c r="P3147" s="1105">
        <f>1*0.975*1.025</f>
        <v>0.9993749999999999</v>
      </c>
      <c r="Q3147" s="1107"/>
      <c r="R3147" s="1159">
        <v>1.26</v>
      </c>
      <c r="U3147" s="1106" t="s">
        <v>5256</v>
      </c>
    </row>
    <row r="3148" spans="6:24" ht="24" customHeight="1">
      <c r="F3148" s="1144">
        <f>K3140</f>
        <v>1.26</v>
      </c>
      <c r="G3148" s="1114" t="s">
        <v>3189</v>
      </c>
      <c r="H3148" s="1103" t="s">
        <v>3207</v>
      </c>
      <c r="I3148" s="1114">
        <f>C783</f>
        <v>387.4</v>
      </c>
      <c r="J3148" s="1103" t="s">
        <v>3189</v>
      </c>
      <c r="K3148" s="1114">
        <f t="shared" si="285"/>
        <v>488.12399999999997</v>
      </c>
      <c r="P3148" s="1119">
        <f>SUM(P3146:P3147)</f>
        <v>1.6087499999999999</v>
      </c>
      <c r="Q3148" s="1107" t="s">
        <v>833</v>
      </c>
      <c r="R3148" s="1103" t="s">
        <v>220</v>
      </c>
      <c r="S3148" s="1490" t="s">
        <v>5257</v>
      </c>
      <c r="T3148" s="1490"/>
      <c r="U3148" s="1108">
        <f>2*2*0.075*0.0375*1.95</f>
        <v>2.1937499999999999E-2</v>
      </c>
    </row>
    <row r="3149" spans="6:24" ht="24" customHeight="1">
      <c r="F3149" s="1144">
        <v>1.845</v>
      </c>
      <c r="G3149" s="1114" t="s">
        <v>3189</v>
      </c>
      <c r="H3149" s="1103" t="s">
        <v>3208</v>
      </c>
      <c r="I3149" s="1114">
        <f>D30</f>
        <v>1105</v>
      </c>
      <c r="J3149" s="1103" t="s">
        <v>3189</v>
      </c>
      <c r="K3149" s="1114">
        <f t="shared" si="285"/>
        <v>2038.7249999999999</v>
      </c>
      <c r="Q3149" s="1107"/>
      <c r="R3149" s="1159" t="s">
        <v>220</v>
      </c>
      <c r="S3149" s="1108" t="s">
        <v>5258</v>
      </c>
      <c r="U3149" s="1165">
        <f>2*2*0.065*0.075*0.375</f>
        <v>7.3124999999999996E-3</v>
      </c>
    </row>
    <row r="3150" spans="6:24" ht="24" customHeight="1">
      <c r="F3150" s="1114">
        <v>2</v>
      </c>
      <c r="G3150" s="1114" t="s">
        <v>2838</v>
      </c>
      <c r="H3150" s="1103" t="s">
        <v>3209</v>
      </c>
      <c r="I3150" s="1114">
        <f>C284</f>
        <v>60</v>
      </c>
      <c r="J3150" s="1103" t="s">
        <v>2838</v>
      </c>
      <c r="K3150" s="1114">
        <f t="shared" si="285"/>
        <v>120</v>
      </c>
      <c r="Q3150" s="1107"/>
      <c r="R3150" s="1103" t="s">
        <v>220</v>
      </c>
      <c r="U3150" s="1250">
        <f>SUM(U3148:U3149)</f>
        <v>2.9249999999999998E-2</v>
      </c>
      <c r="V3150" s="1105" t="s">
        <v>5259</v>
      </c>
    </row>
    <row r="3151" spans="6:24" ht="24" customHeight="1">
      <c r="F3151" s="1114">
        <v>3</v>
      </c>
      <c r="G3151" s="1114" t="s">
        <v>2838</v>
      </c>
      <c r="H3151" s="1103" t="s">
        <v>4085</v>
      </c>
      <c r="I3151" s="1114">
        <f>C279</f>
        <v>83</v>
      </c>
      <c r="J3151" s="1103" t="s">
        <v>2838</v>
      </c>
      <c r="K3151" s="1114">
        <f t="shared" si="285"/>
        <v>249</v>
      </c>
      <c r="M3151" s="1104" t="s">
        <v>4083</v>
      </c>
      <c r="N3151" s="1114"/>
      <c r="O3151" s="1103" t="s">
        <v>5260</v>
      </c>
      <c r="Q3151" s="1107"/>
      <c r="R3151" s="1103" t="s">
        <v>220</v>
      </c>
      <c r="S3151" s="1108" t="s">
        <v>5261</v>
      </c>
      <c r="U3151" s="1108">
        <f>2*0.65*1.95</f>
        <v>2.5350000000000001</v>
      </c>
      <c r="V3151" s="1105" t="s">
        <v>3238</v>
      </c>
    </row>
    <row r="3152" spans="6:24" ht="24" customHeight="1">
      <c r="F3152" s="1114">
        <v>1</v>
      </c>
      <c r="G3152" s="1114" t="s">
        <v>2838</v>
      </c>
      <c r="H3152" s="1103" t="s">
        <v>3211</v>
      </c>
      <c r="I3152" s="1114">
        <f>C286</f>
        <v>167.6</v>
      </c>
      <c r="J3152" s="1103" t="s">
        <v>2838</v>
      </c>
      <c r="K3152" s="1114">
        <f t="shared" si="285"/>
        <v>167.6</v>
      </c>
      <c r="O3152" s="1111" t="s">
        <v>36</v>
      </c>
      <c r="Q3152" s="1107"/>
      <c r="S3152" s="1108" t="s">
        <v>5262</v>
      </c>
      <c r="U3152" s="1108">
        <f>1*2*0.525*1.825</f>
        <v>1.91625</v>
      </c>
      <c r="V3152" s="1105" t="s">
        <v>5263</v>
      </c>
    </row>
    <row r="3153" spans="6:24" ht="24" customHeight="1">
      <c r="F3153" s="1114">
        <v>1</v>
      </c>
      <c r="G3153" s="1114" t="s">
        <v>2838</v>
      </c>
      <c r="H3153" s="1103" t="s">
        <v>3212</v>
      </c>
      <c r="I3153" s="1114">
        <f>C288</f>
        <v>7.3</v>
      </c>
      <c r="J3153" s="1103" t="s">
        <v>2838</v>
      </c>
      <c r="K3153" s="1114">
        <f t="shared" si="285"/>
        <v>7.3</v>
      </c>
      <c r="M3153" s="1143">
        <f>P3141</f>
        <v>1.1531249999999998E-2</v>
      </c>
      <c r="N3153" s="1114" t="s">
        <v>2839</v>
      </c>
      <c r="O3153" s="1103" t="s">
        <v>3205</v>
      </c>
      <c r="P3153" s="1114">
        <f>I3146</f>
        <v>111600</v>
      </c>
      <c r="Q3153" s="1103" t="s">
        <v>2839</v>
      </c>
      <c r="R3153" s="1114">
        <f>P3153*M3153</f>
        <v>1286.8874999999998</v>
      </c>
      <c r="S3153" s="1108" t="s">
        <v>5264</v>
      </c>
      <c r="U3153" s="1108">
        <f>2*2*(0.525+1.825)</f>
        <v>9.4</v>
      </c>
      <c r="V3153" s="1105" t="s">
        <v>5265</v>
      </c>
    </row>
    <row r="3154" spans="6:24" ht="24" customHeight="1">
      <c r="F3154" s="1114">
        <v>1</v>
      </c>
      <c r="G3154" s="1114" t="s">
        <v>2838</v>
      </c>
      <c r="H3154" s="1103" t="s">
        <v>4117</v>
      </c>
      <c r="I3154" s="1114">
        <f>C598</f>
        <v>53.4</v>
      </c>
      <c r="J3154" s="1103" t="s">
        <v>2838</v>
      </c>
      <c r="K3154" s="1114">
        <f t="shared" si="285"/>
        <v>53.4</v>
      </c>
      <c r="M3154" s="1143">
        <f>P3143</f>
        <v>1.8562499999999999E-2</v>
      </c>
      <c r="N3154" s="1114" t="s">
        <v>2839</v>
      </c>
      <c r="O3154" s="1103" t="s">
        <v>3206</v>
      </c>
      <c r="P3154" s="1114">
        <f t="shared" ref="P3154:P3162" si="286">I3147</f>
        <v>99400</v>
      </c>
      <c r="Q3154" s="1103" t="s">
        <v>2839</v>
      </c>
      <c r="R3154" s="1114">
        <f t="shared" ref="R3154:R3163" si="287">P3154*M3154</f>
        <v>1845.1125</v>
      </c>
      <c r="S3154" s="1104"/>
      <c r="T3154" s="1114"/>
      <c r="W3154" s="1107"/>
      <c r="X3154" s="1103" t="s">
        <v>220</v>
      </c>
    </row>
    <row r="3155" spans="6:24" ht="24" customHeight="1">
      <c r="F3155" s="1114">
        <v>1</v>
      </c>
      <c r="G3155" s="1114" t="s">
        <v>2838</v>
      </c>
      <c r="H3155" s="1103" t="s">
        <v>3214</v>
      </c>
      <c r="I3155" s="1114">
        <f>D598</f>
        <v>45.9</v>
      </c>
      <c r="J3155" s="1103" t="s">
        <v>2838</v>
      </c>
      <c r="K3155" s="1114">
        <f t="shared" si="285"/>
        <v>45.9</v>
      </c>
      <c r="M3155" s="1144">
        <f>P3148</f>
        <v>1.6087499999999999</v>
      </c>
      <c r="N3155" s="1114" t="s">
        <v>3189</v>
      </c>
      <c r="O3155" s="1103" t="s">
        <v>3207</v>
      </c>
      <c r="P3155" s="1114">
        <f t="shared" si="286"/>
        <v>387.4</v>
      </c>
      <c r="Q3155" s="1103" t="s">
        <v>3189</v>
      </c>
      <c r="R3155" s="1114">
        <f t="shared" si="287"/>
        <v>623.22974999999997</v>
      </c>
      <c r="S3155" s="1105"/>
      <c r="U3155" s="1111" t="s">
        <v>36</v>
      </c>
      <c r="W3155" s="1107"/>
    </row>
    <row r="3156" spans="6:24" ht="24" customHeight="1">
      <c r="H3156" s="1270" t="s">
        <v>5243</v>
      </c>
      <c r="K3156" s="1127">
        <f>10*2.18</f>
        <v>21.8</v>
      </c>
      <c r="M3156" s="1144">
        <f>P3140</f>
        <v>2.2549999999999999</v>
      </c>
      <c r="N3156" s="1114" t="s">
        <v>3189</v>
      </c>
      <c r="O3156" s="1103" t="s">
        <v>3208</v>
      </c>
      <c r="P3156" s="1114">
        <f t="shared" si="286"/>
        <v>1105</v>
      </c>
      <c r="Q3156" s="1103" t="s">
        <v>3189</v>
      </c>
      <c r="R3156" s="1114">
        <f t="shared" si="287"/>
        <v>2491.7750000000001</v>
      </c>
      <c r="S3156" s="1143">
        <v>9.2099999999999994E-3</v>
      </c>
      <c r="T3156" s="1114" t="s">
        <v>2839</v>
      </c>
      <c r="U3156" s="1103" t="s">
        <v>5231</v>
      </c>
      <c r="V3156" s="1114">
        <f>V3131</f>
        <v>99400</v>
      </c>
      <c r="W3156" s="1103" t="s">
        <v>2839</v>
      </c>
      <c r="X3156" s="1114">
        <f>V3156*S3156</f>
        <v>915.47399999999993</v>
      </c>
    </row>
    <row r="3157" spans="6:24" ht="24" customHeight="1">
      <c r="H3157" s="1104" t="s">
        <v>5266</v>
      </c>
      <c r="K3157" s="1114">
        <f>SUM(K3146:K3156)</f>
        <v>5989.4769999999999</v>
      </c>
      <c r="M3157" s="1114">
        <v>2</v>
      </c>
      <c r="N3157" s="1114" t="s">
        <v>2838</v>
      </c>
      <c r="O3157" s="1103" t="s">
        <v>3209</v>
      </c>
      <c r="P3157" s="1114">
        <f t="shared" si="286"/>
        <v>60</v>
      </c>
      <c r="Q3157" s="1103" t="s">
        <v>2838</v>
      </c>
      <c r="R3157" s="1114">
        <f t="shared" si="287"/>
        <v>120</v>
      </c>
      <c r="S3157" s="1143">
        <v>0.65249999999999997</v>
      </c>
      <c r="T3157" s="1114" t="s">
        <v>3189</v>
      </c>
      <c r="U3157" s="1103" t="s">
        <v>5232</v>
      </c>
      <c r="V3157" s="1114">
        <f>V3132</f>
        <v>208.8</v>
      </c>
      <c r="W3157" s="1103" t="s">
        <v>2839</v>
      </c>
      <c r="X3157" s="1114">
        <f t="shared" ref="X3157:X3164" si="288">V3157*S3157</f>
        <v>136.24199999999999</v>
      </c>
    </row>
    <row r="3158" spans="6:24" ht="24" customHeight="1">
      <c r="G3158" s="1114" t="s">
        <v>220</v>
      </c>
      <c r="K3158" s="1111" t="s">
        <v>36</v>
      </c>
      <c r="M3158" s="1114">
        <v>3</v>
      </c>
      <c r="N3158" s="1114" t="s">
        <v>2838</v>
      </c>
      <c r="O3158" s="1103" t="s">
        <v>4085</v>
      </c>
      <c r="P3158" s="1114">
        <f t="shared" si="286"/>
        <v>83</v>
      </c>
      <c r="Q3158" s="1103" t="s">
        <v>2838</v>
      </c>
      <c r="R3158" s="1114">
        <f t="shared" si="287"/>
        <v>249</v>
      </c>
      <c r="S3158" s="1144">
        <v>0.879</v>
      </c>
      <c r="T3158" s="1114" t="s">
        <v>3189</v>
      </c>
      <c r="U3158" s="1103" t="s">
        <v>3208</v>
      </c>
      <c r="V3158" s="1114">
        <f t="shared" ref="V3158:V3163" si="289">V3133</f>
        <v>1239</v>
      </c>
      <c r="W3158" s="1103" t="s">
        <v>3189</v>
      </c>
      <c r="X3158" s="1114">
        <f t="shared" si="288"/>
        <v>1089.0809999999999</v>
      </c>
    </row>
    <row r="3159" spans="6:24" ht="24" customHeight="1">
      <c r="H3159" s="1118" t="s">
        <v>3154</v>
      </c>
      <c r="K3159" s="1115">
        <f>K3157/F3149</f>
        <v>3246.3289972899729</v>
      </c>
      <c r="M3159" s="1114">
        <v>1</v>
      </c>
      <c r="N3159" s="1114" t="s">
        <v>2838</v>
      </c>
      <c r="O3159" s="1103" t="s">
        <v>3211</v>
      </c>
      <c r="P3159" s="1114">
        <f t="shared" si="286"/>
        <v>167.6</v>
      </c>
      <c r="Q3159" s="1103" t="s">
        <v>2838</v>
      </c>
      <c r="R3159" s="1114">
        <f t="shared" si="287"/>
        <v>167.6</v>
      </c>
      <c r="S3159" s="1144">
        <v>4.3250000000000002</v>
      </c>
      <c r="T3159" s="1114" t="s">
        <v>298</v>
      </c>
      <c r="U3159" s="1103" t="s">
        <v>5233</v>
      </c>
      <c r="V3159" s="1114">
        <f t="shared" si="289"/>
        <v>45.7</v>
      </c>
      <c r="W3159" s="1103" t="s">
        <v>3189</v>
      </c>
      <c r="X3159" s="1114">
        <f t="shared" si="288"/>
        <v>197.65250000000003</v>
      </c>
    </row>
    <row r="3160" spans="6:24" ht="24" customHeight="1">
      <c r="K3160" s="1111" t="s">
        <v>2793</v>
      </c>
      <c r="M3160" s="1114">
        <v>1</v>
      </c>
      <c r="N3160" s="1114" t="s">
        <v>2838</v>
      </c>
      <c r="O3160" s="1103" t="s">
        <v>3212</v>
      </c>
      <c r="P3160" s="1114">
        <f t="shared" si="286"/>
        <v>7.3</v>
      </c>
      <c r="Q3160" s="1103" t="s">
        <v>2838</v>
      </c>
      <c r="R3160" s="1114">
        <f t="shared" si="287"/>
        <v>7.3</v>
      </c>
      <c r="S3160" s="1114">
        <v>3</v>
      </c>
      <c r="T3160" s="1114" t="s">
        <v>2838</v>
      </c>
      <c r="U3160" s="1103" t="s">
        <v>4085</v>
      </c>
      <c r="V3160" s="1114">
        <f t="shared" si="289"/>
        <v>83</v>
      </c>
      <c r="W3160" s="1103" t="s">
        <v>2838</v>
      </c>
      <c r="X3160" s="1114">
        <f t="shared" si="288"/>
        <v>249</v>
      </c>
    </row>
    <row r="3161" spans="6:24" ht="24" customHeight="1">
      <c r="M3161" s="1114">
        <v>1</v>
      </c>
      <c r="N3161" s="1114" t="s">
        <v>2838</v>
      </c>
      <c r="O3161" s="1103" t="s">
        <v>4117</v>
      </c>
      <c r="P3161" s="1114">
        <f t="shared" si="286"/>
        <v>53.4</v>
      </c>
      <c r="Q3161" s="1103" t="s">
        <v>2838</v>
      </c>
      <c r="R3161" s="1114">
        <f t="shared" si="287"/>
        <v>53.4</v>
      </c>
      <c r="S3161" s="1114">
        <v>2</v>
      </c>
      <c r="T3161" s="1114" t="s">
        <v>2838</v>
      </c>
      <c r="U3161" s="1103" t="s">
        <v>5238</v>
      </c>
      <c r="V3161" s="1114">
        <f t="shared" si="289"/>
        <v>76.2</v>
      </c>
      <c r="W3161" s="1103" t="s">
        <v>2838</v>
      </c>
      <c r="X3161" s="1114">
        <f t="shared" si="288"/>
        <v>152.4</v>
      </c>
    </row>
    <row r="3162" spans="6:24" ht="24" customHeight="1">
      <c r="M3162" s="1114">
        <v>1</v>
      </c>
      <c r="N3162" s="1114" t="s">
        <v>2838</v>
      </c>
      <c r="O3162" s="1103" t="s">
        <v>3214</v>
      </c>
      <c r="P3162" s="1114">
        <f t="shared" si="286"/>
        <v>45.9</v>
      </c>
      <c r="Q3162" s="1103" t="s">
        <v>2838</v>
      </c>
      <c r="R3162" s="1114">
        <f t="shared" si="287"/>
        <v>45.9</v>
      </c>
      <c r="S3162" s="1114">
        <v>1</v>
      </c>
      <c r="T3162" s="1114" t="s">
        <v>2838</v>
      </c>
      <c r="U3162" s="1103" t="s">
        <v>5241</v>
      </c>
      <c r="V3162" s="1114">
        <f t="shared" si="289"/>
        <v>53.4</v>
      </c>
      <c r="W3162" s="1103" t="s">
        <v>2838</v>
      </c>
      <c r="X3162" s="1114">
        <f t="shared" si="288"/>
        <v>53.4</v>
      </c>
    </row>
    <row r="3163" spans="6:24" ht="24" customHeight="1">
      <c r="M3163" s="1114">
        <v>58</v>
      </c>
      <c r="O3163" s="1270" t="s">
        <v>5243</v>
      </c>
      <c r="P3163" s="1105">
        <f>P2864</f>
        <v>2.39</v>
      </c>
      <c r="Q3163" s="1107"/>
      <c r="R3163" s="1114">
        <f t="shared" si="287"/>
        <v>138.62</v>
      </c>
      <c r="S3163" s="1114">
        <v>1</v>
      </c>
      <c r="T3163" s="1114" t="s">
        <v>2838</v>
      </c>
      <c r="U3163" s="1103" t="s">
        <v>3212</v>
      </c>
      <c r="V3163" s="1114">
        <f t="shared" si="289"/>
        <v>7.3</v>
      </c>
      <c r="W3163" s="1103" t="s">
        <v>2838</v>
      </c>
      <c r="X3163" s="1114">
        <f t="shared" si="288"/>
        <v>7.3</v>
      </c>
    </row>
    <row r="3164" spans="6:24" ht="24" customHeight="1">
      <c r="O3164" s="1104" t="s">
        <v>5142</v>
      </c>
      <c r="Q3164" s="1107"/>
      <c r="R3164" s="1114">
        <f>SUM(R3153:R3163)</f>
        <v>7028.8247499999998</v>
      </c>
      <c r="S3164" s="1114">
        <v>36</v>
      </c>
      <c r="T3164" s="1114" t="s">
        <v>2838</v>
      </c>
      <c r="U3164" s="1103" t="s">
        <v>5243</v>
      </c>
      <c r="V3164" s="1114">
        <f>V3139</f>
        <v>2.39</v>
      </c>
      <c r="W3164" s="1103" t="s">
        <v>2838</v>
      </c>
      <c r="X3164" s="1114">
        <f t="shared" si="288"/>
        <v>86.04</v>
      </c>
    </row>
    <row r="3165" spans="6:24" ht="24" customHeight="1">
      <c r="N3165" s="1114" t="s">
        <v>220</v>
      </c>
      <c r="Q3165" s="1107"/>
      <c r="R3165" s="1111" t="s">
        <v>36</v>
      </c>
      <c r="S3165" s="1114"/>
      <c r="T3165" s="1114"/>
      <c r="U3165" s="1103"/>
      <c r="V3165" s="1114"/>
      <c r="W3165" s="1103" t="s">
        <v>2838</v>
      </c>
      <c r="X3165" s="1111" t="s">
        <v>36</v>
      </c>
    </row>
    <row r="3166" spans="6:24" ht="24" customHeight="1">
      <c r="H3166" s="1105" t="s">
        <v>5267</v>
      </c>
      <c r="J3166" s="1105"/>
      <c r="O3166" s="1118" t="s">
        <v>3154</v>
      </c>
      <c r="Q3166" s="1107"/>
      <c r="R3166" s="1115">
        <f>R3164/M3156</f>
        <v>3116.9954545454548</v>
      </c>
      <c r="S3166" s="1114"/>
      <c r="U3166" s="1118" t="s">
        <v>5268</v>
      </c>
      <c r="W3166" s="1107"/>
      <c r="X3166" s="1114">
        <f>SUM(X3156:X3164)</f>
        <v>2886.5895</v>
      </c>
    </row>
    <row r="3167" spans="6:24" ht="24" customHeight="1">
      <c r="J3167" s="1105"/>
      <c r="Q3167" s="1107"/>
      <c r="R3167" s="1111" t="s">
        <v>2793</v>
      </c>
      <c r="S3167" s="1105"/>
      <c r="W3167" s="1107"/>
      <c r="X3167" s="1111" t="s">
        <v>36</v>
      </c>
    </row>
    <row r="3168" spans="6:24" ht="24" customHeight="1">
      <c r="F3168" s="1105">
        <v>3.23</v>
      </c>
      <c r="G3168" s="1105" t="s">
        <v>3236</v>
      </c>
      <c r="H3168" s="1105" t="s">
        <v>5269</v>
      </c>
      <c r="I3168" s="1105">
        <f>I1505</f>
        <v>49.4</v>
      </c>
      <c r="J3168" s="1105" t="s">
        <v>3236</v>
      </c>
      <c r="K3168" s="1105">
        <f>I3168*F3168</f>
        <v>159.56199999999998</v>
      </c>
      <c r="S3168" s="1105"/>
      <c r="T3168" s="1114" t="s">
        <v>220</v>
      </c>
      <c r="U3168" s="1118" t="s">
        <v>3154</v>
      </c>
      <c r="W3168" s="1107"/>
      <c r="X3168" s="1115">
        <f>X3166/S3158</f>
        <v>3283.9470989761094</v>
      </c>
    </row>
    <row r="3169" spans="6:24" ht="24" customHeight="1">
      <c r="F3169" s="1105">
        <v>0.5</v>
      </c>
      <c r="G3169" s="1105" t="s">
        <v>4558</v>
      </c>
      <c r="H3169" s="1105" t="s">
        <v>5270</v>
      </c>
      <c r="I3169" s="1105">
        <f>I1506</f>
        <v>688</v>
      </c>
      <c r="J3169" s="1105" t="s">
        <v>4558</v>
      </c>
      <c r="K3169" s="1105">
        <f>I3169*F3169</f>
        <v>344</v>
      </c>
      <c r="S3169" s="1105"/>
      <c r="W3169" s="1107"/>
      <c r="X3169" s="1111" t="s">
        <v>2793</v>
      </c>
    </row>
    <row r="3170" spans="6:24" ht="24" customHeight="1">
      <c r="F3170" s="1105">
        <v>0.5</v>
      </c>
      <c r="G3170" s="1105" t="s">
        <v>4558</v>
      </c>
      <c r="H3170" s="1103" t="s">
        <v>3020</v>
      </c>
      <c r="I3170" s="1105">
        <f>I1507</f>
        <v>562</v>
      </c>
      <c r="J3170" s="1105" t="s">
        <v>4558</v>
      </c>
      <c r="K3170" s="1105">
        <f>I3170*F3170</f>
        <v>281</v>
      </c>
      <c r="M3170" s="1183"/>
      <c r="N3170" s="1180" t="s">
        <v>1363</v>
      </c>
      <c r="O3170" s="1182" t="s">
        <v>5271</v>
      </c>
      <c r="P3170" s="1270"/>
      <c r="Q3170" s="1272"/>
      <c r="R3170" s="1270"/>
    </row>
    <row r="3171" spans="6:24" ht="24" customHeight="1">
      <c r="F3171" s="1105">
        <v>0.8</v>
      </c>
      <c r="G3171" s="1105" t="s">
        <v>4558</v>
      </c>
      <c r="H3171" s="1103" t="s">
        <v>3026</v>
      </c>
      <c r="I3171" s="1105">
        <f>I1508</f>
        <v>461</v>
      </c>
      <c r="J3171" s="1105" t="s">
        <v>4558</v>
      </c>
      <c r="K3171" s="1105">
        <f>I3171*F3171</f>
        <v>368.8</v>
      </c>
      <c r="M3171" s="1270"/>
      <c r="N3171" s="1270"/>
      <c r="O3171" s="1182" t="s">
        <v>4046</v>
      </c>
      <c r="P3171" s="1270"/>
      <c r="Q3171" s="1272"/>
      <c r="R3171" s="1270"/>
    </row>
    <row r="3172" spans="6:24" ht="24" customHeight="1">
      <c r="F3172" s="1105">
        <v>10</v>
      </c>
      <c r="G3172" s="1105" t="s">
        <v>37</v>
      </c>
      <c r="H3172" s="1103" t="s">
        <v>5272</v>
      </c>
      <c r="I3172" s="1105">
        <f>C460</f>
        <v>3.65</v>
      </c>
      <c r="J3172" s="1105" t="s">
        <v>37</v>
      </c>
      <c r="K3172" s="1105">
        <f>I3172*F3172</f>
        <v>36.5</v>
      </c>
      <c r="M3172" s="1270"/>
      <c r="N3172" s="1270"/>
      <c r="O3172" s="1318" t="s">
        <v>5273</v>
      </c>
      <c r="P3172" s="1270"/>
      <c r="Q3172" s="1272"/>
      <c r="R3172" s="1270"/>
    </row>
    <row r="3173" spans="6:24" ht="24" customHeight="1">
      <c r="H3173" s="1103" t="s">
        <v>5274</v>
      </c>
      <c r="I3173" s="1145" t="s">
        <v>1348</v>
      </c>
      <c r="J3173" s="1109"/>
      <c r="K3173" s="1105">
        <v>1.75</v>
      </c>
      <c r="M3173" s="1270"/>
      <c r="N3173" s="1270"/>
      <c r="O3173" s="1276" t="s">
        <v>36</v>
      </c>
      <c r="P3173" s="1270"/>
      <c r="Q3173" s="1272"/>
      <c r="R3173" s="1270"/>
    </row>
    <row r="3174" spans="6:24" ht="24" customHeight="1">
      <c r="J3174" s="1109"/>
      <c r="K3174" s="1105">
        <f>SUM(K3168:K3173)</f>
        <v>1191.6120000000001</v>
      </c>
      <c r="M3174" s="1270"/>
      <c r="N3174" s="1270"/>
      <c r="O3174" s="1182" t="s">
        <v>5275</v>
      </c>
      <c r="P3174" s="1273" t="s">
        <v>2793</v>
      </c>
      <c r="Q3174" s="1319">
        <v>3.1219999999999999</v>
      </c>
      <c r="R3174" s="1270" t="s">
        <v>37</v>
      </c>
    </row>
    <row r="3175" spans="6:24" ht="24" customHeight="1">
      <c r="J3175" s="1109"/>
      <c r="K3175" s="1105">
        <f>K3174/10</f>
        <v>119.16120000000001</v>
      </c>
      <c r="M3175" s="1270"/>
      <c r="N3175" s="1270"/>
      <c r="O3175" s="1182"/>
      <c r="P3175" s="1273"/>
      <c r="Q3175" s="1319"/>
      <c r="R3175" s="1270"/>
    </row>
    <row r="3176" spans="6:24" ht="24" customHeight="1">
      <c r="J3176" s="1105"/>
      <c r="L3176" s="1105">
        <f>K3210</f>
        <v>314.678</v>
      </c>
      <c r="M3176" s="1270"/>
      <c r="N3176" s="1270"/>
      <c r="O3176" s="1182" t="s">
        <v>5276</v>
      </c>
      <c r="P3176" s="1273" t="s">
        <v>2793</v>
      </c>
      <c r="Q3176" s="1320">
        <v>5.1999999999999998E-2</v>
      </c>
      <c r="R3176" s="1270" t="s">
        <v>16</v>
      </c>
    </row>
    <row r="3177" spans="6:24" ht="24" customHeight="1">
      <c r="J3177" s="1105"/>
      <c r="L3177" s="1105">
        <f>K3211</f>
        <v>481.59999999999997</v>
      </c>
      <c r="M3177" s="1270"/>
      <c r="N3177" s="1270"/>
      <c r="O3177" s="1182" t="s">
        <v>5277</v>
      </c>
      <c r="Q3177" s="1145"/>
      <c r="R3177" s="1270"/>
    </row>
    <row r="3178" spans="6:24" ht="24" customHeight="1">
      <c r="J3178" s="1105"/>
      <c r="M3178" s="1270"/>
      <c r="N3178" s="1270"/>
      <c r="O3178" s="1182" t="s">
        <v>5278</v>
      </c>
      <c r="P3178" s="1273" t="s">
        <v>2793</v>
      </c>
      <c r="Q3178" s="1321">
        <v>2.2780000000000002E-2</v>
      </c>
      <c r="R3178" s="1270"/>
    </row>
    <row r="3179" spans="6:24" ht="24" customHeight="1">
      <c r="H3179" s="1105" t="s">
        <v>5279</v>
      </c>
      <c r="J3179" s="1105"/>
      <c r="L3179" s="1105">
        <v>1.5</v>
      </c>
      <c r="M3179" s="1270"/>
      <c r="N3179" s="1270"/>
      <c r="O3179" s="1182" t="s">
        <v>5280</v>
      </c>
      <c r="P3179" s="1273" t="s">
        <v>2793</v>
      </c>
      <c r="Q3179" s="1321">
        <v>1.013E-2</v>
      </c>
      <c r="R3179" s="1181"/>
    </row>
    <row r="3180" spans="6:24" ht="24" customHeight="1">
      <c r="J3180" s="1105"/>
      <c r="L3180" s="1105">
        <f>SUM(L3176:L3179)</f>
        <v>797.77800000000002</v>
      </c>
      <c r="M3180" s="1270"/>
      <c r="N3180" s="1270"/>
      <c r="O3180" s="1270"/>
      <c r="P3180" s="1270"/>
      <c r="Q3180" s="1276" t="s">
        <v>36</v>
      </c>
    </row>
    <row r="3181" spans="6:24" ht="24" customHeight="1">
      <c r="F3181" s="1105">
        <v>1.8</v>
      </c>
      <c r="G3181" s="1105" t="s">
        <v>3236</v>
      </c>
      <c r="H3181" s="1105" t="s">
        <v>5269</v>
      </c>
      <c r="I3181" s="1105">
        <f>I3168</f>
        <v>49.4</v>
      </c>
      <c r="J3181" s="1105" t="s">
        <v>3236</v>
      </c>
      <c r="K3181" s="1105">
        <f>I3181*F3181</f>
        <v>88.92</v>
      </c>
      <c r="M3181" s="1270"/>
      <c r="N3181" s="1270"/>
      <c r="O3181" s="1270"/>
      <c r="P3181" s="1270"/>
      <c r="Q3181" s="1322">
        <v>3.2910000000000002E-2</v>
      </c>
      <c r="R3181" s="1105" t="s">
        <v>16</v>
      </c>
    </row>
    <row r="3182" spans="6:24" ht="24" customHeight="1">
      <c r="F3182" s="1105">
        <v>0.25</v>
      </c>
      <c r="G3182" s="1105" t="s">
        <v>4558</v>
      </c>
      <c r="H3182" s="1105" t="s">
        <v>5270</v>
      </c>
      <c r="I3182" s="1105">
        <f>I3169</f>
        <v>688</v>
      </c>
      <c r="J3182" s="1105" t="s">
        <v>4558</v>
      </c>
      <c r="K3182" s="1105">
        <f>I3182*F3182</f>
        <v>172</v>
      </c>
      <c r="L3182" s="1105">
        <f>L3180/10</f>
        <v>79.777799999999999</v>
      </c>
      <c r="M3182" s="1270"/>
      <c r="N3182" s="1270"/>
      <c r="O3182" s="1270"/>
      <c r="P3182" s="1270"/>
      <c r="Q3182" s="1276" t="s">
        <v>36</v>
      </c>
    </row>
    <row r="3183" spans="6:24" ht="24" customHeight="1">
      <c r="F3183" s="1105">
        <v>0.25</v>
      </c>
      <c r="G3183" s="1105" t="s">
        <v>4558</v>
      </c>
      <c r="H3183" s="1103" t="s">
        <v>3020</v>
      </c>
      <c r="I3183" s="1105">
        <f>I3170</f>
        <v>562</v>
      </c>
      <c r="J3183" s="1105" t="s">
        <v>4558</v>
      </c>
      <c r="K3183" s="1105">
        <f>I3183*F3183</f>
        <v>140.5</v>
      </c>
      <c r="M3183" s="1270"/>
      <c r="N3183" s="1270"/>
      <c r="O3183" s="1182" t="s">
        <v>5281</v>
      </c>
      <c r="P3183" s="1270"/>
      <c r="Q3183" s="1323">
        <v>1.7600000000000001E-2</v>
      </c>
      <c r="R3183" s="1181"/>
    </row>
    <row r="3184" spans="6:24" ht="24" customHeight="1">
      <c r="F3184" s="1105">
        <v>0.4</v>
      </c>
      <c r="G3184" s="1105" t="s">
        <v>4558</v>
      </c>
      <c r="H3184" s="1103" t="s">
        <v>3026</v>
      </c>
      <c r="I3184" s="1105">
        <f>I3171</f>
        <v>461</v>
      </c>
      <c r="J3184" s="1105" t="s">
        <v>4558</v>
      </c>
      <c r="K3184" s="1105">
        <f>I3184*F3184</f>
        <v>184.4</v>
      </c>
      <c r="M3184" s="1270"/>
      <c r="N3184" s="1270"/>
      <c r="O3184" s="1182" t="s">
        <v>5282</v>
      </c>
      <c r="P3184" s="1270"/>
      <c r="Q3184" s="1324">
        <v>8.3999999999999995E-3</v>
      </c>
      <c r="R3184" s="1181"/>
    </row>
    <row r="3185" spans="6:20" ht="24" customHeight="1">
      <c r="F3185" s="1105">
        <v>10</v>
      </c>
      <c r="G3185" s="1105" t="s">
        <v>37</v>
      </c>
      <c r="H3185" s="1103" t="s">
        <v>5283</v>
      </c>
      <c r="I3185" s="1105">
        <f>I3172</f>
        <v>3.65</v>
      </c>
      <c r="J3185" s="1105" t="s">
        <v>37</v>
      </c>
      <c r="K3185" s="1105">
        <f>I3185*F3185</f>
        <v>36.5</v>
      </c>
      <c r="M3185" s="1270"/>
      <c r="N3185" s="1270"/>
      <c r="O3185" s="1182"/>
      <c r="P3185" s="1270"/>
      <c r="Q3185" s="1276" t="s">
        <v>36</v>
      </c>
      <c r="R3185" s="1181"/>
    </row>
    <row r="3186" spans="6:20" ht="24" customHeight="1">
      <c r="H3186" s="1103" t="s">
        <v>5274</v>
      </c>
      <c r="I3186" s="1145" t="s">
        <v>5284</v>
      </c>
      <c r="J3186" s="1109"/>
      <c r="K3186" s="1105">
        <v>1.6</v>
      </c>
      <c r="M3186" s="1270"/>
      <c r="N3186" s="1270"/>
      <c r="O3186" s="1182"/>
      <c r="P3186" s="1270"/>
      <c r="Q3186" s="1325">
        <v>2.5999999999999999E-2</v>
      </c>
      <c r="R3186" s="1181" t="s">
        <v>16</v>
      </c>
    </row>
    <row r="3187" spans="6:20" ht="24" customHeight="1">
      <c r="J3187" s="1109"/>
      <c r="K3187" s="1105">
        <f>SUM(K3181:K3186)</f>
        <v>623.92000000000007</v>
      </c>
      <c r="M3187" s="1270"/>
      <c r="N3187" s="1270"/>
      <c r="O3187" s="1270"/>
      <c r="P3187" s="1270"/>
      <c r="Q3187" s="1276" t="s">
        <v>36</v>
      </c>
      <c r="R3187" s="1276"/>
    </row>
    <row r="3188" spans="6:20" ht="24" customHeight="1">
      <c r="J3188" s="1109"/>
      <c r="K3188" s="1105">
        <f>K3187/10</f>
        <v>62.39200000000001</v>
      </c>
      <c r="M3188" s="1181">
        <v>5.1999999999999998E-2</v>
      </c>
      <c r="N3188" s="1180" t="s">
        <v>2839</v>
      </c>
      <c r="O3188" s="1182" t="s">
        <v>4062</v>
      </c>
      <c r="P3188" s="1180">
        <f>AC26</f>
        <v>111600</v>
      </c>
      <c r="Q3188" s="1183" t="s">
        <v>2839</v>
      </c>
      <c r="R3188" s="1180">
        <f>P3188*M3188</f>
        <v>5803.2</v>
      </c>
    </row>
    <row r="3189" spans="6:20" ht="24" customHeight="1">
      <c r="J3189" s="1105"/>
      <c r="M3189" s="1181">
        <v>3.2910000000000002E-2</v>
      </c>
      <c r="N3189" s="1180" t="s">
        <v>2839</v>
      </c>
      <c r="O3189" s="1182" t="s">
        <v>4064</v>
      </c>
      <c r="P3189" s="1180">
        <f>AC27</f>
        <v>99400</v>
      </c>
      <c r="Q3189" s="1183" t="s">
        <v>2839</v>
      </c>
      <c r="R3189" s="1180">
        <f t="shared" ref="R3189:R3199" si="290">P3189*M3189</f>
        <v>3271.2540000000004</v>
      </c>
    </row>
    <row r="3190" spans="6:20" ht="24" customHeight="1">
      <c r="J3190" s="1105"/>
      <c r="M3190" s="1181">
        <v>2.5999999999999999E-2</v>
      </c>
      <c r="N3190" s="1180" t="s">
        <v>2839</v>
      </c>
      <c r="O3190" s="1182" t="s">
        <v>5285</v>
      </c>
      <c r="P3190" s="1180">
        <v>101921.4</v>
      </c>
      <c r="Q3190" s="1183" t="s">
        <v>2839</v>
      </c>
      <c r="R3190" s="1180">
        <f t="shared" si="290"/>
        <v>2649.9563999999996</v>
      </c>
    </row>
    <row r="3191" spans="6:20" ht="24" customHeight="1">
      <c r="J3191" s="1105"/>
      <c r="L3191" s="1105">
        <f>K3225</f>
        <v>525.25200000000007</v>
      </c>
      <c r="M3191" s="1307"/>
      <c r="N3191" s="1270"/>
      <c r="O3191" s="1182" t="s">
        <v>5286</v>
      </c>
      <c r="P3191" s="1180"/>
      <c r="Q3191" s="1272"/>
      <c r="R3191" s="1180">
        <f t="shared" si="290"/>
        <v>0</v>
      </c>
    </row>
    <row r="3192" spans="6:20" ht="24" customHeight="1">
      <c r="H3192" s="1105" t="s">
        <v>5287</v>
      </c>
      <c r="J3192" s="1105"/>
      <c r="L3192" s="1105">
        <f>K3226</f>
        <v>825.6</v>
      </c>
      <c r="M3192" s="1307">
        <v>3.1219999999999999</v>
      </c>
      <c r="N3192" s="1180" t="s">
        <v>3189</v>
      </c>
      <c r="O3192" s="1182" t="s">
        <v>4059</v>
      </c>
      <c r="P3192" s="1180">
        <f>I954</f>
        <v>1325</v>
      </c>
      <c r="Q3192" s="1183" t="s">
        <v>3189</v>
      </c>
      <c r="R3192" s="1180">
        <f t="shared" si="290"/>
        <v>4136.6499999999996</v>
      </c>
    </row>
    <row r="3193" spans="6:20" ht="24" customHeight="1">
      <c r="H3193" s="1105" t="s">
        <v>4440</v>
      </c>
      <c r="J3193" s="1105"/>
      <c r="M3193" s="1180">
        <v>4</v>
      </c>
      <c r="N3193" s="1180" t="s">
        <v>2941</v>
      </c>
      <c r="O3193" s="1182" t="s">
        <v>5288</v>
      </c>
      <c r="P3193" s="1180">
        <f>I2637</f>
        <v>450</v>
      </c>
      <c r="Q3193" s="1183" t="s">
        <v>2838</v>
      </c>
      <c r="R3193" s="1180">
        <f t="shared" si="290"/>
        <v>1800</v>
      </c>
    </row>
    <row r="3194" spans="6:20" ht="24" customHeight="1">
      <c r="H3194" s="1105" t="s">
        <v>4441</v>
      </c>
      <c r="J3194" s="1105"/>
      <c r="L3194" s="1105">
        <f>K3228</f>
        <v>6.65</v>
      </c>
      <c r="M3194" s="1180">
        <v>8</v>
      </c>
      <c r="N3194" s="1180" t="s">
        <v>2838</v>
      </c>
      <c r="O3194" s="1182" t="s">
        <v>4061</v>
      </c>
      <c r="P3194" s="1180">
        <f>P3158</f>
        <v>83</v>
      </c>
      <c r="Q3194" s="1183" t="s">
        <v>2838</v>
      </c>
      <c r="R3194" s="1180">
        <f t="shared" si="290"/>
        <v>664</v>
      </c>
    </row>
    <row r="3195" spans="6:20" ht="24" customHeight="1">
      <c r="J3195" s="1105"/>
      <c r="L3195" s="1105">
        <f>SUM(L3191:L3194)</f>
        <v>1357.5020000000002</v>
      </c>
      <c r="M3195" s="1180">
        <v>4</v>
      </c>
      <c r="N3195" s="1180" t="s">
        <v>2838</v>
      </c>
      <c r="O3195" s="1182" t="s">
        <v>5289</v>
      </c>
      <c r="P3195" s="1180">
        <v>90.6</v>
      </c>
      <c r="Q3195" s="1183" t="s">
        <v>2838</v>
      </c>
      <c r="R3195" s="1180">
        <f t="shared" si="290"/>
        <v>362.4</v>
      </c>
    </row>
    <row r="3196" spans="6:20" ht="24" customHeight="1">
      <c r="F3196" s="1105">
        <v>1.1100000000000001</v>
      </c>
      <c r="G3196" s="1105" t="s">
        <v>5290</v>
      </c>
      <c r="H3196" s="1105" t="s">
        <v>4429</v>
      </c>
      <c r="I3196" s="1105">
        <f>I1547</f>
        <v>225.4</v>
      </c>
      <c r="J3196" s="1105" t="s">
        <v>5290</v>
      </c>
      <c r="K3196" s="1105">
        <f>I3196*F3196</f>
        <v>250.19400000000002</v>
      </c>
      <c r="M3196" s="1180">
        <v>1</v>
      </c>
      <c r="N3196" s="1180" t="s">
        <v>2838</v>
      </c>
      <c r="O3196" s="1182" t="s">
        <v>5291</v>
      </c>
      <c r="P3196" s="1180">
        <v>194.4</v>
      </c>
      <c r="Q3196" s="1183" t="s">
        <v>2838</v>
      </c>
      <c r="R3196" s="1180">
        <f t="shared" si="290"/>
        <v>194.4</v>
      </c>
    </row>
    <row r="3197" spans="6:20" ht="24" customHeight="1">
      <c r="F3197" s="1105">
        <v>0.7</v>
      </c>
      <c r="G3197" s="1105" t="s">
        <v>4558</v>
      </c>
      <c r="H3197" s="1105" t="s">
        <v>4287</v>
      </c>
      <c r="I3197" s="1105">
        <f>I3182</f>
        <v>688</v>
      </c>
      <c r="J3197" s="1105" t="s">
        <v>4558</v>
      </c>
      <c r="K3197" s="1105">
        <f>I3197*F3197</f>
        <v>481.59999999999997</v>
      </c>
      <c r="L3197" s="1105">
        <f>L3195/10</f>
        <v>135.75020000000001</v>
      </c>
      <c r="M3197" s="1180">
        <v>2</v>
      </c>
      <c r="N3197" s="1180" t="s">
        <v>2838</v>
      </c>
      <c r="O3197" s="1182" t="s">
        <v>5292</v>
      </c>
      <c r="P3197" s="1180">
        <v>22.9</v>
      </c>
      <c r="Q3197" s="1183" t="s">
        <v>2838</v>
      </c>
      <c r="R3197" s="1180">
        <f t="shared" si="290"/>
        <v>45.8</v>
      </c>
    </row>
    <row r="3198" spans="6:20" ht="24" customHeight="1">
      <c r="F3198" s="1105">
        <v>10</v>
      </c>
      <c r="G3198" s="1105" t="s">
        <v>37</v>
      </c>
      <c r="H3198" s="1103" t="s">
        <v>5293</v>
      </c>
      <c r="I3198" s="1105">
        <f>AE50</f>
        <v>7.9</v>
      </c>
      <c r="J3198" s="1105" t="s">
        <v>37</v>
      </c>
      <c r="K3198" s="1105">
        <f>I3198*F3198</f>
        <v>79</v>
      </c>
      <c r="M3198" s="1180">
        <v>2</v>
      </c>
      <c r="N3198" s="1180" t="s">
        <v>2838</v>
      </c>
      <c r="O3198" s="1182" t="s">
        <v>5294</v>
      </c>
      <c r="P3198" s="1180">
        <v>45.9</v>
      </c>
      <c r="Q3198" s="1183" t="s">
        <v>2838</v>
      </c>
      <c r="R3198" s="1180">
        <f t="shared" si="290"/>
        <v>91.8</v>
      </c>
      <c r="S3198" s="1108">
        <f>0.42*3.122</f>
        <v>1.31124</v>
      </c>
      <c r="T3198" s="1105">
        <f>S3198+19.79</f>
        <v>21.101240000000001</v>
      </c>
    </row>
    <row r="3199" spans="6:20" ht="24" customHeight="1">
      <c r="H3199" s="1103" t="s">
        <v>5274</v>
      </c>
      <c r="I3199" s="1105" t="s">
        <v>1348</v>
      </c>
      <c r="J3199" s="1109"/>
      <c r="K3199" s="1105">
        <v>1.9</v>
      </c>
      <c r="M3199" s="1180">
        <v>118</v>
      </c>
      <c r="N3199" s="1180" t="s">
        <v>2838</v>
      </c>
      <c r="O3199" s="1270" t="s">
        <v>5243</v>
      </c>
      <c r="P3199" s="1270">
        <f>I961</f>
        <v>2.39</v>
      </c>
      <c r="Q3199" s="1183" t="s">
        <v>2838</v>
      </c>
      <c r="R3199" s="1180">
        <f t="shared" si="290"/>
        <v>282.02000000000004</v>
      </c>
    </row>
    <row r="3200" spans="6:20" ht="24" customHeight="1">
      <c r="H3200" s="1105" t="s">
        <v>3152</v>
      </c>
      <c r="J3200" s="1109"/>
      <c r="K3200" s="1105">
        <f>SUM(K3196:K3199)</f>
        <v>812.69399999999996</v>
      </c>
      <c r="M3200" s="1270"/>
      <c r="N3200" s="1270"/>
      <c r="O3200" s="1270"/>
      <c r="P3200" s="1270"/>
      <c r="Q3200" s="1272"/>
      <c r="R3200" s="1276" t="s">
        <v>36</v>
      </c>
    </row>
    <row r="3201" spans="6:18" ht="24" customHeight="1">
      <c r="J3201" s="1109"/>
      <c r="M3201" s="1270"/>
      <c r="N3201" s="1270"/>
      <c r="O3201" s="1182" t="s">
        <v>5295</v>
      </c>
      <c r="P3201" s="1270"/>
      <c r="Q3201" s="1272"/>
      <c r="R3201" s="1180">
        <f>SUM(R3188:R3199)</f>
        <v>19301.4804</v>
      </c>
    </row>
    <row r="3202" spans="6:18" ht="24" customHeight="1">
      <c r="H3202" s="1105" t="s">
        <v>3154</v>
      </c>
      <c r="J3202" s="1109"/>
      <c r="K3202" s="1105">
        <f>K3200/10</f>
        <v>81.26939999999999</v>
      </c>
      <c r="M3202" s="1270"/>
      <c r="N3202" s="1270"/>
      <c r="O3202" s="1270"/>
      <c r="P3202" s="1270"/>
      <c r="Q3202" s="1272"/>
      <c r="R3202" s="1276" t="s">
        <v>36</v>
      </c>
    </row>
    <row r="3203" spans="6:18" ht="24" customHeight="1">
      <c r="J3203" s="1109"/>
      <c r="M3203" s="1270"/>
      <c r="N3203" s="1270"/>
      <c r="O3203" s="1281" t="s">
        <v>3154</v>
      </c>
      <c r="P3203" s="1270"/>
      <c r="Q3203" s="1274" t="s">
        <v>5076</v>
      </c>
      <c r="R3203" s="1282">
        <f>R3201/M3192</f>
        <v>6182.408840486868</v>
      </c>
    </row>
    <row r="3204" spans="6:18" ht="24" customHeight="1">
      <c r="J3204" s="1109"/>
      <c r="M3204" s="1183"/>
      <c r="N3204" s="1180" t="s">
        <v>1363</v>
      </c>
      <c r="O3204" s="1182" t="s">
        <v>5296</v>
      </c>
      <c r="P3204" s="1270"/>
      <c r="Q3204" s="1272"/>
      <c r="R3204" s="1270"/>
    </row>
    <row r="3205" spans="6:18" ht="24" customHeight="1">
      <c r="J3205" s="1109"/>
      <c r="M3205" s="1270"/>
      <c r="N3205" s="1270"/>
      <c r="O3205" s="1182" t="s">
        <v>4046</v>
      </c>
      <c r="P3205" s="1270"/>
      <c r="Q3205" s="1272"/>
      <c r="R3205" s="1270"/>
    </row>
    <row r="3206" spans="6:18" ht="24" customHeight="1">
      <c r="H3206" s="1105" t="s">
        <v>5287</v>
      </c>
      <c r="J3206" s="1109"/>
      <c r="M3206" s="1270"/>
      <c r="N3206" s="1270"/>
      <c r="O3206" s="1318" t="s">
        <v>5273</v>
      </c>
      <c r="P3206" s="1270"/>
      <c r="Q3206" s="1272"/>
      <c r="R3206" s="1270"/>
    </row>
    <row r="3207" spans="6:18" ht="24" customHeight="1">
      <c r="H3207" s="1105" t="s">
        <v>4424</v>
      </c>
      <c r="J3207" s="1109"/>
      <c r="L3207" s="1105">
        <f>K3241</f>
        <v>426.00599999999997</v>
      </c>
      <c r="M3207" s="1270"/>
      <c r="N3207" s="1270"/>
      <c r="O3207" s="1276" t="s">
        <v>36</v>
      </c>
      <c r="P3207" s="1270"/>
      <c r="Q3207" s="1272"/>
      <c r="R3207" s="1270"/>
    </row>
    <row r="3208" spans="6:18" ht="24" customHeight="1">
      <c r="H3208" s="1105" t="s">
        <v>4441</v>
      </c>
      <c r="J3208" s="1109"/>
      <c r="L3208" s="1105">
        <f>K3242</f>
        <v>756.80000000000007</v>
      </c>
      <c r="M3208" s="1270"/>
      <c r="N3208" s="1270"/>
      <c r="O3208" s="1182" t="s">
        <v>5275</v>
      </c>
      <c r="P3208" s="1273" t="s">
        <v>2793</v>
      </c>
      <c r="Q3208" s="1319">
        <v>3.1219999999999999</v>
      </c>
      <c r="R3208" s="1308" t="s">
        <v>37</v>
      </c>
    </row>
    <row r="3209" spans="6:18" ht="24" customHeight="1">
      <c r="J3209" s="1109"/>
      <c r="M3209" s="1270"/>
      <c r="N3209" s="1270"/>
      <c r="O3209" s="1182"/>
      <c r="P3209" s="1273"/>
      <c r="Q3209" s="1319"/>
      <c r="R3209" s="1308"/>
    </row>
    <row r="3210" spans="6:18" ht="24" customHeight="1">
      <c r="F3210" s="1105">
        <v>1.33</v>
      </c>
      <c r="G3210" s="1105" t="s">
        <v>5290</v>
      </c>
      <c r="H3210" s="1105" t="s">
        <v>4429</v>
      </c>
      <c r="I3210" s="1105">
        <f>I1534</f>
        <v>236.6</v>
      </c>
      <c r="J3210" s="1105" t="s">
        <v>5290</v>
      </c>
      <c r="K3210" s="1105">
        <f>I3210*F3210</f>
        <v>314.678</v>
      </c>
      <c r="L3210" s="1105">
        <f>K3244</f>
        <v>1.9</v>
      </c>
      <c r="M3210" s="1270"/>
      <c r="N3210" s="1270"/>
      <c r="O3210" s="1182" t="s">
        <v>5276</v>
      </c>
      <c r="P3210" s="1273" t="s">
        <v>2793</v>
      </c>
      <c r="Q3210" s="1320">
        <v>5.1999999999999998E-2</v>
      </c>
      <c r="R3210" s="1308" t="s">
        <v>16</v>
      </c>
    </row>
    <row r="3211" spans="6:18" ht="24" customHeight="1">
      <c r="F3211" s="1105">
        <v>0.7</v>
      </c>
      <c r="G3211" s="1105" t="s">
        <v>4558</v>
      </c>
      <c r="H3211" s="1105" t="s">
        <v>4287</v>
      </c>
      <c r="I3211" s="1105">
        <f>I3197</f>
        <v>688</v>
      </c>
      <c r="J3211" s="1105" t="s">
        <v>4558</v>
      </c>
      <c r="K3211" s="1105">
        <f>I3211*F3211</f>
        <v>481.59999999999997</v>
      </c>
      <c r="L3211" s="1105">
        <f>SUM(L3207:L3210)</f>
        <v>1184.7060000000001</v>
      </c>
      <c r="M3211" s="1270"/>
      <c r="N3211" s="1270"/>
      <c r="O3211" s="1182" t="s">
        <v>5277</v>
      </c>
      <c r="Q3211" s="1145"/>
      <c r="R3211" s="1308"/>
    </row>
    <row r="3212" spans="6:18" ht="24" customHeight="1">
      <c r="F3212" s="1105">
        <v>10</v>
      </c>
      <c r="G3212" s="1105" t="s">
        <v>37</v>
      </c>
      <c r="H3212" s="1105" t="s">
        <v>5297</v>
      </c>
      <c r="I3212" s="1105">
        <f>AE49</f>
        <v>8.5</v>
      </c>
      <c r="J3212" s="1105" t="s">
        <v>37</v>
      </c>
      <c r="K3212" s="1105">
        <f>I3212*F3212</f>
        <v>85</v>
      </c>
      <c r="M3212" s="1270"/>
      <c r="N3212" s="1270"/>
      <c r="O3212" s="1182" t="s">
        <v>5298</v>
      </c>
      <c r="P3212" s="1273" t="s">
        <v>2793</v>
      </c>
      <c r="Q3212" s="1321">
        <v>2.2780000000000002E-2</v>
      </c>
      <c r="R3212" s="1308"/>
    </row>
    <row r="3213" spans="6:18" ht="24" customHeight="1">
      <c r="H3213" s="1105" t="s">
        <v>5274</v>
      </c>
      <c r="I3213" s="1105" t="s">
        <v>1348</v>
      </c>
      <c r="J3213" s="1109"/>
      <c r="K3213" s="1105">
        <v>1.5</v>
      </c>
      <c r="M3213" s="1270"/>
      <c r="N3213" s="1270"/>
      <c r="O3213" s="1182" t="s">
        <v>5280</v>
      </c>
      <c r="P3213" s="1273" t="s">
        <v>2793</v>
      </c>
      <c r="Q3213" s="1321">
        <v>1.013E-2</v>
      </c>
      <c r="R3213" s="1309"/>
    </row>
    <row r="3214" spans="6:18" ht="24" customHeight="1">
      <c r="H3214" s="1105" t="s">
        <v>3152</v>
      </c>
      <c r="J3214" s="1109"/>
      <c r="K3214" s="1105">
        <f>SUM(K3210:K3213)</f>
        <v>882.77800000000002</v>
      </c>
      <c r="M3214" s="1270"/>
      <c r="N3214" s="1270"/>
      <c r="O3214" s="1270"/>
      <c r="P3214" s="1270"/>
      <c r="Q3214" s="1326" t="s">
        <v>5299</v>
      </c>
      <c r="R3214" s="1107"/>
    </row>
    <row r="3215" spans="6:18" ht="24" customHeight="1">
      <c r="J3215" s="1109"/>
      <c r="M3215" s="1270"/>
      <c r="N3215" s="1270"/>
      <c r="O3215" s="1270"/>
      <c r="P3215" s="1270"/>
      <c r="Q3215" s="1322">
        <v>3.2910000000000002E-2</v>
      </c>
      <c r="R3215" s="1107" t="s">
        <v>16</v>
      </c>
    </row>
    <row r="3216" spans="6:18" ht="24" customHeight="1">
      <c r="H3216" s="1105" t="s">
        <v>3154</v>
      </c>
      <c r="J3216" s="1109"/>
      <c r="K3216" s="1105">
        <f>K3214/10</f>
        <v>88.277799999999999</v>
      </c>
      <c r="M3216" s="1270"/>
      <c r="N3216" s="1270"/>
      <c r="O3216" s="1270"/>
      <c r="P3216" s="1270"/>
      <c r="Q3216" s="1326" t="s">
        <v>5299</v>
      </c>
      <c r="R3216" s="1107"/>
    </row>
    <row r="3217" spans="6:18" ht="24" customHeight="1">
      <c r="J3217" s="1109"/>
      <c r="M3217" s="1270"/>
      <c r="N3217" s="1270"/>
      <c r="O3217" s="1182" t="s">
        <v>5300</v>
      </c>
      <c r="P3217" s="1270"/>
      <c r="Q3217" s="1251">
        <v>0.94</v>
      </c>
      <c r="R3217" s="1309" t="s">
        <v>37</v>
      </c>
    </row>
    <row r="3218" spans="6:18" ht="24" customHeight="1">
      <c r="J3218" s="1109"/>
      <c r="M3218" s="1270"/>
      <c r="N3218" s="1270"/>
      <c r="O3218" s="1182" t="s">
        <v>5301</v>
      </c>
      <c r="P3218" s="1270"/>
      <c r="Q3218" s="1325">
        <v>8.3999999999999995E-3</v>
      </c>
      <c r="R3218" s="1309" t="s">
        <v>16</v>
      </c>
    </row>
    <row r="3219" spans="6:18" ht="24" customHeight="1">
      <c r="J3219" s="1109"/>
      <c r="M3219" s="1270"/>
      <c r="N3219" s="1270"/>
      <c r="O3219" s="1182" t="s">
        <v>5302</v>
      </c>
      <c r="P3219" s="1270"/>
      <c r="Q3219" s="1325">
        <v>7.9</v>
      </c>
      <c r="R3219" s="1309" t="s">
        <v>61</v>
      </c>
    </row>
    <row r="3220" spans="6:18" ht="24" customHeight="1">
      <c r="J3220" s="1109"/>
      <c r="M3220" s="1270"/>
      <c r="N3220" s="1270"/>
      <c r="O3220" s="1270"/>
      <c r="P3220" s="1270"/>
      <c r="Q3220" s="1276"/>
      <c r="R3220" s="1276"/>
    </row>
    <row r="3221" spans="6:18" ht="24" customHeight="1">
      <c r="H3221" s="1105" t="s">
        <v>5303</v>
      </c>
      <c r="J3221" s="1109"/>
      <c r="M3221" s="1181">
        <v>5.1999999999999998E-2</v>
      </c>
      <c r="N3221" s="1180" t="s">
        <v>2839</v>
      </c>
      <c r="O3221" s="1182" t="s">
        <v>4062</v>
      </c>
      <c r="P3221" s="1180">
        <f>P3188</f>
        <v>111600</v>
      </c>
      <c r="Q3221" s="1183" t="s">
        <v>2839</v>
      </c>
      <c r="R3221" s="1180">
        <f>P3221*M3221</f>
        <v>5803.2</v>
      </c>
    </row>
    <row r="3222" spans="6:18" ht="24" customHeight="1">
      <c r="H3222" s="1105" t="s">
        <v>4424</v>
      </c>
      <c r="J3222" s="1109"/>
      <c r="M3222" s="1181">
        <v>3.2910000000000002E-2</v>
      </c>
      <c r="N3222" s="1180" t="s">
        <v>2839</v>
      </c>
      <c r="O3222" s="1182" t="s">
        <v>4064</v>
      </c>
      <c r="P3222" s="1180">
        <f>P3189</f>
        <v>99400</v>
      </c>
      <c r="Q3222" s="1183" t="s">
        <v>2839</v>
      </c>
      <c r="R3222" s="1180">
        <f t="shared" ref="R3222:R3234" si="291">P3222*M3222</f>
        <v>3271.2540000000004</v>
      </c>
    </row>
    <row r="3223" spans="6:18" ht="24" customHeight="1">
      <c r="H3223" s="1105" t="s">
        <v>4441</v>
      </c>
      <c r="J3223" s="1109"/>
      <c r="M3223" s="1181">
        <v>8.3999999999999995E-3</v>
      </c>
      <c r="N3223" s="1180" t="s">
        <v>2839</v>
      </c>
      <c r="O3223" s="1182" t="s">
        <v>5285</v>
      </c>
      <c r="P3223" s="1180">
        <f>P3190</f>
        <v>101921.4</v>
      </c>
      <c r="Q3223" s="1183" t="s">
        <v>2839</v>
      </c>
      <c r="R3223" s="1180">
        <f t="shared" si="291"/>
        <v>856.13975999999991</v>
      </c>
    </row>
    <row r="3224" spans="6:18" ht="24" customHeight="1">
      <c r="J3224" s="1109"/>
      <c r="M3224" s="1307"/>
      <c r="N3224" s="1270"/>
      <c r="O3224" s="1182" t="s">
        <v>5304</v>
      </c>
      <c r="P3224" s="1180"/>
      <c r="Q3224" s="1272"/>
      <c r="R3224" s="1180">
        <f t="shared" si="291"/>
        <v>0</v>
      </c>
    </row>
    <row r="3225" spans="6:18" ht="24" customHeight="1">
      <c r="F3225" s="1105">
        <v>2.2200000000000002</v>
      </c>
      <c r="G3225" s="1105" t="s">
        <v>5290</v>
      </c>
      <c r="H3225" s="1105" t="s">
        <v>4429</v>
      </c>
      <c r="I3225" s="1105">
        <f>I3210</f>
        <v>236.6</v>
      </c>
      <c r="J3225" s="1105" t="s">
        <v>5290</v>
      </c>
      <c r="K3225" s="1105">
        <f>I3225*F3225</f>
        <v>525.25200000000007</v>
      </c>
      <c r="M3225" s="1307">
        <v>0.94</v>
      </c>
      <c r="N3225" s="1180" t="s">
        <v>3189</v>
      </c>
      <c r="O3225" s="1182" t="s">
        <v>5305</v>
      </c>
      <c r="P3225" s="1180">
        <v>359</v>
      </c>
      <c r="Q3225" s="1272" t="s">
        <v>3189</v>
      </c>
      <c r="R3225" s="1180">
        <f t="shared" si="291"/>
        <v>337.46</v>
      </c>
    </row>
    <row r="3226" spans="6:18" ht="24" customHeight="1">
      <c r="F3226" s="1105">
        <v>1.2</v>
      </c>
      <c r="G3226" s="1105" t="s">
        <v>4558</v>
      </c>
      <c r="H3226" s="1105" t="s">
        <v>4287</v>
      </c>
      <c r="I3226" s="1105">
        <f>I3211</f>
        <v>688</v>
      </c>
      <c r="J3226" s="1105" t="s">
        <v>4558</v>
      </c>
      <c r="K3226" s="1105">
        <f>I3226*F3226</f>
        <v>825.6</v>
      </c>
      <c r="M3226" s="1307">
        <v>7.9</v>
      </c>
      <c r="N3226" s="1180" t="s">
        <v>1790</v>
      </c>
      <c r="O3226" s="1182" t="s">
        <v>5306</v>
      </c>
      <c r="P3226" s="1180">
        <v>15.3</v>
      </c>
      <c r="Q3226" s="1272" t="s">
        <v>61</v>
      </c>
      <c r="R3226" s="1180">
        <f t="shared" si="291"/>
        <v>120.87</v>
      </c>
    </row>
    <row r="3227" spans="6:18" ht="24" customHeight="1">
      <c r="F3227" s="1105">
        <v>10</v>
      </c>
      <c r="G3227" s="1105" t="s">
        <v>37</v>
      </c>
      <c r="H3227" s="1105" t="s">
        <v>5283</v>
      </c>
      <c r="I3227" s="1105">
        <f>I3212</f>
        <v>8.5</v>
      </c>
      <c r="J3227" s="1105" t="s">
        <v>37</v>
      </c>
      <c r="K3227" s="1105">
        <f>I3227*F3227</f>
        <v>85</v>
      </c>
      <c r="M3227" s="1307">
        <v>3.1219999999999999</v>
      </c>
      <c r="N3227" s="1180" t="s">
        <v>3189</v>
      </c>
      <c r="O3227" s="1182" t="s">
        <v>5307</v>
      </c>
      <c r="P3227" s="1180">
        <v>1239</v>
      </c>
      <c r="Q3227" s="1183" t="s">
        <v>3189</v>
      </c>
      <c r="R3227" s="1180">
        <f t="shared" si="291"/>
        <v>3868.1579999999999</v>
      </c>
    </row>
    <row r="3228" spans="6:18" ht="24" customHeight="1">
      <c r="H3228" s="1105" t="s">
        <v>5274</v>
      </c>
      <c r="I3228" s="1105" t="s">
        <v>1348</v>
      </c>
      <c r="J3228" s="1109"/>
      <c r="K3228" s="1105">
        <v>6.65</v>
      </c>
      <c r="M3228" s="1180">
        <v>4</v>
      </c>
      <c r="N3228" s="1180" t="s">
        <v>2941</v>
      </c>
      <c r="O3228" s="1182" t="s">
        <v>5308</v>
      </c>
      <c r="P3228" s="1180">
        <f>C598</f>
        <v>53.4</v>
      </c>
      <c r="Q3228" s="1183" t="s">
        <v>2838</v>
      </c>
      <c r="R3228" s="1180">
        <f t="shared" si="291"/>
        <v>213.6</v>
      </c>
    </row>
    <row r="3229" spans="6:18" ht="24" customHeight="1">
      <c r="H3229" s="1105" t="s">
        <v>3152</v>
      </c>
      <c r="J3229" s="1109"/>
      <c r="K3229" s="1105">
        <f>SUM(K3225:K3228)</f>
        <v>1442.5020000000002</v>
      </c>
      <c r="M3229" s="1180">
        <v>8</v>
      </c>
      <c r="N3229" s="1180" t="s">
        <v>2838</v>
      </c>
      <c r="O3229" s="1182" t="s">
        <v>5309</v>
      </c>
      <c r="P3229" s="1180">
        <f>C279</f>
        <v>83</v>
      </c>
      <c r="Q3229" s="1183" t="s">
        <v>2838</v>
      </c>
      <c r="R3229" s="1180">
        <f t="shared" si="291"/>
        <v>664</v>
      </c>
    </row>
    <row r="3230" spans="6:18" ht="24" customHeight="1">
      <c r="J3230" s="1109"/>
      <c r="M3230" s="1180">
        <v>4</v>
      </c>
      <c r="N3230" s="1180" t="s">
        <v>2838</v>
      </c>
      <c r="O3230" s="1182" t="s">
        <v>5310</v>
      </c>
      <c r="P3230" s="1180">
        <f>P3195</f>
        <v>90.6</v>
      </c>
      <c r="Q3230" s="1183" t="s">
        <v>2838</v>
      </c>
      <c r="R3230" s="1180">
        <f t="shared" si="291"/>
        <v>362.4</v>
      </c>
    </row>
    <row r="3231" spans="6:18" ht="24" customHeight="1">
      <c r="H3231" s="1105" t="s">
        <v>3154</v>
      </c>
      <c r="J3231" s="1109"/>
      <c r="K3231" s="1105">
        <f>K3229/10</f>
        <v>144.25020000000001</v>
      </c>
      <c r="M3231" s="1180">
        <v>1</v>
      </c>
      <c r="N3231" s="1180" t="s">
        <v>2838</v>
      </c>
      <c r="O3231" s="1182" t="s">
        <v>5311</v>
      </c>
      <c r="P3231" s="1180">
        <f>P3196</f>
        <v>194.4</v>
      </c>
      <c r="Q3231" s="1183" t="s">
        <v>2838</v>
      </c>
      <c r="R3231" s="1180">
        <f t="shared" si="291"/>
        <v>194.4</v>
      </c>
    </row>
    <row r="3232" spans="6:18" ht="24" customHeight="1">
      <c r="H3232" s="1105">
        <f>142*10</f>
        <v>1420</v>
      </c>
      <c r="J3232" s="1109"/>
      <c r="L3232" s="1105">
        <f>K3266</f>
        <v>279</v>
      </c>
      <c r="M3232" s="1180">
        <v>2</v>
      </c>
      <c r="N3232" s="1180" t="s">
        <v>2838</v>
      </c>
      <c r="O3232" s="1182" t="s">
        <v>5312</v>
      </c>
      <c r="P3232" s="1180">
        <f>P3197</f>
        <v>22.9</v>
      </c>
      <c r="Q3232" s="1183" t="s">
        <v>2838</v>
      </c>
      <c r="R3232" s="1180">
        <f t="shared" si="291"/>
        <v>45.8</v>
      </c>
    </row>
    <row r="3233" spans="6:24" ht="24" customHeight="1">
      <c r="H3233" s="1105">
        <f>H3232-1413.35</f>
        <v>6.6500000000000909</v>
      </c>
      <c r="J3233" s="1109"/>
      <c r="L3233" s="1105">
        <f>K3267</f>
        <v>172</v>
      </c>
      <c r="M3233" s="1180">
        <v>2</v>
      </c>
      <c r="N3233" s="1180" t="s">
        <v>2838</v>
      </c>
      <c r="O3233" s="1182" t="s">
        <v>5313</v>
      </c>
      <c r="P3233" s="1180">
        <f>P3198</f>
        <v>45.9</v>
      </c>
      <c r="Q3233" s="1183" t="s">
        <v>2838</v>
      </c>
      <c r="R3233" s="1180">
        <f t="shared" si="291"/>
        <v>91.8</v>
      </c>
    </row>
    <row r="3234" spans="6:24" ht="24" customHeight="1">
      <c r="J3234" s="1109"/>
      <c r="L3234" s="1105">
        <f>K3268</f>
        <v>140.5</v>
      </c>
      <c r="M3234" s="1180">
        <v>118</v>
      </c>
      <c r="N3234" s="1180" t="s">
        <v>2838</v>
      </c>
      <c r="O3234" s="1270" t="s">
        <v>5243</v>
      </c>
      <c r="P3234" s="1270">
        <f>P3199</f>
        <v>2.39</v>
      </c>
      <c r="Q3234" s="1183" t="s">
        <v>2838</v>
      </c>
      <c r="R3234" s="1180">
        <f t="shared" si="291"/>
        <v>282.02000000000004</v>
      </c>
    </row>
    <row r="3235" spans="6:24" ht="24" customHeight="1">
      <c r="J3235" s="1109"/>
      <c r="L3235" s="1105">
        <f>K3269</f>
        <v>184.4</v>
      </c>
      <c r="M3235" s="1270"/>
      <c r="N3235" s="1270"/>
      <c r="O3235" s="1270"/>
      <c r="P3235" s="1270"/>
      <c r="Q3235" s="1272"/>
      <c r="R3235" s="1276" t="s">
        <v>36</v>
      </c>
    </row>
    <row r="3236" spans="6:24" ht="24" customHeight="1">
      <c r="J3236" s="1109"/>
      <c r="L3236" s="1105">
        <f>K3270</f>
        <v>1.65</v>
      </c>
      <c r="M3236" s="1270"/>
      <c r="N3236" s="1270"/>
      <c r="O3236" s="1182" t="s">
        <v>5295</v>
      </c>
      <c r="P3236" s="1270"/>
      <c r="Q3236" s="1272"/>
      <c r="R3236" s="1180">
        <f>SUM(R3221:R3234)</f>
        <v>16111.101759999998</v>
      </c>
    </row>
    <row r="3237" spans="6:24" ht="24" customHeight="1">
      <c r="H3237" s="1105" t="s">
        <v>5303</v>
      </c>
      <c r="J3237" s="1109"/>
      <c r="M3237" s="1270"/>
      <c r="N3237" s="1270"/>
      <c r="O3237" s="1270"/>
      <c r="P3237" s="1270"/>
      <c r="Q3237" s="1272"/>
      <c r="R3237" s="1276" t="s">
        <v>36</v>
      </c>
    </row>
    <row r="3238" spans="6:24" ht="24" customHeight="1">
      <c r="H3238" s="1105" t="s">
        <v>4440</v>
      </c>
      <c r="J3238" s="1109"/>
      <c r="M3238" s="1270"/>
      <c r="N3238" s="1270"/>
      <c r="O3238" s="1281" t="s">
        <v>3154</v>
      </c>
      <c r="P3238" s="1270"/>
      <c r="Q3238" s="1274" t="s">
        <v>5076</v>
      </c>
      <c r="R3238" s="1282">
        <f>R3236/M3227</f>
        <v>5160.5066495835999</v>
      </c>
    </row>
    <row r="3239" spans="6:24" ht="24" customHeight="1">
      <c r="H3239" s="1105" t="s">
        <v>4441</v>
      </c>
      <c r="J3239" s="1109"/>
      <c r="L3239" s="1105">
        <f>SUM(L3232:L3238)</f>
        <v>777.55</v>
      </c>
      <c r="M3239" s="1183"/>
      <c r="N3239" s="1180" t="s">
        <v>1363</v>
      </c>
      <c r="O3239" s="1182" t="s">
        <v>5271</v>
      </c>
      <c r="P3239" s="1270"/>
      <c r="Q3239" s="1272"/>
      <c r="R3239" s="1270"/>
    </row>
    <row r="3240" spans="6:24" ht="24" customHeight="1">
      <c r="J3240" s="1109"/>
      <c r="M3240" s="1270"/>
      <c r="N3240" s="1270"/>
      <c r="O3240" s="1182" t="s">
        <v>4046</v>
      </c>
      <c r="P3240" s="1270"/>
      <c r="Q3240" s="1272"/>
      <c r="R3240" s="1270"/>
    </row>
    <row r="3241" spans="6:24" ht="24" customHeight="1">
      <c r="F3241" s="1105">
        <v>1.89</v>
      </c>
      <c r="G3241" s="1105" t="s">
        <v>5290</v>
      </c>
      <c r="H3241" s="1105" t="s">
        <v>4429</v>
      </c>
      <c r="I3241" s="1105">
        <f>I3196</f>
        <v>225.4</v>
      </c>
      <c r="J3241" s="1105" t="s">
        <v>5290</v>
      </c>
      <c r="K3241" s="1105">
        <f>I3241*F3241</f>
        <v>426.00599999999997</v>
      </c>
      <c r="L3241" s="1105">
        <f>L3239/10</f>
        <v>77.754999999999995</v>
      </c>
      <c r="M3241" s="1270"/>
      <c r="N3241" s="1270"/>
      <c r="O3241" s="1318" t="s">
        <v>5314</v>
      </c>
      <c r="P3241" s="1270"/>
      <c r="Q3241" s="1272"/>
      <c r="R3241" s="1270"/>
    </row>
    <row r="3242" spans="6:24" ht="24" customHeight="1">
      <c r="F3242" s="1105">
        <v>1.1000000000000001</v>
      </c>
      <c r="G3242" s="1105" t="s">
        <v>4558</v>
      </c>
      <c r="H3242" s="1105" t="s">
        <v>4287</v>
      </c>
      <c r="I3242" s="1105">
        <f>I3197</f>
        <v>688</v>
      </c>
      <c r="J3242" s="1105" t="s">
        <v>4558</v>
      </c>
      <c r="K3242" s="1105">
        <f>I3242*F3242</f>
        <v>756.80000000000007</v>
      </c>
      <c r="M3242" s="1270"/>
      <c r="N3242" s="1270"/>
      <c r="O3242" s="1276" t="s">
        <v>36</v>
      </c>
      <c r="P3242" s="1270"/>
      <c r="Q3242" s="1272"/>
      <c r="R3242" s="1270"/>
    </row>
    <row r="3243" spans="6:24" ht="30" customHeight="1">
      <c r="F3243" s="1105">
        <v>10</v>
      </c>
      <c r="G3243" s="1105" t="s">
        <v>37</v>
      </c>
      <c r="H3243" s="1103" t="s">
        <v>5283</v>
      </c>
      <c r="I3243" s="1105">
        <f>AE53</f>
        <v>7.4</v>
      </c>
      <c r="J3243" s="1105" t="s">
        <v>37</v>
      </c>
      <c r="K3243" s="1105">
        <f>I3243*F3243</f>
        <v>74</v>
      </c>
      <c r="M3243" s="1270"/>
      <c r="N3243" s="1270"/>
      <c r="O3243" s="1182" t="s">
        <v>5315</v>
      </c>
      <c r="P3243" s="1273" t="s">
        <v>2793</v>
      </c>
      <c r="Q3243" s="1319">
        <v>2.4279999999999999</v>
      </c>
      <c r="R3243" s="1270" t="s">
        <v>37</v>
      </c>
    </row>
    <row r="3244" spans="6:24" ht="30" customHeight="1">
      <c r="H3244" s="1103" t="s">
        <v>5274</v>
      </c>
      <c r="I3244" s="1105" t="s">
        <v>1348</v>
      </c>
      <c r="J3244" s="1109"/>
      <c r="K3244" s="1105">
        <v>1.9</v>
      </c>
      <c r="M3244" s="1270"/>
      <c r="N3244" s="1270"/>
      <c r="O3244" s="1182"/>
      <c r="P3244" s="1273"/>
      <c r="Q3244" s="1319"/>
      <c r="R3244" s="1270"/>
    </row>
    <row r="3245" spans="6:24" ht="30" customHeight="1">
      <c r="H3245" s="1105" t="s">
        <v>3152</v>
      </c>
      <c r="J3245" s="1109"/>
      <c r="K3245" s="1105">
        <f>SUM(K3241:K3244)</f>
        <v>1258.7060000000001</v>
      </c>
      <c r="M3245" s="1270"/>
      <c r="N3245" s="1270"/>
      <c r="O3245" s="1182" t="s">
        <v>5276</v>
      </c>
      <c r="P3245" s="1273" t="s">
        <v>2793</v>
      </c>
      <c r="Q3245" s="1320">
        <v>5.1999999999999998E-2</v>
      </c>
      <c r="R3245" s="1270" t="s">
        <v>16</v>
      </c>
      <c r="T3245" s="1119" t="s">
        <v>5316</v>
      </c>
    </row>
    <row r="3246" spans="6:24" ht="30" customHeight="1">
      <c r="J3246" s="1109"/>
      <c r="M3246" s="1270"/>
      <c r="N3246" s="1270"/>
      <c r="O3246" s="1182" t="s">
        <v>5277</v>
      </c>
      <c r="Q3246" s="1145"/>
      <c r="R3246" s="1270"/>
      <c r="T3246" s="1119" t="s">
        <v>5317</v>
      </c>
    </row>
    <row r="3247" spans="6:24" ht="30" customHeight="1">
      <c r="H3247" s="1105" t="s">
        <v>3154</v>
      </c>
      <c r="J3247" s="1109"/>
      <c r="K3247" s="1105">
        <f>K3245/10</f>
        <v>125.87060000000001</v>
      </c>
      <c r="M3247" s="1270"/>
      <c r="N3247" s="1270"/>
      <c r="O3247" s="1182" t="s">
        <v>5318</v>
      </c>
      <c r="P3247" s="1273" t="s">
        <v>2793</v>
      </c>
      <c r="Q3247" s="1327">
        <v>1.7718999999999999E-2</v>
      </c>
      <c r="R3247" s="1270"/>
      <c r="S3247" s="1328">
        <v>6.3E-2</v>
      </c>
      <c r="T3247" s="1119" t="s">
        <v>2839</v>
      </c>
      <c r="U3247" s="1119" t="s">
        <v>4149</v>
      </c>
      <c r="V3247" s="1119">
        <f>P3291</f>
        <v>111600</v>
      </c>
      <c r="W3247" s="1136" t="s">
        <v>2839</v>
      </c>
      <c r="X3247" s="1119">
        <f>V3247*S3247</f>
        <v>7030.8</v>
      </c>
    </row>
    <row r="3248" spans="6:24" ht="30" customHeight="1">
      <c r="J3248" s="1105"/>
      <c r="M3248" s="1270"/>
      <c r="N3248" s="1270"/>
      <c r="O3248" s="1182" t="s">
        <v>5319</v>
      </c>
      <c r="P3248" s="1273" t="s">
        <v>2793</v>
      </c>
      <c r="Q3248" s="1327">
        <v>7.8750000000000001E-3</v>
      </c>
      <c r="R3248" s="1181"/>
      <c r="S3248" s="1328">
        <v>4.8000000000000001E-2</v>
      </c>
      <c r="T3248" s="1119" t="s">
        <v>2839</v>
      </c>
      <c r="U3248" s="1119" t="s">
        <v>5320</v>
      </c>
      <c r="V3248" s="1119">
        <f>I3280</f>
        <v>99400</v>
      </c>
      <c r="W3248" s="1136" t="s">
        <v>2839</v>
      </c>
      <c r="X3248" s="1119">
        <f>V3248*S3248</f>
        <v>4771.2</v>
      </c>
    </row>
    <row r="3249" spans="6:24" ht="30" customHeight="1">
      <c r="H3249" s="1103" t="s">
        <v>4215</v>
      </c>
      <c r="J3249" s="1105"/>
      <c r="M3249" s="1270"/>
      <c r="N3249" s="1270"/>
      <c r="O3249" s="1270"/>
      <c r="P3249" s="1270"/>
      <c r="Q3249" s="1276" t="s">
        <v>36</v>
      </c>
      <c r="S3249" s="1328">
        <v>1.54</v>
      </c>
      <c r="T3249" s="1119" t="s">
        <v>3189</v>
      </c>
      <c r="U3249" s="1119" t="s">
        <v>5321</v>
      </c>
      <c r="V3249" s="1119">
        <f t="shared" ref="V3249:V3258" si="292">I3281</f>
        <v>2152</v>
      </c>
      <c r="W3249" s="1136" t="s">
        <v>37</v>
      </c>
      <c r="X3249" s="1119">
        <f t="shared" ref="X3249:X3258" si="293">V3249*S3249</f>
        <v>3314.08</v>
      </c>
    </row>
    <row r="3250" spans="6:24" ht="30" customHeight="1">
      <c r="H3250" s="1103" t="s">
        <v>5322</v>
      </c>
      <c r="J3250" s="1105"/>
      <c r="M3250" s="1270"/>
      <c r="N3250" s="1270"/>
      <c r="O3250" s="1270"/>
      <c r="P3250" s="1270"/>
      <c r="Q3250" s="1322">
        <v>2.5590000000000002E-2</v>
      </c>
      <c r="R3250" s="1105" t="s">
        <v>16</v>
      </c>
      <c r="S3250" s="1328">
        <v>3.9E-2</v>
      </c>
      <c r="T3250" s="1119" t="s">
        <v>2839</v>
      </c>
      <c r="U3250" s="1153" t="s">
        <v>4151</v>
      </c>
      <c r="V3250" s="1119">
        <f t="shared" si="292"/>
        <v>95000</v>
      </c>
      <c r="W3250" s="1136" t="s">
        <v>2839</v>
      </c>
      <c r="X3250" s="1119">
        <f t="shared" si="293"/>
        <v>3705</v>
      </c>
    </row>
    <row r="3251" spans="6:24" ht="30" customHeight="1">
      <c r="J3251" s="1105"/>
      <c r="M3251" s="1270"/>
      <c r="N3251" s="1270"/>
      <c r="O3251" s="1270"/>
      <c r="P3251" s="1270"/>
      <c r="Q3251" s="1276" t="s">
        <v>36</v>
      </c>
      <c r="S3251" s="1328">
        <v>3.488</v>
      </c>
      <c r="T3251" s="1119" t="s">
        <v>3189</v>
      </c>
      <c r="U3251" s="1153" t="s">
        <v>4152</v>
      </c>
      <c r="V3251" s="1119">
        <f t="shared" si="292"/>
        <v>1325</v>
      </c>
      <c r="W3251" s="1136" t="s">
        <v>3189</v>
      </c>
      <c r="X3251" s="1119">
        <f t="shared" si="293"/>
        <v>4621.6000000000004</v>
      </c>
    </row>
    <row r="3252" spans="6:24" ht="30" customHeight="1">
      <c r="F3252" s="1114">
        <v>0.22</v>
      </c>
      <c r="G3252" s="1114" t="s">
        <v>2839</v>
      </c>
      <c r="H3252" s="1103" t="s">
        <v>2991</v>
      </c>
      <c r="I3252" s="1114">
        <f>K49</f>
        <v>3651.54</v>
      </c>
      <c r="J3252" s="1104" t="s">
        <v>2839</v>
      </c>
      <c r="K3252" s="1114">
        <f>(F3252*I3252)</f>
        <v>803.33879999999999</v>
      </c>
      <c r="M3252" s="1270"/>
      <c r="N3252" s="1270"/>
      <c r="O3252" s="1182" t="s">
        <v>5323</v>
      </c>
      <c r="P3252" s="1270"/>
      <c r="Q3252" s="1323">
        <v>1.0999999999999999E-2</v>
      </c>
      <c r="R3252" s="1181"/>
      <c r="S3252" s="1328">
        <v>6</v>
      </c>
      <c r="T3252" s="1119" t="s">
        <v>4154</v>
      </c>
      <c r="U3252" s="1119" t="s">
        <v>5324</v>
      </c>
      <c r="V3252" s="1119">
        <f t="shared" si="292"/>
        <v>79</v>
      </c>
      <c r="W3252" s="1136" t="s">
        <v>522</v>
      </c>
      <c r="X3252" s="1119">
        <f t="shared" si="293"/>
        <v>474</v>
      </c>
    </row>
    <row r="3253" spans="6:24" ht="30" customHeight="1">
      <c r="F3253" s="1114">
        <v>2.2000000000000002</v>
      </c>
      <c r="G3253" s="1114" t="s">
        <v>2941</v>
      </c>
      <c r="H3253" s="1103" t="s">
        <v>3051</v>
      </c>
      <c r="I3253" s="1114">
        <f>AE9</f>
        <v>861</v>
      </c>
      <c r="J3253" s="1104" t="s">
        <v>2941</v>
      </c>
      <c r="K3253" s="1114">
        <f>(F3253*I3253)</f>
        <v>1894.2</v>
      </c>
      <c r="M3253" s="1270"/>
      <c r="N3253" s="1270"/>
      <c r="O3253" s="1182" t="s">
        <v>5325</v>
      </c>
      <c r="P3253" s="1270"/>
      <c r="Q3253" s="1324">
        <v>5.3E-3</v>
      </c>
      <c r="R3253" s="1181"/>
      <c r="S3253" s="1328">
        <v>1</v>
      </c>
      <c r="T3253" s="1119" t="s">
        <v>4154</v>
      </c>
      <c r="U3253" s="1119" t="s">
        <v>5326</v>
      </c>
      <c r="V3253" s="1119">
        <f t="shared" si="292"/>
        <v>260</v>
      </c>
      <c r="W3253" s="1136" t="s">
        <v>522</v>
      </c>
      <c r="X3253" s="1119">
        <f t="shared" si="293"/>
        <v>260</v>
      </c>
    </row>
    <row r="3254" spans="6:24" ht="30" customHeight="1">
      <c r="F3254" s="1114">
        <v>0.5</v>
      </c>
      <c r="G3254" s="1114" t="s">
        <v>2941</v>
      </c>
      <c r="H3254" s="1103" t="s">
        <v>4217</v>
      </c>
      <c r="I3254" s="1114">
        <f>I3183</f>
        <v>562</v>
      </c>
      <c r="J3254" s="1104" t="s">
        <v>2941</v>
      </c>
      <c r="K3254" s="1114">
        <f>(F3254*I3254)</f>
        <v>281</v>
      </c>
      <c r="M3254" s="1270"/>
      <c r="N3254" s="1270"/>
      <c r="O3254" s="1182"/>
      <c r="P3254" s="1270"/>
      <c r="Q3254" s="1276" t="s">
        <v>36</v>
      </c>
      <c r="R3254" s="1181"/>
      <c r="S3254" s="1328">
        <v>2</v>
      </c>
      <c r="T3254" s="1119" t="s">
        <v>4154</v>
      </c>
      <c r="U3254" s="1119" t="s">
        <v>5327</v>
      </c>
      <c r="V3254" s="1119">
        <f t="shared" si="292"/>
        <v>130</v>
      </c>
      <c r="W3254" s="1136" t="s">
        <v>522</v>
      </c>
      <c r="X3254" s="1119">
        <f t="shared" si="293"/>
        <v>260</v>
      </c>
    </row>
    <row r="3255" spans="6:24" ht="30" customHeight="1">
      <c r="F3255" s="1114">
        <v>3.2</v>
      </c>
      <c r="G3255" s="1114" t="s">
        <v>2941</v>
      </c>
      <c r="H3255" s="1103" t="s">
        <v>3026</v>
      </c>
      <c r="I3255" s="1114">
        <f>I3184</f>
        <v>461</v>
      </c>
      <c r="J3255" s="1104" t="s">
        <v>2941</v>
      </c>
      <c r="K3255" s="1114">
        <f>(F3255*I3255)</f>
        <v>1475.2</v>
      </c>
      <c r="M3255" s="1270"/>
      <c r="N3255" s="1270"/>
      <c r="O3255" s="1182"/>
      <c r="P3255" s="1270"/>
      <c r="Q3255" s="1325">
        <v>1.6299999999999999E-2</v>
      </c>
      <c r="R3255" s="1181" t="s">
        <v>16</v>
      </c>
      <c r="S3255" s="1328">
        <v>2</v>
      </c>
      <c r="T3255" s="1119" t="s">
        <v>4154</v>
      </c>
      <c r="U3255" s="1119" t="s">
        <v>5328</v>
      </c>
      <c r="V3255" s="1119">
        <f t="shared" si="292"/>
        <v>165</v>
      </c>
      <c r="W3255" s="1136" t="s">
        <v>522</v>
      </c>
      <c r="X3255" s="1119">
        <f t="shared" si="293"/>
        <v>330</v>
      </c>
    </row>
    <row r="3256" spans="6:24" ht="39.75" customHeight="1">
      <c r="F3256" s="1114">
        <v>10</v>
      </c>
      <c r="G3256" s="1114" t="s">
        <v>833</v>
      </c>
      <c r="H3256" s="1129" t="s">
        <v>5329</v>
      </c>
      <c r="I3256" s="1127">
        <f>AE54</f>
        <v>8.85</v>
      </c>
      <c r="J3256" s="1104" t="s">
        <v>833</v>
      </c>
      <c r="K3256" s="1114">
        <f>(F3256*I3256)</f>
        <v>88.5</v>
      </c>
      <c r="M3256" s="1270"/>
      <c r="N3256" s="1270"/>
      <c r="O3256" s="1270"/>
      <c r="P3256" s="1270"/>
      <c r="Q3256" s="1276" t="s">
        <v>36</v>
      </c>
      <c r="R3256" s="1276"/>
      <c r="S3256" s="1328">
        <v>1</v>
      </c>
      <c r="T3256" s="1119" t="s">
        <v>4154</v>
      </c>
      <c r="U3256" s="1119" t="s">
        <v>5330</v>
      </c>
      <c r="V3256" s="1119">
        <f t="shared" si="292"/>
        <v>985</v>
      </c>
      <c r="W3256" s="1136" t="s">
        <v>522</v>
      </c>
      <c r="X3256" s="1119">
        <f t="shared" si="293"/>
        <v>985</v>
      </c>
    </row>
    <row r="3257" spans="6:24" ht="30" customHeight="1">
      <c r="J3257" s="1109"/>
      <c r="K3257" s="1111" t="s">
        <v>36</v>
      </c>
      <c r="M3257" s="1181">
        <v>5.1999999999999998E-2</v>
      </c>
      <c r="N3257" s="1180" t="s">
        <v>2839</v>
      </c>
      <c r="O3257" s="1182" t="s">
        <v>4062</v>
      </c>
      <c r="P3257" s="1180">
        <f>P3188</f>
        <v>111600</v>
      </c>
      <c r="Q3257" s="1183" t="s">
        <v>2839</v>
      </c>
      <c r="R3257" s="1180">
        <f>P3257*M3257</f>
        <v>5803.2</v>
      </c>
      <c r="S3257" s="1328">
        <v>2</v>
      </c>
      <c r="T3257" s="1119" t="s">
        <v>4154</v>
      </c>
      <c r="U3257" s="1119" t="s">
        <v>5331</v>
      </c>
      <c r="V3257" s="1119">
        <f t="shared" si="292"/>
        <v>450</v>
      </c>
      <c r="W3257" s="1136" t="s">
        <v>522</v>
      </c>
      <c r="X3257" s="1119">
        <f t="shared" si="293"/>
        <v>900</v>
      </c>
    </row>
    <row r="3258" spans="6:24" ht="30" customHeight="1">
      <c r="H3258" s="1103" t="s">
        <v>3152</v>
      </c>
      <c r="J3258" s="1109"/>
      <c r="K3258" s="1114">
        <f>SUM(K3252:K3257)</f>
        <v>4542.2388000000001</v>
      </c>
      <c r="M3258" s="1181">
        <v>2.5590000000000002E-2</v>
      </c>
      <c r="N3258" s="1180" t="s">
        <v>2839</v>
      </c>
      <c r="O3258" s="1182" t="s">
        <v>4064</v>
      </c>
      <c r="P3258" s="1180">
        <f>P3189</f>
        <v>99400</v>
      </c>
      <c r="Q3258" s="1183" t="s">
        <v>2839</v>
      </c>
      <c r="R3258" s="1180">
        <f t="shared" ref="R3258:R3268" si="294">P3258*M3258</f>
        <v>2543.6460000000002</v>
      </c>
      <c r="S3258" s="1328">
        <v>0</v>
      </c>
      <c r="T3258" s="1119" t="s">
        <v>4</v>
      </c>
      <c r="U3258" s="1119" t="s">
        <v>5332</v>
      </c>
      <c r="V3258" s="1119">
        <f t="shared" si="292"/>
        <v>2.39</v>
      </c>
      <c r="W3258" s="1136" t="s">
        <v>522</v>
      </c>
      <c r="X3258" s="1305">
        <f t="shared" si="293"/>
        <v>0</v>
      </c>
    </row>
    <row r="3259" spans="6:24" ht="30" customHeight="1">
      <c r="J3259" s="1109"/>
      <c r="K3259" s="1111" t="s">
        <v>36</v>
      </c>
      <c r="M3259" s="1181">
        <v>1.6299999999999999E-2</v>
      </c>
      <c r="N3259" s="1180" t="s">
        <v>2839</v>
      </c>
      <c r="O3259" s="1182" t="s">
        <v>5333</v>
      </c>
      <c r="P3259" s="1180">
        <f>AC28</f>
        <v>95000</v>
      </c>
      <c r="Q3259" s="1183" t="s">
        <v>2839</v>
      </c>
      <c r="R3259" s="1180">
        <f t="shared" si="294"/>
        <v>1548.4999999999998</v>
      </c>
      <c r="S3259" s="1328"/>
      <c r="T3259" s="1119"/>
      <c r="U3259" s="1119" t="s">
        <v>5334</v>
      </c>
      <c r="V3259" s="1119"/>
      <c r="W3259" s="1136"/>
      <c r="X3259" s="1119">
        <f>SUM(X3247:X3258)</f>
        <v>26651.68</v>
      </c>
    </row>
    <row r="3260" spans="6:24" ht="30" customHeight="1">
      <c r="H3260" s="1103" t="s">
        <v>3154</v>
      </c>
      <c r="J3260" s="1109"/>
      <c r="K3260" s="1114">
        <f>(K3258/10)</f>
        <v>454.22388000000001</v>
      </c>
      <c r="M3260" s="1307"/>
      <c r="N3260" s="1270"/>
      <c r="O3260" s="1182" t="s">
        <v>4139</v>
      </c>
      <c r="P3260" s="1180"/>
      <c r="Q3260" s="1272"/>
      <c r="R3260" s="1180">
        <f t="shared" si="294"/>
        <v>0</v>
      </c>
      <c r="S3260" s="1328"/>
      <c r="T3260" s="1119"/>
      <c r="U3260" s="1119"/>
      <c r="V3260" s="1119"/>
      <c r="W3260" s="1136"/>
      <c r="X3260" s="1305" t="s">
        <v>4164</v>
      </c>
    </row>
    <row r="3261" spans="6:24" ht="24" customHeight="1">
      <c r="J3261" s="1109"/>
      <c r="K3261" s="1111" t="s">
        <v>2793</v>
      </c>
      <c r="M3261" s="1307">
        <v>2.4279999999999999</v>
      </c>
      <c r="N3261" s="1180" t="s">
        <v>3189</v>
      </c>
      <c r="O3261" s="1182" t="s">
        <v>4059</v>
      </c>
      <c r="P3261" s="1180">
        <f t="shared" ref="P3261:P3267" si="295">P3192</f>
        <v>1325</v>
      </c>
      <c r="Q3261" s="1183" t="s">
        <v>3189</v>
      </c>
      <c r="R3261" s="1180">
        <f t="shared" si="294"/>
        <v>3217.1</v>
      </c>
      <c r="S3261" s="1328"/>
      <c r="T3261" s="1119"/>
      <c r="U3261" s="1119" t="s">
        <v>5335</v>
      </c>
      <c r="V3261" s="1119"/>
      <c r="W3261" s="1136"/>
      <c r="X3261" s="1119">
        <f>X3259/S3251</f>
        <v>7640.9633027522941</v>
      </c>
    </row>
    <row r="3262" spans="6:24" ht="24" customHeight="1">
      <c r="J3262" s="1105"/>
      <c r="K3262" s="1105">
        <f>54000+7000</f>
        <v>61000</v>
      </c>
      <c r="M3262" s="1180">
        <v>4</v>
      </c>
      <c r="N3262" s="1180" t="s">
        <v>2941</v>
      </c>
      <c r="O3262" s="1182" t="s">
        <v>5288</v>
      </c>
      <c r="P3262" s="1180">
        <f>P3228</f>
        <v>53.4</v>
      </c>
      <c r="Q3262" s="1183" t="s">
        <v>2838</v>
      </c>
      <c r="R3262" s="1180">
        <f t="shared" si="294"/>
        <v>213.6</v>
      </c>
      <c r="S3262" s="1328"/>
      <c r="T3262" s="1119"/>
      <c r="U3262" s="1119"/>
      <c r="V3262" s="1119"/>
      <c r="W3262" s="1136"/>
      <c r="X3262" s="1305" t="s">
        <v>4164</v>
      </c>
    </row>
    <row r="3263" spans="6:24" ht="24" customHeight="1">
      <c r="J3263" s="1105"/>
      <c r="M3263" s="1180">
        <v>8</v>
      </c>
      <c r="N3263" s="1180" t="s">
        <v>2838</v>
      </c>
      <c r="O3263" s="1182" t="s">
        <v>4061</v>
      </c>
      <c r="P3263" s="1180">
        <f>P3229</f>
        <v>83</v>
      </c>
      <c r="Q3263" s="1183" t="s">
        <v>2838</v>
      </c>
      <c r="R3263" s="1180">
        <f t="shared" si="294"/>
        <v>664</v>
      </c>
    </row>
    <row r="3264" spans="6:24" ht="24" customHeight="1">
      <c r="F3264" s="1104" t="s">
        <v>4415</v>
      </c>
      <c r="G3264" s="1114" t="s">
        <v>1363</v>
      </c>
      <c r="H3264" s="1104" t="s">
        <v>5336</v>
      </c>
      <c r="J3264" s="1109"/>
      <c r="M3264" s="1180">
        <v>4</v>
      </c>
      <c r="N3264" s="1180" t="s">
        <v>2838</v>
      </c>
      <c r="O3264" s="1182" t="s">
        <v>5310</v>
      </c>
      <c r="P3264" s="1180">
        <f t="shared" si="295"/>
        <v>90.6</v>
      </c>
      <c r="Q3264" s="1183" t="s">
        <v>2838</v>
      </c>
      <c r="R3264" s="1180">
        <f t="shared" si="294"/>
        <v>362.4</v>
      </c>
    </row>
    <row r="3265" spans="6:18" ht="24" customHeight="1">
      <c r="H3265" s="1104" t="s">
        <v>3359</v>
      </c>
      <c r="J3265" s="1109"/>
      <c r="M3265" s="1180">
        <v>1</v>
      </c>
      <c r="N3265" s="1180" t="s">
        <v>2838</v>
      </c>
      <c r="O3265" s="1182" t="s">
        <v>5311</v>
      </c>
      <c r="P3265" s="1180">
        <f t="shared" si="295"/>
        <v>194.4</v>
      </c>
      <c r="Q3265" s="1183" t="s">
        <v>2838</v>
      </c>
      <c r="R3265" s="1180">
        <f t="shared" si="294"/>
        <v>194.4</v>
      </c>
    </row>
    <row r="3266" spans="6:18" ht="24" customHeight="1">
      <c r="F3266" s="1114">
        <v>1.8</v>
      </c>
      <c r="G3266" s="1114" t="s">
        <v>4418</v>
      </c>
      <c r="H3266" s="1103" t="s">
        <v>1536</v>
      </c>
      <c r="I3266" s="1114">
        <f>E271</f>
        <v>155</v>
      </c>
      <c r="J3266" s="1104" t="s">
        <v>4418</v>
      </c>
      <c r="K3266" s="1114">
        <f>(F3266*I3266)</f>
        <v>279</v>
      </c>
      <c r="M3266" s="1180">
        <v>2</v>
      </c>
      <c r="N3266" s="1180" t="s">
        <v>2838</v>
      </c>
      <c r="O3266" s="1182" t="s">
        <v>5312</v>
      </c>
      <c r="P3266" s="1180">
        <f t="shared" si="295"/>
        <v>22.9</v>
      </c>
      <c r="Q3266" s="1183" t="s">
        <v>2838</v>
      </c>
      <c r="R3266" s="1180">
        <f t="shared" si="294"/>
        <v>45.8</v>
      </c>
    </row>
    <row r="3267" spans="6:18" ht="24" customHeight="1">
      <c r="F3267" s="1114">
        <v>0.25</v>
      </c>
      <c r="G3267" s="1114" t="s">
        <v>314</v>
      </c>
      <c r="H3267" s="1103" t="s">
        <v>4419</v>
      </c>
      <c r="I3267" s="1114">
        <f>I3242</f>
        <v>688</v>
      </c>
      <c r="J3267" s="1104" t="s">
        <v>314</v>
      </c>
      <c r="K3267" s="1114">
        <f>(F3267*I3267)</f>
        <v>172</v>
      </c>
      <c r="M3267" s="1180">
        <v>2</v>
      </c>
      <c r="N3267" s="1180" t="s">
        <v>2838</v>
      </c>
      <c r="O3267" s="1182" t="s">
        <v>5313</v>
      </c>
      <c r="P3267" s="1180">
        <f t="shared" si="295"/>
        <v>45.9</v>
      </c>
      <c r="Q3267" s="1183" t="s">
        <v>2838</v>
      </c>
      <c r="R3267" s="1180">
        <f t="shared" si="294"/>
        <v>91.8</v>
      </c>
    </row>
    <row r="3268" spans="6:18" ht="24" customHeight="1">
      <c r="F3268" s="1114">
        <v>0.25</v>
      </c>
      <c r="G3268" s="1114" t="s">
        <v>314</v>
      </c>
      <c r="H3268" s="1103" t="s">
        <v>3534</v>
      </c>
      <c r="I3268" s="1114">
        <f>I3183</f>
        <v>562</v>
      </c>
      <c r="J3268" s="1104" t="s">
        <v>314</v>
      </c>
      <c r="K3268" s="1114">
        <f>(F3268*I3268)</f>
        <v>140.5</v>
      </c>
      <c r="M3268" s="1270">
        <v>118</v>
      </c>
      <c r="N3268" s="1180" t="s">
        <v>2838</v>
      </c>
      <c r="O3268" s="1270" t="s">
        <v>5243</v>
      </c>
      <c r="P3268" s="1270">
        <f>P3234</f>
        <v>2.39</v>
      </c>
      <c r="Q3268" s="1272"/>
      <c r="R3268" s="1180">
        <f t="shared" si="294"/>
        <v>282.02000000000004</v>
      </c>
    </row>
    <row r="3269" spans="6:18" ht="24" customHeight="1">
      <c r="F3269" s="1114">
        <v>0.4</v>
      </c>
      <c r="G3269" s="1114" t="s">
        <v>314</v>
      </c>
      <c r="H3269" s="1103" t="s">
        <v>4420</v>
      </c>
      <c r="I3269" s="1114">
        <f>I3184</f>
        <v>461</v>
      </c>
      <c r="J3269" s="1104" t="s">
        <v>314</v>
      </c>
      <c r="K3269" s="1114">
        <f>(F3269*I3269)</f>
        <v>184.4</v>
      </c>
      <c r="M3269" s="1270"/>
      <c r="N3269" s="1270"/>
      <c r="O3269" s="1270"/>
      <c r="P3269" s="1270"/>
      <c r="Q3269" s="1272"/>
      <c r="R3269" s="1276" t="s">
        <v>36</v>
      </c>
    </row>
    <row r="3270" spans="6:18" ht="24" customHeight="1">
      <c r="G3270" s="1114" t="s">
        <v>2851</v>
      </c>
      <c r="H3270" s="1103" t="s">
        <v>3351</v>
      </c>
      <c r="J3270" s="1104" t="s">
        <v>2851</v>
      </c>
      <c r="K3270" s="1114">
        <v>1.65</v>
      </c>
      <c r="M3270" s="1270"/>
      <c r="N3270" s="1270"/>
      <c r="O3270" s="1182" t="s">
        <v>5337</v>
      </c>
      <c r="P3270" s="1270"/>
      <c r="Q3270" s="1272"/>
      <c r="R3270" s="1180">
        <f>SUM(R3257:R3268)</f>
        <v>14966.465999999999</v>
      </c>
    </row>
    <row r="3271" spans="6:18" ht="24" customHeight="1">
      <c r="F3271" s="1105">
        <v>10</v>
      </c>
      <c r="H3271" s="1103" t="s">
        <v>5338</v>
      </c>
      <c r="I3271" s="1105">
        <f>I3172</f>
        <v>3.65</v>
      </c>
      <c r="J3271" s="1109" t="s">
        <v>833</v>
      </c>
      <c r="K3271" s="1114">
        <f>I3271*F3271</f>
        <v>36.5</v>
      </c>
      <c r="M3271" s="1270"/>
      <c r="N3271" s="1270"/>
      <c r="O3271" s="1270"/>
      <c r="P3271" s="1270"/>
      <c r="Q3271" s="1272"/>
      <c r="R3271" s="1276" t="s">
        <v>36</v>
      </c>
    </row>
    <row r="3272" spans="6:18" ht="24" customHeight="1">
      <c r="J3272" s="1109"/>
      <c r="K3272" s="1111" t="s">
        <v>36</v>
      </c>
      <c r="M3272" s="1270"/>
      <c r="N3272" s="1270"/>
      <c r="O3272" s="1281" t="s">
        <v>3154</v>
      </c>
      <c r="P3272" s="1270"/>
      <c r="Q3272" s="1274" t="s">
        <v>5076</v>
      </c>
      <c r="R3272" s="1282">
        <f>R3270/M3261</f>
        <v>6164.1128500823716</v>
      </c>
    </row>
    <row r="3273" spans="6:18" ht="24" customHeight="1">
      <c r="H3273" s="1104" t="s">
        <v>4422</v>
      </c>
      <c r="J3273" s="1109"/>
      <c r="K3273" s="1114">
        <f>SUM(K3266:K3272)</f>
        <v>814.05</v>
      </c>
      <c r="M3273" s="1183"/>
      <c r="N3273" s="1180" t="s">
        <v>1363</v>
      </c>
      <c r="O3273" s="1182" t="s">
        <v>5339</v>
      </c>
      <c r="P3273" s="1270"/>
      <c r="Q3273" s="1272"/>
      <c r="R3273" s="1270"/>
    </row>
    <row r="3274" spans="6:18" ht="24" customHeight="1">
      <c r="J3274" s="1109"/>
      <c r="K3274" s="1111" t="s">
        <v>36</v>
      </c>
      <c r="M3274" s="1270"/>
      <c r="N3274" s="1270"/>
      <c r="O3274" s="1182" t="s">
        <v>4046</v>
      </c>
      <c r="P3274" s="1270"/>
      <c r="Q3274" s="1272"/>
      <c r="R3274" s="1270"/>
    </row>
    <row r="3275" spans="6:18" ht="24" customHeight="1">
      <c r="F3275" s="1103" t="s">
        <v>220</v>
      </c>
      <c r="G3275" s="1114" t="s">
        <v>220</v>
      </c>
      <c r="H3275" s="1104" t="s">
        <v>4203</v>
      </c>
      <c r="I3275" s="1103" t="s">
        <v>220</v>
      </c>
      <c r="J3275" s="1104" t="s">
        <v>220</v>
      </c>
      <c r="K3275" s="1114">
        <f>K3273/10</f>
        <v>81.405000000000001</v>
      </c>
      <c r="M3275" s="1270"/>
      <c r="N3275" s="1270"/>
      <c r="O3275" s="1318" t="s">
        <v>5314</v>
      </c>
      <c r="P3275" s="1270"/>
      <c r="Q3275" s="1272"/>
      <c r="R3275" s="1270"/>
    </row>
    <row r="3276" spans="6:18" ht="24" customHeight="1">
      <c r="J3276" s="1109"/>
      <c r="K3276" s="1111" t="s">
        <v>2793</v>
      </c>
      <c r="M3276" s="1270"/>
      <c r="N3276" s="1270"/>
      <c r="O3276" s="1276" t="s">
        <v>36</v>
      </c>
      <c r="P3276" s="1270"/>
      <c r="Q3276" s="1272"/>
      <c r="R3276" s="1270"/>
    </row>
    <row r="3277" spans="6:18" ht="24" customHeight="1">
      <c r="G3277" s="1119" t="s">
        <v>5340</v>
      </c>
      <c r="J3277" s="1105"/>
      <c r="M3277" s="1270"/>
      <c r="N3277" s="1270"/>
      <c r="O3277" s="1182" t="s">
        <v>5315</v>
      </c>
      <c r="P3277" s="1273" t="s">
        <v>2793</v>
      </c>
      <c r="Q3277" s="1319">
        <v>2.4279999999999999</v>
      </c>
      <c r="R3277" s="1270" t="s">
        <v>37</v>
      </c>
    </row>
    <row r="3278" spans="6:18" ht="24" customHeight="1">
      <c r="G3278" s="1119" t="s">
        <v>5317</v>
      </c>
      <c r="J3278" s="1105"/>
      <c r="M3278" s="1270"/>
      <c r="N3278" s="1270"/>
      <c r="O3278" s="1182"/>
      <c r="P3278" s="1273"/>
      <c r="Q3278" s="1319"/>
      <c r="R3278" s="1270"/>
    </row>
    <row r="3279" spans="6:18" ht="24" customHeight="1">
      <c r="J3279" s="1105"/>
      <c r="M3279" s="1270"/>
      <c r="N3279" s="1270"/>
      <c r="O3279" s="1182" t="s">
        <v>5276</v>
      </c>
      <c r="P3279" s="1273" t="s">
        <v>2793</v>
      </c>
      <c r="Q3279" s="1320">
        <v>5.1999999999999998E-2</v>
      </c>
      <c r="R3279" s="1270" t="s">
        <v>16</v>
      </c>
    </row>
    <row r="3280" spans="6:18" ht="24" customHeight="1">
      <c r="F3280" s="1303">
        <v>0.10299999999999999</v>
      </c>
      <c r="G3280" s="1119" t="s">
        <v>2839</v>
      </c>
      <c r="H3280" s="1119" t="s">
        <v>5320</v>
      </c>
      <c r="I3280" s="1119">
        <f>I1102</f>
        <v>99400</v>
      </c>
      <c r="J3280" s="1136" t="s">
        <v>2839</v>
      </c>
      <c r="K3280" s="1119">
        <f>I3280*F3280</f>
        <v>10238.199999999999</v>
      </c>
      <c r="M3280" s="1270"/>
      <c r="N3280" s="1270"/>
      <c r="O3280" s="1182" t="s">
        <v>5277</v>
      </c>
      <c r="Q3280" s="1145"/>
      <c r="R3280" s="1270"/>
    </row>
    <row r="3281" spans="6:18" ht="24" customHeight="1">
      <c r="F3281" s="1303">
        <v>1.32</v>
      </c>
      <c r="G3281" s="1119" t="s">
        <v>3189</v>
      </c>
      <c r="H3281" s="1119" t="s">
        <v>5321</v>
      </c>
      <c r="I3281" s="1119">
        <v>2152</v>
      </c>
      <c r="J3281" s="1136" t="s">
        <v>37</v>
      </c>
      <c r="K3281" s="1119">
        <f t="shared" ref="K3281:K3290" si="296">I3281*F3281</f>
        <v>2840.6400000000003</v>
      </c>
      <c r="M3281" s="1270"/>
      <c r="N3281" s="1270"/>
      <c r="O3281" s="1182" t="s">
        <v>5318</v>
      </c>
      <c r="P3281" s="1273" t="s">
        <v>2793</v>
      </c>
      <c r="Q3281" s="1327">
        <v>1.7718999999999999E-2</v>
      </c>
      <c r="R3281" s="1270"/>
    </row>
    <row r="3282" spans="6:18" ht="24" customHeight="1">
      <c r="F3282" s="1304">
        <v>3.3000000000000002E-2</v>
      </c>
      <c r="G3282" s="1119" t="s">
        <v>2839</v>
      </c>
      <c r="H3282" s="1153" t="s">
        <v>4151</v>
      </c>
      <c r="I3282" s="1119">
        <f>AC28</f>
        <v>95000</v>
      </c>
      <c r="J3282" s="1136" t="s">
        <v>2839</v>
      </c>
      <c r="K3282" s="1119">
        <f t="shared" si="296"/>
        <v>3135</v>
      </c>
      <c r="M3282" s="1270"/>
      <c r="N3282" s="1270"/>
      <c r="O3282" s="1182" t="s">
        <v>5319</v>
      </c>
      <c r="P3282" s="1273" t="s">
        <v>2793</v>
      </c>
      <c r="Q3282" s="1327">
        <v>7.8750000000000001E-3</v>
      </c>
      <c r="R3282" s="1181"/>
    </row>
    <row r="3283" spans="6:18" ht="24" customHeight="1">
      <c r="F3283" s="1304">
        <v>3.0225</v>
      </c>
      <c r="G3283" s="1119" t="s">
        <v>3189</v>
      </c>
      <c r="H3283" s="1153" t="s">
        <v>4152</v>
      </c>
      <c r="I3283" s="1119">
        <f>AE30</f>
        <v>1325</v>
      </c>
      <c r="J3283" s="1136" t="s">
        <v>3189</v>
      </c>
      <c r="K3283" s="1119">
        <f t="shared" si="296"/>
        <v>4004.8125</v>
      </c>
      <c r="M3283" s="1270"/>
      <c r="N3283" s="1270"/>
      <c r="O3283" s="1270"/>
      <c r="P3283" s="1270"/>
      <c r="Q3283" s="1276" t="s">
        <v>36</v>
      </c>
    </row>
    <row r="3284" spans="6:18" ht="24" customHeight="1">
      <c r="F3284" s="1119">
        <v>6</v>
      </c>
      <c r="G3284" s="1119" t="s">
        <v>4154</v>
      </c>
      <c r="H3284" s="1119" t="s">
        <v>5324</v>
      </c>
      <c r="I3284" s="1119">
        <v>79</v>
      </c>
      <c r="J3284" s="1136" t="s">
        <v>522</v>
      </c>
      <c r="K3284" s="1119">
        <f t="shared" si="296"/>
        <v>474</v>
      </c>
      <c r="M3284" s="1270"/>
      <c r="N3284" s="1270"/>
      <c r="O3284" s="1270"/>
      <c r="P3284" s="1270"/>
      <c r="Q3284" s="1322">
        <v>2.5590000000000002E-2</v>
      </c>
      <c r="R3284" s="1105" t="s">
        <v>16</v>
      </c>
    </row>
    <row r="3285" spans="6:18" ht="24" customHeight="1">
      <c r="F3285" s="1119">
        <v>1</v>
      </c>
      <c r="G3285" s="1119" t="s">
        <v>4154</v>
      </c>
      <c r="H3285" s="1119" t="s">
        <v>5326</v>
      </c>
      <c r="I3285" s="1119">
        <v>260</v>
      </c>
      <c r="J3285" s="1136" t="s">
        <v>522</v>
      </c>
      <c r="K3285" s="1119">
        <f t="shared" si="296"/>
        <v>260</v>
      </c>
      <c r="M3285" s="1270"/>
      <c r="N3285" s="1270"/>
      <c r="O3285" s="1270"/>
      <c r="P3285" s="1270"/>
      <c r="Q3285" s="1276" t="s">
        <v>36</v>
      </c>
    </row>
    <row r="3286" spans="6:18" ht="24" customHeight="1">
      <c r="F3286" s="1119">
        <v>2</v>
      </c>
      <c r="G3286" s="1119" t="s">
        <v>4154</v>
      </c>
      <c r="H3286" s="1119" t="s">
        <v>5327</v>
      </c>
      <c r="I3286" s="1119">
        <v>130</v>
      </c>
      <c r="J3286" s="1136" t="s">
        <v>522</v>
      </c>
      <c r="K3286" s="1119">
        <f t="shared" si="296"/>
        <v>260</v>
      </c>
      <c r="M3286" s="1270"/>
      <c r="N3286" s="1270"/>
      <c r="O3286" s="1182" t="s">
        <v>5341</v>
      </c>
      <c r="P3286" s="1270"/>
      <c r="Q3286" s="1323">
        <v>0.58750000000000002</v>
      </c>
      <c r="R3286" s="1181"/>
    </row>
    <row r="3287" spans="6:18" ht="24" customHeight="1">
      <c r="F3287" s="1119">
        <v>2</v>
      </c>
      <c r="G3287" s="1119" t="s">
        <v>4154</v>
      </c>
      <c r="H3287" s="1119" t="s">
        <v>5328</v>
      </c>
      <c r="I3287" s="1119">
        <v>165</v>
      </c>
      <c r="J3287" s="1136" t="s">
        <v>522</v>
      </c>
      <c r="K3287" s="1119">
        <f t="shared" si="296"/>
        <v>330</v>
      </c>
      <c r="M3287" s="1270"/>
      <c r="N3287" s="1270"/>
      <c r="O3287" s="1182" t="s">
        <v>5342</v>
      </c>
      <c r="P3287" s="1270"/>
      <c r="Q3287" s="1324">
        <v>0.28129999999999999</v>
      </c>
      <c r="R3287" s="1181"/>
    </row>
    <row r="3288" spans="6:18" ht="24" customHeight="1">
      <c r="F3288" s="1119">
        <v>1</v>
      </c>
      <c r="G3288" s="1119" t="s">
        <v>4154</v>
      </c>
      <c r="H3288" s="1119" t="s">
        <v>5330</v>
      </c>
      <c r="I3288" s="1119">
        <v>985</v>
      </c>
      <c r="J3288" s="1136" t="s">
        <v>522</v>
      </c>
      <c r="K3288" s="1119">
        <f t="shared" si="296"/>
        <v>985</v>
      </c>
      <c r="M3288" s="1270"/>
      <c r="N3288" s="1270"/>
      <c r="O3288" s="1182"/>
      <c r="P3288" s="1270"/>
      <c r="Q3288" s="1276" t="s">
        <v>36</v>
      </c>
      <c r="R3288" s="1181"/>
    </row>
    <row r="3289" spans="6:18" ht="24" customHeight="1">
      <c r="F3289" s="1119">
        <v>2</v>
      </c>
      <c r="G3289" s="1119" t="s">
        <v>4154</v>
      </c>
      <c r="H3289" s="1119" t="s">
        <v>5331</v>
      </c>
      <c r="I3289" s="1119">
        <v>450</v>
      </c>
      <c r="J3289" s="1136" t="s">
        <v>522</v>
      </c>
      <c r="K3289" s="1119">
        <f t="shared" si="296"/>
        <v>900</v>
      </c>
      <c r="M3289" s="1270"/>
      <c r="N3289" s="1270"/>
      <c r="O3289" s="1182"/>
      <c r="P3289" s="1270"/>
      <c r="Q3289" s="1324">
        <v>0.86880000000000002</v>
      </c>
      <c r="R3289" s="1275" t="s">
        <v>37</v>
      </c>
    </row>
    <row r="3290" spans="6:18" ht="24" customHeight="1">
      <c r="F3290" s="1119">
        <v>0</v>
      </c>
      <c r="G3290" s="1119" t="s">
        <v>4</v>
      </c>
      <c r="H3290" s="1119" t="s">
        <v>5332</v>
      </c>
      <c r="I3290" s="1119">
        <f>I961</f>
        <v>2.39</v>
      </c>
      <c r="J3290" s="1136" t="s">
        <v>522</v>
      </c>
      <c r="K3290" s="1305">
        <f t="shared" si="296"/>
        <v>0</v>
      </c>
      <c r="M3290" s="1270"/>
      <c r="N3290" s="1270"/>
      <c r="O3290" s="1270"/>
      <c r="P3290" s="1270"/>
      <c r="Q3290" s="1276" t="s">
        <v>36</v>
      </c>
      <c r="R3290" s="1276"/>
    </row>
    <row r="3291" spans="6:18" ht="24" customHeight="1">
      <c r="F3291" s="1119"/>
      <c r="G3291" s="1119"/>
      <c r="H3291" s="1119" t="s">
        <v>5334</v>
      </c>
      <c r="I3291" s="1119"/>
      <c r="J3291" s="1136"/>
      <c r="K3291" s="1119">
        <f>SUM(K3280:K3290)</f>
        <v>23427.6525</v>
      </c>
      <c r="M3291" s="1181">
        <v>5.1999999999999998E-2</v>
      </c>
      <c r="N3291" s="1180" t="s">
        <v>2839</v>
      </c>
      <c r="O3291" s="1182" t="s">
        <v>4062</v>
      </c>
      <c r="P3291" s="1180">
        <f>P3188</f>
        <v>111600</v>
      </c>
      <c r="Q3291" s="1183" t="s">
        <v>2839</v>
      </c>
      <c r="R3291" s="1180">
        <f>P3291*M3291</f>
        <v>5803.2</v>
      </c>
    </row>
    <row r="3292" spans="6:18" ht="24" customHeight="1">
      <c r="F3292" s="1119"/>
      <c r="G3292" s="1119"/>
      <c r="H3292" s="1119"/>
      <c r="I3292" s="1119"/>
      <c r="J3292" s="1136"/>
      <c r="K3292" s="1305" t="s">
        <v>4164</v>
      </c>
      <c r="M3292" s="1181">
        <v>2.5590000000000002E-2</v>
      </c>
      <c r="N3292" s="1180" t="s">
        <v>2839</v>
      </c>
      <c r="O3292" s="1182" t="s">
        <v>4064</v>
      </c>
      <c r="P3292" s="1180">
        <f>P3189</f>
        <v>99400</v>
      </c>
      <c r="Q3292" s="1183" t="s">
        <v>2839</v>
      </c>
      <c r="R3292" s="1180">
        <f t="shared" ref="R3292:R3300" si="297">P3292*M3292</f>
        <v>2543.6460000000002</v>
      </c>
    </row>
    <row r="3293" spans="6:18" ht="24" customHeight="1">
      <c r="F3293" s="1119"/>
      <c r="G3293" s="1119"/>
      <c r="H3293" s="1119" t="s">
        <v>5335</v>
      </c>
      <c r="I3293" s="1119"/>
      <c r="J3293" s="1136"/>
      <c r="K3293" s="1119">
        <f>K3291/F3283</f>
        <v>7751.0843672456576</v>
      </c>
      <c r="M3293" s="1180">
        <v>0.87</v>
      </c>
      <c r="N3293" s="1180" t="s">
        <v>3189</v>
      </c>
      <c r="O3293" s="1103" t="s">
        <v>3207</v>
      </c>
      <c r="P3293" s="1180">
        <f>C783</f>
        <v>387.4</v>
      </c>
      <c r="Q3293" s="1183" t="s">
        <v>2839</v>
      </c>
      <c r="R3293" s="1180">
        <f t="shared" si="297"/>
        <v>337.03799999999995</v>
      </c>
    </row>
    <row r="3294" spans="6:18" ht="24" customHeight="1">
      <c r="F3294" s="1119"/>
      <c r="G3294" s="1119"/>
      <c r="H3294" s="1119"/>
      <c r="I3294" s="1119"/>
      <c r="J3294" s="1136"/>
      <c r="K3294" s="1305" t="s">
        <v>4164</v>
      </c>
      <c r="M3294" s="1307">
        <v>2.4279999999999999</v>
      </c>
      <c r="N3294" s="1180" t="s">
        <v>3189</v>
      </c>
      <c r="O3294" s="1182" t="s">
        <v>4059</v>
      </c>
      <c r="P3294" s="1180">
        <f>D30</f>
        <v>1105</v>
      </c>
      <c r="Q3294" s="1183" t="s">
        <v>3189</v>
      </c>
      <c r="R3294" s="1180">
        <f t="shared" si="297"/>
        <v>2682.94</v>
      </c>
    </row>
    <row r="3295" spans="6:18" ht="24" customHeight="1">
      <c r="J3295" s="1105"/>
      <c r="M3295" s="1180">
        <v>4</v>
      </c>
      <c r="N3295" s="1180" t="s">
        <v>2941</v>
      </c>
      <c r="O3295" s="1182" t="s">
        <v>5288</v>
      </c>
      <c r="P3295" s="1180">
        <f t="shared" ref="P3295:P3300" si="298">P3228</f>
        <v>53.4</v>
      </c>
      <c r="Q3295" s="1183" t="s">
        <v>2838</v>
      </c>
      <c r="R3295" s="1180">
        <f t="shared" si="297"/>
        <v>213.6</v>
      </c>
    </row>
    <row r="3296" spans="6:18" ht="24" customHeight="1">
      <c r="J3296" s="1105"/>
      <c r="M3296" s="1180">
        <v>8</v>
      </c>
      <c r="N3296" s="1180" t="s">
        <v>2838</v>
      </c>
      <c r="O3296" s="1182" t="s">
        <v>4061</v>
      </c>
      <c r="P3296" s="1180">
        <f t="shared" si="298"/>
        <v>83</v>
      </c>
      <c r="Q3296" s="1183" t="s">
        <v>2838</v>
      </c>
      <c r="R3296" s="1180">
        <f t="shared" si="297"/>
        <v>664</v>
      </c>
    </row>
    <row r="3297" spans="6:18" ht="24" customHeight="1">
      <c r="G3297" s="1114" t="s">
        <v>2235</v>
      </c>
      <c r="H3297" s="1104" t="s">
        <v>3998</v>
      </c>
      <c r="M3297" s="1180">
        <v>4</v>
      </c>
      <c r="N3297" s="1180" t="s">
        <v>2838</v>
      </c>
      <c r="O3297" s="1182" t="s">
        <v>5310</v>
      </c>
      <c r="P3297" s="1180">
        <f t="shared" si="298"/>
        <v>90.6</v>
      </c>
      <c r="Q3297" s="1183" t="s">
        <v>2838</v>
      </c>
      <c r="R3297" s="1180">
        <f t="shared" si="297"/>
        <v>362.4</v>
      </c>
    </row>
    <row r="3298" spans="6:18" ht="24" customHeight="1">
      <c r="H3298" s="1104" t="s">
        <v>4011</v>
      </c>
      <c r="M3298" s="1180">
        <v>1</v>
      </c>
      <c r="N3298" s="1180" t="s">
        <v>2838</v>
      </c>
      <c r="O3298" s="1182" t="s">
        <v>5311</v>
      </c>
      <c r="P3298" s="1180">
        <f t="shared" si="298"/>
        <v>194.4</v>
      </c>
      <c r="Q3298" s="1183" t="s">
        <v>2838</v>
      </c>
      <c r="R3298" s="1180">
        <f t="shared" si="297"/>
        <v>194.4</v>
      </c>
    </row>
    <row r="3299" spans="6:18" ht="24" customHeight="1">
      <c r="F3299" s="1143">
        <v>6.5000000000000002E-2</v>
      </c>
      <c r="G3299" s="1114" t="s">
        <v>2839</v>
      </c>
      <c r="H3299" s="1103" t="s">
        <v>4001</v>
      </c>
      <c r="I3299" s="1114">
        <f>I859</f>
        <v>7594.5976077000005</v>
      </c>
      <c r="J3299" s="1103" t="s">
        <v>2839</v>
      </c>
      <c r="K3299" s="1114">
        <f>I3299*F3299</f>
        <v>493.64884450050005</v>
      </c>
      <c r="M3299" s="1180">
        <v>2</v>
      </c>
      <c r="N3299" s="1180" t="s">
        <v>2838</v>
      </c>
      <c r="O3299" s="1182" t="s">
        <v>5312</v>
      </c>
      <c r="P3299" s="1180">
        <f t="shared" si="298"/>
        <v>22.9</v>
      </c>
      <c r="Q3299" s="1183" t="s">
        <v>2838</v>
      </c>
      <c r="R3299" s="1180">
        <f t="shared" si="297"/>
        <v>45.8</v>
      </c>
    </row>
    <row r="3300" spans="6:18" ht="24" customHeight="1">
      <c r="F3300" s="1155">
        <v>8.4499999999999993</v>
      </c>
      <c r="G3300" s="1114" t="s">
        <v>165</v>
      </c>
      <c r="H3300" s="1103" t="s">
        <v>4003</v>
      </c>
      <c r="I3300" s="1114">
        <f t="shared" ref="I3300:I3310" si="299">I860</f>
        <v>78398</v>
      </c>
      <c r="J3300" s="1103" t="s">
        <v>197</v>
      </c>
      <c r="K3300" s="1114">
        <f>I3300*F3300/1000</f>
        <v>662.46309999999994</v>
      </c>
      <c r="M3300" s="1180">
        <v>2</v>
      </c>
      <c r="N3300" s="1180" t="s">
        <v>2838</v>
      </c>
      <c r="O3300" s="1182" t="s">
        <v>5313</v>
      </c>
      <c r="P3300" s="1180">
        <f t="shared" si="298"/>
        <v>45.9</v>
      </c>
      <c r="Q3300" s="1183" t="s">
        <v>2838</v>
      </c>
      <c r="R3300" s="1180">
        <f t="shared" si="297"/>
        <v>91.8</v>
      </c>
    </row>
    <row r="3301" spans="6:18" ht="24" customHeight="1">
      <c r="F3301" s="1114">
        <v>3</v>
      </c>
      <c r="G3301" s="1114" t="s">
        <v>2838</v>
      </c>
      <c r="H3301" s="1103" t="s">
        <v>4005</v>
      </c>
      <c r="I3301" s="1114">
        <f t="shared" si="299"/>
        <v>14.8</v>
      </c>
      <c r="J3301" s="1103" t="s">
        <v>2838</v>
      </c>
      <c r="K3301" s="1114">
        <f t="shared" ref="K3301:K3308" si="300">I3301*F3301</f>
        <v>44.400000000000006</v>
      </c>
      <c r="M3301" s="1270"/>
      <c r="N3301" s="1270"/>
      <c r="O3301" s="1270" t="s">
        <v>5243</v>
      </c>
      <c r="P3301" s="1270"/>
      <c r="Q3301" s="1272"/>
      <c r="R3301" s="1279">
        <f>R3199</f>
        <v>282.02000000000004</v>
      </c>
    </row>
    <row r="3302" spans="6:18" ht="24" customHeight="1">
      <c r="F3302" s="1114">
        <v>12</v>
      </c>
      <c r="G3302" s="1114" t="s">
        <v>2838</v>
      </c>
      <c r="H3302" s="1103" t="s">
        <v>4006</v>
      </c>
      <c r="I3302" s="1114">
        <f t="shared" si="299"/>
        <v>2</v>
      </c>
      <c r="J3302" s="1103" t="s">
        <v>2838</v>
      </c>
      <c r="K3302" s="1114">
        <f t="shared" si="300"/>
        <v>24</v>
      </c>
      <c r="M3302" s="1270"/>
      <c r="N3302" s="1270"/>
      <c r="O3302" s="1270"/>
      <c r="P3302" s="1270"/>
      <c r="Q3302" s="1272"/>
      <c r="R3302" s="1276" t="s">
        <v>36</v>
      </c>
    </row>
    <row r="3303" spans="6:18" ht="24" customHeight="1">
      <c r="F3303" s="1114">
        <v>2</v>
      </c>
      <c r="G3303" s="1114" t="s">
        <v>2838</v>
      </c>
      <c r="H3303" s="1103" t="s">
        <v>4007</v>
      </c>
      <c r="I3303" s="1114">
        <f t="shared" si="299"/>
        <v>4.9000000000000004</v>
      </c>
      <c r="J3303" s="1103" t="s">
        <v>2838</v>
      </c>
      <c r="K3303" s="1114">
        <f t="shared" si="300"/>
        <v>9.8000000000000007</v>
      </c>
      <c r="M3303" s="1270"/>
      <c r="N3303" s="1270"/>
      <c r="O3303" s="1182" t="s">
        <v>5337</v>
      </c>
      <c r="P3303" s="1270"/>
      <c r="Q3303" s="1272"/>
      <c r="R3303" s="1180">
        <f>SUM(R3291:R3301)</f>
        <v>13220.843999999999</v>
      </c>
    </row>
    <row r="3304" spans="6:18" ht="24" customHeight="1">
      <c r="F3304" s="1114">
        <v>6</v>
      </c>
      <c r="G3304" s="1114" t="s">
        <v>2838</v>
      </c>
      <c r="H3304" s="1103" t="s">
        <v>4009</v>
      </c>
      <c r="I3304" s="1114">
        <f t="shared" si="299"/>
        <v>4.45</v>
      </c>
      <c r="J3304" s="1103" t="s">
        <v>2838</v>
      </c>
      <c r="K3304" s="1114">
        <f t="shared" si="300"/>
        <v>26.700000000000003</v>
      </c>
      <c r="M3304" s="1270"/>
      <c r="N3304" s="1270"/>
      <c r="O3304" s="1270"/>
      <c r="P3304" s="1270"/>
      <c r="Q3304" s="1272"/>
      <c r="R3304" s="1276" t="s">
        <v>36</v>
      </c>
    </row>
    <row r="3305" spans="6:18" ht="24" customHeight="1">
      <c r="F3305" s="1114">
        <v>1</v>
      </c>
      <c r="G3305" s="1114" t="s">
        <v>2838</v>
      </c>
      <c r="H3305" s="1103" t="s">
        <v>4012</v>
      </c>
      <c r="I3305" s="1114">
        <f t="shared" si="299"/>
        <v>861</v>
      </c>
      <c r="J3305" s="1103" t="s">
        <v>2838</v>
      </c>
      <c r="K3305" s="1114">
        <f t="shared" si="300"/>
        <v>861</v>
      </c>
      <c r="M3305" s="1270"/>
      <c r="N3305" s="1270"/>
      <c r="O3305" s="1281" t="s">
        <v>3154</v>
      </c>
      <c r="P3305" s="1270"/>
      <c r="Q3305" s="1274" t="s">
        <v>5076</v>
      </c>
      <c r="R3305" s="1282">
        <f>R3303/M3294</f>
        <v>5445.158154859967</v>
      </c>
    </row>
    <row r="3306" spans="6:18" ht="24" customHeight="1">
      <c r="F3306" s="1114">
        <v>1</v>
      </c>
      <c r="G3306" s="1114" t="s">
        <v>2838</v>
      </c>
      <c r="H3306" s="1103" t="s">
        <v>4013</v>
      </c>
      <c r="I3306" s="1114">
        <f t="shared" si="299"/>
        <v>562</v>
      </c>
      <c r="J3306" s="1103" t="s">
        <v>2838</v>
      </c>
      <c r="K3306" s="1114">
        <f t="shared" si="300"/>
        <v>562</v>
      </c>
      <c r="M3306" s="1183"/>
      <c r="N3306" s="1180" t="s">
        <v>1363</v>
      </c>
      <c r="O3306" s="1182" t="s">
        <v>5343</v>
      </c>
      <c r="P3306" s="1270"/>
      <c r="Q3306" s="1272"/>
      <c r="R3306" s="1270"/>
    </row>
    <row r="3307" spans="6:18" ht="24" customHeight="1">
      <c r="F3307" s="1114">
        <v>1</v>
      </c>
      <c r="G3307" s="1114" t="s">
        <v>2838</v>
      </c>
      <c r="H3307" s="1103" t="s">
        <v>4014</v>
      </c>
      <c r="I3307" s="1114">
        <f t="shared" si="299"/>
        <v>25</v>
      </c>
      <c r="J3307" s="1103" t="s">
        <v>2838</v>
      </c>
      <c r="K3307" s="1114">
        <f t="shared" si="300"/>
        <v>25</v>
      </c>
      <c r="M3307" s="1270"/>
      <c r="N3307" s="1270"/>
      <c r="O3307" s="1182" t="s">
        <v>4046</v>
      </c>
      <c r="P3307" s="1270"/>
      <c r="Q3307" s="1272"/>
      <c r="R3307" s="1270"/>
    </row>
    <row r="3308" spans="6:18" ht="24" customHeight="1">
      <c r="F3308" s="1114">
        <v>0.5</v>
      </c>
      <c r="G3308" s="1114" t="s">
        <v>2838</v>
      </c>
      <c r="H3308" s="1103" t="s">
        <v>4015</v>
      </c>
      <c r="I3308" s="1114">
        <f t="shared" si="299"/>
        <v>461</v>
      </c>
      <c r="J3308" s="1103" t="s">
        <v>2838</v>
      </c>
      <c r="K3308" s="1114">
        <f t="shared" si="300"/>
        <v>230.5</v>
      </c>
      <c r="M3308" s="1270"/>
      <c r="N3308" s="1270"/>
      <c r="O3308" s="1318" t="s">
        <v>5273</v>
      </c>
      <c r="P3308" s="1270"/>
      <c r="Q3308" s="1272"/>
      <c r="R3308" s="1270"/>
    </row>
    <row r="3309" spans="6:18" ht="24" customHeight="1">
      <c r="G3309" s="1114" t="s">
        <v>2851</v>
      </c>
      <c r="H3309" s="1103" t="s">
        <v>4016</v>
      </c>
      <c r="I3309" s="1114">
        <f t="shared" si="299"/>
        <v>0</v>
      </c>
      <c r="J3309" s="1103" t="s">
        <v>2851</v>
      </c>
      <c r="K3309" s="1114">
        <v>2.1</v>
      </c>
      <c r="M3309" s="1270"/>
      <c r="N3309" s="1270"/>
      <c r="O3309" s="1276" t="s">
        <v>36</v>
      </c>
      <c r="P3309" s="1270"/>
      <c r="Q3309" s="1272"/>
      <c r="R3309" s="1270"/>
    </row>
    <row r="3310" spans="6:18" ht="24" customHeight="1">
      <c r="I3310" s="1114">
        <f t="shared" si="299"/>
        <v>0</v>
      </c>
      <c r="K3310" s="1111" t="s">
        <v>36</v>
      </c>
      <c r="M3310" s="1270"/>
      <c r="N3310" s="1270"/>
      <c r="O3310" s="1182" t="s">
        <v>5275</v>
      </c>
      <c r="P3310" s="1273" t="s">
        <v>2793</v>
      </c>
      <c r="Q3310" s="1319">
        <v>3.1219999999999999</v>
      </c>
      <c r="R3310" s="1308" t="s">
        <v>37</v>
      </c>
    </row>
    <row r="3311" spans="6:18" ht="24" customHeight="1">
      <c r="H3311" s="1118" t="s">
        <v>4017</v>
      </c>
      <c r="K3311" s="1115">
        <f>SUM(K3299:K3310)</f>
        <v>2941.6119445005002</v>
      </c>
      <c r="M3311" s="1270"/>
      <c r="N3311" s="1270"/>
      <c r="O3311" s="1182"/>
      <c r="P3311" s="1273"/>
      <c r="Q3311" s="1319"/>
      <c r="R3311" s="1308"/>
    </row>
    <row r="3312" spans="6:18" ht="24" customHeight="1">
      <c r="K3312" s="1111" t="s">
        <v>36</v>
      </c>
      <c r="M3312" s="1270"/>
      <c r="N3312" s="1270"/>
      <c r="O3312" s="1182" t="s">
        <v>5276</v>
      </c>
      <c r="P3312" s="1273" t="s">
        <v>2793</v>
      </c>
      <c r="Q3312" s="1320">
        <v>5.1999999999999998E-2</v>
      </c>
      <c r="R3312" s="1308" t="s">
        <v>16</v>
      </c>
    </row>
    <row r="3313" spans="6:18" ht="24" customHeight="1">
      <c r="J3313" s="1105"/>
      <c r="M3313" s="1270"/>
      <c r="N3313" s="1270"/>
      <c r="O3313" s="1182" t="s">
        <v>5277</v>
      </c>
      <c r="Q3313" s="1145"/>
      <c r="R3313" s="1308"/>
    </row>
    <row r="3314" spans="6:18" ht="24" customHeight="1">
      <c r="J3314" s="1105"/>
      <c r="M3314" s="1270"/>
      <c r="N3314" s="1270"/>
      <c r="O3314" s="1182" t="s">
        <v>5278</v>
      </c>
      <c r="P3314" s="1273" t="s">
        <v>2793</v>
      </c>
      <c r="Q3314" s="1321">
        <v>2.2780000000000002E-2</v>
      </c>
      <c r="R3314" s="1308"/>
    </row>
    <row r="3315" spans="6:18" ht="24" customHeight="1">
      <c r="G3315" s="1119" t="s">
        <v>5101</v>
      </c>
      <c r="J3315" s="1105"/>
      <c r="M3315" s="1270"/>
      <c r="N3315" s="1270"/>
      <c r="O3315" s="1182" t="s">
        <v>5280</v>
      </c>
      <c r="P3315" s="1273" t="s">
        <v>2793</v>
      </c>
      <c r="Q3315" s="1327">
        <v>1.0125E-2</v>
      </c>
      <c r="R3315" s="1309"/>
    </row>
    <row r="3316" spans="6:18" ht="24" customHeight="1">
      <c r="G3316" s="1119" t="s">
        <v>5102</v>
      </c>
      <c r="J3316" s="1105"/>
      <c r="M3316" s="1270"/>
      <c r="N3316" s="1270"/>
      <c r="O3316" s="1270"/>
      <c r="P3316" s="1270"/>
      <c r="Q3316" s="1326" t="s">
        <v>5299</v>
      </c>
      <c r="R3316" s="1107"/>
    </row>
    <row r="3317" spans="6:18" ht="24" customHeight="1">
      <c r="J3317" s="1105"/>
      <c r="M3317" s="1270"/>
      <c r="N3317" s="1270"/>
      <c r="O3317" s="1270"/>
      <c r="P3317" s="1270"/>
      <c r="Q3317" s="1322">
        <v>3.2910000000000002E-2</v>
      </c>
      <c r="R3317" s="1107" t="s">
        <v>16</v>
      </c>
    </row>
    <row r="3318" spans="6:18" ht="24" customHeight="1">
      <c r="F3318" s="1304">
        <v>2.6159999999999999E-2</v>
      </c>
      <c r="G3318" s="1119" t="s">
        <v>2839</v>
      </c>
      <c r="H3318" s="1119" t="s">
        <v>4149</v>
      </c>
      <c r="I3318" s="1119">
        <f>AC26</f>
        <v>111600</v>
      </c>
      <c r="J3318" s="1136" t="s">
        <v>2839</v>
      </c>
      <c r="K3318" s="1119">
        <f>I3318*F3318</f>
        <v>2919.4560000000001</v>
      </c>
      <c r="M3318" s="1270"/>
      <c r="N3318" s="1270"/>
      <c r="O3318" s="1270"/>
      <c r="P3318" s="1270"/>
      <c r="Q3318" s="1326" t="s">
        <v>5299</v>
      </c>
      <c r="R3318" s="1107"/>
    </row>
    <row r="3319" spans="6:18" ht="24" customHeight="1">
      <c r="F3319" s="1304">
        <v>4.7809999999999998E-2</v>
      </c>
      <c r="G3319" s="1119" t="s">
        <v>2839</v>
      </c>
      <c r="H3319" s="1119" t="s">
        <v>4150</v>
      </c>
      <c r="I3319" s="1119">
        <f>AC27</f>
        <v>99400</v>
      </c>
      <c r="J3319" s="1136" t="s">
        <v>2839</v>
      </c>
      <c r="K3319" s="1119">
        <f t="shared" ref="K3319:K3327" si="301">I3319*F3319</f>
        <v>4752.3139999999994</v>
      </c>
      <c r="M3319" s="1270"/>
      <c r="N3319" s="1270"/>
      <c r="O3319" s="1182" t="s">
        <v>5300</v>
      </c>
      <c r="P3319" s="1270"/>
      <c r="Q3319" s="1251">
        <v>0.94</v>
      </c>
      <c r="R3319" s="1309" t="s">
        <v>37</v>
      </c>
    </row>
    <row r="3320" spans="6:18" ht="24" customHeight="1">
      <c r="F3320" s="1304">
        <v>4.5879999999999997E-2</v>
      </c>
      <c r="G3320" s="1119" t="s">
        <v>2839</v>
      </c>
      <c r="H3320" s="1119" t="s">
        <v>5344</v>
      </c>
      <c r="I3320" s="1119">
        <v>107000</v>
      </c>
      <c r="J3320" s="1136" t="s">
        <v>2839</v>
      </c>
      <c r="K3320" s="1119">
        <f t="shared" si="301"/>
        <v>4909.16</v>
      </c>
      <c r="M3320" s="1270"/>
      <c r="N3320" s="1270"/>
      <c r="O3320" s="1182" t="s">
        <v>5345</v>
      </c>
      <c r="P3320" s="1270"/>
      <c r="Q3320" s="1325">
        <v>0.45</v>
      </c>
      <c r="R3320" s="1309" t="s">
        <v>16</v>
      </c>
    </row>
    <row r="3321" spans="6:18" ht="24" customHeight="1">
      <c r="F3321" s="1304">
        <v>3.95</v>
      </c>
      <c r="G3321" s="1119" t="s">
        <v>3189</v>
      </c>
      <c r="H3321" s="1119" t="s">
        <v>4152</v>
      </c>
      <c r="I3321" s="1119">
        <f>P3261</f>
        <v>1325</v>
      </c>
      <c r="J3321" s="1136" t="s">
        <v>3189</v>
      </c>
      <c r="K3321" s="1119">
        <f t="shared" si="301"/>
        <v>5233.75</v>
      </c>
      <c r="M3321" s="1270"/>
      <c r="N3321" s="1270"/>
      <c r="O3321" s="1182" t="s">
        <v>5302</v>
      </c>
      <c r="P3321" s="1270"/>
      <c r="Q3321" s="1325">
        <v>7.9</v>
      </c>
      <c r="R3321" s="1309" t="s">
        <v>61</v>
      </c>
    </row>
    <row r="3322" spans="6:18" ht="24" customHeight="1">
      <c r="F3322" s="1119">
        <v>2</v>
      </c>
      <c r="G3322" s="1119" t="s">
        <v>4154</v>
      </c>
      <c r="H3322" s="1119" t="s">
        <v>4155</v>
      </c>
      <c r="I3322" s="1119">
        <f t="shared" ref="I3322:I3327" si="302">P3262</f>
        <v>53.4</v>
      </c>
      <c r="J3322" s="1136" t="s">
        <v>522</v>
      </c>
      <c r="K3322" s="1119">
        <f t="shared" si="301"/>
        <v>106.8</v>
      </c>
      <c r="M3322" s="1270"/>
      <c r="N3322" s="1270"/>
      <c r="O3322" s="1270"/>
      <c r="P3322" s="1270"/>
      <c r="Q3322" s="1276"/>
      <c r="R3322" s="1276"/>
    </row>
    <row r="3323" spans="6:18" ht="24" customHeight="1">
      <c r="F3323" s="1119">
        <v>6</v>
      </c>
      <c r="G3323" s="1119" t="s">
        <v>4154</v>
      </c>
      <c r="H3323" s="1119" t="s">
        <v>4156</v>
      </c>
      <c r="I3323" s="1119">
        <f t="shared" si="302"/>
        <v>83</v>
      </c>
      <c r="J3323" s="1136" t="s">
        <v>522</v>
      </c>
      <c r="K3323" s="1119">
        <f t="shared" si="301"/>
        <v>498</v>
      </c>
      <c r="M3323" s="1181">
        <v>5.1999999999999998E-2</v>
      </c>
      <c r="N3323" s="1180" t="s">
        <v>2839</v>
      </c>
      <c r="O3323" s="1182" t="s">
        <v>4062</v>
      </c>
      <c r="P3323" s="1180">
        <f>P3221</f>
        <v>111600</v>
      </c>
      <c r="Q3323" s="1183" t="s">
        <v>2839</v>
      </c>
      <c r="R3323" s="1180">
        <f>P3323*M3323</f>
        <v>5803.2</v>
      </c>
    </row>
    <row r="3324" spans="6:18" ht="24" customHeight="1">
      <c r="F3324" s="1119">
        <v>4</v>
      </c>
      <c r="G3324" s="1119" t="s">
        <v>4154</v>
      </c>
      <c r="H3324" s="1119" t="s">
        <v>4157</v>
      </c>
      <c r="I3324" s="1119">
        <f t="shared" si="302"/>
        <v>90.6</v>
      </c>
      <c r="J3324" s="1136" t="s">
        <v>522</v>
      </c>
      <c r="K3324" s="1119">
        <f t="shared" si="301"/>
        <v>362.4</v>
      </c>
      <c r="M3324" s="1181">
        <v>3.2910000000000002E-2</v>
      </c>
      <c r="N3324" s="1180" t="s">
        <v>2839</v>
      </c>
      <c r="O3324" s="1182" t="s">
        <v>4064</v>
      </c>
      <c r="P3324" s="1180">
        <f>P3222</f>
        <v>99400</v>
      </c>
      <c r="Q3324" s="1183" t="s">
        <v>2839</v>
      </c>
      <c r="R3324" s="1180">
        <f t="shared" ref="R3324:R3335" si="303">P3324*M3324</f>
        <v>3271.2540000000004</v>
      </c>
    </row>
    <row r="3325" spans="6:18" ht="24" customHeight="1">
      <c r="F3325" s="1119">
        <v>1</v>
      </c>
      <c r="G3325" s="1119" t="s">
        <v>4154</v>
      </c>
      <c r="H3325" s="1119" t="s">
        <v>4159</v>
      </c>
      <c r="I3325" s="1119">
        <f t="shared" si="302"/>
        <v>194.4</v>
      </c>
      <c r="J3325" s="1136" t="s">
        <v>522</v>
      </c>
      <c r="K3325" s="1119">
        <f t="shared" si="301"/>
        <v>194.4</v>
      </c>
      <c r="M3325" s="1181">
        <v>0.45</v>
      </c>
      <c r="N3325" s="1180" t="s">
        <v>3189</v>
      </c>
      <c r="O3325" s="1103" t="s">
        <v>3207</v>
      </c>
      <c r="P3325" s="1180">
        <f>P3293</f>
        <v>387.4</v>
      </c>
      <c r="Q3325" s="1183" t="s">
        <v>2839</v>
      </c>
      <c r="R3325" s="1180">
        <f t="shared" si="303"/>
        <v>174.32999999999998</v>
      </c>
    </row>
    <row r="3326" spans="6:18" ht="24" customHeight="1">
      <c r="F3326" s="1119">
        <v>2</v>
      </c>
      <c r="G3326" s="1119" t="s">
        <v>4154</v>
      </c>
      <c r="H3326" s="1119" t="s">
        <v>5346</v>
      </c>
      <c r="I3326" s="1119">
        <f t="shared" si="302"/>
        <v>22.9</v>
      </c>
      <c r="J3326" s="1136" t="s">
        <v>522</v>
      </c>
      <c r="K3326" s="1119">
        <f t="shared" si="301"/>
        <v>45.8</v>
      </c>
      <c r="M3326" s="1307">
        <v>0.94</v>
      </c>
      <c r="N3326" s="1180" t="s">
        <v>3189</v>
      </c>
      <c r="O3326" s="1182" t="s">
        <v>5347</v>
      </c>
      <c r="P3326" s="1180">
        <f t="shared" ref="P3326:P3334" si="304">P3225</f>
        <v>359</v>
      </c>
      <c r="Q3326" s="1272" t="s">
        <v>3189</v>
      </c>
      <c r="R3326" s="1180">
        <f t="shared" si="303"/>
        <v>337.46</v>
      </c>
    </row>
    <row r="3327" spans="6:18" ht="24" customHeight="1">
      <c r="F3327" s="1119">
        <v>2</v>
      </c>
      <c r="G3327" s="1119" t="s">
        <v>4154</v>
      </c>
      <c r="H3327" s="1119" t="s">
        <v>3214</v>
      </c>
      <c r="I3327" s="1119">
        <f t="shared" si="302"/>
        <v>45.9</v>
      </c>
      <c r="J3327" s="1136" t="s">
        <v>522</v>
      </c>
      <c r="K3327" s="1119">
        <f t="shared" si="301"/>
        <v>91.8</v>
      </c>
      <c r="M3327" s="1307">
        <v>7.9</v>
      </c>
      <c r="N3327" s="1180" t="s">
        <v>1790</v>
      </c>
      <c r="O3327" s="1182" t="s">
        <v>5348</v>
      </c>
      <c r="P3327" s="1180">
        <f t="shared" si="304"/>
        <v>15.3</v>
      </c>
      <c r="Q3327" s="1272"/>
      <c r="R3327" s="1180">
        <f t="shared" si="303"/>
        <v>120.87</v>
      </c>
    </row>
    <row r="3328" spans="6:18" ht="24" customHeight="1">
      <c r="F3328" s="1119">
        <v>10</v>
      </c>
      <c r="G3328" s="1119"/>
      <c r="H3328" s="1119" t="s">
        <v>5349</v>
      </c>
      <c r="I3328" s="1119">
        <f>I3290</f>
        <v>2.39</v>
      </c>
      <c r="J3328" s="1136"/>
      <c r="K3328" s="1119">
        <v>24.3</v>
      </c>
      <c r="M3328" s="1307">
        <v>3.1219999999999999</v>
      </c>
      <c r="N3328" s="1180" t="s">
        <v>3189</v>
      </c>
      <c r="O3328" s="1182" t="s">
        <v>4059</v>
      </c>
      <c r="P3328" s="1180">
        <f t="shared" si="304"/>
        <v>1239</v>
      </c>
      <c r="Q3328" s="1183" t="s">
        <v>3189</v>
      </c>
      <c r="R3328" s="1180">
        <f t="shared" si="303"/>
        <v>3868.1579999999999</v>
      </c>
    </row>
    <row r="3329" spans="6:18" ht="24" customHeight="1">
      <c r="F3329" s="1119"/>
      <c r="G3329" s="1119"/>
      <c r="H3329" s="1119" t="s">
        <v>3154</v>
      </c>
      <c r="I3329" s="1119"/>
      <c r="J3329" s="1136"/>
      <c r="K3329" s="1119">
        <f>SUM(K3318:K3328)</f>
        <v>19138.18</v>
      </c>
      <c r="M3329" s="1180">
        <v>4</v>
      </c>
      <c r="N3329" s="1180" t="s">
        <v>2941</v>
      </c>
      <c r="O3329" s="1182" t="s">
        <v>5288</v>
      </c>
      <c r="P3329" s="1180">
        <f t="shared" si="304"/>
        <v>53.4</v>
      </c>
      <c r="Q3329" s="1183" t="s">
        <v>2838</v>
      </c>
      <c r="R3329" s="1180">
        <f t="shared" si="303"/>
        <v>213.6</v>
      </c>
    </row>
    <row r="3330" spans="6:18" ht="24" customHeight="1">
      <c r="F3330" s="1119"/>
      <c r="G3330" s="1119"/>
      <c r="H3330" s="1119"/>
      <c r="I3330" s="1119"/>
      <c r="J3330" s="1136"/>
      <c r="K3330" s="1305" t="s">
        <v>4164</v>
      </c>
      <c r="M3330" s="1180">
        <v>8</v>
      </c>
      <c r="N3330" s="1180" t="s">
        <v>2838</v>
      </c>
      <c r="O3330" s="1182" t="s">
        <v>4061</v>
      </c>
      <c r="P3330" s="1180">
        <f t="shared" si="304"/>
        <v>83</v>
      </c>
      <c r="Q3330" s="1183" t="s">
        <v>2838</v>
      </c>
      <c r="R3330" s="1180">
        <f t="shared" si="303"/>
        <v>664</v>
      </c>
    </row>
    <row r="3331" spans="6:18" ht="24" customHeight="1">
      <c r="F3331" s="1119"/>
      <c r="G3331" s="1119"/>
      <c r="H3331" s="1119" t="s">
        <v>3154</v>
      </c>
      <c r="I3331" s="1119"/>
      <c r="J3331" s="1136"/>
      <c r="K3331" s="1119">
        <f>K3329/F3321</f>
        <v>4845.1088607594938</v>
      </c>
      <c r="M3331" s="1180">
        <v>4</v>
      </c>
      <c r="N3331" s="1180" t="s">
        <v>2838</v>
      </c>
      <c r="O3331" s="1182" t="s">
        <v>5310</v>
      </c>
      <c r="P3331" s="1180">
        <f t="shared" si="304"/>
        <v>90.6</v>
      </c>
      <c r="Q3331" s="1183" t="s">
        <v>2838</v>
      </c>
      <c r="R3331" s="1180">
        <f t="shared" si="303"/>
        <v>362.4</v>
      </c>
    </row>
    <row r="3332" spans="6:18" ht="24" customHeight="1">
      <c r="F3332" s="1119"/>
      <c r="G3332" s="1119"/>
      <c r="H3332" s="1119"/>
      <c r="I3332" s="1119"/>
      <c r="J3332" s="1136"/>
      <c r="K3332" s="1305" t="s">
        <v>4164</v>
      </c>
      <c r="M3332" s="1180">
        <v>1</v>
      </c>
      <c r="N3332" s="1180" t="s">
        <v>2838</v>
      </c>
      <c r="O3332" s="1182" t="s">
        <v>5311</v>
      </c>
      <c r="P3332" s="1180">
        <f t="shared" si="304"/>
        <v>194.4</v>
      </c>
      <c r="Q3332" s="1183" t="s">
        <v>2838</v>
      </c>
      <c r="R3332" s="1180">
        <f t="shared" si="303"/>
        <v>194.4</v>
      </c>
    </row>
    <row r="3333" spans="6:18" ht="24" customHeight="1">
      <c r="J3333" s="1105"/>
      <c r="M3333" s="1180">
        <v>2</v>
      </c>
      <c r="N3333" s="1180" t="s">
        <v>2838</v>
      </c>
      <c r="O3333" s="1182" t="s">
        <v>5312</v>
      </c>
      <c r="P3333" s="1180">
        <f t="shared" si="304"/>
        <v>22.9</v>
      </c>
      <c r="Q3333" s="1183" t="s">
        <v>2838</v>
      </c>
      <c r="R3333" s="1180">
        <f t="shared" si="303"/>
        <v>45.8</v>
      </c>
    </row>
    <row r="3334" spans="6:18" ht="24" customHeight="1">
      <c r="J3334" s="1105"/>
      <c r="M3334" s="1180">
        <v>2</v>
      </c>
      <c r="N3334" s="1180" t="s">
        <v>2838</v>
      </c>
      <c r="O3334" s="1182" t="s">
        <v>5313</v>
      </c>
      <c r="P3334" s="1180">
        <f t="shared" si="304"/>
        <v>45.9</v>
      </c>
      <c r="Q3334" s="1183" t="s">
        <v>2838</v>
      </c>
      <c r="R3334" s="1180">
        <f t="shared" si="303"/>
        <v>91.8</v>
      </c>
    </row>
    <row r="3335" spans="6:18" ht="24" customHeight="1">
      <c r="J3335" s="1105"/>
      <c r="M3335" s="1270">
        <v>118</v>
      </c>
      <c r="N3335" s="1180" t="s">
        <v>2838</v>
      </c>
      <c r="O3335" s="1270" t="s">
        <v>5243</v>
      </c>
      <c r="P3335" s="1270">
        <f>P3268</f>
        <v>2.39</v>
      </c>
      <c r="Q3335" s="1183" t="s">
        <v>2838</v>
      </c>
      <c r="R3335" s="1180">
        <f t="shared" si="303"/>
        <v>282.02000000000004</v>
      </c>
    </row>
    <row r="3336" spans="6:18" ht="24" customHeight="1">
      <c r="F3336" s="1104"/>
      <c r="G3336" s="1114" t="s">
        <v>1363</v>
      </c>
      <c r="H3336" s="1103" t="s">
        <v>5350</v>
      </c>
      <c r="J3336" s="1109"/>
      <c r="M3336" s="1270"/>
      <c r="N3336" s="1270"/>
      <c r="O3336" s="1270"/>
      <c r="P3336" s="1270"/>
      <c r="Q3336" s="1272"/>
      <c r="R3336" s="1276" t="s">
        <v>36</v>
      </c>
    </row>
    <row r="3337" spans="6:18" ht="24" customHeight="1">
      <c r="H3337" s="1103" t="s">
        <v>4277</v>
      </c>
      <c r="J3337" s="1109"/>
      <c r="M3337" s="1270"/>
      <c r="N3337" s="1270"/>
      <c r="O3337" s="1182" t="s">
        <v>5295</v>
      </c>
      <c r="P3337" s="1270"/>
      <c r="Q3337" s="1272"/>
      <c r="R3337" s="1180">
        <f>SUM(R3323:R3335)</f>
        <v>15429.291999999998</v>
      </c>
    </row>
    <row r="3338" spans="6:18" ht="24" customHeight="1">
      <c r="H3338" s="1106" t="s">
        <v>5351</v>
      </c>
      <c r="J3338" s="1109"/>
      <c r="M3338" s="1270"/>
      <c r="N3338" s="1270"/>
      <c r="O3338" s="1270"/>
      <c r="P3338" s="1270"/>
      <c r="Q3338" s="1272"/>
      <c r="R3338" s="1276" t="s">
        <v>36</v>
      </c>
    </row>
    <row r="3339" spans="6:18" ht="24" customHeight="1">
      <c r="H3339" s="1111" t="s">
        <v>36</v>
      </c>
      <c r="J3339" s="1109"/>
      <c r="M3339" s="1270"/>
      <c r="N3339" s="1270"/>
      <c r="O3339" s="1281" t="s">
        <v>3154</v>
      </c>
      <c r="P3339" s="1270"/>
      <c r="Q3339" s="1274" t="s">
        <v>5076</v>
      </c>
      <c r="R3339" s="1282">
        <f>R3337/M3328</f>
        <v>4942.1178731582313</v>
      </c>
    </row>
    <row r="3340" spans="6:18" ht="24" customHeight="1">
      <c r="F3340" s="1114">
        <v>1.34</v>
      </c>
      <c r="G3340" s="1114" t="s">
        <v>165</v>
      </c>
      <c r="H3340" s="1103" t="s">
        <v>5352</v>
      </c>
      <c r="I3340" s="1114">
        <v>73.099999999999994</v>
      </c>
      <c r="J3340" s="1103" t="s">
        <v>165</v>
      </c>
      <c r="K3340" s="1114">
        <f>(F3340*I3340)</f>
        <v>97.953999999999994</v>
      </c>
    </row>
    <row r="3341" spans="6:18" ht="24" customHeight="1">
      <c r="F3341" s="1114">
        <v>0.5</v>
      </c>
      <c r="G3341" s="1114" t="s">
        <v>2941</v>
      </c>
      <c r="H3341" s="1103" t="s">
        <v>4287</v>
      </c>
      <c r="I3341" s="1114">
        <f>AE13</f>
        <v>688</v>
      </c>
      <c r="J3341" s="1114" t="s">
        <v>2941</v>
      </c>
      <c r="K3341" s="1114">
        <f>(F3341*I3341)</f>
        <v>344</v>
      </c>
    </row>
    <row r="3342" spans="6:18" ht="24" customHeight="1">
      <c r="F3342" s="1114">
        <v>0.5</v>
      </c>
      <c r="G3342" s="1114" t="s">
        <v>2941</v>
      </c>
      <c r="H3342" s="1103" t="s">
        <v>3020</v>
      </c>
      <c r="I3342" s="1114">
        <f>AE11</f>
        <v>562</v>
      </c>
      <c r="J3342" s="1114" t="s">
        <v>2941</v>
      </c>
      <c r="K3342" s="1114">
        <f>(F3342*I3342)</f>
        <v>281</v>
      </c>
      <c r="M3342" s="1183"/>
      <c r="N3342" s="1180" t="s">
        <v>1363</v>
      </c>
      <c r="O3342" s="1182" t="s">
        <v>5353</v>
      </c>
      <c r="P3342" s="1270"/>
      <c r="Q3342" s="1272"/>
      <c r="R3342" s="1270"/>
    </row>
    <row r="3343" spans="6:18" ht="24" customHeight="1">
      <c r="F3343" s="1114">
        <v>0.8</v>
      </c>
      <c r="G3343" s="1114" t="s">
        <v>2941</v>
      </c>
      <c r="H3343" s="1103" t="s">
        <v>3026</v>
      </c>
      <c r="I3343" s="1114">
        <f>AE12</f>
        <v>461</v>
      </c>
      <c r="J3343" s="1114" t="s">
        <v>2941</v>
      </c>
      <c r="K3343" s="1114">
        <f>(F3343*I3343)</f>
        <v>368.8</v>
      </c>
      <c r="M3343" s="1270"/>
      <c r="N3343" s="1270"/>
      <c r="O3343" s="1182" t="s">
        <v>4046</v>
      </c>
      <c r="P3343" s="1270"/>
      <c r="Q3343" s="1272"/>
      <c r="R3343" s="1270"/>
    </row>
    <row r="3344" spans="6:18" ht="24" customHeight="1">
      <c r="G3344" s="1114" t="s">
        <v>2851</v>
      </c>
      <c r="H3344" s="1103" t="s">
        <v>4187</v>
      </c>
      <c r="I3344" s="1103" t="s">
        <v>220</v>
      </c>
      <c r="J3344" s="1104" t="s">
        <v>2851</v>
      </c>
      <c r="K3344" s="1114">
        <v>2.6</v>
      </c>
      <c r="M3344" s="1270"/>
      <c r="N3344" s="1270"/>
      <c r="O3344" s="1318" t="s">
        <v>5354</v>
      </c>
      <c r="P3344" s="1270"/>
      <c r="Q3344" s="1272"/>
      <c r="R3344" s="1270"/>
    </row>
    <row r="3345" spans="6:18" ht="24" customHeight="1">
      <c r="J3345" s="1109"/>
      <c r="K3345" s="1111" t="s">
        <v>36</v>
      </c>
      <c r="M3345" s="1270"/>
      <c r="N3345" s="1270"/>
      <c r="O3345" s="1276" t="s">
        <v>36</v>
      </c>
      <c r="P3345" s="1270"/>
      <c r="Q3345" s="1272"/>
      <c r="R3345" s="1270"/>
    </row>
    <row r="3346" spans="6:18" ht="24" customHeight="1">
      <c r="H3346" s="1103" t="s">
        <v>3152</v>
      </c>
      <c r="J3346" s="1109"/>
      <c r="K3346" s="1114">
        <f>SUM(K3340:K3345)</f>
        <v>1094.3539999999998</v>
      </c>
      <c r="M3346" s="1270"/>
      <c r="N3346" s="1270"/>
      <c r="O3346" s="1182" t="s">
        <v>5355</v>
      </c>
      <c r="P3346" s="1273" t="s">
        <v>2793</v>
      </c>
      <c r="Q3346" s="1319">
        <v>1.734</v>
      </c>
      <c r="R3346" s="1270" t="s">
        <v>37</v>
      </c>
    </row>
    <row r="3347" spans="6:18" ht="24" customHeight="1">
      <c r="J3347" s="1109"/>
      <c r="K3347" s="1111" t="s">
        <v>36</v>
      </c>
      <c r="M3347" s="1270"/>
      <c r="N3347" s="1270"/>
      <c r="O3347" s="1182"/>
      <c r="P3347" s="1273"/>
      <c r="Q3347" s="1319"/>
      <c r="R3347" s="1270"/>
    </row>
    <row r="3348" spans="6:18" ht="24" customHeight="1">
      <c r="H3348" s="1106" t="s">
        <v>3154</v>
      </c>
      <c r="J3348" s="1109"/>
      <c r="K3348" s="1115">
        <f>(K3346/10)</f>
        <v>109.43539999999999</v>
      </c>
      <c r="M3348" s="1270"/>
      <c r="N3348" s="1270"/>
      <c r="O3348" s="1182" t="s">
        <v>5356</v>
      </c>
      <c r="P3348" s="1273" t="s">
        <v>2793</v>
      </c>
      <c r="Q3348" s="1320">
        <v>3.9E-2</v>
      </c>
      <c r="R3348" s="1270" t="s">
        <v>16</v>
      </c>
    </row>
    <row r="3349" spans="6:18" ht="24" customHeight="1">
      <c r="F3349" s="1103" t="s">
        <v>220</v>
      </c>
      <c r="J3349" s="1109"/>
      <c r="M3349" s="1270"/>
      <c r="N3349" s="1270"/>
      <c r="O3349" s="1182" t="s">
        <v>5277</v>
      </c>
      <c r="Q3349" s="1145"/>
      <c r="R3349" s="1270"/>
    </row>
    <row r="3350" spans="6:18" ht="24" customHeight="1">
      <c r="J3350" s="1105"/>
      <c r="M3350" s="1270"/>
      <c r="N3350" s="1270"/>
      <c r="O3350" s="1182" t="s">
        <v>5357</v>
      </c>
      <c r="P3350" s="1273" t="s">
        <v>2793</v>
      </c>
      <c r="Q3350" s="1321">
        <v>1.2659999999999999E-2</v>
      </c>
      <c r="R3350" s="1270"/>
    </row>
    <row r="3351" spans="6:18" ht="24" customHeight="1">
      <c r="H3351" s="1119" t="s">
        <v>5358</v>
      </c>
      <c r="J3351" s="1105"/>
      <c r="M3351" s="1270"/>
      <c r="N3351" s="1270"/>
      <c r="O3351" s="1182" t="s">
        <v>5359</v>
      </c>
      <c r="P3351" s="1273" t="s">
        <v>2793</v>
      </c>
      <c r="Q3351" s="1327">
        <v>5.6249999999999998E-3</v>
      </c>
      <c r="R3351" s="1181"/>
    </row>
    <row r="3352" spans="6:18" ht="24" customHeight="1">
      <c r="J3352" s="1105"/>
      <c r="M3352" s="1270"/>
      <c r="N3352" s="1270"/>
      <c r="O3352" s="1270"/>
      <c r="P3352" s="1270"/>
      <c r="Q3352" s="1276" t="s">
        <v>36</v>
      </c>
    </row>
    <row r="3353" spans="6:18" ht="24" customHeight="1">
      <c r="F3353" s="1105">
        <v>1.4</v>
      </c>
      <c r="G3353" s="1114" t="s">
        <v>4284</v>
      </c>
      <c r="H3353" s="1105" t="s">
        <v>4300</v>
      </c>
      <c r="I3353" s="1145">
        <f>I3366</f>
        <v>292.7</v>
      </c>
      <c r="J3353" s="1114" t="s">
        <v>4284</v>
      </c>
      <c r="K3353" s="1105">
        <f>I3353*F3353</f>
        <v>409.78</v>
      </c>
      <c r="M3353" s="1270"/>
      <c r="N3353" s="1270"/>
      <c r="O3353" s="1270"/>
      <c r="P3353" s="1270"/>
      <c r="Q3353" s="1322">
        <v>1.8290000000000001E-2</v>
      </c>
      <c r="R3353" s="1105" t="s">
        <v>16</v>
      </c>
    </row>
    <row r="3354" spans="6:18" ht="24" customHeight="1">
      <c r="F3354" s="1105">
        <v>1.5</v>
      </c>
      <c r="G3354" s="1114" t="s">
        <v>2941</v>
      </c>
      <c r="H3354" s="1105" t="s">
        <v>5360</v>
      </c>
      <c r="I3354" s="1145">
        <f>I3367</f>
        <v>688</v>
      </c>
      <c r="J3354" s="1114" t="s">
        <v>2941</v>
      </c>
      <c r="K3354" s="1105">
        <f>I3354*F3354</f>
        <v>1032</v>
      </c>
      <c r="M3354" s="1270"/>
      <c r="N3354" s="1270"/>
      <c r="O3354" s="1270"/>
      <c r="P3354" s="1270"/>
      <c r="Q3354" s="1276" t="s">
        <v>36</v>
      </c>
    </row>
    <row r="3355" spans="6:18" ht="24" customHeight="1">
      <c r="F3355" s="1105">
        <v>10</v>
      </c>
      <c r="G3355" s="1105" t="s">
        <v>37</v>
      </c>
      <c r="H3355" s="1103" t="s">
        <v>5361</v>
      </c>
      <c r="I3355" s="1145">
        <f>I3368</f>
        <v>3.65</v>
      </c>
      <c r="J3355" s="1105" t="s">
        <v>37</v>
      </c>
      <c r="K3355" s="1105">
        <f>I3355*F3355</f>
        <v>36.5</v>
      </c>
      <c r="M3355" s="1270"/>
      <c r="N3355" s="1270"/>
      <c r="O3355" s="1182" t="s">
        <v>5362</v>
      </c>
      <c r="P3355" s="1270"/>
      <c r="Q3355" s="1323">
        <v>0.4113</v>
      </c>
      <c r="R3355" s="1181"/>
    </row>
    <row r="3356" spans="6:18" ht="24" customHeight="1">
      <c r="H3356" s="1103" t="s">
        <v>5274</v>
      </c>
      <c r="I3356" s="1145" t="s">
        <v>5284</v>
      </c>
      <c r="J3356" s="1109"/>
      <c r="K3356" s="1105">
        <v>4.33</v>
      </c>
      <c r="M3356" s="1270"/>
      <c r="N3356" s="1270"/>
      <c r="O3356" s="1182" t="s">
        <v>5363</v>
      </c>
      <c r="P3356" s="1270"/>
      <c r="Q3356" s="1324">
        <v>0.19689999999999999</v>
      </c>
      <c r="R3356" s="1181"/>
    </row>
    <row r="3357" spans="6:18" ht="24" customHeight="1">
      <c r="H3357" s="1103" t="s">
        <v>3152</v>
      </c>
      <c r="J3357" s="1109"/>
      <c r="K3357" s="1105">
        <f>SUM(K3353:K3356)</f>
        <v>1482.61</v>
      </c>
      <c r="M3357" s="1270"/>
      <c r="N3357" s="1270"/>
      <c r="O3357" s="1182"/>
      <c r="P3357" s="1270"/>
      <c r="Q3357" s="1276" t="s">
        <v>36</v>
      </c>
      <c r="R3357" s="1181"/>
    </row>
    <row r="3358" spans="6:18" ht="24" customHeight="1">
      <c r="H3358" s="1106" t="s">
        <v>3154</v>
      </c>
      <c r="J3358" s="1109"/>
      <c r="K3358" s="1105">
        <f>K3357/10</f>
        <v>148.261</v>
      </c>
      <c r="M3358" s="1270"/>
      <c r="N3358" s="1270"/>
      <c r="O3358" s="1182"/>
      <c r="P3358" s="1270"/>
      <c r="Q3358" s="1325">
        <v>0.60819999999999996</v>
      </c>
      <c r="R3358" s="1275"/>
    </row>
    <row r="3359" spans="6:18" ht="24" customHeight="1">
      <c r="I3359" s="1105">
        <f>146*10</f>
        <v>1460</v>
      </c>
      <c r="J3359" s="1109"/>
      <c r="M3359" s="1270"/>
      <c r="N3359" s="1270"/>
      <c r="O3359" s="1270"/>
      <c r="P3359" s="1270"/>
      <c r="Q3359" s="1276" t="s">
        <v>36</v>
      </c>
      <c r="R3359" s="1276"/>
    </row>
    <row r="3360" spans="6:18" ht="24" customHeight="1">
      <c r="I3360" s="1105">
        <f>I3359-K3357</f>
        <v>-22.6099999999999</v>
      </c>
      <c r="J3360" s="1109"/>
      <c r="M3360" s="1181">
        <v>3.9E-2</v>
      </c>
      <c r="N3360" s="1180" t="s">
        <v>2839</v>
      </c>
      <c r="O3360" s="1182" t="s">
        <v>4062</v>
      </c>
      <c r="P3360" s="1180">
        <f>P3291</f>
        <v>111600</v>
      </c>
      <c r="Q3360" s="1183" t="s">
        <v>2839</v>
      </c>
      <c r="R3360" s="1180">
        <f>P3360*M3360</f>
        <v>4352.3999999999996</v>
      </c>
    </row>
    <row r="3361" spans="6:18" ht="24" customHeight="1">
      <c r="J3361" s="1105"/>
      <c r="M3361" s="1181">
        <v>1.8290000000000001E-2</v>
      </c>
      <c r="N3361" s="1180" t="s">
        <v>2839</v>
      </c>
      <c r="O3361" s="1182" t="s">
        <v>4064</v>
      </c>
      <c r="P3361" s="1180">
        <f>P3292</f>
        <v>99400</v>
      </c>
      <c r="Q3361" s="1183" t="s">
        <v>2839</v>
      </c>
      <c r="R3361" s="1180">
        <f t="shared" ref="R3361:R3370" si="305">P3361*M3361</f>
        <v>1818.0260000000001</v>
      </c>
    </row>
    <row r="3362" spans="6:18" ht="24" customHeight="1">
      <c r="J3362" s="1105"/>
      <c r="M3362" s="1181">
        <v>0.60819999999999996</v>
      </c>
      <c r="N3362" s="1180" t="s">
        <v>3189</v>
      </c>
      <c r="O3362" s="1103" t="s">
        <v>3207</v>
      </c>
      <c r="P3362" s="1180">
        <f>P3325</f>
        <v>387.4</v>
      </c>
      <c r="Q3362" s="1183" t="s">
        <v>2839</v>
      </c>
      <c r="R3362" s="1180">
        <f t="shared" si="305"/>
        <v>235.61667999999997</v>
      </c>
    </row>
    <row r="3363" spans="6:18" ht="24" customHeight="1">
      <c r="J3363" s="1105"/>
      <c r="M3363" s="1307">
        <v>1.734</v>
      </c>
      <c r="N3363" s="1180" t="s">
        <v>3189</v>
      </c>
      <c r="O3363" s="1182" t="s">
        <v>4059</v>
      </c>
      <c r="P3363" s="1180">
        <f>P3328</f>
        <v>1239</v>
      </c>
      <c r="Q3363" s="1183" t="s">
        <v>3189</v>
      </c>
      <c r="R3363" s="1180">
        <f t="shared" si="305"/>
        <v>2148.4259999999999</v>
      </c>
    </row>
    <row r="3364" spans="6:18" ht="24" customHeight="1">
      <c r="H3364" s="1119" t="s">
        <v>5364</v>
      </c>
      <c r="J3364" s="1105"/>
      <c r="M3364" s="1180">
        <v>2</v>
      </c>
      <c r="N3364" s="1180" t="s">
        <v>2941</v>
      </c>
      <c r="O3364" s="1182" t="s">
        <v>5288</v>
      </c>
      <c r="P3364" s="1180">
        <f t="shared" ref="P3364:P3369" si="306">P3295</f>
        <v>53.4</v>
      </c>
      <c r="Q3364" s="1183" t="s">
        <v>2838</v>
      </c>
      <c r="R3364" s="1180">
        <f t="shared" si="305"/>
        <v>106.8</v>
      </c>
    </row>
    <row r="3365" spans="6:18" ht="24" customHeight="1">
      <c r="J3365" s="1105"/>
      <c r="M3365" s="1180">
        <v>4</v>
      </c>
      <c r="N3365" s="1180" t="s">
        <v>2838</v>
      </c>
      <c r="O3365" s="1182" t="s">
        <v>4061</v>
      </c>
      <c r="P3365" s="1180">
        <f t="shared" si="306"/>
        <v>83</v>
      </c>
      <c r="Q3365" s="1183" t="s">
        <v>2838</v>
      </c>
      <c r="R3365" s="1180">
        <f t="shared" si="305"/>
        <v>332</v>
      </c>
    </row>
    <row r="3366" spans="6:18" ht="24" customHeight="1">
      <c r="F3366" s="1105">
        <v>0.8</v>
      </c>
      <c r="G3366" s="1114" t="s">
        <v>4284</v>
      </c>
      <c r="H3366" s="1105" t="s">
        <v>4300</v>
      </c>
      <c r="I3366" s="1145">
        <f>P1319</f>
        <v>292.7</v>
      </c>
      <c r="J3366" s="1114" t="s">
        <v>4284</v>
      </c>
      <c r="K3366" s="1105">
        <f>I3366*F3366</f>
        <v>234.16</v>
      </c>
      <c r="M3366" s="1180">
        <v>2</v>
      </c>
      <c r="N3366" s="1180" t="s">
        <v>2838</v>
      </c>
      <c r="O3366" s="1182" t="s">
        <v>5310</v>
      </c>
      <c r="P3366" s="1180">
        <f t="shared" si="306"/>
        <v>90.6</v>
      </c>
      <c r="Q3366" s="1183" t="s">
        <v>2838</v>
      </c>
      <c r="R3366" s="1180">
        <f t="shared" si="305"/>
        <v>181.2</v>
      </c>
    </row>
    <row r="3367" spans="6:18" ht="24" customHeight="1">
      <c r="F3367" s="1105">
        <v>0.7</v>
      </c>
      <c r="G3367" s="1114" t="s">
        <v>2941</v>
      </c>
      <c r="H3367" s="1105" t="s">
        <v>5360</v>
      </c>
      <c r="I3367" s="1105">
        <f>I3341</f>
        <v>688</v>
      </c>
      <c r="J3367" s="1114" t="s">
        <v>2941</v>
      </c>
      <c r="K3367" s="1105">
        <f>I3367*F3367</f>
        <v>481.59999999999997</v>
      </c>
      <c r="M3367" s="1180">
        <v>1</v>
      </c>
      <c r="N3367" s="1180" t="s">
        <v>2838</v>
      </c>
      <c r="O3367" s="1182" t="s">
        <v>5311</v>
      </c>
      <c r="P3367" s="1180">
        <f t="shared" si="306"/>
        <v>194.4</v>
      </c>
      <c r="Q3367" s="1183" t="s">
        <v>2838</v>
      </c>
      <c r="R3367" s="1180">
        <f t="shared" si="305"/>
        <v>194.4</v>
      </c>
    </row>
    <row r="3368" spans="6:18" ht="24" customHeight="1">
      <c r="F3368" s="1105">
        <v>10</v>
      </c>
      <c r="G3368" s="1105" t="s">
        <v>37</v>
      </c>
      <c r="H3368" s="1103" t="s">
        <v>5361</v>
      </c>
      <c r="I3368" s="1105">
        <f>I3185</f>
        <v>3.65</v>
      </c>
      <c r="J3368" s="1105" t="s">
        <v>37</v>
      </c>
      <c r="K3368" s="1105">
        <f>I3368*F3368</f>
        <v>36.5</v>
      </c>
      <c r="M3368" s="1180">
        <v>1</v>
      </c>
      <c r="N3368" s="1180" t="s">
        <v>2838</v>
      </c>
      <c r="O3368" s="1182" t="s">
        <v>5312</v>
      </c>
      <c r="P3368" s="1180">
        <f t="shared" si="306"/>
        <v>22.9</v>
      </c>
      <c r="Q3368" s="1183" t="s">
        <v>2838</v>
      </c>
      <c r="R3368" s="1180">
        <f t="shared" si="305"/>
        <v>22.9</v>
      </c>
    </row>
    <row r="3369" spans="6:18" ht="24" customHeight="1">
      <c r="H3369" s="1103" t="s">
        <v>5274</v>
      </c>
      <c r="I3369" s="1145" t="s">
        <v>5284</v>
      </c>
      <c r="J3369" s="1109"/>
      <c r="K3369" s="1105">
        <v>1.6</v>
      </c>
      <c r="M3369" s="1180">
        <v>1</v>
      </c>
      <c r="N3369" s="1180" t="s">
        <v>2838</v>
      </c>
      <c r="O3369" s="1182" t="s">
        <v>5313</v>
      </c>
      <c r="P3369" s="1180">
        <f t="shared" si="306"/>
        <v>45.9</v>
      </c>
      <c r="Q3369" s="1183" t="s">
        <v>2838</v>
      </c>
      <c r="R3369" s="1180">
        <f t="shared" si="305"/>
        <v>45.9</v>
      </c>
    </row>
    <row r="3370" spans="6:18" ht="24" customHeight="1">
      <c r="H3370" s="1103" t="s">
        <v>3152</v>
      </c>
      <c r="J3370" s="1109"/>
      <c r="K3370" s="1105">
        <f>SUM(K3366:K3369)</f>
        <v>753.86</v>
      </c>
      <c r="M3370" s="1180">
        <v>58</v>
      </c>
      <c r="N3370" s="1180" t="s">
        <v>2838</v>
      </c>
      <c r="O3370" s="1270" t="s">
        <v>5243</v>
      </c>
      <c r="P3370" s="1270">
        <f>P3335</f>
        <v>2.39</v>
      </c>
      <c r="Q3370" s="1183" t="s">
        <v>2838</v>
      </c>
      <c r="R3370" s="1180">
        <f t="shared" si="305"/>
        <v>138.62</v>
      </c>
    </row>
    <row r="3371" spans="6:18" ht="24" customHeight="1">
      <c r="H3371" s="1106" t="s">
        <v>3154</v>
      </c>
      <c r="J3371" s="1109"/>
      <c r="K3371" s="1105">
        <f>K3370/10</f>
        <v>75.385999999999996</v>
      </c>
      <c r="M3371" s="1270"/>
      <c r="N3371" s="1270"/>
      <c r="O3371" s="1270"/>
      <c r="P3371" s="1270"/>
      <c r="Q3371" s="1272"/>
      <c r="R3371" s="1276" t="s">
        <v>36</v>
      </c>
    </row>
    <row r="3372" spans="6:18" ht="24" customHeight="1">
      <c r="M3372" s="1270"/>
      <c r="N3372" s="1270"/>
      <c r="O3372" s="1182" t="s">
        <v>5365</v>
      </c>
      <c r="P3372" s="1270"/>
      <c r="Q3372" s="1272"/>
      <c r="R3372" s="1180">
        <f>SUM(R3360:R3370)</f>
        <v>9576.2886799999997</v>
      </c>
    </row>
    <row r="3373" spans="6:18" ht="24" customHeight="1">
      <c r="M3373" s="1270"/>
      <c r="N3373" s="1270"/>
      <c r="O3373" s="1270"/>
      <c r="P3373" s="1270"/>
      <c r="Q3373" s="1272"/>
      <c r="R3373" s="1276" t="s">
        <v>36</v>
      </c>
    </row>
    <row r="3374" spans="6:18" ht="24" customHeight="1">
      <c r="F3374" s="1270"/>
      <c r="G3374" s="1270"/>
      <c r="H3374" s="1182"/>
      <c r="I3374" s="1273"/>
      <c r="J3374" s="1319"/>
      <c r="K3374" s="1270"/>
      <c r="M3374" s="1270"/>
      <c r="N3374" s="1270"/>
      <c r="O3374" s="1281" t="s">
        <v>3154</v>
      </c>
      <c r="P3374" s="1270"/>
      <c r="Q3374" s="1274" t="s">
        <v>5076</v>
      </c>
      <c r="R3374" s="1282">
        <f>R3372/M3363</f>
        <v>5522.6578316032292</v>
      </c>
    </row>
    <row r="3375" spans="6:18" ht="24" customHeight="1">
      <c r="F3375" s="1270"/>
      <c r="G3375" s="1270"/>
      <c r="H3375" s="1182" t="s">
        <v>5356</v>
      </c>
      <c r="I3375" s="1273" t="s">
        <v>2793</v>
      </c>
      <c r="J3375" s="1320">
        <v>3.9E-2</v>
      </c>
      <c r="K3375" s="1270" t="s">
        <v>16</v>
      </c>
      <c r="Q3375" s="1107"/>
      <c r="R3375" s="1111" t="s">
        <v>2793</v>
      </c>
    </row>
    <row r="3376" spans="6:18" ht="24" customHeight="1">
      <c r="F3376" s="1270"/>
      <c r="G3376" s="1270"/>
      <c r="H3376" s="1182" t="s">
        <v>5277</v>
      </c>
      <c r="J3376" s="1145"/>
      <c r="K3376" s="1270"/>
      <c r="M3376" s="1183"/>
      <c r="N3376" s="1180" t="s">
        <v>1363</v>
      </c>
      <c r="O3376" s="1182" t="s">
        <v>5353</v>
      </c>
      <c r="P3376" s="1270"/>
      <c r="Q3376" s="1272"/>
      <c r="R3376" s="1270"/>
    </row>
    <row r="3377" spans="6:18" ht="24" customHeight="1">
      <c r="F3377" s="1270"/>
      <c r="G3377" s="1270"/>
      <c r="H3377" s="1182" t="s">
        <v>5366</v>
      </c>
      <c r="I3377" s="1273" t="s">
        <v>2793</v>
      </c>
      <c r="J3377" s="1321">
        <v>1.519E-2</v>
      </c>
      <c r="K3377" s="1270"/>
      <c r="M3377" s="1270"/>
      <c r="N3377" s="1270"/>
      <c r="O3377" s="1182" t="s">
        <v>4046</v>
      </c>
      <c r="P3377" s="1270"/>
      <c r="Q3377" s="1272"/>
      <c r="R3377" s="1270"/>
    </row>
    <row r="3378" spans="6:18" ht="24" customHeight="1">
      <c r="F3378" s="1270"/>
      <c r="G3378" s="1270"/>
      <c r="H3378" s="1182" t="s">
        <v>5367</v>
      </c>
      <c r="I3378" s="1273" t="s">
        <v>2793</v>
      </c>
      <c r="J3378" s="1327">
        <v>6.7499999999999999E-3</v>
      </c>
      <c r="K3378" s="1181"/>
      <c r="M3378" s="1270"/>
      <c r="N3378" s="1270"/>
      <c r="O3378" s="1318" t="s">
        <v>5368</v>
      </c>
      <c r="P3378" s="1270"/>
      <c r="Q3378" s="1272"/>
      <c r="R3378" s="1270"/>
    </row>
    <row r="3379" spans="6:18" ht="24" customHeight="1">
      <c r="F3379" s="1270"/>
      <c r="G3379" s="1270"/>
      <c r="H3379" s="1270"/>
      <c r="I3379" s="1270"/>
      <c r="J3379" s="1276" t="s">
        <v>36</v>
      </c>
      <c r="M3379" s="1270"/>
      <c r="N3379" s="1270"/>
      <c r="O3379" s="1276" t="s">
        <v>36</v>
      </c>
      <c r="P3379" s="1270"/>
      <c r="Q3379" s="1272"/>
      <c r="R3379" s="1270"/>
    </row>
    <row r="3380" spans="6:18" ht="24" customHeight="1">
      <c r="F3380" s="1270"/>
      <c r="G3380" s="1270"/>
      <c r="H3380" s="1270"/>
      <c r="I3380" s="1270"/>
      <c r="J3380" s="1322">
        <v>2.1940000000000001E-2</v>
      </c>
      <c r="K3380" s="1105" t="s">
        <v>16</v>
      </c>
      <c r="M3380" s="1270"/>
      <c r="N3380" s="1270"/>
      <c r="O3380" s="1182" t="s">
        <v>5369</v>
      </c>
      <c r="P3380" s="1273" t="s">
        <v>2793</v>
      </c>
      <c r="Q3380" s="1319">
        <v>2.081</v>
      </c>
      <c r="R3380" s="1270" t="s">
        <v>37</v>
      </c>
    </row>
    <row r="3381" spans="6:18" ht="24" customHeight="1">
      <c r="F3381" s="1270"/>
      <c r="G3381" s="1270"/>
      <c r="H3381" s="1270"/>
      <c r="I3381" s="1270"/>
      <c r="J3381" s="1276" t="s">
        <v>36</v>
      </c>
      <c r="M3381" s="1270"/>
      <c r="N3381" s="1270"/>
      <c r="O3381" s="1182"/>
      <c r="P3381" s="1273"/>
      <c r="Q3381" s="1319"/>
      <c r="R3381" s="1270"/>
    </row>
    <row r="3382" spans="6:18" ht="24" customHeight="1">
      <c r="F3382" s="1270"/>
      <c r="G3382" s="1270"/>
      <c r="H3382" s="1182" t="s">
        <v>5341</v>
      </c>
      <c r="I3382" s="1270"/>
      <c r="J3382" s="1323">
        <v>0.58750000000000002</v>
      </c>
      <c r="K3382" s="1181"/>
      <c r="M3382" s="1270"/>
      <c r="N3382" s="1270"/>
      <c r="O3382" s="1182" t="s">
        <v>5356</v>
      </c>
      <c r="P3382" s="1273" t="s">
        <v>2793</v>
      </c>
      <c r="Q3382" s="1320">
        <v>3.9E-2</v>
      </c>
      <c r="R3382" s="1270" t="s">
        <v>16</v>
      </c>
    </row>
    <row r="3383" spans="6:18" ht="24" customHeight="1">
      <c r="F3383" s="1270"/>
      <c r="G3383" s="1270"/>
      <c r="H3383" s="1182" t="s">
        <v>5342</v>
      </c>
      <c r="I3383" s="1270"/>
      <c r="J3383" s="1324">
        <v>0.28129999999999999</v>
      </c>
      <c r="K3383" s="1181"/>
      <c r="M3383" s="1270"/>
      <c r="N3383" s="1270"/>
      <c r="O3383" s="1182" t="s">
        <v>5277</v>
      </c>
      <c r="Q3383" s="1145"/>
      <c r="R3383" s="1270"/>
    </row>
    <row r="3384" spans="6:18" ht="24" customHeight="1">
      <c r="F3384" s="1270"/>
      <c r="G3384" s="1270"/>
      <c r="H3384" s="1182"/>
      <c r="I3384" s="1270"/>
      <c r="J3384" s="1276" t="s">
        <v>36</v>
      </c>
      <c r="K3384" s="1181"/>
      <c r="M3384" s="1270"/>
      <c r="N3384" s="1270"/>
      <c r="O3384" s="1182" t="s">
        <v>5366</v>
      </c>
      <c r="P3384" s="1273" t="s">
        <v>2793</v>
      </c>
      <c r="Q3384" s="1321">
        <v>1.519E-2</v>
      </c>
      <c r="R3384" s="1270"/>
    </row>
    <row r="3385" spans="6:18" ht="24" customHeight="1">
      <c r="F3385" s="1270"/>
      <c r="G3385" s="1270"/>
      <c r="H3385" s="1182"/>
      <c r="I3385" s="1270"/>
      <c r="J3385" s="1325">
        <v>0.86880000000000002</v>
      </c>
      <c r="K3385" s="1275"/>
      <c r="M3385" s="1270"/>
      <c r="N3385" s="1270"/>
      <c r="O3385" s="1182" t="s">
        <v>5367</v>
      </c>
      <c r="P3385" s="1273" t="s">
        <v>2793</v>
      </c>
      <c r="Q3385" s="1327">
        <v>6.7499999999999999E-3</v>
      </c>
      <c r="R3385" s="1181"/>
    </row>
    <row r="3386" spans="6:18" ht="24" customHeight="1">
      <c r="F3386" s="1270"/>
      <c r="G3386" s="1270"/>
      <c r="H3386" s="1270"/>
      <c r="I3386" s="1270"/>
      <c r="J3386" s="1276" t="s">
        <v>36</v>
      </c>
      <c r="K3386" s="1276"/>
      <c r="M3386" s="1270"/>
      <c r="N3386" s="1270"/>
      <c r="O3386" s="1270"/>
      <c r="P3386" s="1270"/>
      <c r="Q3386" s="1276" t="s">
        <v>36</v>
      </c>
    </row>
    <row r="3387" spans="6:18" ht="24" customHeight="1">
      <c r="F3387" s="1181">
        <v>3.9E-2</v>
      </c>
      <c r="G3387" s="1180" t="s">
        <v>2839</v>
      </c>
      <c r="H3387" s="1182" t="s">
        <v>4062</v>
      </c>
      <c r="I3387" s="1180">
        <f>C88</f>
        <v>111600</v>
      </c>
      <c r="J3387" s="1183" t="s">
        <v>2839</v>
      </c>
      <c r="K3387" s="1180">
        <v>2868.26</v>
      </c>
      <c r="M3387" s="1270"/>
      <c r="N3387" s="1270"/>
      <c r="O3387" s="1270"/>
      <c r="P3387" s="1270"/>
      <c r="Q3387" s="1322">
        <v>2.1940000000000001E-2</v>
      </c>
      <c r="R3387" s="1105" t="s">
        <v>16</v>
      </c>
    </row>
    <row r="3388" spans="6:18" ht="24" customHeight="1">
      <c r="F3388" s="1181">
        <v>2.1940000000000001E-2</v>
      </c>
      <c r="G3388" s="1180" t="s">
        <v>2839</v>
      </c>
      <c r="H3388" s="1182" t="s">
        <v>4064</v>
      </c>
      <c r="I3388" s="1180">
        <f>C89</f>
        <v>99400</v>
      </c>
      <c r="J3388" s="1183" t="s">
        <v>2839</v>
      </c>
      <c r="K3388" s="1180">
        <v>1435.86</v>
      </c>
      <c r="M3388" s="1270"/>
      <c r="N3388" s="1270"/>
      <c r="O3388" s="1270"/>
      <c r="P3388" s="1270"/>
      <c r="Q3388" s="1276" t="s">
        <v>36</v>
      </c>
    </row>
    <row r="3389" spans="6:18" ht="24" customHeight="1">
      <c r="F3389" s="1181">
        <v>0.86880000000000002</v>
      </c>
      <c r="G3389" s="1180" t="s">
        <v>3189</v>
      </c>
      <c r="H3389" s="1103" t="s">
        <v>3207</v>
      </c>
      <c r="I3389" s="1180">
        <f>C784</f>
        <v>0</v>
      </c>
      <c r="J3389" s="1183" t="s">
        <v>2839</v>
      </c>
      <c r="K3389" s="1180">
        <v>336.66</v>
      </c>
      <c r="M3389" s="1270"/>
      <c r="N3389" s="1270"/>
      <c r="O3389" s="1182" t="s">
        <v>5341</v>
      </c>
      <c r="P3389" s="1270"/>
      <c r="Q3389" s="1323">
        <v>0.58750000000000002</v>
      </c>
      <c r="R3389" s="1181"/>
    </row>
    <row r="3390" spans="6:18" ht="24" customHeight="1">
      <c r="F3390" s="1307">
        <v>2.081</v>
      </c>
      <c r="G3390" s="1180" t="s">
        <v>3189</v>
      </c>
      <c r="H3390" s="1182" t="s">
        <v>4059</v>
      </c>
      <c r="I3390" s="1180">
        <v>363</v>
      </c>
      <c r="J3390" s="1183" t="s">
        <v>3189</v>
      </c>
      <c r="K3390" s="1180">
        <v>755.4</v>
      </c>
      <c r="M3390" s="1270"/>
      <c r="N3390" s="1270"/>
      <c r="O3390" s="1182" t="s">
        <v>5342</v>
      </c>
      <c r="P3390" s="1270"/>
      <c r="Q3390" s="1324">
        <v>0.28129999999999999</v>
      </c>
      <c r="R3390" s="1181"/>
    </row>
    <row r="3391" spans="6:18" ht="24" customHeight="1">
      <c r="F3391" s="1180">
        <v>2</v>
      </c>
      <c r="G3391" s="1180" t="s">
        <v>2941</v>
      </c>
      <c r="H3391" s="1182" t="s">
        <v>5370</v>
      </c>
      <c r="I3391" s="1180">
        <f t="shared" ref="I3391:I3396" si="307">I3322</f>
        <v>53.4</v>
      </c>
      <c r="J3391" s="1183" t="s">
        <v>2838</v>
      </c>
      <c r="K3391" s="1180">
        <v>84</v>
      </c>
      <c r="M3391" s="1270"/>
      <c r="N3391" s="1270"/>
      <c r="O3391" s="1182"/>
      <c r="P3391" s="1270"/>
      <c r="Q3391" s="1276" t="s">
        <v>36</v>
      </c>
      <c r="R3391" s="1181"/>
    </row>
    <row r="3392" spans="6:18" ht="24" customHeight="1">
      <c r="F3392" s="1180">
        <v>4</v>
      </c>
      <c r="G3392" s="1180" t="s">
        <v>2838</v>
      </c>
      <c r="H3392" s="1182" t="s">
        <v>5371</v>
      </c>
      <c r="I3392" s="1180">
        <f t="shared" si="307"/>
        <v>83</v>
      </c>
      <c r="J3392" s="1183" t="s">
        <v>2838</v>
      </c>
      <c r="K3392" s="1180">
        <v>232</v>
      </c>
      <c r="M3392" s="1270"/>
      <c r="N3392" s="1270"/>
      <c r="O3392" s="1182"/>
      <c r="P3392" s="1270"/>
      <c r="Q3392" s="1325">
        <v>0.86880000000000002</v>
      </c>
      <c r="R3392" s="1275"/>
    </row>
    <row r="3393" spans="6:18" ht="24" customHeight="1">
      <c r="F3393" s="1180">
        <v>2</v>
      </c>
      <c r="G3393" s="1180" t="s">
        <v>2838</v>
      </c>
      <c r="H3393" s="1182" t="s">
        <v>5372</v>
      </c>
      <c r="I3393" s="1180">
        <f t="shared" si="307"/>
        <v>90.6</v>
      </c>
      <c r="J3393" s="1183" t="s">
        <v>2838</v>
      </c>
      <c r="K3393" s="1180">
        <v>126</v>
      </c>
      <c r="M3393" s="1270"/>
      <c r="N3393" s="1270"/>
      <c r="O3393" s="1270"/>
      <c r="P3393" s="1270"/>
      <c r="Q3393" s="1276" t="s">
        <v>36</v>
      </c>
      <c r="R3393" s="1276"/>
    </row>
    <row r="3394" spans="6:18" ht="24" customHeight="1">
      <c r="F3394" s="1180">
        <v>1</v>
      </c>
      <c r="G3394" s="1180" t="s">
        <v>2838</v>
      </c>
      <c r="H3394" s="1182" t="s">
        <v>5373</v>
      </c>
      <c r="I3394" s="1180">
        <f t="shared" si="307"/>
        <v>194.4</v>
      </c>
      <c r="J3394" s="1183" t="s">
        <v>2838</v>
      </c>
      <c r="K3394" s="1180">
        <v>152</v>
      </c>
      <c r="M3394" s="1181">
        <v>3.9E-2</v>
      </c>
      <c r="N3394" s="1180" t="s">
        <v>2839</v>
      </c>
      <c r="O3394" s="1182" t="s">
        <v>4062</v>
      </c>
      <c r="P3394" s="1180">
        <f>P3291</f>
        <v>111600</v>
      </c>
      <c r="Q3394" s="1183" t="s">
        <v>2839</v>
      </c>
      <c r="R3394" s="1180">
        <f>P3394*M3394</f>
        <v>4352.3999999999996</v>
      </c>
    </row>
    <row r="3395" spans="6:18" ht="24" customHeight="1">
      <c r="F3395" s="1180">
        <v>1</v>
      </c>
      <c r="G3395" s="1180" t="s">
        <v>2838</v>
      </c>
      <c r="H3395" s="1182" t="s">
        <v>5312</v>
      </c>
      <c r="I3395" s="1180">
        <f t="shared" si="307"/>
        <v>22.9</v>
      </c>
      <c r="J3395" s="1183" t="s">
        <v>2838</v>
      </c>
      <c r="K3395" s="1180">
        <v>20</v>
      </c>
      <c r="M3395" s="1181">
        <v>2.1940000000000001E-2</v>
      </c>
      <c r="N3395" s="1180" t="s">
        <v>2839</v>
      </c>
      <c r="O3395" s="1182" t="s">
        <v>4064</v>
      </c>
      <c r="P3395" s="1180">
        <f>P3292</f>
        <v>99400</v>
      </c>
      <c r="Q3395" s="1183" t="s">
        <v>2839</v>
      </c>
      <c r="R3395" s="1180">
        <f t="shared" ref="R3395:R3404" si="308">P3395*M3395</f>
        <v>2180.8360000000002</v>
      </c>
    </row>
    <row r="3396" spans="6:18" ht="24" customHeight="1">
      <c r="F3396" s="1180">
        <v>1</v>
      </c>
      <c r="G3396" s="1180" t="s">
        <v>2838</v>
      </c>
      <c r="H3396" s="1182" t="s">
        <v>5313</v>
      </c>
      <c r="I3396" s="1180">
        <f t="shared" si="307"/>
        <v>45.9</v>
      </c>
      <c r="J3396" s="1183" t="s">
        <v>2838</v>
      </c>
      <c r="K3396" s="1180">
        <v>37</v>
      </c>
      <c r="M3396" s="1181">
        <v>0.86880000000000002</v>
      </c>
      <c r="N3396" s="1180" t="s">
        <v>3189</v>
      </c>
      <c r="O3396" s="1103" t="s">
        <v>3207</v>
      </c>
      <c r="P3396" s="1180">
        <f>P3362</f>
        <v>387.4</v>
      </c>
      <c r="Q3396" s="1183" t="s">
        <v>2839</v>
      </c>
      <c r="R3396" s="1180">
        <f t="shared" si="308"/>
        <v>336.57311999999996</v>
      </c>
    </row>
    <row r="3397" spans="6:18" ht="24" customHeight="1">
      <c r="F3397" s="1270"/>
      <c r="G3397" s="1270"/>
      <c r="H3397" s="1270" t="s">
        <v>5243</v>
      </c>
      <c r="I3397" s="1270"/>
      <c r="J3397" s="1272"/>
      <c r="K3397" s="1329"/>
      <c r="M3397" s="1307">
        <v>2.081</v>
      </c>
      <c r="N3397" s="1180" t="s">
        <v>3189</v>
      </c>
      <c r="O3397" s="1182" t="s">
        <v>4059</v>
      </c>
      <c r="P3397" s="1180">
        <f>P3294</f>
        <v>1105</v>
      </c>
      <c r="Q3397" s="1183" t="s">
        <v>3189</v>
      </c>
      <c r="R3397" s="1180">
        <f t="shared" si="308"/>
        <v>2299.5050000000001</v>
      </c>
    </row>
    <row r="3398" spans="6:18" ht="24" customHeight="1">
      <c r="F3398" s="1270"/>
      <c r="G3398" s="1270"/>
      <c r="H3398" s="1270"/>
      <c r="I3398" s="1270"/>
      <c r="J3398" s="1272"/>
      <c r="K3398" s="1276" t="s">
        <v>36</v>
      </c>
      <c r="M3398" s="1180">
        <v>2</v>
      </c>
      <c r="N3398" s="1180" t="s">
        <v>2941</v>
      </c>
      <c r="O3398" s="1182" t="s">
        <v>5288</v>
      </c>
      <c r="P3398" s="1180">
        <f t="shared" ref="P3398:P3403" si="309">P3295</f>
        <v>53.4</v>
      </c>
      <c r="Q3398" s="1183" t="s">
        <v>2838</v>
      </c>
      <c r="R3398" s="1180">
        <f t="shared" si="308"/>
        <v>106.8</v>
      </c>
    </row>
    <row r="3399" spans="6:18" ht="24" customHeight="1">
      <c r="F3399" s="1270"/>
      <c r="G3399" s="1270"/>
      <c r="H3399" s="1182" t="s">
        <v>5374</v>
      </c>
      <c r="I3399" s="1270"/>
      <c r="J3399" s="1272"/>
      <c r="K3399" s="1180">
        <v>6067.81</v>
      </c>
      <c r="M3399" s="1180">
        <v>4</v>
      </c>
      <c r="N3399" s="1180" t="s">
        <v>2838</v>
      </c>
      <c r="O3399" s="1182" t="s">
        <v>4061</v>
      </c>
      <c r="P3399" s="1180">
        <f t="shared" si="309"/>
        <v>83</v>
      </c>
      <c r="Q3399" s="1183" t="s">
        <v>2838</v>
      </c>
      <c r="R3399" s="1180">
        <f t="shared" si="308"/>
        <v>332</v>
      </c>
    </row>
    <row r="3400" spans="6:18" ht="24" customHeight="1">
      <c r="F3400" s="1270"/>
      <c r="G3400" s="1270"/>
      <c r="H3400" s="1270"/>
      <c r="I3400" s="1270"/>
      <c r="J3400" s="1272"/>
      <c r="K3400" s="1276" t="s">
        <v>36</v>
      </c>
      <c r="M3400" s="1180">
        <v>2</v>
      </c>
      <c r="N3400" s="1180" t="s">
        <v>2838</v>
      </c>
      <c r="O3400" s="1182" t="s">
        <v>5310</v>
      </c>
      <c r="P3400" s="1180">
        <f t="shared" si="309"/>
        <v>90.6</v>
      </c>
      <c r="Q3400" s="1183" t="s">
        <v>2838</v>
      </c>
      <c r="R3400" s="1180">
        <f t="shared" si="308"/>
        <v>181.2</v>
      </c>
    </row>
    <row r="3401" spans="6:18" ht="24" customHeight="1">
      <c r="F3401" s="1270"/>
      <c r="G3401" s="1270"/>
      <c r="H3401" s="1281" t="s">
        <v>3154</v>
      </c>
      <c r="I3401" s="1270"/>
      <c r="J3401" s="1274" t="s">
        <v>5076</v>
      </c>
      <c r="K3401" s="1282">
        <v>2915.81</v>
      </c>
      <c r="M3401" s="1180">
        <v>1</v>
      </c>
      <c r="N3401" s="1180" t="s">
        <v>2838</v>
      </c>
      <c r="O3401" s="1182" t="s">
        <v>5311</v>
      </c>
      <c r="P3401" s="1180">
        <f t="shared" si="309"/>
        <v>194.4</v>
      </c>
      <c r="Q3401" s="1183" t="s">
        <v>2838</v>
      </c>
      <c r="R3401" s="1180">
        <f t="shared" si="308"/>
        <v>194.4</v>
      </c>
    </row>
    <row r="3402" spans="6:18" ht="24" customHeight="1">
      <c r="K3402" s="1111" t="s">
        <v>2793</v>
      </c>
      <c r="M3402" s="1180">
        <v>1</v>
      </c>
      <c r="N3402" s="1180" t="s">
        <v>2838</v>
      </c>
      <c r="O3402" s="1182" t="s">
        <v>5312</v>
      </c>
      <c r="P3402" s="1180">
        <f t="shared" si="309"/>
        <v>22.9</v>
      </c>
      <c r="Q3402" s="1183" t="s">
        <v>2838</v>
      </c>
      <c r="R3402" s="1180">
        <f t="shared" si="308"/>
        <v>22.9</v>
      </c>
    </row>
    <row r="3403" spans="6:18" ht="24" customHeight="1">
      <c r="M3403" s="1180">
        <v>1</v>
      </c>
      <c r="N3403" s="1180" t="s">
        <v>2838</v>
      </c>
      <c r="O3403" s="1182" t="s">
        <v>5313</v>
      </c>
      <c r="P3403" s="1180">
        <f t="shared" si="309"/>
        <v>45.9</v>
      </c>
      <c r="Q3403" s="1183" t="s">
        <v>2838</v>
      </c>
      <c r="R3403" s="1180">
        <f t="shared" si="308"/>
        <v>45.9</v>
      </c>
    </row>
    <row r="3404" spans="6:18" ht="24" customHeight="1">
      <c r="M3404" s="1180">
        <v>58</v>
      </c>
      <c r="N3404" s="1180" t="s">
        <v>2838</v>
      </c>
      <c r="O3404" s="1270" t="s">
        <v>5243</v>
      </c>
      <c r="P3404" s="1270">
        <f>P3370</f>
        <v>2.39</v>
      </c>
      <c r="Q3404" s="1272"/>
      <c r="R3404" s="1180">
        <f t="shared" si="308"/>
        <v>138.62</v>
      </c>
    </row>
    <row r="3405" spans="6:18" ht="24" customHeight="1">
      <c r="M3405" s="1270"/>
      <c r="N3405" s="1270"/>
      <c r="O3405" s="1270"/>
      <c r="P3405" s="1270"/>
      <c r="Q3405" s="1272"/>
      <c r="R3405" s="1276" t="s">
        <v>36</v>
      </c>
    </row>
    <row r="3406" spans="6:18" ht="24" customHeight="1">
      <c r="H3406" s="1243" t="s">
        <v>1974</v>
      </c>
      <c r="I3406" s="1243"/>
      <c r="M3406" s="1270"/>
      <c r="N3406" s="1270"/>
      <c r="O3406" s="1182" t="s">
        <v>5374</v>
      </c>
      <c r="P3406" s="1270"/>
      <c r="Q3406" s="1272"/>
      <c r="R3406" s="1180">
        <f>SUM(R3394:R3404)</f>
        <v>10191.134119999999</v>
      </c>
    </row>
    <row r="3407" spans="6:18" ht="24" customHeight="1">
      <c r="M3407" s="1270"/>
      <c r="N3407" s="1270"/>
      <c r="O3407" s="1270"/>
      <c r="P3407" s="1270"/>
      <c r="Q3407" s="1272"/>
      <c r="R3407" s="1276" t="s">
        <v>36</v>
      </c>
    </row>
    <row r="3408" spans="6:18" ht="24" customHeight="1">
      <c r="F3408" s="1105" t="s">
        <v>5375</v>
      </c>
      <c r="I3408" s="1250">
        <f>2*0.95*2.325</f>
        <v>4.4175000000000004</v>
      </c>
      <c r="M3408" s="1270"/>
      <c r="N3408" s="1270"/>
      <c r="O3408" s="1281" t="s">
        <v>3154</v>
      </c>
      <c r="P3408" s="1270"/>
      <c r="Q3408" s="1274" t="s">
        <v>5076</v>
      </c>
      <c r="R3408" s="1282">
        <f>R3406/M3397</f>
        <v>4897.2292743873131</v>
      </c>
    </row>
    <row r="3409" spans="6:18" ht="24" customHeight="1">
      <c r="F3409" s="1105" t="s">
        <v>5376</v>
      </c>
      <c r="I3409" s="1250">
        <f>2*2*2.325*0.075*0.0375</f>
        <v>2.6156249999999999E-2</v>
      </c>
      <c r="Q3409" s="1107"/>
      <c r="R3409" s="1111" t="s">
        <v>2793</v>
      </c>
    </row>
    <row r="3410" spans="6:18" ht="24" customHeight="1">
      <c r="F3410" s="1105" t="s">
        <v>5023</v>
      </c>
      <c r="I3410" s="1148">
        <f>2*3*0.95*0.15*0.0375</f>
        <v>3.2062499999999994E-2</v>
      </c>
    </row>
    <row r="3411" spans="6:18" ht="24" customHeight="1">
      <c r="F3411" s="1105" t="s">
        <v>129</v>
      </c>
      <c r="G3411" s="1105" t="s">
        <v>5377</v>
      </c>
      <c r="I3411" s="1148">
        <f>2*2*0.95*0.075*0.0375</f>
        <v>1.0687499999999999E-2</v>
      </c>
      <c r="O3411" s="1119"/>
      <c r="Q3411" s="1107"/>
    </row>
    <row r="3412" spans="6:18" ht="24" customHeight="1">
      <c r="I3412" s="1251">
        <f>SUM(I3410:I3411)</f>
        <v>4.2749999999999996E-2</v>
      </c>
    </row>
    <row r="3415" spans="6:18" ht="24" customHeight="1">
      <c r="F3415" s="1105" t="s">
        <v>5378</v>
      </c>
      <c r="I3415" s="1148">
        <f>2*4*0.825*0.36*0.01875</f>
        <v>4.4549999999999999E-2</v>
      </c>
    </row>
    <row r="3416" spans="6:18" ht="24" customHeight="1">
      <c r="F3416" s="1105" t="s">
        <v>5379</v>
      </c>
      <c r="I3416" s="1148">
        <f>2*0.825*0.36*0.01875</f>
        <v>1.11375E-2</v>
      </c>
    </row>
    <row r="3417" spans="6:18" ht="24" customHeight="1">
      <c r="I3417" s="1251">
        <f>SUM(I3415:I3416)</f>
        <v>5.5687500000000001E-2</v>
      </c>
    </row>
    <row r="3418" spans="6:18" ht="24" customHeight="1">
      <c r="H3418" s="1119" t="s">
        <v>5019</v>
      </c>
      <c r="M3418" s="1183"/>
      <c r="N3418" s="1180" t="s">
        <v>1363</v>
      </c>
      <c r="O3418" s="1182" t="s">
        <v>5296</v>
      </c>
      <c r="P3418" s="1270"/>
      <c r="Q3418" s="1272"/>
      <c r="R3418" s="1270"/>
    </row>
    <row r="3419" spans="6:18" ht="24" customHeight="1">
      <c r="M3419" s="1270"/>
      <c r="N3419" s="1270"/>
      <c r="O3419" s="1182" t="s">
        <v>4046</v>
      </c>
      <c r="P3419" s="1270"/>
      <c r="Q3419" s="1272"/>
      <c r="R3419" s="1270"/>
    </row>
    <row r="3420" spans="6:18" ht="24" customHeight="1">
      <c r="F3420" s="1148">
        <f>I3409</f>
        <v>2.6156249999999999E-2</v>
      </c>
      <c r="G3420" s="1105" t="s">
        <v>2839</v>
      </c>
      <c r="H3420" s="1105" t="s">
        <v>5020</v>
      </c>
      <c r="I3420" s="1105">
        <f>I2633</f>
        <v>111600</v>
      </c>
      <c r="J3420" s="1107" t="s">
        <v>2839</v>
      </c>
      <c r="K3420" s="1105">
        <f>F3420*I3420</f>
        <v>2919.0374999999999</v>
      </c>
      <c r="M3420" s="1270"/>
      <c r="N3420" s="1270"/>
      <c r="O3420" s="1318" t="s">
        <v>5314</v>
      </c>
      <c r="P3420" s="1270"/>
      <c r="Q3420" s="1272"/>
      <c r="R3420" s="1270"/>
    </row>
    <row r="3421" spans="6:18" ht="24" customHeight="1">
      <c r="F3421" s="1148">
        <f>I3412</f>
        <v>4.2749999999999996E-2</v>
      </c>
      <c r="G3421" s="1105" t="s">
        <v>2839</v>
      </c>
      <c r="H3421" s="1105" t="s">
        <v>4150</v>
      </c>
      <c r="I3421" s="1105">
        <f>I2634</f>
        <v>99400</v>
      </c>
      <c r="J3421" s="1107" t="s">
        <v>2839</v>
      </c>
      <c r="K3421" s="1105">
        <f t="shared" ref="K3421:K3430" si="310">F3421*I3421</f>
        <v>4249.3499999999995</v>
      </c>
      <c r="M3421" s="1270"/>
      <c r="N3421" s="1270"/>
      <c r="O3421" s="1276" t="s">
        <v>36</v>
      </c>
      <c r="P3421" s="1270"/>
      <c r="Q3421" s="1272"/>
      <c r="R3421" s="1270"/>
    </row>
    <row r="3422" spans="6:18" ht="24" customHeight="1">
      <c r="F3422" s="1165">
        <f>I3417</f>
        <v>5.5687500000000001E-2</v>
      </c>
      <c r="G3422" s="1105" t="s">
        <v>2839</v>
      </c>
      <c r="H3422" s="1105" t="s">
        <v>5380</v>
      </c>
      <c r="I3422" s="1105">
        <f>I2635</f>
        <v>107000</v>
      </c>
      <c r="J3422" s="1107" t="s">
        <v>2839</v>
      </c>
      <c r="K3422" s="1105">
        <f t="shared" si="310"/>
        <v>5958.5625</v>
      </c>
      <c r="M3422" s="1270"/>
      <c r="N3422" s="1270"/>
      <c r="O3422" s="1182" t="s">
        <v>5315</v>
      </c>
      <c r="P3422" s="1273" t="s">
        <v>2793</v>
      </c>
      <c r="Q3422" s="1319">
        <v>2.4279999999999999</v>
      </c>
      <c r="R3422" s="1270" t="s">
        <v>37</v>
      </c>
    </row>
    <row r="3423" spans="6:18" ht="24" customHeight="1">
      <c r="F3423" s="1148">
        <f>I3408</f>
        <v>4.4175000000000004</v>
      </c>
      <c r="G3423" s="1105" t="s">
        <v>3189</v>
      </c>
      <c r="H3423" s="1105" t="s">
        <v>4152</v>
      </c>
      <c r="I3423" s="1105">
        <f>I2636</f>
        <v>1325</v>
      </c>
      <c r="J3423" s="1107" t="s">
        <v>3189</v>
      </c>
      <c r="K3423" s="1105">
        <f t="shared" si="310"/>
        <v>5853.1875000000009</v>
      </c>
      <c r="M3423" s="1270"/>
      <c r="N3423" s="1270"/>
      <c r="O3423" s="1182"/>
      <c r="P3423" s="1273"/>
      <c r="Q3423" s="1319"/>
      <c r="R3423" s="1270"/>
    </row>
    <row r="3424" spans="6:18" ht="24" customHeight="1">
      <c r="F3424" s="1105">
        <v>2</v>
      </c>
      <c r="G3424" s="1105" t="s">
        <v>4154</v>
      </c>
      <c r="H3424" s="1105" t="s">
        <v>5044</v>
      </c>
      <c r="I3424" s="1105">
        <v>450</v>
      </c>
      <c r="J3424" s="1107" t="s">
        <v>522</v>
      </c>
      <c r="K3424" s="1105">
        <f t="shared" si="310"/>
        <v>900</v>
      </c>
      <c r="M3424" s="1270"/>
      <c r="N3424" s="1270"/>
      <c r="O3424" s="1182" t="s">
        <v>5276</v>
      </c>
      <c r="P3424" s="1273" t="s">
        <v>2793</v>
      </c>
      <c r="Q3424" s="1320">
        <v>5.1999999999999998E-2</v>
      </c>
      <c r="R3424" s="1270" t="s">
        <v>16</v>
      </c>
    </row>
    <row r="3425" spans="6:18" ht="24" customHeight="1">
      <c r="F3425" s="1105">
        <v>6</v>
      </c>
      <c r="G3425" s="1105" t="s">
        <v>4154</v>
      </c>
      <c r="H3425" s="1105" t="s">
        <v>5045</v>
      </c>
      <c r="I3425" s="1105">
        <v>79</v>
      </c>
      <c r="J3425" s="1107" t="s">
        <v>522</v>
      </c>
      <c r="K3425" s="1105">
        <f t="shared" si="310"/>
        <v>474</v>
      </c>
      <c r="M3425" s="1270"/>
      <c r="N3425" s="1270"/>
      <c r="O3425" s="1182" t="s">
        <v>5277</v>
      </c>
      <c r="Q3425" s="1145"/>
      <c r="R3425" s="1270"/>
    </row>
    <row r="3426" spans="6:18" ht="24" customHeight="1">
      <c r="F3426" s="1105">
        <v>4</v>
      </c>
      <c r="G3426" s="1105" t="s">
        <v>4154</v>
      </c>
      <c r="H3426" s="1105" t="s">
        <v>5046</v>
      </c>
      <c r="I3426" s="1105">
        <v>130</v>
      </c>
      <c r="J3426" s="1107" t="s">
        <v>522</v>
      </c>
      <c r="K3426" s="1105">
        <f t="shared" si="310"/>
        <v>520</v>
      </c>
      <c r="M3426" s="1270"/>
      <c r="N3426" s="1270"/>
      <c r="O3426" s="1182" t="s">
        <v>5318</v>
      </c>
      <c r="P3426" s="1273" t="s">
        <v>2793</v>
      </c>
      <c r="Q3426" s="1321">
        <v>1.772E-2</v>
      </c>
      <c r="R3426" s="1270"/>
    </row>
    <row r="3427" spans="6:18" ht="24" customHeight="1">
      <c r="F3427" s="1105">
        <v>1</v>
      </c>
      <c r="G3427" s="1105" t="s">
        <v>4154</v>
      </c>
      <c r="H3427" s="1105" t="s">
        <v>5047</v>
      </c>
      <c r="I3427" s="1105">
        <v>985</v>
      </c>
      <c r="J3427" s="1107" t="s">
        <v>522</v>
      </c>
      <c r="K3427" s="1105">
        <f t="shared" si="310"/>
        <v>985</v>
      </c>
      <c r="M3427" s="1270"/>
      <c r="N3427" s="1270"/>
      <c r="O3427" s="1182" t="s">
        <v>5319</v>
      </c>
      <c r="P3427" s="1273" t="s">
        <v>2793</v>
      </c>
      <c r="Q3427" s="1327">
        <v>7.8750000000000001E-3</v>
      </c>
      <c r="R3427" s="1181"/>
    </row>
    <row r="3428" spans="6:18" ht="24" customHeight="1">
      <c r="F3428" s="1105">
        <v>2</v>
      </c>
      <c r="G3428" s="1105" t="s">
        <v>4154</v>
      </c>
      <c r="H3428" s="1105" t="s">
        <v>5051</v>
      </c>
      <c r="I3428" s="1105">
        <v>21.5</v>
      </c>
      <c r="J3428" s="1107" t="s">
        <v>522</v>
      </c>
      <c r="K3428" s="1105">
        <f t="shared" si="310"/>
        <v>43</v>
      </c>
      <c r="M3428" s="1270"/>
      <c r="N3428" s="1270"/>
      <c r="O3428" s="1270"/>
      <c r="P3428" s="1270"/>
      <c r="Q3428" s="1276" t="s">
        <v>36</v>
      </c>
    </row>
    <row r="3429" spans="6:18" ht="24" customHeight="1">
      <c r="F3429" s="1105">
        <v>2</v>
      </c>
      <c r="G3429" s="1105" t="s">
        <v>4154</v>
      </c>
      <c r="H3429" s="1105" t="s">
        <v>3214</v>
      </c>
      <c r="I3429" s="1105">
        <f>I3396</f>
        <v>45.9</v>
      </c>
      <c r="J3429" s="1107" t="s">
        <v>522</v>
      </c>
      <c r="K3429" s="1105">
        <f t="shared" si="310"/>
        <v>91.8</v>
      </c>
      <c r="M3429" s="1270"/>
      <c r="N3429" s="1270"/>
      <c r="O3429" s="1270"/>
      <c r="P3429" s="1270"/>
      <c r="Q3429" s="1322">
        <v>2.5600000000000001E-2</v>
      </c>
      <c r="R3429" s="1105" t="s">
        <v>16</v>
      </c>
    </row>
    <row r="3430" spans="6:18" ht="24" customHeight="1">
      <c r="F3430" s="1108">
        <v>130</v>
      </c>
      <c r="G3430" s="1105" t="s">
        <v>4154</v>
      </c>
      <c r="H3430" s="1105" t="s">
        <v>4087</v>
      </c>
      <c r="I3430" s="1105">
        <f>I3328</f>
        <v>2.39</v>
      </c>
      <c r="K3430" s="1105">
        <f t="shared" si="310"/>
        <v>310.7</v>
      </c>
      <c r="M3430" s="1270"/>
      <c r="N3430" s="1270"/>
      <c r="O3430" s="1270"/>
      <c r="P3430" s="1270"/>
      <c r="Q3430" s="1276" t="s">
        <v>36</v>
      </c>
    </row>
    <row r="3431" spans="6:18" ht="24" customHeight="1">
      <c r="K3431" s="1132"/>
      <c r="M3431" s="1270"/>
      <c r="N3431" s="1270"/>
      <c r="O3431" s="1182" t="s">
        <v>5381</v>
      </c>
      <c r="P3431" s="1270"/>
      <c r="Q3431" s="1251">
        <v>0.58750000000000002</v>
      </c>
      <c r="R3431" s="1309" t="s">
        <v>37</v>
      </c>
    </row>
    <row r="3432" spans="6:18" ht="24" customHeight="1">
      <c r="G3432" s="1119"/>
      <c r="H3432" s="1119" t="s">
        <v>5382</v>
      </c>
      <c r="K3432" s="1119">
        <f>SUM(K3420:K3431)</f>
        <v>22304.637500000001</v>
      </c>
      <c r="M3432" s="1270"/>
      <c r="N3432" s="1270"/>
      <c r="O3432" s="1182" t="s">
        <v>5383</v>
      </c>
      <c r="P3432" s="1270"/>
      <c r="Q3432" s="1325">
        <v>5.3E-3</v>
      </c>
      <c r="R3432" s="1309" t="s">
        <v>16</v>
      </c>
    </row>
    <row r="3433" spans="6:18" ht="24" customHeight="1">
      <c r="G3433" s="1119"/>
      <c r="K3433" s="1132" t="s">
        <v>4164</v>
      </c>
      <c r="M3433" s="1270"/>
      <c r="N3433" s="1270"/>
      <c r="O3433" s="1182" t="s">
        <v>5384</v>
      </c>
      <c r="P3433" s="1270"/>
      <c r="Q3433" s="1325">
        <v>6.7</v>
      </c>
      <c r="R3433" s="1309" t="s">
        <v>61</v>
      </c>
    </row>
    <row r="3434" spans="6:18" ht="24" customHeight="1">
      <c r="G3434" s="1119"/>
      <c r="H3434" s="1119" t="s">
        <v>3154</v>
      </c>
      <c r="K3434" s="1119">
        <f>K3432/F3423</f>
        <v>5049.1539332201464</v>
      </c>
      <c r="M3434" s="1270"/>
      <c r="N3434" s="1270"/>
      <c r="O3434" s="1270"/>
      <c r="P3434" s="1270"/>
      <c r="Q3434" s="1276"/>
      <c r="R3434" s="1276"/>
    </row>
    <row r="3435" spans="6:18" ht="24" customHeight="1">
      <c r="J3435" s="1105"/>
      <c r="M3435" s="1181">
        <v>5.1999999999999998E-2</v>
      </c>
      <c r="N3435" s="1180" t="s">
        <v>2839</v>
      </c>
      <c r="O3435" s="1182" t="s">
        <v>4062</v>
      </c>
      <c r="P3435" s="1180">
        <f>P3221</f>
        <v>111600</v>
      </c>
      <c r="Q3435" s="1183" t="s">
        <v>2839</v>
      </c>
      <c r="R3435" s="1180">
        <f>P3435*M3435</f>
        <v>5803.2</v>
      </c>
    </row>
    <row r="3436" spans="6:18" ht="24" customHeight="1">
      <c r="M3436" s="1181">
        <v>2.5600000000000001E-2</v>
      </c>
      <c r="N3436" s="1180" t="s">
        <v>2839</v>
      </c>
      <c r="O3436" s="1182" t="s">
        <v>4064</v>
      </c>
      <c r="P3436" s="1180">
        <f>P3222</f>
        <v>99400</v>
      </c>
      <c r="Q3436" s="1183" t="s">
        <v>2839</v>
      </c>
      <c r="R3436" s="1180">
        <f t="shared" ref="R3436:R3448" si="311">P3436*M3436</f>
        <v>2544.6400000000003</v>
      </c>
    </row>
    <row r="3437" spans="6:18" ht="24" customHeight="1">
      <c r="M3437" s="1181">
        <v>5.3E-3</v>
      </c>
      <c r="N3437" s="1180" t="s">
        <v>2839</v>
      </c>
      <c r="O3437" s="1182" t="s">
        <v>5285</v>
      </c>
      <c r="P3437" s="1180">
        <f>P3223</f>
        <v>101921.4</v>
      </c>
      <c r="Q3437" s="1183" t="s">
        <v>2839</v>
      </c>
      <c r="R3437" s="1180">
        <f t="shared" si="311"/>
        <v>540.18341999999996</v>
      </c>
    </row>
    <row r="3438" spans="6:18" ht="24" customHeight="1">
      <c r="M3438" s="1307"/>
      <c r="N3438" s="1270"/>
      <c r="O3438" s="1182" t="s">
        <v>4139</v>
      </c>
      <c r="P3438" s="1180"/>
      <c r="Q3438" s="1272"/>
      <c r="R3438" s="1180">
        <f t="shared" si="311"/>
        <v>0</v>
      </c>
    </row>
    <row r="3439" spans="6:18" ht="24" customHeight="1">
      <c r="M3439" s="1307">
        <v>0.58750000000000002</v>
      </c>
      <c r="N3439" s="1180" t="s">
        <v>3189</v>
      </c>
      <c r="O3439" s="1182" t="s">
        <v>5347</v>
      </c>
      <c r="P3439" s="1180">
        <f>P3225</f>
        <v>359</v>
      </c>
      <c r="Q3439" s="1272" t="s">
        <v>3189</v>
      </c>
      <c r="R3439" s="1180">
        <f t="shared" si="311"/>
        <v>210.91249999999999</v>
      </c>
    </row>
    <row r="3440" spans="6:18" ht="24" customHeight="1">
      <c r="M3440" s="1307">
        <v>6.7</v>
      </c>
      <c r="N3440" s="1180" t="s">
        <v>1790</v>
      </c>
      <c r="O3440" s="1182" t="s">
        <v>5348</v>
      </c>
      <c r="P3440" s="1180">
        <f>P3226</f>
        <v>15.3</v>
      </c>
      <c r="Q3440" s="1272" t="s">
        <v>61</v>
      </c>
      <c r="R3440" s="1180">
        <f t="shared" si="311"/>
        <v>102.51</v>
      </c>
    </row>
    <row r="3441" spans="6:18" ht="24" customHeight="1">
      <c r="M3441" s="1307">
        <v>2.4279999999999999</v>
      </c>
      <c r="N3441" s="1180" t="s">
        <v>3189</v>
      </c>
      <c r="O3441" s="1182" t="s">
        <v>4059</v>
      </c>
      <c r="P3441" s="1180">
        <f>P3227</f>
        <v>1239</v>
      </c>
      <c r="Q3441" s="1183" t="s">
        <v>3189</v>
      </c>
      <c r="R3441" s="1180">
        <f t="shared" si="311"/>
        <v>3008.2919999999999</v>
      </c>
    </row>
    <row r="3442" spans="6:18" ht="55.5" customHeight="1">
      <c r="M3442" s="1180">
        <v>4</v>
      </c>
      <c r="N3442" s="1180" t="s">
        <v>2941</v>
      </c>
      <c r="O3442" s="1182" t="s">
        <v>5288</v>
      </c>
      <c r="P3442" s="1180">
        <f t="shared" ref="P3442:P3447" si="312">P3228</f>
        <v>53.4</v>
      </c>
      <c r="Q3442" s="1183" t="s">
        <v>2838</v>
      </c>
      <c r="R3442" s="1180">
        <f t="shared" si="311"/>
        <v>213.6</v>
      </c>
    </row>
    <row r="3443" spans="6:18" ht="24" customHeight="1">
      <c r="M3443" s="1180">
        <v>8</v>
      </c>
      <c r="N3443" s="1180" t="s">
        <v>2838</v>
      </c>
      <c r="O3443" s="1182" t="s">
        <v>4061</v>
      </c>
      <c r="P3443" s="1180">
        <f t="shared" si="312"/>
        <v>83</v>
      </c>
      <c r="Q3443" s="1183" t="s">
        <v>2838</v>
      </c>
      <c r="R3443" s="1180">
        <f t="shared" si="311"/>
        <v>664</v>
      </c>
    </row>
    <row r="3444" spans="6:18" ht="24" customHeight="1">
      <c r="M3444" s="1180">
        <v>4</v>
      </c>
      <c r="N3444" s="1180" t="s">
        <v>2838</v>
      </c>
      <c r="O3444" s="1182" t="s">
        <v>5310</v>
      </c>
      <c r="P3444" s="1180">
        <f t="shared" si="312"/>
        <v>90.6</v>
      </c>
      <c r="Q3444" s="1183" t="s">
        <v>2838</v>
      </c>
      <c r="R3444" s="1180">
        <f t="shared" si="311"/>
        <v>362.4</v>
      </c>
    </row>
    <row r="3445" spans="6:18" ht="24" customHeight="1">
      <c r="M3445" s="1180">
        <v>1</v>
      </c>
      <c r="N3445" s="1180" t="s">
        <v>2838</v>
      </c>
      <c r="O3445" s="1182" t="s">
        <v>5311</v>
      </c>
      <c r="P3445" s="1180">
        <f t="shared" si="312"/>
        <v>194.4</v>
      </c>
      <c r="Q3445" s="1183" t="s">
        <v>2838</v>
      </c>
      <c r="R3445" s="1180">
        <f t="shared" si="311"/>
        <v>194.4</v>
      </c>
    </row>
    <row r="3446" spans="6:18" ht="24" customHeight="1">
      <c r="M3446" s="1180">
        <v>2</v>
      </c>
      <c r="N3446" s="1180" t="s">
        <v>2838</v>
      </c>
      <c r="O3446" s="1182" t="s">
        <v>5312</v>
      </c>
      <c r="P3446" s="1180">
        <f t="shared" si="312"/>
        <v>22.9</v>
      </c>
      <c r="Q3446" s="1183" t="s">
        <v>2838</v>
      </c>
      <c r="R3446" s="1180">
        <f t="shared" si="311"/>
        <v>45.8</v>
      </c>
    </row>
    <row r="3447" spans="6:18" ht="24" customHeight="1">
      <c r="M3447" s="1180">
        <v>2</v>
      </c>
      <c r="N3447" s="1180" t="s">
        <v>2838</v>
      </c>
      <c r="O3447" s="1182" t="s">
        <v>5313</v>
      </c>
      <c r="P3447" s="1180">
        <f t="shared" si="312"/>
        <v>45.9</v>
      </c>
      <c r="Q3447" s="1183" t="s">
        <v>2838</v>
      </c>
      <c r="R3447" s="1180">
        <f t="shared" si="311"/>
        <v>91.8</v>
      </c>
    </row>
    <row r="3448" spans="6:18" ht="24" customHeight="1">
      <c r="M3448" s="1270">
        <v>118</v>
      </c>
      <c r="N3448" s="1180" t="s">
        <v>2838</v>
      </c>
      <c r="O3448" s="1270" t="s">
        <v>5243</v>
      </c>
      <c r="P3448" s="1270">
        <f>P3404</f>
        <v>2.39</v>
      </c>
      <c r="Q3448" s="1183" t="s">
        <v>2838</v>
      </c>
      <c r="R3448" s="1180">
        <f t="shared" si="311"/>
        <v>282.02000000000004</v>
      </c>
    </row>
    <row r="3449" spans="6:18" ht="24" customHeight="1">
      <c r="M3449" s="1270"/>
      <c r="N3449" s="1270"/>
      <c r="O3449" s="1270"/>
      <c r="P3449" s="1270"/>
      <c r="Q3449" s="1272"/>
      <c r="R3449" s="1276" t="s">
        <v>36</v>
      </c>
    </row>
    <row r="3450" spans="6:18" ht="24" customHeight="1">
      <c r="F3450" s="1131">
        <v>29.5</v>
      </c>
      <c r="G3450" s="1114" t="s">
        <v>1363</v>
      </c>
      <c r="H3450" s="1103" t="s">
        <v>5385</v>
      </c>
      <c r="J3450" s="1109"/>
      <c r="M3450" s="1270"/>
      <c r="N3450" s="1270"/>
      <c r="O3450" s="1182" t="s">
        <v>5337</v>
      </c>
      <c r="P3450" s="1270"/>
      <c r="Q3450" s="1272"/>
      <c r="R3450" s="1180">
        <f>SUM(R3435:R3449)</f>
        <v>14063.757919999998</v>
      </c>
    </row>
    <row r="3451" spans="6:18" ht="24" customHeight="1">
      <c r="H3451" s="1103" t="s">
        <v>5386</v>
      </c>
      <c r="J3451" s="1109"/>
      <c r="M3451" s="1270"/>
      <c r="N3451" s="1270"/>
      <c r="O3451" s="1270"/>
      <c r="P3451" s="1270"/>
      <c r="Q3451" s="1272"/>
      <c r="R3451" s="1276" t="s">
        <v>36</v>
      </c>
    </row>
    <row r="3452" spans="6:18" ht="24" customHeight="1">
      <c r="H3452" s="1103" t="s">
        <v>4255</v>
      </c>
      <c r="J3452" s="1109"/>
      <c r="M3452" s="1270"/>
      <c r="N3452" s="1270"/>
      <c r="O3452" s="1281" t="s">
        <v>3154</v>
      </c>
      <c r="P3452" s="1270"/>
      <c r="Q3452" s="1274" t="s">
        <v>5076</v>
      </c>
      <c r="R3452" s="1282">
        <f>R3450/M3441</f>
        <v>5792.3220428336072</v>
      </c>
    </row>
    <row r="3453" spans="6:18" ht="24" customHeight="1">
      <c r="H3453" s="1111" t="s">
        <v>36</v>
      </c>
      <c r="I3453" s="1111" t="s">
        <v>36</v>
      </c>
      <c r="J3453" s="1109"/>
      <c r="K3453" s="1114"/>
    </row>
    <row r="3454" spans="6:18" ht="24" customHeight="1">
      <c r="F3454" s="1114">
        <v>10</v>
      </c>
      <c r="G3454" s="1114" t="s">
        <v>3189</v>
      </c>
      <c r="H3454" s="1106" t="s">
        <v>5387</v>
      </c>
      <c r="I3454" s="1113">
        <v>412</v>
      </c>
      <c r="J3454" s="1104" t="s">
        <v>3189</v>
      </c>
      <c r="K3454" s="1114">
        <f>F3454*I3454</f>
        <v>4120</v>
      </c>
    </row>
    <row r="3455" spans="6:18" ht="24" customHeight="1">
      <c r="F3455" s="1114">
        <v>0.21</v>
      </c>
      <c r="G3455" s="1114" t="s">
        <v>2839</v>
      </c>
      <c r="H3455" s="1103" t="s">
        <v>4223</v>
      </c>
      <c r="I3455" s="1114">
        <f>K32</f>
        <v>4795.8599999999997</v>
      </c>
      <c r="J3455" s="1104" t="s">
        <v>2839</v>
      </c>
      <c r="K3455" s="1114">
        <f>(F3455*I3455)</f>
        <v>1007.1305999999998</v>
      </c>
    </row>
    <row r="3456" spans="6:18" ht="24" customHeight="1">
      <c r="H3456" s="1103" t="s">
        <v>4228</v>
      </c>
      <c r="I3456" s="1114"/>
      <c r="J3456" s="1109"/>
      <c r="K3456" s="1103" t="s">
        <v>220</v>
      </c>
      <c r="M3456" s="1131">
        <v>29.5</v>
      </c>
      <c r="N3456" s="1114" t="s">
        <v>1363</v>
      </c>
      <c r="O3456" s="1103" t="s">
        <v>5385</v>
      </c>
      <c r="Q3456" s="1109"/>
    </row>
    <row r="3457" spans="6:18" ht="24" customHeight="1">
      <c r="F3457" s="1114">
        <v>1.1000000000000001</v>
      </c>
      <c r="G3457" s="1114" t="s">
        <v>2941</v>
      </c>
      <c r="H3457" s="1103" t="s">
        <v>3051</v>
      </c>
      <c r="I3457" s="1114">
        <f>C10</f>
        <v>861</v>
      </c>
      <c r="J3457" s="1104" t="s">
        <v>2941</v>
      </c>
      <c r="K3457" s="1114">
        <f>(F3457*I3457)</f>
        <v>947.1</v>
      </c>
      <c r="O3457" s="1103" t="s">
        <v>5386</v>
      </c>
      <c r="Q3457" s="1109"/>
    </row>
    <row r="3458" spans="6:18" ht="24" customHeight="1">
      <c r="F3458" s="1114">
        <v>1.1000000000000001</v>
      </c>
      <c r="G3458" s="1114" t="s">
        <v>2941</v>
      </c>
      <c r="H3458" s="1103" t="s">
        <v>3017</v>
      </c>
      <c r="I3458" s="1114">
        <f>C11</f>
        <v>804</v>
      </c>
      <c r="J3458" s="1104" t="s">
        <v>2941</v>
      </c>
      <c r="K3458" s="1114">
        <f>(F3458*I3458)</f>
        <v>884.40000000000009</v>
      </c>
      <c r="O3458" s="1103" t="s">
        <v>4255</v>
      </c>
      <c r="Q3458" s="1109"/>
    </row>
    <row r="3459" spans="6:18" ht="24" customHeight="1">
      <c r="F3459" s="1114">
        <v>2.2000000000000002</v>
      </c>
      <c r="G3459" s="1114" t="s">
        <v>2941</v>
      </c>
      <c r="H3459" s="1103" t="s">
        <v>3020</v>
      </c>
      <c r="I3459" s="1114">
        <f>C12</f>
        <v>562</v>
      </c>
      <c r="J3459" s="1104" t="s">
        <v>2941</v>
      </c>
      <c r="K3459" s="1114">
        <f>(F3459*I3459)</f>
        <v>1236.4000000000001</v>
      </c>
      <c r="O3459" s="1111" t="s">
        <v>36</v>
      </c>
      <c r="P3459" s="1111" t="s">
        <v>36</v>
      </c>
      <c r="Q3459" s="1109"/>
      <c r="R3459" s="1114"/>
    </row>
    <row r="3460" spans="6:18" ht="24" customHeight="1">
      <c r="F3460" s="1114">
        <v>2.2000000000000002</v>
      </c>
      <c r="G3460" s="1114" t="s">
        <v>2941</v>
      </c>
      <c r="H3460" s="1103" t="s">
        <v>3026</v>
      </c>
      <c r="I3460" s="1114">
        <f>C13</f>
        <v>461</v>
      </c>
      <c r="J3460" s="1104" t="s">
        <v>2941</v>
      </c>
      <c r="K3460" s="1114">
        <f>(F3460*I3460)</f>
        <v>1014.2</v>
      </c>
      <c r="M3460" s="1114">
        <v>10</v>
      </c>
      <c r="N3460" s="1114" t="s">
        <v>3189</v>
      </c>
      <c r="O3460" s="1106" t="s">
        <v>5387</v>
      </c>
      <c r="P3460" s="1113">
        <f>I3454</f>
        <v>412</v>
      </c>
      <c r="Q3460" s="1104" t="s">
        <v>3189</v>
      </c>
      <c r="R3460" s="1114">
        <f>P3460*M3460</f>
        <v>4120</v>
      </c>
    </row>
    <row r="3461" spans="6:18" ht="24" customHeight="1">
      <c r="F3461" s="1128">
        <v>20</v>
      </c>
      <c r="G3461" s="1114" t="s">
        <v>165</v>
      </c>
      <c r="H3461" s="1103" t="s">
        <v>2830</v>
      </c>
      <c r="I3461" s="1114">
        <f>AC31</f>
        <v>5960</v>
      </c>
      <c r="J3461" s="1104" t="s">
        <v>197</v>
      </c>
      <c r="K3461" s="1114">
        <f>(F3461*I3461)/1000</f>
        <v>119.2</v>
      </c>
      <c r="M3461" s="1114">
        <v>0.21</v>
      </c>
      <c r="N3461" s="1114" t="s">
        <v>2839</v>
      </c>
      <c r="O3461" s="1103" t="s">
        <v>4223</v>
      </c>
      <c r="P3461" s="1113">
        <f t="shared" ref="P3461:P3471" si="313">I3455</f>
        <v>4795.8599999999997</v>
      </c>
      <c r="Q3461" s="1104" t="s">
        <v>2839</v>
      </c>
      <c r="R3461" s="1114">
        <f t="shared" ref="R3461:R3471" si="314">P3461*M3461</f>
        <v>1007.1305999999998</v>
      </c>
    </row>
    <row r="3462" spans="6:18" ht="24" customHeight="1">
      <c r="F3462" s="1128">
        <v>2</v>
      </c>
      <c r="G3462" s="1114" t="s">
        <v>165</v>
      </c>
      <c r="H3462" s="1103" t="s">
        <v>4234</v>
      </c>
      <c r="I3462" s="1114">
        <f>I1256</f>
        <v>36.1</v>
      </c>
      <c r="J3462" s="1104" t="s">
        <v>165</v>
      </c>
      <c r="K3462" s="1114">
        <f>(F3462*I3462)</f>
        <v>72.2</v>
      </c>
      <c r="O3462" s="1103" t="s">
        <v>4228</v>
      </c>
      <c r="P3462" s="1113">
        <f t="shared" si="313"/>
        <v>0</v>
      </c>
      <c r="Q3462" s="1109"/>
      <c r="R3462" s="1114">
        <f t="shared" si="314"/>
        <v>0</v>
      </c>
    </row>
    <row r="3463" spans="6:18" ht="24" customHeight="1">
      <c r="F3463" s="1114">
        <v>1.6</v>
      </c>
      <c r="G3463" s="1114" t="s">
        <v>2941</v>
      </c>
      <c r="H3463" s="1103" t="s">
        <v>3017</v>
      </c>
      <c r="I3463" s="1114">
        <f>I3458</f>
        <v>804</v>
      </c>
      <c r="J3463" s="1104" t="s">
        <v>2941</v>
      </c>
      <c r="K3463" s="1114">
        <f>(F3463*I3463)</f>
        <v>1286.4000000000001</v>
      </c>
      <c r="M3463" s="1114">
        <v>1.1000000000000001</v>
      </c>
      <c r="N3463" s="1114" t="s">
        <v>2941</v>
      </c>
      <c r="O3463" s="1103" t="s">
        <v>3051</v>
      </c>
      <c r="P3463" s="1113">
        <f t="shared" si="313"/>
        <v>861</v>
      </c>
      <c r="Q3463" s="1104" t="s">
        <v>2941</v>
      </c>
      <c r="R3463" s="1114">
        <f t="shared" si="314"/>
        <v>947.1</v>
      </c>
    </row>
    <row r="3464" spans="6:18" ht="24" customHeight="1">
      <c r="F3464" s="1114">
        <v>0.5</v>
      </c>
      <c r="G3464" s="1114" t="s">
        <v>2941</v>
      </c>
      <c r="H3464" s="1103" t="s">
        <v>3020</v>
      </c>
      <c r="I3464" s="1114">
        <f>I3459</f>
        <v>562</v>
      </c>
      <c r="J3464" s="1104" t="s">
        <v>2941</v>
      </c>
      <c r="K3464" s="1114">
        <f>(F3464*I3464)</f>
        <v>281</v>
      </c>
      <c r="M3464" s="1114">
        <v>1.1000000000000001</v>
      </c>
      <c r="N3464" s="1114" t="s">
        <v>2941</v>
      </c>
      <c r="O3464" s="1103" t="s">
        <v>3017</v>
      </c>
      <c r="P3464" s="1113">
        <f t="shared" si="313"/>
        <v>804</v>
      </c>
      <c r="Q3464" s="1104" t="s">
        <v>2941</v>
      </c>
      <c r="R3464" s="1114">
        <f t="shared" si="314"/>
        <v>884.40000000000009</v>
      </c>
    </row>
    <row r="3465" spans="6:18" ht="24" customHeight="1">
      <c r="F3465" s="1114">
        <v>1.1000000000000001</v>
      </c>
      <c r="G3465" s="1114" t="s">
        <v>2941</v>
      </c>
      <c r="H3465" s="1103" t="s">
        <v>3026</v>
      </c>
      <c r="I3465" s="1114">
        <f>I3460</f>
        <v>461</v>
      </c>
      <c r="J3465" s="1104" t="s">
        <v>2941</v>
      </c>
      <c r="K3465" s="1114">
        <f>(F3465*I3465)</f>
        <v>507.1</v>
      </c>
      <c r="M3465" s="1114">
        <v>2.2000000000000002</v>
      </c>
      <c r="N3465" s="1114" t="s">
        <v>2941</v>
      </c>
      <c r="O3465" s="1103" t="s">
        <v>3020</v>
      </c>
      <c r="P3465" s="1113">
        <f t="shared" si="313"/>
        <v>562</v>
      </c>
      <c r="Q3465" s="1104" t="s">
        <v>2941</v>
      </c>
      <c r="R3465" s="1114">
        <f t="shared" si="314"/>
        <v>1236.4000000000001</v>
      </c>
    </row>
    <row r="3466" spans="6:18" ht="24" customHeight="1">
      <c r="G3466" s="1114" t="s">
        <v>2851</v>
      </c>
      <c r="H3466" s="1103" t="s">
        <v>2852</v>
      </c>
      <c r="I3466" s="1114">
        <f>I1262</f>
        <v>0</v>
      </c>
      <c r="J3466" s="1104" t="s">
        <v>2851</v>
      </c>
      <c r="K3466" s="1114">
        <v>0</v>
      </c>
      <c r="M3466" s="1114">
        <v>2.2000000000000002</v>
      </c>
      <c r="N3466" s="1114" t="s">
        <v>2941</v>
      </c>
      <c r="O3466" s="1103" t="s">
        <v>3026</v>
      </c>
      <c r="P3466" s="1113">
        <f t="shared" si="313"/>
        <v>461</v>
      </c>
      <c r="Q3466" s="1104" t="s">
        <v>2941</v>
      </c>
      <c r="R3466" s="1114">
        <f t="shared" si="314"/>
        <v>1014.2</v>
      </c>
    </row>
    <row r="3467" spans="6:18" ht="24" customHeight="1">
      <c r="J3467" s="1109"/>
      <c r="K3467" s="1111" t="s">
        <v>36</v>
      </c>
      <c r="M3467" s="1128">
        <v>20</v>
      </c>
      <c r="N3467" s="1114" t="s">
        <v>165</v>
      </c>
      <c r="O3467" s="1103" t="s">
        <v>2830</v>
      </c>
      <c r="P3467" s="1113">
        <f t="shared" si="313"/>
        <v>5960</v>
      </c>
      <c r="Q3467" s="1104" t="s">
        <v>197</v>
      </c>
      <c r="R3467" s="1114">
        <f>P3467*M3467/1000</f>
        <v>119.2</v>
      </c>
    </row>
    <row r="3468" spans="6:18" ht="24" customHeight="1">
      <c r="H3468" s="1103" t="s">
        <v>3152</v>
      </c>
      <c r="J3468" s="1109"/>
      <c r="K3468" s="1114">
        <f>SUM(K3454:K3466)</f>
        <v>11475.130600000002</v>
      </c>
      <c r="M3468" s="1128">
        <v>2</v>
      </c>
      <c r="N3468" s="1114" t="s">
        <v>165</v>
      </c>
      <c r="O3468" s="1103" t="s">
        <v>5388</v>
      </c>
      <c r="P3468" s="1113">
        <f>I3644</f>
        <v>24.7</v>
      </c>
      <c r="Q3468" s="1104" t="s">
        <v>165</v>
      </c>
      <c r="R3468" s="1114">
        <f t="shared" si="314"/>
        <v>49.4</v>
      </c>
    </row>
    <row r="3469" spans="6:18" ht="24" customHeight="1">
      <c r="J3469" s="1109"/>
      <c r="K3469" s="1111" t="s">
        <v>36</v>
      </c>
      <c r="M3469" s="1114">
        <v>1.6</v>
      </c>
      <c r="N3469" s="1114" t="s">
        <v>2941</v>
      </c>
      <c r="O3469" s="1103" t="s">
        <v>3017</v>
      </c>
      <c r="P3469" s="1113">
        <f t="shared" si="313"/>
        <v>804</v>
      </c>
      <c r="Q3469" s="1104" t="s">
        <v>2941</v>
      </c>
      <c r="R3469" s="1114">
        <f t="shared" si="314"/>
        <v>1286.4000000000001</v>
      </c>
    </row>
    <row r="3470" spans="6:18" ht="24" customHeight="1">
      <c r="H3470" s="1103" t="s">
        <v>3154</v>
      </c>
      <c r="J3470" s="1109"/>
      <c r="K3470" s="1115">
        <f>(K3468/10)</f>
        <v>1147.5130600000002</v>
      </c>
      <c r="M3470" s="1114">
        <v>0.5</v>
      </c>
      <c r="N3470" s="1114" t="s">
        <v>2941</v>
      </c>
      <c r="O3470" s="1103" t="s">
        <v>3020</v>
      </c>
      <c r="P3470" s="1113">
        <f t="shared" si="313"/>
        <v>562</v>
      </c>
      <c r="Q3470" s="1104" t="s">
        <v>2941</v>
      </c>
      <c r="R3470" s="1114">
        <f t="shared" si="314"/>
        <v>281</v>
      </c>
    </row>
    <row r="3471" spans="6:18" ht="24" customHeight="1">
      <c r="J3471" s="1109"/>
      <c r="K3471" s="1111" t="s">
        <v>2793</v>
      </c>
      <c r="M3471" s="1114">
        <v>1.1000000000000001</v>
      </c>
      <c r="N3471" s="1114" t="s">
        <v>2941</v>
      </c>
      <c r="O3471" s="1103" t="s">
        <v>3026</v>
      </c>
      <c r="P3471" s="1113">
        <f t="shared" si="313"/>
        <v>461</v>
      </c>
      <c r="Q3471" s="1104" t="s">
        <v>2941</v>
      </c>
      <c r="R3471" s="1114">
        <f t="shared" si="314"/>
        <v>507.1</v>
      </c>
    </row>
    <row r="3472" spans="6:18" ht="24" customHeight="1">
      <c r="N3472" s="1114" t="s">
        <v>2851</v>
      </c>
      <c r="O3472" s="1103" t="s">
        <v>2852</v>
      </c>
      <c r="P3472" s="1114">
        <v>0</v>
      </c>
      <c r="Q3472" s="1104" t="s">
        <v>2851</v>
      </c>
      <c r="R3472" s="1114">
        <v>0</v>
      </c>
    </row>
    <row r="3473" spans="6:19" ht="24" customHeight="1">
      <c r="Q3473" s="1109"/>
      <c r="R3473" s="1111" t="s">
        <v>36</v>
      </c>
    </row>
    <row r="3474" spans="6:19" ht="24" customHeight="1">
      <c r="O3474" s="1103" t="s">
        <v>3152</v>
      </c>
      <c r="Q3474" s="1109"/>
      <c r="R3474" s="1114">
        <f>SUM(R3460:R3473)</f>
        <v>11452.330600000001</v>
      </c>
    </row>
    <row r="3475" spans="6:19" ht="24" customHeight="1">
      <c r="Q3475" s="1109"/>
      <c r="R3475" s="1111" t="s">
        <v>36</v>
      </c>
    </row>
    <row r="3476" spans="6:19" ht="57.75" customHeight="1">
      <c r="G3476" s="1330">
        <v>90</v>
      </c>
      <c r="H3476" s="1331" t="s">
        <v>5389</v>
      </c>
      <c r="O3476" s="1103" t="s">
        <v>3154</v>
      </c>
      <c r="Q3476" s="1109"/>
      <c r="R3476" s="1115">
        <f>R3474/10</f>
        <v>1145.23306</v>
      </c>
    </row>
    <row r="3477" spans="6:19" ht="24" customHeight="1">
      <c r="F3477" s="1148">
        <v>3.8100000000000002E-2</v>
      </c>
      <c r="G3477" s="1105" t="s">
        <v>2839</v>
      </c>
      <c r="H3477" s="1105" t="s">
        <v>5390</v>
      </c>
      <c r="I3477" s="1105">
        <f>I3387</f>
        <v>111600</v>
      </c>
      <c r="J3477" s="1105">
        <f>J2279</f>
        <v>0</v>
      </c>
      <c r="K3477" s="1105">
        <f>F3477*I3477</f>
        <v>4251.96</v>
      </c>
      <c r="Q3477" s="1109"/>
      <c r="R3477" s="1111" t="s">
        <v>2793</v>
      </c>
    </row>
    <row r="3478" spans="6:19" ht="24" customHeight="1">
      <c r="F3478" s="1108">
        <v>2.4E-2</v>
      </c>
      <c r="G3478" s="1105" t="s">
        <v>2839</v>
      </c>
      <c r="H3478" s="1105" t="s">
        <v>5320</v>
      </c>
      <c r="I3478" s="1105">
        <f>I3388</f>
        <v>99400</v>
      </c>
      <c r="J3478" s="1105">
        <f>J2280</f>
        <v>0</v>
      </c>
      <c r="K3478" s="1105">
        <f t="shared" ref="K3478:K3491" si="315">F3478*I3478</f>
        <v>2385.6</v>
      </c>
    </row>
    <row r="3479" spans="6:19" ht="24" customHeight="1">
      <c r="F3479" s="1105">
        <v>0.01</v>
      </c>
      <c r="G3479" s="1105" t="s">
        <v>2839</v>
      </c>
      <c r="H3479" s="1103" t="s">
        <v>4066</v>
      </c>
      <c r="I3479" s="1105">
        <f>I2815</f>
        <v>95000</v>
      </c>
      <c r="J3479" s="1105">
        <f>J2281</f>
        <v>0</v>
      </c>
      <c r="K3479" s="1105">
        <f t="shared" si="315"/>
        <v>950</v>
      </c>
    </row>
    <row r="3480" spans="6:19" ht="24" customHeight="1">
      <c r="H3480" s="1103" t="s">
        <v>4068</v>
      </c>
    </row>
    <row r="3481" spans="6:19" ht="24" customHeight="1">
      <c r="F3481" s="1105">
        <v>1.05</v>
      </c>
      <c r="G3481" s="1114" t="s">
        <v>3189</v>
      </c>
      <c r="H3481" s="1105" t="s">
        <v>5391</v>
      </c>
      <c r="I3481" s="1105">
        <v>359</v>
      </c>
      <c r="J3481" s="1107" t="s">
        <v>3189</v>
      </c>
      <c r="K3481" s="1105">
        <f t="shared" si="315"/>
        <v>376.95</v>
      </c>
    </row>
    <row r="3482" spans="6:19" ht="24" customHeight="1">
      <c r="F3482" s="1105">
        <v>12</v>
      </c>
      <c r="G3482" s="1114" t="s">
        <v>4578</v>
      </c>
      <c r="H3482" s="1105" t="s">
        <v>5392</v>
      </c>
      <c r="I3482" s="1105">
        <f>I2537</f>
        <v>62.6</v>
      </c>
      <c r="J3482" s="1107" t="s">
        <v>4578</v>
      </c>
      <c r="K3482" s="1105">
        <f t="shared" si="315"/>
        <v>751.2</v>
      </c>
      <c r="S3482" s="1328" t="s">
        <v>5393</v>
      </c>
    </row>
    <row r="3483" spans="6:19" ht="24" customHeight="1">
      <c r="F3483" s="1105">
        <v>2.85</v>
      </c>
      <c r="G3483" s="1114" t="s">
        <v>3189</v>
      </c>
      <c r="H3483" s="1105" t="s">
        <v>5394</v>
      </c>
      <c r="I3483" s="1105">
        <f>D31</f>
        <v>1239</v>
      </c>
      <c r="J3483" s="1107" t="s">
        <v>3189</v>
      </c>
      <c r="K3483" s="1105">
        <f t="shared" si="315"/>
        <v>3531.15</v>
      </c>
    </row>
    <row r="3484" spans="6:19" ht="24" customHeight="1">
      <c r="F3484" s="1105">
        <v>6</v>
      </c>
      <c r="G3484" s="1114" t="s">
        <v>54</v>
      </c>
      <c r="H3484" s="1103" t="s">
        <v>4061</v>
      </c>
      <c r="I3484" s="1105">
        <f>I2819</f>
        <v>110.17</v>
      </c>
      <c r="J3484" s="1107" t="s">
        <v>2941</v>
      </c>
      <c r="K3484" s="1105">
        <f t="shared" si="315"/>
        <v>661.02</v>
      </c>
    </row>
    <row r="3485" spans="6:19" ht="24" customHeight="1">
      <c r="F3485" s="1105">
        <v>1</v>
      </c>
      <c r="G3485" s="1114" t="s">
        <v>54</v>
      </c>
      <c r="H3485" s="1105" t="s">
        <v>5395</v>
      </c>
      <c r="I3485" s="1105">
        <f>I2821</f>
        <v>550</v>
      </c>
      <c r="J3485" s="1107" t="s">
        <v>2941</v>
      </c>
      <c r="K3485" s="1105">
        <f t="shared" si="315"/>
        <v>550</v>
      </c>
    </row>
    <row r="3486" spans="6:19" ht="24" customHeight="1">
      <c r="F3486" s="1105">
        <v>3</v>
      </c>
      <c r="G3486" s="1114" t="s">
        <v>54</v>
      </c>
      <c r="H3486" s="1103" t="s">
        <v>4063</v>
      </c>
      <c r="I3486" s="1105">
        <f>I2820</f>
        <v>160</v>
      </c>
      <c r="J3486" s="1107" t="s">
        <v>2941</v>
      </c>
      <c r="K3486" s="1105">
        <f t="shared" si="315"/>
        <v>480</v>
      </c>
    </row>
    <row r="3487" spans="6:19" ht="24" customHeight="1">
      <c r="F3487" s="1105">
        <v>2</v>
      </c>
      <c r="G3487" s="1114" t="s">
        <v>54</v>
      </c>
      <c r="H3487" s="1103" t="s">
        <v>5396</v>
      </c>
      <c r="I3487" s="1105">
        <f>I2820</f>
        <v>160</v>
      </c>
      <c r="J3487" s="1107" t="s">
        <v>2941</v>
      </c>
      <c r="K3487" s="1105">
        <f t="shared" si="315"/>
        <v>320</v>
      </c>
    </row>
    <row r="3488" spans="6:19" ht="24" customHeight="1">
      <c r="F3488" s="1105">
        <v>2</v>
      </c>
      <c r="G3488" s="1114" t="s">
        <v>54</v>
      </c>
      <c r="H3488" s="1103" t="s">
        <v>3214</v>
      </c>
      <c r="I3488" s="1105">
        <f>I2823</f>
        <v>45.9</v>
      </c>
      <c r="J3488" s="1107" t="s">
        <v>2941</v>
      </c>
      <c r="K3488" s="1105">
        <f t="shared" si="315"/>
        <v>91.8</v>
      </c>
    </row>
    <row r="3489" spans="6:15" ht="24" customHeight="1">
      <c r="F3489" s="1105">
        <v>2</v>
      </c>
      <c r="G3489" s="1114" t="s">
        <v>54</v>
      </c>
      <c r="H3489" s="1103" t="s">
        <v>4067</v>
      </c>
      <c r="I3489" s="1105">
        <f>I2822</f>
        <v>7.3</v>
      </c>
      <c r="J3489" s="1107" t="s">
        <v>2941</v>
      </c>
      <c r="K3489" s="1105">
        <f t="shared" si="315"/>
        <v>14.6</v>
      </c>
    </row>
    <row r="3490" spans="6:15" ht="24" customHeight="1">
      <c r="F3490" s="1105">
        <v>1.05</v>
      </c>
      <c r="G3490" s="1114" t="s">
        <v>3189</v>
      </c>
      <c r="H3490" s="1103" t="s">
        <v>5397</v>
      </c>
      <c r="I3490" s="1105">
        <f>K1553</f>
        <v>125.86880000000001</v>
      </c>
      <c r="J3490" s="1107" t="s">
        <v>3189</v>
      </c>
      <c r="K3490" s="1105">
        <f t="shared" si="315"/>
        <v>132.16224000000003</v>
      </c>
    </row>
    <row r="3491" spans="6:15" ht="24" customHeight="1">
      <c r="F3491" s="1105">
        <v>3.15</v>
      </c>
      <c r="G3491" s="1114" t="s">
        <v>3189</v>
      </c>
      <c r="H3491" s="1103" t="s">
        <v>5398</v>
      </c>
      <c r="I3491" s="1105">
        <f>K1167</f>
        <v>172.13200000000001</v>
      </c>
      <c r="J3491" s="1107" t="s">
        <v>3189</v>
      </c>
      <c r="K3491" s="1105">
        <f t="shared" si="315"/>
        <v>542.21579999999994</v>
      </c>
    </row>
    <row r="3492" spans="6:15" ht="24" customHeight="1">
      <c r="G3492" s="1114"/>
      <c r="H3492" s="1103" t="s">
        <v>5399</v>
      </c>
      <c r="I3492" s="1491" t="s">
        <v>2851</v>
      </c>
      <c r="J3492" s="1491"/>
      <c r="K3492" s="1105">
        <f>R3199</f>
        <v>282.02000000000004</v>
      </c>
    </row>
    <row r="3493" spans="6:15" ht="24" customHeight="1">
      <c r="K3493" s="1248" t="s">
        <v>2793</v>
      </c>
    </row>
    <row r="3494" spans="6:15" ht="24" customHeight="1">
      <c r="H3494" s="1106" t="s">
        <v>5400</v>
      </c>
      <c r="I3494" s="1119"/>
      <c r="J3494" s="1136"/>
      <c r="K3494" s="1119">
        <f>SUM(K3477:K3493)</f>
        <v>15320.678039999999</v>
      </c>
    </row>
    <row r="3495" spans="6:15" ht="24" customHeight="1">
      <c r="K3495" s="1248" t="s">
        <v>2793</v>
      </c>
    </row>
    <row r="3497" spans="6:15" ht="24" customHeight="1">
      <c r="J3497" s="1109"/>
    </row>
    <row r="3498" spans="6:15" ht="24" customHeight="1">
      <c r="G3498" s="1107" t="s">
        <v>5401</v>
      </c>
      <c r="J3498" s="1109"/>
    </row>
    <row r="3499" spans="6:15" ht="24" customHeight="1">
      <c r="J3499" s="1109"/>
    </row>
    <row r="3500" spans="6:15" ht="24" customHeight="1">
      <c r="F3500" s="1148">
        <v>1.8</v>
      </c>
      <c r="G3500" s="1105" t="s">
        <v>2839</v>
      </c>
      <c r="H3500" s="1105" t="s">
        <v>5402</v>
      </c>
      <c r="I3500" s="1105">
        <v>451.25</v>
      </c>
      <c r="J3500" s="1109" t="s">
        <v>2839</v>
      </c>
      <c r="K3500" s="1145">
        <f>I3500*F3500</f>
        <v>812.25</v>
      </c>
    </row>
    <row r="3501" spans="6:15" ht="24" customHeight="1">
      <c r="J3501" s="1109"/>
      <c r="K3501" s="1145"/>
    </row>
    <row r="3502" spans="6:15" ht="24" customHeight="1">
      <c r="F3502" s="1148">
        <v>1.2</v>
      </c>
      <c r="G3502" s="1105" t="s">
        <v>2839</v>
      </c>
      <c r="H3502" s="1105" t="s">
        <v>5403</v>
      </c>
      <c r="I3502" s="1105">
        <v>842.15</v>
      </c>
      <c r="J3502" s="1109" t="s">
        <v>2839</v>
      </c>
      <c r="K3502" s="1145">
        <f t="shared" ref="K3502:K3510" si="316">I3502*F3502</f>
        <v>1010.5799999999999</v>
      </c>
    </row>
    <row r="3503" spans="6:15" ht="24" customHeight="1">
      <c r="J3503" s="1109"/>
      <c r="K3503" s="1145"/>
    </row>
    <row r="3504" spans="6:15" ht="24" customHeight="1">
      <c r="F3504" s="1148">
        <v>0.6</v>
      </c>
      <c r="G3504" s="1105" t="s">
        <v>2839</v>
      </c>
      <c r="H3504" s="1105" t="s">
        <v>5404</v>
      </c>
      <c r="I3504" s="1105">
        <f>AC16</f>
        <v>1835.06</v>
      </c>
      <c r="J3504" s="1109" t="s">
        <v>2839</v>
      </c>
      <c r="K3504" s="1145">
        <f t="shared" si="316"/>
        <v>1101.0359999999998</v>
      </c>
      <c r="O3504" s="1119" t="s">
        <v>5405</v>
      </c>
    </row>
    <row r="3505" spans="6:18" ht="24" customHeight="1">
      <c r="J3505" s="1109"/>
      <c r="K3505" s="1145"/>
    </row>
    <row r="3506" spans="6:18" ht="24" customHeight="1">
      <c r="F3506" s="1148">
        <v>3</v>
      </c>
      <c r="G3506" s="1105" t="s">
        <v>2839</v>
      </c>
      <c r="H3506" s="1105" t="s">
        <v>5406</v>
      </c>
      <c r="I3506" s="1105">
        <f>R3519</f>
        <v>1789.47</v>
      </c>
      <c r="J3506" s="1109" t="s">
        <v>2839</v>
      </c>
      <c r="K3506" s="1145">
        <f t="shared" si="316"/>
        <v>5368.41</v>
      </c>
    </row>
    <row r="3507" spans="6:18" ht="24" customHeight="1">
      <c r="F3507" s="1148"/>
      <c r="J3507" s="1109"/>
      <c r="K3507" s="1145"/>
      <c r="M3507" s="1105">
        <f>(1.08/8)</f>
        <v>0.13500000000000001</v>
      </c>
      <c r="N3507" s="1105" t="s">
        <v>2839</v>
      </c>
      <c r="O3507" s="1105" t="s">
        <v>3020</v>
      </c>
      <c r="P3507" s="1105">
        <f>P3515</f>
        <v>562</v>
      </c>
      <c r="Q3507" s="1105" t="s">
        <v>2839</v>
      </c>
      <c r="R3507" s="1105">
        <f>P3507*M3507</f>
        <v>75.87</v>
      </c>
    </row>
    <row r="3508" spans="6:18" ht="24" customHeight="1">
      <c r="F3508" s="1148">
        <v>3</v>
      </c>
      <c r="G3508" s="1105" t="s">
        <v>2839</v>
      </c>
      <c r="H3508" s="1105" t="s">
        <v>5407</v>
      </c>
      <c r="I3508" s="1105">
        <f>R3521</f>
        <v>20.27</v>
      </c>
      <c r="J3508" s="1109" t="s">
        <v>2839</v>
      </c>
      <c r="K3508" s="1145">
        <f t="shared" si="316"/>
        <v>60.81</v>
      </c>
    </row>
    <row r="3509" spans="6:18" ht="24" customHeight="1">
      <c r="F3509" s="1148"/>
      <c r="J3509" s="1109"/>
      <c r="K3509" s="1145"/>
      <c r="O3509" s="1145" t="s">
        <v>5408</v>
      </c>
      <c r="R3509" s="1105">
        <f>R3507</f>
        <v>75.87</v>
      </c>
    </row>
    <row r="3510" spans="6:18" ht="24" customHeight="1">
      <c r="F3510" s="1148">
        <v>3</v>
      </c>
      <c r="G3510" s="1105" t="s">
        <v>2839</v>
      </c>
      <c r="H3510" s="1105" t="s">
        <v>5409</v>
      </c>
      <c r="I3510" s="1105">
        <v>31.65</v>
      </c>
      <c r="J3510" s="1109" t="s">
        <v>2839</v>
      </c>
      <c r="K3510" s="1145">
        <f t="shared" si="316"/>
        <v>94.949999999999989</v>
      </c>
      <c r="O3510" s="1145" t="s">
        <v>5410</v>
      </c>
      <c r="R3510" s="1105">
        <f>R3509/0.75</f>
        <v>101.16000000000001</v>
      </c>
    </row>
    <row r="3511" spans="6:18" ht="24" customHeight="1">
      <c r="J3511" s="1109"/>
      <c r="K3511" s="1145"/>
    </row>
    <row r="3512" spans="6:18" ht="24" customHeight="1">
      <c r="H3512" s="1105" t="s">
        <v>5411</v>
      </c>
      <c r="J3512" s="1109" t="s">
        <v>2851</v>
      </c>
      <c r="K3512" s="1145">
        <v>0.3</v>
      </c>
      <c r="O3512" s="1119" t="s">
        <v>5412</v>
      </c>
    </row>
    <row r="3513" spans="6:18" ht="24" customHeight="1">
      <c r="J3513" s="1109"/>
      <c r="K3513" s="1145"/>
    </row>
    <row r="3514" spans="6:18" ht="24" customHeight="1">
      <c r="H3514" s="1145" t="s">
        <v>5413</v>
      </c>
      <c r="J3514" s="1109"/>
      <c r="K3514" s="1184">
        <f>SUM(K3500:K3513)</f>
        <v>8448.3359999999993</v>
      </c>
      <c r="M3514" s="1105">
        <v>1.8</v>
      </c>
      <c r="N3514" s="1105" t="s">
        <v>4</v>
      </c>
      <c r="O3514" s="1105" t="s">
        <v>5414</v>
      </c>
      <c r="P3514" s="1105">
        <f>AE10</f>
        <v>804</v>
      </c>
      <c r="Q3514" s="1105" t="s">
        <v>522</v>
      </c>
      <c r="R3514" s="1105">
        <f>P3514*M3514</f>
        <v>1447.2</v>
      </c>
    </row>
    <row r="3515" spans="6:18" ht="24" customHeight="1">
      <c r="H3515" s="1145" t="s">
        <v>5415</v>
      </c>
      <c r="J3515" s="1109"/>
      <c r="K3515" s="1119">
        <f>K3514/F3506</f>
        <v>2816.1119999999996</v>
      </c>
      <c r="M3515" s="1105">
        <v>17.7</v>
      </c>
      <c r="N3515" s="1105" t="s">
        <v>4</v>
      </c>
      <c r="O3515" s="1105" t="s">
        <v>5416</v>
      </c>
      <c r="P3515" s="1105">
        <f>AE11</f>
        <v>562</v>
      </c>
      <c r="Q3515" s="1105" t="s">
        <v>522</v>
      </c>
      <c r="R3515" s="1105">
        <f>P3515*M3515</f>
        <v>9947.4</v>
      </c>
    </row>
    <row r="3516" spans="6:18" ht="24" customHeight="1">
      <c r="J3516" s="1109"/>
      <c r="K3516" s="1248" t="s">
        <v>2793</v>
      </c>
      <c r="M3516" s="1105">
        <v>14.1</v>
      </c>
      <c r="N3516" s="1105" t="s">
        <v>4</v>
      </c>
      <c r="O3516" s="1105" t="s">
        <v>5417</v>
      </c>
      <c r="P3516" s="1105">
        <f>AE12</f>
        <v>461</v>
      </c>
      <c r="Q3516" s="1105" t="s">
        <v>522</v>
      </c>
      <c r="R3516" s="1105">
        <f>P3516*M3516</f>
        <v>6500.0999999999995</v>
      </c>
    </row>
    <row r="3518" spans="6:18" ht="24" customHeight="1">
      <c r="O3518" s="1145" t="s">
        <v>5418</v>
      </c>
      <c r="R3518" s="1105">
        <f>SUM(R3514:R3517)</f>
        <v>17894.7</v>
      </c>
    </row>
    <row r="3519" spans="6:18" ht="24" customHeight="1">
      <c r="O3519" s="1145" t="s">
        <v>5410</v>
      </c>
      <c r="R3519" s="1105">
        <f>R3518/10</f>
        <v>1789.47</v>
      </c>
    </row>
    <row r="3520" spans="6:18" ht="24" customHeight="1">
      <c r="F3520" s="1332"/>
      <c r="G3520" s="1332"/>
      <c r="H3520" s="1332" t="s">
        <v>5419</v>
      </c>
      <c r="I3520" s="1332"/>
      <c r="J3520" s="1333"/>
      <c r="O3520" s="1145"/>
    </row>
    <row r="3521" spans="6:32" ht="24" customHeight="1">
      <c r="H3521" s="1334" t="s">
        <v>5420</v>
      </c>
      <c r="I3521" s="1332">
        <v>2.56</v>
      </c>
      <c r="O3521" s="1119" t="s">
        <v>5421</v>
      </c>
      <c r="R3521" s="1119">
        <v>20.27</v>
      </c>
    </row>
    <row r="3522" spans="6:32" ht="24" customHeight="1">
      <c r="F3522" s="1332">
        <f>I3521</f>
        <v>2.56</v>
      </c>
      <c r="G3522" s="1332" t="s">
        <v>3189</v>
      </c>
      <c r="H3522" s="1332" t="s">
        <v>5422</v>
      </c>
      <c r="I3522" s="1332">
        <v>2233</v>
      </c>
      <c r="J3522" s="1332" t="s">
        <v>3189</v>
      </c>
      <c r="K3522" s="1332">
        <f>I3522*F3522</f>
        <v>5716.4800000000005</v>
      </c>
    </row>
    <row r="3523" spans="6:32" ht="24" customHeight="1">
      <c r="F3523" s="1332">
        <f>F3522</f>
        <v>2.56</v>
      </c>
      <c r="G3523" s="1332" t="s">
        <v>3189</v>
      </c>
      <c r="H3523" s="1332" t="s">
        <v>5423</v>
      </c>
      <c r="I3523" s="1332">
        <f>AE56</f>
        <v>248</v>
      </c>
      <c r="J3523" s="1332" t="s">
        <v>3189</v>
      </c>
      <c r="K3523" s="1332">
        <f t="shared" ref="K3523:K3531" si="317">I3523*F3523</f>
        <v>634.88</v>
      </c>
    </row>
    <row r="3524" spans="6:32" ht="24" customHeight="1">
      <c r="F3524" s="1332">
        <v>4</v>
      </c>
      <c r="G3524" s="1332" t="s">
        <v>2941</v>
      </c>
      <c r="H3524" s="1332" t="s">
        <v>5424</v>
      </c>
      <c r="I3524" s="1332">
        <f>P3228</f>
        <v>53.4</v>
      </c>
      <c r="J3524" s="1332" t="s">
        <v>2941</v>
      </c>
      <c r="K3524" s="1332">
        <f t="shared" si="317"/>
        <v>213.6</v>
      </c>
      <c r="M3524" s="1332"/>
      <c r="N3524" s="1332"/>
      <c r="O3524" s="1335" t="s">
        <v>5425</v>
      </c>
      <c r="P3524" s="1332"/>
      <c r="Q3524" s="1333"/>
    </row>
    <row r="3525" spans="6:32" ht="24" customHeight="1">
      <c r="F3525" s="1332">
        <v>6</v>
      </c>
      <c r="G3525" s="1332" t="s">
        <v>2941</v>
      </c>
      <c r="H3525" s="1332" t="s">
        <v>5426</v>
      </c>
      <c r="I3525" s="1332">
        <f>P3229</f>
        <v>83</v>
      </c>
      <c r="J3525" s="1332" t="s">
        <v>2941</v>
      </c>
      <c r="K3525" s="1332">
        <f t="shared" si="317"/>
        <v>498</v>
      </c>
      <c r="O3525" s="1336" t="s">
        <v>5427</v>
      </c>
      <c r="P3525" s="1336">
        <f>1.4*2.325</f>
        <v>3.2549999999999999</v>
      </c>
      <c r="Q3525" s="1107"/>
    </row>
    <row r="3526" spans="6:32" ht="24" customHeight="1">
      <c r="F3526" s="1332">
        <v>3</v>
      </c>
      <c r="G3526" s="1332" t="s">
        <v>2941</v>
      </c>
      <c r="H3526" s="1332" t="s">
        <v>5428</v>
      </c>
      <c r="I3526" s="1332">
        <f>C284</f>
        <v>60</v>
      </c>
      <c r="J3526" s="1332" t="s">
        <v>2941</v>
      </c>
      <c r="K3526" s="1332">
        <f t="shared" si="317"/>
        <v>180</v>
      </c>
      <c r="M3526" s="1332">
        <f>P3525</f>
        <v>3.2549999999999999</v>
      </c>
      <c r="N3526" s="1332" t="s">
        <v>3189</v>
      </c>
      <c r="O3526" s="1332" t="s">
        <v>5429</v>
      </c>
      <c r="P3526" s="1332">
        <f>I3522</f>
        <v>2233</v>
      </c>
      <c r="Q3526" s="1332" t="s">
        <v>3189</v>
      </c>
      <c r="R3526" s="1332">
        <f t="shared" ref="R3526:R3534" si="318">P3526*M3526</f>
        <v>7268.415</v>
      </c>
    </row>
    <row r="3527" spans="6:32" ht="24" customHeight="1">
      <c r="F3527" s="1332">
        <v>1</v>
      </c>
      <c r="G3527" s="1332" t="s">
        <v>2941</v>
      </c>
      <c r="H3527" s="1332" t="s">
        <v>5430</v>
      </c>
      <c r="I3527" s="1332">
        <f>C286</f>
        <v>167.6</v>
      </c>
      <c r="J3527" s="1332" t="s">
        <v>2941</v>
      </c>
      <c r="K3527" s="1332">
        <f t="shared" si="317"/>
        <v>167.6</v>
      </c>
      <c r="M3527" s="1332">
        <f>M3526</f>
        <v>3.2549999999999999</v>
      </c>
      <c r="N3527" s="1332" t="s">
        <v>3189</v>
      </c>
      <c r="O3527" s="1332" t="s">
        <v>5431</v>
      </c>
      <c r="P3527" s="1332">
        <f t="shared" ref="P3527:P3534" si="319">I3523</f>
        <v>248</v>
      </c>
      <c r="Q3527" s="1332" t="s">
        <v>3189</v>
      </c>
      <c r="R3527" s="1332">
        <f t="shared" si="318"/>
        <v>807.24</v>
      </c>
    </row>
    <row r="3528" spans="6:32" ht="24" customHeight="1">
      <c r="F3528" s="1332">
        <v>162</v>
      </c>
      <c r="G3528" s="1332" t="s">
        <v>2941</v>
      </c>
      <c r="H3528" s="1332" t="s">
        <v>5432</v>
      </c>
      <c r="I3528" s="1332">
        <f>P3448</f>
        <v>2.39</v>
      </c>
      <c r="J3528" s="1332" t="s">
        <v>2941</v>
      </c>
      <c r="K3528" s="1332">
        <f t="shared" si="317"/>
        <v>387.18</v>
      </c>
      <c r="M3528" s="1332">
        <v>4</v>
      </c>
      <c r="N3528" s="1332" t="s">
        <v>2941</v>
      </c>
      <c r="O3528" s="1332" t="s">
        <v>5433</v>
      </c>
      <c r="P3528" s="1332">
        <f t="shared" si="319"/>
        <v>53.4</v>
      </c>
      <c r="Q3528" s="1332" t="s">
        <v>2941</v>
      </c>
      <c r="R3528" s="1332">
        <f t="shared" si="318"/>
        <v>213.6</v>
      </c>
    </row>
    <row r="3529" spans="6:32" ht="24" customHeight="1">
      <c r="F3529" s="1332">
        <v>2</v>
      </c>
      <c r="G3529" s="1332" t="s">
        <v>2941</v>
      </c>
      <c r="H3529" s="1332" t="s">
        <v>5434</v>
      </c>
      <c r="I3529" s="1332">
        <f>P3197</f>
        <v>22.9</v>
      </c>
      <c r="J3529" s="1332" t="s">
        <v>2941</v>
      </c>
      <c r="K3529" s="1332">
        <f t="shared" si="317"/>
        <v>45.8</v>
      </c>
      <c r="M3529" s="1332">
        <v>10</v>
      </c>
      <c r="N3529" s="1332" t="s">
        <v>2941</v>
      </c>
      <c r="O3529" s="1332" t="s">
        <v>5435</v>
      </c>
      <c r="P3529" s="1332">
        <f t="shared" si="319"/>
        <v>83</v>
      </c>
      <c r="Q3529" s="1332" t="s">
        <v>2941</v>
      </c>
      <c r="R3529" s="1332">
        <f t="shared" si="318"/>
        <v>830</v>
      </c>
    </row>
    <row r="3530" spans="6:32" ht="24" customHeight="1">
      <c r="F3530" s="1332">
        <v>2</v>
      </c>
      <c r="G3530" s="1332" t="s">
        <v>2941</v>
      </c>
      <c r="H3530" s="1332" t="s">
        <v>5436</v>
      </c>
      <c r="I3530" s="1332">
        <f>P3403</f>
        <v>45.9</v>
      </c>
      <c r="J3530" s="1332" t="s">
        <v>2941</v>
      </c>
      <c r="K3530" s="1332">
        <f t="shared" si="317"/>
        <v>91.8</v>
      </c>
      <c r="M3530" s="1332">
        <v>3</v>
      </c>
      <c r="N3530" s="1332" t="s">
        <v>2941</v>
      </c>
      <c r="O3530" s="1332" t="s">
        <v>5437</v>
      </c>
      <c r="P3530" s="1332">
        <f t="shared" si="319"/>
        <v>60</v>
      </c>
      <c r="Q3530" s="1332" t="s">
        <v>2941</v>
      </c>
      <c r="R3530" s="1332">
        <f t="shared" si="318"/>
        <v>180</v>
      </c>
    </row>
    <row r="3531" spans="6:32" ht="24" customHeight="1">
      <c r="F3531" s="1337">
        <v>0.41099999999999998</v>
      </c>
      <c r="G3531" s="1332" t="s">
        <v>3189</v>
      </c>
      <c r="H3531" s="1332" t="s">
        <v>5438</v>
      </c>
      <c r="I3531" s="1332">
        <f>I1136</f>
        <v>172.13200000000001</v>
      </c>
      <c r="J3531" s="1332" t="s">
        <v>3189</v>
      </c>
      <c r="K3531" s="1332">
        <f t="shared" si="317"/>
        <v>70.746251999999998</v>
      </c>
      <c r="M3531" s="1332">
        <v>1</v>
      </c>
      <c r="N3531" s="1332" t="s">
        <v>2941</v>
      </c>
      <c r="O3531" s="1332" t="s">
        <v>5395</v>
      </c>
      <c r="P3531" s="1332">
        <f t="shared" si="319"/>
        <v>167.6</v>
      </c>
      <c r="Q3531" s="1332" t="s">
        <v>2941</v>
      </c>
      <c r="R3531" s="1332">
        <f t="shared" si="318"/>
        <v>167.6</v>
      </c>
    </row>
    <row r="3532" spans="6:32" ht="24" customHeight="1">
      <c r="F3532" s="1332"/>
      <c r="G3532" s="1332"/>
      <c r="H3532" s="1332" t="s">
        <v>5439</v>
      </c>
      <c r="I3532" s="1332"/>
      <c r="J3532" s="1333"/>
      <c r="K3532" s="1332">
        <f>SUM(K3522:K3531)</f>
        <v>8006.0862520000019</v>
      </c>
      <c r="M3532" s="1332">
        <v>162</v>
      </c>
      <c r="N3532" s="1332" t="s">
        <v>2941</v>
      </c>
      <c r="O3532" s="1332" t="s">
        <v>5432</v>
      </c>
      <c r="P3532" s="1332">
        <f t="shared" si="319"/>
        <v>2.39</v>
      </c>
      <c r="Q3532" s="1332" t="s">
        <v>2941</v>
      </c>
      <c r="R3532" s="1332">
        <f t="shared" si="318"/>
        <v>387.18</v>
      </c>
    </row>
    <row r="3533" spans="6:32" ht="24" customHeight="1">
      <c r="F3533" s="1332"/>
      <c r="G3533" s="1332"/>
      <c r="H3533" s="1332" t="s">
        <v>4942</v>
      </c>
      <c r="I3533" s="1332"/>
      <c r="J3533" s="1333"/>
      <c r="K3533" s="1332">
        <f>K3532/F3523</f>
        <v>3127.3774421875005</v>
      </c>
      <c r="M3533" s="1332">
        <v>2</v>
      </c>
      <c r="N3533" s="1332" t="s">
        <v>2941</v>
      </c>
      <c r="O3533" s="1332" t="s">
        <v>5440</v>
      </c>
      <c r="P3533" s="1332">
        <f t="shared" si="319"/>
        <v>22.9</v>
      </c>
      <c r="Q3533" s="1332" t="s">
        <v>2941</v>
      </c>
      <c r="R3533" s="1332">
        <f t="shared" si="318"/>
        <v>45.8</v>
      </c>
    </row>
    <row r="3534" spans="6:32" ht="24" customHeight="1">
      <c r="H3534" s="1332"/>
      <c r="K3534" s="1332"/>
      <c r="M3534" s="1332">
        <v>2</v>
      </c>
      <c r="N3534" s="1332" t="s">
        <v>2941</v>
      </c>
      <c r="O3534" s="1332" t="s">
        <v>5436</v>
      </c>
      <c r="P3534" s="1332">
        <f t="shared" si="319"/>
        <v>45.9</v>
      </c>
      <c r="Q3534" s="1332" t="s">
        <v>2941</v>
      </c>
      <c r="R3534" s="1332">
        <f t="shared" si="318"/>
        <v>91.8</v>
      </c>
    </row>
    <row r="3535" spans="6:32" ht="24" customHeight="1">
      <c r="M3535" s="1337">
        <v>0</v>
      </c>
      <c r="N3535" s="1332" t="s">
        <v>3189</v>
      </c>
      <c r="O3535" s="1332" t="s">
        <v>5438</v>
      </c>
      <c r="P3535" s="1332">
        <f>I3531</f>
        <v>172.13200000000001</v>
      </c>
      <c r="Q3535" s="1332" t="s">
        <v>3189</v>
      </c>
      <c r="R3535" s="1332">
        <f>P3535*M3535</f>
        <v>0</v>
      </c>
    </row>
    <row r="3536" spans="6:32" ht="24" customHeight="1">
      <c r="F3536" s="1332"/>
      <c r="G3536" s="1332"/>
      <c r="H3536" s="1332" t="s">
        <v>5441</v>
      </c>
      <c r="I3536" s="1332"/>
      <c r="J3536" s="1333"/>
      <c r="M3536" s="1332"/>
      <c r="N3536" s="1332"/>
      <c r="O3536" s="1332" t="s">
        <v>5442</v>
      </c>
      <c r="P3536" s="1332"/>
      <c r="Q3536" s="1333"/>
      <c r="R3536" s="1332">
        <f>SUM(R3526:R3535)</f>
        <v>9991.6349999999984</v>
      </c>
      <c r="S3536" s="1332"/>
      <c r="T3536" s="1332"/>
      <c r="U3536" s="1332" t="s">
        <v>5443</v>
      </c>
      <c r="V3536" s="1332"/>
      <c r="W3536" s="1333"/>
      <c r="AB3536" s="1332"/>
      <c r="AC3536" s="1332"/>
      <c r="AD3536" s="1332" t="s">
        <v>5444</v>
      </c>
      <c r="AE3536" s="1332"/>
      <c r="AF3536" s="1333"/>
    </row>
    <row r="3537" spans="6:33" ht="24" customHeight="1">
      <c r="H3537" s="1332" t="s">
        <v>5445</v>
      </c>
      <c r="I3537" s="1105">
        <f>0.9*2.025</f>
        <v>1.8225</v>
      </c>
      <c r="M3537" s="1332"/>
      <c r="N3537" s="1332"/>
      <c r="O3537" s="1332" t="s">
        <v>4942</v>
      </c>
      <c r="P3537" s="1332"/>
      <c r="Q3537" s="1333"/>
      <c r="R3537" s="1332">
        <f>R3536/M3527</f>
        <v>3069.6267281105988</v>
      </c>
      <c r="S3537" s="1105"/>
      <c r="U3537" s="1332" t="s">
        <v>5446</v>
      </c>
      <c r="V3537" s="1105">
        <f>0.9*2.325</f>
        <v>2.0925000000000002</v>
      </c>
      <c r="W3537" s="1107"/>
      <c r="AD3537" s="1332" t="s">
        <v>5445</v>
      </c>
      <c r="AE3537" s="1105">
        <f>0.8*2.025</f>
        <v>1.62</v>
      </c>
      <c r="AF3537" s="1107"/>
    </row>
    <row r="3538" spans="6:33" ht="24" customHeight="1">
      <c r="F3538" s="1332">
        <f>I3537</f>
        <v>1.8225</v>
      </c>
      <c r="G3538" s="1332" t="s">
        <v>3189</v>
      </c>
      <c r="H3538" s="1332" t="s">
        <v>5447</v>
      </c>
      <c r="I3538" s="1332">
        <v>2233</v>
      </c>
      <c r="J3538" s="1332" t="s">
        <v>3189</v>
      </c>
      <c r="K3538" s="1332">
        <f>I3538*F3538</f>
        <v>4069.6424999999999</v>
      </c>
      <c r="Q3538" s="1332"/>
      <c r="R3538" s="1335"/>
      <c r="S3538" s="1332">
        <f>V3537</f>
        <v>2.0925000000000002</v>
      </c>
      <c r="T3538" s="1332" t="s">
        <v>3189</v>
      </c>
      <c r="U3538" s="1332" t="s">
        <v>5447</v>
      </c>
      <c r="V3538" s="1332">
        <f>I3538</f>
        <v>2233</v>
      </c>
      <c r="W3538" s="1332" t="s">
        <v>3189</v>
      </c>
      <c r="X3538" s="1332">
        <f>V3538*S3538</f>
        <v>4672.5525000000007</v>
      </c>
      <c r="AB3538" s="1332">
        <f>AE3537</f>
        <v>1.62</v>
      </c>
      <c r="AC3538" s="1332" t="s">
        <v>3189</v>
      </c>
      <c r="AD3538" s="1332" t="s">
        <v>5448</v>
      </c>
      <c r="AE3538" s="1332">
        <f>I3522</f>
        <v>2233</v>
      </c>
      <c r="AF3538" s="1332" t="s">
        <v>3189</v>
      </c>
      <c r="AG3538" s="1332">
        <f>AE3538*AB3538</f>
        <v>3617.46</v>
      </c>
    </row>
    <row r="3539" spans="6:33" ht="24" customHeight="1">
      <c r="F3539" s="1332">
        <f>I3537</f>
        <v>1.8225</v>
      </c>
      <c r="G3539" s="1332" t="s">
        <v>3189</v>
      </c>
      <c r="H3539" s="1332" t="s">
        <v>5449</v>
      </c>
      <c r="I3539" s="1332">
        <f>AE55</f>
        <v>161</v>
      </c>
      <c r="J3539" s="1332" t="s">
        <v>3189</v>
      </c>
      <c r="K3539" s="1332">
        <f t="shared" ref="K3539:K3546" si="320">I3539*F3539</f>
        <v>293.42250000000001</v>
      </c>
      <c r="S3539" s="1332">
        <f>V3537</f>
        <v>2.0925000000000002</v>
      </c>
      <c r="T3539" s="1332" t="s">
        <v>3189</v>
      </c>
      <c r="U3539" s="1332" t="s">
        <v>5450</v>
      </c>
      <c r="V3539" s="1332">
        <f t="shared" ref="V3539:V3547" si="321">I3539</f>
        <v>161</v>
      </c>
      <c r="W3539" s="1332" t="s">
        <v>3189</v>
      </c>
      <c r="X3539" s="1332">
        <f t="shared" ref="X3539:X3546" si="322">V3539*S3539</f>
        <v>336.89250000000004</v>
      </c>
      <c r="AB3539" s="1332">
        <f>AE3537</f>
        <v>1.62</v>
      </c>
      <c r="AC3539" s="1332" t="s">
        <v>3189</v>
      </c>
      <c r="AD3539" s="1332" t="s">
        <v>5451</v>
      </c>
      <c r="AE3539" s="1332">
        <f>I3539</f>
        <v>161</v>
      </c>
      <c r="AF3539" s="1332" t="s">
        <v>3189</v>
      </c>
      <c r="AG3539" s="1332">
        <f t="shared" ref="AG3539:AG3546" si="323">AE3539*AB3539</f>
        <v>260.82</v>
      </c>
    </row>
    <row r="3540" spans="6:33" ht="24" customHeight="1">
      <c r="F3540" s="1332">
        <v>2</v>
      </c>
      <c r="G3540" s="1332" t="s">
        <v>2941</v>
      </c>
      <c r="H3540" s="1332" t="s">
        <v>5433</v>
      </c>
      <c r="I3540" s="1332">
        <f t="shared" ref="I3540:I3546" si="324">I3524</f>
        <v>53.4</v>
      </c>
      <c r="J3540" s="1332" t="s">
        <v>2941</v>
      </c>
      <c r="K3540" s="1332">
        <f t="shared" si="320"/>
        <v>106.8</v>
      </c>
      <c r="M3540" s="1332"/>
      <c r="N3540" s="1332"/>
      <c r="O3540" s="1332" t="s">
        <v>5452</v>
      </c>
      <c r="P3540" s="1332"/>
      <c r="Q3540" s="1333"/>
      <c r="S3540" s="1332">
        <v>2</v>
      </c>
      <c r="T3540" s="1332" t="s">
        <v>2941</v>
      </c>
      <c r="U3540" s="1332" t="s">
        <v>5433</v>
      </c>
      <c r="V3540" s="1332">
        <f t="shared" si="321"/>
        <v>53.4</v>
      </c>
      <c r="W3540" s="1332" t="s">
        <v>2941</v>
      </c>
      <c r="X3540" s="1332">
        <f t="shared" si="322"/>
        <v>106.8</v>
      </c>
      <c r="AB3540" s="1332">
        <v>2</v>
      </c>
      <c r="AC3540" s="1332" t="s">
        <v>2941</v>
      </c>
      <c r="AD3540" s="1332" t="s">
        <v>5433</v>
      </c>
      <c r="AE3540" s="1332">
        <f t="shared" ref="AE3540:AE3547" si="325">I3540</f>
        <v>53.4</v>
      </c>
      <c r="AF3540" s="1332" t="s">
        <v>2941</v>
      </c>
      <c r="AG3540" s="1332">
        <f t="shared" si="323"/>
        <v>106.8</v>
      </c>
    </row>
    <row r="3541" spans="6:33" ht="24" customHeight="1">
      <c r="F3541" s="1332">
        <v>5</v>
      </c>
      <c r="G3541" s="1332" t="s">
        <v>2941</v>
      </c>
      <c r="H3541" s="1332" t="s">
        <v>5435</v>
      </c>
      <c r="I3541" s="1332">
        <f t="shared" si="324"/>
        <v>83</v>
      </c>
      <c r="J3541" s="1332" t="s">
        <v>2941</v>
      </c>
      <c r="K3541" s="1332">
        <f t="shared" si="320"/>
        <v>415</v>
      </c>
      <c r="O3541" s="1336" t="s">
        <v>5453</v>
      </c>
      <c r="P3541" s="1336">
        <f>1.1*2.325</f>
        <v>2.5575000000000006</v>
      </c>
      <c r="Q3541" s="1107"/>
      <c r="S3541" s="1332">
        <v>6</v>
      </c>
      <c r="T3541" s="1332" t="s">
        <v>2941</v>
      </c>
      <c r="U3541" s="1332" t="s">
        <v>5435</v>
      </c>
      <c r="V3541" s="1332">
        <f t="shared" si="321"/>
        <v>83</v>
      </c>
      <c r="W3541" s="1332" t="s">
        <v>2941</v>
      </c>
      <c r="X3541" s="1332">
        <f t="shared" si="322"/>
        <v>498</v>
      </c>
      <c r="AB3541" s="1332">
        <v>5</v>
      </c>
      <c r="AC3541" s="1332" t="s">
        <v>2941</v>
      </c>
      <c r="AD3541" s="1332" t="s">
        <v>5435</v>
      </c>
      <c r="AE3541" s="1332">
        <f t="shared" si="325"/>
        <v>83</v>
      </c>
      <c r="AF3541" s="1332" t="s">
        <v>2941</v>
      </c>
      <c r="AG3541" s="1332">
        <f t="shared" si="323"/>
        <v>415</v>
      </c>
    </row>
    <row r="3542" spans="6:33" ht="24" customHeight="1">
      <c r="F3542" s="1332">
        <v>2</v>
      </c>
      <c r="G3542" s="1332" t="s">
        <v>2941</v>
      </c>
      <c r="H3542" s="1332" t="s">
        <v>5437</v>
      </c>
      <c r="I3542" s="1332">
        <f t="shared" si="324"/>
        <v>60</v>
      </c>
      <c r="J3542" s="1332" t="s">
        <v>2941</v>
      </c>
      <c r="K3542" s="1332">
        <f t="shared" si="320"/>
        <v>120</v>
      </c>
      <c r="M3542" s="1332">
        <f>P3541</f>
        <v>2.5575000000000006</v>
      </c>
      <c r="N3542" s="1332" t="s">
        <v>3189</v>
      </c>
      <c r="O3542" s="1332" t="s">
        <v>5447</v>
      </c>
      <c r="P3542" s="1332">
        <f>I3538</f>
        <v>2233</v>
      </c>
      <c r="Q3542" s="1332" t="s">
        <v>3189</v>
      </c>
      <c r="R3542" s="1332">
        <f>P3542*M3542</f>
        <v>5710.8975000000009</v>
      </c>
      <c r="S3542" s="1332">
        <v>2</v>
      </c>
      <c r="T3542" s="1332" t="s">
        <v>2941</v>
      </c>
      <c r="U3542" s="1332" t="s">
        <v>5437</v>
      </c>
      <c r="V3542" s="1332">
        <f t="shared" si="321"/>
        <v>60</v>
      </c>
      <c r="W3542" s="1332" t="s">
        <v>2941</v>
      </c>
      <c r="X3542" s="1332">
        <f t="shared" si="322"/>
        <v>120</v>
      </c>
      <c r="AB3542" s="1332">
        <v>2</v>
      </c>
      <c r="AC3542" s="1332" t="s">
        <v>2941</v>
      </c>
      <c r="AD3542" s="1332" t="s">
        <v>5437</v>
      </c>
      <c r="AE3542" s="1332">
        <f t="shared" si="325"/>
        <v>60</v>
      </c>
      <c r="AF3542" s="1332" t="s">
        <v>2941</v>
      </c>
      <c r="AG3542" s="1332">
        <f t="shared" si="323"/>
        <v>120</v>
      </c>
    </row>
    <row r="3543" spans="6:33" ht="24" customHeight="1">
      <c r="F3543" s="1332">
        <v>1</v>
      </c>
      <c r="G3543" s="1332" t="s">
        <v>2941</v>
      </c>
      <c r="H3543" s="1332" t="s">
        <v>5395</v>
      </c>
      <c r="I3543" s="1332">
        <f t="shared" si="324"/>
        <v>167.6</v>
      </c>
      <c r="J3543" s="1332" t="s">
        <v>2941</v>
      </c>
      <c r="K3543" s="1332">
        <f t="shared" si="320"/>
        <v>167.6</v>
      </c>
      <c r="M3543" s="1332">
        <f>P3541</f>
        <v>2.5575000000000006</v>
      </c>
      <c r="N3543" s="1332" t="s">
        <v>3189</v>
      </c>
      <c r="O3543" s="1332" t="s">
        <v>5454</v>
      </c>
      <c r="P3543" s="1332">
        <v>122</v>
      </c>
      <c r="Q3543" s="1332" t="s">
        <v>3189</v>
      </c>
      <c r="R3543" s="1332">
        <f t="shared" ref="R3543:R3551" si="326">P3543*M3543</f>
        <v>312.01500000000004</v>
      </c>
      <c r="S3543" s="1332">
        <v>1</v>
      </c>
      <c r="T3543" s="1332" t="s">
        <v>2941</v>
      </c>
      <c r="U3543" s="1332" t="s">
        <v>5395</v>
      </c>
      <c r="V3543" s="1332">
        <f t="shared" si="321"/>
        <v>167.6</v>
      </c>
      <c r="W3543" s="1332" t="s">
        <v>2941</v>
      </c>
      <c r="X3543" s="1332">
        <f t="shared" si="322"/>
        <v>167.6</v>
      </c>
      <c r="AB3543" s="1332">
        <v>1</v>
      </c>
      <c r="AC3543" s="1332" t="s">
        <v>2941</v>
      </c>
      <c r="AD3543" s="1332" t="s">
        <v>5395</v>
      </c>
      <c r="AE3543" s="1332">
        <f t="shared" si="325"/>
        <v>167.6</v>
      </c>
      <c r="AF3543" s="1332" t="s">
        <v>2941</v>
      </c>
      <c r="AG3543" s="1332">
        <f t="shared" si="323"/>
        <v>167.6</v>
      </c>
    </row>
    <row r="3544" spans="6:33" ht="24" customHeight="1">
      <c r="F3544" s="1332">
        <v>92</v>
      </c>
      <c r="G3544" s="1332" t="s">
        <v>2941</v>
      </c>
      <c r="H3544" s="1332" t="s">
        <v>5432</v>
      </c>
      <c r="I3544" s="1332">
        <f t="shared" si="324"/>
        <v>2.39</v>
      </c>
      <c r="J3544" s="1332" t="s">
        <v>2941</v>
      </c>
      <c r="K3544" s="1332">
        <f t="shared" si="320"/>
        <v>219.88000000000002</v>
      </c>
      <c r="M3544" s="1332">
        <v>2</v>
      </c>
      <c r="N3544" s="1332" t="s">
        <v>2941</v>
      </c>
      <c r="O3544" s="1332" t="s">
        <v>5433</v>
      </c>
      <c r="P3544" s="1332">
        <f t="shared" ref="P3544:P3550" si="327">P3528</f>
        <v>53.4</v>
      </c>
      <c r="Q3544" s="1332" t="s">
        <v>2941</v>
      </c>
      <c r="R3544" s="1332">
        <f t="shared" si="326"/>
        <v>106.8</v>
      </c>
      <c r="S3544" s="1332">
        <v>92</v>
      </c>
      <c r="T3544" s="1332" t="s">
        <v>2941</v>
      </c>
      <c r="U3544" s="1332" t="s">
        <v>5432</v>
      </c>
      <c r="V3544" s="1332">
        <f t="shared" si="321"/>
        <v>2.39</v>
      </c>
      <c r="W3544" s="1332" t="s">
        <v>2941</v>
      </c>
      <c r="X3544" s="1332">
        <f t="shared" si="322"/>
        <v>219.88000000000002</v>
      </c>
      <c r="AB3544" s="1332">
        <v>92</v>
      </c>
      <c r="AC3544" s="1332" t="s">
        <v>2941</v>
      </c>
      <c r="AD3544" s="1332" t="s">
        <v>5432</v>
      </c>
      <c r="AE3544" s="1332">
        <f t="shared" si="325"/>
        <v>2.39</v>
      </c>
      <c r="AF3544" s="1332" t="s">
        <v>2941</v>
      </c>
      <c r="AG3544" s="1332">
        <f t="shared" si="323"/>
        <v>219.88000000000002</v>
      </c>
    </row>
    <row r="3545" spans="6:33" ht="24" customHeight="1">
      <c r="F3545" s="1332">
        <v>1</v>
      </c>
      <c r="G3545" s="1332" t="s">
        <v>2941</v>
      </c>
      <c r="H3545" s="1332" t="s">
        <v>5440</v>
      </c>
      <c r="I3545" s="1332">
        <f t="shared" si="324"/>
        <v>22.9</v>
      </c>
      <c r="J3545" s="1332" t="s">
        <v>2941</v>
      </c>
      <c r="K3545" s="1332">
        <f t="shared" si="320"/>
        <v>22.9</v>
      </c>
      <c r="M3545" s="1332">
        <v>5</v>
      </c>
      <c r="N3545" s="1332" t="s">
        <v>2941</v>
      </c>
      <c r="O3545" s="1332" t="s">
        <v>5435</v>
      </c>
      <c r="P3545" s="1332">
        <f t="shared" si="327"/>
        <v>83</v>
      </c>
      <c r="Q3545" s="1332" t="s">
        <v>2941</v>
      </c>
      <c r="R3545" s="1332">
        <f t="shared" si="326"/>
        <v>415</v>
      </c>
      <c r="S3545" s="1332">
        <v>1</v>
      </c>
      <c r="T3545" s="1332" t="s">
        <v>2941</v>
      </c>
      <c r="U3545" s="1332" t="s">
        <v>5440</v>
      </c>
      <c r="V3545" s="1332">
        <f t="shared" si="321"/>
        <v>22.9</v>
      </c>
      <c r="W3545" s="1332" t="s">
        <v>2941</v>
      </c>
      <c r="X3545" s="1332">
        <f t="shared" si="322"/>
        <v>22.9</v>
      </c>
      <c r="AB3545" s="1332">
        <v>1</v>
      </c>
      <c r="AC3545" s="1332" t="s">
        <v>2941</v>
      </c>
      <c r="AD3545" s="1332" t="s">
        <v>5440</v>
      </c>
      <c r="AE3545" s="1332">
        <f t="shared" si="325"/>
        <v>22.9</v>
      </c>
      <c r="AF3545" s="1332" t="s">
        <v>2941</v>
      </c>
      <c r="AG3545" s="1332">
        <f t="shared" si="323"/>
        <v>22.9</v>
      </c>
    </row>
    <row r="3546" spans="6:33" ht="24" customHeight="1">
      <c r="F3546" s="1332">
        <v>1</v>
      </c>
      <c r="G3546" s="1332" t="s">
        <v>2941</v>
      </c>
      <c r="H3546" s="1332" t="s">
        <v>5436</v>
      </c>
      <c r="I3546" s="1332">
        <f t="shared" si="324"/>
        <v>45.9</v>
      </c>
      <c r="J3546" s="1332" t="s">
        <v>2941</v>
      </c>
      <c r="K3546" s="1332">
        <f t="shared" si="320"/>
        <v>45.9</v>
      </c>
      <c r="M3546" s="1332">
        <v>2</v>
      </c>
      <c r="N3546" s="1332" t="s">
        <v>2941</v>
      </c>
      <c r="O3546" s="1332" t="s">
        <v>5437</v>
      </c>
      <c r="P3546" s="1332">
        <f t="shared" si="327"/>
        <v>60</v>
      </c>
      <c r="Q3546" s="1332" t="s">
        <v>2941</v>
      </c>
      <c r="R3546" s="1332">
        <f t="shared" si="326"/>
        <v>120</v>
      </c>
      <c r="S3546" s="1332">
        <v>1</v>
      </c>
      <c r="T3546" s="1332" t="s">
        <v>2941</v>
      </c>
      <c r="U3546" s="1332" t="s">
        <v>5436</v>
      </c>
      <c r="V3546" s="1332">
        <f t="shared" si="321"/>
        <v>45.9</v>
      </c>
      <c r="W3546" s="1332" t="s">
        <v>2941</v>
      </c>
      <c r="X3546" s="1332">
        <f t="shared" si="322"/>
        <v>45.9</v>
      </c>
      <c r="AB3546" s="1332">
        <v>1</v>
      </c>
      <c r="AC3546" s="1332" t="s">
        <v>2941</v>
      </c>
      <c r="AD3546" s="1332" t="s">
        <v>5436</v>
      </c>
      <c r="AE3546" s="1332">
        <f t="shared" si="325"/>
        <v>45.9</v>
      </c>
      <c r="AF3546" s="1332" t="s">
        <v>2941</v>
      </c>
      <c r="AG3546" s="1332">
        <f t="shared" si="323"/>
        <v>45.9</v>
      </c>
    </row>
    <row r="3547" spans="6:33" ht="24" customHeight="1">
      <c r="F3547" s="1337">
        <v>0.35</v>
      </c>
      <c r="G3547" s="1332" t="s">
        <v>3189</v>
      </c>
      <c r="H3547" s="1332" t="s">
        <v>5455</v>
      </c>
      <c r="I3547" s="1332">
        <f>K1540</f>
        <v>212.24139999999997</v>
      </c>
      <c r="J3547" s="1332" t="s">
        <v>3189</v>
      </c>
      <c r="K3547" s="1332"/>
      <c r="M3547" s="1332">
        <v>1</v>
      </c>
      <c r="N3547" s="1332" t="s">
        <v>2941</v>
      </c>
      <c r="O3547" s="1332" t="s">
        <v>5395</v>
      </c>
      <c r="P3547" s="1332">
        <f t="shared" si="327"/>
        <v>167.6</v>
      </c>
      <c r="Q3547" s="1332" t="s">
        <v>2941</v>
      </c>
      <c r="R3547" s="1332">
        <f t="shared" si="326"/>
        <v>167.6</v>
      </c>
      <c r="S3547" s="1337">
        <v>0.39</v>
      </c>
      <c r="T3547" s="1332" t="s">
        <v>3189</v>
      </c>
      <c r="U3547" s="1332" t="s">
        <v>5455</v>
      </c>
      <c r="V3547" s="1332">
        <f t="shared" si="321"/>
        <v>212.24139999999997</v>
      </c>
      <c r="W3547" s="1332" t="s">
        <v>3189</v>
      </c>
      <c r="X3547" s="1332"/>
      <c r="AB3547" s="1337">
        <v>0.35</v>
      </c>
      <c r="AC3547" s="1332" t="s">
        <v>3189</v>
      </c>
      <c r="AD3547" s="1332" t="s">
        <v>5455</v>
      </c>
      <c r="AE3547" s="1332">
        <f t="shared" si="325"/>
        <v>212.24139999999997</v>
      </c>
      <c r="AF3547" s="1332" t="s">
        <v>3189</v>
      </c>
      <c r="AG3547" s="1332"/>
    </row>
    <row r="3548" spans="6:33" ht="24" customHeight="1">
      <c r="F3548" s="1332"/>
      <c r="G3548" s="1332"/>
      <c r="H3548" s="1332" t="s">
        <v>5456</v>
      </c>
      <c r="I3548" s="1332"/>
      <c r="J3548" s="1333"/>
      <c r="K3548" s="1332">
        <f>SUM(K3538:K3547)</f>
        <v>5461.1449999999995</v>
      </c>
      <c r="M3548" s="1332">
        <v>92</v>
      </c>
      <c r="N3548" s="1332" t="s">
        <v>2941</v>
      </c>
      <c r="O3548" s="1332" t="s">
        <v>5432</v>
      </c>
      <c r="P3548" s="1332">
        <f t="shared" si="327"/>
        <v>2.39</v>
      </c>
      <c r="Q3548" s="1332" t="s">
        <v>2941</v>
      </c>
      <c r="R3548" s="1332">
        <f t="shared" si="326"/>
        <v>219.88000000000002</v>
      </c>
      <c r="S3548" s="1332"/>
      <c r="T3548" s="1332"/>
      <c r="U3548" s="1332" t="s">
        <v>5457</v>
      </c>
      <c r="V3548" s="1332"/>
      <c r="W3548" s="1333"/>
      <c r="X3548" s="1332">
        <f>SUM(X3538:X3547)</f>
        <v>6190.5250000000005</v>
      </c>
      <c r="AB3548" s="1332"/>
      <c r="AC3548" s="1332"/>
      <c r="AD3548" s="1332" t="s">
        <v>5458</v>
      </c>
      <c r="AE3548" s="1332"/>
      <c r="AF3548" s="1333"/>
      <c r="AG3548" s="1332">
        <f>SUM(AG3538:AG3547)</f>
        <v>4976.3599999999997</v>
      </c>
    </row>
    <row r="3549" spans="6:33" ht="24" customHeight="1">
      <c r="F3549" s="1332"/>
      <c r="G3549" s="1332"/>
      <c r="H3549" s="1332" t="s">
        <v>4942</v>
      </c>
      <c r="I3549" s="1332"/>
      <c r="J3549" s="1333"/>
      <c r="K3549" s="1332">
        <f>K3548/F3539</f>
        <v>2996.5130315500683</v>
      </c>
      <c r="M3549" s="1332">
        <v>1</v>
      </c>
      <c r="N3549" s="1332" t="s">
        <v>2941</v>
      </c>
      <c r="O3549" s="1332" t="s">
        <v>5440</v>
      </c>
      <c r="P3549" s="1332">
        <f t="shared" si="327"/>
        <v>22.9</v>
      </c>
      <c r="Q3549" s="1332" t="s">
        <v>2941</v>
      </c>
      <c r="R3549" s="1332">
        <f t="shared" si="326"/>
        <v>22.9</v>
      </c>
      <c r="S3549" s="1332"/>
      <c r="T3549" s="1332"/>
      <c r="U3549" s="1332" t="s">
        <v>4942</v>
      </c>
      <c r="V3549" s="1332"/>
      <c r="W3549" s="1333"/>
      <c r="X3549" s="1332">
        <f>X3548/S3539</f>
        <v>2958.4348864994026</v>
      </c>
      <c r="AB3549" s="1332"/>
      <c r="AC3549" s="1332"/>
      <c r="AD3549" s="1332" t="s">
        <v>4942</v>
      </c>
      <c r="AE3549" s="1332"/>
      <c r="AF3549" s="1333"/>
      <c r="AG3549" s="1332">
        <f>AG3548/AB3539</f>
        <v>3071.8271604938268</v>
      </c>
    </row>
    <row r="3550" spans="6:33" ht="24" customHeight="1">
      <c r="M3550" s="1332">
        <v>1</v>
      </c>
      <c r="N3550" s="1332" t="s">
        <v>2941</v>
      </c>
      <c r="O3550" s="1332" t="s">
        <v>5436</v>
      </c>
      <c r="P3550" s="1332">
        <f t="shared" si="327"/>
        <v>45.9</v>
      </c>
      <c r="Q3550" s="1332" t="s">
        <v>2941</v>
      </c>
      <c r="R3550" s="1332">
        <f t="shared" si="326"/>
        <v>45.9</v>
      </c>
      <c r="AF3550" s="1107"/>
    </row>
    <row r="3551" spans="6:33" ht="24" customHeight="1">
      <c r="M3551" s="1337"/>
      <c r="N3551" s="1332" t="s">
        <v>3189</v>
      </c>
      <c r="O3551" s="1332" t="s">
        <v>5438</v>
      </c>
      <c r="P3551" s="1332">
        <f>P3535</f>
        <v>172.13200000000001</v>
      </c>
      <c r="Q3551" s="1332" t="s">
        <v>3189</v>
      </c>
      <c r="R3551" s="1332">
        <f t="shared" si="326"/>
        <v>0</v>
      </c>
    </row>
    <row r="3552" spans="6:33" ht="24" customHeight="1">
      <c r="F3552" s="1131"/>
      <c r="G3552" s="1114" t="s">
        <v>1363</v>
      </c>
      <c r="H3552" s="1103" t="s">
        <v>4637</v>
      </c>
      <c r="M3552" s="1332"/>
      <c r="N3552" s="1332"/>
      <c r="O3552" s="1332" t="s">
        <v>5459</v>
      </c>
      <c r="P3552" s="1332"/>
      <c r="Q3552" s="1333"/>
      <c r="R3552" s="1332">
        <f>SUM(R3542:R3551)</f>
        <v>7120.9925000000012</v>
      </c>
      <c r="S3552" s="1332"/>
      <c r="T3552" s="1332"/>
      <c r="U3552" s="1332" t="s">
        <v>5460</v>
      </c>
      <c r="V3552" s="1332"/>
      <c r="W3552" s="1333"/>
    </row>
    <row r="3553" spans="6:24" ht="24" customHeight="1">
      <c r="H3553" s="1106" t="s">
        <v>5461</v>
      </c>
      <c r="M3553" s="1332"/>
      <c r="N3553" s="1332"/>
      <c r="O3553" s="1332" t="s">
        <v>4942</v>
      </c>
      <c r="P3553" s="1332"/>
      <c r="Q3553" s="1333"/>
      <c r="R3553" s="1332">
        <f>R3552/M3543</f>
        <v>2784.3567937438902</v>
      </c>
      <c r="S3553" s="1105"/>
      <c r="U3553" s="1332" t="s">
        <v>5462</v>
      </c>
      <c r="V3553" s="1105">
        <f>1.4*2.025</f>
        <v>2.8349999999999995</v>
      </c>
      <c r="W3553" s="1107"/>
    </row>
    <row r="3554" spans="6:24" ht="24" customHeight="1">
      <c r="H3554" s="1103" t="s">
        <v>4639</v>
      </c>
      <c r="Q3554" s="1107"/>
      <c r="S3554" s="1332">
        <f>V3553</f>
        <v>2.8349999999999995</v>
      </c>
      <c r="T3554" s="1332" t="s">
        <v>3189</v>
      </c>
      <c r="U3554" s="1332" t="s">
        <v>5447</v>
      </c>
      <c r="V3554" s="1332">
        <f>P3526</f>
        <v>2233</v>
      </c>
      <c r="W3554" s="1332" t="s">
        <v>3189</v>
      </c>
      <c r="X3554" s="1332">
        <f>V3554*S3554</f>
        <v>6330.5549999999994</v>
      </c>
    </row>
    <row r="3555" spans="6:24" ht="24" customHeight="1">
      <c r="H3555" s="1103" t="s">
        <v>4640</v>
      </c>
      <c r="S3555" s="1332">
        <f>V3553</f>
        <v>2.8349999999999995</v>
      </c>
      <c r="T3555" s="1332" t="s">
        <v>3189</v>
      </c>
      <c r="U3555" s="1332" t="s">
        <v>5450</v>
      </c>
      <c r="V3555" s="1332">
        <f>P3527</f>
        <v>248</v>
      </c>
      <c r="W3555" s="1332" t="s">
        <v>3189</v>
      </c>
      <c r="X3555" s="1332">
        <f t="shared" ref="X3555:X3563" si="328">V3555*S3555</f>
        <v>703.07999999999993</v>
      </c>
    </row>
    <row r="3556" spans="6:24" ht="46.5" customHeight="1">
      <c r="H3556" s="1111" t="s">
        <v>36</v>
      </c>
      <c r="S3556" s="1332">
        <v>4</v>
      </c>
      <c r="T3556" s="1332" t="s">
        <v>2941</v>
      </c>
      <c r="U3556" s="1332" t="s">
        <v>5433</v>
      </c>
      <c r="V3556" s="1332">
        <f t="shared" ref="V3556:V3563" si="329">V3540</f>
        <v>53.4</v>
      </c>
      <c r="W3556" s="1332" t="s">
        <v>2941</v>
      </c>
      <c r="X3556" s="1332">
        <f t="shared" si="328"/>
        <v>213.6</v>
      </c>
    </row>
    <row r="3557" spans="6:24" ht="33.75" customHeight="1">
      <c r="F3557" s="1114">
        <v>1</v>
      </c>
      <c r="G3557" s="1114" t="s">
        <v>2838</v>
      </c>
      <c r="H3557" s="1129" t="s">
        <v>5463</v>
      </c>
      <c r="I3557" s="1114">
        <v>1656</v>
      </c>
      <c r="J3557" s="1103" t="s">
        <v>2838</v>
      </c>
      <c r="K3557" s="1114">
        <f>(F3557*I3557)</f>
        <v>1656</v>
      </c>
      <c r="S3557" s="1332">
        <v>10</v>
      </c>
      <c r="T3557" s="1332" t="s">
        <v>2941</v>
      </c>
      <c r="U3557" s="1332" t="s">
        <v>5435</v>
      </c>
      <c r="V3557" s="1332">
        <f t="shared" si="329"/>
        <v>83</v>
      </c>
      <c r="W3557" s="1332" t="s">
        <v>2941</v>
      </c>
      <c r="X3557" s="1332">
        <f t="shared" si="328"/>
        <v>830</v>
      </c>
    </row>
    <row r="3558" spans="6:24" ht="24" customHeight="1">
      <c r="F3558" s="1114"/>
      <c r="G3558" s="1114"/>
      <c r="H3558" s="1103"/>
      <c r="I3558" s="1114"/>
      <c r="J3558" s="1103"/>
      <c r="K3558" s="1114"/>
      <c r="S3558" s="1332">
        <v>3</v>
      </c>
      <c r="T3558" s="1332" t="s">
        <v>2941</v>
      </c>
      <c r="U3558" s="1332" t="s">
        <v>5437</v>
      </c>
      <c r="V3558" s="1332">
        <f t="shared" si="329"/>
        <v>60</v>
      </c>
      <c r="W3558" s="1332" t="s">
        <v>2941</v>
      </c>
      <c r="X3558" s="1332">
        <f t="shared" si="328"/>
        <v>180</v>
      </c>
    </row>
    <row r="3559" spans="6:24" ht="24" customHeight="1">
      <c r="F3559" s="1114"/>
      <c r="G3559" s="1114"/>
      <c r="H3559" s="1103"/>
      <c r="I3559" s="1114"/>
      <c r="J3559" s="1104"/>
      <c r="K3559" s="1114"/>
      <c r="S3559" s="1332">
        <v>1</v>
      </c>
      <c r="T3559" s="1332" t="s">
        <v>2941</v>
      </c>
      <c r="U3559" s="1332" t="s">
        <v>5395</v>
      </c>
      <c r="V3559" s="1332">
        <f t="shared" si="329"/>
        <v>167.6</v>
      </c>
      <c r="W3559" s="1332" t="s">
        <v>2941</v>
      </c>
      <c r="X3559" s="1332">
        <f t="shared" si="328"/>
        <v>167.6</v>
      </c>
    </row>
    <row r="3560" spans="6:24" ht="24" customHeight="1">
      <c r="F3560" s="1114">
        <v>1</v>
      </c>
      <c r="G3560" s="1114" t="s">
        <v>2838</v>
      </c>
      <c r="H3560" s="1103" t="s">
        <v>5464</v>
      </c>
      <c r="I3560" s="1114">
        <f>I1939</f>
        <v>-168</v>
      </c>
      <c r="J3560" s="1103" t="s">
        <v>2838</v>
      </c>
      <c r="K3560" s="1114">
        <f>(F3560*I3560)</f>
        <v>-168</v>
      </c>
      <c r="S3560" s="1332">
        <v>162</v>
      </c>
      <c r="T3560" s="1332" t="s">
        <v>2941</v>
      </c>
      <c r="U3560" s="1332" t="s">
        <v>5432</v>
      </c>
      <c r="V3560" s="1332">
        <f t="shared" si="329"/>
        <v>2.39</v>
      </c>
      <c r="W3560" s="1332" t="s">
        <v>2941</v>
      </c>
      <c r="X3560" s="1332">
        <f t="shared" si="328"/>
        <v>387.18</v>
      </c>
    </row>
    <row r="3561" spans="6:24" ht="24" customHeight="1">
      <c r="F3561" s="1114"/>
      <c r="G3561" s="1114"/>
      <c r="H3561" s="1103"/>
      <c r="I3561" s="1114"/>
      <c r="J3561" s="1104"/>
      <c r="K3561" s="1114"/>
      <c r="S3561" s="1332">
        <v>2</v>
      </c>
      <c r="T3561" s="1332" t="s">
        <v>2941</v>
      </c>
      <c r="U3561" s="1332" t="s">
        <v>5440</v>
      </c>
      <c r="V3561" s="1332">
        <f t="shared" si="329"/>
        <v>22.9</v>
      </c>
      <c r="W3561" s="1332" t="s">
        <v>2941</v>
      </c>
      <c r="X3561" s="1332">
        <f t="shared" si="328"/>
        <v>45.8</v>
      </c>
    </row>
    <row r="3562" spans="6:24" ht="24" customHeight="1">
      <c r="F3562" s="1114">
        <v>1</v>
      </c>
      <c r="G3562" s="1114" t="s">
        <v>2838</v>
      </c>
      <c r="H3562" s="1103" t="s">
        <v>4643</v>
      </c>
      <c r="I3562" s="1114">
        <v>250</v>
      </c>
      <c r="J3562" s="1103" t="s">
        <v>2838</v>
      </c>
      <c r="K3562" s="1114">
        <f>(F3562*I3562)</f>
        <v>250</v>
      </c>
      <c r="S3562" s="1332">
        <v>2</v>
      </c>
      <c r="T3562" s="1332" t="s">
        <v>2941</v>
      </c>
      <c r="U3562" s="1332" t="s">
        <v>5436</v>
      </c>
      <c r="V3562" s="1332">
        <f t="shared" si="329"/>
        <v>45.9</v>
      </c>
      <c r="W3562" s="1332" t="s">
        <v>2941</v>
      </c>
      <c r="X3562" s="1332">
        <f t="shared" si="328"/>
        <v>91.8</v>
      </c>
    </row>
    <row r="3563" spans="6:24" ht="24" customHeight="1">
      <c r="F3563" s="1114"/>
      <c r="G3563" s="1114"/>
      <c r="H3563" s="1103"/>
      <c r="I3563" s="1114"/>
      <c r="J3563" s="1103"/>
      <c r="K3563" s="1114"/>
      <c r="S3563" s="1337">
        <v>0.65</v>
      </c>
      <c r="T3563" s="1332" t="s">
        <v>3189</v>
      </c>
      <c r="U3563" s="1332" t="s">
        <v>5455</v>
      </c>
      <c r="V3563" s="1332">
        <f t="shared" si="329"/>
        <v>212.24139999999997</v>
      </c>
      <c r="W3563" s="1332" t="s">
        <v>3189</v>
      </c>
      <c r="X3563" s="1332">
        <f t="shared" si="328"/>
        <v>137.95690999999999</v>
      </c>
    </row>
    <row r="3564" spans="6:24" ht="24" customHeight="1">
      <c r="F3564" s="1114">
        <v>0.5</v>
      </c>
      <c r="G3564" s="1114" t="s">
        <v>2838</v>
      </c>
      <c r="H3564" s="1103" t="s">
        <v>4481</v>
      </c>
      <c r="I3564" s="1114">
        <f>I1943</f>
        <v>747</v>
      </c>
      <c r="J3564" s="1103" t="s">
        <v>2838</v>
      </c>
      <c r="K3564" s="1114">
        <f>(F3564*I3564)</f>
        <v>373.5</v>
      </c>
      <c r="S3564" s="1332"/>
      <c r="T3564" s="1332"/>
      <c r="U3564" s="1332" t="s">
        <v>5465</v>
      </c>
      <c r="V3564" s="1332"/>
      <c r="W3564" s="1333"/>
      <c r="X3564" s="1332">
        <f>SUM(X3554:X3563)</f>
        <v>9087.5719100000006</v>
      </c>
    </row>
    <row r="3565" spans="6:24" ht="24" customHeight="1">
      <c r="F3565" s="1114">
        <v>1</v>
      </c>
      <c r="G3565" s="1114" t="s">
        <v>2838</v>
      </c>
      <c r="H3565" s="1103" t="s">
        <v>3020</v>
      </c>
      <c r="I3565" s="1114">
        <f>I1944</f>
        <v>562</v>
      </c>
      <c r="J3565" s="1103" t="s">
        <v>2838</v>
      </c>
      <c r="K3565" s="1114">
        <f>(F3565*I3565)</f>
        <v>562</v>
      </c>
      <c r="S3565" s="1332"/>
      <c r="T3565" s="1332"/>
      <c r="U3565" s="1332" t="s">
        <v>4942</v>
      </c>
      <c r="V3565" s="1332"/>
      <c r="W3565" s="1333"/>
      <c r="X3565" s="1332">
        <f>X3564/S3555</f>
        <v>3205.4927372134048</v>
      </c>
    </row>
    <row r="3566" spans="6:24" ht="24" customHeight="1">
      <c r="F3566" s="1114">
        <v>0.5</v>
      </c>
      <c r="G3566" s="1114" t="s">
        <v>2838</v>
      </c>
      <c r="H3566" s="1103" t="s">
        <v>3051</v>
      </c>
      <c r="I3566" s="1114">
        <f>I1945</f>
        <v>861</v>
      </c>
      <c r="J3566" s="1103" t="s">
        <v>2838</v>
      </c>
      <c r="K3566" s="1114">
        <f>(F3566*I3566)</f>
        <v>430.5</v>
      </c>
    </row>
    <row r="3567" spans="6:24" ht="24" customHeight="1">
      <c r="G3567" s="1114" t="s">
        <v>2851</v>
      </c>
      <c r="H3567" s="1103" t="s">
        <v>4644</v>
      </c>
      <c r="J3567" s="1103" t="s">
        <v>2851</v>
      </c>
      <c r="K3567" s="1114">
        <v>0.82</v>
      </c>
    </row>
    <row r="3568" spans="6:24" ht="24" customHeight="1">
      <c r="K3568" s="1111" t="s">
        <v>36</v>
      </c>
      <c r="S3568" s="1332"/>
      <c r="T3568" s="1332"/>
      <c r="U3568" s="1332" t="s">
        <v>5466</v>
      </c>
      <c r="V3568" s="1332"/>
      <c r="W3568" s="1333"/>
    </row>
    <row r="3569" spans="6:24" ht="24" customHeight="1">
      <c r="H3569" s="1103" t="s">
        <v>3569</v>
      </c>
      <c r="K3569" s="1115">
        <f>SUM(K3557:K3567)</f>
        <v>3104.82</v>
      </c>
      <c r="S3569" s="1105"/>
      <c r="U3569" s="1332" t="s">
        <v>5467</v>
      </c>
      <c r="V3569" s="1105">
        <f>1.4*2.325</f>
        <v>3.2549999999999999</v>
      </c>
      <c r="W3569" s="1107"/>
    </row>
    <row r="3570" spans="6:24" ht="24" customHeight="1">
      <c r="K3570" s="1111" t="s">
        <v>36</v>
      </c>
      <c r="S3570" s="1332">
        <f>V3569</f>
        <v>3.2549999999999999</v>
      </c>
      <c r="T3570" s="1332" t="s">
        <v>3189</v>
      </c>
      <c r="U3570" s="1332" t="s">
        <v>5447</v>
      </c>
      <c r="V3570" s="1332">
        <f>V3554</f>
        <v>2233</v>
      </c>
      <c r="W3570" s="1332" t="s">
        <v>3189</v>
      </c>
      <c r="X3570" s="1332">
        <f>V3570*S3570</f>
        <v>7268.415</v>
      </c>
    </row>
    <row r="3571" spans="6:24" ht="24" customHeight="1">
      <c r="I3571" s="1108"/>
      <c r="J3571" s="1105"/>
      <c r="S3571" s="1332">
        <f>V3569</f>
        <v>3.2549999999999999</v>
      </c>
      <c r="T3571" s="1332" t="s">
        <v>3189</v>
      </c>
      <c r="U3571" s="1332" t="s">
        <v>5450</v>
      </c>
      <c r="V3571" s="1332">
        <f t="shared" ref="V3571:V3579" si="330">V3555</f>
        <v>248</v>
      </c>
      <c r="W3571" s="1332" t="s">
        <v>3189</v>
      </c>
      <c r="X3571" s="1332">
        <f t="shared" ref="X3571:X3579" si="331">V3571*S3571</f>
        <v>807.24</v>
      </c>
    </row>
    <row r="3572" spans="6:24" ht="35.1" customHeight="1">
      <c r="H3572" s="1338" t="s">
        <v>5468</v>
      </c>
      <c r="I3572" s="1108"/>
      <c r="J3572" s="1105"/>
      <c r="S3572" s="1332">
        <v>4</v>
      </c>
      <c r="T3572" s="1332" t="s">
        <v>2941</v>
      </c>
      <c r="U3572" s="1332" t="s">
        <v>5433</v>
      </c>
      <c r="V3572" s="1332">
        <f t="shared" si="330"/>
        <v>53.4</v>
      </c>
      <c r="W3572" s="1332" t="s">
        <v>2941</v>
      </c>
      <c r="X3572" s="1332">
        <f t="shared" si="331"/>
        <v>213.6</v>
      </c>
    </row>
    <row r="3573" spans="6:24" ht="35.1" customHeight="1">
      <c r="F3573" s="1105">
        <v>70</v>
      </c>
      <c r="G3573" s="1105" t="s">
        <v>61</v>
      </c>
      <c r="H3573" s="1105" t="s">
        <v>5469</v>
      </c>
      <c r="I3573" s="1105">
        <f>P1353</f>
        <v>33</v>
      </c>
      <c r="J3573" s="1107" t="s">
        <v>5470</v>
      </c>
      <c r="K3573" s="1105">
        <f>I3573*F3573</f>
        <v>2310</v>
      </c>
      <c r="S3573" s="1332">
        <v>12</v>
      </c>
      <c r="T3573" s="1332" t="s">
        <v>2941</v>
      </c>
      <c r="U3573" s="1332" t="s">
        <v>5435</v>
      </c>
      <c r="V3573" s="1332">
        <f t="shared" si="330"/>
        <v>83</v>
      </c>
      <c r="W3573" s="1332" t="s">
        <v>2941</v>
      </c>
      <c r="X3573" s="1332">
        <f t="shared" si="331"/>
        <v>996</v>
      </c>
    </row>
    <row r="3574" spans="6:24" ht="35.1" customHeight="1">
      <c r="F3574" s="1105">
        <v>0.3</v>
      </c>
      <c r="G3574" s="1105" t="s">
        <v>204</v>
      </c>
      <c r="H3574" s="1105" t="s">
        <v>5471</v>
      </c>
      <c r="I3574" s="1105">
        <f>P1355</f>
        <v>17600</v>
      </c>
      <c r="J3574" s="1107" t="s">
        <v>5472</v>
      </c>
      <c r="K3574" s="1105">
        <f>I3574*F3574</f>
        <v>5280</v>
      </c>
      <c r="S3574" s="1332">
        <v>3</v>
      </c>
      <c r="T3574" s="1332" t="s">
        <v>2941</v>
      </c>
      <c r="U3574" s="1332" t="s">
        <v>5437</v>
      </c>
      <c r="V3574" s="1332">
        <f t="shared" si="330"/>
        <v>60</v>
      </c>
      <c r="W3574" s="1332" t="s">
        <v>2941</v>
      </c>
      <c r="X3574" s="1332">
        <f t="shared" si="331"/>
        <v>180</v>
      </c>
    </row>
    <row r="3575" spans="6:24" ht="35.1" customHeight="1">
      <c r="H3575" s="1105" t="s">
        <v>5473</v>
      </c>
      <c r="K3575" s="1105">
        <f>SUM(K3573:K3574)</f>
        <v>7590</v>
      </c>
      <c r="S3575" s="1332">
        <v>1</v>
      </c>
      <c r="T3575" s="1332" t="s">
        <v>2941</v>
      </c>
      <c r="U3575" s="1332" t="s">
        <v>5395</v>
      </c>
      <c r="V3575" s="1332">
        <f t="shared" si="330"/>
        <v>167.6</v>
      </c>
      <c r="W3575" s="1332" t="s">
        <v>2941</v>
      </c>
      <c r="X3575" s="1332">
        <f t="shared" si="331"/>
        <v>167.6</v>
      </c>
    </row>
    <row r="3576" spans="6:24" ht="35.1" customHeight="1">
      <c r="H3576" s="1119" t="s">
        <v>5474</v>
      </c>
      <c r="I3576" s="1119"/>
      <c r="J3576" s="1136"/>
      <c r="K3576" s="1119">
        <f>K3575/10</f>
        <v>759</v>
      </c>
      <c r="S3576" s="1332">
        <v>162</v>
      </c>
      <c r="T3576" s="1332" t="s">
        <v>2941</v>
      </c>
      <c r="U3576" s="1332" t="s">
        <v>5432</v>
      </c>
      <c r="V3576" s="1332">
        <f t="shared" si="330"/>
        <v>2.39</v>
      </c>
      <c r="W3576" s="1332" t="s">
        <v>2941</v>
      </c>
      <c r="X3576" s="1332">
        <f t="shared" si="331"/>
        <v>387.18</v>
      </c>
    </row>
    <row r="3577" spans="6:24" ht="35.1" customHeight="1">
      <c r="F3577" s="1105">
        <v>1</v>
      </c>
      <c r="G3577" s="1105" t="s">
        <v>5475</v>
      </c>
      <c r="H3577" s="1105" t="s">
        <v>5476</v>
      </c>
      <c r="I3577" s="1105">
        <f>K3576</f>
        <v>759</v>
      </c>
      <c r="J3577" s="1107" t="s">
        <v>5475</v>
      </c>
      <c r="K3577" s="1105">
        <f>I3577*F3577</f>
        <v>759</v>
      </c>
      <c r="S3577" s="1332">
        <v>2</v>
      </c>
      <c r="T3577" s="1332" t="s">
        <v>2941</v>
      </c>
      <c r="U3577" s="1332" t="s">
        <v>5440</v>
      </c>
      <c r="V3577" s="1332">
        <f t="shared" si="330"/>
        <v>22.9</v>
      </c>
      <c r="W3577" s="1332" t="s">
        <v>2941</v>
      </c>
      <c r="X3577" s="1332">
        <f t="shared" si="331"/>
        <v>45.8</v>
      </c>
    </row>
    <row r="3578" spans="6:24" ht="35.1" customHeight="1">
      <c r="F3578" s="1105">
        <v>2</v>
      </c>
      <c r="G3578" s="1105" t="s">
        <v>4</v>
      </c>
      <c r="H3578" s="1105" t="s">
        <v>4885</v>
      </c>
      <c r="I3578" s="1105">
        <f>I2349</f>
        <v>562</v>
      </c>
      <c r="J3578" s="1107" t="s">
        <v>522</v>
      </c>
      <c r="K3578" s="1105">
        <f>I3578*F3578</f>
        <v>1124</v>
      </c>
      <c r="S3578" s="1332">
        <v>2</v>
      </c>
      <c r="T3578" s="1332" t="s">
        <v>2941</v>
      </c>
      <c r="U3578" s="1332" t="s">
        <v>5436</v>
      </c>
      <c r="V3578" s="1332">
        <f t="shared" si="330"/>
        <v>45.9</v>
      </c>
      <c r="W3578" s="1332" t="s">
        <v>2941</v>
      </c>
      <c r="X3578" s="1332">
        <f t="shared" si="331"/>
        <v>91.8</v>
      </c>
    </row>
    <row r="3579" spans="6:24" ht="35.1" customHeight="1">
      <c r="H3579" s="1105" t="s">
        <v>5477</v>
      </c>
      <c r="K3579" s="1105">
        <v>10.3</v>
      </c>
      <c r="S3579" s="1337">
        <v>0.73</v>
      </c>
      <c r="T3579" s="1332" t="s">
        <v>3189</v>
      </c>
      <c r="U3579" s="1332" t="s">
        <v>5455</v>
      </c>
      <c r="V3579" s="1332">
        <f t="shared" si="330"/>
        <v>212.24139999999997</v>
      </c>
      <c r="W3579" s="1332" t="s">
        <v>3189</v>
      </c>
      <c r="X3579" s="1332">
        <f t="shared" si="331"/>
        <v>154.93622199999999</v>
      </c>
    </row>
    <row r="3580" spans="6:24" ht="35.1" customHeight="1">
      <c r="H3580" s="1105" t="s">
        <v>5478</v>
      </c>
      <c r="K3580" s="1105">
        <f>SUM(K3577:K3579)</f>
        <v>1893.3</v>
      </c>
      <c r="S3580" s="1332"/>
      <c r="T3580" s="1332"/>
      <c r="U3580" s="1332" t="s">
        <v>5442</v>
      </c>
      <c r="V3580" s="1332"/>
      <c r="W3580" s="1333"/>
      <c r="X3580" s="1332">
        <f>SUM(X3570:X3579)</f>
        <v>10312.571221999999</v>
      </c>
    </row>
    <row r="3581" spans="6:24" s="1119" customFormat="1" ht="35.1" customHeight="1">
      <c r="H3581" s="1119" t="s">
        <v>5479</v>
      </c>
      <c r="J3581" s="1136"/>
      <c r="K3581" s="1119">
        <f>K3580/6</f>
        <v>315.55</v>
      </c>
      <c r="S3581" s="1332"/>
      <c r="T3581" s="1332"/>
      <c r="U3581" s="1332" t="s">
        <v>4942</v>
      </c>
      <c r="V3581" s="1332"/>
      <c r="W3581" s="1333"/>
      <c r="X3581" s="1332">
        <f>X3580/S3571</f>
        <v>3168.2246457757292</v>
      </c>
    </row>
    <row r="3582" spans="6:24" ht="35.1" customHeight="1">
      <c r="H3582" s="1119" t="s">
        <v>5480</v>
      </c>
    </row>
    <row r="3583" spans="6:24" ht="35.1" customHeight="1">
      <c r="F3583" s="1105">
        <v>49</v>
      </c>
      <c r="G3583" s="1105" t="s">
        <v>2400</v>
      </c>
      <c r="H3583" s="1105" t="s">
        <v>5481</v>
      </c>
      <c r="I3583" s="1105">
        <f>I3573</f>
        <v>33</v>
      </c>
      <c r="J3583" s="1107" t="s">
        <v>5470</v>
      </c>
      <c r="K3583" s="1105">
        <f>F3583*I3583</f>
        <v>1617</v>
      </c>
      <c r="S3583" s="1332"/>
      <c r="T3583" s="1332"/>
      <c r="U3583" s="1332" t="s">
        <v>5482</v>
      </c>
      <c r="V3583" s="1332"/>
      <c r="W3583" s="1333"/>
    </row>
    <row r="3584" spans="6:24" ht="35.1" customHeight="1">
      <c r="F3584" s="1105">
        <v>0.3</v>
      </c>
      <c r="G3584" s="1105" t="s">
        <v>204</v>
      </c>
      <c r="H3584" s="1105" t="s">
        <v>5483</v>
      </c>
      <c r="I3584" s="1105">
        <f>I3574</f>
        <v>17600</v>
      </c>
      <c r="J3584" s="1107" t="s">
        <v>204</v>
      </c>
      <c r="K3584" s="1105">
        <f>F3584*I3584</f>
        <v>5280</v>
      </c>
      <c r="S3584" s="1105"/>
      <c r="U3584" s="1334" t="s">
        <v>5484</v>
      </c>
      <c r="V3584" s="1332">
        <f>1.7*2.325</f>
        <v>3.9525000000000001</v>
      </c>
      <c r="W3584" s="1107"/>
    </row>
    <row r="3585" spans="6:24" ht="35.1" customHeight="1">
      <c r="H3585" s="1119" t="s">
        <v>5485</v>
      </c>
      <c r="K3585" s="1119">
        <f>SUM(K3583:K3584)</f>
        <v>6897</v>
      </c>
      <c r="S3585" s="1332">
        <f>V3584</f>
        <v>3.9525000000000001</v>
      </c>
      <c r="T3585" s="1332" t="s">
        <v>3189</v>
      </c>
      <c r="U3585" s="1332" t="s">
        <v>5447</v>
      </c>
      <c r="V3585" s="1332">
        <f>V3570</f>
        <v>2233</v>
      </c>
      <c r="W3585" s="1332" t="s">
        <v>3189</v>
      </c>
      <c r="X3585" s="1332">
        <f>V3585*S3585</f>
        <v>8825.9325000000008</v>
      </c>
    </row>
    <row r="3586" spans="6:24" ht="35.1" customHeight="1">
      <c r="H3586" s="1119" t="s">
        <v>5474</v>
      </c>
      <c r="K3586" s="1119">
        <f>K3585/10</f>
        <v>689.7</v>
      </c>
      <c r="S3586" s="1332">
        <f>S3585</f>
        <v>3.9525000000000001</v>
      </c>
      <c r="T3586" s="1332" t="s">
        <v>3189</v>
      </c>
      <c r="U3586" s="1332" t="s">
        <v>5450</v>
      </c>
      <c r="V3586" s="1332">
        <f t="shared" ref="V3586:V3593" si="332">V3571</f>
        <v>248</v>
      </c>
      <c r="W3586" s="1332" t="s">
        <v>3189</v>
      </c>
      <c r="X3586" s="1332">
        <f t="shared" ref="X3586:X3594" si="333">V3586*S3586</f>
        <v>980.22</v>
      </c>
    </row>
    <row r="3587" spans="6:24" ht="35.1" customHeight="1">
      <c r="F3587" s="1105">
        <v>2</v>
      </c>
      <c r="G3587" s="1105" t="s">
        <v>4558</v>
      </c>
      <c r="H3587" s="1105" t="s">
        <v>4885</v>
      </c>
      <c r="I3587" s="1105">
        <f>I3578</f>
        <v>562</v>
      </c>
      <c r="J3587" s="1107" t="s">
        <v>4558</v>
      </c>
      <c r="K3587" s="1105">
        <f>F3587*I3587</f>
        <v>1124</v>
      </c>
      <c r="S3587" s="1332">
        <v>4</v>
      </c>
      <c r="T3587" s="1332" t="s">
        <v>2941</v>
      </c>
      <c r="U3587" s="1332" t="s">
        <v>5433</v>
      </c>
      <c r="V3587" s="1332">
        <f t="shared" si="332"/>
        <v>53.4</v>
      </c>
      <c r="W3587" s="1332" t="s">
        <v>2941</v>
      </c>
      <c r="X3587" s="1332">
        <f t="shared" si="333"/>
        <v>213.6</v>
      </c>
    </row>
    <row r="3588" spans="6:24" ht="35.1" customHeight="1">
      <c r="H3588" s="1105" t="s">
        <v>5486</v>
      </c>
      <c r="K3588" s="1105">
        <v>4.3499999999999996</v>
      </c>
      <c r="S3588" s="1332">
        <v>10</v>
      </c>
      <c r="T3588" s="1332" t="s">
        <v>2941</v>
      </c>
      <c r="U3588" s="1332" t="s">
        <v>5435</v>
      </c>
      <c r="V3588" s="1332">
        <f t="shared" si="332"/>
        <v>83</v>
      </c>
      <c r="W3588" s="1332" t="s">
        <v>2941</v>
      </c>
      <c r="X3588" s="1332">
        <f t="shared" si="333"/>
        <v>830</v>
      </c>
    </row>
    <row r="3589" spans="6:24" ht="35.1" customHeight="1">
      <c r="H3589" s="1105" t="s">
        <v>5487</v>
      </c>
      <c r="K3589" s="1105">
        <f>SUM(K3586:K3588)</f>
        <v>1818.05</v>
      </c>
      <c r="S3589" s="1332">
        <v>3</v>
      </c>
      <c r="T3589" s="1332" t="s">
        <v>2941</v>
      </c>
      <c r="U3589" s="1332" t="s">
        <v>5437</v>
      </c>
      <c r="V3589" s="1332">
        <f t="shared" si="332"/>
        <v>60</v>
      </c>
      <c r="W3589" s="1332" t="s">
        <v>2941</v>
      </c>
      <c r="X3589" s="1332">
        <f t="shared" si="333"/>
        <v>180</v>
      </c>
    </row>
    <row r="3590" spans="6:24" ht="35.1" customHeight="1">
      <c r="H3590" s="1119" t="s">
        <v>5488</v>
      </c>
      <c r="I3590" s="1119"/>
      <c r="J3590" s="1136"/>
      <c r="K3590" s="1119">
        <f>K3589/6</f>
        <v>303.00833333333333</v>
      </c>
      <c r="S3590" s="1332">
        <v>1</v>
      </c>
      <c r="T3590" s="1332" t="s">
        <v>2941</v>
      </c>
      <c r="U3590" s="1332" t="s">
        <v>5395</v>
      </c>
      <c r="V3590" s="1332">
        <f t="shared" si="332"/>
        <v>167.6</v>
      </c>
      <c r="W3590" s="1332" t="s">
        <v>2941</v>
      </c>
      <c r="X3590" s="1332">
        <f t="shared" si="333"/>
        <v>167.6</v>
      </c>
    </row>
    <row r="3591" spans="6:24" s="1119" customFormat="1" ht="35.1" customHeight="1">
      <c r="H3591" s="1105" t="s">
        <v>5489</v>
      </c>
      <c r="I3591" s="1105"/>
      <c r="J3591" s="1107"/>
      <c r="K3591" s="1105">
        <f>K3581</f>
        <v>315.55</v>
      </c>
      <c r="S3591" s="1332">
        <v>118</v>
      </c>
      <c r="T3591" s="1332" t="s">
        <v>2941</v>
      </c>
      <c r="U3591" s="1332" t="s">
        <v>5432</v>
      </c>
      <c r="V3591" s="1332">
        <f t="shared" si="332"/>
        <v>2.39</v>
      </c>
      <c r="W3591" s="1332" t="s">
        <v>2941</v>
      </c>
      <c r="X3591" s="1332">
        <f t="shared" si="333"/>
        <v>282.02000000000004</v>
      </c>
    </row>
    <row r="3592" spans="6:24" s="1119" customFormat="1" ht="35.1" customHeight="1">
      <c r="H3592" s="1105" t="s">
        <v>5490</v>
      </c>
      <c r="I3592" s="1105">
        <f>K3591</f>
        <v>315.55</v>
      </c>
      <c r="J3592" s="1107">
        <f>K3590</f>
        <v>303.00833333333333</v>
      </c>
      <c r="K3592" s="1105">
        <f>SUM(I3592:J3592)</f>
        <v>618.55833333333339</v>
      </c>
      <c r="S3592" s="1332">
        <v>2</v>
      </c>
      <c r="T3592" s="1332" t="s">
        <v>2941</v>
      </c>
      <c r="U3592" s="1332" t="s">
        <v>5440</v>
      </c>
      <c r="V3592" s="1332">
        <f t="shared" si="332"/>
        <v>22.9</v>
      </c>
      <c r="W3592" s="1332" t="s">
        <v>2941</v>
      </c>
      <c r="X3592" s="1332">
        <f t="shared" si="333"/>
        <v>45.8</v>
      </c>
    </row>
    <row r="3593" spans="6:24" s="1119" customFormat="1" ht="35.1" customHeight="1">
      <c r="H3593" s="1105" t="s">
        <v>5491</v>
      </c>
      <c r="I3593" s="1105">
        <f>K3592</f>
        <v>618.55833333333339</v>
      </c>
      <c r="J3593" s="1107">
        <f>J3592</f>
        <v>303.00833333333333</v>
      </c>
      <c r="K3593" s="1105">
        <f>SUM(I3593:J3593)</f>
        <v>921.56666666666672</v>
      </c>
      <c r="S3593" s="1332">
        <v>2</v>
      </c>
      <c r="T3593" s="1332" t="s">
        <v>2941</v>
      </c>
      <c r="U3593" s="1332" t="s">
        <v>5436</v>
      </c>
      <c r="V3593" s="1332">
        <f t="shared" si="332"/>
        <v>45.9</v>
      </c>
      <c r="W3593" s="1332" t="s">
        <v>2941</v>
      </c>
      <c r="X3593" s="1332">
        <f t="shared" si="333"/>
        <v>91.8</v>
      </c>
    </row>
    <row r="3594" spans="6:24" s="1119" customFormat="1" ht="35.1" customHeight="1">
      <c r="H3594" s="1105" t="s">
        <v>5492</v>
      </c>
      <c r="I3594" s="1105">
        <f>K3593</f>
        <v>921.56666666666672</v>
      </c>
      <c r="J3594" s="1107">
        <f>J3593</f>
        <v>303.00833333333333</v>
      </c>
      <c r="K3594" s="1105">
        <f>SUM(I3594:J3594)</f>
        <v>1224.575</v>
      </c>
      <c r="S3594" s="1337"/>
      <c r="T3594" s="1332"/>
      <c r="U3594" s="1332"/>
      <c r="V3594" s="1332"/>
      <c r="W3594" s="1332" t="s">
        <v>3189</v>
      </c>
      <c r="X3594" s="1332">
        <f t="shared" si="333"/>
        <v>0</v>
      </c>
    </row>
    <row r="3595" spans="6:24" s="1119" customFormat="1" ht="35.1" customHeight="1">
      <c r="H3595" s="1105" t="s">
        <v>5493</v>
      </c>
      <c r="I3595" s="1105">
        <f>K3594</f>
        <v>1224.575</v>
      </c>
      <c r="J3595" s="1107">
        <f>J3594</f>
        <v>303.00833333333333</v>
      </c>
      <c r="K3595" s="1105">
        <f>SUM(I3595:J3595)</f>
        <v>1527.5833333333335</v>
      </c>
      <c r="S3595" s="1332"/>
      <c r="T3595" s="1332"/>
      <c r="U3595" s="1332" t="s">
        <v>5494</v>
      </c>
      <c r="V3595" s="1332"/>
      <c r="W3595" s="1333"/>
      <c r="X3595" s="1332">
        <f>SUM(X3585:X3594)</f>
        <v>11616.9725</v>
      </c>
    </row>
    <row r="3596" spans="6:24" ht="24" customHeight="1">
      <c r="S3596" s="1332"/>
      <c r="T3596" s="1332"/>
      <c r="U3596" s="1332" t="s">
        <v>4942</v>
      </c>
      <c r="V3596" s="1332"/>
      <c r="W3596" s="1333"/>
      <c r="X3596" s="1332">
        <f>X3595/S3586</f>
        <v>2939.1454775458569</v>
      </c>
    </row>
    <row r="3597" spans="6:24" ht="24" customHeight="1">
      <c r="F3597" s="1104"/>
      <c r="G3597" s="1114" t="s">
        <v>1363</v>
      </c>
      <c r="H3597" s="1106" t="s">
        <v>5495</v>
      </c>
      <c r="L3597" s="1107"/>
      <c r="S3597" s="1105"/>
      <c r="U3597" s="1332"/>
      <c r="W3597" s="1107"/>
      <c r="X3597" s="1332"/>
    </row>
    <row r="3598" spans="6:24" ht="24" customHeight="1">
      <c r="H3598" s="1106" t="s">
        <v>5496</v>
      </c>
      <c r="L3598" s="1103"/>
    </row>
    <row r="3599" spans="6:24" ht="24" customHeight="1">
      <c r="H3599" s="1111" t="s">
        <v>36</v>
      </c>
      <c r="L3599" s="1103"/>
    </row>
    <row r="3600" spans="6:24" ht="24" customHeight="1">
      <c r="F3600" s="1160">
        <v>7.0699999999999999E-2</v>
      </c>
      <c r="G3600" s="1114" t="s">
        <v>204</v>
      </c>
      <c r="H3600" s="1103" t="s">
        <v>4127</v>
      </c>
      <c r="I3600" s="1114">
        <f>I2814</f>
        <v>99400</v>
      </c>
      <c r="J3600" s="1103" t="s">
        <v>2839</v>
      </c>
      <c r="K3600" s="1114">
        <f t="shared" ref="K3600:K3608" si="334">(F3600*I3600)</f>
        <v>7027.58</v>
      </c>
      <c r="L3600" s="1103"/>
      <c r="S3600" s="1332"/>
      <c r="T3600" s="1332"/>
      <c r="U3600" s="1332" t="s">
        <v>5497</v>
      </c>
      <c r="V3600" s="1332"/>
      <c r="W3600" s="1333"/>
    </row>
    <row r="3601" spans="6:24" ht="24" customHeight="1">
      <c r="F3601" s="1160">
        <v>5.16</v>
      </c>
      <c r="G3601" s="1114" t="s">
        <v>3189</v>
      </c>
      <c r="H3601" s="1103" t="s">
        <v>5498</v>
      </c>
      <c r="I3601" s="1114">
        <v>537</v>
      </c>
      <c r="J3601" s="1103" t="s">
        <v>2839</v>
      </c>
      <c r="K3601" s="1114">
        <f t="shared" si="334"/>
        <v>2770.92</v>
      </c>
      <c r="L3601" s="1103"/>
      <c r="S3601" s="1105"/>
      <c r="U3601" s="1334" t="s">
        <v>5499</v>
      </c>
      <c r="V3601" s="1332">
        <f>1.7*2.025</f>
        <v>3.4424999999999999</v>
      </c>
      <c r="W3601" s="1107"/>
    </row>
    <row r="3602" spans="6:24" ht="24" customHeight="1">
      <c r="F3602" s="1160">
        <v>3.6659999999999999</v>
      </c>
      <c r="G3602" s="1114" t="s">
        <v>3189</v>
      </c>
      <c r="H3602" s="1103" t="s">
        <v>5500</v>
      </c>
      <c r="I3602" s="1114">
        <f>P1395</f>
        <v>208.8</v>
      </c>
      <c r="J3602" s="1103" t="s">
        <v>3189</v>
      </c>
      <c r="K3602" s="1114">
        <f t="shared" si="334"/>
        <v>765.46080000000006</v>
      </c>
      <c r="L3602" s="1103"/>
      <c r="S3602" s="1332">
        <f>V3601</f>
        <v>3.4424999999999999</v>
      </c>
      <c r="T3602" s="1332" t="s">
        <v>3189</v>
      </c>
      <c r="U3602" s="1332" t="s">
        <v>5447</v>
      </c>
      <c r="V3602" s="1332">
        <f>V3585</f>
        <v>2233</v>
      </c>
      <c r="W3602" s="1332" t="s">
        <v>3189</v>
      </c>
      <c r="X3602" s="1332">
        <f>V3602*S3602</f>
        <v>7687.1025</v>
      </c>
    </row>
    <row r="3603" spans="6:24" ht="24" customHeight="1">
      <c r="F3603" s="1114">
        <v>22.66</v>
      </c>
      <c r="G3603" s="1114" t="s">
        <v>61</v>
      </c>
      <c r="H3603" s="1103" t="s">
        <v>5501</v>
      </c>
      <c r="I3603" s="1114">
        <v>14.4</v>
      </c>
      <c r="J3603" s="1114" t="s">
        <v>61</v>
      </c>
      <c r="K3603" s="1114">
        <f t="shared" si="334"/>
        <v>326.30400000000003</v>
      </c>
      <c r="L3603" s="1103"/>
      <c r="S3603" s="1332">
        <f>S3602</f>
        <v>3.4424999999999999</v>
      </c>
      <c r="T3603" s="1332" t="s">
        <v>3189</v>
      </c>
      <c r="U3603" s="1332" t="s">
        <v>5450</v>
      </c>
      <c r="V3603" s="1332">
        <f t="shared" ref="V3603:V3610" si="335">V3586</f>
        <v>248</v>
      </c>
      <c r="W3603" s="1332" t="s">
        <v>3189</v>
      </c>
      <c r="X3603" s="1332">
        <f t="shared" ref="X3603:X3611" si="336">V3603*S3603</f>
        <v>853.74</v>
      </c>
    </row>
    <row r="3604" spans="6:24" ht="24" customHeight="1">
      <c r="F3604" s="1114">
        <v>15</v>
      </c>
      <c r="G3604" s="1114" t="s">
        <v>2838</v>
      </c>
      <c r="H3604" s="1103" t="s">
        <v>4085</v>
      </c>
      <c r="I3604" s="1114">
        <v>69.849999999999994</v>
      </c>
      <c r="J3604" s="1103" t="s">
        <v>2838</v>
      </c>
      <c r="K3604" s="1114">
        <f>(F3603*I3604)</f>
        <v>1582.8009999999999</v>
      </c>
      <c r="L3604" s="1103"/>
      <c r="S3604" s="1332">
        <v>4</v>
      </c>
      <c r="T3604" s="1332" t="s">
        <v>2941</v>
      </c>
      <c r="U3604" s="1332" t="s">
        <v>5433</v>
      </c>
      <c r="V3604" s="1332">
        <f t="shared" si="335"/>
        <v>53.4</v>
      </c>
      <c r="W3604" s="1332" t="s">
        <v>2941</v>
      </c>
      <c r="X3604" s="1332">
        <f t="shared" si="336"/>
        <v>213.6</v>
      </c>
    </row>
    <row r="3605" spans="6:24" ht="24" customHeight="1">
      <c r="F3605" s="1114">
        <v>10</v>
      </c>
      <c r="G3605" s="1114" t="s">
        <v>2838</v>
      </c>
      <c r="H3605" s="1103" t="s">
        <v>5502</v>
      </c>
      <c r="I3605" s="1114">
        <v>64.05</v>
      </c>
      <c r="J3605" s="1103" t="s">
        <v>2838</v>
      </c>
      <c r="K3605" s="1114">
        <f>(F3604*I3605)</f>
        <v>960.75</v>
      </c>
      <c r="L3605" s="1103"/>
      <c r="S3605" s="1332">
        <v>10</v>
      </c>
      <c r="T3605" s="1332" t="s">
        <v>2941</v>
      </c>
      <c r="U3605" s="1332" t="s">
        <v>5435</v>
      </c>
      <c r="V3605" s="1332">
        <f t="shared" si="335"/>
        <v>83</v>
      </c>
      <c r="W3605" s="1332" t="s">
        <v>2941</v>
      </c>
      <c r="X3605" s="1332">
        <f t="shared" si="336"/>
        <v>830</v>
      </c>
    </row>
    <row r="3606" spans="6:24" ht="24" customHeight="1">
      <c r="F3606" s="1114">
        <v>5</v>
      </c>
      <c r="G3606" s="1114" t="s">
        <v>2838</v>
      </c>
      <c r="H3606" s="1103" t="s">
        <v>5503</v>
      </c>
      <c r="I3606" s="1114">
        <v>50.6</v>
      </c>
      <c r="J3606" s="1103" t="s">
        <v>2838</v>
      </c>
      <c r="K3606" s="1114">
        <f>(F3607*I3606)</f>
        <v>253</v>
      </c>
      <c r="L3606" s="1107"/>
      <c r="S3606" s="1332">
        <v>3</v>
      </c>
      <c r="T3606" s="1332" t="s">
        <v>2941</v>
      </c>
      <c r="U3606" s="1332" t="s">
        <v>5437</v>
      </c>
      <c r="V3606" s="1332">
        <f t="shared" si="335"/>
        <v>60</v>
      </c>
      <c r="W3606" s="1332" t="s">
        <v>2941</v>
      </c>
      <c r="X3606" s="1332">
        <f t="shared" si="336"/>
        <v>180</v>
      </c>
    </row>
    <row r="3607" spans="6:24" ht="24" customHeight="1">
      <c r="F3607" s="1114">
        <v>5</v>
      </c>
      <c r="G3607" s="1114" t="s">
        <v>2838</v>
      </c>
      <c r="H3607" s="1103" t="s">
        <v>4133</v>
      </c>
      <c r="I3607" s="1114">
        <v>7.3</v>
      </c>
      <c r="J3607" s="1103" t="s">
        <v>2838</v>
      </c>
      <c r="K3607" s="1114">
        <f>(F3605*I3607)</f>
        <v>73</v>
      </c>
      <c r="L3607" s="1107"/>
      <c r="S3607" s="1332">
        <v>1</v>
      </c>
      <c r="T3607" s="1332" t="s">
        <v>2941</v>
      </c>
      <c r="U3607" s="1332" t="s">
        <v>5395</v>
      </c>
      <c r="V3607" s="1332">
        <f t="shared" si="335"/>
        <v>167.6</v>
      </c>
      <c r="W3607" s="1332" t="s">
        <v>2941</v>
      </c>
      <c r="X3607" s="1332">
        <f t="shared" si="336"/>
        <v>167.6</v>
      </c>
    </row>
    <row r="3608" spans="6:24" ht="24" customHeight="1">
      <c r="F3608" s="1114">
        <v>10</v>
      </c>
      <c r="H3608" s="1103" t="s">
        <v>4087</v>
      </c>
      <c r="I3608" s="1114">
        <f>I3430</f>
        <v>2.39</v>
      </c>
      <c r="J3608" s="1103" t="s">
        <v>2838</v>
      </c>
      <c r="K3608" s="1114">
        <f t="shared" si="334"/>
        <v>23.900000000000002</v>
      </c>
      <c r="L3608" s="1107"/>
      <c r="S3608" s="1332">
        <v>118</v>
      </c>
      <c r="T3608" s="1332" t="s">
        <v>2941</v>
      </c>
      <c r="U3608" s="1332" t="s">
        <v>5432</v>
      </c>
      <c r="V3608" s="1332">
        <f t="shared" si="335"/>
        <v>2.39</v>
      </c>
      <c r="W3608" s="1332" t="s">
        <v>2941</v>
      </c>
      <c r="X3608" s="1332">
        <f t="shared" si="336"/>
        <v>282.02000000000004</v>
      </c>
    </row>
    <row r="3609" spans="6:24" ht="24" customHeight="1">
      <c r="K3609" s="1111" t="s">
        <v>36</v>
      </c>
      <c r="L3609" s="1107"/>
      <c r="S3609" s="1332">
        <v>2</v>
      </c>
      <c r="T3609" s="1332" t="s">
        <v>2941</v>
      </c>
      <c r="U3609" s="1332" t="s">
        <v>5440</v>
      </c>
      <c r="V3609" s="1332">
        <f t="shared" si="335"/>
        <v>22.9</v>
      </c>
      <c r="W3609" s="1332" t="s">
        <v>2941</v>
      </c>
      <c r="X3609" s="1332">
        <f t="shared" si="336"/>
        <v>45.8</v>
      </c>
    </row>
    <row r="3610" spans="6:24" ht="24" customHeight="1">
      <c r="H3610" s="1104" t="s">
        <v>5504</v>
      </c>
      <c r="K3610" s="1114">
        <f>SUM(K3596:K3608)</f>
        <v>13783.7158</v>
      </c>
      <c r="L3610" s="1107"/>
      <c r="S3610" s="1332">
        <v>2</v>
      </c>
      <c r="T3610" s="1332" t="s">
        <v>2941</v>
      </c>
      <c r="U3610" s="1332" t="s">
        <v>5436</v>
      </c>
      <c r="V3610" s="1332">
        <f t="shared" si="335"/>
        <v>45.9</v>
      </c>
      <c r="W3610" s="1332" t="s">
        <v>2941</v>
      </c>
      <c r="X3610" s="1332">
        <f t="shared" si="336"/>
        <v>91.8</v>
      </c>
    </row>
    <row r="3611" spans="6:24" ht="24" customHeight="1">
      <c r="K3611" s="1111" t="s">
        <v>36</v>
      </c>
      <c r="L3611" s="1107"/>
      <c r="S3611" s="1337"/>
      <c r="T3611" s="1332"/>
      <c r="U3611" s="1332"/>
      <c r="V3611" s="1332"/>
      <c r="W3611" s="1332" t="s">
        <v>3189</v>
      </c>
      <c r="X3611" s="1332">
        <f t="shared" si="336"/>
        <v>0</v>
      </c>
    </row>
    <row r="3612" spans="6:24" ht="24" customHeight="1">
      <c r="H3612" s="1118" t="s">
        <v>3154</v>
      </c>
      <c r="I3612" s="1103" t="s">
        <v>220</v>
      </c>
      <c r="K3612" s="1115">
        <f>K3610/F3601</f>
        <v>2671.2627519379844</v>
      </c>
      <c r="S3612" s="1332"/>
      <c r="T3612" s="1332"/>
      <c r="U3612" s="1332" t="s">
        <v>5505</v>
      </c>
      <c r="V3612" s="1332"/>
      <c r="W3612" s="1333"/>
      <c r="X3612" s="1332">
        <f>SUM(X3602:X3611)</f>
        <v>10351.6625</v>
      </c>
    </row>
    <row r="3613" spans="6:24" ht="24" customHeight="1">
      <c r="K3613" s="1111" t="s">
        <v>2793</v>
      </c>
      <c r="S3613" s="1332"/>
      <c r="T3613" s="1332"/>
      <c r="U3613" s="1332" t="s">
        <v>4942</v>
      </c>
      <c r="V3613" s="1332"/>
      <c r="W3613" s="1333"/>
      <c r="X3613" s="1332">
        <f>X3612/S3603</f>
        <v>3007.018881626725</v>
      </c>
    </row>
    <row r="3614" spans="6:24" ht="24" customHeight="1">
      <c r="F3614" s="1104" t="s">
        <v>4141</v>
      </c>
      <c r="G3614" s="1114" t="s">
        <v>1363</v>
      </c>
      <c r="H3614" s="1103" t="s">
        <v>5506</v>
      </c>
      <c r="S3614" s="1105"/>
    </row>
    <row r="3615" spans="6:24" ht="24" customHeight="1">
      <c r="H3615" s="1103" t="s">
        <v>5507</v>
      </c>
      <c r="S3615" s="1332"/>
      <c r="T3615" s="1332"/>
      <c r="U3615" s="1332" t="s">
        <v>5508</v>
      </c>
      <c r="V3615" s="1332"/>
      <c r="W3615" s="1333"/>
    </row>
    <row r="3616" spans="6:24" ht="18.75" customHeight="1">
      <c r="H3616" s="1111" t="s">
        <v>36</v>
      </c>
      <c r="S3616" s="1105"/>
      <c r="U3616" s="1334" t="s">
        <v>5509</v>
      </c>
      <c r="W3616" s="1107">
        <f>1.1*2.025</f>
        <v>2.2275</v>
      </c>
    </row>
    <row r="3617" spans="6:24" ht="18.75" customHeight="1">
      <c r="H3617" s="1182" t="s">
        <v>5510</v>
      </c>
      <c r="I3617" s="1273" t="s">
        <v>2793</v>
      </c>
      <c r="J3617" s="1320">
        <f>0.65*0.65</f>
        <v>0.42250000000000004</v>
      </c>
      <c r="K3617" s="1270" t="s">
        <v>37</v>
      </c>
      <c r="S3617" s="1332">
        <f>W3616</f>
        <v>2.2275</v>
      </c>
      <c r="T3617" s="1332" t="s">
        <v>3189</v>
      </c>
      <c r="U3617" s="1332" t="s">
        <v>5447</v>
      </c>
      <c r="V3617" s="1332">
        <f>V3538</f>
        <v>2233</v>
      </c>
      <c r="W3617" s="1332" t="s">
        <v>3189</v>
      </c>
      <c r="X3617" s="1332">
        <f>V3617*S3617</f>
        <v>4974.0074999999997</v>
      </c>
    </row>
    <row r="3618" spans="6:24" ht="18.75" customHeight="1">
      <c r="H3618" s="1182"/>
      <c r="I3618" s="1273"/>
      <c r="J3618" s="1319"/>
      <c r="K3618" s="1270"/>
      <c r="S3618" s="1332">
        <f>S3617</f>
        <v>2.2275</v>
      </c>
      <c r="T3618" s="1332" t="s">
        <v>3189</v>
      </c>
      <c r="U3618" s="1332" t="s">
        <v>5450</v>
      </c>
      <c r="V3618" s="1332">
        <f>P3543</f>
        <v>122</v>
      </c>
      <c r="W3618" s="1332" t="s">
        <v>3189</v>
      </c>
      <c r="X3618" s="1332">
        <f>V3618*S3618</f>
        <v>271.755</v>
      </c>
    </row>
    <row r="3619" spans="6:24" ht="18.75" customHeight="1">
      <c r="H3619" s="1182" t="s">
        <v>5511</v>
      </c>
      <c r="I3619" s="1273" t="s">
        <v>2793</v>
      </c>
      <c r="J3619" s="1320">
        <v>5.1999999999999998E-2</v>
      </c>
      <c r="K3619" s="1270" t="s">
        <v>16</v>
      </c>
      <c r="S3619" s="1332">
        <v>2</v>
      </c>
      <c r="T3619" s="1332" t="s">
        <v>2941</v>
      </c>
      <c r="U3619" s="1332" t="s">
        <v>5433</v>
      </c>
      <c r="V3619" s="1332">
        <f t="shared" ref="V3619:V3625" si="337">V3604</f>
        <v>53.4</v>
      </c>
      <c r="W3619" s="1332" t="s">
        <v>2941</v>
      </c>
      <c r="X3619" s="1332">
        <f>V3618*S3619</f>
        <v>244</v>
      </c>
    </row>
    <row r="3620" spans="6:24" ht="18.75" customHeight="1">
      <c r="H3620" s="1182" t="s">
        <v>5277</v>
      </c>
      <c r="J3620" s="1145"/>
      <c r="K3620" s="1270"/>
      <c r="S3620" s="1332">
        <v>5</v>
      </c>
      <c r="T3620" s="1332" t="s">
        <v>2941</v>
      </c>
      <c r="U3620" s="1332" t="s">
        <v>5435</v>
      </c>
      <c r="V3620" s="1332">
        <f t="shared" si="337"/>
        <v>83</v>
      </c>
      <c r="W3620" s="1332" t="s">
        <v>2941</v>
      </c>
      <c r="X3620" s="1332">
        <f>V3619*S3620</f>
        <v>267</v>
      </c>
    </row>
    <row r="3621" spans="6:24" ht="18.75" customHeight="1">
      <c r="H3621" s="1182" t="s">
        <v>5512</v>
      </c>
      <c r="I3621" s="1273" t="s">
        <v>2793</v>
      </c>
      <c r="J3621" s="1321">
        <v>1.772E-2</v>
      </c>
      <c r="K3621" s="1270"/>
      <c r="S3621" s="1332">
        <v>2</v>
      </c>
      <c r="T3621" s="1332" t="s">
        <v>2941</v>
      </c>
      <c r="U3621" s="1332" t="s">
        <v>5437</v>
      </c>
      <c r="V3621" s="1332">
        <f t="shared" si="337"/>
        <v>60</v>
      </c>
      <c r="W3621" s="1332" t="s">
        <v>2941</v>
      </c>
      <c r="X3621" s="1332">
        <f>V3620*S3621</f>
        <v>166</v>
      </c>
    </row>
    <row r="3622" spans="6:24" ht="18.75" customHeight="1">
      <c r="H3622" s="1111"/>
      <c r="S3622" s="1332">
        <v>1</v>
      </c>
      <c r="T3622" s="1332" t="s">
        <v>2941</v>
      </c>
      <c r="U3622" s="1332" t="s">
        <v>5395</v>
      </c>
      <c r="V3622" s="1332">
        <f t="shared" si="337"/>
        <v>167.6</v>
      </c>
      <c r="W3622" s="1332" t="s">
        <v>2941</v>
      </c>
      <c r="X3622" s="1332">
        <f>V3621*S3622</f>
        <v>60</v>
      </c>
    </row>
    <row r="3623" spans="6:24" ht="24" customHeight="1">
      <c r="F3623" s="1160">
        <v>5.3E-3</v>
      </c>
      <c r="G3623" s="1114" t="s">
        <v>204</v>
      </c>
      <c r="H3623" s="1103" t="s">
        <v>4127</v>
      </c>
      <c r="I3623" s="1114">
        <f>C2604</f>
        <v>0</v>
      </c>
      <c r="J3623" s="1103" t="s">
        <v>2839</v>
      </c>
      <c r="K3623" s="1114">
        <f t="shared" ref="K3623:K3629" si="338">(F3623*I3623)</f>
        <v>0</v>
      </c>
      <c r="S3623" s="1332">
        <v>92</v>
      </c>
      <c r="T3623" s="1332" t="s">
        <v>2941</v>
      </c>
      <c r="U3623" s="1332" t="s">
        <v>5432</v>
      </c>
      <c r="V3623" s="1332">
        <f t="shared" si="337"/>
        <v>2.39</v>
      </c>
      <c r="W3623" s="1332" t="s">
        <v>2941</v>
      </c>
      <c r="X3623" s="1332">
        <f>V3623*S3623</f>
        <v>219.88000000000002</v>
      </c>
    </row>
    <row r="3624" spans="6:24" ht="24" customHeight="1">
      <c r="F3624" s="1160">
        <v>0.27450000000000002</v>
      </c>
      <c r="G3624" s="1114" t="s">
        <v>3189</v>
      </c>
      <c r="H3624" s="1103" t="str">
        <f>H3602</f>
        <v>4 mm thicj frosted glass</v>
      </c>
      <c r="I3624" s="1114">
        <f>I3602</f>
        <v>208.8</v>
      </c>
      <c r="J3624" s="1103" t="s">
        <v>2839</v>
      </c>
      <c r="K3624" s="1114">
        <f t="shared" si="338"/>
        <v>57.315600000000011</v>
      </c>
      <c r="S3624" s="1332">
        <v>1</v>
      </c>
      <c r="T3624" s="1332" t="s">
        <v>2941</v>
      </c>
      <c r="U3624" s="1332" t="s">
        <v>5440</v>
      </c>
      <c r="V3624" s="1332">
        <f t="shared" si="337"/>
        <v>22.9</v>
      </c>
      <c r="W3624" s="1332" t="s">
        <v>2941</v>
      </c>
      <c r="X3624" s="1332">
        <f>V3623*S3624</f>
        <v>2.39</v>
      </c>
    </row>
    <row r="3625" spans="6:24" ht="24" customHeight="1">
      <c r="F3625" s="1160">
        <v>0.4</v>
      </c>
      <c r="G3625" s="1114" t="s">
        <v>3189</v>
      </c>
      <c r="H3625" s="1103" t="s">
        <v>3208</v>
      </c>
      <c r="I3625" s="1114">
        <f>D2547</f>
        <v>0</v>
      </c>
      <c r="J3625" s="1103" t="s">
        <v>3189</v>
      </c>
      <c r="K3625" s="1114">
        <f t="shared" si="338"/>
        <v>0</v>
      </c>
      <c r="S3625" s="1332">
        <v>1</v>
      </c>
      <c r="T3625" s="1332" t="s">
        <v>2941</v>
      </c>
      <c r="U3625" s="1332" t="s">
        <v>5436</v>
      </c>
      <c r="V3625" s="1332">
        <f t="shared" si="337"/>
        <v>45.9</v>
      </c>
      <c r="W3625" s="1332" t="s">
        <v>2941</v>
      </c>
      <c r="X3625" s="1332">
        <f>V3624*S3625</f>
        <v>22.9</v>
      </c>
    </row>
    <row r="3626" spans="6:24" ht="24" customHeight="1">
      <c r="F3626" s="1114">
        <v>2</v>
      </c>
      <c r="G3626" s="1114" t="s">
        <v>4144</v>
      </c>
      <c r="H3626" s="1103" t="s">
        <v>4145</v>
      </c>
      <c r="I3626" s="1114">
        <f>C2820</f>
        <v>0</v>
      </c>
      <c r="J3626" s="1103" t="s">
        <v>4144</v>
      </c>
      <c r="K3626" s="1114">
        <f t="shared" si="338"/>
        <v>0</v>
      </c>
      <c r="S3626" s="1337"/>
      <c r="T3626" s="1332" t="s">
        <v>3189</v>
      </c>
      <c r="U3626" s="1332"/>
      <c r="W3626" s="1332" t="s">
        <v>3189</v>
      </c>
      <c r="X3626" s="1332">
        <f>V3625*S3626</f>
        <v>0</v>
      </c>
    </row>
    <row r="3627" spans="6:24" ht="24" customHeight="1">
      <c r="F3627" s="1114">
        <v>1</v>
      </c>
      <c r="G3627" s="1114" t="s">
        <v>2838</v>
      </c>
      <c r="H3627" s="1103" t="s">
        <v>4146</v>
      </c>
      <c r="I3627" s="1114">
        <f>C2808</f>
        <v>0</v>
      </c>
      <c r="J3627" s="1103" t="s">
        <v>2838</v>
      </c>
      <c r="K3627" s="1114">
        <f t="shared" si="338"/>
        <v>0</v>
      </c>
      <c r="S3627" s="1332"/>
      <c r="T3627" s="1332"/>
      <c r="U3627" s="1332" t="s">
        <v>5439</v>
      </c>
      <c r="V3627" s="1332"/>
      <c r="W3627" s="1333"/>
      <c r="X3627" s="1332">
        <f>SUM(X3617:X3626)</f>
        <v>6227.9324999999999</v>
      </c>
    </row>
    <row r="3628" spans="6:24" ht="24" customHeight="1">
      <c r="F3628" s="1114">
        <v>1</v>
      </c>
      <c r="G3628" s="1114" t="s">
        <v>2838</v>
      </c>
      <c r="H3628" s="1103" t="s">
        <v>4147</v>
      </c>
      <c r="I3628" s="1114">
        <f>C2806</f>
        <v>0</v>
      </c>
      <c r="J3628" s="1103" t="s">
        <v>2838</v>
      </c>
      <c r="K3628" s="1114">
        <f t="shared" si="338"/>
        <v>0</v>
      </c>
      <c r="S3628" s="1332"/>
      <c r="T3628" s="1332"/>
      <c r="U3628" s="1332" t="s">
        <v>4942</v>
      </c>
      <c r="V3628" s="1332"/>
      <c r="W3628" s="1333"/>
      <c r="X3628" s="1332">
        <f>X3627/S3618</f>
        <v>2795.9292929292928</v>
      </c>
    </row>
    <row r="3629" spans="6:24" ht="24" customHeight="1">
      <c r="F3629" s="1114">
        <v>10</v>
      </c>
      <c r="H3629" s="1103" t="s">
        <v>4087</v>
      </c>
      <c r="I3629" s="1114">
        <f>I3608</f>
        <v>2.39</v>
      </c>
      <c r="J3629" s="1103" t="s">
        <v>2838</v>
      </c>
      <c r="K3629" s="1114">
        <f t="shared" si="338"/>
        <v>23.900000000000002</v>
      </c>
    </row>
    <row r="3630" spans="6:24" ht="24" customHeight="1">
      <c r="K3630" s="1111" t="s">
        <v>36</v>
      </c>
      <c r="S3630" s="1105"/>
      <c r="U3630" s="1106" t="s">
        <v>1968</v>
      </c>
    </row>
    <row r="3631" spans="6:24" ht="24" customHeight="1">
      <c r="H3631" s="1104" t="s">
        <v>4148</v>
      </c>
      <c r="K3631" s="1114">
        <f>SUM(K3613:K3629)</f>
        <v>81.215600000000009</v>
      </c>
      <c r="S3631" s="1105"/>
      <c r="U3631" s="1243" t="s">
        <v>5513</v>
      </c>
    </row>
    <row r="3632" spans="6:24" ht="24" customHeight="1">
      <c r="K3632" s="1111" t="s">
        <v>36</v>
      </c>
      <c r="S3632" s="1105"/>
    </row>
    <row r="3633" spans="6:24" ht="24" customHeight="1">
      <c r="H3633" s="1118" t="s">
        <v>3154</v>
      </c>
      <c r="I3633" s="1103" t="s">
        <v>220</v>
      </c>
      <c r="K3633" s="1115">
        <f>K3631/F3625</f>
        <v>203.03900000000002</v>
      </c>
      <c r="S3633" s="1105"/>
    </row>
    <row r="3634" spans="6:24" ht="24" customHeight="1">
      <c r="F3634" s="1103" t="s">
        <v>220</v>
      </c>
      <c r="S3634" s="1148">
        <v>2.2800000000000001E-2</v>
      </c>
      <c r="T3634" s="1105" t="s">
        <v>2839</v>
      </c>
      <c r="U3634" s="1105" t="s">
        <v>4149</v>
      </c>
      <c r="V3634" s="1105">
        <f>V3612</f>
        <v>0</v>
      </c>
      <c r="W3634" s="1107" t="s">
        <v>2839</v>
      </c>
      <c r="X3634" s="1105">
        <f>V3634*S3634</f>
        <v>0</v>
      </c>
    </row>
    <row r="3635" spans="6:24" ht="24" customHeight="1">
      <c r="K3635" s="1111" t="s">
        <v>2793</v>
      </c>
      <c r="S3635" s="1148">
        <v>3.5400000000000001E-2</v>
      </c>
      <c r="T3635" s="1105" t="s">
        <v>2839</v>
      </c>
      <c r="U3635" s="1105" t="s">
        <v>4150</v>
      </c>
      <c r="V3635" s="1105">
        <f>V3613</f>
        <v>0</v>
      </c>
      <c r="W3635" s="1107" t="s">
        <v>2839</v>
      </c>
      <c r="X3635" s="1105">
        <f t="shared" ref="X3635:X3644" si="339">V3635*S3635</f>
        <v>0</v>
      </c>
    </row>
    <row r="3636" spans="6:24" ht="24" customHeight="1">
      <c r="F3636" s="1105">
        <v>45</v>
      </c>
      <c r="H3636" s="1492" t="s">
        <v>5514</v>
      </c>
      <c r="I3636" s="1492"/>
      <c r="J3636" s="1492"/>
      <c r="S3636" s="1165">
        <v>3.2300000000000002E-2</v>
      </c>
      <c r="T3636" s="1105" t="s">
        <v>2839</v>
      </c>
      <c r="U3636" s="1105" t="s">
        <v>4151</v>
      </c>
      <c r="V3636" s="1105">
        <f>V3614</f>
        <v>0</v>
      </c>
      <c r="W3636" s="1107" t="s">
        <v>2839</v>
      </c>
      <c r="X3636" s="1105">
        <f t="shared" si="339"/>
        <v>0</v>
      </c>
    </row>
    <row r="3637" spans="6:24" ht="24" customHeight="1">
      <c r="H3637" s="1492"/>
      <c r="I3637" s="1492"/>
      <c r="J3637" s="1492"/>
      <c r="S3637" s="1108">
        <v>2.835</v>
      </c>
      <c r="T3637" s="1105" t="s">
        <v>3189</v>
      </c>
      <c r="U3637" s="1105" t="s">
        <v>4152</v>
      </c>
      <c r="V3637" s="1105">
        <v>698</v>
      </c>
      <c r="W3637" s="1107" t="s">
        <v>3189</v>
      </c>
      <c r="X3637" s="1105">
        <f t="shared" si="339"/>
        <v>1978.83</v>
      </c>
    </row>
    <row r="3638" spans="6:24" ht="24" customHeight="1">
      <c r="S3638" s="1105">
        <v>2</v>
      </c>
      <c r="T3638" s="1105" t="s">
        <v>4154</v>
      </c>
      <c r="U3638" s="1105" t="s">
        <v>5044</v>
      </c>
      <c r="V3638" s="1105">
        <v>450</v>
      </c>
      <c r="W3638" s="1107" t="s">
        <v>522</v>
      </c>
      <c r="X3638" s="1105">
        <f t="shared" si="339"/>
        <v>900</v>
      </c>
    </row>
    <row r="3639" spans="6:24" ht="33" customHeight="1">
      <c r="F3639" s="1114">
        <v>0.15</v>
      </c>
      <c r="G3639" s="1105" t="s">
        <v>2839</v>
      </c>
      <c r="H3639" s="1154" t="s">
        <v>5515</v>
      </c>
      <c r="I3639" s="1105">
        <v>2548.02</v>
      </c>
      <c r="J3639" s="1107" t="s">
        <v>2839</v>
      </c>
      <c r="K3639" s="1105">
        <f t="shared" ref="K3639:K3644" si="340">I3639*F3639</f>
        <v>382.20299999999997</v>
      </c>
      <c r="L3639" s="1105">
        <f>89.4/0.0354</f>
        <v>2525.4237288135596</v>
      </c>
      <c r="S3639" s="1105">
        <v>6</v>
      </c>
      <c r="T3639" s="1105" t="s">
        <v>4154</v>
      </c>
      <c r="U3639" s="1105" t="s">
        <v>5045</v>
      </c>
      <c r="V3639" s="1105">
        <v>79</v>
      </c>
      <c r="W3639" s="1107" t="s">
        <v>522</v>
      </c>
      <c r="X3639" s="1105">
        <f t="shared" si="339"/>
        <v>474</v>
      </c>
    </row>
    <row r="3640" spans="6:24" ht="24" customHeight="1">
      <c r="F3640" s="1144">
        <v>7.1999999999999995E-2</v>
      </c>
      <c r="G3640" s="1105" t="s">
        <v>197</v>
      </c>
      <c r="H3640" s="1105" t="s">
        <v>2830</v>
      </c>
      <c r="I3640" s="1105">
        <f>I1645</f>
        <v>5960</v>
      </c>
      <c r="J3640" s="1107" t="s">
        <v>197</v>
      </c>
      <c r="K3640" s="1105">
        <f t="shared" si="340"/>
        <v>429.11999999999995</v>
      </c>
      <c r="S3640" s="1105">
        <v>4</v>
      </c>
      <c r="T3640" s="1105" t="s">
        <v>4154</v>
      </c>
      <c r="U3640" s="1105" t="s">
        <v>5046</v>
      </c>
      <c r="V3640" s="1105">
        <v>130</v>
      </c>
      <c r="W3640" s="1107" t="s">
        <v>522</v>
      </c>
      <c r="X3640" s="1105">
        <f t="shared" si="339"/>
        <v>520</v>
      </c>
    </row>
    <row r="3641" spans="6:24" ht="24" customHeight="1">
      <c r="F3641" s="1114">
        <v>1.6</v>
      </c>
      <c r="G3641" s="1105" t="s">
        <v>2941</v>
      </c>
      <c r="H3641" s="1105" t="s">
        <v>3051</v>
      </c>
      <c r="I3641" s="1105">
        <f>I1646</f>
        <v>861</v>
      </c>
      <c r="J3641" s="1107" t="s">
        <v>2941</v>
      </c>
      <c r="K3641" s="1105">
        <f t="shared" si="340"/>
        <v>1377.6000000000001</v>
      </c>
      <c r="S3641" s="1105">
        <v>1</v>
      </c>
      <c r="T3641" s="1105" t="s">
        <v>4154</v>
      </c>
      <c r="U3641" s="1105" t="s">
        <v>5047</v>
      </c>
      <c r="V3641" s="1105">
        <v>985</v>
      </c>
      <c r="W3641" s="1107" t="s">
        <v>522</v>
      </c>
      <c r="X3641" s="1105">
        <f t="shared" si="339"/>
        <v>985</v>
      </c>
    </row>
    <row r="3642" spans="6:24" ht="24" customHeight="1">
      <c r="F3642" s="1114">
        <v>0.5</v>
      </c>
      <c r="G3642" s="1105" t="s">
        <v>2941</v>
      </c>
      <c r="H3642" s="1105" t="s">
        <v>3020</v>
      </c>
      <c r="I3642" s="1105">
        <f>I1647</f>
        <v>562</v>
      </c>
      <c r="J3642" s="1107" t="s">
        <v>2941</v>
      </c>
      <c r="K3642" s="1105">
        <f t="shared" si="340"/>
        <v>281</v>
      </c>
      <c r="S3642" s="1105">
        <v>2</v>
      </c>
      <c r="T3642" s="1105" t="s">
        <v>4154</v>
      </c>
      <c r="U3642" s="1105" t="s">
        <v>5051</v>
      </c>
      <c r="V3642" s="1105">
        <v>24.2</v>
      </c>
      <c r="W3642" s="1107" t="s">
        <v>522</v>
      </c>
      <c r="X3642" s="1105">
        <f t="shared" si="339"/>
        <v>48.4</v>
      </c>
    </row>
    <row r="3643" spans="6:24" ht="24" customHeight="1">
      <c r="F3643" s="1114">
        <v>1.1000000000000001</v>
      </c>
      <c r="G3643" s="1105" t="s">
        <v>2941</v>
      </c>
      <c r="H3643" s="1105" t="s">
        <v>3026</v>
      </c>
      <c r="I3643" s="1105">
        <f>I1648</f>
        <v>461</v>
      </c>
      <c r="J3643" s="1107" t="s">
        <v>2941</v>
      </c>
      <c r="K3643" s="1105">
        <f t="shared" si="340"/>
        <v>507.1</v>
      </c>
      <c r="S3643" s="1105">
        <v>2</v>
      </c>
      <c r="T3643" s="1105" t="s">
        <v>4154</v>
      </c>
      <c r="U3643" s="1105" t="s">
        <v>3214</v>
      </c>
      <c r="V3643" s="1105">
        <v>48.9</v>
      </c>
      <c r="W3643" s="1107" t="s">
        <v>522</v>
      </c>
      <c r="X3643" s="1105">
        <f t="shared" si="339"/>
        <v>97.8</v>
      </c>
    </row>
    <row r="3644" spans="6:24" ht="24" customHeight="1">
      <c r="F3644" s="1114">
        <v>14.5</v>
      </c>
      <c r="G3644" s="1105" t="s">
        <v>4578</v>
      </c>
      <c r="H3644" s="1105" t="s">
        <v>5516</v>
      </c>
      <c r="I3644" s="1105">
        <f>I3747</f>
        <v>24.7</v>
      </c>
      <c r="J3644" s="1107" t="s">
        <v>4578</v>
      </c>
      <c r="K3644" s="1105">
        <f t="shared" si="340"/>
        <v>358.15</v>
      </c>
      <c r="S3644" s="1105">
        <v>118</v>
      </c>
      <c r="T3644" s="1119"/>
      <c r="U3644" s="1105" t="s">
        <v>4087</v>
      </c>
      <c r="V3644" s="1105">
        <v>2.4</v>
      </c>
      <c r="W3644" s="1107"/>
      <c r="X3644" s="1105">
        <f t="shared" si="339"/>
        <v>283.2</v>
      </c>
    </row>
    <row r="3645" spans="6:24" ht="24" customHeight="1">
      <c r="G3645" s="1105" t="s">
        <v>1348</v>
      </c>
      <c r="H3645" s="1105" t="s">
        <v>2852</v>
      </c>
      <c r="J3645" s="1107" t="s">
        <v>1348</v>
      </c>
      <c r="K3645" s="1105">
        <v>7</v>
      </c>
      <c r="S3645" s="1105"/>
      <c r="W3645" s="1107"/>
      <c r="X3645" s="1119">
        <f>SUM(X3634:X3644)</f>
        <v>5287.23</v>
      </c>
    </row>
    <row r="3646" spans="6:24" ht="24" customHeight="1">
      <c r="S3646" s="1105"/>
      <c r="T3646" s="1119"/>
      <c r="U3646" s="1119"/>
      <c r="W3646" s="1107"/>
      <c r="X3646" s="1132" t="s">
        <v>4164</v>
      </c>
    </row>
    <row r="3647" spans="6:24" ht="24" customHeight="1">
      <c r="H3647" s="1105" t="s">
        <v>3152</v>
      </c>
      <c r="K3647" s="1105">
        <f>SUM(K3639:K3646)</f>
        <v>3342.1729999999998</v>
      </c>
      <c r="S3647" s="1105"/>
      <c r="T3647" s="1119"/>
      <c r="U3647" s="1119" t="s">
        <v>4167</v>
      </c>
      <c r="W3647" s="1107"/>
      <c r="X3647" s="1119">
        <f>X3645/2.835</f>
        <v>1864.9841269841268</v>
      </c>
    </row>
    <row r="3648" spans="6:24" ht="24" customHeight="1">
      <c r="H3648" s="1105" t="s">
        <v>3154</v>
      </c>
      <c r="K3648" s="1105">
        <f>K3647/10</f>
        <v>334.21729999999997</v>
      </c>
      <c r="S3648" s="1105"/>
      <c r="T3648" s="1119"/>
      <c r="W3648" s="1107"/>
      <c r="X3648" s="1132" t="s">
        <v>4164</v>
      </c>
    </row>
    <row r="3649" spans="6:25" ht="24" customHeight="1">
      <c r="S3649" s="1105"/>
    </row>
    <row r="3650" spans="6:25" ht="24" customHeight="1">
      <c r="K3650" s="1105" t="s">
        <v>2793</v>
      </c>
      <c r="S3650" s="1198" t="s">
        <v>5517</v>
      </c>
      <c r="T3650" s="1198"/>
      <c r="U3650" s="1198"/>
      <c r="V3650" s="1198"/>
      <c r="W3650" s="1339"/>
      <c r="X3650" s="1339"/>
      <c r="Y3650" s="1189"/>
    </row>
    <row r="3651" spans="6:25" ht="24" customHeight="1">
      <c r="S3651" s="1191"/>
      <c r="T3651" s="1192"/>
      <c r="U3651" s="1193"/>
      <c r="V3651" s="1192"/>
      <c r="W3651" s="1192"/>
      <c r="X3651" s="1192"/>
      <c r="Y3651" s="1189"/>
    </row>
    <row r="3652" spans="6:25" ht="24" customHeight="1">
      <c r="H3652" s="1118" t="s">
        <v>5518</v>
      </c>
      <c r="J3652" s="1105"/>
      <c r="S3652" s="1191"/>
      <c r="T3652" s="1192"/>
      <c r="U3652" s="1194"/>
      <c r="V3652" s="1192"/>
      <c r="W3652" s="1192"/>
      <c r="X3652" s="1192"/>
      <c r="Y3652" s="1189"/>
    </row>
    <row r="3653" spans="6:25" ht="24" customHeight="1">
      <c r="H3653" s="1111" t="s">
        <v>36</v>
      </c>
      <c r="J3653" s="1105"/>
      <c r="S3653" s="1191">
        <v>28.49</v>
      </c>
      <c r="T3653" s="1192" t="s">
        <v>3236</v>
      </c>
      <c r="U3653" s="1340" t="s">
        <v>5519</v>
      </c>
      <c r="V3653" s="1192">
        <f>I3781</f>
        <v>301</v>
      </c>
      <c r="W3653" s="1192" t="s">
        <v>3236</v>
      </c>
      <c r="X3653" s="1192">
        <f>V3653*S3653</f>
        <v>8575.49</v>
      </c>
      <c r="Y3653" s="1189"/>
    </row>
    <row r="3654" spans="6:25" ht="24" customHeight="1">
      <c r="G3654" s="1103" t="s">
        <v>1363</v>
      </c>
      <c r="H3654" s="1106" t="s">
        <v>5520</v>
      </c>
      <c r="J3654" s="1105"/>
      <c r="S3654" s="1341">
        <v>3.82</v>
      </c>
      <c r="T3654" s="1192" t="s">
        <v>61</v>
      </c>
      <c r="U3654" s="1194" t="s">
        <v>5521</v>
      </c>
      <c r="V3654" s="1192">
        <v>35.5</v>
      </c>
      <c r="W3654" s="1192" t="s">
        <v>61</v>
      </c>
      <c r="X3654" s="1192">
        <v>501.66</v>
      </c>
      <c r="Y3654" s="1189"/>
    </row>
    <row r="3655" spans="6:25" ht="24" customHeight="1">
      <c r="H3655" s="1106" t="s">
        <v>5522</v>
      </c>
      <c r="J3655" s="1105"/>
      <c r="S3655" s="1191">
        <v>1.52</v>
      </c>
      <c r="T3655" s="1192" t="s">
        <v>833</v>
      </c>
      <c r="U3655" s="1194" t="s">
        <v>5523</v>
      </c>
      <c r="V3655" s="1192">
        <v>336</v>
      </c>
      <c r="W3655" s="1192" t="s">
        <v>833</v>
      </c>
      <c r="X3655" s="1192">
        <f t="shared" ref="X3655:X3664" si="341">V3655*S3655</f>
        <v>510.72</v>
      </c>
      <c r="Y3655" s="1189"/>
    </row>
    <row r="3656" spans="6:25" ht="24" customHeight="1">
      <c r="H3656" s="1106" t="s">
        <v>3390</v>
      </c>
      <c r="J3656" s="1105"/>
      <c r="S3656" s="1191">
        <v>1.52</v>
      </c>
      <c r="T3656" s="1192" t="s">
        <v>833</v>
      </c>
      <c r="U3656" s="1194" t="s">
        <v>5524</v>
      </c>
      <c r="V3656" s="1192">
        <v>695</v>
      </c>
      <c r="W3656" s="1192" t="s">
        <v>2941</v>
      </c>
      <c r="X3656" s="1192">
        <f t="shared" si="341"/>
        <v>1056.4000000000001</v>
      </c>
      <c r="Y3656" s="1189"/>
    </row>
    <row r="3657" spans="6:25" ht="24" customHeight="1">
      <c r="H3657" s="1111" t="s">
        <v>36</v>
      </c>
      <c r="J3657" s="1105"/>
      <c r="S3657" s="1191">
        <v>3</v>
      </c>
      <c r="T3657" s="1192" t="s">
        <v>215</v>
      </c>
      <c r="U3657" s="1194" t="s">
        <v>5525</v>
      </c>
      <c r="V3657" s="1192">
        <v>11.1</v>
      </c>
      <c r="W3657" s="1192" t="s">
        <v>215</v>
      </c>
      <c r="X3657" s="1192">
        <f t="shared" si="341"/>
        <v>33.299999999999997</v>
      </c>
      <c r="Y3657" s="1189"/>
    </row>
    <row r="3658" spans="6:25" ht="24" customHeight="1">
      <c r="G3658" s="1103" t="s">
        <v>3391</v>
      </c>
      <c r="H3658" s="1342" t="s">
        <v>5526</v>
      </c>
      <c r="J3658" s="1105"/>
      <c r="S3658" s="1191">
        <v>4.2</v>
      </c>
      <c r="T3658" s="1192" t="s">
        <v>522</v>
      </c>
      <c r="U3658" s="1194" t="s">
        <v>5527</v>
      </c>
      <c r="V3658" s="1192">
        <v>7.2</v>
      </c>
      <c r="W3658" s="1192" t="s">
        <v>2941</v>
      </c>
      <c r="X3658" s="1192">
        <f t="shared" si="341"/>
        <v>30.240000000000002</v>
      </c>
      <c r="Y3658" s="1189"/>
    </row>
    <row r="3659" spans="6:25" ht="24" customHeight="1">
      <c r="H3659" s="1111" t="s">
        <v>36</v>
      </c>
      <c r="J3659" s="1105"/>
      <c r="S3659" s="1191">
        <v>3.15</v>
      </c>
      <c r="T3659" s="1192" t="s">
        <v>37</v>
      </c>
      <c r="U3659" s="1194" t="s">
        <v>4437</v>
      </c>
      <c r="V3659" s="1189">
        <f>X3675</f>
        <v>1724</v>
      </c>
      <c r="W3659" s="1192" t="s">
        <v>37</v>
      </c>
      <c r="X3659" s="1192">
        <f t="shared" si="341"/>
        <v>5430.5999999999995</v>
      </c>
      <c r="Y3659" s="1189"/>
    </row>
    <row r="3660" spans="6:25" ht="24" customHeight="1">
      <c r="F3660" s="1114">
        <v>18.899999999999999</v>
      </c>
      <c r="G3660" s="1103" t="s">
        <v>2839</v>
      </c>
      <c r="H3660" s="1103" t="s">
        <v>3395</v>
      </c>
      <c r="I3660" s="1114">
        <f>P431</f>
        <v>193.2</v>
      </c>
      <c r="J3660" s="1103" t="s">
        <v>2839</v>
      </c>
      <c r="K3660" s="1114">
        <f>(F3660*I3660)</f>
        <v>3651.4799999999996</v>
      </c>
      <c r="S3660" s="1119">
        <v>1</v>
      </c>
      <c r="T3660" s="1119" t="s">
        <v>4154</v>
      </c>
      <c r="U3660" s="1119" t="s">
        <v>5528</v>
      </c>
      <c r="V3660" s="1119">
        <v>43.8</v>
      </c>
      <c r="W3660" s="1136" t="s">
        <v>522</v>
      </c>
      <c r="X3660" s="1119">
        <f t="shared" si="341"/>
        <v>43.8</v>
      </c>
      <c r="Y3660" s="1189"/>
    </row>
    <row r="3661" spans="6:25" ht="24" customHeight="1">
      <c r="F3661" s="1114">
        <v>18.63</v>
      </c>
      <c r="G3661" s="1103" t="s">
        <v>2839</v>
      </c>
      <c r="H3661" s="1103" t="s">
        <v>3396</v>
      </c>
      <c r="I3661" s="1114">
        <f>P432</f>
        <v>33.6</v>
      </c>
      <c r="J3661" s="1103" t="s">
        <v>2839</v>
      </c>
      <c r="K3661" s="1114">
        <f>(F3661*I3661)</f>
        <v>625.96799999999996</v>
      </c>
      <c r="S3661" s="1119">
        <v>1</v>
      </c>
      <c r="T3661" s="1119" t="s">
        <v>4154</v>
      </c>
      <c r="U3661" s="1119" t="s">
        <v>5529</v>
      </c>
      <c r="V3661" s="1119">
        <v>890</v>
      </c>
      <c r="W3661" s="1136" t="s">
        <v>522</v>
      </c>
      <c r="X3661" s="1119">
        <f t="shared" si="341"/>
        <v>890</v>
      </c>
      <c r="Y3661" s="1189"/>
    </row>
    <row r="3662" spans="6:25" ht="45.75" customHeight="1">
      <c r="F3662" s="1114">
        <v>30</v>
      </c>
      <c r="G3662" s="1103" t="s">
        <v>1790</v>
      </c>
      <c r="H3662" s="1137" t="s">
        <v>5530</v>
      </c>
      <c r="I3662" s="1115">
        <v>277</v>
      </c>
      <c r="J3662" s="1103" t="s">
        <v>1790</v>
      </c>
      <c r="K3662" s="1114">
        <f>(F3662*I3662)</f>
        <v>8310</v>
      </c>
      <c r="S3662" s="1343">
        <v>45</v>
      </c>
      <c r="T3662" s="1343" t="s">
        <v>4154</v>
      </c>
      <c r="U3662" s="1343" t="s">
        <v>5531</v>
      </c>
      <c r="V3662" s="1344">
        <v>1.45</v>
      </c>
      <c r="W3662" s="1345" t="s">
        <v>54</v>
      </c>
      <c r="X3662" s="1192">
        <f t="shared" si="341"/>
        <v>65.25</v>
      </c>
      <c r="Y3662" s="1189"/>
    </row>
    <row r="3663" spans="6:25" ht="24" customHeight="1">
      <c r="J3663" s="1105"/>
      <c r="S3663" s="1343">
        <v>2</v>
      </c>
      <c r="T3663" s="1343" t="s">
        <v>4154</v>
      </c>
      <c r="U3663" s="1343" t="s">
        <v>5532</v>
      </c>
      <c r="V3663" s="1344">
        <v>108.7</v>
      </c>
      <c r="W3663" s="1136" t="s">
        <v>522</v>
      </c>
      <c r="X3663" s="1192">
        <f t="shared" si="341"/>
        <v>217.4</v>
      </c>
      <c r="Y3663" s="1189"/>
    </row>
    <row r="3664" spans="6:25" ht="24" customHeight="1">
      <c r="F3664" s="1114">
        <v>30</v>
      </c>
      <c r="G3664" s="1103" t="s">
        <v>1790</v>
      </c>
      <c r="H3664" s="1103" t="s">
        <v>3397</v>
      </c>
      <c r="I3664" s="1114">
        <v>15.58</v>
      </c>
      <c r="J3664" s="1103" t="s">
        <v>1790</v>
      </c>
      <c r="K3664" s="1114">
        <f>(F3664*I3664)</f>
        <v>467.4</v>
      </c>
      <c r="S3664" s="1343">
        <v>2</v>
      </c>
      <c r="T3664" s="1343" t="s">
        <v>4154</v>
      </c>
      <c r="U3664" s="1343" t="s">
        <v>5533</v>
      </c>
      <c r="V3664" s="1344">
        <v>54</v>
      </c>
      <c r="W3664" s="1136" t="s">
        <v>522</v>
      </c>
      <c r="X3664" s="1192">
        <f t="shared" si="341"/>
        <v>108</v>
      </c>
      <c r="Y3664" s="1189"/>
    </row>
    <row r="3665" spans="6:25" ht="24" customHeight="1">
      <c r="H3665" s="1103" t="s">
        <v>3398</v>
      </c>
      <c r="J3665" s="1105"/>
      <c r="S3665" s="1105"/>
      <c r="X3665" s="1108"/>
      <c r="Y3665" s="1189"/>
    </row>
    <row r="3666" spans="6:25" ht="24" customHeight="1">
      <c r="H3666" s="1103" t="s">
        <v>3399</v>
      </c>
      <c r="J3666" s="1105"/>
      <c r="S3666" s="1191"/>
      <c r="T3666" s="1192"/>
      <c r="U3666" s="1194"/>
      <c r="V3666" s="1189"/>
      <c r="W3666" s="1195"/>
      <c r="X3666" s="1192"/>
      <c r="Y3666" s="1189"/>
    </row>
    <row r="3667" spans="6:25" ht="24" customHeight="1">
      <c r="H3667" s="1103" t="s">
        <v>3400</v>
      </c>
      <c r="J3667" s="1105"/>
      <c r="S3667" s="1191"/>
      <c r="T3667" s="1192"/>
      <c r="U3667" s="1103" t="s">
        <v>5534</v>
      </c>
      <c r="W3667" s="1192"/>
      <c r="X3667" s="1192">
        <f>SUM(X3653:X3666)</f>
        <v>17462.859999999997</v>
      </c>
      <c r="Y3667" s="1189"/>
    </row>
    <row r="3668" spans="6:25" ht="24" customHeight="1">
      <c r="H3668" s="1103" t="s">
        <v>5535</v>
      </c>
      <c r="J3668" s="1105"/>
      <c r="S3668" s="1191"/>
      <c r="T3668" s="1192"/>
      <c r="U3668" s="1103" t="s">
        <v>3154</v>
      </c>
      <c r="W3668" s="1339"/>
      <c r="X3668" s="1196">
        <f>X3667/3.15</f>
        <v>5543.7650793650782</v>
      </c>
      <c r="Y3668" s="1198" t="s">
        <v>522</v>
      </c>
    </row>
    <row r="3669" spans="6:25" ht="24.75" customHeight="1">
      <c r="H3669" s="1103"/>
      <c r="J3669" s="1105"/>
      <c r="S3669" s="1189"/>
      <c r="T3669" s="1189"/>
      <c r="U3669" s="1199"/>
      <c r="V3669" s="1189"/>
      <c r="W3669" s="1189"/>
      <c r="X3669" s="1189"/>
      <c r="Y3669" s="1189"/>
    </row>
    <row r="3670" spans="6:25" ht="30" customHeight="1">
      <c r="F3670" s="1114">
        <v>5</v>
      </c>
      <c r="G3670" s="1103" t="s">
        <v>2941</v>
      </c>
      <c r="H3670" s="1129" t="s">
        <v>5536</v>
      </c>
      <c r="I3670" s="1114">
        <v>40.9</v>
      </c>
      <c r="J3670" s="1103" t="s">
        <v>2941</v>
      </c>
      <c r="K3670" s="1114">
        <f>(F3670*I3670)</f>
        <v>204.5</v>
      </c>
      <c r="S3670" s="1192">
        <v>1</v>
      </c>
      <c r="T3670" s="1192" t="s">
        <v>2838</v>
      </c>
      <c r="U3670" s="1194" t="s">
        <v>5537</v>
      </c>
      <c r="V3670" s="1192">
        <f>AE17</f>
        <v>760</v>
      </c>
      <c r="W3670" s="1194" t="s">
        <v>2838</v>
      </c>
      <c r="X3670" s="1192">
        <f>V3670*S3670</f>
        <v>760</v>
      </c>
      <c r="Y3670" s="1189"/>
    </row>
    <row r="3671" spans="6:25" ht="24" customHeight="1">
      <c r="F3671" s="1114">
        <v>1</v>
      </c>
      <c r="G3671" s="1103" t="s">
        <v>2851</v>
      </c>
      <c r="H3671" s="1103" t="s">
        <v>3410</v>
      </c>
      <c r="I3671" s="1114">
        <v>12.1</v>
      </c>
      <c r="J3671" s="1103" t="s">
        <v>2851</v>
      </c>
      <c r="K3671" s="1114">
        <f>(F3671*I3671)</f>
        <v>12.1</v>
      </c>
      <c r="S3671" s="1192">
        <v>1</v>
      </c>
      <c r="T3671" s="1192" t="s">
        <v>2838</v>
      </c>
      <c r="U3671" s="1194" t="s">
        <v>5538</v>
      </c>
      <c r="V3671" s="1192">
        <f>AE11</f>
        <v>562</v>
      </c>
      <c r="W3671" s="1194" t="s">
        <v>2838</v>
      </c>
      <c r="X3671" s="1192">
        <f>V3671*S3671</f>
        <v>562</v>
      </c>
      <c r="Y3671" s="1189"/>
    </row>
    <row r="3672" spans="6:25" ht="24" customHeight="1">
      <c r="F3672" s="1114"/>
      <c r="G3672" s="1103" t="s">
        <v>2851</v>
      </c>
      <c r="H3672" s="1103" t="s">
        <v>2852</v>
      </c>
      <c r="J3672" s="1103" t="s">
        <v>2851</v>
      </c>
      <c r="K3672" s="1114">
        <v>17.100000000000001</v>
      </c>
      <c r="S3672" s="1192">
        <v>0.5</v>
      </c>
      <c r="T3672" s="1192" t="s">
        <v>2838</v>
      </c>
      <c r="U3672" s="1194" t="s">
        <v>5539</v>
      </c>
      <c r="V3672" s="1192">
        <f>AE20</f>
        <v>804</v>
      </c>
      <c r="W3672" s="1194" t="s">
        <v>2838</v>
      </c>
      <c r="X3672" s="1192">
        <f>V3672*S3672</f>
        <v>402</v>
      </c>
      <c r="Y3672" s="1189"/>
    </row>
    <row r="3673" spans="6:25" ht="24" customHeight="1">
      <c r="J3673" s="1105"/>
      <c r="S3673" s="1189"/>
      <c r="T3673" s="1192" t="s">
        <v>2851</v>
      </c>
      <c r="U3673" s="1194"/>
      <c r="V3673" s="1192"/>
      <c r="W3673" s="1194" t="s">
        <v>2851</v>
      </c>
      <c r="X3673" s="1192"/>
      <c r="Y3673" s="1189"/>
    </row>
    <row r="3674" spans="6:25" ht="24" customHeight="1">
      <c r="J3674" s="1105"/>
      <c r="K3674" s="1111" t="s">
        <v>36</v>
      </c>
      <c r="S3674" s="1189"/>
      <c r="T3674" s="1189"/>
      <c r="U3674" s="1189"/>
      <c r="V3674" s="1189"/>
      <c r="W3674" s="1200"/>
      <c r="X3674" s="1201" t="s">
        <v>36</v>
      </c>
      <c r="Y3674" s="1189"/>
    </row>
    <row r="3675" spans="6:25" ht="24" customHeight="1">
      <c r="H3675" s="1103" t="s">
        <v>3412</v>
      </c>
      <c r="J3675" s="1105"/>
      <c r="K3675" s="1114">
        <f>SUM(K3660:K3672)</f>
        <v>13288.548000000001</v>
      </c>
      <c r="S3675" s="1189"/>
      <c r="T3675" s="1189"/>
      <c r="U3675" s="1194" t="s">
        <v>4445</v>
      </c>
      <c r="V3675" s="1189"/>
      <c r="W3675" s="1200"/>
      <c r="X3675" s="1196">
        <f>SUM(X3670:X3674)</f>
        <v>1724</v>
      </c>
      <c r="Y3675" s="1189"/>
    </row>
    <row r="3676" spans="6:25" ht="24" customHeight="1">
      <c r="J3676" s="1105"/>
      <c r="K3676" s="1111" t="s">
        <v>36</v>
      </c>
      <c r="S3676" s="1189"/>
      <c r="T3676" s="1189"/>
      <c r="U3676" s="1189"/>
      <c r="V3676" s="1189"/>
      <c r="W3676" s="1200"/>
      <c r="X3676" s="1201" t="s">
        <v>36</v>
      </c>
      <c r="Y3676" s="1189"/>
    </row>
    <row r="3677" spans="6:25" ht="24" customHeight="1">
      <c r="H3677" s="1103" t="s">
        <v>3413</v>
      </c>
      <c r="J3677" s="1105"/>
      <c r="K3677" s="1115">
        <f>(K3675/30)</f>
        <v>442.95160000000004</v>
      </c>
      <c r="S3677" s="1105"/>
    </row>
    <row r="3678" spans="6:25" ht="24" customHeight="1">
      <c r="J3678" s="1105"/>
      <c r="K3678" s="1111" t="s">
        <v>36</v>
      </c>
      <c r="S3678" s="1105"/>
    </row>
    <row r="3679" spans="6:25" ht="24" customHeight="1">
      <c r="G3679" s="1103" t="s">
        <v>75</v>
      </c>
      <c r="H3679" s="1342" t="s">
        <v>5540</v>
      </c>
      <c r="J3679" s="1105"/>
      <c r="S3679" s="1346"/>
      <c r="T3679" s="1346"/>
      <c r="U3679" s="1346"/>
      <c r="V3679" s="1346"/>
      <c r="W3679" s="1346"/>
      <c r="X3679" s="1346"/>
    </row>
    <row r="3680" spans="6:25" ht="24" customHeight="1">
      <c r="H3680" s="1111" t="s">
        <v>36</v>
      </c>
      <c r="J3680" s="1105"/>
      <c r="S3680" s="1493" t="s">
        <v>5541</v>
      </c>
      <c r="T3680" s="1493"/>
      <c r="U3680" s="1493"/>
      <c r="V3680" s="1493"/>
      <c r="W3680" s="1339"/>
      <c r="X3680" s="1339"/>
    </row>
    <row r="3681" spans="6:25" ht="24" customHeight="1">
      <c r="F3681" s="1114">
        <f>F3660</f>
        <v>18.899999999999999</v>
      </c>
      <c r="G3681" s="1103" t="s">
        <v>2839</v>
      </c>
      <c r="H3681" s="1103" t="str">
        <f>H3660</f>
        <v>E.W EXCLUDING REFILLING</v>
      </c>
      <c r="I3681" s="1114">
        <f>I3660</f>
        <v>193.2</v>
      </c>
      <c r="J3681" s="1103" t="s">
        <v>2839</v>
      </c>
      <c r="K3681" s="1114">
        <f>(F3681*I3681)</f>
        <v>3651.4799999999996</v>
      </c>
      <c r="S3681" s="1191"/>
      <c r="T3681" s="1192"/>
      <c r="U3681" s="1193"/>
      <c r="V3681" s="1192"/>
      <c r="W3681" s="1192"/>
      <c r="X3681" s="1192"/>
    </row>
    <row r="3682" spans="6:25" ht="24" customHeight="1">
      <c r="F3682" s="1114">
        <v>18.3</v>
      </c>
      <c r="G3682" s="1103" t="s">
        <v>2839</v>
      </c>
      <c r="H3682" s="1103" t="str">
        <f>H3661</f>
        <v>REFILLING CHARGE</v>
      </c>
      <c r="I3682" s="1114">
        <f>I3661</f>
        <v>33.6</v>
      </c>
      <c r="J3682" s="1103" t="s">
        <v>2839</v>
      </c>
      <c r="K3682" s="1114">
        <f>(F3682*I3682)</f>
        <v>614.88</v>
      </c>
      <c r="S3682" s="1191"/>
      <c r="T3682" s="1192"/>
      <c r="U3682" s="1194"/>
      <c r="V3682" s="1192"/>
      <c r="W3682" s="1192"/>
      <c r="X3682" s="1192"/>
    </row>
    <row r="3683" spans="6:25" ht="39" customHeight="1">
      <c r="F3683" s="1114">
        <f>F3662</f>
        <v>30</v>
      </c>
      <c r="G3683" s="1103" t="s">
        <v>1790</v>
      </c>
      <c r="H3683" s="1137" t="s">
        <v>5542</v>
      </c>
      <c r="I3683" s="1115">
        <v>581</v>
      </c>
      <c r="J3683" s="1103" t="s">
        <v>1790</v>
      </c>
      <c r="K3683" s="1114">
        <f>(F3683*I3683)</f>
        <v>17430</v>
      </c>
      <c r="S3683" s="1191">
        <v>29.06</v>
      </c>
      <c r="T3683" s="1192" t="s">
        <v>3236</v>
      </c>
      <c r="U3683" s="1340" t="s">
        <v>5519</v>
      </c>
      <c r="V3683" s="1192">
        <f>V3653</f>
        <v>301</v>
      </c>
      <c r="W3683" s="1192" t="s">
        <v>3236</v>
      </c>
      <c r="X3683" s="1192">
        <f>V3683*S3683</f>
        <v>8747.06</v>
      </c>
    </row>
    <row r="3684" spans="6:25" ht="24" customHeight="1">
      <c r="F3684" s="1114"/>
      <c r="H3684" s="1103"/>
      <c r="I3684" s="1114"/>
      <c r="J3684" s="1105"/>
      <c r="K3684" s="1114"/>
      <c r="S3684" s="1341">
        <v>9.24</v>
      </c>
      <c r="T3684" s="1192" t="s">
        <v>61</v>
      </c>
      <c r="U3684" s="1194" t="s">
        <v>5543</v>
      </c>
      <c r="V3684" s="1192">
        <f t="shared" ref="V3684:V3694" si="342">V3654</f>
        <v>35.5</v>
      </c>
      <c r="W3684" s="1192" t="s">
        <v>61</v>
      </c>
      <c r="X3684" s="1192">
        <f t="shared" ref="X3684:X3694" si="343">V3684*S3684</f>
        <v>328.02</v>
      </c>
    </row>
    <row r="3685" spans="6:25" ht="24" customHeight="1">
      <c r="F3685" s="1114">
        <f>F3664</f>
        <v>30</v>
      </c>
      <c r="H3685" s="1103" t="str">
        <f>H3664</f>
        <v>CONVEYING,LOWERING  ANDLAYING</v>
      </c>
      <c r="I3685" s="1114">
        <v>21.97</v>
      </c>
      <c r="J3685" s="1103" t="s">
        <v>1790</v>
      </c>
      <c r="K3685" s="1114">
        <f>(F3685*I3685)</f>
        <v>659.09999999999991</v>
      </c>
      <c r="S3685" s="1191">
        <v>1.49</v>
      </c>
      <c r="T3685" s="1192" t="s">
        <v>833</v>
      </c>
      <c r="U3685" s="1194" t="s">
        <v>5523</v>
      </c>
      <c r="V3685" s="1192">
        <f t="shared" si="342"/>
        <v>336</v>
      </c>
      <c r="W3685" s="1192" t="s">
        <v>833</v>
      </c>
      <c r="X3685" s="1192">
        <f t="shared" si="343"/>
        <v>500.64</v>
      </c>
    </row>
    <row r="3686" spans="6:25" ht="24" customHeight="1">
      <c r="F3686" s="1114"/>
      <c r="H3686" s="1103" t="str">
        <f>H3665</f>
        <v>TO PROPER GRADEAND</v>
      </c>
      <c r="I3686" s="1114"/>
      <c r="J3686" s="1105"/>
      <c r="S3686" s="1191">
        <v>0.75</v>
      </c>
      <c r="T3686" s="1192" t="s">
        <v>833</v>
      </c>
      <c r="U3686" s="1194" t="s">
        <v>5524</v>
      </c>
      <c r="V3686" s="1192">
        <f t="shared" si="342"/>
        <v>695</v>
      </c>
      <c r="W3686" s="1192" t="s">
        <v>2941</v>
      </c>
      <c r="X3686" s="1192">
        <f t="shared" si="343"/>
        <v>521.25</v>
      </c>
    </row>
    <row r="3687" spans="6:25" ht="24" customHeight="1">
      <c r="F3687" s="1114"/>
      <c r="H3687" s="1103" t="str">
        <f>H3666</f>
        <v>ALIGNMENT,JOINTING</v>
      </c>
      <c r="I3687" s="1114"/>
      <c r="J3687" s="1105"/>
      <c r="S3687" s="1191">
        <v>2</v>
      </c>
      <c r="T3687" s="1192" t="s">
        <v>215</v>
      </c>
      <c r="U3687" s="1194" t="s">
        <v>5525</v>
      </c>
      <c r="V3687" s="1192">
        <f t="shared" si="342"/>
        <v>11.1</v>
      </c>
      <c r="W3687" s="1192" t="s">
        <v>215</v>
      </c>
      <c r="X3687" s="1192">
        <f t="shared" si="343"/>
        <v>22.2</v>
      </c>
    </row>
    <row r="3688" spans="6:25" ht="24" customHeight="1">
      <c r="F3688" s="1114"/>
      <c r="G3688" s="1103"/>
      <c r="H3688" s="1103" t="str">
        <f>H3667</f>
        <v>ETC BUT EXCLUDING  COST OF</v>
      </c>
      <c r="I3688" s="1114"/>
      <c r="J3688" s="1103"/>
      <c r="K3688" s="1114"/>
      <c r="S3688" s="1191">
        <v>7.08</v>
      </c>
      <c r="T3688" s="1192" t="s">
        <v>522</v>
      </c>
      <c r="U3688" s="1194" t="s">
        <v>5527</v>
      </c>
      <c r="V3688" s="1192">
        <f t="shared" si="342"/>
        <v>7.2</v>
      </c>
      <c r="W3688" s="1192" t="s">
        <v>2941</v>
      </c>
      <c r="X3688" s="1192">
        <f t="shared" si="343"/>
        <v>50.975999999999999</v>
      </c>
    </row>
    <row r="3689" spans="6:25" ht="24" customHeight="1">
      <c r="F3689" s="1114"/>
      <c r="G3689" s="1103"/>
      <c r="H3689" s="1103" t="str">
        <f>H3668</f>
        <v>JOINTING MATERIALS. (TWAD SR 20-21 11-b)</v>
      </c>
      <c r="I3689" s="1114"/>
      <c r="J3689" s="1103"/>
      <c r="K3689" s="1114"/>
      <c r="S3689" s="1191">
        <v>2.1</v>
      </c>
      <c r="T3689" s="1192" t="s">
        <v>37</v>
      </c>
      <c r="U3689" s="1194" t="s">
        <v>4437</v>
      </c>
      <c r="V3689" s="1192">
        <f t="shared" si="342"/>
        <v>1724</v>
      </c>
      <c r="W3689" s="1192" t="s">
        <v>37</v>
      </c>
      <c r="X3689" s="1192">
        <f t="shared" si="343"/>
        <v>3620.4</v>
      </c>
    </row>
    <row r="3690" spans="6:25" ht="24" customHeight="1">
      <c r="F3690" s="1114"/>
      <c r="G3690" s="1103"/>
      <c r="H3690" s="1103"/>
      <c r="I3690" s="1114"/>
      <c r="J3690" s="1103"/>
      <c r="K3690" s="1114"/>
      <c r="S3690" s="1347">
        <v>1</v>
      </c>
      <c r="T3690" s="1347" t="s">
        <v>4154</v>
      </c>
      <c r="U3690" s="1119" t="s">
        <v>5528</v>
      </c>
      <c r="V3690" s="1192">
        <f t="shared" si="342"/>
        <v>43.8</v>
      </c>
      <c r="W3690" s="1348" t="s">
        <v>522</v>
      </c>
      <c r="X3690" s="1192">
        <f t="shared" si="343"/>
        <v>43.8</v>
      </c>
    </row>
    <row r="3691" spans="6:25" ht="24" customHeight="1">
      <c r="F3691" s="1114">
        <f>F3670</f>
        <v>5</v>
      </c>
      <c r="G3691" s="1103" t="s">
        <v>2851</v>
      </c>
      <c r="H3691" s="1103" t="str">
        <f>H3670</f>
        <v>CUTTING CHARGES ( P-32/141)</v>
      </c>
      <c r="I3691" s="1114">
        <f>I3670</f>
        <v>40.9</v>
      </c>
      <c r="J3691" s="1103" t="s">
        <v>2941</v>
      </c>
      <c r="K3691" s="1114">
        <f>(F3691*I3691)</f>
        <v>204.5</v>
      </c>
      <c r="S3691" s="1347">
        <v>1</v>
      </c>
      <c r="T3691" s="1347" t="s">
        <v>4154</v>
      </c>
      <c r="U3691" s="1119" t="s">
        <v>5529</v>
      </c>
      <c r="V3691" s="1192">
        <f t="shared" si="342"/>
        <v>890</v>
      </c>
      <c r="W3691" s="1348" t="s">
        <v>522</v>
      </c>
      <c r="X3691" s="1192">
        <f t="shared" si="343"/>
        <v>890</v>
      </c>
    </row>
    <row r="3692" spans="6:25" ht="24" customHeight="1">
      <c r="F3692" s="1114">
        <f>F3671</f>
        <v>1</v>
      </c>
      <c r="H3692" s="1103" t="str">
        <f>H3671</f>
        <v>COST OF JOINTING  MATERIALS</v>
      </c>
      <c r="I3692" s="1114">
        <f>I3671</f>
        <v>12.1</v>
      </c>
      <c r="J3692" s="1103" t="s">
        <v>2851</v>
      </c>
      <c r="K3692" s="1114">
        <f>(F3692*I3692)</f>
        <v>12.1</v>
      </c>
      <c r="S3692" s="1343">
        <v>6</v>
      </c>
      <c r="T3692" s="1343" t="s">
        <v>4154</v>
      </c>
      <c r="U3692" s="1343" t="s">
        <v>5544</v>
      </c>
      <c r="V3692" s="1192">
        <f t="shared" si="342"/>
        <v>1.45</v>
      </c>
      <c r="W3692" s="1345" t="s">
        <v>54</v>
      </c>
      <c r="X3692" s="1192">
        <f t="shared" si="343"/>
        <v>8.6999999999999993</v>
      </c>
    </row>
    <row r="3693" spans="6:25" ht="24" customHeight="1">
      <c r="H3693" s="1103" t="str">
        <f>H3672</f>
        <v>SUNDRIES</v>
      </c>
      <c r="J3693" s="1103" t="s">
        <v>2851</v>
      </c>
      <c r="K3693" s="1114">
        <v>24.3</v>
      </c>
      <c r="S3693" s="1343">
        <v>2</v>
      </c>
      <c r="T3693" s="1343" t="s">
        <v>4154</v>
      </c>
      <c r="U3693" s="1343" t="s">
        <v>5545</v>
      </c>
      <c r="V3693" s="1192">
        <f t="shared" si="342"/>
        <v>108.7</v>
      </c>
      <c r="W3693" s="1348" t="s">
        <v>522</v>
      </c>
      <c r="X3693" s="1192">
        <f t="shared" si="343"/>
        <v>217.4</v>
      </c>
    </row>
    <row r="3694" spans="6:25" ht="24" customHeight="1">
      <c r="J3694" s="1105"/>
      <c r="K3694" s="1114"/>
      <c r="S3694" s="1343">
        <v>2</v>
      </c>
      <c r="T3694" s="1343" t="s">
        <v>4154</v>
      </c>
      <c r="U3694" s="1343" t="s">
        <v>5533</v>
      </c>
      <c r="V3694" s="1192">
        <f t="shared" si="342"/>
        <v>54</v>
      </c>
      <c r="W3694" s="1348" t="s">
        <v>522</v>
      </c>
      <c r="X3694" s="1192">
        <f t="shared" si="343"/>
        <v>108</v>
      </c>
    </row>
    <row r="3695" spans="6:25" ht="24" customHeight="1">
      <c r="H3695" s="1103" t="s">
        <v>3412</v>
      </c>
      <c r="J3695" s="1105"/>
      <c r="K3695" s="1114">
        <f>SUM(K3681:K3694)</f>
        <v>22596.359999999997</v>
      </c>
      <c r="S3695" s="1186"/>
      <c r="T3695" s="1186"/>
      <c r="U3695" s="1103" t="s">
        <v>5546</v>
      </c>
      <c r="W3695" s="1192"/>
      <c r="X3695" s="1192">
        <f>SUM(X3683:X3694)</f>
        <v>15058.446</v>
      </c>
      <c r="Y3695" s="1189"/>
    </row>
    <row r="3696" spans="6:25" ht="24" customHeight="1">
      <c r="J3696" s="1105"/>
      <c r="K3696" s="1111" t="s">
        <v>36</v>
      </c>
      <c r="S3696" s="1346"/>
      <c r="T3696" s="1346"/>
      <c r="U3696" s="1103" t="s">
        <v>3154</v>
      </c>
      <c r="W3696" s="1339"/>
      <c r="X3696" s="1196">
        <f>X3695/2.1</f>
        <v>7170.6885714285709</v>
      </c>
      <c r="Y3696" s="1198"/>
    </row>
    <row r="3697" spans="6:26" ht="24" customHeight="1">
      <c r="H3697" s="1103" t="s">
        <v>3413</v>
      </c>
      <c r="J3697" s="1105"/>
      <c r="K3697" s="1115">
        <f>(K3695/30)</f>
        <v>753.21199999999988</v>
      </c>
      <c r="S3697" s="1346"/>
      <c r="T3697" s="1346"/>
      <c r="U3697" s="1346"/>
      <c r="V3697" s="1346"/>
      <c r="W3697" s="1346"/>
      <c r="X3697" s="1346"/>
    </row>
    <row r="3698" spans="6:26" ht="24" customHeight="1">
      <c r="J3698" s="1105"/>
      <c r="S3698" s="1105"/>
      <c r="U3698" s="1119" t="s">
        <v>5547</v>
      </c>
    </row>
    <row r="3699" spans="6:26" ht="240.75" customHeight="1">
      <c r="S3699" s="1198"/>
      <c r="T3699" s="1198"/>
      <c r="U3699" s="1349" t="s">
        <v>5548</v>
      </c>
      <c r="V3699" s="1349"/>
      <c r="W3699" s="1349"/>
      <c r="X3699" s="1349"/>
      <c r="Y3699" s="1349"/>
      <c r="Z3699" s="1349"/>
    </row>
    <row r="3700" spans="6:26" ht="25.5" customHeight="1">
      <c r="S3700" s="1198"/>
      <c r="T3700" s="1198"/>
      <c r="U3700" s="1349"/>
      <c r="V3700" s="1349"/>
      <c r="W3700" s="1349"/>
      <c r="X3700" s="1349"/>
      <c r="Y3700" s="1349"/>
      <c r="Z3700" s="1349"/>
    </row>
    <row r="3701" spans="6:26" ht="24" customHeight="1">
      <c r="F3701" s="1346"/>
      <c r="G3701" s="1346"/>
      <c r="H3701" s="1346"/>
      <c r="I3701" s="1346"/>
      <c r="J3701" s="1346"/>
      <c r="K3701" s="1346"/>
      <c r="L3701" s="1346"/>
      <c r="M3701" s="1346"/>
      <c r="N3701" s="1346"/>
      <c r="S3701" s="1191">
        <v>17.440000000000001</v>
      </c>
      <c r="T3701" s="1192" t="s">
        <v>3236</v>
      </c>
      <c r="U3701" s="1340" t="s">
        <v>5549</v>
      </c>
      <c r="V3701" s="1192">
        <f>V3683</f>
        <v>301</v>
      </c>
      <c r="W3701" s="1192" t="s">
        <v>3236</v>
      </c>
      <c r="X3701" s="1192">
        <f>V3701*S3701</f>
        <v>5249.4400000000005</v>
      </c>
      <c r="Y3701" s="1189"/>
    </row>
    <row r="3702" spans="6:26" ht="24" customHeight="1">
      <c r="F3702" s="1346"/>
      <c r="G3702" s="1346"/>
      <c r="H3702" s="1350" t="s">
        <v>5550</v>
      </c>
      <c r="I3702" s="1350"/>
      <c r="J3702" s="1350"/>
      <c r="K3702" s="1350"/>
      <c r="L3702" s="1346"/>
      <c r="M3702" s="1346"/>
      <c r="N3702" s="1346"/>
      <c r="S3702" s="1341">
        <v>13.56</v>
      </c>
      <c r="T3702" s="1192" t="s">
        <v>61</v>
      </c>
      <c r="U3702" s="1194" t="s">
        <v>5543</v>
      </c>
      <c r="V3702" s="1192">
        <v>33.89</v>
      </c>
      <c r="W3702" s="1192" t="s">
        <v>61</v>
      </c>
      <c r="X3702" s="1192">
        <v>501.66</v>
      </c>
      <c r="Y3702" s="1189"/>
    </row>
    <row r="3703" spans="6:26" ht="24" customHeight="1">
      <c r="F3703" s="1346">
        <v>11</v>
      </c>
      <c r="G3703" s="1351" t="s">
        <v>37</v>
      </c>
      <c r="H3703" s="1346" t="s">
        <v>5551</v>
      </c>
      <c r="I3703" s="1351">
        <v>420</v>
      </c>
      <c r="J3703" s="1351" t="s">
        <v>37</v>
      </c>
      <c r="K3703" s="1267">
        <f>I3703*F3703</f>
        <v>4620</v>
      </c>
      <c r="L3703" s="1346"/>
      <c r="M3703" s="1346"/>
      <c r="N3703" s="1346"/>
      <c r="S3703" s="1191">
        <v>2.62</v>
      </c>
      <c r="T3703" s="1192" t="s">
        <v>833</v>
      </c>
      <c r="U3703" s="1194" t="s">
        <v>5552</v>
      </c>
      <c r="V3703" s="1192">
        <v>258.52</v>
      </c>
      <c r="W3703" s="1192" t="s">
        <v>833</v>
      </c>
      <c r="X3703" s="1192">
        <f>V3703*S3703</f>
        <v>677.32240000000002</v>
      </c>
      <c r="Y3703" s="1189"/>
    </row>
    <row r="3704" spans="6:26" ht="24" customHeight="1">
      <c r="F3704" s="1346">
        <v>2.2000000000000002</v>
      </c>
      <c r="G3704" s="1346" t="s">
        <v>522</v>
      </c>
      <c r="H3704" s="1346" t="s">
        <v>5553</v>
      </c>
      <c r="I3704" s="1186">
        <f>AE17</f>
        <v>760</v>
      </c>
      <c r="J3704" s="1346" t="s">
        <v>522</v>
      </c>
      <c r="K3704" s="1267">
        <f>I3704*F3704</f>
        <v>1672.0000000000002</v>
      </c>
      <c r="L3704" s="1346"/>
      <c r="M3704" s="1346"/>
      <c r="N3704" s="1346"/>
      <c r="S3704" s="1191">
        <v>8</v>
      </c>
      <c r="T3704" s="1192" t="s">
        <v>4</v>
      </c>
      <c r="U3704" s="1194" t="s">
        <v>5554</v>
      </c>
      <c r="V3704" s="1192">
        <v>13.1</v>
      </c>
      <c r="W3704" s="1192" t="s">
        <v>4</v>
      </c>
      <c r="X3704" s="1192">
        <f>V3704*S3704</f>
        <v>104.8</v>
      </c>
      <c r="Y3704" s="1189"/>
    </row>
    <row r="3705" spans="6:26" ht="24" customHeight="1">
      <c r="F3705" s="1346">
        <v>1.1000000000000001</v>
      </c>
      <c r="G3705" s="1346" t="s">
        <v>522</v>
      </c>
      <c r="H3705" s="1346" t="s">
        <v>5555</v>
      </c>
      <c r="I3705" s="1186">
        <f>AE19</f>
        <v>842</v>
      </c>
      <c r="J3705" s="1346" t="s">
        <v>522</v>
      </c>
      <c r="K3705" s="1267">
        <f>I3705*F3705</f>
        <v>926.2</v>
      </c>
      <c r="L3705" s="1346"/>
      <c r="M3705" s="1346"/>
      <c r="N3705" s="1346"/>
      <c r="S3705" s="1191">
        <v>3</v>
      </c>
      <c r="T3705" s="1192" t="s">
        <v>4</v>
      </c>
      <c r="U3705" s="1194" t="s">
        <v>5556</v>
      </c>
      <c r="V3705" s="1192">
        <v>62.8</v>
      </c>
      <c r="W3705" s="1192" t="s">
        <v>215</v>
      </c>
      <c r="X3705" s="1192">
        <f>V3705*S3705</f>
        <v>188.39999999999998</v>
      </c>
      <c r="Y3705" s="1189"/>
    </row>
    <row r="3706" spans="6:26" ht="24" customHeight="1">
      <c r="F3706" s="1346">
        <v>3.2</v>
      </c>
      <c r="G3706" s="1346" t="s">
        <v>522</v>
      </c>
      <c r="H3706" s="1182" t="s">
        <v>5557</v>
      </c>
      <c r="I3706" s="1186">
        <f>AE11</f>
        <v>562</v>
      </c>
      <c r="J3706" s="1346" t="s">
        <v>522</v>
      </c>
      <c r="K3706" s="1267">
        <f>I3706*F3706</f>
        <v>1798.4</v>
      </c>
      <c r="L3706" s="1346"/>
      <c r="M3706" s="1346"/>
      <c r="N3706" s="1346"/>
      <c r="S3706" s="1191">
        <v>4</v>
      </c>
      <c r="T3706" s="1192" t="s">
        <v>4</v>
      </c>
      <c r="U3706" s="1194" t="s">
        <v>5558</v>
      </c>
      <c r="V3706" s="1192">
        <v>29.5</v>
      </c>
      <c r="W3706" s="1192" t="s">
        <v>2941</v>
      </c>
      <c r="X3706" s="1192">
        <f>V3706*S3706</f>
        <v>118</v>
      </c>
      <c r="Y3706" s="1189"/>
    </row>
    <row r="3707" spans="6:26" ht="24" customHeight="1">
      <c r="F3707" s="1346"/>
      <c r="G3707" s="1346" t="s">
        <v>5559</v>
      </c>
      <c r="H3707" s="1346" t="s">
        <v>5560</v>
      </c>
      <c r="I3707" s="1346" t="s">
        <v>5559</v>
      </c>
      <c r="J3707" s="1346"/>
      <c r="K3707" s="1346">
        <v>107.11</v>
      </c>
      <c r="L3707" s="1346"/>
      <c r="M3707" s="1346"/>
      <c r="N3707" s="1346"/>
      <c r="S3707" s="1191">
        <v>2.4300000000000002</v>
      </c>
      <c r="T3707" s="1192" t="s">
        <v>37</v>
      </c>
      <c r="U3707" s="1194" t="s">
        <v>4437</v>
      </c>
      <c r="V3707" s="1189">
        <f>X3675</f>
        <v>1724</v>
      </c>
      <c r="W3707" s="1192" t="s">
        <v>37</v>
      </c>
      <c r="X3707" s="1192">
        <f>V3707*S3707</f>
        <v>4189.3200000000006</v>
      </c>
      <c r="Y3707" s="1189"/>
    </row>
    <row r="3708" spans="6:26" ht="24" customHeight="1">
      <c r="F3708" s="1346"/>
      <c r="G3708" s="1346"/>
      <c r="H3708" s="1346" t="s">
        <v>5561</v>
      </c>
      <c r="I3708" s="1346"/>
      <c r="J3708" s="1346"/>
      <c r="K3708" s="1267">
        <f>SUM(K3703:K3707)</f>
        <v>9123.7100000000009</v>
      </c>
      <c r="L3708" s="1346"/>
      <c r="M3708" s="1346"/>
      <c r="N3708" s="1346"/>
      <c r="S3708" s="1119"/>
      <c r="T3708" s="1119" t="s">
        <v>1348</v>
      </c>
      <c r="U3708" s="1119" t="s">
        <v>5562</v>
      </c>
      <c r="V3708" s="1119"/>
      <c r="W3708" s="1136" t="s">
        <v>1348</v>
      </c>
      <c r="X3708" s="1119">
        <v>130</v>
      </c>
      <c r="Y3708" s="1189"/>
    </row>
    <row r="3709" spans="6:26" ht="24" customHeight="1">
      <c r="F3709" s="1346"/>
      <c r="G3709" s="1346"/>
      <c r="H3709" s="1346" t="s">
        <v>5563</v>
      </c>
      <c r="I3709" s="1346"/>
      <c r="J3709" s="1346"/>
      <c r="K3709" s="1352">
        <f>K3708/10</f>
        <v>912.37100000000009</v>
      </c>
      <c r="L3709" s="1346"/>
      <c r="M3709" s="1346"/>
      <c r="N3709" s="1346">
        <f>L3709</f>
        <v>0</v>
      </c>
      <c r="S3709" s="1119"/>
      <c r="T3709" s="1119"/>
      <c r="U3709" s="1119"/>
      <c r="V3709" s="1119"/>
      <c r="W3709" s="1136"/>
      <c r="X3709" s="1119">
        <f>SUM(X3701:X3708)</f>
        <v>11158.9424</v>
      </c>
      <c r="Y3709" s="1189"/>
    </row>
    <row r="3710" spans="6:26" ht="24" customHeight="1">
      <c r="F3710" s="1346"/>
      <c r="G3710" s="1346"/>
      <c r="H3710" s="1346"/>
      <c r="I3710" s="1346"/>
      <c r="J3710" s="1346"/>
      <c r="K3710" s="1346"/>
      <c r="L3710" s="1346"/>
      <c r="M3710" s="1346"/>
      <c r="N3710" s="1346"/>
      <c r="X3710" s="1119">
        <f>X3709/S3707</f>
        <v>4592.1573662551436</v>
      </c>
      <c r="Y3710" s="1189" t="s">
        <v>37</v>
      </c>
    </row>
    <row r="3711" spans="6:26" ht="24" customHeight="1">
      <c r="F3711" s="1487" t="s">
        <v>5564</v>
      </c>
      <c r="G3711" s="1487"/>
      <c r="H3711" s="1487"/>
      <c r="I3711" s="1487"/>
      <c r="J3711" s="1487"/>
      <c r="K3711" s="1487"/>
      <c r="L3711" s="1487"/>
      <c r="M3711" s="1487"/>
      <c r="N3711" s="1346"/>
      <c r="W3711" s="1105" t="s">
        <v>15</v>
      </c>
      <c r="X3711" s="1105">
        <v>3584</v>
      </c>
      <c r="Y3711" s="1189"/>
    </row>
    <row r="3712" spans="6:26" ht="36.75" customHeight="1">
      <c r="F3712" s="1353"/>
      <c r="G3712" s="1353"/>
      <c r="H3712" s="1354" t="s">
        <v>5565</v>
      </c>
      <c r="I3712" s="1354"/>
      <c r="J3712" s="1354"/>
      <c r="K3712" s="1354"/>
      <c r="L3712" s="1353"/>
      <c r="M3712" s="1487"/>
      <c r="N3712" s="1346"/>
      <c r="S3712" s="1105"/>
      <c r="U3712" s="1119" t="s">
        <v>5566</v>
      </c>
      <c r="Y3712" s="1189"/>
    </row>
    <row r="3713" spans="6:25" ht="81" customHeight="1">
      <c r="F3713" s="1355">
        <v>36</v>
      </c>
      <c r="G3713" s="1353" t="s">
        <v>61</v>
      </c>
      <c r="H3713" s="1356" t="s">
        <v>5567</v>
      </c>
      <c r="I3713" s="1355">
        <v>34.6</v>
      </c>
      <c r="J3713" s="1355" t="str">
        <f>G3713</f>
        <v>Rmt</v>
      </c>
      <c r="K3713" s="1355">
        <f>I3713*F3713</f>
        <v>1245.6000000000001</v>
      </c>
      <c r="L3713" s="1353"/>
      <c r="M3713" s="1487"/>
      <c r="N3713" s="1346"/>
      <c r="S3713" s="1198"/>
      <c r="T3713" s="1198"/>
      <c r="U3713" s="1349" t="s">
        <v>5568</v>
      </c>
      <c r="V3713" s="1349"/>
      <c r="W3713" s="1349"/>
      <c r="X3713" s="1349"/>
      <c r="Y3713" s="1189"/>
    </row>
    <row r="3714" spans="6:25" ht="36.75" customHeight="1">
      <c r="F3714" s="1355">
        <v>9</v>
      </c>
      <c r="G3714" s="1355" t="s">
        <v>37</v>
      </c>
      <c r="H3714" s="1357" t="s">
        <v>5569</v>
      </c>
      <c r="I3714" s="1355">
        <v>350</v>
      </c>
      <c r="J3714" s="1355" t="str">
        <f>G3714</f>
        <v>Sqm</v>
      </c>
      <c r="K3714" s="1355">
        <f>I3714*F3714</f>
        <v>3150</v>
      </c>
      <c r="L3714" s="1353"/>
      <c r="M3714" s="1487"/>
      <c r="N3714" s="1346"/>
      <c r="S3714" s="1198"/>
      <c r="T3714" s="1198"/>
      <c r="U3714" s="1349"/>
      <c r="V3714" s="1349"/>
      <c r="W3714" s="1349"/>
      <c r="X3714" s="1349"/>
      <c r="Y3714" s="1189"/>
    </row>
    <row r="3715" spans="6:25" ht="36.75" customHeight="1">
      <c r="F3715" s="1355">
        <v>9</v>
      </c>
      <c r="G3715" s="1355" t="s">
        <v>37</v>
      </c>
      <c r="H3715" s="1357" t="s">
        <v>5570</v>
      </c>
      <c r="I3715" s="1355">
        <v>860.8</v>
      </c>
      <c r="J3715" s="1355" t="str">
        <f>G3715</f>
        <v>Sqm</v>
      </c>
      <c r="K3715" s="1355">
        <f>I3715*F3715</f>
        <v>7747.2</v>
      </c>
      <c r="L3715" s="1353"/>
      <c r="M3715" s="1487"/>
      <c r="N3715" s="1346"/>
      <c r="S3715" s="1191">
        <v>14.43</v>
      </c>
      <c r="T3715" s="1192" t="s">
        <v>3236</v>
      </c>
      <c r="U3715" s="1340" t="s">
        <v>5519</v>
      </c>
      <c r="V3715" s="1192">
        <f>V3701</f>
        <v>301</v>
      </c>
      <c r="W3715" s="1192" t="s">
        <v>3236</v>
      </c>
      <c r="X3715" s="1192">
        <f>V3715*S3715</f>
        <v>4343.43</v>
      </c>
      <c r="Y3715" s="1189"/>
    </row>
    <row r="3716" spans="6:25" ht="36.75" customHeight="1">
      <c r="F3716" s="1355">
        <v>9</v>
      </c>
      <c r="G3716" s="1355" t="s">
        <v>37</v>
      </c>
      <c r="H3716" s="1356" t="s">
        <v>5571</v>
      </c>
      <c r="I3716" s="1355">
        <f>R2416</f>
        <v>1298.5095238095239</v>
      </c>
      <c r="J3716" s="1355" t="str">
        <f>G3716</f>
        <v>Sqm</v>
      </c>
      <c r="K3716" s="1355">
        <f>I3716*F3716</f>
        <v>11686.585714285715</v>
      </c>
      <c r="L3716" s="1353"/>
      <c r="M3716" s="1487"/>
      <c r="N3716" s="1346"/>
      <c r="S3716" s="1341">
        <v>10.433999999999999</v>
      </c>
      <c r="T3716" s="1192" t="s">
        <v>61</v>
      </c>
      <c r="U3716" s="1194" t="s">
        <v>5543</v>
      </c>
      <c r="V3716" s="1192">
        <f t="shared" ref="V3716:V3721" si="344">V3702</f>
        <v>33.89</v>
      </c>
      <c r="W3716" s="1192" t="s">
        <v>61</v>
      </c>
      <c r="X3716" s="1192">
        <v>501.66</v>
      </c>
      <c r="Y3716" s="1189"/>
    </row>
    <row r="3717" spans="6:25" ht="36.75" customHeight="1">
      <c r="F3717" s="1355">
        <v>9</v>
      </c>
      <c r="G3717" s="1355" t="s">
        <v>37</v>
      </c>
      <c r="H3717" s="1353" t="s">
        <v>5572</v>
      </c>
      <c r="I3717" s="1355">
        <f>K3725</f>
        <v>1552.5</v>
      </c>
      <c r="J3717" s="1355" t="str">
        <f>G3717</f>
        <v>Sqm</v>
      </c>
      <c r="K3717" s="1355">
        <f>I3717*F3717</f>
        <v>13972.5</v>
      </c>
      <c r="L3717" s="1353"/>
      <c r="M3717" s="1487"/>
      <c r="N3717" s="1346"/>
      <c r="S3717" s="1191">
        <v>2.16</v>
      </c>
      <c r="T3717" s="1192" t="s">
        <v>833</v>
      </c>
      <c r="U3717" s="1194" t="s">
        <v>5552</v>
      </c>
      <c r="V3717" s="1192">
        <f t="shared" si="344"/>
        <v>258.52</v>
      </c>
      <c r="W3717" s="1192" t="s">
        <v>833</v>
      </c>
      <c r="X3717" s="1192">
        <f>V3717*S3717</f>
        <v>558.40319999999997</v>
      </c>
      <c r="Y3717" s="1189"/>
    </row>
    <row r="3718" spans="6:25" ht="36.75" customHeight="1">
      <c r="F3718" s="1353"/>
      <c r="G3718" s="1353"/>
      <c r="H3718" s="1353"/>
      <c r="I3718" s="1353"/>
      <c r="J3718" s="1353"/>
      <c r="K3718" s="1355">
        <f>SUM(K3713:K3717)</f>
        <v>37801.885714285716</v>
      </c>
      <c r="L3718" s="1353"/>
      <c r="M3718" s="1487"/>
      <c r="N3718" s="1346"/>
      <c r="S3718" s="1191">
        <v>6</v>
      </c>
      <c r="T3718" s="1192" t="s">
        <v>4</v>
      </c>
      <c r="U3718" s="1194" t="s">
        <v>5573</v>
      </c>
      <c r="V3718" s="1192">
        <f t="shared" si="344"/>
        <v>13.1</v>
      </c>
      <c r="W3718" s="1192" t="s">
        <v>4</v>
      </c>
      <c r="X3718" s="1192">
        <f>V3718*S3718</f>
        <v>78.599999999999994</v>
      </c>
      <c r="Y3718" s="1198"/>
    </row>
    <row r="3719" spans="6:25" ht="36.75" customHeight="1">
      <c r="F3719" s="1353"/>
      <c r="G3719" s="1353"/>
      <c r="H3719" s="1353" t="s">
        <v>5574</v>
      </c>
      <c r="I3719" s="1353"/>
      <c r="J3719" s="1355"/>
      <c r="K3719" s="1355">
        <f>K3718/9</f>
        <v>4200.2095238095244</v>
      </c>
      <c r="L3719" s="1353"/>
      <c r="M3719" s="1487"/>
      <c r="N3719" s="1346"/>
      <c r="S3719" s="1191">
        <v>2</v>
      </c>
      <c r="T3719" s="1192" t="s">
        <v>4</v>
      </c>
      <c r="U3719" s="1194" t="s">
        <v>5575</v>
      </c>
      <c r="V3719" s="1192">
        <f t="shared" si="344"/>
        <v>62.8</v>
      </c>
      <c r="W3719" s="1192" t="s">
        <v>215</v>
      </c>
      <c r="X3719" s="1192">
        <f>V3719*S3719</f>
        <v>125.6</v>
      </c>
      <c r="Y3719" s="1189"/>
    </row>
    <row r="3720" spans="6:25" ht="24" customHeight="1">
      <c r="F3720" s="1353"/>
      <c r="G3720" s="1353"/>
      <c r="H3720" s="1358" t="s">
        <v>96</v>
      </c>
      <c r="I3720" s="1354" t="s">
        <v>5576</v>
      </c>
      <c r="J3720" s="1353"/>
      <c r="K3720" s="1359">
        <v>3282</v>
      </c>
      <c r="L3720" s="1353"/>
      <c r="M3720" s="1354"/>
      <c r="N3720" s="1346"/>
      <c r="S3720" s="1191">
        <v>3</v>
      </c>
      <c r="T3720" s="1192" t="s">
        <v>4</v>
      </c>
      <c r="U3720" s="1194" t="s">
        <v>5577</v>
      </c>
      <c r="V3720" s="1192">
        <f t="shared" si="344"/>
        <v>29.5</v>
      </c>
      <c r="W3720" s="1192" t="s">
        <v>2941</v>
      </c>
      <c r="X3720" s="1192">
        <f>V3720*S3720</f>
        <v>88.5</v>
      </c>
      <c r="Y3720" s="1189"/>
    </row>
    <row r="3721" spans="6:25" ht="24" customHeight="1">
      <c r="F3721" s="1353"/>
      <c r="G3721" s="1353"/>
      <c r="H3721" s="1353" t="s">
        <v>5578</v>
      </c>
      <c r="I3721" s="1353"/>
      <c r="J3721" s="1353"/>
      <c r="K3721" s="1353"/>
      <c r="L3721" s="1353"/>
      <c r="M3721" s="1487"/>
      <c r="N3721" s="1346"/>
      <c r="S3721" s="1191">
        <v>1.823</v>
      </c>
      <c r="T3721" s="1192" t="s">
        <v>37</v>
      </c>
      <c r="U3721" s="1194" t="s">
        <v>4437</v>
      </c>
      <c r="V3721" s="1192">
        <f t="shared" si="344"/>
        <v>1724</v>
      </c>
      <c r="W3721" s="1192" t="s">
        <v>37</v>
      </c>
      <c r="X3721" s="1192">
        <f>V3721*S3721</f>
        <v>3142.8519999999999</v>
      </c>
      <c r="Y3721" s="1189"/>
    </row>
    <row r="3722" spans="6:25" ht="24" customHeight="1">
      <c r="F3722" s="1355">
        <v>1</v>
      </c>
      <c r="G3722" s="1355" t="s">
        <v>4558</v>
      </c>
      <c r="H3722" s="1355" t="s">
        <v>5579</v>
      </c>
      <c r="I3722" s="1355">
        <f>AE17</f>
        <v>760</v>
      </c>
      <c r="J3722" s="1355" t="s">
        <v>4558</v>
      </c>
      <c r="K3722" s="1353">
        <f>I3722*F3722</f>
        <v>760</v>
      </c>
      <c r="L3722" s="1353"/>
      <c r="M3722" s="1487"/>
      <c r="N3722" s="1346"/>
      <c r="S3722" s="1119"/>
      <c r="T3722" s="1119" t="s">
        <v>1348</v>
      </c>
      <c r="U3722" s="1119" t="s">
        <v>5562</v>
      </c>
      <c r="V3722" s="1119"/>
      <c r="W3722" s="1136" t="s">
        <v>1348</v>
      </c>
      <c r="X3722" s="1119">
        <v>110</v>
      </c>
      <c r="Y3722" s="1189"/>
    </row>
    <row r="3723" spans="6:25" ht="24" customHeight="1">
      <c r="F3723" s="1355">
        <v>1</v>
      </c>
      <c r="G3723" s="1355" t="s">
        <v>4558</v>
      </c>
      <c r="H3723" s="1356" t="s">
        <v>3020</v>
      </c>
      <c r="I3723" s="1355">
        <f>AE11</f>
        <v>562</v>
      </c>
      <c r="J3723" s="1355" t="s">
        <v>4558</v>
      </c>
      <c r="K3723" s="1353">
        <f>I3723*F3723</f>
        <v>562</v>
      </c>
      <c r="L3723" s="1353"/>
      <c r="M3723" s="1487"/>
      <c r="N3723" s="1346"/>
      <c r="S3723" s="1119"/>
      <c r="T3723" s="1119"/>
      <c r="U3723" s="1119"/>
      <c r="V3723" s="1119"/>
      <c r="W3723" s="1136"/>
      <c r="X3723" s="1119">
        <f>SUM(X3715:X3722)</f>
        <v>8949.0452000000005</v>
      </c>
      <c r="Y3723" s="1189"/>
    </row>
    <row r="3724" spans="6:25" ht="24" customHeight="1">
      <c r="F3724" s="1355">
        <v>0.5</v>
      </c>
      <c r="G3724" s="1355" t="s">
        <v>4558</v>
      </c>
      <c r="H3724" s="1356" t="s">
        <v>3026</v>
      </c>
      <c r="I3724" s="1355">
        <f>AE12</f>
        <v>461</v>
      </c>
      <c r="J3724" s="1355" t="s">
        <v>4558</v>
      </c>
      <c r="K3724" s="1353">
        <f>I3724*F3724</f>
        <v>230.5</v>
      </c>
      <c r="L3724" s="1353"/>
      <c r="M3724" s="1487"/>
      <c r="N3724" s="1346"/>
      <c r="X3724" s="1119">
        <f>X3723/S3721</f>
        <v>4908.9660998354366</v>
      </c>
      <c r="Y3724" s="1189"/>
    </row>
    <row r="3725" spans="6:25" ht="24" customHeight="1">
      <c r="F3725" s="1353"/>
      <c r="G3725" s="1353"/>
      <c r="H3725" s="1353"/>
      <c r="I3725" s="1353"/>
      <c r="J3725" s="1353"/>
      <c r="K3725" s="1353">
        <f>SUM(K3722:K3724)</f>
        <v>1552.5</v>
      </c>
      <c r="L3725" s="1353"/>
      <c r="M3725" s="1487"/>
      <c r="N3725" s="1346"/>
      <c r="X3725" s="1105">
        <v>3873</v>
      </c>
      <c r="Y3725" s="1189"/>
    </row>
    <row r="3726" spans="6:25" ht="24" customHeight="1">
      <c r="F3726" s="1353"/>
      <c r="G3726" s="1353"/>
      <c r="H3726" s="1353"/>
      <c r="I3726" s="1353"/>
      <c r="J3726" s="1353"/>
      <c r="K3726" s="1353"/>
      <c r="L3726" s="1353"/>
      <c r="M3726" s="1487"/>
      <c r="N3726" s="1346"/>
      <c r="S3726" s="1189"/>
      <c r="T3726" s="1189"/>
      <c r="U3726" s="1189"/>
      <c r="V3726" s="1189"/>
      <c r="W3726" s="1200"/>
      <c r="X3726" s="1201"/>
      <c r="Y3726" s="1189"/>
    </row>
    <row r="3727" spans="6:25" ht="24" customHeight="1">
      <c r="F3727" s="1346"/>
      <c r="G3727" s="1346"/>
      <c r="H3727" s="1346"/>
      <c r="I3727" s="1346"/>
      <c r="J3727" s="1346"/>
      <c r="K3727" s="1346"/>
      <c r="L3727" s="1346"/>
      <c r="M3727" s="1346"/>
      <c r="N3727" s="1346"/>
      <c r="S3727" s="1105"/>
    </row>
    <row r="3728" spans="6:25" ht="24" customHeight="1">
      <c r="F3728" s="1186"/>
      <c r="G3728" s="1186"/>
      <c r="H3728" s="1127"/>
      <c r="I3728" s="1186"/>
      <c r="J3728" s="1186"/>
      <c r="K3728" s="1346"/>
      <c r="L3728" s="1346"/>
      <c r="M3728" s="1346"/>
      <c r="N3728" s="1346"/>
    </row>
    <row r="3729" spans="6:14" ht="24" customHeight="1">
      <c r="F3729" s="1346"/>
      <c r="G3729" s="1346"/>
      <c r="H3729" s="1360" t="s">
        <v>5580</v>
      </c>
      <c r="I3729" s="1350"/>
      <c r="J3729" s="1346"/>
      <c r="K3729" s="1346"/>
      <c r="L3729" s="1346"/>
      <c r="M3729" s="1346"/>
      <c r="N3729" s="1346"/>
    </row>
    <row r="3730" spans="6:14" ht="24" customHeight="1">
      <c r="F3730" s="1346"/>
      <c r="G3730" s="1346"/>
      <c r="H3730" s="1346"/>
      <c r="I3730" s="1346"/>
      <c r="J3730" s="1346"/>
      <c r="K3730" s="1346"/>
      <c r="L3730" s="1346"/>
      <c r="M3730" s="1346"/>
      <c r="N3730" s="1346"/>
    </row>
    <row r="3731" spans="6:14" ht="24" customHeight="1">
      <c r="F3731" s="1351"/>
      <c r="G3731" s="1351"/>
      <c r="H3731" s="1281" t="s">
        <v>5581</v>
      </c>
      <c r="I3731" s="1351"/>
      <c r="J3731" s="1351"/>
      <c r="K3731" s="1346"/>
      <c r="L3731" s="1346"/>
      <c r="M3731" s="1346"/>
      <c r="N3731" s="1346"/>
    </row>
    <row r="3732" spans="6:14" ht="24" customHeight="1">
      <c r="F3732" s="1351"/>
      <c r="G3732" s="1351"/>
      <c r="H3732" s="1182"/>
      <c r="I3732" s="1351"/>
      <c r="J3732" s="1351"/>
      <c r="K3732" s="1346"/>
      <c r="L3732" s="1346"/>
      <c r="M3732" s="1346"/>
      <c r="N3732" s="1346"/>
    </row>
    <row r="3733" spans="6:14" ht="24" customHeight="1">
      <c r="F3733" s="1346"/>
      <c r="G3733" s="1346"/>
      <c r="H3733" s="1281" t="s">
        <v>5582</v>
      </c>
      <c r="I3733" s="1351"/>
      <c r="J3733" s="1346"/>
      <c r="K3733" s="1346"/>
      <c r="L3733" s="1346"/>
      <c r="M3733" s="1346"/>
      <c r="N3733" s="1346"/>
    </row>
    <row r="3734" spans="6:14" ht="24" customHeight="1">
      <c r="F3734" s="1351">
        <v>5</v>
      </c>
      <c r="G3734" s="1351" t="s">
        <v>165</v>
      </c>
      <c r="H3734" s="1351" t="s">
        <v>5583</v>
      </c>
      <c r="I3734" s="1351">
        <v>27.3</v>
      </c>
      <c r="J3734" s="1351" t="s">
        <v>165</v>
      </c>
      <c r="K3734" s="1351">
        <f>I3734*F3734</f>
        <v>136.5</v>
      </c>
      <c r="L3734" s="1346"/>
      <c r="M3734" s="1346"/>
      <c r="N3734" s="1346"/>
    </row>
    <row r="3735" spans="6:14" ht="24" customHeight="1">
      <c r="F3735" s="1351">
        <v>1</v>
      </c>
      <c r="G3735" s="1351" t="s">
        <v>54</v>
      </c>
      <c r="H3735" s="1351" t="s">
        <v>5584</v>
      </c>
      <c r="I3735" s="1351">
        <f>AE13</f>
        <v>688</v>
      </c>
      <c r="J3735" s="1351" t="s">
        <v>54</v>
      </c>
      <c r="K3735" s="1351">
        <f>I3735*F3735</f>
        <v>688</v>
      </c>
      <c r="L3735" s="1346"/>
      <c r="M3735" s="1346"/>
      <c r="N3735" s="1346"/>
    </row>
    <row r="3736" spans="6:14" ht="24" customHeight="1">
      <c r="F3736" s="1351"/>
      <c r="G3736" s="1361" t="s">
        <v>1348</v>
      </c>
      <c r="H3736" s="1182" t="s">
        <v>5274</v>
      </c>
      <c r="I3736" s="1346"/>
      <c r="J3736" s="1361" t="s">
        <v>1348</v>
      </c>
      <c r="K3736" s="1351">
        <v>0.8</v>
      </c>
      <c r="L3736" s="1346"/>
      <c r="M3736" s="1346"/>
      <c r="N3736" s="1346"/>
    </row>
    <row r="3737" spans="6:14" ht="24" customHeight="1">
      <c r="F3737" s="1346"/>
      <c r="G3737" s="1346"/>
      <c r="H3737" s="1182" t="s">
        <v>4889</v>
      </c>
      <c r="I3737" s="1346"/>
      <c r="J3737" s="1346"/>
      <c r="K3737" s="1189">
        <f>SUM(K3734:K3736)</f>
        <v>825.3</v>
      </c>
      <c r="L3737" s="1346"/>
      <c r="M3737" s="1346"/>
      <c r="N3737" s="1346"/>
    </row>
    <row r="3738" spans="6:14" ht="24" customHeight="1">
      <c r="F3738" s="1346"/>
      <c r="G3738" s="1346"/>
      <c r="H3738" s="1182" t="s">
        <v>4942</v>
      </c>
      <c r="I3738" s="1346"/>
      <c r="J3738" s="1346"/>
      <c r="K3738" s="1198">
        <f>K3737/10</f>
        <v>82.53</v>
      </c>
      <c r="L3738" s="1346"/>
      <c r="M3738" s="1346"/>
      <c r="N3738" s="1346"/>
    </row>
    <row r="3741" spans="6:14" ht="24" customHeight="1">
      <c r="F3741" s="1346"/>
      <c r="G3741" s="1346"/>
      <c r="H3741" s="1346"/>
      <c r="I3741" s="1346"/>
      <c r="J3741" s="1346"/>
      <c r="K3741" s="1346"/>
      <c r="L3741" s="1346"/>
      <c r="M3741" s="1346"/>
      <c r="N3741" s="1346"/>
    </row>
    <row r="3742" spans="6:14" ht="24" customHeight="1">
      <c r="F3742" s="1351"/>
      <c r="G3742" s="1351"/>
      <c r="H3742" s="1281" t="s">
        <v>5585</v>
      </c>
      <c r="I3742" s="1351"/>
      <c r="J3742" s="1351"/>
      <c r="K3742" s="1346"/>
      <c r="L3742" s="1346"/>
      <c r="M3742" s="1346"/>
      <c r="N3742" s="1346"/>
    </row>
    <row r="3743" spans="6:14" ht="24" customHeight="1">
      <c r="F3743" s="1351" t="s">
        <v>8</v>
      </c>
      <c r="G3743" s="1351" t="s">
        <v>215</v>
      </c>
      <c r="H3743" s="1182"/>
      <c r="I3743" s="1351" t="s">
        <v>1339</v>
      </c>
      <c r="J3743" s="1351" t="s">
        <v>215</v>
      </c>
      <c r="K3743" s="1351" t="s">
        <v>1340</v>
      </c>
      <c r="L3743" s="1346"/>
      <c r="M3743" s="1346"/>
      <c r="N3743" s="1346"/>
    </row>
    <row r="3744" spans="6:14" ht="24" customHeight="1">
      <c r="F3744" s="1351"/>
      <c r="G3744" s="1351"/>
      <c r="H3744" s="1182"/>
      <c r="I3744" s="1351"/>
      <c r="J3744" s="1351"/>
      <c r="K3744" s="1346"/>
      <c r="L3744" s="1346"/>
      <c r="M3744" s="1346"/>
      <c r="N3744" s="1346"/>
    </row>
    <row r="3745" spans="6:14" ht="40.5" customHeight="1">
      <c r="F3745" s="1351">
        <v>0.15</v>
      </c>
      <c r="G3745" s="1351" t="s">
        <v>16</v>
      </c>
      <c r="H3745" s="1154" t="s">
        <v>5586</v>
      </c>
      <c r="I3745" s="1351">
        <f>I3639</f>
        <v>2548.02</v>
      </c>
      <c r="J3745" s="1351" t="s">
        <v>16</v>
      </c>
      <c r="K3745" s="1351">
        <f t="shared" ref="K3745:K3750" si="345">I3745*F3745</f>
        <v>382.20299999999997</v>
      </c>
      <c r="L3745" s="1346"/>
      <c r="M3745" s="1346"/>
      <c r="N3745" s="1346"/>
    </row>
    <row r="3746" spans="6:14" ht="24" customHeight="1">
      <c r="F3746" s="1286">
        <v>7.1999999999999995E-2</v>
      </c>
      <c r="G3746" s="1351" t="s">
        <v>58</v>
      </c>
      <c r="H3746" s="1182" t="s">
        <v>2786</v>
      </c>
      <c r="I3746" s="1351">
        <f>I9</f>
        <v>5960</v>
      </c>
      <c r="J3746" s="1351" t="s">
        <v>58</v>
      </c>
      <c r="K3746" s="1351">
        <f t="shared" si="345"/>
        <v>429.11999999999995</v>
      </c>
      <c r="L3746" s="1346"/>
      <c r="M3746" s="1346"/>
      <c r="N3746" s="1346"/>
    </row>
    <row r="3747" spans="6:14" ht="24" customHeight="1">
      <c r="F3747" s="1351">
        <v>14.5</v>
      </c>
      <c r="G3747" s="1351" t="s">
        <v>3236</v>
      </c>
      <c r="H3747" s="1281" t="s">
        <v>5587</v>
      </c>
      <c r="I3747" s="1351">
        <f>P2433</f>
        <v>24.7</v>
      </c>
      <c r="J3747" s="1351" t="s">
        <v>3236</v>
      </c>
      <c r="K3747" s="1351">
        <f t="shared" si="345"/>
        <v>358.15</v>
      </c>
      <c r="L3747" s="1346"/>
      <c r="M3747" s="1346"/>
      <c r="N3747" s="1346"/>
    </row>
    <row r="3748" spans="6:14" ht="24" customHeight="1">
      <c r="F3748" s="1351">
        <v>1.6</v>
      </c>
      <c r="G3748" s="1351" t="s">
        <v>4558</v>
      </c>
      <c r="H3748" s="1351" t="s">
        <v>5588</v>
      </c>
      <c r="I3748" s="1351">
        <f>AE9</f>
        <v>861</v>
      </c>
      <c r="J3748" s="1351" t="s">
        <v>4558</v>
      </c>
      <c r="K3748" s="1351">
        <f t="shared" si="345"/>
        <v>1377.6000000000001</v>
      </c>
      <c r="L3748" s="1346"/>
      <c r="M3748" s="1346"/>
      <c r="N3748" s="1346"/>
    </row>
    <row r="3749" spans="6:14" ht="24" customHeight="1">
      <c r="F3749" s="1351">
        <v>0.5</v>
      </c>
      <c r="G3749" s="1351" t="s">
        <v>4558</v>
      </c>
      <c r="H3749" s="1182" t="s">
        <v>3020</v>
      </c>
      <c r="I3749" s="1351">
        <f>AE11</f>
        <v>562</v>
      </c>
      <c r="J3749" s="1351" t="s">
        <v>4558</v>
      </c>
      <c r="K3749" s="1351">
        <f t="shared" si="345"/>
        <v>281</v>
      </c>
      <c r="L3749" s="1346"/>
      <c r="M3749" s="1346"/>
      <c r="N3749" s="1346"/>
    </row>
    <row r="3750" spans="6:14" ht="24" customHeight="1">
      <c r="F3750" s="1351">
        <v>1.1000000000000001</v>
      </c>
      <c r="G3750" s="1351" t="s">
        <v>4558</v>
      </c>
      <c r="H3750" s="1182" t="s">
        <v>3026</v>
      </c>
      <c r="I3750" s="1351">
        <v>280</v>
      </c>
      <c r="J3750" s="1351" t="s">
        <v>4558</v>
      </c>
      <c r="K3750" s="1351">
        <f t="shared" si="345"/>
        <v>308</v>
      </c>
      <c r="L3750" s="1346"/>
      <c r="M3750" s="1346"/>
      <c r="N3750" s="1346"/>
    </row>
    <row r="3751" spans="6:14" ht="24" customHeight="1">
      <c r="F3751" s="1351"/>
      <c r="G3751" s="1351"/>
      <c r="H3751" s="1182" t="s">
        <v>5274</v>
      </c>
      <c r="I3751" s="1362" t="s">
        <v>1348</v>
      </c>
      <c r="J3751" s="1351"/>
      <c r="K3751" s="1351">
        <v>52.63</v>
      </c>
      <c r="L3751" s="1346"/>
      <c r="M3751" s="1346"/>
      <c r="N3751" s="1346"/>
    </row>
    <row r="3752" spans="6:14" ht="24" customHeight="1">
      <c r="F3752" s="1351"/>
      <c r="G3752" s="1351"/>
      <c r="H3752" s="1182" t="s">
        <v>4889</v>
      </c>
      <c r="I3752" s="1346"/>
      <c r="J3752" s="1346"/>
      <c r="K3752" s="1351">
        <f>SUM(K3745:K3751)</f>
        <v>3188.7030000000004</v>
      </c>
      <c r="L3752" s="1346"/>
      <c r="M3752" s="1346"/>
      <c r="N3752" s="1346"/>
    </row>
    <row r="3753" spans="6:14" ht="24" customHeight="1">
      <c r="F3753" s="1346"/>
      <c r="G3753" s="1346"/>
      <c r="H3753" s="1182" t="s">
        <v>4942</v>
      </c>
      <c r="I3753" s="1346"/>
      <c r="J3753" s="1346"/>
      <c r="K3753" s="1363">
        <f>K3752/10</f>
        <v>318.87030000000004</v>
      </c>
      <c r="L3753" s="1346"/>
      <c r="M3753" s="1346"/>
      <c r="N3753" s="1346"/>
    </row>
    <row r="3754" spans="6:14" ht="24" customHeight="1">
      <c r="F3754" s="1346"/>
      <c r="G3754" s="1346"/>
      <c r="H3754" s="1346"/>
      <c r="I3754" s="1346"/>
      <c r="J3754" s="1346"/>
      <c r="K3754" s="1346"/>
      <c r="L3754" s="1346"/>
      <c r="M3754" s="1346"/>
      <c r="N3754" s="1346"/>
    </row>
    <row r="3755" spans="6:14" ht="24" customHeight="1">
      <c r="F3755" s="1126"/>
      <c r="G3755" s="1114" t="s">
        <v>1363</v>
      </c>
      <c r="I3755" s="1364"/>
      <c r="J3755" s="1365"/>
      <c r="K3755" s="1186"/>
      <c r="L3755" s="1186"/>
    </row>
    <row r="3756" spans="6:14" ht="24" customHeight="1">
      <c r="F3756" s="1186"/>
      <c r="G3756" s="1186"/>
      <c r="H3756" s="1103"/>
      <c r="I3756" s="1186"/>
      <c r="J3756" s="1366"/>
      <c r="K3756" s="1186"/>
      <c r="L3756" s="1186"/>
    </row>
    <row r="3757" spans="6:14" ht="24" customHeight="1">
      <c r="F3757" s="1186"/>
      <c r="G3757" s="1186"/>
      <c r="H3757" s="1367" t="s">
        <v>5589</v>
      </c>
      <c r="I3757" s="1186"/>
      <c r="J3757" s="1366"/>
      <c r="K3757" s="1186"/>
      <c r="L3757" s="1186"/>
    </row>
    <row r="3758" spans="6:14" ht="24" customHeight="1">
      <c r="F3758" s="1186"/>
      <c r="G3758" s="1186"/>
      <c r="H3758" s="1111" t="s">
        <v>36</v>
      </c>
      <c r="I3758" s="1186"/>
      <c r="J3758" s="1366"/>
      <c r="K3758" s="1186"/>
      <c r="L3758" s="1186"/>
    </row>
    <row r="3759" spans="6:14" ht="24" customHeight="1">
      <c r="F3759" s="1114">
        <v>21.55</v>
      </c>
      <c r="G3759" s="1114" t="s">
        <v>165</v>
      </c>
      <c r="H3759" s="1103" t="s">
        <v>5590</v>
      </c>
      <c r="I3759" s="1114">
        <f>I3735</f>
        <v>688</v>
      </c>
      <c r="J3759" s="1114" t="s">
        <v>165</v>
      </c>
      <c r="K3759" s="1114">
        <f>I3759*F3759</f>
        <v>14826.4</v>
      </c>
      <c r="L3759" s="1186"/>
    </row>
    <row r="3760" spans="6:14" ht="24" customHeight="1">
      <c r="F3760" s="1114"/>
      <c r="G3760" s="1114"/>
      <c r="H3760" s="1103" t="s">
        <v>5591</v>
      </c>
      <c r="I3760" s="1114"/>
      <c r="J3760" s="1114"/>
      <c r="K3760" s="1114">
        <f>K3759*10/100</f>
        <v>1482.64</v>
      </c>
      <c r="L3760" s="1186"/>
    </row>
    <row r="3761" spans="6:12" ht="24" customHeight="1">
      <c r="F3761" s="1114">
        <v>3.7</v>
      </c>
      <c r="G3761" s="1114" t="s">
        <v>165</v>
      </c>
      <c r="H3761" s="1103" t="s">
        <v>5592</v>
      </c>
      <c r="I3761" s="1114">
        <f>Y32</f>
        <v>51750</v>
      </c>
      <c r="J3761" s="1114" t="s">
        <v>58</v>
      </c>
      <c r="K3761" s="1114">
        <f>I3761*F3761/10000</f>
        <v>19.147500000000001</v>
      </c>
      <c r="L3761" s="1186"/>
    </row>
    <row r="3762" spans="6:12" ht="24" customHeight="1">
      <c r="F3762" s="1346"/>
      <c r="G3762" s="1346"/>
      <c r="H3762" s="1103" t="s">
        <v>5593</v>
      </c>
      <c r="I3762" s="1114"/>
      <c r="J3762" s="1103"/>
      <c r="K3762" s="1114">
        <f>K3761*5/100</f>
        <v>0.95737500000000009</v>
      </c>
      <c r="L3762" s="1186"/>
    </row>
    <row r="3763" spans="6:12" ht="24" customHeight="1">
      <c r="F3763" s="1114">
        <v>18</v>
      </c>
      <c r="G3763" s="1114" t="s">
        <v>4154</v>
      </c>
      <c r="H3763" s="1103" t="s">
        <v>5594</v>
      </c>
      <c r="I3763" s="1114">
        <v>15</v>
      </c>
      <c r="J3763" s="1114" t="s">
        <v>4</v>
      </c>
      <c r="K3763" s="1114">
        <f>I3763*F3763</f>
        <v>270</v>
      </c>
      <c r="L3763" s="1186"/>
    </row>
    <row r="3764" spans="6:12" ht="24" customHeight="1">
      <c r="F3764" s="1114"/>
      <c r="G3764" s="1114"/>
      <c r="H3764" s="1103" t="s">
        <v>5595</v>
      </c>
      <c r="I3764" s="1114"/>
      <c r="J3764" s="1103"/>
      <c r="K3764" s="1114">
        <f>K3763*10/100</f>
        <v>27</v>
      </c>
      <c r="L3764" s="1186"/>
    </row>
    <row r="3765" spans="6:12" ht="24" customHeight="1">
      <c r="F3765" s="1114">
        <v>28</v>
      </c>
      <c r="G3765" s="1114" t="s">
        <v>4154</v>
      </c>
      <c r="H3765" s="1103" t="s">
        <v>5596</v>
      </c>
      <c r="I3765" s="1114">
        <v>1</v>
      </c>
      <c r="J3765" s="1114" t="s">
        <v>4154</v>
      </c>
      <c r="K3765" s="1114">
        <f>I3765*F3765</f>
        <v>28</v>
      </c>
      <c r="L3765" s="1186"/>
    </row>
    <row r="3766" spans="6:12" ht="33" customHeight="1">
      <c r="F3766" s="1114">
        <v>28</v>
      </c>
      <c r="G3766" s="1114" t="s">
        <v>4154</v>
      </c>
      <c r="H3766" s="1103" t="s">
        <v>5597</v>
      </c>
      <c r="I3766" s="1114">
        <v>2</v>
      </c>
      <c r="J3766" s="1114" t="s">
        <v>4154</v>
      </c>
      <c r="K3766" s="1114">
        <f>I3766*F3766</f>
        <v>56</v>
      </c>
      <c r="L3766" s="1186"/>
    </row>
    <row r="3767" spans="6:12" ht="36" customHeight="1">
      <c r="F3767" s="1114">
        <v>4</v>
      </c>
      <c r="G3767" s="1114" t="s">
        <v>4154</v>
      </c>
      <c r="H3767" s="1368" t="s">
        <v>5598</v>
      </c>
      <c r="I3767" s="1114">
        <f>AE17</f>
        <v>760</v>
      </c>
      <c r="J3767" s="1114" t="s">
        <v>4154</v>
      </c>
      <c r="K3767" s="1114">
        <f>I3767*F3767</f>
        <v>3040</v>
      </c>
      <c r="L3767" s="1186"/>
    </row>
    <row r="3768" spans="6:12" ht="24" customHeight="1">
      <c r="F3768" s="1114">
        <v>2</v>
      </c>
      <c r="G3768" s="1114" t="s">
        <v>4154</v>
      </c>
      <c r="H3768" s="1368" t="s">
        <v>5599</v>
      </c>
      <c r="I3768" s="1114">
        <f>AE19</f>
        <v>842</v>
      </c>
      <c r="J3768" s="1114" t="s">
        <v>4154</v>
      </c>
      <c r="K3768" s="1114">
        <f>I3768*F3768</f>
        <v>1684</v>
      </c>
      <c r="L3768" s="1186"/>
    </row>
    <row r="3769" spans="6:12" ht="24" customHeight="1">
      <c r="F3769" s="1114">
        <v>6</v>
      </c>
      <c r="G3769" s="1114" t="s">
        <v>4154</v>
      </c>
      <c r="H3769" s="1368" t="s">
        <v>5600</v>
      </c>
      <c r="I3769" s="1114">
        <f>AE11</f>
        <v>562</v>
      </c>
      <c r="J3769" s="1114" t="s">
        <v>4154</v>
      </c>
      <c r="K3769" s="1114">
        <f>I3769*F3769</f>
        <v>3372</v>
      </c>
      <c r="L3769" s="1186"/>
    </row>
    <row r="3770" spans="6:12" ht="24" customHeight="1">
      <c r="F3770" s="1114"/>
      <c r="G3770" s="1114" t="s">
        <v>2851</v>
      </c>
      <c r="H3770" s="1103" t="s">
        <v>5274</v>
      </c>
      <c r="I3770" s="1103" t="s">
        <v>220</v>
      </c>
      <c r="J3770" s="1103" t="s">
        <v>2851</v>
      </c>
      <c r="K3770" s="1114">
        <v>5.38</v>
      </c>
      <c r="L3770" s="1186"/>
    </row>
    <row r="3771" spans="6:12" ht="24" customHeight="1">
      <c r="F3771" s="1114"/>
      <c r="G3771" s="1114"/>
      <c r="H3771" s="1103"/>
      <c r="I3771" s="1114"/>
      <c r="J3771" s="1114"/>
      <c r="K3771" s="1114"/>
      <c r="L3771" s="1186"/>
    </row>
    <row r="3772" spans="6:12" ht="24" customHeight="1">
      <c r="F3772" s="1186"/>
      <c r="G3772" s="1186"/>
      <c r="H3772" s="1103" t="s">
        <v>5601</v>
      </c>
      <c r="I3772" s="1186"/>
      <c r="J3772" s="1366"/>
      <c r="K3772" s="1114">
        <f>SUM(K3759:K3771)</f>
        <v>24811.524874999999</v>
      </c>
      <c r="L3772" s="1186"/>
    </row>
    <row r="3773" spans="6:12" ht="24" customHeight="1">
      <c r="F3773" s="1186"/>
      <c r="G3773" s="1186"/>
      <c r="H3773" s="1186"/>
      <c r="I3773" s="1186"/>
      <c r="J3773" s="1366"/>
      <c r="K3773" s="1111" t="s">
        <v>36</v>
      </c>
      <c r="L3773" s="1186"/>
    </row>
    <row r="3774" spans="6:12" ht="24" customHeight="1">
      <c r="F3774" s="1186"/>
      <c r="G3774" s="1186"/>
      <c r="H3774" s="1113" t="s">
        <v>5602</v>
      </c>
      <c r="I3774" s="1347"/>
      <c r="J3774" s="1369" t="s">
        <v>5076</v>
      </c>
      <c r="K3774" s="1115">
        <f>K3772/18</f>
        <v>1378.4180486111111</v>
      </c>
      <c r="L3774" s="1186"/>
    </row>
    <row r="3775" spans="6:12" ht="24" customHeight="1">
      <c r="F3775" s="1186"/>
      <c r="G3775" s="1186"/>
      <c r="H3775" s="1113"/>
      <c r="I3775" s="1347"/>
      <c r="J3775" s="1369"/>
      <c r="K3775" s="1111" t="s">
        <v>36</v>
      </c>
      <c r="L3775" s="1186"/>
    </row>
    <row r="3776" spans="6:12" ht="24" customHeight="1">
      <c r="F3776" s="1186"/>
      <c r="G3776" s="1186"/>
      <c r="H3776" s="1113"/>
      <c r="I3776" s="1347"/>
      <c r="J3776" s="1369"/>
      <c r="K3776" s="1115"/>
      <c r="L3776" s="1186"/>
    </row>
    <row r="3777" spans="6:12" ht="24" customHeight="1">
      <c r="F3777" s="1346"/>
      <c r="G3777" s="1346"/>
      <c r="H3777" s="1370" t="s">
        <v>5603</v>
      </c>
      <c r="I3777" s="1346"/>
      <c r="J3777" s="1346"/>
      <c r="K3777" s="1346"/>
      <c r="L3777" s="1346"/>
    </row>
    <row r="3778" spans="6:12" ht="24" customHeight="1">
      <c r="F3778" s="1186"/>
      <c r="G3778" s="1198" t="s">
        <v>5604</v>
      </c>
      <c r="H3778" s="1198"/>
      <c r="I3778" s="1198"/>
      <c r="J3778" s="1198"/>
      <c r="K3778" s="1339"/>
      <c r="L3778" s="1339"/>
    </row>
    <row r="3779" spans="6:12" ht="24" customHeight="1">
      <c r="F3779" s="1186"/>
      <c r="G3779" s="1191"/>
      <c r="H3779" s="1192"/>
      <c r="I3779" s="1193"/>
      <c r="J3779" s="1192"/>
      <c r="K3779" s="1192"/>
      <c r="L3779" s="1192"/>
    </row>
    <row r="3780" spans="6:12" ht="24" customHeight="1">
      <c r="F3780" s="1186"/>
      <c r="G3780" s="1191"/>
      <c r="H3780" s="1192"/>
      <c r="I3780" s="1194"/>
      <c r="J3780" s="1192"/>
      <c r="K3780" s="1192"/>
      <c r="L3780" s="1192"/>
    </row>
    <row r="3781" spans="6:12" ht="24" customHeight="1">
      <c r="F3781" s="1191">
        <v>38.86</v>
      </c>
      <c r="G3781" s="1192" t="s">
        <v>3236</v>
      </c>
      <c r="H3781" s="1194" t="s">
        <v>5605</v>
      </c>
      <c r="I3781" s="1192">
        <f>AB1350</f>
        <v>301</v>
      </c>
      <c r="J3781" s="1192" t="s">
        <v>3236</v>
      </c>
      <c r="K3781" s="1192">
        <f t="shared" ref="K3781:K3788" si="346">I3781*F3781</f>
        <v>11696.86</v>
      </c>
      <c r="L3781" s="1189"/>
    </row>
    <row r="3782" spans="6:12" ht="24" customHeight="1">
      <c r="F3782" s="1191">
        <v>2.4300000000000002</v>
      </c>
      <c r="G3782" s="1192" t="s">
        <v>833</v>
      </c>
      <c r="H3782" s="1194" t="s">
        <v>5523</v>
      </c>
      <c r="I3782" s="1192">
        <v>336</v>
      </c>
      <c r="J3782" s="1192" t="s">
        <v>833</v>
      </c>
      <c r="K3782" s="1192">
        <f t="shared" si="346"/>
        <v>816.48</v>
      </c>
      <c r="L3782" s="1189"/>
    </row>
    <row r="3783" spans="6:12" ht="24" customHeight="1">
      <c r="F3783" s="1191">
        <v>4.8499999999999996</v>
      </c>
      <c r="G3783" s="1192" t="s">
        <v>833</v>
      </c>
      <c r="H3783" s="1194" t="s">
        <v>5524</v>
      </c>
      <c r="I3783" s="1192">
        <v>695</v>
      </c>
      <c r="J3783" s="1192" t="s">
        <v>2941</v>
      </c>
      <c r="K3783" s="1192">
        <f t="shared" si="346"/>
        <v>3370.7499999999995</v>
      </c>
      <c r="L3783" s="1189"/>
    </row>
    <row r="3784" spans="6:12" ht="24" customHeight="1">
      <c r="F3784" s="1341">
        <v>34.65</v>
      </c>
      <c r="G3784" s="1192" t="s">
        <v>61</v>
      </c>
      <c r="H3784" s="1194" t="s">
        <v>5543</v>
      </c>
      <c r="I3784" s="1192">
        <v>35.5</v>
      </c>
      <c r="J3784" s="1192" t="s">
        <v>61</v>
      </c>
      <c r="K3784" s="1192">
        <f t="shared" si="346"/>
        <v>1230.075</v>
      </c>
      <c r="L3784" s="1189"/>
    </row>
    <row r="3785" spans="6:12" ht="24" customHeight="1">
      <c r="F3785" s="1343">
        <v>144</v>
      </c>
      <c r="G3785" s="1343" t="s">
        <v>4154</v>
      </c>
      <c r="H3785" s="1343" t="s">
        <v>5606</v>
      </c>
      <c r="I3785" s="1344">
        <v>2.25</v>
      </c>
      <c r="J3785" s="1345" t="s">
        <v>54</v>
      </c>
      <c r="K3785" s="1192">
        <f t="shared" si="346"/>
        <v>324</v>
      </c>
      <c r="L3785" s="1189"/>
    </row>
    <row r="3786" spans="6:12" ht="24" customHeight="1">
      <c r="F3786" s="1343">
        <v>12</v>
      </c>
      <c r="G3786" s="1343" t="s">
        <v>4154</v>
      </c>
      <c r="H3786" s="1343" t="s">
        <v>5607</v>
      </c>
      <c r="I3786" s="1344">
        <v>4.55</v>
      </c>
      <c r="J3786" s="1345" t="s">
        <v>54</v>
      </c>
      <c r="K3786" s="1192">
        <f t="shared" si="346"/>
        <v>54.599999999999994</v>
      </c>
      <c r="L3786" s="1189"/>
    </row>
    <row r="3787" spans="6:12" ht="24" customHeight="1">
      <c r="F3787" s="1343">
        <v>12</v>
      </c>
      <c r="G3787" s="1343" t="s">
        <v>4154</v>
      </c>
      <c r="H3787" s="1343" t="s">
        <v>5608</v>
      </c>
      <c r="I3787" s="1344">
        <v>1</v>
      </c>
      <c r="J3787" s="1345" t="s">
        <v>54</v>
      </c>
      <c r="K3787" s="1192">
        <f t="shared" si="346"/>
        <v>12</v>
      </c>
      <c r="L3787" s="1189"/>
    </row>
    <row r="3788" spans="6:12" ht="24" customHeight="1">
      <c r="F3788" s="1191">
        <v>2</v>
      </c>
      <c r="G3788" s="1192" t="s">
        <v>215</v>
      </c>
      <c r="H3788" s="1194" t="s">
        <v>5609</v>
      </c>
      <c r="I3788" s="1192">
        <v>11.1</v>
      </c>
      <c r="J3788" s="1192" t="s">
        <v>215</v>
      </c>
      <c r="K3788" s="1192">
        <f t="shared" si="346"/>
        <v>22.2</v>
      </c>
      <c r="L3788" s="1189"/>
    </row>
    <row r="3789" spans="6:12" ht="24" customHeight="1">
      <c r="F3789" s="1191">
        <v>6.6150000000000002</v>
      </c>
      <c r="G3789" s="1192" t="s">
        <v>37</v>
      </c>
      <c r="H3789" s="1194" t="s">
        <v>4437</v>
      </c>
      <c r="I3789" s="1189">
        <f>K3799</f>
        <v>1724</v>
      </c>
      <c r="J3789" s="1192" t="s">
        <v>37</v>
      </c>
      <c r="K3789" s="1192">
        <f>1059.95*6.615</f>
        <v>7011.5692500000005</v>
      </c>
      <c r="L3789" s="1189"/>
    </row>
    <row r="3790" spans="6:12" ht="24" customHeight="1">
      <c r="F3790" s="1191"/>
      <c r="G3790" s="1192"/>
      <c r="H3790" s="1194"/>
      <c r="I3790" s="1189"/>
      <c r="J3790" s="1195"/>
      <c r="K3790" s="1192"/>
      <c r="L3790" s="1189"/>
    </row>
    <row r="3791" spans="6:12" ht="24" customHeight="1">
      <c r="F3791" s="1191"/>
      <c r="G3791" s="1192"/>
      <c r="H3791" s="1103" t="s">
        <v>5610</v>
      </c>
      <c r="I3791" s="1186"/>
      <c r="J3791" s="1192"/>
      <c r="K3791" s="1192">
        <f>SUM(K3781:K3790)</f>
        <v>24538.534250000001</v>
      </c>
      <c r="L3791" s="1189"/>
    </row>
    <row r="3792" spans="6:12" ht="24" customHeight="1">
      <c r="F3792" s="1191"/>
      <c r="G3792" s="1192"/>
      <c r="H3792" s="1103" t="s">
        <v>3154</v>
      </c>
      <c r="I3792" s="1186"/>
      <c r="J3792" s="1339"/>
      <c r="K3792" s="1196">
        <f>K3791/6.615</f>
        <v>3709.5289871504156</v>
      </c>
      <c r="L3792" s="1198" t="s">
        <v>522</v>
      </c>
    </row>
    <row r="3793" spans="6:12" ht="24" customHeight="1">
      <c r="F3793" s="1189"/>
      <c r="G3793" s="1189"/>
      <c r="H3793" s="1199"/>
      <c r="I3793" s="1189"/>
      <c r="J3793" s="1189"/>
      <c r="K3793" s="1189"/>
      <c r="L3793" s="1189"/>
    </row>
    <row r="3794" spans="6:12" ht="24" customHeight="1">
      <c r="F3794" s="1192">
        <v>1</v>
      </c>
      <c r="G3794" s="1192" t="s">
        <v>2838</v>
      </c>
      <c r="H3794" s="1194" t="s">
        <v>5537</v>
      </c>
      <c r="I3794" s="1192">
        <f>AE17</f>
        <v>760</v>
      </c>
      <c r="J3794" s="1194" t="s">
        <v>2838</v>
      </c>
      <c r="K3794" s="1192">
        <f>I3794*F3794</f>
        <v>760</v>
      </c>
      <c r="L3794" s="1189"/>
    </row>
    <row r="3795" spans="6:12" ht="24" customHeight="1">
      <c r="F3795" s="1192">
        <v>1</v>
      </c>
      <c r="G3795" s="1192" t="s">
        <v>2838</v>
      </c>
      <c r="H3795" s="1194" t="s">
        <v>5538</v>
      </c>
      <c r="I3795" s="1192">
        <f>AE11</f>
        <v>562</v>
      </c>
      <c r="J3795" s="1194" t="s">
        <v>2838</v>
      </c>
      <c r="K3795" s="1192">
        <f>I3795*F3795</f>
        <v>562</v>
      </c>
      <c r="L3795" s="1189"/>
    </row>
    <row r="3796" spans="6:12" ht="24" customHeight="1">
      <c r="F3796" s="1192">
        <v>0.5</v>
      </c>
      <c r="G3796" s="1192" t="s">
        <v>2838</v>
      </c>
      <c r="H3796" s="1194" t="s">
        <v>5539</v>
      </c>
      <c r="I3796" s="1192">
        <f>AE20</f>
        <v>804</v>
      </c>
      <c r="J3796" s="1194" t="s">
        <v>2838</v>
      </c>
      <c r="K3796" s="1192">
        <f>I3796*F3796</f>
        <v>402</v>
      </c>
      <c r="L3796" s="1189"/>
    </row>
    <row r="3797" spans="6:12" ht="24" customHeight="1">
      <c r="F3797" s="1189"/>
      <c r="G3797" s="1192" t="s">
        <v>2851</v>
      </c>
      <c r="H3797" s="1194"/>
      <c r="I3797" s="1192"/>
      <c r="J3797" s="1194" t="s">
        <v>2851</v>
      </c>
      <c r="K3797" s="1192"/>
      <c r="L3797" s="1189"/>
    </row>
    <row r="3798" spans="6:12" ht="24" customHeight="1">
      <c r="F3798" s="1186"/>
      <c r="G3798" s="1189"/>
      <c r="H3798" s="1189"/>
      <c r="I3798" s="1189"/>
      <c r="J3798" s="1189"/>
      <c r="K3798" s="1201" t="s">
        <v>36</v>
      </c>
      <c r="L3798" s="1346"/>
    </row>
    <row r="3799" spans="6:12" ht="24" customHeight="1">
      <c r="F3799" s="1186"/>
      <c r="G3799" s="1189"/>
      <c r="H3799" s="1189"/>
      <c r="I3799" s="1194" t="s">
        <v>4445</v>
      </c>
      <c r="J3799" s="1189"/>
      <c r="K3799" s="1196">
        <f>SUM(K3794:K3798)</f>
        <v>1724</v>
      </c>
      <c r="L3799" s="1346"/>
    </row>
    <row r="3800" spans="6:12" ht="24" customHeight="1">
      <c r="F3800" s="1186"/>
      <c r="G3800" s="1189"/>
      <c r="H3800" s="1189"/>
      <c r="I3800" s="1189"/>
      <c r="J3800" s="1189"/>
      <c r="K3800" s="1201" t="s">
        <v>36</v>
      </c>
      <c r="L3800" s="1346"/>
    </row>
    <row r="3801" spans="6:12" ht="24" customHeight="1">
      <c r="F3801" s="1186"/>
      <c r="G3801" s="1186"/>
      <c r="H3801" s="1186"/>
      <c r="I3801" s="1186"/>
      <c r="J3801" s="1186"/>
      <c r="K3801" s="1108"/>
      <c r="L3801" s="1186"/>
    </row>
    <row r="3802" spans="6:12" ht="24" customHeight="1">
      <c r="F3802" s="1131"/>
      <c r="G3802" s="1114" t="s">
        <v>1363</v>
      </c>
      <c r="H3802" s="1103" t="s">
        <v>4273</v>
      </c>
    </row>
    <row r="3803" spans="6:12" ht="24" customHeight="1">
      <c r="H3803" s="1103"/>
    </row>
    <row r="3804" spans="6:12" ht="24" customHeight="1">
      <c r="H3804" s="1111" t="s">
        <v>36</v>
      </c>
    </row>
    <row r="3805" spans="6:12" ht="24" customHeight="1">
      <c r="F3805" s="1114">
        <v>1.86</v>
      </c>
      <c r="G3805" s="1114" t="s">
        <v>3189</v>
      </c>
      <c r="H3805" s="1103" t="s">
        <v>4274</v>
      </c>
      <c r="I3805" s="1114">
        <v>699.4</v>
      </c>
      <c r="J3805" s="1103" t="s">
        <v>3189</v>
      </c>
      <c r="K3805" s="1114">
        <f>(F3805*I3805)</f>
        <v>1300.884</v>
      </c>
    </row>
    <row r="3806" spans="6:12" ht="24" customHeight="1">
      <c r="F3806" s="1114">
        <v>0.4</v>
      </c>
      <c r="G3806" s="1114" t="s">
        <v>165</v>
      </c>
      <c r="H3806" s="1103" t="s">
        <v>4234</v>
      </c>
      <c r="I3806" s="1114">
        <f>I3462</f>
        <v>36.1</v>
      </c>
      <c r="J3806" s="1103" t="s">
        <v>165</v>
      </c>
      <c r="K3806" s="1114">
        <f>(F3806*I3806)</f>
        <v>14.440000000000001</v>
      </c>
    </row>
    <row r="3807" spans="6:12" ht="24" customHeight="1">
      <c r="F3807" s="1114">
        <v>0.02</v>
      </c>
      <c r="G3807" s="1114" t="s">
        <v>2839</v>
      </c>
      <c r="H3807" s="1103" t="s">
        <v>4265</v>
      </c>
      <c r="I3807" s="1114">
        <f>K23</f>
        <v>6226.26</v>
      </c>
      <c r="J3807" s="1103" t="s">
        <v>2839</v>
      </c>
      <c r="K3807" s="1114">
        <f>(F3807*I3807)</f>
        <v>124.52520000000001</v>
      </c>
    </row>
    <row r="3808" spans="6:12" ht="24" customHeight="1">
      <c r="F3808" s="1114">
        <v>1</v>
      </c>
      <c r="G3808" s="1114" t="s">
        <v>2941</v>
      </c>
      <c r="H3808" s="1103" t="s">
        <v>3051</v>
      </c>
      <c r="I3808" s="1114">
        <f>I3748</f>
        <v>861</v>
      </c>
      <c r="J3808" s="1103" t="s">
        <v>2941</v>
      </c>
      <c r="K3808" s="1114">
        <f>(F3808*I3808)</f>
        <v>861</v>
      </c>
    </row>
    <row r="3809" spans="6:11" ht="24" customHeight="1">
      <c r="F3809" s="1114">
        <v>1</v>
      </c>
      <c r="G3809" s="1114" t="s">
        <v>2941</v>
      </c>
      <c r="H3809" s="1103" t="s">
        <v>4267</v>
      </c>
      <c r="I3809" s="1114">
        <f>I3795</f>
        <v>562</v>
      </c>
      <c r="J3809" s="1103" t="s">
        <v>2941</v>
      </c>
      <c r="K3809" s="1114">
        <f>(F3809*I3809)</f>
        <v>562</v>
      </c>
    </row>
    <row r="3810" spans="6:11" ht="24" customHeight="1">
      <c r="G3810" s="1114" t="s">
        <v>2851</v>
      </c>
      <c r="H3810" s="1103" t="s">
        <v>2852</v>
      </c>
      <c r="J3810" s="1103" t="s">
        <v>2851</v>
      </c>
      <c r="K3810" s="1114"/>
    </row>
    <row r="3811" spans="6:11" ht="24" customHeight="1">
      <c r="K3811" s="1111" t="s">
        <v>36</v>
      </c>
    </row>
    <row r="3812" spans="6:11" ht="24" customHeight="1">
      <c r="H3812" s="1103" t="s">
        <v>4270</v>
      </c>
      <c r="K3812" s="1114">
        <f>SUM(K3805:K3810)</f>
        <v>2862.8492000000001</v>
      </c>
    </row>
    <row r="3813" spans="6:11" ht="24" customHeight="1">
      <c r="K3813" s="1111" t="s">
        <v>36</v>
      </c>
    </row>
    <row r="3814" spans="6:11" ht="24" customHeight="1">
      <c r="H3814" s="1118" t="s">
        <v>3154</v>
      </c>
      <c r="K3814" s="1115">
        <f>(K3812/1.86)</f>
        <v>1539.1662365591399</v>
      </c>
    </row>
    <row r="3815" spans="6:11" ht="24" customHeight="1">
      <c r="K3815" s="1111" t="s">
        <v>2793</v>
      </c>
    </row>
    <row r="3817" spans="6:11" ht="24" customHeight="1">
      <c r="F3817" s="1131"/>
      <c r="G3817" s="1114" t="s">
        <v>1363</v>
      </c>
      <c r="H3817" s="1103" t="s">
        <v>4271</v>
      </c>
    </row>
    <row r="3818" spans="6:11" ht="24" customHeight="1">
      <c r="H3818" s="1103"/>
    </row>
    <row r="3819" spans="6:11" ht="24" customHeight="1">
      <c r="H3819" s="1103"/>
    </row>
    <row r="3820" spans="6:11" ht="24" customHeight="1">
      <c r="H3820" s="1111" t="s">
        <v>36</v>
      </c>
      <c r="I3820" s="1111" t="s">
        <v>36</v>
      </c>
    </row>
    <row r="3821" spans="6:11" ht="36" customHeight="1">
      <c r="F3821" s="1114">
        <v>10</v>
      </c>
      <c r="G3821" s="1114" t="s">
        <v>3189</v>
      </c>
      <c r="H3821" s="1129" t="s">
        <v>4272</v>
      </c>
      <c r="I3821" s="1114">
        <v>538.21</v>
      </c>
      <c r="J3821" s="1103" t="s">
        <v>3189</v>
      </c>
      <c r="K3821" s="1114">
        <f>(F3821*I3821)</f>
        <v>5382.1</v>
      </c>
    </row>
    <row r="3822" spans="6:11" ht="32.25" customHeight="1">
      <c r="F3822" s="1114">
        <v>0.21</v>
      </c>
      <c r="G3822" s="1114" t="s">
        <v>2839</v>
      </c>
      <c r="H3822" s="1103" t="s">
        <v>4223</v>
      </c>
      <c r="I3822" s="1114">
        <f>I3455</f>
        <v>4795.8599999999997</v>
      </c>
      <c r="J3822" s="1103" t="s">
        <v>2839</v>
      </c>
      <c r="K3822" s="1114">
        <f>(F3822*I3822)</f>
        <v>1007.1305999999998</v>
      </c>
    </row>
    <row r="3823" spans="6:11" ht="24" customHeight="1">
      <c r="H3823" s="1103" t="s">
        <v>4228</v>
      </c>
      <c r="I3823" s="1114"/>
      <c r="K3823" s="1103" t="s">
        <v>220</v>
      </c>
    </row>
    <row r="3824" spans="6:11" ht="24" customHeight="1">
      <c r="F3824" s="1114">
        <v>1.1000000000000001</v>
      </c>
      <c r="G3824" s="1114" t="s">
        <v>2941</v>
      </c>
      <c r="H3824" s="1103" t="s">
        <v>3051</v>
      </c>
      <c r="I3824" s="1114">
        <f>I3457</f>
        <v>861</v>
      </c>
      <c r="J3824" s="1103" t="s">
        <v>2941</v>
      </c>
      <c r="K3824" s="1114">
        <f>(F3824*I3824)</f>
        <v>947.1</v>
      </c>
    </row>
    <row r="3825" spans="6:11" ht="24" customHeight="1">
      <c r="F3825" s="1114">
        <v>1.1000000000000001</v>
      </c>
      <c r="G3825" s="1114" t="s">
        <v>2941</v>
      </c>
      <c r="H3825" s="1103" t="s">
        <v>3017</v>
      </c>
      <c r="I3825" s="1114">
        <f t="shared" ref="I3825:I3832" si="347">I3458</f>
        <v>804</v>
      </c>
      <c r="J3825" s="1103" t="s">
        <v>2941</v>
      </c>
      <c r="K3825" s="1114">
        <f>(F3825*I3825)</f>
        <v>884.40000000000009</v>
      </c>
    </row>
    <row r="3826" spans="6:11" ht="24" customHeight="1">
      <c r="F3826" s="1114">
        <v>2.2000000000000002</v>
      </c>
      <c r="G3826" s="1114" t="s">
        <v>2941</v>
      </c>
      <c r="H3826" s="1103" t="s">
        <v>3020</v>
      </c>
      <c r="I3826" s="1114">
        <f t="shared" si="347"/>
        <v>562</v>
      </c>
      <c r="J3826" s="1103" t="s">
        <v>2941</v>
      </c>
      <c r="K3826" s="1114">
        <f>(F3826*I3826)</f>
        <v>1236.4000000000001</v>
      </c>
    </row>
    <row r="3827" spans="6:11" ht="24" customHeight="1">
      <c r="F3827" s="1114">
        <v>2.2000000000000002</v>
      </c>
      <c r="G3827" s="1114" t="s">
        <v>2941</v>
      </c>
      <c r="H3827" s="1103" t="s">
        <v>3026</v>
      </c>
      <c r="I3827" s="1114">
        <f t="shared" si="347"/>
        <v>461</v>
      </c>
      <c r="J3827" s="1103" t="s">
        <v>2941</v>
      </c>
      <c r="K3827" s="1114">
        <f>(F3827*I3827)</f>
        <v>1014.2</v>
      </c>
    </row>
    <row r="3828" spans="6:11" ht="24" customHeight="1">
      <c r="F3828" s="1128">
        <v>20</v>
      </c>
      <c r="G3828" s="1114" t="s">
        <v>165</v>
      </c>
      <c r="H3828" s="1103" t="s">
        <v>2830</v>
      </c>
      <c r="I3828" s="1114">
        <f t="shared" si="347"/>
        <v>5960</v>
      </c>
      <c r="J3828" s="1103" t="s">
        <v>197</v>
      </c>
      <c r="K3828" s="1114">
        <f>(F3828*I3828)/1000</f>
        <v>119.2</v>
      </c>
    </row>
    <row r="3829" spans="6:11" ht="24" customHeight="1">
      <c r="F3829" s="1128">
        <v>2</v>
      </c>
      <c r="G3829" s="1114" t="s">
        <v>165</v>
      </c>
      <c r="H3829" s="1103" t="s">
        <v>4234</v>
      </c>
      <c r="I3829" s="1114">
        <f t="shared" si="347"/>
        <v>36.1</v>
      </c>
      <c r="J3829" s="1103" t="s">
        <v>165</v>
      </c>
      <c r="K3829" s="1114">
        <f>(F3829*I3829)</f>
        <v>72.2</v>
      </c>
    </row>
    <row r="3830" spans="6:11" ht="24" customHeight="1">
      <c r="F3830" s="1114">
        <v>1.6</v>
      </c>
      <c r="G3830" s="1114" t="s">
        <v>2941</v>
      </c>
      <c r="H3830" s="1103" t="s">
        <v>3017</v>
      </c>
      <c r="I3830" s="1114">
        <f t="shared" si="347"/>
        <v>804</v>
      </c>
      <c r="J3830" s="1103" t="s">
        <v>2941</v>
      </c>
      <c r="K3830" s="1114">
        <f>(F3830*I3830)</f>
        <v>1286.4000000000001</v>
      </c>
    </row>
    <row r="3831" spans="6:11" ht="24" customHeight="1">
      <c r="F3831" s="1114">
        <v>0.5</v>
      </c>
      <c r="G3831" s="1114" t="s">
        <v>2941</v>
      </c>
      <c r="H3831" s="1103" t="s">
        <v>3020</v>
      </c>
      <c r="I3831" s="1114">
        <f t="shared" si="347"/>
        <v>562</v>
      </c>
      <c r="J3831" s="1103" t="s">
        <v>2941</v>
      </c>
      <c r="K3831" s="1114">
        <f>(F3831*I3831)</f>
        <v>281</v>
      </c>
    </row>
    <row r="3832" spans="6:11" ht="24" customHeight="1">
      <c r="F3832" s="1114">
        <v>1.1000000000000001</v>
      </c>
      <c r="G3832" s="1114" t="s">
        <v>2941</v>
      </c>
      <c r="H3832" s="1103" t="s">
        <v>3026</v>
      </c>
      <c r="I3832" s="1114">
        <f t="shared" si="347"/>
        <v>461</v>
      </c>
      <c r="J3832" s="1103" t="s">
        <v>2941</v>
      </c>
      <c r="K3832" s="1114">
        <f>(F3832*I3832)</f>
        <v>507.1</v>
      </c>
    </row>
    <row r="3833" spans="6:11" ht="24" customHeight="1">
      <c r="G3833" s="1114" t="s">
        <v>2851</v>
      </c>
      <c r="H3833" s="1103" t="s">
        <v>2852</v>
      </c>
      <c r="J3833" s="1103" t="s">
        <v>2851</v>
      </c>
      <c r="K3833" s="1114">
        <v>0</v>
      </c>
    </row>
    <row r="3834" spans="6:11" ht="24" customHeight="1">
      <c r="K3834" s="1111" t="s">
        <v>36</v>
      </c>
    </row>
    <row r="3835" spans="6:11" ht="24" customHeight="1">
      <c r="H3835" s="1103" t="s">
        <v>3152</v>
      </c>
      <c r="K3835" s="1114">
        <f>SUM(K3821:K3833)</f>
        <v>12737.230600000003</v>
      </c>
    </row>
    <row r="3836" spans="6:11" ht="24" customHeight="1">
      <c r="K3836" s="1111" t="s">
        <v>36</v>
      </c>
    </row>
    <row r="3837" spans="6:11" ht="24" customHeight="1">
      <c r="F3837" s="1108"/>
      <c r="H3837" s="1118" t="s">
        <v>3154</v>
      </c>
      <c r="K3837" s="1115">
        <f>(K3835/10)</f>
        <v>1273.7230600000003</v>
      </c>
    </row>
    <row r="3838" spans="6:11" ht="24" customHeight="1">
      <c r="F3838" s="1108"/>
      <c r="K3838" s="1111" t="s">
        <v>2793</v>
      </c>
    </row>
    <row r="3840" spans="6:11" ht="24" customHeight="1">
      <c r="G3840" s="1119" t="s">
        <v>5611</v>
      </c>
      <c r="I3840" s="1107">
        <f>1.2*0.8</f>
        <v>0.96</v>
      </c>
      <c r="J3840" s="1105"/>
      <c r="K3840" s="1108"/>
    </row>
    <row r="3841" spans="5:11" ht="24" customHeight="1">
      <c r="I3841" s="1107"/>
      <c r="J3841" s="1105"/>
      <c r="K3841" s="1108"/>
    </row>
    <row r="3842" spans="5:11" ht="24" customHeight="1">
      <c r="E3842" s="1107" t="s">
        <v>5612</v>
      </c>
      <c r="F3842" s="1107"/>
      <c r="G3842" s="1107"/>
      <c r="H3842" s="1108">
        <f>4*3.9</f>
        <v>15.6</v>
      </c>
      <c r="I3842" s="1107" t="s">
        <v>4578</v>
      </c>
      <c r="K3842" s="1108"/>
    </row>
    <row r="3843" spans="5:11" ht="24" customHeight="1">
      <c r="E3843" s="1105" t="s">
        <v>5613</v>
      </c>
      <c r="H3843" s="1105">
        <f>11*0.8*3.14</f>
        <v>27.632000000000005</v>
      </c>
      <c r="I3843" s="1107" t="s">
        <v>4578</v>
      </c>
      <c r="K3843" s="1108"/>
    </row>
    <row r="3844" spans="5:11" ht="24" customHeight="1">
      <c r="E3844" s="1105" t="s">
        <v>5614</v>
      </c>
      <c r="H3844" s="1105">
        <f>2*1.2*1.2</f>
        <v>2.88</v>
      </c>
      <c r="I3844" s="1107" t="s">
        <v>4578</v>
      </c>
      <c r="K3844" s="1108"/>
    </row>
    <row r="3845" spans="5:11" ht="24" customHeight="1">
      <c r="E3845" s="1105" t="s">
        <v>5615</v>
      </c>
      <c r="H3845" s="1105">
        <f>3*0.8*1.2</f>
        <v>2.8800000000000003</v>
      </c>
      <c r="I3845" s="1107" t="s">
        <v>4578</v>
      </c>
      <c r="K3845" s="1108"/>
    </row>
    <row r="3846" spans="5:11" ht="24" customHeight="1">
      <c r="E3846" s="1105" t="s">
        <v>5616</v>
      </c>
      <c r="H3846" s="1105">
        <v>5</v>
      </c>
      <c r="I3846" s="1107"/>
      <c r="K3846" s="1108"/>
    </row>
    <row r="3847" spans="5:11" ht="24" customHeight="1">
      <c r="H3847" s="1132" t="s">
        <v>4970</v>
      </c>
      <c r="I3847" s="1107"/>
      <c r="K3847" s="1108"/>
    </row>
    <row r="3848" spans="5:11" ht="24" customHeight="1">
      <c r="H3848" s="1148">
        <f>SUM(H3842:H3846)</f>
        <v>53.992000000000012</v>
      </c>
      <c r="I3848" s="1107" t="s">
        <v>4578</v>
      </c>
      <c r="J3848" s="1107">
        <f>H3848-51.7</f>
        <v>2.2920000000000087</v>
      </c>
      <c r="K3848" s="1108"/>
    </row>
    <row r="3849" spans="5:11" ht="24" customHeight="1">
      <c r="H3849" s="1132" t="s">
        <v>4970</v>
      </c>
      <c r="I3849" s="1107"/>
      <c r="J3849" s="1105"/>
      <c r="K3849" s="1108"/>
    </row>
    <row r="3850" spans="5:11" ht="24" customHeight="1">
      <c r="I3850" s="1107"/>
      <c r="J3850" s="1105"/>
      <c r="K3850" s="1108"/>
    </row>
    <row r="3851" spans="5:11" ht="24" customHeight="1">
      <c r="I3851" s="1107"/>
      <c r="J3851" s="1105"/>
      <c r="K3851" s="1108"/>
    </row>
    <row r="3852" spans="5:11" ht="24" customHeight="1">
      <c r="E3852" s="1108">
        <f>H3848</f>
        <v>53.992000000000012</v>
      </c>
      <c r="F3852" s="1105" t="s">
        <v>165</v>
      </c>
      <c r="G3852" s="1105" t="s">
        <v>2787</v>
      </c>
      <c r="H3852" s="1105">
        <f>I2607</f>
        <v>62.6</v>
      </c>
      <c r="I3852" s="1107" t="s">
        <v>165</v>
      </c>
      <c r="J3852" s="1105">
        <f>H3852*E3852</f>
        <v>3379.8992000000007</v>
      </c>
      <c r="K3852" s="1108"/>
    </row>
    <row r="3853" spans="5:11" ht="24" customHeight="1">
      <c r="E3853" s="1108">
        <v>0.96</v>
      </c>
      <c r="F3853" s="1105" t="s">
        <v>37</v>
      </c>
      <c r="G3853" s="1105" t="s">
        <v>4961</v>
      </c>
      <c r="H3853" s="1105">
        <f>I2608</f>
        <v>339</v>
      </c>
      <c r="I3853" s="1107" t="s">
        <v>37</v>
      </c>
      <c r="J3853" s="1105">
        <f>H3853*E3853</f>
        <v>325.44</v>
      </c>
      <c r="K3853" s="1108"/>
    </row>
    <row r="3854" spans="5:11" ht="24" customHeight="1">
      <c r="E3854" s="1108">
        <v>0.96</v>
      </c>
      <c r="F3854" s="1105" t="s">
        <v>37</v>
      </c>
      <c r="G3854" s="1105" t="s">
        <v>4980</v>
      </c>
      <c r="H3854" s="1105">
        <f>I2609</f>
        <v>36.299999999999997</v>
      </c>
      <c r="I3854" s="1107" t="s">
        <v>37</v>
      </c>
      <c r="J3854" s="1105">
        <f>H3854*E3854</f>
        <v>34.847999999999999</v>
      </c>
      <c r="K3854" s="1108"/>
    </row>
    <row r="3855" spans="5:11" ht="24" customHeight="1">
      <c r="G3855" s="1105" t="s">
        <v>4981</v>
      </c>
      <c r="H3855" s="1105">
        <f>I2610</f>
        <v>266.81</v>
      </c>
      <c r="I3855" s="1107" t="s">
        <v>2851</v>
      </c>
      <c r="J3855" s="1105">
        <f>H3855</f>
        <v>266.81</v>
      </c>
      <c r="K3855" s="1108"/>
    </row>
    <row r="3856" spans="5:11" ht="24" customHeight="1">
      <c r="I3856" s="1107"/>
      <c r="J3856" s="1132" t="s">
        <v>4164</v>
      </c>
      <c r="K3856" s="1108"/>
    </row>
    <row r="3857" spans="5:11" ht="24" customHeight="1">
      <c r="G3857" s="1119" t="s">
        <v>4964</v>
      </c>
      <c r="I3857" s="1107"/>
      <c r="J3857" s="1119">
        <f>SUM(J3852:J3856)</f>
        <v>4006.9972000000007</v>
      </c>
      <c r="K3857" s="1108"/>
    </row>
    <row r="3858" spans="5:11" ht="24" customHeight="1">
      <c r="I3858" s="1107"/>
      <c r="J3858" s="1132" t="s">
        <v>4164</v>
      </c>
      <c r="K3858" s="1108"/>
    </row>
    <row r="3859" spans="5:11" ht="24" customHeight="1">
      <c r="G3859" s="1184" t="s">
        <v>4971</v>
      </c>
      <c r="I3859" s="1107"/>
      <c r="J3859" s="1119">
        <f>J3857/E3853</f>
        <v>4173.9554166666676</v>
      </c>
      <c r="K3859" s="1108"/>
    </row>
    <row r="3860" spans="5:11" ht="24" customHeight="1">
      <c r="J3860" s="1105"/>
      <c r="K3860" s="1108"/>
    </row>
    <row r="3861" spans="5:11" ht="24" customHeight="1">
      <c r="G3861" s="1119" t="s">
        <v>5617</v>
      </c>
      <c r="I3861" s="1107">
        <f>1*0.8</f>
        <v>0.8</v>
      </c>
      <c r="J3861" s="1105"/>
      <c r="K3861" s="1108"/>
    </row>
    <row r="3862" spans="5:11" ht="24" customHeight="1">
      <c r="I3862" s="1107"/>
      <c r="J3862" s="1105"/>
      <c r="K3862" s="1108"/>
    </row>
    <row r="3863" spans="5:11" ht="24" customHeight="1">
      <c r="E3863" s="1107" t="s">
        <v>5618</v>
      </c>
      <c r="F3863" s="1107"/>
      <c r="G3863" s="1107"/>
      <c r="H3863" s="1108">
        <f>3.6*3.9</f>
        <v>14.04</v>
      </c>
      <c r="I3863" s="1107" t="s">
        <v>4578</v>
      </c>
      <c r="K3863" s="1108"/>
    </row>
    <row r="3864" spans="5:11" ht="24" customHeight="1">
      <c r="E3864" s="1105" t="s">
        <v>5619</v>
      </c>
      <c r="H3864" s="1105">
        <f>9*0.8*3.14</f>
        <v>22.608000000000001</v>
      </c>
      <c r="I3864" s="1107" t="s">
        <v>4578</v>
      </c>
      <c r="K3864" s="1108"/>
    </row>
    <row r="3865" spans="5:11" ht="24" customHeight="1">
      <c r="E3865" s="1105" t="s">
        <v>5620</v>
      </c>
      <c r="H3865" s="1105">
        <f>2*1*1.2</f>
        <v>2.4</v>
      </c>
      <c r="I3865" s="1107" t="s">
        <v>4578</v>
      </c>
      <c r="K3865" s="1108"/>
    </row>
    <row r="3866" spans="5:11" ht="24" customHeight="1">
      <c r="E3866" s="1105" t="s">
        <v>5615</v>
      </c>
      <c r="H3866" s="1105">
        <f>3*0.8*1.2</f>
        <v>2.8800000000000003</v>
      </c>
      <c r="I3866" s="1107" t="s">
        <v>4578</v>
      </c>
      <c r="K3866" s="1108"/>
    </row>
    <row r="3867" spans="5:11" ht="24" customHeight="1">
      <c r="E3867" s="1105" t="s">
        <v>5616</v>
      </c>
      <c r="H3867" s="1105">
        <v>5</v>
      </c>
      <c r="I3867" s="1107"/>
      <c r="K3867" s="1108"/>
    </row>
    <row r="3868" spans="5:11" ht="24" customHeight="1">
      <c r="H3868" s="1132" t="s">
        <v>4970</v>
      </c>
      <c r="I3868" s="1107"/>
      <c r="K3868" s="1108"/>
    </row>
    <row r="3869" spans="5:11" ht="24" customHeight="1">
      <c r="H3869" s="1148">
        <f>SUM(H3863:H3867)</f>
        <v>46.927999999999997</v>
      </c>
      <c r="I3869" s="1107" t="s">
        <v>4578</v>
      </c>
      <c r="K3869" s="1108"/>
    </row>
    <row r="3870" spans="5:11" ht="24" customHeight="1">
      <c r="H3870" s="1132" t="s">
        <v>4970</v>
      </c>
      <c r="I3870" s="1107"/>
      <c r="J3870" s="1105"/>
      <c r="K3870" s="1108"/>
    </row>
    <row r="3871" spans="5:11" ht="24" customHeight="1">
      <c r="I3871" s="1107"/>
      <c r="J3871" s="1105"/>
      <c r="K3871" s="1108"/>
    </row>
    <row r="3872" spans="5:11" ht="24" customHeight="1">
      <c r="I3872" s="1107"/>
      <c r="J3872" s="1105"/>
      <c r="K3872" s="1108"/>
    </row>
    <row r="3873" spans="5:11" ht="24" customHeight="1">
      <c r="E3873" s="1108">
        <v>38.72</v>
      </c>
      <c r="F3873" s="1105" t="s">
        <v>165</v>
      </c>
      <c r="G3873" s="1105" t="s">
        <v>2787</v>
      </c>
      <c r="H3873" s="1105">
        <f>H3852</f>
        <v>62.6</v>
      </c>
      <c r="I3873" s="1107" t="s">
        <v>165</v>
      </c>
      <c r="J3873" s="1105">
        <f>H3873*E3873</f>
        <v>2423.8719999999998</v>
      </c>
      <c r="K3873" s="1108"/>
    </row>
    <row r="3874" spans="5:11" ht="24" customHeight="1">
      <c r="E3874" s="1105">
        <v>0.8</v>
      </c>
      <c r="F3874" s="1105" t="s">
        <v>37</v>
      </c>
      <c r="G3874" s="1105" t="s">
        <v>4961</v>
      </c>
      <c r="H3874" s="1105">
        <f>H3853</f>
        <v>339</v>
      </c>
      <c r="I3874" s="1107" t="s">
        <v>37</v>
      </c>
      <c r="J3874" s="1105">
        <f>H3874*E3874</f>
        <v>271.2</v>
      </c>
      <c r="K3874" s="1108"/>
    </row>
    <row r="3875" spans="5:11" ht="24" customHeight="1">
      <c r="E3875" s="1105">
        <v>0.8</v>
      </c>
      <c r="F3875" s="1105" t="s">
        <v>37</v>
      </c>
      <c r="G3875" s="1105" t="s">
        <v>4980</v>
      </c>
      <c r="H3875" s="1105">
        <f>H3854</f>
        <v>36.299999999999997</v>
      </c>
      <c r="I3875" s="1107" t="s">
        <v>37</v>
      </c>
      <c r="J3875" s="1105">
        <f>H3875*E3875</f>
        <v>29.04</v>
      </c>
      <c r="K3875" s="1108"/>
    </row>
    <row r="3876" spans="5:11" ht="24" customHeight="1">
      <c r="G3876" s="1105" t="s">
        <v>4981</v>
      </c>
      <c r="H3876" s="1105">
        <f>H3855</f>
        <v>266.81</v>
      </c>
      <c r="I3876" s="1107" t="s">
        <v>2851</v>
      </c>
      <c r="J3876" s="1105">
        <v>47.1</v>
      </c>
      <c r="K3876" s="1108"/>
    </row>
    <row r="3877" spans="5:11" ht="24" customHeight="1">
      <c r="I3877" s="1107"/>
      <c r="J3877" s="1132" t="s">
        <v>4164</v>
      </c>
      <c r="K3877" s="1108"/>
    </row>
    <row r="3878" spans="5:11" ht="24" customHeight="1">
      <c r="G3878" s="1119" t="s">
        <v>4964</v>
      </c>
      <c r="I3878" s="1107"/>
      <c r="J3878" s="1119">
        <f>SUM(J3873:J3877)</f>
        <v>2771.2119999999995</v>
      </c>
      <c r="K3878" s="1108"/>
    </row>
    <row r="3879" spans="5:11" ht="24" customHeight="1">
      <c r="I3879" s="1107"/>
      <c r="J3879" s="1132" t="s">
        <v>4164</v>
      </c>
      <c r="K3879" s="1108"/>
    </row>
    <row r="3880" spans="5:11" ht="24" customHeight="1">
      <c r="G3880" s="1184" t="s">
        <v>4971</v>
      </c>
      <c r="I3880" s="1107"/>
      <c r="J3880" s="1119">
        <f>J3878/E3874</f>
        <v>3464.0149999999994</v>
      </c>
      <c r="K3880" s="1108"/>
    </row>
    <row r="3881" spans="5:11" ht="24" customHeight="1">
      <c r="E3881" s="1105" t="s">
        <v>4958</v>
      </c>
      <c r="H3881" s="1105">
        <v>3.24</v>
      </c>
      <c r="I3881" s="1107" t="s">
        <v>4578</v>
      </c>
      <c r="J3881" s="1105"/>
      <c r="K3881" s="1108"/>
    </row>
    <row r="3882" spans="5:11" ht="24" customHeight="1">
      <c r="E3882" s="1105" t="s">
        <v>4959</v>
      </c>
      <c r="H3882" s="1105">
        <v>2.16</v>
      </c>
      <c r="I3882" s="1107" t="s">
        <v>4578</v>
      </c>
      <c r="J3882" s="1105"/>
      <c r="K3882" s="1108"/>
    </row>
    <row r="3883" spans="5:11" ht="24" customHeight="1">
      <c r="I3883" s="1107"/>
      <c r="J3883" s="1105"/>
      <c r="K3883" s="1108"/>
    </row>
    <row r="3884" spans="5:11" ht="24" customHeight="1">
      <c r="H3884" s="1132" t="s">
        <v>4164</v>
      </c>
      <c r="I3884" s="1107"/>
      <c r="J3884" s="1105"/>
      <c r="K3884" s="1108"/>
    </row>
    <row r="3885" spans="5:11" ht="24" customHeight="1">
      <c r="H3885" s="1105">
        <f>SUM(H3879:H3883)</f>
        <v>5.4</v>
      </c>
      <c r="I3885" s="1107"/>
      <c r="J3885" s="1105"/>
      <c r="K3885" s="1108"/>
    </row>
    <row r="3886" spans="5:11" ht="24" customHeight="1">
      <c r="H3886" s="1105" t="s">
        <v>4960</v>
      </c>
      <c r="I3886" s="1107"/>
      <c r="J3886" s="1105"/>
      <c r="K3886" s="1108"/>
    </row>
    <row r="3887" spans="5:11" ht="24" customHeight="1">
      <c r="I3887" s="1107"/>
      <c r="J3887" s="1105"/>
      <c r="K3887" s="1108"/>
    </row>
    <row r="3888" spans="5:11" ht="24" customHeight="1">
      <c r="I3888" s="1107"/>
      <c r="J3888" s="1105"/>
      <c r="K3888" s="1108"/>
    </row>
    <row r="3889" spans="5:11" ht="24" customHeight="1">
      <c r="E3889" s="1105">
        <v>42.81</v>
      </c>
      <c r="F3889" s="1105" t="s">
        <v>165</v>
      </c>
      <c r="G3889" s="1105" t="s">
        <v>2787</v>
      </c>
      <c r="H3889" s="1105">
        <f>C3888</f>
        <v>0</v>
      </c>
      <c r="I3889" s="1107" t="s">
        <v>165</v>
      </c>
      <c r="J3889" s="1105">
        <f>H3889*E3889</f>
        <v>0</v>
      </c>
      <c r="K3889" s="1108"/>
    </row>
    <row r="3890" spans="5:11" ht="24" customHeight="1">
      <c r="E3890" s="1105">
        <v>0.77</v>
      </c>
      <c r="F3890" s="1105" t="s">
        <v>37</v>
      </c>
      <c r="G3890" s="1105" t="s">
        <v>5010</v>
      </c>
      <c r="H3890" s="1105">
        <f>C3889</f>
        <v>0</v>
      </c>
      <c r="I3890" s="1107" t="s">
        <v>37</v>
      </c>
      <c r="J3890" s="1105">
        <f>H3890*E3890</f>
        <v>0</v>
      </c>
      <c r="K3890" s="1108"/>
    </row>
    <row r="3891" spans="5:11" ht="24" customHeight="1">
      <c r="E3891" s="1105">
        <v>0.77</v>
      </c>
      <c r="F3891" s="1105" t="s">
        <v>37</v>
      </c>
      <c r="G3891" s="1105" t="s">
        <v>4962</v>
      </c>
      <c r="H3891" s="1105">
        <f>C3890</f>
        <v>0</v>
      </c>
      <c r="I3891" s="1107" t="s">
        <v>37</v>
      </c>
      <c r="J3891" s="1105">
        <f>H3891*E3891</f>
        <v>0</v>
      </c>
      <c r="K3891" s="1108"/>
    </row>
    <row r="3892" spans="5:11" ht="24" customHeight="1">
      <c r="G3892" s="1105" t="s">
        <v>4963</v>
      </c>
      <c r="H3892" s="1105">
        <f>46.62+0.48</f>
        <v>47.099999999999994</v>
      </c>
      <c r="I3892" s="1107" t="s">
        <v>2851</v>
      </c>
      <c r="J3892" s="1105">
        <f>H3892</f>
        <v>47.099999999999994</v>
      </c>
      <c r="K3892" s="1108"/>
    </row>
    <row r="3893" spans="5:11" ht="24" customHeight="1">
      <c r="I3893" s="1107"/>
      <c r="J3893" s="1132" t="s">
        <v>4164</v>
      </c>
      <c r="K3893" s="1108"/>
    </row>
    <row r="3894" spans="5:11" ht="24" customHeight="1">
      <c r="G3894" s="1119" t="s">
        <v>4964</v>
      </c>
      <c r="I3894" s="1107"/>
      <c r="J3894" s="1119">
        <f>SUM(J3889:J3892)</f>
        <v>47.099999999999994</v>
      </c>
      <c r="K3894" s="1108"/>
    </row>
    <row r="3895" spans="5:11" ht="24" customHeight="1">
      <c r="I3895" s="1107"/>
      <c r="J3895" s="1132" t="s">
        <v>4164</v>
      </c>
      <c r="K3895" s="1108"/>
    </row>
    <row r="3896" spans="5:11" ht="24" customHeight="1">
      <c r="G3896" s="1105">
        <f>1.285*0.6</f>
        <v>0.77099999999999991</v>
      </c>
      <c r="I3896" s="1107"/>
      <c r="J3896" s="1105">
        <f>J3894/G3896</f>
        <v>61.089494163424128</v>
      </c>
      <c r="K3896" s="1108"/>
    </row>
    <row r="3897" spans="5:11" ht="24" customHeight="1">
      <c r="E3897" s="1105">
        <f>C3890</f>
        <v>0</v>
      </c>
      <c r="G3897" s="1107">
        <f>E3897*D3856</f>
        <v>0</v>
      </c>
      <c r="J3897" s="1105"/>
      <c r="K3897" s="1108"/>
    </row>
    <row r="3898" spans="5:11" ht="24" customHeight="1">
      <c r="G3898" s="1107">
        <v>0.8</v>
      </c>
      <c r="J3898" s="1105"/>
      <c r="K3898" s="1108"/>
    </row>
    <row r="3899" spans="5:11" ht="24" customHeight="1">
      <c r="G3899" s="1107">
        <f>SUM(G3895:G3898)</f>
        <v>1.571</v>
      </c>
      <c r="J3899" s="1105"/>
      <c r="K3899" s="1108"/>
    </row>
    <row r="3900" spans="5:11" ht="24" customHeight="1">
      <c r="G3900" s="1107">
        <f>G3899/0.77</f>
        <v>2.04025974025974</v>
      </c>
      <c r="J3900" s="1105"/>
      <c r="K3900" s="1108"/>
    </row>
    <row r="3901" spans="5:11" ht="24" customHeight="1">
      <c r="H3901" s="1119" t="s">
        <v>5621</v>
      </c>
      <c r="J3901" s="1105"/>
      <c r="K3901" s="1108"/>
    </row>
    <row r="3902" spans="5:11" ht="24" customHeight="1">
      <c r="F3902" s="1104" t="s">
        <v>3986</v>
      </c>
      <c r="G3902" s="1114" t="s">
        <v>1363</v>
      </c>
      <c r="H3902" s="1103" t="s">
        <v>3987</v>
      </c>
    </row>
    <row r="3903" spans="5:11" ht="24" customHeight="1">
      <c r="H3903" s="1103" t="s">
        <v>3988</v>
      </c>
    </row>
    <row r="3904" spans="5:11" ht="24" customHeight="1">
      <c r="H3904" s="1103" t="s">
        <v>3989</v>
      </c>
    </row>
    <row r="3905" spans="6:11" ht="24" customHeight="1">
      <c r="H3905" s="1103" t="s">
        <v>3990</v>
      </c>
    </row>
    <row r="3906" spans="6:11" ht="24" customHeight="1">
      <c r="H3906" s="1103" t="s">
        <v>3991</v>
      </c>
    </row>
    <row r="3907" spans="6:11" ht="24" customHeight="1">
      <c r="H3907" s="1103" t="s">
        <v>3992</v>
      </c>
    </row>
    <row r="3908" spans="6:11" ht="24" customHeight="1">
      <c r="H3908" s="1103" t="s">
        <v>3993</v>
      </c>
    </row>
    <row r="3909" spans="6:11" ht="24" customHeight="1">
      <c r="H3909" s="1103" t="s">
        <v>3994</v>
      </c>
    </row>
    <row r="3910" spans="6:11" ht="24" customHeight="1">
      <c r="H3910" s="1103" t="s">
        <v>3995</v>
      </c>
    </row>
    <row r="3911" spans="6:11" ht="24" customHeight="1">
      <c r="H3911" s="1103" t="s">
        <v>3997</v>
      </c>
    </row>
    <row r="3912" spans="6:11" ht="24" customHeight="1">
      <c r="H3912" s="1103" t="s">
        <v>3999</v>
      </c>
    </row>
    <row r="3913" spans="6:11" ht="24" customHeight="1">
      <c r="H3913" s="1103" t="s">
        <v>4000</v>
      </c>
    </row>
    <row r="3914" spans="6:11" ht="24" customHeight="1">
      <c r="H3914" s="1103" t="s">
        <v>4002</v>
      </c>
    </row>
    <row r="3915" spans="6:11" ht="24" customHeight="1">
      <c r="H3915" s="1103" t="s">
        <v>4004</v>
      </c>
    </row>
    <row r="3918" spans="6:11" ht="24" customHeight="1">
      <c r="G3918" s="1114" t="s">
        <v>2235</v>
      </c>
      <c r="H3918" s="1104" t="s">
        <v>4008</v>
      </c>
    </row>
    <row r="3919" spans="6:11" ht="24" customHeight="1">
      <c r="H3919" s="1104" t="s">
        <v>4011</v>
      </c>
    </row>
    <row r="3920" spans="6:11" ht="24" customHeight="1">
      <c r="F3920" s="1143">
        <v>3.8100000000000002E-2</v>
      </c>
      <c r="G3920" s="1114" t="s">
        <v>2839</v>
      </c>
      <c r="H3920" s="1103" t="s">
        <v>4001</v>
      </c>
      <c r="I3920" s="1114">
        <f>K821</f>
        <v>8363.1689999999999</v>
      </c>
      <c r="J3920" s="1103" t="s">
        <v>2839</v>
      </c>
      <c r="K3920" s="1114">
        <f>F3920*I3920</f>
        <v>318.63673890000001</v>
      </c>
    </row>
    <row r="3921" spans="6:11" ht="24" customHeight="1">
      <c r="F3921" s="1156">
        <v>5.01</v>
      </c>
      <c r="G3921" s="1114" t="s">
        <v>165</v>
      </c>
      <c r="H3921" s="1103" t="s">
        <v>4003</v>
      </c>
      <c r="I3921" s="1114">
        <f>K1608</f>
        <v>78398</v>
      </c>
      <c r="J3921" s="1103" t="s">
        <v>197</v>
      </c>
      <c r="K3921" s="1114">
        <f>F3921*I3921/1000</f>
        <v>392.77397999999999</v>
      </c>
    </row>
    <row r="3922" spans="6:11" ht="24" customHeight="1">
      <c r="F3922" s="1114">
        <v>3</v>
      </c>
      <c r="G3922" s="1114" t="s">
        <v>2838</v>
      </c>
      <c r="H3922" s="1103" t="s">
        <v>4005</v>
      </c>
      <c r="I3922" s="1114">
        <v>14.8</v>
      </c>
      <c r="J3922" s="1103" t="s">
        <v>2838</v>
      </c>
      <c r="K3922" s="1114">
        <f t="shared" ref="K3922:K3929" si="348">F3922*I3922</f>
        <v>44.400000000000006</v>
      </c>
    </row>
    <row r="3923" spans="6:11" ht="24" customHeight="1">
      <c r="F3923" s="1114">
        <v>12</v>
      </c>
      <c r="G3923" s="1114" t="s">
        <v>2838</v>
      </c>
      <c r="H3923" s="1103" t="s">
        <v>4006</v>
      </c>
      <c r="I3923" s="1114">
        <v>2</v>
      </c>
      <c r="J3923" s="1103" t="s">
        <v>2838</v>
      </c>
      <c r="K3923" s="1114">
        <f t="shared" si="348"/>
        <v>24</v>
      </c>
    </row>
    <row r="3924" spans="6:11" ht="24" customHeight="1">
      <c r="F3924" s="1114">
        <v>2</v>
      </c>
      <c r="G3924" s="1114" t="s">
        <v>2838</v>
      </c>
      <c r="H3924" s="1103" t="s">
        <v>4007</v>
      </c>
      <c r="I3924" s="1114">
        <v>4.9000000000000004</v>
      </c>
      <c r="J3924" s="1103" t="s">
        <v>2838</v>
      </c>
      <c r="K3924" s="1114">
        <f t="shared" si="348"/>
        <v>9.8000000000000007</v>
      </c>
    </row>
    <row r="3925" spans="6:11" ht="24" customHeight="1">
      <c r="F3925" s="1114">
        <v>6</v>
      </c>
      <c r="G3925" s="1114" t="s">
        <v>2838</v>
      </c>
      <c r="H3925" s="1103" t="s">
        <v>4009</v>
      </c>
      <c r="I3925" s="1114">
        <v>4.45</v>
      </c>
      <c r="J3925" s="1103" t="s">
        <v>2838</v>
      </c>
      <c r="K3925" s="1114">
        <f t="shared" si="348"/>
        <v>26.700000000000003</v>
      </c>
    </row>
    <row r="3926" spans="6:11" ht="24" customHeight="1">
      <c r="F3926" s="1114">
        <v>1</v>
      </c>
      <c r="G3926" s="1114" t="s">
        <v>2838</v>
      </c>
      <c r="H3926" s="1103" t="s">
        <v>4012</v>
      </c>
      <c r="I3926" s="1114">
        <f>I865</f>
        <v>861</v>
      </c>
      <c r="J3926" s="1103" t="s">
        <v>2838</v>
      </c>
      <c r="K3926" s="1114">
        <f t="shared" si="348"/>
        <v>861</v>
      </c>
    </row>
    <row r="3927" spans="6:11" ht="24" customHeight="1">
      <c r="F3927" s="1114">
        <v>1</v>
      </c>
      <c r="G3927" s="1114" t="s">
        <v>2838</v>
      </c>
      <c r="H3927" s="1103" t="s">
        <v>4013</v>
      </c>
      <c r="I3927" s="1114">
        <f>I866</f>
        <v>562</v>
      </c>
      <c r="J3927" s="1103" t="s">
        <v>2838</v>
      </c>
      <c r="K3927" s="1114">
        <f t="shared" si="348"/>
        <v>562</v>
      </c>
    </row>
    <row r="3928" spans="6:11" ht="24" customHeight="1">
      <c r="F3928" s="1114">
        <v>1</v>
      </c>
      <c r="G3928" s="1114" t="s">
        <v>2838</v>
      </c>
      <c r="H3928" s="1103" t="s">
        <v>4014</v>
      </c>
      <c r="I3928" s="1114">
        <v>25</v>
      </c>
      <c r="J3928" s="1103" t="s">
        <v>2838</v>
      </c>
      <c r="K3928" s="1114">
        <f t="shared" si="348"/>
        <v>25</v>
      </c>
    </row>
    <row r="3929" spans="6:11" ht="24" customHeight="1">
      <c r="F3929" s="1114">
        <v>0.5</v>
      </c>
      <c r="G3929" s="1114" t="s">
        <v>2838</v>
      </c>
      <c r="H3929" s="1103" t="s">
        <v>4015</v>
      </c>
      <c r="I3929" s="1114">
        <f>I868</f>
        <v>461</v>
      </c>
      <c r="J3929" s="1103" t="s">
        <v>2838</v>
      </c>
      <c r="K3929" s="1114">
        <f t="shared" si="348"/>
        <v>230.5</v>
      </c>
    </row>
    <row r="3930" spans="6:11" ht="24" customHeight="1">
      <c r="G3930" s="1114" t="s">
        <v>2851</v>
      </c>
      <c r="H3930" s="1103" t="s">
        <v>4016</v>
      </c>
      <c r="J3930" s="1103" t="s">
        <v>2851</v>
      </c>
      <c r="K3930" s="1114">
        <v>1.1299999999999999</v>
      </c>
    </row>
    <row r="3931" spans="6:11" ht="24" customHeight="1">
      <c r="K3931" s="1111" t="s">
        <v>36</v>
      </c>
    </row>
    <row r="3932" spans="6:11" ht="24" customHeight="1">
      <c r="H3932" s="1118" t="s">
        <v>4017</v>
      </c>
      <c r="K3932" s="1115">
        <f>SUM(K3920:K3930)</f>
        <v>2495.9407189000003</v>
      </c>
    </row>
    <row r="3933" spans="6:11" ht="24" customHeight="1">
      <c r="K3933" s="1111" t="s">
        <v>36</v>
      </c>
    </row>
    <row r="3936" spans="6:11" ht="24" customHeight="1">
      <c r="G3936" s="1114" t="s">
        <v>3772</v>
      </c>
      <c r="H3936" s="1104" t="s">
        <v>4020</v>
      </c>
    </row>
    <row r="3937" spans="6:12" ht="24" customHeight="1">
      <c r="H3937" s="1104" t="s">
        <v>4011</v>
      </c>
    </row>
    <row r="3938" spans="6:12" ht="46.5" customHeight="1">
      <c r="F3938" s="1143">
        <v>3.6799999999999999E-2</v>
      </c>
      <c r="G3938" s="1114" t="s">
        <v>2839</v>
      </c>
      <c r="H3938" s="1129" t="s">
        <v>5622</v>
      </c>
      <c r="I3938" s="1114">
        <f t="shared" ref="I3938:I3945" si="349">I3920</f>
        <v>8363.1689999999999</v>
      </c>
      <c r="J3938" s="1103" t="s">
        <v>2839</v>
      </c>
      <c r="K3938" s="1114">
        <f>F3938*I3938</f>
        <v>307.76461919999997</v>
      </c>
    </row>
    <row r="3939" spans="6:12" ht="24" customHeight="1">
      <c r="F3939" s="1114">
        <v>4.87</v>
      </c>
      <c r="G3939" s="1114" t="s">
        <v>165</v>
      </c>
      <c r="H3939" s="1103" t="s">
        <v>4003</v>
      </c>
      <c r="I3939" s="1114">
        <f t="shared" si="349"/>
        <v>78398</v>
      </c>
      <c r="J3939" s="1103" t="s">
        <v>197</v>
      </c>
      <c r="K3939" s="1114">
        <f>F3939*I3939/1000</f>
        <v>381.79826000000003</v>
      </c>
    </row>
    <row r="3940" spans="6:12" ht="24" customHeight="1">
      <c r="F3940" s="1114">
        <v>3</v>
      </c>
      <c r="G3940" s="1114" t="s">
        <v>2838</v>
      </c>
      <c r="H3940" s="1103" t="s">
        <v>4005</v>
      </c>
      <c r="I3940" s="1114">
        <f t="shared" si="349"/>
        <v>14.8</v>
      </c>
      <c r="J3940" s="1103" t="s">
        <v>2838</v>
      </c>
      <c r="K3940" s="1114">
        <f t="shared" ref="K3940:K3947" si="350">F3940*I3940</f>
        <v>44.400000000000006</v>
      </c>
    </row>
    <row r="3941" spans="6:12" ht="24" customHeight="1">
      <c r="F3941" s="1114">
        <v>12</v>
      </c>
      <c r="G3941" s="1114" t="s">
        <v>2838</v>
      </c>
      <c r="H3941" s="1103" t="s">
        <v>4006</v>
      </c>
      <c r="I3941" s="1114">
        <f t="shared" si="349"/>
        <v>2</v>
      </c>
      <c r="J3941" s="1103" t="s">
        <v>2838</v>
      </c>
      <c r="K3941" s="1114">
        <f t="shared" si="350"/>
        <v>24</v>
      </c>
    </row>
    <row r="3942" spans="6:12" ht="24" customHeight="1">
      <c r="F3942" s="1114">
        <v>2</v>
      </c>
      <c r="G3942" s="1114" t="s">
        <v>2838</v>
      </c>
      <c r="H3942" s="1103" t="s">
        <v>4007</v>
      </c>
      <c r="I3942" s="1114">
        <f t="shared" si="349"/>
        <v>4.9000000000000004</v>
      </c>
      <c r="J3942" s="1103" t="s">
        <v>2838</v>
      </c>
      <c r="K3942" s="1114">
        <f t="shared" si="350"/>
        <v>9.8000000000000007</v>
      </c>
    </row>
    <row r="3943" spans="6:12" ht="24" customHeight="1">
      <c r="F3943" s="1114">
        <v>6</v>
      </c>
      <c r="G3943" s="1114" t="s">
        <v>2838</v>
      </c>
      <c r="H3943" s="1103" t="s">
        <v>4009</v>
      </c>
      <c r="I3943" s="1114">
        <f t="shared" si="349"/>
        <v>4.45</v>
      </c>
      <c r="J3943" s="1103" t="s">
        <v>2838</v>
      </c>
      <c r="K3943" s="1114">
        <f t="shared" si="350"/>
        <v>26.700000000000003</v>
      </c>
    </row>
    <row r="3944" spans="6:12" ht="24" customHeight="1">
      <c r="F3944" s="1114">
        <v>1</v>
      </c>
      <c r="G3944" s="1114" t="s">
        <v>2838</v>
      </c>
      <c r="H3944" s="1103" t="s">
        <v>4012</v>
      </c>
      <c r="I3944" s="1114">
        <f t="shared" si="349"/>
        <v>861</v>
      </c>
      <c r="J3944" s="1103" t="s">
        <v>2838</v>
      </c>
      <c r="K3944" s="1114">
        <f t="shared" si="350"/>
        <v>861</v>
      </c>
    </row>
    <row r="3945" spans="6:12" ht="24" customHeight="1">
      <c r="F3945" s="1114">
        <v>1</v>
      </c>
      <c r="G3945" s="1114" t="s">
        <v>2838</v>
      </c>
      <c r="H3945" s="1103" t="s">
        <v>4013</v>
      </c>
      <c r="I3945" s="1114">
        <f t="shared" si="349"/>
        <v>562</v>
      </c>
      <c r="J3945" s="1103" t="s">
        <v>2838</v>
      </c>
      <c r="K3945" s="1114">
        <f t="shared" si="350"/>
        <v>562</v>
      </c>
    </row>
    <row r="3946" spans="6:12" ht="24" customHeight="1">
      <c r="F3946" s="1114">
        <v>1</v>
      </c>
      <c r="G3946" s="1114" t="s">
        <v>2838</v>
      </c>
      <c r="H3946" s="1103" t="s">
        <v>4014</v>
      </c>
      <c r="I3946" s="1114">
        <v>25</v>
      </c>
      <c r="J3946" s="1103" t="s">
        <v>2838</v>
      </c>
      <c r="K3946" s="1114">
        <f t="shared" si="350"/>
        <v>25</v>
      </c>
    </row>
    <row r="3947" spans="6:12" ht="24" customHeight="1">
      <c r="F3947" s="1114">
        <v>0.5</v>
      </c>
      <c r="G3947" s="1114" t="s">
        <v>2838</v>
      </c>
      <c r="H3947" s="1103" t="s">
        <v>4015</v>
      </c>
      <c r="I3947" s="1114">
        <f>I3929</f>
        <v>461</v>
      </c>
      <c r="J3947" s="1103" t="s">
        <v>2838</v>
      </c>
      <c r="K3947" s="1114">
        <f t="shared" si="350"/>
        <v>230.5</v>
      </c>
    </row>
    <row r="3948" spans="6:12" ht="24" customHeight="1">
      <c r="G3948" s="1114" t="s">
        <v>2851</v>
      </c>
      <c r="H3948" s="1103" t="s">
        <v>4016</v>
      </c>
      <c r="J3948" s="1103" t="s">
        <v>2851</v>
      </c>
      <c r="K3948" s="1114">
        <f>1.9+0.08</f>
        <v>1.98</v>
      </c>
    </row>
    <row r="3949" spans="6:12" ht="24" customHeight="1">
      <c r="K3949" s="1111" t="s">
        <v>36</v>
      </c>
    </row>
    <row r="3950" spans="6:12" ht="24" customHeight="1">
      <c r="H3950" s="1118" t="s">
        <v>4017</v>
      </c>
      <c r="K3950" s="1115">
        <f>SUM(K3938:K3948)</f>
        <v>2474.9428791999999</v>
      </c>
      <c r="L3950" s="1105">
        <f>K3950-1729</f>
        <v>745.94287919999988</v>
      </c>
    </row>
    <row r="3951" spans="6:12" ht="24" customHeight="1">
      <c r="K3951" s="1111" t="s">
        <v>36</v>
      </c>
    </row>
    <row r="3952" spans="6:12" ht="24" customHeight="1">
      <c r="F3952" s="1104"/>
      <c r="G3952" s="1114" t="s">
        <v>3801</v>
      </c>
      <c r="H3952" s="1104" t="s">
        <v>4028</v>
      </c>
    </row>
    <row r="3953" spans="6:11" ht="24" customHeight="1">
      <c r="H3953" s="1104" t="s">
        <v>4011</v>
      </c>
    </row>
    <row r="3954" spans="6:11" ht="24" customHeight="1">
      <c r="F3954" s="1143">
        <v>3.5299999999999998E-2</v>
      </c>
      <c r="G3954" s="1114" t="s">
        <v>2839</v>
      </c>
      <c r="H3954" s="1103" t="s">
        <v>4001</v>
      </c>
      <c r="I3954" s="1114">
        <f t="shared" ref="I3954:I3959" si="351">I3938</f>
        <v>8363.1689999999999</v>
      </c>
      <c r="J3954" s="1103" t="s">
        <v>2839</v>
      </c>
      <c r="K3954" s="1114">
        <f>F3954*I3954</f>
        <v>295.21986569999996</v>
      </c>
    </row>
    <row r="3955" spans="6:11" ht="24" customHeight="1">
      <c r="F3955" s="1114">
        <v>4.59</v>
      </c>
      <c r="G3955" s="1114" t="s">
        <v>165</v>
      </c>
      <c r="H3955" s="1103" t="s">
        <v>4003</v>
      </c>
      <c r="I3955" s="1114">
        <f t="shared" si="351"/>
        <v>78398</v>
      </c>
      <c r="J3955" s="1103" t="s">
        <v>197</v>
      </c>
      <c r="K3955" s="1114">
        <f>F3955*I3955/1000</f>
        <v>359.84681999999998</v>
      </c>
    </row>
    <row r="3956" spans="6:11" ht="24" customHeight="1">
      <c r="F3956" s="1114">
        <v>3</v>
      </c>
      <c r="G3956" s="1114" t="s">
        <v>2838</v>
      </c>
      <c r="H3956" s="1103" t="s">
        <v>4005</v>
      </c>
      <c r="I3956" s="1114">
        <f t="shared" si="351"/>
        <v>14.8</v>
      </c>
      <c r="J3956" s="1103" t="s">
        <v>2838</v>
      </c>
      <c r="K3956" s="1114">
        <f t="shared" ref="K3956:K3963" si="352">F3956*I3956</f>
        <v>44.400000000000006</v>
      </c>
    </row>
    <row r="3957" spans="6:11" ht="24" customHeight="1">
      <c r="F3957" s="1114">
        <v>12</v>
      </c>
      <c r="G3957" s="1114" t="s">
        <v>2838</v>
      </c>
      <c r="H3957" s="1103" t="s">
        <v>4006</v>
      </c>
      <c r="I3957" s="1114">
        <f t="shared" si="351"/>
        <v>2</v>
      </c>
      <c r="J3957" s="1103" t="s">
        <v>2838</v>
      </c>
      <c r="K3957" s="1114">
        <f t="shared" si="352"/>
        <v>24</v>
      </c>
    </row>
    <row r="3958" spans="6:11" ht="24" customHeight="1">
      <c r="F3958" s="1114">
        <v>2</v>
      </c>
      <c r="G3958" s="1114" t="s">
        <v>2838</v>
      </c>
      <c r="H3958" s="1114" t="str">
        <f>H3942</f>
        <v>TOWER BOLT RECEIVER</v>
      </c>
      <c r="I3958" s="1114">
        <f t="shared" si="351"/>
        <v>4.9000000000000004</v>
      </c>
      <c r="J3958" s="1103" t="s">
        <v>2838</v>
      </c>
      <c r="K3958" s="1114">
        <f t="shared" si="352"/>
        <v>9.8000000000000007</v>
      </c>
    </row>
    <row r="3959" spans="6:11" ht="24" customHeight="1">
      <c r="F3959" s="1114">
        <v>6</v>
      </c>
      <c r="G3959" s="1114" t="s">
        <v>2838</v>
      </c>
      <c r="H3959" s="1103" t="s">
        <v>4009</v>
      </c>
      <c r="I3959" s="1114">
        <f t="shared" si="351"/>
        <v>4.45</v>
      </c>
      <c r="J3959" s="1103" t="s">
        <v>2838</v>
      </c>
      <c r="K3959" s="1114">
        <f t="shared" si="352"/>
        <v>26.700000000000003</v>
      </c>
    </row>
    <row r="3960" spans="6:11" ht="24" customHeight="1">
      <c r="F3960" s="1114">
        <v>1</v>
      </c>
      <c r="G3960" s="1114" t="s">
        <v>2838</v>
      </c>
      <c r="H3960" s="1103" t="s">
        <v>4012</v>
      </c>
      <c r="I3960" s="1114">
        <f>I3944</f>
        <v>861</v>
      </c>
      <c r="J3960" s="1103" t="s">
        <v>2838</v>
      </c>
      <c r="K3960" s="1114">
        <f t="shared" si="352"/>
        <v>861</v>
      </c>
    </row>
    <row r="3961" spans="6:11" ht="24" customHeight="1">
      <c r="F3961" s="1114">
        <v>1</v>
      </c>
      <c r="G3961" s="1114" t="s">
        <v>2838</v>
      </c>
      <c r="H3961" s="1103" t="s">
        <v>4013</v>
      </c>
      <c r="I3961" s="1114">
        <f>I3945</f>
        <v>562</v>
      </c>
      <c r="J3961" s="1103" t="s">
        <v>2838</v>
      </c>
      <c r="K3961" s="1114">
        <f t="shared" si="352"/>
        <v>562</v>
      </c>
    </row>
    <row r="3962" spans="6:11" ht="24" customHeight="1">
      <c r="F3962" s="1114">
        <v>1</v>
      </c>
      <c r="G3962" s="1114" t="s">
        <v>2838</v>
      </c>
      <c r="H3962" s="1114" t="str">
        <f>H3946</f>
        <v>MOULDING CHARGES</v>
      </c>
      <c r="I3962" s="1114">
        <f>I3946</f>
        <v>25</v>
      </c>
      <c r="J3962" s="1103" t="s">
        <v>2838</v>
      </c>
      <c r="K3962" s="1114">
        <f t="shared" si="352"/>
        <v>25</v>
      </c>
    </row>
    <row r="3963" spans="6:11" ht="24" customHeight="1">
      <c r="F3963" s="1114">
        <v>0.5</v>
      </c>
      <c r="G3963" s="1114" t="s">
        <v>2838</v>
      </c>
      <c r="H3963" s="1103" t="s">
        <v>4015</v>
      </c>
      <c r="I3963" s="1114">
        <f>I3947</f>
        <v>461</v>
      </c>
      <c r="J3963" s="1103" t="s">
        <v>2838</v>
      </c>
      <c r="K3963" s="1114">
        <f t="shared" si="352"/>
        <v>230.5</v>
      </c>
    </row>
    <row r="3964" spans="6:11" ht="24" customHeight="1">
      <c r="G3964" s="1114" t="s">
        <v>2851</v>
      </c>
      <c r="H3964" s="1103" t="s">
        <v>4016</v>
      </c>
      <c r="I3964" s="1114">
        <f>I3948</f>
        <v>0</v>
      </c>
      <c r="J3964" s="1103" t="s">
        <v>2851</v>
      </c>
      <c r="K3964" s="1114">
        <v>1.39</v>
      </c>
    </row>
    <row r="3965" spans="6:11" ht="24" customHeight="1">
      <c r="K3965" s="1111" t="s">
        <v>36</v>
      </c>
    </row>
    <row r="3966" spans="6:11" ht="24" customHeight="1">
      <c r="H3966" s="1118" t="s">
        <v>4017</v>
      </c>
      <c r="K3966" s="1115">
        <f>SUM(K3954:K3964)</f>
        <v>2439.8566856999996</v>
      </c>
    </row>
    <row r="3967" spans="6:11" ht="24" customHeight="1">
      <c r="K3967" s="1111" t="s">
        <v>36</v>
      </c>
    </row>
    <row r="3969" spans="6:11" ht="24" customHeight="1">
      <c r="H3969" s="1104" t="s">
        <v>3998</v>
      </c>
      <c r="J3969" s="1105"/>
      <c r="K3969" s="1111"/>
    </row>
    <row r="3970" spans="6:11" ht="24" customHeight="1">
      <c r="J3970" s="1105"/>
      <c r="K3970" s="1111"/>
    </row>
    <row r="3971" spans="6:11" ht="24" customHeight="1">
      <c r="F3971" s="1143">
        <v>6.5000000000000002E-2</v>
      </c>
      <c r="G3971" s="1114" t="s">
        <v>2839</v>
      </c>
      <c r="H3971" s="1103" t="s">
        <v>4001</v>
      </c>
      <c r="I3971" s="1114">
        <f>I3954</f>
        <v>8363.1689999999999</v>
      </c>
      <c r="J3971" s="1103" t="s">
        <v>2839</v>
      </c>
      <c r="K3971" s="1114">
        <f>I3971*F3971</f>
        <v>543.60598500000003</v>
      </c>
    </row>
    <row r="3972" spans="6:11" ht="24" customHeight="1">
      <c r="F3972" s="1155">
        <v>8.4499999999999993</v>
      </c>
      <c r="G3972" s="1114" t="s">
        <v>165</v>
      </c>
      <c r="H3972" s="1103" t="s">
        <v>4003</v>
      </c>
      <c r="I3972" s="1114">
        <f t="shared" ref="I3972:I3981" si="353">I3955</f>
        <v>78398</v>
      </c>
      <c r="J3972" s="1103" t="s">
        <v>197</v>
      </c>
      <c r="K3972" s="1114">
        <f>I3972*F3972/1000</f>
        <v>662.46309999999994</v>
      </c>
    </row>
    <row r="3973" spans="6:11" ht="24" customHeight="1">
      <c r="F3973" s="1114">
        <v>3</v>
      </c>
      <c r="G3973" s="1114" t="s">
        <v>2838</v>
      </c>
      <c r="H3973" s="1103" t="s">
        <v>4005</v>
      </c>
      <c r="I3973" s="1114">
        <f t="shared" si="353"/>
        <v>14.8</v>
      </c>
      <c r="J3973" s="1103" t="s">
        <v>2838</v>
      </c>
      <c r="K3973" s="1114">
        <f t="shared" ref="K3973:K3980" si="354">I3973*F3973</f>
        <v>44.400000000000006</v>
      </c>
    </row>
    <row r="3974" spans="6:11" ht="24" customHeight="1">
      <c r="F3974" s="1114">
        <v>12</v>
      </c>
      <c r="G3974" s="1114" t="s">
        <v>2838</v>
      </c>
      <c r="H3974" s="1103" t="s">
        <v>4006</v>
      </c>
      <c r="I3974" s="1114">
        <f t="shared" si="353"/>
        <v>2</v>
      </c>
      <c r="J3974" s="1103" t="s">
        <v>2838</v>
      </c>
      <c r="K3974" s="1114">
        <f t="shared" si="354"/>
        <v>24</v>
      </c>
    </row>
    <row r="3975" spans="6:11" ht="24" customHeight="1">
      <c r="F3975" s="1114">
        <v>2</v>
      </c>
      <c r="G3975" s="1114" t="s">
        <v>2838</v>
      </c>
      <c r="H3975" s="1103" t="s">
        <v>4007</v>
      </c>
      <c r="I3975" s="1114">
        <f t="shared" si="353"/>
        <v>4.9000000000000004</v>
      </c>
      <c r="J3975" s="1103" t="s">
        <v>2838</v>
      </c>
      <c r="K3975" s="1114">
        <f t="shared" si="354"/>
        <v>9.8000000000000007</v>
      </c>
    </row>
    <row r="3976" spans="6:11" ht="24" customHeight="1">
      <c r="F3976" s="1114">
        <v>6</v>
      </c>
      <c r="G3976" s="1114" t="s">
        <v>2838</v>
      </c>
      <c r="H3976" s="1103" t="s">
        <v>4009</v>
      </c>
      <c r="I3976" s="1114">
        <f t="shared" si="353"/>
        <v>4.45</v>
      </c>
      <c r="J3976" s="1103" t="s">
        <v>2838</v>
      </c>
      <c r="K3976" s="1114">
        <f t="shared" si="354"/>
        <v>26.700000000000003</v>
      </c>
    </row>
    <row r="3977" spans="6:11" ht="24" customHeight="1">
      <c r="F3977" s="1114">
        <v>1</v>
      </c>
      <c r="G3977" s="1114" t="s">
        <v>2838</v>
      </c>
      <c r="H3977" s="1103" t="s">
        <v>4012</v>
      </c>
      <c r="I3977" s="1114">
        <f t="shared" si="353"/>
        <v>861</v>
      </c>
      <c r="J3977" s="1103" t="s">
        <v>2838</v>
      </c>
      <c r="K3977" s="1114">
        <f t="shared" si="354"/>
        <v>861</v>
      </c>
    </row>
    <row r="3978" spans="6:11" ht="24" customHeight="1">
      <c r="F3978" s="1114">
        <v>1</v>
      </c>
      <c r="G3978" s="1114" t="s">
        <v>2838</v>
      </c>
      <c r="H3978" s="1103" t="s">
        <v>4013</v>
      </c>
      <c r="I3978" s="1114">
        <f t="shared" si="353"/>
        <v>562</v>
      </c>
      <c r="J3978" s="1103" t="s">
        <v>2838</v>
      </c>
      <c r="K3978" s="1114">
        <f t="shared" si="354"/>
        <v>562</v>
      </c>
    </row>
    <row r="3979" spans="6:11" ht="24" customHeight="1">
      <c r="F3979" s="1114">
        <v>1</v>
      </c>
      <c r="G3979" s="1114" t="s">
        <v>2838</v>
      </c>
      <c r="H3979" s="1103" t="s">
        <v>4014</v>
      </c>
      <c r="I3979" s="1114">
        <f t="shared" si="353"/>
        <v>25</v>
      </c>
      <c r="J3979" s="1103" t="s">
        <v>2838</v>
      </c>
      <c r="K3979" s="1114">
        <f t="shared" si="354"/>
        <v>25</v>
      </c>
    </row>
    <row r="3980" spans="6:11" ht="24" customHeight="1">
      <c r="F3980" s="1114">
        <v>0.5</v>
      </c>
      <c r="G3980" s="1114" t="s">
        <v>2838</v>
      </c>
      <c r="H3980" s="1103" t="s">
        <v>4015</v>
      </c>
      <c r="I3980" s="1114">
        <f t="shared" si="353"/>
        <v>461</v>
      </c>
      <c r="J3980" s="1103" t="s">
        <v>2838</v>
      </c>
      <c r="K3980" s="1114">
        <f t="shared" si="354"/>
        <v>230.5</v>
      </c>
    </row>
    <row r="3981" spans="6:11" ht="24" customHeight="1">
      <c r="G3981" s="1114" t="s">
        <v>2851</v>
      </c>
      <c r="H3981" s="1103" t="s">
        <v>4016</v>
      </c>
      <c r="I3981" s="1114">
        <f t="shared" si="353"/>
        <v>0</v>
      </c>
      <c r="J3981" s="1103" t="s">
        <v>2851</v>
      </c>
      <c r="K3981" s="1114">
        <v>2.1</v>
      </c>
    </row>
    <row r="3982" spans="6:11" ht="24" customHeight="1">
      <c r="K3982" s="1111" t="s">
        <v>36</v>
      </c>
    </row>
    <row r="3983" spans="6:11" ht="24" customHeight="1">
      <c r="H3983" s="1118" t="s">
        <v>4017</v>
      </c>
      <c r="K3983" s="1115">
        <f>SUM(K3971:K3981)</f>
        <v>2991.5690850000001</v>
      </c>
    </row>
    <row r="3984" spans="6:11" ht="24" customHeight="1">
      <c r="K3984" s="1111" t="s">
        <v>36</v>
      </c>
    </row>
    <row r="3985" spans="6:11" ht="24" customHeight="1">
      <c r="F3985" s="1488" t="s">
        <v>5623</v>
      </c>
      <c r="G3985" s="1488"/>
      <c r="H3985" s="1488"/>
      <c r="I3985" s="1185"/>
      <c r="J3985" s="1185"/>
    </row>
    <row r="3986" spans="6:11" ht="24" customHeight="1">
      <c r="F3986" s="1108"/>
      <c r="H3986" s="1167" t="s">
        <v>5624</v>
      </c>
    </row>
    <row r="3987" spans="6:11" ht="24" customHeight="1">
      <c r="F3987" s="1128">
        <v>4.88</v>
      </c>
      <c r="G3987" s="1114" t="s">
        <v>3236</v>
      </c>
      <c r="H3987" s="1103" t="s">
        <v>4324</v>
      </c>
      <c r="I3987" s="1114">
        <f>AB1350</f>
        <v>301</v>
      </c>
      <c r="J3987" s="1114" t="s">
        <v>3236</v>
      </c>
      <c r="K3987" s="1114">
        <f t="shared" ref="K3987:K3996" si="355">I3987*F3987</f>
        <v>1468.8799999999999</v>
      </c>
    </row>
    <row r="3988" spans="6:11" ht="24" customHeight="1">
      <c r="F3988" s="1128">
        <v>7.76</v>
      </c>
      <c r="G3988" s="1114" t="s">
        <v>3236</v>
      </c>
      <c r="H3988" s="1103" t="s">
        <v>4324</v>
      </c>
      <c r="I3988" s="1114">
        <f>I3987</f>
        <v>301</v>
      </c>
      <c r="J3988" s="1114" t="s">
        <v>3236</v>
      </c>
      <c r="K3988" s="1114">
        <f t="shared" si="355"/>
        <v>2335.7599999999998</v>
      </c>
    </row>
    <row r="3989" spans="6:11" ht="24" customHeight="1">
      <c r="F3989" s="1128">
        <v>3.03</v>
      </c>
      <c r="G3989" s="1114" t="s">
        <v>3236</v>
      </c>
      <c r="H3989" s="1103" t="s">
        <v>4324</v>
      </c>
      <c r="I3989" s="1114">
        <f>I3988</f>
        <v>301</v>
      </c>
      <c r="J3989" s="1114" t="s">
        <v>3236</v>
      </c>
      <c r="K3989" s="1114">
        <f t="shared" si="355"/>
        <v>912.03</v>
      </c>
    </row>
    <row r="3990" spans="6:11" ht="24" customHeight="1">
      <c r="F3990" s="1128">
        <v>1.45</v>
      </c>
      <c r="G3990" s="1114" t="s">
        <v>3236</v>
      </c>
      <c r="H3990" s="1103" t="s">
        <v>4324</v>
      </c>
      <c r="I3990" s="1114">
        <f>I3989</f>
        <v>301</v>
      </c>
      <c r="J3990" s="1114" t="s">
        <v>3236</v>
      </c>
      <c r="K3990" s="1114">
        <f t="shared" si="355"/>
        <v>436.45</v>
      </c>
    </row>
    <row r="3991" spans="6:11" ht="24" customHeight="1">
      <c r="F3991" s="1128">
        <v>2.4300000000000002</v>
      </c>
      <c r="G3991" s="1114" t="s">
        <v>833</v>
      </c>
      <c r="H3991" s="1103" t="s">
        <v>4330</v>
      </c>
      <c r="I3991" s="1114">
        <f>AB1354</f>
        <v>208.8</v>
      </c>
      <c r="J3991" s="1114" t="s">
        <v>833</v>
      </c>
      <c r="K3991" s="1114">
        <f t="shared" si="355"/>
        <v>507.38400000000007</v>
      </c>
    </row>
    <row r="3992" spans="6:11" ht="24" customHeight="1">
      <c r="F3992" s="1128">
        <v>11.7</v>
      </c>
      <c r="G3992" s="1114" t="s">
        <v>61</v>
      </c>
      <c r="H3992" s="1103" t="s">
        <v>4333</v>
      </c>
      <c r="I3992" s="1114">
        <f>AB1355</f>
        <v>28.8</v>
      </c>
      <c r="J3992" s="1114" t="s">
        <v>61</v>
      </c>
      <c r="K3992" s="1114">
        <f t="shared" si="355"/>
        <v>336.96</v>
      </c>
    </row>
    <row r="3993" spans="6:11" ht="24" customHeight="1">
      <c r="F3993" s="1128">
        <v>3</v>
      </c>
      <c r="G3993" s="1114" t="s">
        <v>2941</v>
      </c>
      <c r="H3993" s="1103" t="s">
        <v>5625</v>
      </c>
      <c r="I3993" s="1114">
        <v>350</v>
      </c>
      <c r="J3993" s="1114" t="s">
        <v>2941</v>
      </c>
      <c r="K3993" s="1114">
        <f t="shared" si="355"/>
        <v>1050</v>
      </c>
    </row>
    <row r="3994" spans="6:11" ht="24" customHeight="1">
      <c r="F3994" s="1128">
        <v>3</v>
      </c>
      <c r="G3994" s="1114" t="s">
        <v>2941</v>
      </c>
      <c r="H3994" s="1103" t="s">
        <v>4337</v>
      </c>
      <c r="I3994" s="1114">
        <f>V1359</f>
        <v>53.4</v>
      </c>
      <c r="J3994" s="1114" t="s">
        <v>2941</v>
      </c>
      <c r="K3994" s="1114">
        <f t="shared" si="355"/>
        <v>160.19999999999999</v>
      </c>
    </row>
    <row r="3995" spans="6:11" ht="24" customHeight="1">
      <c r="F3995" s="1128">
        <v>4</v>
      </c>
      <c r="G3995" s="1114" t="s">
        <v>2941</v>
      </c>
      <c r="H3995" s="1103" t="s">
        <v>4342</v>
      </c>
      <c r="I3995" s="1114">
        <f>AB1360</f>
        <v>15</v>
      </c>
      <c r="J3995" s="1114" t="s">
        <v>2941</v>
      </c>
      <c r="K3995" s="1114">
        <f t="shared" si="355"/>
        <v>60</v>
      </c>
    </row>
    <row r="3996" spans="6:11" ht="24" customHeight="1">
      <c r="F3996" s="1128">
        <v>2.4300000000000002</v>
      </c>
      <c r="G3996" s="1114" t="s">
        <v>37</v>
      </c>
      <c r="H3996" s="1103" t="s">
        <v>4343</v>
      </c>
      <c r="I3996" s="1114">
        <f>AB1361</f>
        <v>1724</v>
      </c>
      <c r="J3996" s="1114" t="s">
        <v>2941</v>
      </c>
      <c r="K3996" s="1114">
        <f t="shared" si="355"/>
        <v>4189.3200000000006</v>
      </c>
    </row>
    <row r="3997" spans="6:11" ht="24" customHeight="1">
      <c r="F3997" s="1108"/>
      <c r="H3997" s="1103" t="s">
        <v>4345</v>
      </c>
      <c r="J3997" s="1114"/>
      <c r="K3997" s="1114"/>
    </row>
    <row r="3998" spans="6:11" ht="24" customHeight="1">
      <c r="F3998" s="1108"/>
      <c r="H3998" s="1113" t="s">
        <v>4347</v>
      </c>
      <c r="J3998" s="1105"/>
      <c r="K3998" s="1114">
        <f>SUM(K3987:K3997)</f>
        <v>11456.984</v>
      </c>
    </row>
    <row r="3999" spans="6:11" ht="24" customHeight="1">
      <c r="F3999" s="1108"/>
      <c r="H3999" s="1113" t="s">
        <v>5626</v>
      </c>
      <c r="J3999" s="1114" t="s">
        <v>37</v>
      </c>
      <c r="K3999" s="1114">
        <f>K3998/F3996</f>
        <v>4714.8082304526752</v>
      </c>
    </row>
    <row r="4000" spans="6:11" ht="24" customHeight="1">
      <c r="F4000" s="1108"/>
      <c r="J4000" s="1105"/>
      <c r="K4000" s="1115"/>
    </row>
    <row r="4001" spans="6:11" ht="24" customHeight="1">
      <c r="F4001" s="1108"/>
      <c r="J4001" s="1105"/>
    </row>
    <row r="4002" spans="6:11" ht="24" customHeight="1">
      <c r="F4002" s="1186"/>
      <c r="G4002" s="1186"/>
      <c r="H4002" s="1488" t="s">
        <v>1809</v>
      </c>
      <c r="I4002" s="1488"/>
      <c r="J4002" s="1488"/>
      <c r="K4002" s="1488"/>
    </row>
    <row r="4003" spans="6:11" ht="24" customHeight="1">
      <c r="F4003" s="1144"/>
      <c r="G4003" s="1114"/>
      <c r="H4003" s="1103"/>
      <c r="I4003" s="1114"/>
      <c r="J4003" s="1114"/>
      <c r="K4003" s="1114"/>
    </row>
    <row r="4004" spans="6:11" ht="24" customHeight="1">
      <c r="F4004" s="1144"/>
      <c r="G4004" s="1114"/>
      <c r="H4004" s="1103"/>
      <c r="I4004" s="1114"/>
      <c r="J4004" s="1114"/>
      <c r="K4004" s="1114"/>
    </row>
    <row r="4005" spans="6:11" ht="24" customHeight="1">
      <c r="F4005" s="1144"/>
      <c r="G4005" s="1114"/>
      <c r="H4005" s="1103"/>
      <c r="I4005" s="1114"/>
      <c r="J4005" s="1114"/>
      <c r="K4005" s="1114"/>
    </row>
    <row r="4006" spans="6:11" ht="24" customHeight="1">
      <c r="F4006" s="1144">
        <v>12.08</v>
      </c>
      <c r="G4006" s="1114" t="s">
        <v>3236</v>
      </c>
      <c r="H4006" s="1103" t="s">
        <v>4324</v>
      </c>
      <c r="I4006" s="1114">
        <f>I3987</f>
        <v>301</v>
      </c>
      <c r="J4006" s="1114" t="s">
        <v>3236</v>
      </c>
      <c r="K4006" s="1114">
        <f>I4006*F4006</f>
        <v>3636.08</v>
      </c>
    </row>
    <row r="4007" spans="6:11" ht="24" customHeight="1">
      <c r="F4007" s="1144">
        <v>1.823</v>
      </c>
      <c r="G4007" s="1114" t="s">
        <v>833</v>
      </c>
      <c r="H4007" s="1103" t="s">
        <v>4330</v>
      </c>
      <c r="I4007" s="1114">
        <f>I3991</f>
        <v>208.8</v>
      </c>
      <c r="J4007" s="1114" t="s">
        <v>833</v>
      </c>
      <c r="K4007" s="1114">
        <f t="shared" ref="K4007:K4012" si="356">I4007*F4007</f>
        <v>380.64240000000001</v>
      </c>
    </row>
    <row r="4008" spans="6:11" ht="24" customHeight="1">
      <c r="F4008" s="1144">
        <v>8.1</v>
      </c>
      <c r="G4008" s="1114" t="s">
        <v>61</v>
      </c>
      <c r="H4008" s="1103" t="s">
        <v>4333</v>
      </c>
      <c r="I4008" s="1114">
        <f>I3992</f>
        <v>28.8</v>
      </c>
      <c r="J4008" s="1114" t="s">
        <v>61</v>
      </c>
      <c r="K4008" s="1114">
        <f t="shared" si="356"/>
        <v>233.28</v>
      </c>
    </row>
    <row r="4009" spans="6:11" ht="24" customHeight="1">
      <c r="F4009" s="1144">
        <v>2</v>
      </c>
      <c r="G4009" s="1114" t="s">
        <v>4433</v>
      </c>
      <c r="H4009" s="1103" t="s">
        <v>5627</v>
      </c>
      <c r="I4009" s="1114">
        <f>I3993</f>
        <v>350</v>
      </c>
      <c r="J4009" s="1114" t="s">
        <v>2941</v>
      </c>
      <c r="K4009" s="1114">
        <f t="shared" si="356"/>
        <v>700</v>
      </c>
    </row>
    <row r="4010" spans="6:11" ht="24" customHeight="1">
      <c r="F4010" s="1144">
        <v>2</v>
      </c>
      <c r="G4010" s="1114" t="s">
        <v>2941</v>
      </c>
      <c r="H4010" s="1103" t="s">
        <v>4337</v>
      </c>
      <c r="I4010" s="1114">
        <f>I3994</f>
        <v>53.4</v>
      </c>
      <c r="J4010" s="1114" t="s">
        <v>2941</v>
      </c>
      <c r="K4010" s="1114">
        <f t="shared" si="356"/>
        <v>106.8</v>
      </c>
    </row>
    <row r="4011" spans="6:11" ht="24" customHeight="1">
      <c r="F4011" s="1144">
        <v>4</v>
      </c>
      <c r="G4011" s="1114" t="s">
        <v>2941</v>
      </c>
      <c r="H4011" s="1103" t="s">
        <v>4342</v>
      </c>
      <c r="I4011" s="1114">
        <v>15</v>
      </c>
      <c r="J4011" s="1114" t="s">
        <v>2941</v>
      </c>
      <c r="K4011" s="1114">
        <f t="shared" si="356"/>
        <v>60</v>
      </c>
    </row>
    <row r="4012" spans="6:11" ht="24" customHeight="1">
      <c r="F4012" s="1144">
        <v>1.823</v>
      </c>
      <c r="G4012" s="1114" t="s">
        <v>37</v>
      </c>
      <c r="H4012" s="1103" t="s">
        <v>4343</v>
      </c>
      <c r="I4012" s="1186">
        <f>I3996</f>
        <v>1724</v>
      </c>
      <c r="J4012" s="1114" t="s">
        <v>37</v>
      </c>
      <c r="K4012" s="1114">
        <f t="shared" si="356"/>
        <v>3142.8519999999999</v>
      </c>
    </row>
    <row r="4013" spans="6:11" ht="24" customHeight="1">
      <c r="F4013" s="1186"/>
      <c r="G4013" s="1186"/>
      <c r="H4013" s="1103"/>
      <c r="I4013" s="1186"/>
      <c r="J4013" s="1187"/>
      <c r="K4013" s="1114"/>
    </row>
    <row r="4014" spans="6:11" ht="24" customHeight="1">
      <c r="F4014" s="1186"/>
      <c r="G4014" s="1186"/>
      <c r="H4014" s="1127" t="s">
        <v>5628</v>
      </c>
      <c r="I4014" s="1186"/>
      <c r="J4014" s="1186"/>
      <c r="K4014" s="1114">
        <f>SUM(K4006:K4013)</f>
        <v>8259.6543999999994</v>
      </c>
    </row>
    <row r="4015" spans="6:11" ht="24" customHeight="1">
      <c r="F4015" s="1186"/>
      <c r="G4015" s="1186"/>
      <c r="H4015" s="1127" t="s">
        <v>5629</v>
      </c>
      <c r="I4015" s="1186"/>
      <c r="J4015" s="1186"/>
      <c r="K4015" s="1347">
        <f>K4014/F4012</f>
        <v>4530.8032912781127</v>
      </c>
    </row>
    <row r="4016" spans="6:11" ht="24" customHeight="1">
      <c r="F4016" s="1186"/>
      <c r="G4016" s="1186"/>
      <c r="H4016" s="1127"/>
      <c r="I4016" s="1186"/>
      <c r="J4016" s="1186"/>
      <c r="K4016" s="1186"/>
    </row>
    <row r="4017" spans="6:11" ht="24" customHeight="1">
      <c r="F4017" s="1108"/>
      <c r="H4017" s="1167" t="s">
        <v>5630</v>
      </c>
    </row>
    <row r="4018" spans="6:11" ht="24" customHeight="1">
      <c r="F4018" s="1128">
        <v>3.72</v>
      </c>
      <c r="G4018" s="1114" t="s">
        <v>3236</v>
      </c>
      <c r="H4018" s="1103" t="s">
        <v>4324</v>
      </c>
      <c r="I4018" s="1114">
        <f>I3987</f>
        <v>301</v>
      </c>
      <c r="J4018" s="1114" t="s">
        <v>3236</v>
      </c>
      <c r="K4018" s="1114">
        <f>I4018*F4018</f>
        <v>1119.72</v>
      </c>
    </row>
    <row r="4019" spans="6:11" ht="24" customHeight="1">
      <c r="F4019" s="1128">
        <v>4.57</v>
      </c>
      <c r="G4019" s="1114" t="s">
        <v>3236</v>
      </c>
      <c r="H4019" s="1103" t="s">
        <v>4324</v>
      </c>
      <c r="I4019" s="1114">
        <f>I4018</f>
        <v>301</v>
      </c>
      <c r="J4019" s="1114" t="s">
        <v>3236</v>
      </c>
      <c r="K4019" s="1114">
        <f t="shared" ref="K4019:K4025" si="357">I4019*F4019</f>
        <v>1375.5700000000002</v>
      </c>
    </row>
    <row r="4020" spans="6:11" ht="24" customHeight="1">
      <c r="F4020" s="1128">
        <v>1.18</v>
      </c>
      <c r="G4020" s="1114" t="s">
        <v>3236</v>
      </c>
      <c r="H4020" s="1103" t="s">
        <v>4324</v>
      </c>
      <c r="I4020" s="1114">
        <f>I4019</f>
        <v>301</v>
      </c>
      <c r="J4020" s="1114" t="s">
        <v>3236</v>
      </c>
      <c r="K4020" s="1114">
        <f t="shared" si="357"/>
        <v>355.18</v>
      </c>
    </row>
    <row r="4021" spans="6:11" ht="24" customHeight="1">
      <c r="F4021" s="1128">
        <v>0.86</v>
      </c>
      <c r="G4021" s="1114" t="s">
        <v>3236</v>
      </c>
      <c r="H4021" s="1103" t="s">
        <v>4324</v>
      </c>
      <c r="I4021" s="1114">
        <f>I4020</f>
        <v>301</v>
      </c>
      <c r="J4021" s="1114" t="s">
        <v>3236</v>
      </c>
      <c r="K4021" s="1114">
        <f t="shared" si="357"/>
        <v>258.86</v>
      </c>
    </row>
    <row r="4022" spans="6:11" ht="24" customHeight="1">
      <c r="F4022" s="1128">
        <v>1.42</v>
      </c>
      <c r="G4022" s="1114" t="s">
        <v>833</v>
      </c>
      <c r="H4022" s="1103" t="s">
        <v>4330</v>
      </c>
      <c r="I4022" s="1114">
        <f t="shared" ref="I4022:I4027" si="358">I4007</f>
        <v>208.8</v>
      </c>
      <c r="J4022" s="1114" t="s">
        <v>833</v>
      </c>
      <c r="K4022" s="1114">
        <f t="shared" si="357"/>
        <v>296.49599999999998</v>
      </c>
    </row>
    <row r="4023" spans="6:11" ht="24" customHeight="1">
      <c r="F4023" s="1128">
        <v>6.9</v>
      </c>
      <c r="G4023" s="1114" t="s">
        <v>61</v>
      </c>
      <c r="H4023" s="1103" t="s">
        <v>4333</v>
      </c>
      <c r="I4023" s="1114">
        <f t="shared" si="358"/>
        <v>28.8</v>
      </c>
      <c r="J4023" s="1114" t="s">
        <v>61</v>
      </c>
      <c r="K4023" s="1114">
        <f t="shared" si="357"/>
        <v>198.72000000000003</v>
      </c>
    </row>
    <row r="4024" spans="6:11" ht="24" customHeight="1">
      <c r="F4024" s="1128">
        <v>2</v>
      </c>
      <c r="G4024" s="1114" t="s">
        <v>2941</v>
      </c>
      <c r="H4024" s="1103" t="s">
        <v>5627</v>
      </c>
      <c r="I4024" s="1114">
        <f t="shared" si="358"/>
        <v>350</v>
      </c>
      <c r="J4024" s="1114" t="s">
        <v>2941</v>
      </c>
      <c r="K4024" s="1114">
        <f t="shared" si="357"/>
        <v>700</v>
      </c>
    </row>
    <row r="4025" spans="6:11" ht="24" customHeight="1">
      <c r="F4025" s="1128">
        <v>2</v>
      </c>
      <c r="G4025" s="1114" t="s">
        <v>2941</v>
      </c>
      <c r="H4025" s="1103" t="s">
        <v>4337</v>
      </c>
      <c r="I4025" s="1114">
        <f t="shared" si="358"/>
        <v>53.4</v>
      </c>
      <c r="J4025" s="1114" t="s">
        <v>2941</v>
      </c>
      <c r="K4025" s="1114">
        <f t="shared" si="357"/>
        <v>106.8</v>
      </c>
    </row>
    <row r="4026" spans="6:11" ht="24" customHeight="1">
      <c r="F4026" s="1128">
        <v>4</v>
      </c>
      <c r="G4026" s="1114" t="s">
        <v>2941</v>
      </c>
      <c r="H4026" s="1103" t="s">
        <v>4342</v>
      </c>
      <c r="I4026" s="1114">
        <f t="shared" si="358"/>
        <v>15</v>
      </c>
      <c r="J4026" s="1114" t="s">
        <v>2941</v>
      </c>
      <c r="K4026" s="1114">
        <f>I4026*F4026</f>
        <v>60</v>
      </c>
    </row>
    <row r="4027" spans="6:11" ht="24" customHeight="1">
      <c r="F4027" s="1128">
        <v>1.42</v>
      </c>
      <c r="G4027" s="1114" t="s">
        <v>37</v>
      </c>
      <c r="H4027" s="1103" t="s">
        <v>4343</v>
      </c>
      <c r="I4027" s="1114">
        <f t="shared" si="358"/>
        <v>1724</v>
      </c>
      <c r="J4027" s="1114" t="s">
        <v>37</v>
      </c>
      <c r="K4027" s="1114">
        <f>I4027*F4027</f>
        <v>2448.08</v>
      </c>
    </row>
    <row r="4028" spans="6:11" ht="24" customHeight="1">
      <c r="F4028" s="1108"/>
      <c r="H4028" s="1103" t="s">
        <v>4345</v>
      </c>
      <c r="J4028" s="1109"/>
      <c r="K4028" s="1114"/>
    </row>
    <row r="4029" spans="6:11" ht="24" customHeight="1">
      <c r="F4029" s="1108"/>
      <c r="H4029" s="1113" t="s">
        <v>4347</v>
      </c>
      <c r="J4029" s="1105"/>
      <c r="K4029" s="1114">
        <f>SUM(K4018:K4028)</f>
        <v>6919.4260000000004</v>
      </c>
    </row>
    <row r="4030" spans="6:11" ht="24" customHeight="1">
      <c r="F4030" s="1108"/>
      <c r="H4030" s="1127" t="s">
        <v>5629</v>
      </c>
      <c r="J4030" s="1105"/>
      <c r="K4030" s="1119">
        <f>K4029/F4027</f>
        <v>4872.8352112676057</v>
      </c>
    </row>
    <row r="4031" spans="6:11" ht="24" customHeight="1">
      <c r="F4031" s="1108"/>
      <c r="J4031" s="1105"/>
      <c r="K4031" s="1115"/>
    </row>
    <row r="4032" spans="6:11" ht="24" customHeight="1">
      <c r="F4032" s="1108"/>
      <c r="H4032" s="1167" t="s">
        <v>5631</v>
      </c>
    </row>
    <row r="4033" spans="6:13" ht="24" customHeight="1">
      <c r="F4033" s="1191">
        <v>11.61</v>
      </c>
      <c r="G4033" s="1192" t="s">
        <v>3236</v>
      </c>
      <c r="H4033" s="1194" t="s">
        <v>4324</v>
      </c>
      <c r="I4033" s="1192">
        <f>I4018</f>
        <v>301</v>
      </c>
      <c r="J4033" s="1192" t="s">
        <v>3236</v>
      </c>
      <c r="K4033" s="1192">
        <f>I4033*F4033</f>
        <v>3494.6099999999997</v>
      </c>
    </row>
    <row r="4034" spans="6:13" ht="24" customHeight="1">
      <c r="F4034" s="1191">
        <v>7.8</v>
      </c>
      <c r="G4034" s="1192" t="s">
        <v>61</v>
      </c>
      <c r="H4034" s="1194" t="s">
        <v>4432</v>
      </c>
      <c r="I4034" s="1192">
        <f>I4023</f>
        <v>28.8</v>
      </c>
      <c r="J4034" s="1192" t="s">
        <v>61</v>
      </c>
      <c r="K4034" s="1192">
        <f t="shared" ref="K4034:K4039" si="359">I4034*F4034</f>
        <v>224.64</v>
      </c>
    </row>
    <row r="4035" spans="6:13" ht="24" customHeight="1">
      <c r="F4035" s="1191">
        <v>1.62</v>
      </c>
      <c r="G4035" s="1192" t="s">
        <v>833</v>
      </c>
      <c r="H4035" s="1194" t="s">
        <v>4431</v>
      </c>
      <c r="I4035" s="1192">
        <f>I4022</f>
        <v>208.8</v>
      </c>
      <c r="J4035" s="1192" t="s">
        <v>833</v>
      </c>
      <c r="K4035" s="1192">
        <f t="shared" si="359"/>
        <v>338.25600000000003</v>
      </c>
    </row>
    <row r="4036" spans="6:13" ht="24" customHeight="1">
      <c r="F4036" s="1191">
        <v>2</v>
      </c>
      <c r="G4036" s="1192" t="s">
        <v>2941</v>
      </c>
      <c r="H4036" s="1194" t="s">
        <v>4435</v>
      </c>
      <c r="I4036" s="1192">
        <f>I4025</f>
        <v>53.4</v>
      </c>
      <c r="J4036" s="1192" t="s">
        <v>2941</v>
      </c>
      <c r="K4036" s="1192">
        <f t="shared" si="359"/>
        <v>106.8</v>
      </c>
    </row>
    <row r="4037" spans="6:13" ht="24" customHeight="1">
      <c r="F4037" s="1191">
        <v>2</v>
      </c>
      <c r="G4037" s="1192" t="s">
        <v>2941</v>
      </c>
      <c r="H4037" s="1194" t="s">
        <v>5632</v>
      </c>
      <c r="I4037" s="1192">
        <f>I4024</f>
        <v>350</v>
      </c>
      <c r="J4037" s="1192" t="s">
        <v>2941</v>
      </c>
      <c r="K4037" s="1192">
        <f t="shared" si="359"/>
        <v>700</v>
      </c>
    </row>
    <row r="4038" spans="6:13" ht="24" customHeight="1">
      <c r="F4038" s="1191">
        <v>4</v>
      </c>
      <c r="G4038" s="1192" t="s">
        <v>2941</v>
      </c>
      <c r="H4038" s="1194" t="s">
        <v>4436</v>
      </c>
      <c r="I4038" s="1192">
        <f>I4026</f>
        <v>15</v>
      </c>
      <c r="J4038" s="1192" t="s">
        <v>2941</v>
      </c>
      <c r="K4038" s="1192">
        <f t="shared" si="359"/>
        <v>60</v>
      </c>
    </row>
    <row r="4039" spans="6:13" ht="24" customHeight="1">
      <c r="F4039" s="1191">
        <v>1.62</v>
      </c>
      <c r="G4039" s="1192" t="s">
        <v>37</v>
      </c>
      <c r="H4039" s="1194" t="s">
        <v>4437</v>
      </c>
      <c r="I4039" s="1192">
        <f>I4027</f>
        <v>1724</v>
      </c>
      <c r="J4039" s="1192" t="s">
        <v>37</v>
      </c>
      <c r="K4039" s="1192">
        <f t="shared" si="359"/>
        <v>2792.88</v>
      </c>
    </row>
    <row r="4040" spans="6:13" ht="24" customHeight="1">
      <c r="F4040" s="1189"/>
      <c r="G4040" s="1189"/>
      <c r="H4040" s="1194" t="s">
        <v>234</v>
      </c>
      <c r="I4040" s="1189"/>
      <c r="J4040" s="1195"/>
      <c r="K4040" s="1192"/>
    </row>
    <row r="4041" spans="6:13" ht="24" customHeight="1">
      <c r="F4041" s="1189"/>
      <c r="G4041" s="1189"/>
      <c r="H4041" s="1113" t="s">
        <v>4347</v>
      </c>
      <c r="J4041" s="1105"/>
      <c r="K4041" s="1114">
        <f>SUM(K4033:K4040)</f>
        <v>7717.1859999999997</v>
      </c>
    </row>
    <row r="4042" spans="6:13" ht="24" customHeight="1">
      <c r="F4042" s="1108"/>
      <c r="H4042" s="1127" t="s">
        <v>5629</v>
      </c>
      <c r="J4042" s="1105"/>
      <c r="K4042" s="1119">
        <f>K4041/F4039</f>
        <v>4763.6950617283946</v>
      </c>
    </row>
    <row r="4043" spans="6:13" ht="24" customHeight="1">
      <c r="F4043" s="1108"/>
      <c r="J4043" s="1105"/>
    </row>
    <row r="4045" spans="6:13" ht="24" customHeight="1">
      <c r="F4045" s="1351"/>
      <c r="G4045" s="1351"/>
      <c r="H4045" s="1182" t="s">
        <v>5633</v>
      </c>
      <c r="I4045" s="1351"/>
      <c r="J4045" s="1371"/>
      <c r="K4045" s="1351"/>
      <c r="L4045" s="1108"/>
      <c r="M4045" s="1108"/>
    </row>
    <row r="4046" spans="6:13" ht="24" customHeight="1">
      <c r="F4046" s="1351"/>
      <c r="G4046" s="1351"/>
      <c r="H4046" s="1318" t="s">
        <v>5634</v>
      </c>
      <c r="I4046" s="1351"/>
      <c r="J4046" s="1371"/>
      <c r="K4046" s="1351"/>
      <c r="L4046" s="1108"/>
      <c r="M4046" s="1108"/>
    </row>
    <row r="4047" spans="6:13" ht="24" customHeight="1">
      <c r="F4047" s="1351"/>
      <c r="G4047" s="1351"/>
      <c r="H4047" s="1276" t="s">
        <v>36</v>
      </c>
      <c r="I4047" s="1351"/>
      <c r="J4047" s="1371"/>
      <c r="K4047" s="1351"/>
      <c r="L4047" s="1108"/>
      <c r="M4047" s="1108"/>
    </row>
    <row r="4048" spans="6:13" ht="24" customHeight="1">
      <c r="F4048" s="1351"/>
      <c r="G4048" s="1351"/>
      <c r="H4048" s="1281" t="s">
        <v>5635</v>
      </c>
      <c r="I4048" s="1186"/>
      <c r="J4048" s="1186"/>
      <c r="K4048" s="1186"/>
      <c r="L4048" s="1108"/>
      <c r="M4048" s="1108"/>
    </row>
    <row r="4049" spans="6:13" ht="33.950000000000003" customHeight="1">
      <c r="F4049" s="1351"/>
      <c r="G4049" s="1351"/>
      <c r="H4049" s="1309" t="s">
        <v>5636</v>
      </c>
      <c r="I4049" s="1346"/>
      <c r="J4049" s="1320">
        <f>3*2*1.9*0.075*0.0375</f>
        <v>3.2062499999999994E-2</v>
      </c>
      <c r="K4049" s="1351" t="s">
        <v>16</v>
      </c>
      <c r="L4049" s="1108"/>
      <c r="M4049" s="1108"/>
    </row>
    <row r="4050" spans="6:13" ht="33.950000000000003" customHeight="1">
      <c r="F4050" s="1351"/>
      <c r="G4050" s="1351"/>
      <c r="H4050" s="1182" t="s">
        <v>5637</v>
      </c>
      <c r="I4050" s="1346"/>
      <c r="J4050" s="1320">
        <f>3*2*0.5*0.075*0.0375</f>
        <v>8.4374999999999988E-3</v>
      </c>
      <c r="K4050" s="1351" t="s">
        <v>16</v>
      </c>
      <c r="L4050" s="1108"/>
      <c r="M4050" s="1108"/>
    </row>
    <row r="4051" spans="6:13" ht="24" customHeight="1">
      <c r="F4051" s="1351"/>
      <c r="G4051" s="1351"/>
      <c r="H4051" s="1182"/>
      <c r="I4051" s="1362"/>
      <c r="J4051" s="1276" t="s">
        <v>36</v>
      </c>
      <c r="K4051" s="1181"/>
      <c r="L4051" s="1108"/>
      <c r="M4051" s="1108"/>
    </row>
    <row r="4052" spans="6:13" ht="24" customHeight="1">
      <c r="F4052" s="1351"/>
      <c r="G4052" s="1351"/>
      <c r="H4052" s="1351"/>
      <c r="I4052" s="1351"/>
      <c r="J4052" s="1372">
        <f>SUM(J4049:J4051)</f>
        <v>4.0499999999999994E-2</v>
      </c>
      <c r="K4052" s="1186" t="s">
        <v>16</v>
      </c>
      <c r="L4052" s="1108"/>
      <c r="M4052" s="1108"/>
    </row>
    <row r="4053" spans="6:13" ht="24" customHeight="1">
      <c r="F4053" s="1351"/>
      <c r="G4053" s="1351"/>
      <c r="H4053" s="1351"/>
      <c r="I4053" s="1351"/>
      <c r="J4053" s="1276" t="s">
        <v>36</v>
      </c>
      <c r="K4053" s="1186"/>
      <c r="L4053" s="1108"/>
      <c r="M4053" s="1108"/>
    </row>
    <row r="4054" spans="6:13" ht="24" customHeight="1">
      <c r="F4054" s="1351"/>
      <c r="G4054" s="1351"/>
      <c r="H4054" s="1182" t="s">
        <v>4059</v>
      </c>
      <c r="I4054" s="1346"/>
      <c r="J4054" s="1346"/>
      <c r="K4054" s="1346"/>
      <c r="L4054" s="1108"/>
      <c r="M4054" s="1108"/>
    </row>
    <row r="4055" spans="6:13" ht="24" customHeight="1">
      <c r="F4055" s="1351"/>
      <c r="G4055" s="1351"/>
      <c r="H4055" s="1182" t="s">
        <v>5638</v>
      </c>
      <c r="I4055" s="1321"/>
      <c r="J4055" s="1319">
        <f>3*1.9*0.5</f>
        <v>2.8499999999999996</v>
      </c>
      <c r="K4055" s="1114" t="s">
        <v>3189</v>
      </c>
      <c r="L4055" s="1108"/>
      <c r="M4055" s="1108"/>
    </row>
    <row r="4056" spans="6:13" ht="24" customHeight="1">
      <c r="F4056" s="1351"/>
      <c r="G4056" s="1351"/>
      <c r="H4056" s="1182"/>
      <c r="I4056" s="1321"/>
      <c r="J4056" s="1319"/>
      <c r="K4056" s="1181"/>
      <c r="L4056" s="1108"/>
      <c r="M4056" s="1108"/>
    </row>
    <row r="4057" spans="6:13" ht="33.950000000000003" customHeight="1">
      <c r="F4057" s="1351"/>
      <c r="G4057" s="1351"/>
      <c r="H4057" s="1182" t="s">
        <v>5639</v>
      </c>
      <c r="I4057" s="1321"/>
      <c r="J4057" s="1319"/>
      <c r="K4057" s="1181"/>
      <c r="L4057" s="1108"/>
      <c r="M4057" s="1108"/>
    </row>
    <row r="4058" spans="6:13" ht="33.950000000000003" customHeight="1">
      <c r="F4058" s="1351"/>
      <c r="G4058" s="1351"/>
      <c r="H4058" s="1182" t="s">
        <v>5640</v>
      </c>
      <c r="I4058" s="1321"/>
      <c r="J4058" s="1320">
        <f>3*1.775*0.375</f>
        <v>1.9968749999999997</v>
      </c>
      <c r="K4058" s="1181" t="str">
        <f>K4055</f>
        <v>SQM</v>
      </c>
      <c r="L4058" s="1108"/>
      <c r="M4058" s="1108"/>
    </row>
    <row r="4059" spans="6:13" ht="33.950000000000003" customHeight="1">
      <c r="F4059" s="1351"/>
      <c r="G4059" s="1351"/>
      <c r="H4059" s="1182" t="s">
        <v>5641</v>
      </c>
      <c r="I4059" s="1351"/>
      <c r="J4059" s="1325"/>
      <c r="K4059" s="1309"/>
      <c r="L4059" s="1108"/>
      <c r="M4059" s="1108"/>
    </row>
    <row r="4060" spans="6:13" ht="33.950000000000003" customHeight="1">
      <c r="F4060" s="1310"/>
      <c r="G4060" s="1351"/>
      <c r="H4060" s="1182" t="s">
        <v>5642</v>
      </c>
      <c r="I4060" s="1321"/>
      <c r="J4060" s="1320">
        <f>1.775+0.375</f>
        <v>2.15</v>
      </c>
      <c r="K4060" s="1181"/>
      <c r="L4060" s="1180"/>
      <c r="M4060" s="1108"/>
    </row>
    <row r="4061" spans="6:13" ht="33.950000000000003" customHeight="1">
      <c r="F4061" s="1310"/>
      <c r="G4061" s="1351"/>
      <c r="H4061" s="1351"/>
      <c r="I4061" s="1373"/>
      <c r="J4061" s="1313">
        <f>J4060*6</f>
        <v>12.899999999999999</v>
      </c>
      <c r="K4061" s="1180" t="s">
        <v>61</v>
      </c>
      <c r="L4061" s="1180"/>
      <c r="M4061" s="1108"/>
    </row>
    <row r="4062" spans="6:13" ht="33.950000000000003" customHeight="1">
      <c r="F4062" s="1310"/>
      <c r="G4062" s="1351"/>
      <c r="H4062" s="1363" t="s">
        <v>5643</v>
      </c>
      <c r="I4062" s="1373"/>
      <c r="J4062" s="1183"/>
      <c r="K4062" s="1180"/>
      <c r="L4062" s="1180"/>
      <c r="M4062" s="1108"/>
    </row>
    <row r="4063" spans="6:13" ht="33.950000000000003" customHeight="1">
      <c r="F4063" s="1307"/>
      <c r="G4063" s="1351"/>
      <c r="H4063" s="1281" t="s">
        <v>5644</v>
      </c>
      <c r="I4063" s="1346"/>
      <c r="J4063" s="1180"/>
      <c r="K4063" s="1371"/>
      <c r="L4063" s="1180"/>
      <c r="M4063" s="1108"/>
    </row>
    <row r="4064" spans="6:13" ht="33.950000000000003" customHeight="1">
      <c r="F4064" s="1181">
        <f>J4052</f>
        <v>4.0499999999999994E-2</v>
      </c>
      <c r="G4064" s="1182" t="s">
        <v>2839</v>
      </c>
      <c r="H4064" s="1182" t="s">
        <v>5645</v>
      </c>
      <c r="I4064" s="1180">
        <f>V3114</f>
        <v>99400</v>
      </c>
      <c r="J4064" s="1183" t="s">
        <v>2839</v>
      </c>
      <c r="K4064" s="1180">
        <f>(F4064*I4064)</f>
        <v>4025.6999999999994</v>
      </c>
      <c r="L4064" s="1180"/>
      <c r="M4064" s="1108"/>
    </row>
    <row r="4065" spans="6:13" ht="33.950000000000003" customHeight="1">
      <c r="F4065" s="1181">
        <f>J4055</f>
        <v>2.8499999999999996</v>
      </c>
      <c r="G4065" s="1114" t="s">
        <v>3189</v>
      </c>
      <c r="H4065" s="1182" t="s">
        <v>4059</v>
      </c>
      <c r="I4065" s="1180">
        <f>V3116</f>
        <v>1239</v>
      </c>
      <c r="J4065" s="1114" t="s">
        <v>3189</v>
      </c>
      <c r="K4065" s="1180">
        <f>(F4065*I4065)</f>
        <v>3531.1499999999996</v>
      </c>
      <c r="L4065" s="1180"/>
      <c r="M4065" s="1108"/>
    </row>
    <row r="4066" spans="6:13" ht="33.950000000000003" customHeight="1">
      <c r="F4066" s="1181">
        <f>J4058</f>
        <v>1.9968749999999997</v>
      </c>
      <c r="G4066" s="1114" t="s">
        <v>3189</v>
      </c>
      <c r="H4066" s="1182" t="s">
        <v>5639</v>
      </c>
      <c r="I4066" s="1180">
        <f>V3115</f>
        <v>208.8</v>
      </c>
      <c r="J4066" s="1114" t="s">
        <v>3189</v>
      </c>
      <c r="K4066" s="1180">
        <f t="shared" ref="K4066:K4072" si="360">(F4066*I4066)</f>
        <v>416.94749999999999</v>
      </c>
      <c r="L4066" s="1180"/>
      <c r="M4066" s="1108"/>
    </row>
    <row r="4067" spans="6:13" ht="33.950000000000003" customHeight="1">
      <c r="F4067" s="1180">
        <f>J4061</f>
        <v>12.899999999999999</v>
      </c>
      <c r="G4067" s="1180" t="s">
        <v>61</v>
      </c>
      <c r="H4067" s="1281" t="s">
        <v>5646</v>
      </c>
      <c r="I4067" s="1180">
        <f t="shared" ref="I4067:I4072" si="361">V3117</f>
        <v>45.7</v>
      </c>
      <c r="J4067" s="1180" t="s">
        <v>61</v>
      </c>
      <c r="K4067" s="1180">
        <f t="shared" si="360"/>
        <v>589.53</v>
      </c>
      <c r="L4067" s="1180"/>
      <c r="M4067" s="1108"/>
    </row>
    <row r="4068" spans="6:13" ht="33.950000000000003" customHeight="1">
      <c r="F4068" s="1180">
        <v>9</v>
      </c>
      <c r="G4068" s="1114" t="s">
        <v>2838</v>
      </c>
      <c r="H4068" s="1103" t="s">
        <v>4085</v>
      </c>
      <c r="I4068" s="1180">
        <f t="shared" si="361"/>
        <v>83</v>
      </c>
      <c r="J4068" s="1103" t="s">
        <v>2838</v>
      </c>
      <c r="K4068" s="1180">
        <f t="shared" si="360"/>
        <v>747</v>
      </c>
      <c r="L4068" s="1180"/>
      <c r="M4068" s="1108"/>
    </row>
    <row r="4069" spans="6:13" ht="33.950000000000003" customHeight="1">
      <c r="F4069" s="1180">
        <v>6</v>
      </c>
      <c r="G4069" s="1114" t="s">
        <v>2838</v>
      </c>
      <c r="H4069" s="1103" t="s">
        <v>5238</v>
      </c>
      <c r="I4069" s="1180">
        <f t="shared" si="361"/>
        <v>76.2</v>
      </c>
      <c r="J4069" s="1103" t="s">
        <v>2838</v>
      </c>
      <c r="K4069" s="1180">
        <f t="shared" si="360"/>
        <v>457.20000000000005</v>
      </c>
      <c r="L4069" s="1180"/>
      <c r="M4069" s="1108"/>
    </row>
    <row r="4070" spans="6:13" ht="33.950000000000003" customHeight="1">
      <c r="F4070" s="1180">
        <v>3</v>
      </c>
      <c r="G4070" s="1114" t="s">
        <v>2838</v>
      </c>
      <c r="H4070" s="1103" t="s">
        <v>5241</v>
      </c>
      <c r="I4070" s="1180">
        <f t="shared" si="361"/>
        <v>53.4</v>
      </c>
      <c r="J4070" s="1103" t="s">
        <v>2838</v>
      </c>
      <c r="K4070" s="1180">
        <f t="shared" si="360"/>
        <v>160.19999999999999</v>
      </c>
      <c r="L4070" s="1180"/>
      <c r="M4070" s="1108"/>
    </row>
    <row r="4071" spans="6:13" ht="33.950000000000003" customHeight="1">
      <c r="F4071" s="1180">
        <v>3</v>
      </c>
      <c r="G4071" s="1114" t="s">
        <v>2838</v>
      </c>
      <c r="H4071" s="1103" t="s">
        <v>3212</v>
      </c>
      <c r="I4071" s="1180">
        <f t="shared" si="361"/>
        <v>7.3</v>
      </c>
      <c r="J4071" s="1103" t="s">
        <v>2838</v>
      </c>
      <c r="K4071" s="1180">
        <f t="shared" si="360"/>
        <v>21.9</v>
      </c>
      <c r="L4071" s="1180"/>
      <c r="M4071" s="1108"/>
    </row>
    <row r="4072" spans="6:13" ht="33.950000000000003" customHeight="1">
      <c r="F4072" s="1180">
        <v>120</v>
      </c>
      <c r="G4072" s="1114" t="s">
        <v>2838</v>
      </c>
      <c r="H4072" s="1103" t="s">
        <v>5647</v>
      </c>
      <c r="I4072" s="1180">
        <f t="shared" si="361"/>
        <v>2.39</v>
      </c>
      <c r="J4072" s="1103" t="s">
        <v>2838</v>
      </c>
      <c r="K4072" s="1180">
        <f t="shared" si="360"/>
        <v>286.8</v>
      </c>
      <c r="L4072" s="1180"/>
      <c r="M4072" s="1108"/>
    </row>
    <row r="4073" spans="6:13" ht="33.950000000000003" customHeight="1">
      <c r="F4073" s="1180"/>
      <c r="G4073" s="1180"/>
      <c r="H4073" s="1182"/>
      <c r="I4073" s="1346"/>
      <c r="J4073" s="1180"/>
      <c r="K4073" s="1276" t="s">
        <v>36</v>
      </c>
      <c r="L4073" s="1180"/>
      <c r="M4073" s="1108"/>
    </row>
    <row r="4074" spans="6:13" ht="33.950000000000003" customHeight="1">
      <c r="F4074" s="1351"/>
      <c r="G4074" s="1351"/>
      <c r="H4074" s="1182" t="s">
        <v>5648</v>
      </c>
      <c r="I4074" s="1346"/>
      <c r="J4074" s="1183"/>
      <c r="K4074" s="1362">
        <f>SUM(K4064:K4073)</f>
        <v>10236.4275</v>
      </c>
      <c r="L4074" s="1329"/>
      <c r="M4074" s="1108"/>
    </row>
    <row r="4075" spans="6:13" ht="33.950000000000003" customHeight="1">
      <c r="F4075" s="1351"/>
      <c r="G4075" s="1351"/>
      <c r="H4075" s="1346"/>
      <c r="I4075" s="1180"/>
      <c r="J4075" s="1371"/>
      <c r="K4075" s="1276" t="s">
        <v>36</v>
      </c>
      <c r="L4075" s="1346"/>
      <c r="M4075" s="1108"/>
    </row>
    <row r="4076" spans="6:13" ht="33.950000000000003" customHeight="1">
      <c r="F4076" s="1351"/>
      <c r="G4076" s="1351"/>
      <c r="H4076" s="1362" t="s">
        <v>5563</v>
      </c>
      <c r="I4076" s="1180"/>
      <c r="J4076" s="1371"/>
      <c r="K4076" s="1352">
        <f>K4074/F4065</f>
        <v>3591.7289473684214</v>
      </c>
      <c r="L4076" s="1180">
        <f>SUM(L4060:L4075)</f>
        <v>0</v>
      </c>
      <c r="M4076" s="1108"/>
    </row>
    <row r="4077" spans="6:13" ht="33.950000000000003" customHeight="1">
      <c r="F4077" s="1351"/>
      <c r="G4077" s="1351"/>
      <c r="H4077" s="1351"/>
      <c r="I4077" s="1180"/>
      <c r="J4077" s="1371"/>
      <c r="K4077" s="1346"/>
      <c r="L4077" s="1346"/>
      <c r="M4077" s="1108"/>
    </row>
    <row r="4078" spans="6:13" ht="24" customHeight="1">
      <c r="F4078" s="1351"/>
      <c r="G4078" s="1351"/>
      <c r="H4078" s="1281"/>
      <c r="I4078" s="1351"/>
      <c r="J4078" s="1489"/>
      <c r="K4078" s="1489"/>
      <c r="L4078" s="1489"/>
      <c r="M4078" s="1489"/>
    </row>
    <row r="4079" spans="6:13" ht="24" customHeight="1">
      <c r="F4079" s="1186"/>
      <c r="G4079" s="1186"/>
      <c r="H4079" s="1186"/>
      <c r="I4079" s="1186"/>
      <c r="J4079" s="1186"/>
      <c r="K4079" s="1186"/>
      <c r="L4079" s="1108"/>
      <c r="M4079" s="1108"/>
    </row>
  </sheetData>
  <mergeCells count="23">
    <mergeCell ref="I3046:J3046"/>
    <mergeCell ref="AD2601:AG2601"/>
    <mergeCell ref="U2:X2"/>
    <mergeCell ref="AA550:AB550"/>
    <mergeCell ref="P1474:R1474"/>
    <mergeCell ref="S1474:U1474"/>
    <mergeCell ref="N1531:R1531"/>
    <mergeCell ref="O2343:Q2343"/>
    <mergeCell ref="O2353:Q2353"/>
    <mergeCell ref="H2420:K2420"/>
    <mergeCell ref="H2422:H2423"/>
    <mergeCell ref="O2427:R2427"/>
    <mergeCell ref="O2429:O2430"/>
    <mergeCell ref="M3721:M3726"/>
    <mergeCell ref="F3985:H3985"/>
    <mergeCell ref="H4002:K4002"/>
    <mergeCell ref="J4078:M4078"/>
    <mergeCell ref="S3148:T3148"/>
    <mergeCell ref="I3492:J3492"/>
    <mergeCell ref="H3636:J3637"/>
    <mergeCell ref="S3680:V3680"/>
    <mergeCell ref="M3712:M3719"/>
    <mergeCell ref="F3711:M3711"/>
  </mergeCells>
  <hyperlinks>
    <hyperlink ref="J270" r:id="rId1" display="G:\2273"/>
    <hyperlink ref="C270" r:id="rId2" display="G:\2273"/>
  </hyperlinks>
  <printOptions horizontalCentered="1"/>
  <pageMargins left="0.4" right="0.4" top="0.5" bottom="0.3" header="0.55118110236220497" footer="0.196850393700787"/>
  <pageSetup paperSize="9" scale="50" orientation="landscape" r:id="rId3"/>
  <headerFooter alignWithMargins="0">
    <oddHeader>Page &amp;P</oddHeader>
  </headerFooter>
  <rowBreaks count="1" manualBreakCount="1">
    <brk id="1978" min="5" max="10" man="1"/>
  </rowBreaks>
  <colBreaks count="1" manualBreakCount="1">
    <brk id="4" max="1048575" man="1"/>
  </colBreaks>
  <drawing r:id="rId4"/>
</worksheet>
</file>

<file path=xl/worksheets/sheet9.xml><?xml version="1.0" encoding="utf-8"?>
<worksheet xmlns="http://schemas.openxmlformats.org/spreadsheetml/2006/main" xmlns:r="http://schemas.openxmlformats.org/officeDocument/2006/relationships">
  <sheetPr>
    <tabColor rgb="FF00B050"/>
  </sheetPr>
  <dimension ref="A1:N1036"/>
  <sheetViews>
    <sheetView showZeros="0" view="pageBreakPreview" zoomScale="50" zoomScaleNormal="40" zoomScaleSheetLayoutView="50" workbookViewId="0">
      <pane xSplit="5" ySplit="5" topLeftCell="F6" activePane="bottomRight" state="frozen"/>
      <selection pane="topRight" activeCell="E1" sqref="E1"/>
      <selection pane="bottomLeft" activeCell="A5" sqref="A5"/>
      <selection pane="bottomRight" activeCell="B36" sqref="B36"/>
    </sheetView>
  </sheetViews>
  <sheetFormatPr defaultRowHeight="25.5"/>
  <cols>
    <col min="1" max="1" width="10" style="794" customWidth="1"/>
    <col min="2" max="2" width="12.88671875" style="794" customWidth="1"/>
    <col min="3" max="3" width="64.44140625" style="795" customWidth="1"/>
    <col min="4" max="4" width="18.77734375" style="794" customWidth="1"/>
    <col min="5" max="5" width="11" style="795" customWidth="1"/>
    <col min="6" max="6" width="14.109375" style="795" customWidth="1"/>
    <col min="7" max="8" width="17.44140625" style="794" hidden="1" customWidth="1"/>
    <col min="9" max="9" width="13.44140625" style="670" bestFit="1" customWidth="1"/>
    <col min="10" max="10" width="8.88671875" style="670"/>
    <col min="11" max="11" width="11.77734375" style="670" bestFit="1" customWidth="1"/>
    <col min="12" max="13" width="8.88671875" style="670"/>
    <col min="14" max="14" width="11.6640625" style="670" bestFit="1" customWidth="1"/>
    <col min="15" max="212" width="8.88671875" style="670"/>
    <col min="213" max="213" width="10" style="670" customWidth="1"/>
    <col min="214" max="214" width="64.44140625" style="670" customWidth="1"/>
    <col min="215" max="215" width="18.77734375" style="670" customWidth="1"/>
    <col min="216" max="216" width="11" style="670" customWidth="1"/>
    <col min="217" max="217" width="14.6640625" style="670" customWidth="1"/>
    <col min="218" max="218" width="18.6640625" style="670" customWidth="1"/>
    <col min="219" max="219" width="14.44140625" style="670" customWidth="1"/>
    <col min="220" max="220" width="18.21875" style="670" customWidth="1"/>
    <col min="221" max="221" width="15.6640625" style="670" customWidth="1"/>
    <col min="222" max="222" width="17.44140625" style="670" customWidth="1"/>
    <col min="223" max="223" width="15.6640625" style="670" customWidth="1"/>
    <col min="224" max="224" width="17.44140625" style="670" customWidth="1"/>
    <col min="225" max="225" width="17" style="670" customWidth="1"/>
    <col min="226" max="228" width="17.44140625" style="670" customWidth="1"/>
    <col min="229" max="229" width="14.77734375" style="670" customWidth="1"/>
    <col min="230" max="255" width="17.44140625" style="670" customWidth="1"/>
    <col min="256" max="256" width="17.109375" style="670" customWidth="1"/>
    <col min="257" max="257" width="16.44140625" style="670" customWidth="1"/>
    <col min="258" max="258" width="18.6640625" style="670" customWidth="1"/>
    <col min="259" max="259" width="20.21875" style="670" bestFit="1" customWidth="1"/>
    <col min="260" max="260" width="25.6640625" style="670" customWidth="1"/>
    <col min="261" max="261" width="19.44140625" style="670" bestFit="1" customWidth="1"/>
    <col min="262" max="262" width="21.109375" style="670" bestFit="1" customWidth="1"/>
    <col min="263" max="263" width="15.88671875" style="670" bestFit="1" customWidth="1"/>
    <col min="264" max="264" width="8.88671875" style="670"/>
    <col min="265" max="265" width="13.44140625" style="670" bestFit="1" customWidth="1"/>
    <col min="266" max="266" width="8.88671875" style="670"/>
    <col min="267" max="267" width="11.77734375" style="670" bestFit="1" customWidth="1"/>
    <col min="268" max="269" width="8.88671875" style="670"/>
    <col min="270" max="270" width="11.6640625" style="670" bestFit="1" customWidth="1"/>
    <col min="271" max="468" width="8.88671875" style="670"/>
    <col min="469" max="469" width="10" style="670" customWidth="1"/>
    <col min="470" max="470" width="64.44140625" style="670" customWidth="1"/>
    <col min="471" max="471" width="18.77734375" style="670" customWidth="1"/>
    <col min="472" max="472" width="11" style="670" customWidth="1"/>
    <col min="473" max="473" width="14.6640625" style="670" customWidth="1"/>
    <col min="474" max="474" width="18.6640625" style="670" customWidth="1"/>
    <col min="475" max="475" width="14.44140625" style="670" customWidth="1"/>
    <col min="476" max="476" width="18.21875" style="670" customWidth="1"/>
    <col min="477" max="477" width="15.6640625" style="670" customWidth="1"/>
    <col min="478" max="478" width="17.44140625" style="670" customWidth="1"/>
    <col min="479" max="479" width="15.6640625" style="670" customWidth="1"/>
    <col min="480" max="480" width="17.44140625" style="670" customWidth="1"/>
    <col min="481" max="481" width="17" style="670" customWidth="1"/>
    <col min="482" max="484" width="17.44140625" style="670" customWidth="1"/>
    <col min="485" max="485" width="14.77734375" style="670" customWidth="1"/>
    <col min="486" max="511" width="17.44140625" style="670" customWidth="1"/>
    <col min="512" max="512" width="17.109375" style="670" customWidth="1"/>
    <col min="513" max="513" width="16.44140625" style="670" customWidth="1"/>
    <col min="514" max="514" width="18.6640625" style="670" customWidth="1"/>
    <col min="515" max="515" width="20.21875" style="670" bestFit="1" customWidth="1"/>
    <col min="516" max="516" width="25.6640625" style="670" customWidth="1"/>
    <col min="517" max="517" width="19.44140625" style="670" bestFit="1" customWidth="1"/>
    <col min="518" max="518" width="21.109375" style="670" bestFit="1" customWidth="1"/>
    <col min="519" max="519" width="15.88671875" style="670" bestFit="1" customWidth="1"/>
    <col min="520" max="520" width="8.88671875" style="670"/>
    <col min="521" max="521" width="13.44140625" style="670" bestFit="1" customWidth="1"/>
    <col min="522" max="522" width="8.88671875" style="670"/>
    <col min="523" max="523" width="11.77734375" style="670" bestFit="1" customWidth="1"/>
    <col min="524" max="525" width="8.88671875" style="670"/>
    <col min="526" max="526" width="11.6640625" style="670" bestFit="1" customWidth="1"/>
    <col min="527" max="724" width="8.88671875" style="670"/>
    <col min="725" max="725" width="10" style="670" customWidth="1"/>
    <col min="726" max="726" width="64.44140625" style="670" customWidth="1"/>
    <col min="727" max="727" width="18.77734375" style="670" customWidth="1"/>
    <col min="728" max="728" width="11" style="670" customWidth="1"/>
    <col min="729" max="729" width="14.6640625" style="670" customWidth="1"/>
    <col min="730" max="730" width="18.6640625" style="670" customWidth="1"/>
    <col min="731" max="731" width="14.44140625" style="670" customWidth="1"/>
    <col min="732" max="732" width="18.21875" style="670" customWidth="1"/>
    <col min="733" max="733" width="15.6640625" style="670" customWidth="1"/>
    <col min="734" max="734" width="17.44140625" style="670" customWidth="1"/>
    <col min="735" max="735" width="15.6640625" style="670" customWidth="1"/>
    <col min="736" max="736" width="17.44140625" style="670" customWidth="1"/>
    <col min="737" max="737" width="17" style="670" customWidth="1"/>
    <col min="738" max="740" width="17.44140625" style="670" customWidth="1"/>
    <col min="741" max="741" width="14.77734375" style="670" customWidth="1"/>
    <col min="742" max="767" width="17.44140625" style="670" customWidth="1"/>
    <col min="768" max="768" width="17.109375" style="670" customWidth="1"/>
    <col min="769" max="769" width="16.44140625" style="670" customWidth="1"/>
    <col min="770" max="770" width="18.6640625" style="670" customWidth="1"/>
    <col min="771" max="771" width="20.21875" style="670" bestFit="1" customWidth="1"/>
    <col min="772" max="772" width="25.6640625" style="670" customWidth="1"/>
    <col min="773" max="773" width="19.44140625" style="670" bestFit="1" customWidth="1"/>
    <col min="774" max="774" width="21.109375" style="670" bestFit="1" customWidth="1"/>
    <col min="775" max="775" width="15.88671875" style="670" bestFit="1" customWidth="1"/>
    <col min="776" max="776" width="8.88671875" style="670"/>
    <col min="777" max="777" width="13.44140625" style="670" bestFit="1" customWidth="1"/>
    <col min="778" max="778" width="8.88671875" style="670"/>
    <col min="779" max="779" width="11.77734375" style="670" bestFit="1" customWidth="1"/>
    <col min="780" max="781" width="8.88671875" style="670"/>
    <col min="782" max="782" width="11.6640625" style="670" bestFit="1" customWidth="1"/>
    <col min="783" max="980" width="8.88671875" style="670"/>
    <col min="981" max="981" width="10" style="670" customWidth="1"/>
    <col min="982" max="982" width="64.44140625" style="670" customWidth="1"/>
    <col min="983" max="983" width="18.77734375" style="670" customWidth="1"/>
    <col min="984" max="984" width="11" style="670" customWidth="1"/>
    <col min="985" max="985" width="14.6640625" style="670" customWidth="1"/>
    <col min="986" max="986" width="18.6640625" style="670" customWidth="1"/>
    <col min="987" max="987" width="14.44140625" style="670" customWidth="1"/>
    <col min="988" max="988" width="18.21875" style="670" customWidth="1"/>
    <col min="989" max="989" width="15.6640625" style="670" customWidth="1"/>
    <col min="990" max="990" width="17.44140625" style="670" customWidth="1"/>
    <col min="991" max="991" width="15.6640625" style="670" customWidth="1"/>
    <col min="992" max="992" width="17.44140625" style="670" customWidth="1"/>
    <col min="993" max="993" width="17" style="670" customWidth="1"/>
    <col min="994" max="996" width="17.44140625" style="670" customWidth="1"/>
    <col min="997" max="997" width="14.77734375" style="670" customWidth="1"/>
    <col min="998" max="1023" width="17.44140625" style="670" customWidth="1"/>
    <col min="1024" max="1024" width="17.109375" style="670" customWidth="1"/>
    <col min="1025" max="1025" width="16.44140625" style="670" customWidth="1"/>
    <col min="1026" max="1026" width="18.6640625" style="670" customWidth="1"/>
    <col min="1027" max="1027" width="20.21875" style="670" bestFit="1" customWidth="1"/>
    <col min="1028" max="1028" width="25.6640625" style="670" customWidth="1"/>
    <col min="1029" max="1029" width="19.44140625" style="670" bestFit="1" customWidth="1"/>
    <col min="1030" max="1030" width="21.109375" style="670" bestFit="1" customWidth="1"/>
    <col min="1031" max="1031" width="15.88671875" style="670" bestFit="1" customWidth="1"/>
    <col min="1032" max="1032" width="8.88671875" style="670"/>
    <col min="1033" max="1033" width="13.44140625" style="670" bestFit="1" customWidth="1"/>
    <col min="1034" max="1034" width="8.88671875" style="670"/>
    <col min="1035" max="1035" width="11.77734375" style="670" bestFit="1" customWidth="1"/>
    <col min="1036" max="1037" width="8.88671875" style="670"/>
    <col min="1038" max="1038" width="11.6640625" style="670" bestFit="1" customWidth="1"/>
    <col min="1039" max="1236" width="8.88671875" style="670"/>
    <col min="1237" max="1237" width="10" style="670" customWidth="1"/>
    <col min="1238" max="1238" width="64.44140625" style="670" customWidth="1"/>
    <col min="1239" max="1239" width="18.77734375" style="670" customWidth="1"/>
    <col min="1240" max="1240" width="11" style="670" customWidth="1"/>
    <col min="1241" max="1241" width="14.6640625" style="670" customWidth="1"/>
    <col min="1242" max="1242" width="18.6640625" style="670" customWidth="1"/>
    <col min="1243" max="1243" width="14.44140625" style="670" customWidth="1"/>
    <col min="1244" max="1244" width="18.21875" style="670" customWidth="1"/>
    <col min="1245" max="1245" width="15.6640625" style="670" customWidth="1"/>
    <col min="1246" max="1246" width="17.44140625" style="670" customWidth="1"/>
    <col min="1247" max="1247" width="15.6640625" style="670" customWidth="1"/>
    <col min="1248" max="1248" width="17.44140625" style="670" customWidth="1"/>
    <col min="1249" max="1249" width="17" style="670" customWidth="1"/>
    <col min="1250" max="1252" width="17.44140625" style="670" customWidth="1"/>
    <col min="1253" max="1253" width="14.77734375" style="670" customWidth="1"/>
    <col min="1254" max="1279" width="17.44140625" style="670" customWidth="1"/>
    <col min="1280" max="1280" width="17.109375" style="670" customWidth="1"/>
    <col min="1281" max="1281" width="16.44140625" style="670" customWidth="1"/>
    <col min="1282" max="1282" width="18.6640625" style="670" customWidth="1"/>
    <col min="1283" max="1283" width="20.21875" style="670" bestFit="1" customWidth="1"/>
    <col min="1284" max="1284" width="25.6640625" style="670" customWidth="1"/>
    <col min="1285" max="1285" width="19.44140625" style="670" bestFit="1" customWidth="1"/>
    <col min="1286" max="1286" width="21.109375" style="670" bestFit="1" customWidth="1"/>
    <col min="1287" max="1287" width="15.88671875" style="670" bestFit="1" customWidth="1"/>
    <col min="1288" max="1288" width="8.88671875" style="670"/>
    <col min="1289" max="1289" width="13.44140625" style="670" bestFit="1" customWidth="1"/>
    <col min="1290" max="1290" width="8.88671875" style="670"/>
    <col min="1291" max="1291" width="11.77734375" style="670" bestFit="1" customWidth="1"/>
    <col min="1292" max="1293" width="8.88671875" style="670"/>
    <col min="1294" max="1294" width="11.6640625" style="670" bestFit="1" customWidth="1"/>
    <col min="1295" max="1492" width="8.88671875" style="670"/>
    <col min="1493" max="1493" width="10" style="670" customWidth="1"/>
    <col min="1494" max="1494" width="64.44140625" style="670" customWidth="1"/>
    <col min="1495" max="1495" width="18.77734375" style="670" customWidth="1"/>
    <col min="1496" max="1496" width="11" style="670" customWidth="1"/>
    <col min="1497" max="1497" width="14.6640625" style="670" customWidth="1"/>
    <col min="1498" max="1498" width="18.6640625" style="670" customWidth="1"/>
    <col min="1499" max="1499" width="14.44140625" style="670" customWidth="1"/>
    <col min="1500" max="1500" width="18.21875" style="670" customWidth="1"/>
    <col min="1501" max="1501" width="15.6640625" style="670" customWidth="1"/>
    <col min="1502" max="1502" width="17.44140625" style="670" customWidth="1"/>
    <col min="1503" max="1503" width="15.6640625" style="670" customWidth="1"/>
    <col min="1504" max="1504" width="17.44140625" style="670" customWidth="1"/>
    <col min="1505" max="1505" width="17" style="670" customWidth="1"/>
    <col min="1506" max="1508" width="17.44140625" style="670" customWidth="1"/>
    <col min="1509" max="1509" width="14.77734375" style="670" customWidth="1"/>
    <col min="1510" max="1535" width="17.44140625" style="670" customWidth="1"/>
    <col min="1536" max="1536" width="17.109375" style="670" customWidth="1"/>
    <col min="1537" max="1537" width="16.44140625" style="670" customWidth="1"/>
    <col min="1538" max="1538" width="18.6640625" style="670" customWidth="1"/>
    <col min="1539" max="1539" width="20.21875" style="670" bestFit="1" customWidth="1"/>
    <col min="1540" max="1540" width="25.6640625" style="670" customWidth="1"/>
    <col min="1541" max="1541" width="19.44140625" style="670" bestFit="1" customWidth="1"/>
    <col min="1542" max="1542" width="21.109375" style="670" bestFit="1" customWidth="1"/>
    <col min="1543" max="1543" width="15.88671875" style="670" bestFit="1" customWidth="1"/>
    <col min="1544" max="1544" width="8.88671875" style="670"/>
    <col min="1545" max="1545" width="13.44140625" style="670" bestFit="1" customWidth="1"/>
    <col min="1546" max="1546" width="8.88671875" style="670"/>
    <col min="1547" max="1547" width="11.77734375" style="670" bestFit="1" customWidth="1"/>
    <col min="1548" max="1549" width="8.88671875" style="670"/>
    <col min="1550" max="1550" width="11.6640625" style="670" bestFit="1" customWidth="1"/>
    <col min="1551" max="1748" width="8.88671875" style="670"/>
    <col min="1749" max="1749" width="10" style="670" customWidth="1"/>
    <col min="1750" max="1750" width="64.44140625" style="670" customWidth="1"/>
    <col min="1751" max="1751" width="18.77734375" style="670" customWidth="1"/>
    <col min="1752" max="1752" width="11" style="670" customWidth="1"/>
    <col min="1753" max="1753" width="14.6640625" style="670" customWidth="1"/>
    <col min="1754" max="1754" width="18.6640625" style="670" customWidth="1"/>
    <col min="1755" max="1755" width="14.44140625" style="670" customWidth="1"/>
    <col min="1756" max="1756" width="18.21875" style="670" customWidth="1"/>
    <col min="1757" max="1757" width="15.6640625" style="670" customWidth="1"/>
    <col min="1758" max="1758" width="17.44140625" style="670" customWidth="1"/>
    <col min="1759" max="1759" width="15.6640625" style="670" customWidth="1"/>
    <col min="1760" max="1760" width="17.44140625" style="670" customWidth="1"/>
    <col min="1761" max="1761" width="17" style="670" customWidth="1"/>
    <col min="1762" max="1764" width="17.44140625" style="670" customWidth="1"/>
    <col min="1765" max="1765" width="14.77734375" style="670" customWidth="1"/>
    <col min="1766" max="1791" width="17.44140625" style="670" customWidth="1"/>
    <col min="1792" max="1792" width="17.109375" style="670" customWidth="1"/>
    <col min="1793" max="1793" width="16.44140625" style="670" customWidth="1"/>
    <col min="1794" max="1794" width="18.6640625" style="670" customWidth="1"/>
    <col min="1795" max="1795" width="20.21875" style="670" bestFit="1" customWidth="1"/>
    <col min="1796" max="1796" width="25.6640625" style="670" customWidth="1"/>
    <col min="1797" max="1797" width="19.44140625" style="670" bestFit="1" customWidth="1"/>
    <col min="1798" max="1798" width="21.109375" style="670" bestFit="1" customWidth="1"/>
    <col min="1799" max="1799" width="15.88671875" style="670" bestFit="1" customWidth="1"/>
    <col min="1800" max="1800" width="8.88671875" style="670"/>
    <col min="1801" max="1801" width="13.44140625" style="670" bestFit="1" customWidth="1"/>
    <col min="1802" max="1802" width="8.88671875" style="670"/>
    <col min="1803" max="1803" width="11.77734375" style="670" bestFit="1" customWidth="1"/>
    <col min="1804" max="1805" width="8.88671875" style="670"/>
    <col min="1806" max="1806" width="11.6640625" style="670" bestFit="1" customWidth="1"/>
    <col min="1807" max="2004" width="8.88671875" style="670"/>
    <col min="2005" max="2005" width="10" style="670" customWidth="1"/>
    <col min="2006" max="2006" width="64.44140625" style="670" customWidth="1"/>
    <col min="2007" max="2007" width="18.77734375" style="670" customWidth="1"/>
    <col min="2008" max="2008" width="11" style="670" customWidth="1"/>
    <col min="2009" max="2009" width="14.6640625" style="670" customWidth="1"/>
    <col min="2010" max="2010" width="18.6640625" style="670" customWidth="1"/>
    <col min="2011" max="2011" width="14.44140625" style="670" customWidth="1"/>
    <col min="2012" max="2012" width="18.21875" style="670" customWidth="1"/>
    <col min="2013" max="2013" width="15.6640625" style="670" customWidth="1"/>
    <col min="2014" max="2014" width="17.44140625" style="670" customWidth="1"/>
    <col min="2015" max="2015" width="15.6640625" style="670" customWidth="1"/>
    <col min="2016" max="2016" width="17.44140625" style="670" customWidth="1"/>
    <col min="2017" max="2017" width="17" style="670" customWidth="1"/>
    <col min="2018" max="2020" width="17.44140625" style="670" customWidth="1"/>
    <col min="2021" max="2021" width="14.77734375" style="670" customWidth="1"/>
    <col min="2022" max="2047" width="17.44140625" style="670" customWidth="1"/>
    <col min="2048" max="2048" width="17.109375" style="670" customWidth="1"/>
    <col min="2049" max="2049" width="16.44140625" style="670" customWidth="1"/>
    <col min="2050" max="2050" width="18.6640625" style="670" customWidth="1"/>
    <col min="2051" max="2051" width="20.21875" style="670" bestFit="1" customWidth="1"/>
    <col min="2052" max="2052" width="25.6640625" style="670" customWidth="1"/>
    <col min="2053" max="2053" width="19.44140625" style="670" bestFit="1" customWidth="1"/>
    <col min="2054" max="2054" width="21.109375" style="670" bestFit="1" customWidth="1"/>
    <col min="2055" max="2055" width="15.88671875" style="670" bestFit="1" customWidth="1"/>
    <col min="2056" max="2056" width="8.88671875" style="670"/>
    <col min="2057" max="2057" width="13.44140625" style="670" bestFit="1" customWidth="1"/>
    <col min="2058" max="2058" width="8.88671875" style="670"/>
    <col min="2059" max="2059" width="11.77734375" style="670" bestFit="1" customWidth="1"/>
    <col min="2060" max="2061" width="8.88671875" style="670"/>
    <col min="2062" max="2062" width="11.6640625" style="670" bestFit="1" customWidth="1"/>
    <col min="2063" max="2260" width="8.88671875" style="670"/>
    <col min="2261" max="2261" width="10" style="670" customWidth="1"/>
    <col min="2262" max="2262" width="64.44140625" style="670" customWidth="1"/>
    <col min="2263" max="2263" width="18.77734375" style="670" customWidth="1"/>
    <col min="2264" max="2264" width="11" style="670" customWidth="1"/>
    <col min="2265" max="2265" width="14.6640625" style="670" customWidth="1"/>
    <col min="2266" max="2266" width="18.6640625" style="670" customWidth="1"/>
    <col min="2267" max="2267" width="14.44140625" style="670" customWidth="1"/>
    <col min="2268" max="2268" width="18.21875" style="670" customWidth="1"/>
    <col min="2269" max="2269" width="15.6640625" style="670" customWidth="1"/>
    <col min="2270" max="2270" width="17.44140625" style="670" customWidth="1"/>
    <col min="2271" max="2271" width="15.6640625" style="670" customWidth="1"/>
    <col min="2272" max="2272" width="17.44140625" style="670" customWidth="1"/>
    <col min="2273" max="2273" width="17" style="670" customWidth="1"/>
    <col min="2274" max="2276" width="17.44140625" style="670" customWidth="1"/>
    <col min="2277" max="2277" width="14.77734375" style="670" customWidth="1"/>
    <col min="2278" max="2303" width="17.44140625" style="670" customWidth="1"/>
    <col min="2304" max="2304" width="17.109375" style="670" customWidth="1"/>
    <col min="2305" max="2305" width="16.44140625" style="670" customWidth="1"/>
    <col min="2306" max="2306" width="18.6640625" style="670" customWidth="1"/>
    <col min="2307" max="2307" width="20.21875" style="670" bestFit="1" customWidth="1"/>
    <col min="2308" max="2308" width="25.6640625" style="670" customWidth="1"/>
    <col min="2309" max="2309" width="19.44140625" style="670" bestFit="1" customWidth="1"/>
    <col min="2310" max="2310" width="21.109375" style="670" bestFit="1" customWidth="1"/>
    <col min="2311" max="2311" width="15.88671875" style="670" bestFit="1" customWidth="1"/>
    <col min="2312" max="2312" width="8.88671875" style="670"/>
    <col min="2313" max="2313" width="13.44140625" style="670" bestFit="1" customWidth="1"/>
    <col min="2314" max="2314" width="8.88671875" style="670"/>
    <col min="2315" max="2315" width="11.77734375" style="670" bestFit="1" customWidth="1"/>
    <col min="2316" max="2317" width="8.88671875" style="670"/>
    <col min="2318" max="2318" width="11.6640625" style="670" bestFit="1" customWidth="1"/>
    <col min="2319" max="2516" width="8.88671875" style="670"/>
    <col min="2517" max="2517" width="10" style="670" customWidth="1"/>
    <col min="2518" max="2518" width="64.44140625" style="670" customWidth="1"/>
    <col min="2519" max="2519" width="18.77734375" style="670" customWidth="1"/>
    <col min="2520" max="2520" width="11" style="670" customWidth="1"/>
    <col min="2521" max="2521" width="14.6640625" style="670" customWidth="1"/>
    <col min="2522" max="2522" width="18.6640625" style="670" customWidth="1"/>
    <col min="2523" max="2523" width="14.44140625" style="670" customWidth="1"/>
    <col min="2524" max="2524" width="18.21875" style="670" customWidth="1"/>
    <col min="2525" max="2525" width="15.6640625" style="670" customWidth="1"/>
    <col min="2526" max="2526" width="17.44140625" style="670" customWidth="1"/>
    <col min="2527" max="2527" width="15.6640625" style="670" customWidth="1"/>
    <col min="2528" max="2528" width="17.44140625" style="670" customWidth="1"/>
    <col min="2529" max="2529" width="17" style="670" customWidth="1"/>
    <col min="2530" max="2532" width="17.44140625" style="670" customWidth="1"/>
    <col min="2533" max="2533" width="14.77734375" style="670" customWidth="1"/>
    <col min="2534" max="2559" width="17.44140625" style="670" customWidth="1"/>
    <col min="2560" max="2560" width="17.109375" style="670" customWidth="1"/>
    <col min="2561" max="2561" width="16.44140625" style="670" customWidth="1"/>
    <col min="2562" max="2562" width="18.6640625" style="670" customWidth="1"/>
    <col min="2563" max="2563" width="20.21875" style="670" bestFit="1" customWidth="1"/>
    <col min="2564" max="2564" width="25.6640625" style="670" customWidth="1"/>
    <col min="2565" max="2565" width="19.44140625" style="670" bestFit="1" customWidth="1"/>
    <col min="2566" max="2566" width="21.109375" style="670" bestFit="1" customWidth="1"/>
    <col min="2567" max="2567" width="15.88671875" style="670" bestFit="1" customWidth="1"/>
    <col min="2568" max="2568" width="8.88671875" style="670"/>
    <col min="2569" max="2569" width="13.44140625" style="670" bestFit="1" customWidth="1"/>
    <col min="2570" max="2570" width="8.88671875" style="670"/>
    <col min="2571" max="2571" width="11.77734375" style="670" bestFit="1" customWidth="1"/>
    <col min="2572" max="2573" width="8.88671875" style="670"/>
    <col min="2574" max="2574" width="11.6640625" style="670" bestFit="1" customWidth="1"/>
    <col min="2575" max="2772" width="8.88671875" style="670"/>
    <col min="2773" max="2773" width="10" style="670" customWidth="1"/>
    <col min="2774" max="2774" width="64.44140625" style="670" customWidth="1"/>
    <col min="2775" max="2775" width="18.77734375" style="670" customWidth="1"/>
    <col min="2776" max="2776" width="11" style="670" customWidth="1"/>
    <col min="2777" max="2777" width="14.6640625" style="670" customWidth="1"/>
    <col min="2778" max="2778" width="18.6640625" style="670" customWidth="1"/>
    <col min="2779" max="2779" width="14.44140625" style="670" customWidth="1"/>
    <col min="2780" max="2780" width="18.21875" style="670" customWidth="1"/>
    <col min="2781" max="2781" width="15.6640625" style="670" customWidth="1"/>
    <col min="2782" max="2782" width="17.44140625" style="670" customWidth="1"/>
    <col min="2783" max="2783" width="15.6640625" style="670" customWidth="1"/>
    <col min="2784" max="2784" width="17.44140625" style="670" customWidth="1"/>
    <col min="2785" max="2785" width="17" style="670" customWidth="1"/>
    <col min="2786" max="2788" width="17.44140625" style="670" customWidth="1"/>
    <col min="2789" max="2789" width="14.77734375" style="670" customWidth="1"/>
    <col min="2790" max="2815" width="17.44140625" style="670" customWidth="1"/>
    <col min="2816" max="2816" width="17.109375" style="670" customWidth="1"/>
    <col min="2817" max="2817" width="16.44140625" style="670" customWidth="1"/>
    <col min="2818" max="2818" width="18.6640625" style="670" customWidth="1"/>
    <col min="2819" max="2819" width="20.21875" style="670" bestFit="1" customWidth="1"/>
    <col min="2820" max="2820" width="25.6640625" style="670" customWidth="1"/>
    <col min="2821" max="2821" width="19.44140625" style="670" bestFit="1" customWidth="1"/>
    <col min="2822" max="2822" width="21.109375" style="670" bestFit="1" customWidth="1"/>
    <col min="2823" max="2823" width="15.88671875" style="670" bestFit="1" customWidth="1"/>
    <col min="2824" max="2824" width="8.88671875" style="670"/>
    <col min="2825" max="2825" width="13.44140625" style="670" bestFit="1" customWidth="1"/>
    <col min="2826" max="2826" width="8.88671875" style="670"/>
    <col min="2827" max="2827" width="11.77734375" style="670" bestFit="1" customWidth="1"/>
    <col min="2828" max="2829" width="8.88671875" style="670"/>
    <col min="2830" max="2830" width="11.6640625" style="670" bestFit="1" customWidth="1"/>
    <col min="2831" max="3028" width="8.88671875" style="670"/>
    <col min="3029" max="3029" width="10" style="670" customWidth="1"/>
    <col min="3030" max="3030" width="64.44140625" style="670" customWidth="1"/>
    <col min="3031" max="3031" width="18.77734375" style="670" customWidth="1"/>
    <col min="3032" max="3032" width="11" style="670" customWidth="1"/>
    <col min="3033" max="3033" width="14.6640625" style="670" customWidth="1"/>
    <col min="3034" max="3034" width="18.6640625" style="670" customWidth="1"/>
    <col min="3035" max="3035" width="14.44140625" style="670" customWidth="1"/>
    <col min="3036" max="3036" width="18.21875" style="670" customWidth="1"/>
    <col min="3037" max="3037" width="15.6640625" style="670" customWidth="1"/>
    <col min="3038" max="3038" width="17.44140625" style="670" customWidth="1"/>
    <col min="3039" max="3039" width="15.6640625" style="670" customWidth="1"/>
    <col min="3040" max="3040" width="17.44140625" style="670" customWidth="1"/>
    <col min="3041" max="3041" width="17" style="670" customWidth="1"/>
    <col min="3042" max="3044" width="17.44140625" style="670" customWidth="1"/>
    <col min="3045" max="3045" width="14.77734375" style="670" customWidth="1"/>
    <col min="3046" max="3071" width="17.44140625" style="670" customWidth="1"/>
    <col min="3072" max="3072" width="17.109375" style="670" customWidth="1"/>
    <col min="3073" max="3073" width="16.44140625" style="670" customWidth="1"/>
    <col min="3074" max="3074" width="18.6640625" style="670" customWidth="1"/>
    <col min="3075" max="3075" width="20.21875" style="670" bestFit="1" customWidth="1"/>
    <col min="3076" max="3076" width="25.6640625" style="670" customWidth="1"/>
    <col min="3077" max="3077" width="19.44140625" style="670" bestFit="1" customWidth="1"/>
    <col min="3078" max="3078" width="21.109375" style="670" bestFit="1" customWidth="1"/>
    <col min="3079" max="3079" width="15.88671875" style="670" bestFit="1" customWidth="1"/>
    <col min="3080" max="3080" width="8.88671875" style="670"/>
    <col min="3081" max="3081" width="13.44140625" style="670" bestFit="1" customWidth="1"/>
    <col min="3082" max="3082" width="8.88671875" style="670"/>
    <col min="3083" max="3083" width="11.77734375" style="670" bestFit="1" customWidth="1"/>
    <col min="3084" max="3085" width="8.88671875" style="670"/>
    <col min="3086" max="3086" width="11.6640625" style="670" bestFit="1" customWidth="1"/>
    <col min="3087" max="3284" width="8.88671875" style="670"/>
    <col min="3285" max="3285" width="10" style="670" customWidth="1"/>
    <col min="3286" max="3286" width="64.44140625" style="670" customWidth="1"/>
    <col min="3287" max="3287" width="18.77734375" style="670" customWidth="1"/>
    <col min="3288" max="3288" width="11" style="670" customWidth="1"/>
    <col min="3289" max="3289" width="14.6640625" style="670" customWidth="1"/>
    <col min="3290" max="3290" width="18.6640625" style="670" customWidth="1"/>
    <col min="3291" max="3291" width="14.44140625" style="670" customWidth="1"/>
    <col min="3292" max="3292" width="18.21875" style="670" customWidth="1"/>
    <col min="3293" max="3293" width="15.6640625" style="670" customWidth="1"/>
    <col min="3294" max="3294" width="17.44140625" style="670" customWidth="1"/>
    <col min="3295" max="3295" width="15.6640625" style="670" customWidth="1"/>
    <col min="3296" max="3296" width="17.44140625" style="670" customWidth="1"/>
    <col min="3297" max="3297" width="17" style="670" customWidth="1"/>
    <col min="3298" max="3300" width="17.44140625" style="670" customWidth="1"/>
    <col min="3301" max="3301" width="14.77734375" style="670" customWidth="1"/>
    <col min="3302" max="3327" width="17.44140625" style="670" customWidth="1"/>
    <col min="3328" max="3328" width="17.109375" style="670" customWidth="1"/>
    <col min="3329" max="3329" width="16.44140625" style="670" customWidth="1"/>
    <col min="3330" max="3330" width="18.6640625" style="670" customWidth="1"/>
    <col min="3331" max="3331" width="20.21875" style="670" bestFit="1" customWidth="1"/>
    <col min="3332" max="3332" width="25.6640625" style="670" customWidth="1"/>
    <col min="3333" max="3333" width="19.44140625" style="670" bestFit="1" customWidth="1"/>
    <col min="3334" max="3334" width="21.109375" style="670" bestFit="1" customWidth="1"/>
    <col min="3335" max="3335" width="15.88671875" style="670" bestFit="1" customWidth="1"/>
    <col min="3336" max="3336" width="8.88671875" style="670"/>
    <col min="3337" max="3337" width="13.44140625" style="670" bestFit="1" customWidth="1"/>
    <col min="3338" max="3338" width="8.88671875" style="670"/>
    <col min="3339" max="3339" width="11.77734375" style="670" bestFit="1" customWidth="1"/>
    <col min="3340" max="3341" width="8.88671875" style="670"/>
    <col min="3342" max="3342" width="11.6640625" style="670" bestFit="1" customWidth="1"/>
    <col min="3343" max="3540" width="8.88671875" style="670"/>
    <col min="3541" max="3541" width="10" style="670" customWidth="1"/>
    <col min="3542" max="3542" width="64.44140625" style="670" customWidth="1"/>
    <col min="3543" max="3543" width="18.77734375" style="670" customWidth="1"/>
    <col min="3544" max="3544" width="11" style="670" customWidth="1"/>
    <col min="3545" max="3545" width="14.6640625" style="670" customWidth="1"/>
    <col min="3546" max="3546" width="18.6640625" style="670" customWidth="1"/>
    <col min="3547" max="3547" width="14.44140625" style="670" customWidth="1"/>
    <col min="3548" max="3548" width="18.21875" style="670" customWidth="1"/>
    <col min="3549" max="3549" width="15.6640625" style="670" customWidth="1"/>
    <col min="3550" max="3550" width="17.44140625" style="670" customWidth="1"/>
    <col min="3551" max="3551" width="15.6640625" style="670" customWidth="1"/>
    <col min="3552" max="3552" width="17.44140625" style="670" customWidth="1"/>
    <col min="3553" max="3553" width="17" style="670" customWidth="1"/>
    <col min="3554" max="3556" width="17.44140625" style="670" customWidth="1"/>
    <col min="3557" max="3557" width="14.77734375" style="670" customWidth="1"/>
    <col min="3558" max="3583" width="17.44140625" style="670" customWidth="1"/>
    <col min="3584" max="3584" width="17.109375" style="670" customWidth="1"/>
    <col min="3585" max="3585" width="16.44140625" style="670" customWidth="1"/>
    <col min="3586" max="3586" width="18.6640625" style="670" customWidth="1"/>
    <col min="3587" max="3587" width="20.21875" style="670" bestFit="1" customWidth="1"/>
    <col min="3588" max="3588" width="25.6640625" style="670" customWidth="1"/>
    <col min="3589" max="3589" width="19.44140625" style="670" bestFit="1" customWidth="1"/>
    <col min="3590" max="3590" width="21.109375" style="670" bestFit="1" customWidth="1"/>
    <col min="3591" max="3591" width="15.88671875" style="670" bestFit="1" customWidth="1"/>
    <col min="3592" max="3592" width="8.88671875" style="670"/>
    <col min="3593" max="3593" width="13.44140625" style="670" bestFit="1" customWidth="1"/>
    <col min="3594" max="3594" width="8.88671875" style="670"/>
    <col min="3595" max="3595" width="11.77734375" style="670" bestFit="1" customWidth="1"/>
    <col min="3596" max="3597" width="8.88671875" style="670"/>
    <col min="3598" max="3598" width="11.6640625" style="670" bestFit="1" customWidth="1"/>
    <col min="3599" max="3796" width="8.88671875" style="670"/>
    <col min="3797" max="3797" width="10" style="670" customWidth="1"/>
    <col min="3798" max="3798" width="64.44140625" style="670" customWidth="1"/>
    <col min="3799" max="3799" width="18.77734375" style="670" customWidth="1"/>
    <col min="3800" max="3800" width="11" style="670" customWidth="1"/>
    <col min="3801" max="3801" width="14.6640625" style="670" customWidth="1"/>
    <col min="3802" max="3802" width="18.6640625" style="670" customWidth="1"/>
    <col min="3803" max="3803" width="14.44140625" style="670" customWidth="1"/>
    <col min="3804" max="3804" width="18.21875" style="670" customWidth="1"/>
    <col min="3805" max="3805" width="15.6640625" style="670" customWidth="1"/>
    <col min="3806" max="3806" width="17.44140625" style="670" customWidth="1"/>
    <col min="3807" max="3807" width="15.6640625" style="670" customWidth="1"/>
    <col min="3808" max="3808" width="17.44140625" style="670" customWidth="1"/>
    <col min="3809" max="3809" width="17" style="670" customWidth="1"/>
    <col min="3810" max="3812" width="17.44140625" style="670" customWidth="1"/>
    <col min="3813" max="3813" width="14.77734375" style="670" customWidth="1"/>
    <col min="3814" max="3839" width="17.44140625" style="670" customWidth="1"/>
    <col min="3840" max="3840" width="17.109375" style="670" customWidth="1"/>
    <col min="3841" max="3841" width="16.44140625" style="670" customWidth="1"/>
    <col min="3842" max="3842" width="18.6640625" style="670" customWidth="1"/>
    <col min="3843" max="3843" width="20.21875" style="670" bestFit="1" customWidth="1"/>
    <col min="3844" max="3844" width="25.6640625" style="670" customWidth="1"/>
    <col min="3845" max="3845" width="19.44140625" style="670" bestFit="1" customWidth="1"/>
    <col min="3846" max="3846" width="21.109375" style="670" bestFit="1" customWidth="1"/>
    <col min="3847" max="3847" width="15.88671875" style="670" bestFit="1" customWidth="1"/>
    <col min="3848" max="3848" width="8.88671875" style="670"/>
    <col min="3849" max="3849" width="13.44140625" style="670" bestFit="1" customWidth="1"/>
    <col min="3850" max="3850" width="8.88671875" style="670"/>
    <col min="3851" max="3851" width="11.77734375" style="670" bestFit="1" customWidth="1"/>
    <col min="3852" max="3853" width="8.88671875" style="670"/>
    <col min="3854" max="3854" width="11.6640625" style="670" bestFit="1" customWidth="1"/>
    <col min="3855" max="4052" width="8.88671875" style="670"/>
    <col min="4053" max="4053" width="10" style="670" customWidth="1"/>
    <col min="4054" max="4054" width="64.44140625" style="670" customWidth="1"/>
    <col min="4055" max="4055" width="18.77734375" style="670" customWidth="1"/>
    <col min="4056" max="4056" width="11" style="670" customWidth="1"/>
    <col min="4057" max="4057" width="14.6640625" style="670" customWidth="1"/>
    <col min="4058" max="4058" width="18.6640625" style="670" customWidth="1"/>
    <col min="4059" max="4059" width="14.44140625" style="670" customWidth="1"/>
    <col min="4060" max="4060" width="18.21875" style="670" customWidth="1"/>
    <col min="4061" max="4061" width="15.6640625" style="670" customWidth="1"/>
    <col min="4062" max="4062" width="17.44140625" style="670" customWidth="1"/>
    <col min="4063" max="4063" width="15.6640625" style="670" customWidth="1"/>
    <col min="4064" max="4064" width="17.44140625" style="670" customWidth="1"/>
    <col min="4065" max="4065" width="17" style="670" customWidth="1"/>
    <col min="4066" max="4068" width="17.44140625" style="670" customWidth="1"/>
    <col min="4069" max="4069" width="14.77734375" style="670" customWidth="1"/>
    <col min="4070" max="4095" width="17.44140625" style="670" customWidth="1"/>
    <col min="4096" max="4096" width="17.109375" style="670" customWidth="1"/>
    <col min="4097" max="4097" width="16.44140625" style="670" customWidth="1"/>
    <col min="4098" max="4098" width="18.6640625" style="670" customWidth="1"/>
    <col min="4099" max="4099" width="20.21875" style="670" bestFit="1" customWidth="1"/>
    <col min="4100" max="4100" width="25.6640625" style="670" customWidth="1"/>
    <col min="4101" max="4101" width="19.44140625" style="670" bestFit="1" customWidth="1"/>
    <col min="4102" max="4102" width="21.109375" style="670" bestFit="1" customWidth="1"/>
    <col min="4103" max="4103" width="15.88671875" style="670" bestFit="1" customWidth="1"/>
    <col min="4104" max="4104" width="8.88671875" style="670"/>
    <col min="4105" max="4105" width="13.44140625" style="670" bestFit="1" customWidth="1"/>
    <col min="4106" max="4106" width="8.88671875" style="670"/>
    <col min="4107" max="4107" width="11.77734375" style="670" bestFit="1" customWidth="1"/>
    <col min="4108" max="4109" width="8.88671875" style="670"/>
    <col min="4110" max="4110" width="11.6640625" style="670" bestFit="1" customWidth="1"/>
    <col min="4111" max="4308" width="8.88671875" style="670"/>
    <col min="4309" max="4309" width="10" style="670" customWidth="1"/>
    <col min="4310" max="4310" width="64.44140625" style="670" customWidth="1"/>
    <col min="4311" max="4311" width="18.77734375" style="670" customWidth="1"/>
    <col min="4312" max="4312" width="11" style="670" customWidth="1"/>
    <col min="4313" max="4313" width="14.6640625" style="670" customWidth="1"/>
    <col min="4314" max="4314" width="18.6640625" style="670" customWidth="1"/>
    <col min="4315" max="4315" width="14.44140625" style="670" customWidth="1"/>
    <col min="4316" max="4316" width="18.21875" style="670" customWidth="1"/>
    <col min="4317" max="4317" width="15.6640625" style="670" customWidth="1"/>
    <col min="4318" max="4318" width="17.44140625" style="670" customWidth="1"/>
    <col min="4319" max="4319" width="15.6640625" style="670" customWidth="1"/>
    <col min="4320" max="4320" width="17.44140625" style="670" customWidth="1"/>
    <col min="4321" max="4321" width="17" style="670" customWidth="1"/>
    <col min="4322" max="4324" width="17.44140625" style="670" customWidth="1"/>
    <col min="4325" max="4325" width="14.77734375" style="670" customWidth="1"/>
    <col min="4326" max="4351" width="17.44140625" style="670" customWidth="1"/>
    <col min="4352" max="4352" width="17.109375" style="670" customWidth="1"/>
    <col min="4353" max="4353" width="16.44140625" style="670" customWidth="1"/>
    <col min="4354" max="4354" width="18.6640625" style="670" customWidth="1"/>
    <col min="4355" max="4355" width="20.21875" style="670" bestFit="1" customWidth="1"/>
    <col min="4356" max="4356" width="25.6640625" style="670" customWidth="1"/>
    <col min="4357" max="4357" width="19.44140625" style="670" bestFit="1" customWidth="1"/>
    <col min="4358" max="4358" width="21.109375" style="670" bestFit="1" customWidth="1"/>
    <col min="4359" max="4359" width="15.88671875" style="670" bestFit="1" customWidth="1"/>
    <col min="4360" max="4360" width="8.88671875" style="670"/>
    <col min="4361" max="4361" width="13.44140625" style="670" bestFit="1" customWidth="1"/>
    <col min="4362" max="4362" width="8.88671875" style="670"/>
    <col min="4363" max="4363" width="11.77734375" style="670" bestFit="1" customWidth="1"/>
    <col min="4364" max="4365" width="8.88671875" style="670"/>
    <col min="4366" max="4366" width="11.6640625" style="670" bestFit="1" customWidth="1"/>
    <col min="4367" max="4564" width="8.88671875" style="670"/>
    <col min="4565" max="4565" width="10" style="670" customWidth="1"/>
    <col min="4566" max="4566" width="64.44140625" style="670" customWidth="1"/>
    <col min="4567" max="4567" width="18.77734375" style="670" customWidth="1"/>
    <col min="4568" max="4568" width="11" style="670" customWidth="1"/>
    <col min="4569" max="4569" width="14.6640625" style="670" customWidth="1"/>
    <col min="4570" max="4570" width="18.6640625" style="670" customWidth="1"/>
    <col min="4571" max="4571" width="14.44140625" style="670" customWidth="1"/>
    <col min="4572" max="4572" width="18.21875" style="670" customWidth="1"/>
    <col min="4573" max="4573" width="15.6640625" style="670" customWidth="1"/>
    <col min="4574" max="4574" width="17.44140625" style="670" customWidth="1"/>
    <col min="4575" max="4575" width="15.6640625" style="670" customWidth="1"/>
    <col min="4576" max="4576" width="17.44140625" style="670" customWidth="1"/>
    <col min="4577" max="4577" width="17" style="670" customWidth="1"/>
    <col min="4578" max="4580" width="17.44140625" style="670" customWidth="1"/>
    <col min="4581" max="4581" width="14.77734375" style="670" customWidth="1"/>
    <col min="4582" max="4607" width="17.44140625" style="670" customWidth="1"/>
    <col min="4608" max="4608" width="17.109375" style="670" customWidth="1"/>
    <col min="4609" max="4609" width="16.44140625" style="670" customWidth="1"/>
    <col min="4610" max="4610" width="18.6640625" style="670" customWidth="1"/>
    <col min="4611" max="4611" width="20.21875" style="670" bestFit="1" customWidth="1"/>
    <col min="4612" max="4612" width="25.6640625" style="670" customWidth="1"/>
    <col min="4613" max="4613" width="19.44140625" style="670" bestFit="1" customWidth="1"/>
    <col min="4614" max="4614" width="21.109375" style="670" bestFit="1" customWidth="1"/>
    <col min="4615" max="4615" width="15.88671875" style="670" bestFit="1" customWidth="1"/>
    <col min="4616" max="4616" width="8.88671875" style="670"/>
    <col min="4617" max="4617" width="13.44140625" style="670" bestFit="1" customWidth="1"/>
    <col min="4618" max="4618" width="8.88671875" style="670"/>
    <col min="4619" max="4619" width="11.77734375" style="670" bestFit="1" customWidth="1"/>
    <col min="4620" max="4621" width="8.88671875" style="670"/>
    <col min="4622" max="4622" width="11.6640625" style="670" bestFit="1" customWidth="1"/>
    <col min="4623" max="4820" width="8.88671875" style="670"/>
    <col min="4821" max="4821" width="10" style="670" customWidth="1"/>
    <col min="4822" max="4822" width="64.44140625" style="670" customWidth="1"/>
    <col min="4823" max="4823" width="18.77734375" style="670" customWidth="1"/>
    <col min="4824" max="4824" width="11" style="670" customWidth="1"/>
    <col min="4825" max="4825" width="14.6640625" style="670" customWidth="1"/>
    <col min="4826" max="4826" width="18.6640625" style="670" customWidth="1"/>
    <col min="4827" max="4827" width="14.44140625" style="670" customWidth="1"/>
    <col min="4828" max="4828" width="18.21875" style="670" customWidth="1"/>
    <col min="4829" max="4829" width="15.6640625" style="670" customWidth="1"/>
    <col min="4830" max="4830" width="17.44140625" style="670" customWidth="1"/>
    <col min="4831" max="4831" width="15.6640625" style="670" customWidth="1"/>
    <col min="4832" max="4832" width="17.44140625" style="670" customWidth="1"/>
    <col min="4833" max="4833" width="17" style="670" customWidth="1"/>
    <col min="4834" max="4836" width="17.44140625" style="670" customWidth="1"/>
    <col min="4837" max="4837" width="14.77734375" style="670" customWidth="1"/>
    <col min="4838" max="4863" width="17.44140625" style="670" customWidth="1"/>
    <col min="4864" max="4864" width="17.109375" style="670" customWidth="1"/>
    <col min="4865" max="4865" width="16.44140625" style="670" customWidth="1"/>
    <col min="4866" max="4866" width="18.6640625" style="670" customWidth="1"/>
    <col min="4867" max="4867" width="20.21875" style="670" bestFit="1" customWidth="1"/>
    <col min="4868" max="4868" width="25.6640625" style="670" customWidth="1"/>
    <col min="4869" max="4869" width="19.44140625" style="670" bestFit="1" customWidth="1"/>
    <col min="4870" max="4870" width="21.109375" style="670" bestFit="1" customWidth="1"/>
    <col min="4871" max="4871" width="15.88671875" style="670" bestFit="1" customWidth="1"/>
    <col min="4872" max="4872" width="8.88671875" style="670"/>
    <col min="4873" max="4873" width="13.44140625" style="670" bestFit="1" customWidth="1"/>
    <col min="4874" max="4874" width="8.88671875" style="670"/>
    <col min="4875" max="4875" width="11.77734375" style="670" bestFit="1" customWidth="1"/>
    <col min="4876" max="4877" width="8.88671875" style="670"/>
    <col min="4878" max="4878" width="11.6640625" style="670" bestFit="1" customWidth="1"/>
    <col min="4879" max="5076" width="8.88671875" style="670"/>
    <col min="5077" max="5077" width="10" style="670" customWidth="1"/>
    <col min="5078" max="5078" width="64.44140625" style="670" customWidth="1"/>
    <col min="5079" max="5079" width="18.77734375" style="670" customWidth="1"/>
    <col min="5080" max="5080" width="11" style="670" customWidth="1"/>
    <col min="5081" max="5081" width="14.6640625" style="670" customWidth="1"/>
    <col min="5082" max="5082" width="18.6640625" style="670" customWidth="1"/>
    <col min="5083" max="5083" width="14.44140625" style="670" customWidth="1"/>
    <col min="5084" max="5084" width="18.21875" style="670" customWidth="1"/>
    <col min="5085" max="5085" width="15.6640625" style="670" customWidth="1"/>
    <col min="5086" max="5086" width="17.44140625" style="670" customWidth="1"/>
    <col min="5087" max="5087" width="15.6640625" style="670" customWidth="1"/>
    <col min="5088" max="5088" width="17.44140625" style="670" customWidth="1"/>
    <col min="5089" max="5089" width="17" style="670" customWidth="1"/>
    <col min="5090" max="5092" width="17.44140625" style="670" customWidth="1"/>
    <col min="5093" max="5093" width="14.77734375" style="670" customWidth="1"/>
    <col min="5094" max="5119" width="17.44140625" style="670" customWidth="1"/>
    <col min="5120" max="5120" width="17.109375" style="670" customWidth="1"/>
    <col min="5121" max="5121" width="16.44140625" style="670" customWidth="1"/>
    <col min="5122" max="5122" width="18.6640625" style="670" customWidth="1"/>
    <col min="5123" max="5123" width="20.21875" style="670" bestFit="1" customWidth="1"/>
    <col min="5124" max="5124" width="25.6640625" style="670" customWidth="1"/>
    <col min="5125" max="5125" width="19.44140625" style="670" bestFit="1" customWidth="1"/>
    <col min="5126" max="5126" width="21.109375" style="670" bestFit="1" customWidth="1"/>
    <col min="5127" max="5127" width="15.88671875" style="670" bestFit="1" customWidth="1"/>
    <col min="5128" max="5128" width="8.88671875" style="670"/>
    <col min="5129" max="5129" width="13.44140625" style="670" bestFit="1" customWidth="1"/>
    <col min="5130" max="5130" width="8.88671875" style="670"/>
    <col min="5131" max="5131" width="11.77734375" style="670" bestFit="1" customWidth="1"/>
    <col min="5132" max="5133" width="8.88671875" style="670"/>
    <col min="5134" max="5134" width="11.6640625" style="670" bestFit="1" customWidth="1"/>
    <col min="5135" max="5332" width="8.88671875" style="670"/>
    <col min="5333" max="5333" width="10" style="670" customWidth="1"/>
    <col min="5334" max="5334" width="64.44140625" style="670" customWidth="1"/>
    <col min="5335" max="5335" width="18.77734375" style="670" customWidth="1"/>
    <col min="5336" max="5336" width="11" style="670" customWidth="1"/>
    <col min="5337" max="5337" width="14.6640625" style="670" customWidth="1"/>
    <col min="5338" max="5338" width="18.6640625" style="670" customWidth="1"/>
    <col min="5339" max="5339" width="14.44140625" style="670" customWidth="1"/>
    <col min="5340" max="5340" width="18.21875" style="670" customWidth="1"/>
    <col min="5341" max="5341" width="15.6640625" style="670" customWidth="1"/>
    <col min="5342" max="5342" width="17.44140625" style="670" customWidth="1"/>
    <col min="5343" max="5343" width="15.6640625" style="670" customWidth="1"/>
    <col min="5344" max="5344" width="17.44140625" style="670" customWidth="1"/>
    <col min="5345" max="5345" width="17" style="670" customWidth="1"/>
    <col min="5346" max="5348" width="17.44140625" style="670" customWidth="1"/>
    <col min="5349" max="5349" width="14.77734375" style="670" customWidth="1"/>
    <col min="5350" max="5375" width="17.44140625" style="670" customWidth="1"/>
    <col min="5376" max="5376" width="17.109375" style="670" customWidth="1"/>
    <col min="5377" max="5377" width="16.44140625" style="670" customWidth="1"/>
    <col min="5378" max="5378" width="18.6640625" style="670" customWidth="1"/>
    <col min="5379" max="5379" width="20.21875" style="670" bestFit="1" customWidth="1"/>
    <col min="5380" max="5380" width="25.6640625" style="670" customWidth="1"/>
    <col min="5381" max="5381" width="19.44140625" style="670" bestFit="1" customWidth="1"/>
    <col min="5382" max="5382" width="21.109375" style="670" bestFit="1" customWidth="1"/>
    <col min="5383" max="5383" width="15.88671875" style="670" bestFit="1" customWidth="1"/>
    <col min="5384" max="5384" width="8.88671875" style="670"/>
    <col min="5385" max="5385" width="13.44140625" style="670" bestFit="1" customWidth="1"/>
    <col min="5386" max="5386" width="8.88671875" style="670"/>
    <col min="5387" max="5387" width="11.77734375" style="670" bestFit="1" customWidth="1"/>
    <col min="5388" max="5389" width="8.88671875" style="670"/>
    <col min="5390" max="5390" width="11.6640625" style="670" bestFit="1" customWidth="1"/>
    <col min="5391" max="5588" width="8.88671875" style="670"/>
    <col min="5589" max="5589" width="10" style="670" customWidth="1"/>
    <col min="5590" max="5590" width="64.44140625" style="670" customWidth="1"/>
    <col min="5591" max="5591" width="18.77734375" style="670" customWidth="1"/>
    <col min="5592" max="5592" width="11" style="670" customWidth="1"/>
    <col min="5593" max="5593" width="14.6640625" style="670" customWidth="1"/>
    <col min="5594" max="5594" width="18.6640625" style="670" customWidth="1"/>
    <col min="5595" max="5595" width="14.44140625" style="670" customWidth="1"/>
    <col min="5596" max="5596" width="18.21875" style="670" customWidth="1"/>
    <col min="5597" max="5597" width="15.6640625" style="670" customWidth="1"/>
    <col min="5598" max="5598" width="17.44140625" style="670" customWidth="1"/>
    <col min="5599" max="5599" width="15.6640625" style="670" customWidth="1"/>
    <col min="5600" max="5600" width="17.44140625" style="670" customWidth="1"/>
    <col min="5601" max="5601" width="17" style="670" customWidth="1"/>
    <col min="5602" max="5604" width="17.44140625" style="670" customWidth="1"/>
    <col min="5605" max="5605" width="14.77734375" style="670" customWidth="1"/>
    <col min="5606" max="5631" width="17.44140625" style="670" customWidth="1"/>
    <col min="5632" max="5632" width="17.109375" style="670" customWidth="1"/>
    <col min="5633" max="5633" width="16.44140625" style="670" customWidth="1"/>
    <col min="5634" max="5634" width="18.6640625" style="670" customWidth="1"/>
    <col min="5635" max="5635" width="20.21875" style="670" bestFit="1" customWidth="1"/>
    <col min="5636" max="5636" width="25.6640625" style="670" customWidth="1"/>
    <col min="5637" max="5637" width="19.44140625" style="670" bestFit="1" customWidth="1"/>
    <col min="5638" max="5638" width="21.109375" style="670" bestFit="1" customWidth="1"/>
    <col min="5639" max="5639" width="15.88671875" style="670" bestFit="1" customWidth="1"/>
    <col min="5640" max="5640" width="8.88671875" style="670"/>
    <col min="5641" max="5641" width="13.44140625" style="670" bestFit="1" customWidth="1"/>
    <col min="5642" max="5642" width="8.88671875" style="670"/>
    <col min="5643" max="5643" width="11.77734375" style="670" bestFit="1" customWidth="1"/>
    <col min="5644" max="5645" width="8.88671875" style="670"/>
    <col min="5646" max="5646" width="11.6640625" style="670" bestFit="1" customWidth="1"/>
    <col min="5647" max="5844" width="8.88671875" style="670"/>
    <col min="5845" max="5845" width="10" style="670" customWidth="1"/>
    <col min="5846" max="5846" width="64.44140625" style="670" customWidth="1"/>
    <col min="5847" max="5847" width="18.77734375" style="670" customWidth="1"/>
    <col min="5848" max="5848" width="11" style="670" customWidth="1"/>
    <col min="5849" max="5849" width="14.6640625" style="670" customWidth="1"/>
    <col min="5850" max="5850" width="18.6640625" style="670" customWidth="1"/>
    <col min="5851" max="5851" width="14.44140625" style="670" customWidth="1"/>
    <col min="5852" max="5852" width="18.21875" style="670" customWidth="1"/>
    <col min="5853" max="5853" width="15.6640625" style="670" customWidth="1"/>
    <col min="5854" max="5854" width="17.44140625" style="670" customWidth="1"/>
    <col min="5855" max="5855" width="15.6640625" style="670" customWidth="1"/>
    <col min="5856" max="5856" width="17.44140625" style="670" customWidth="1"/>
    <col min="5857" max="5857" width="17" style="670" customWidth="1"/>
    <col min="5858" max="5860" width="17.44140625" style="670" customWidth="1"/>
    <col min="5861" max="5861" width="14.77734375" style="670" customWidth="1"/>
    <col min="5862" max="5887" width="17.44140625" style="670" customWidth="1"/>
    <col min="5888" max="5888" width="17.109375" style="670" customWidth="1"/>
    <col min="5889" max="5889" width="16.44140625" style="670" customWidth="1"/>
    <col min="5890" max="5890" width="18.6640625" style="670" customWidth="1"/>
    <col min="5891" max="5891" width="20.21875" style="670" bestFit="1" customWidth="1"/>
    <col min="5892" max="5892" width="25.6640625" style="670" customWidth="1"/>
    <col min="5893" max="5893" width="19.44140625" style="670" bestFit="1" customWidth="1"/>
    <col min="5894" max="5894" width="21.109375" style="670" bestFit="1" customWidth="1"/>
    <col min="5895" max="5895" width="15.88671875" style="670" bestFit="1" customWidth="1"/>
    <col min="5896" max="5896" width="8.88671875" style="670"/>
    <col min="5897" max="5897" width="13.44140625" style="670" bestFit="1" customWidth="1"/>
    <col min="5898" max="5898" width="8.88671875" style="670"/>
    <col min="5899" max="5899" width="11.77734375" style="670" bestFit="1" customWidth="1"/>
    <col min="5900" max="5901" width="8.88671875" style="670"/>
    <col min="5902" max="5902" width="11.6640625" style="670" bestFit="1" customWidth="1"/>
    <col min="5903" max="6100" width="8.88671875" style="670"/>
    <col min="6101" max="6101" width="10" style="670" customWidth="1"/>
    <col min="6102" max="6102" width="64.44140625" style="670" customWidth="1"/>
    <col min="6103" max="6103" width="18.77734375" style="670" customWidth="1"/>
    <col min="6104" max="6104" width="11" style="670" customWidth="1"/>
    <col min="6105" max="6105" width="14.6640625" style="670" customWidth="1"/>
    <col min="6106" max="6106" width="18.6640625" style="670" customWidth="1"/>
    <col min="6107" max="6107" width="14.44140625" style="670" customWidth="1"/>
    <col min="6108" max="6108" width="18.21875" style="670" customWidth="1"/>
    <col min="6109" max="6109" width="15.6640625" style="670" customWidth="1"/>
    <col min="6110" max="6110" width="17.44140625" style="670" customWidth="1"/>
    <col min="6111" max="6111" width="15.6640625" style="670" customWidth="1"/>
    <col min="6112" max="6112" width="17.44140625" style="670" customWidth="1"/>
    <col min="6113" max="6113" width="17" style="670" customWidth="1"/>
    <col min="6114" max="6116" width="17.44140625" style="670" customWidth="1"/>
    <col min="6117" max="6117" width="14.77734375" style="670" customWidth="1"/>
    <col min="6118" max="6143" width="17.44140625" style="670" customWidth="1"/>
    <col min="6144" max="6144" width="17.109375" style="670" customWidth="1"/>
    <col min="6145" max="6145" width="16.44140625" style="670" customWidth="1"/>
    <col min="6146" max="6146" width="18.6640625" style="670" customWidth="1"/>
    <col min="6147" max="6147" width="20.21875" style="670" bestFit="1" customWidth="1"/>
    <col min="6148" max="6148" width="25.6640625" style="670" customWidth="1"/>
    <col min="6149" max="6149" width="19.44140625" style="670" bestFit="1" customWidth="1"/>
    <col min="6150" max="6150" width="21.109375" style="670" bestFit="1" customWidth="1"/>
    <col min="6151" max="6151" width="15.88671875" style="670" bestFit="1" customWidth="1"/>
    <col min="6152" max="6152" width="8.88671875" style="670"/>
    <col min="6153" max="6153" width="13.44140625" style="670" bestFit="1" customWidth="1"/>
    <col min="6154" max="6154" width="8.88671875" style="670"/>
    <col min="6155" max="6155" width="11.77734375" style="670" bestFit="1" customWidth="1"/>
    <col min="6156" max="6157" width="8.88671875" style="670"/>
    <col min="6158" max="6158" width="11.6640625" style="670" bestFit="1" customWidth="1"/>
    <col min="6159" max="6356" width="8.88671875" style="670"/>
    <col min="6357" max="6357" width="10" style="670" customWidth="1"/>
    <col min="6358" max="6358" width="64.44140625" style="670" customWidth="1"/>
    <col min="6359" max="6359" width="18.77734375" style="670" customWidth="1"/>
    <col min="6360" max="6360" width="11" style="670" customWidth="1"/>
    <col min="6361" max="6361" width="14.6640625" style="670" customWidth="1"/>
    <col min="6362" max="6362" width="18.6640625" style="670" customWidth="1"/>
    <col min="6363" max="6363" width="14.44140625" style="670" customWidth="1"/>
    <col min="6364" max="6364" width="18.21875" style="670" customWidth="1"/>
    <col min="6365" max="6365" width="15.6640625" style="670" customWidth="1"/>
    <col min="6366" max="6366" width="17.44140625" style="670" customWidth="1"/>
    <col min="6367" max="6367" width="15.6640625" style="670" customWidth="1"/>
    <col min="6368" max="6368" width="17.44140625" style="670" customWidth="1"/>
    <col min="6369" max="6369" width="17" style="670" customWidth="1"/>
    <col min="6370" max="6372" width="17.44140625" style="670" customWidth="1"/>
    <col min="6373" max="6373" width="14.77734375" style="670" customWidth="1"/>
    <col min="6374" max="6399" width="17.44140625" style="670" customWidth="1"/>
    <col min="6400" max="6400" width="17.109375" style="670" customWidth="1"/>
    <col min="6401" max="6401" width="16.44140625" style="670" customWidth="1"/>
    <col min="6402" max="6402" width="18.6640625" style="670" customWidth="1"/>
    <col min="6403" max="6403" width="20.21875" style="670" bestFit="1" customWidth="1"/>
    <col min="6404" max="6404" width="25.6640625" style="670" customWidth="1"/>
    <col min="6405" max="6405" width="19.44140625" style="670" bestFit="1" customWidth="1"/>
    <col min="6406" max="6406" width="21.109375" style="670" bestFit="1" customWidth="1"/>
    <col min="6407" max="6407" width="15.88671875" style="670" bestFit="1" customWidth="1"/>
    <col min="6408" max="6408" width="8.88671875" style="670"/>
    <col min="6409" max="6409" width="13.44140625" style="670" bestFit="1" customWidth="1"/>
    <col min="6410" max="6410" width="8.88671875" style="670"/>
    <col min="6411" max="6411" width="11.77734375" style="670" bestFit="1" customWidth="1"/>
    <col min="6412" max="6413" width="8.88671875" style="670"/>
    <col min="6414" max="6414" width="11.6640625" style="670" bestFit="1" customWidth="1"/>
    <col min="6415" max="6612" width="8.88671875" style="670"/>
    <col min="6613" max="6613" width="10" style="670" customWidth="1"/>
    <col min="6614" max="6614" width="64.44140625" style="670" customWidth="1"/>
    <col min="6615" max="6615" width="18.77734375" style="670" customWidth="1"/>
    <col min="6616" max="6616" width="11" style="670" customWidth="1"/>
    <col min="6617" max="6617" width="14.6640625" style="670" customWidth="1"/>
    <col min="6618" max="6618" width="18.6640625" style="670" customWidth="1"/>
    <col min="6619" max="6619" width="14.44140625" style="670" customWidth="1"/>
    <col min="6620" max="6620" width="18.21875" style="670" customWidth="1"/>
    <col min="6621" max="6621" width="15.6640625" style="670" customWidth="1"/>
    <col min="6622" max="6622" width="17.44140625" style="670" customWidth="1"/>
    <col min="6623" max="6623" width="15.6640625" style="670" customWidth="1"/>
    <col min="6624" max="6624" width="17.44140625" style="670" customWidth="1"/>
    <col min="6625" max="6625" width="17" style="670" customWidth="1"/>
    <col min="6626" max="6628" width="17.44140625" style="670" customWidth="1"/>
    <col min="6629" max="6629" width="14.77734375" style="670" customWidth="1"/>
    <col min="6630" max="6655" width="17.44140625" style="670" customWidth="1"/>
    <col min="6656" max="6656" width="17.109375" style="670" customWidth="1"/>
    <col min="6657" max="6657" width="16.44140625" style="670" customWidth="1"/>
    <col min="6658" max="6658" width="18.6640625" style="670" customWidth="1"/>
    <col min="6659" max="6659" width="20.21875" style="670" bestFit="1" customWidth="1"/>
    <col min="6660" max="6660" width="25.6640625" style="670" customWidth="1"/>
    <col min="6661" max="6661" width="19.44140625" style="670" bestFit="1" customWidth="1"/>
    <col min="6662" max="6662" width="21.109375" style="670" bestFit="1" customWidth="1"/>
    <col min="6663" max="6663" width="15.88671875" style="670" bestFit="1" customWidth="1"/>
    <col min="6664" max="6664" width="8.88671875" style="670"/>
    <col min="6665" max="6665" width="13.44140625" style="670" bestFit="1" customWidth="1"/>
    <col min="6666" max="6666" width="8.88671875" style="670"/>
    <col min="6667" max="6667" width="11.77734375" style="670" bestFit="1" customWidth="1"/>
    <col min="6668" max="6669" width="8.88671875" style="670"/>
    <col min="6670" max="6670" width="11.6640625" style="670" bestFit="1" customWidth="1"/>
    <col min="6671" max="6868" width="8.88671875" style="670"/>
    <col min="6869" max="6869" width="10" style="670" customWidth="1"/>
    <col min="6870" max="6870" width="64.44140625" style="670" customWidth="1"/>
    <col min="6871" max="6871" width="18.77734375" style="670" customWidth="1"/>
    <col min="6872" max="6872" width="11" style="670" customWidth="1"/>
    <col min="6873" max="6873" width="14.6640625" style="670" customWidth="1"/>
    <col min="6874" max="6874" width="18.6640625" style="670" customWidth="1"/>
    <col min="6875" max="6875" width="14.44140625" style="670" customWidth="1"/>
    <col min="6876" max="6876" width="18.21875" style="670" customWidth="1"/>
    <col min="6877" max="6877" width="15.6640625" style="670" customWidth="1"/>
    <col min="6878" max="6878" width="17.44140625" style="670" customWidth="1"/>
    <col min="6879" max="6879" width="15.6640625" style="670" customWidth="1"/>
    <col min="6880" max="6880" width="17.44140625" style="670" customWidth="1"/>
    <col min="6881" max="6881" width="17" style="670" customWidth="1"/>
    <col min="6882" max="6884" width="17.44140625" style="670" customWidth="1"/>
    <col min="6885" max="6885" width="14.77734375" style="670" customWidth="1"/>
    <col min="6886" max="6911" width="17.44140625" style="670" customWidth="1"/>
    <col min="6912" max="6912" width="17.109375" style="670" customWidth="1"/>
    <col min="6913" max="6913" width="16.44140625" style="670" customWidth="1"/>
    <col min="6914" max="6914" width="18.6640625" style="670" customWidth="1"/>
    <col min="6915" max="6915" width="20.21875" style="670" bestFit="1" customWidth="1"/>
    <col min="6916" max="6916" width="25.6640625" style="670" customWidth="1"/>
    <col min="6917" max="6917" width="19.44140625" style="670" bestFit="1" customWidth="1"/>
    <col min="6918" max="6918" width="21.109375" style="670" bestFit="1" customWidth="1"/>
    <col min="6919" max="6919" width="15.88671875" style="670" bestFit="1" customWidth="1"/>
    <col min="6920" max="6920" width="8.88671875" style="670"/>
    <col min="6921" max="6921" width="13.44140625" style="670" bestFit="1" customWidth="1"/>
    <col min="6922" max="6922" width="8.88671875" style="670"/>
    <col min="6923" max="6923" width="11.77734375" style="670" bestFit="1" customWidth="1"/>
    <col min="6924" max="6925" width="8.88671875" style="670"/>
    <col min="6926" max="6926" width="11.6640625" style="670" bestFit="1" customWidth="1"/>
    <col min="6927" max="7124" width="8.88671875" style="670"/>
    <col min="7125" max="7125" width="10" style="670" customWidth="1"/>
    <col min="7126" max="7126" width="64.44140625" style="670" customWidth="1"/>
    <col min="7127" max="7127" width="18.77734375" style="670" customWidth="1"/>
    <col min="7128" max="7128" width="11" style="670" customWidth="1"/>
    <col min="7129" max="7129" width="14.6640625" style="670" customWidth="1"/>
    <col min="7130" max="7130" width="18.6640625" style="670" customWidth="1"/>
    <col min="7131" max="7131" width="14.44140625" style="670" customWidth="1"/>
    <col min="7132" max="7132" width="18.21875" style="670" customWidth="1"/>
    <col min="7133" max="7133" width="15.6640625" style="670" customWidth="1"/>
    <col min="7134" max="7134" width="17.44140625" style="670" customWidth="1"/>
    <col min="7135" max="7135" width="15.6640625" style="670" customWidth="1"/>
    <col min="7136" max="7136" width="17.44140625" style="670" customWidth="1"/>
    <col min="7137" max="7137" width="17" style="670" customWidth="1"/>
    <col min="7138" max="7140" width="17.44140625" style="670" customWidth="1"/>
    <col min="7141" max="7141" width="14.77734375" style="670" customWidth="1"/>
    <col min="7142" max="7167" width="17.44140625" style="670" customWidth="1"/>
    <col min="7168" max="7168" width="17.109375" style="670" customWidth="1"/>
    <col min="7169" max="7169" width="16.44140625" style="670" customWidth="1"/>
    <col min="7170" max="7170" width="18.6640625" style="670" customWidth="1"/>
    <col min="7171" max="7171" width="20.21875" style="670" bestFit="1" customWidth="1"/>
    <col min="7172" max="7172" width="25.6640625" style="670" customWidth="1"/>
    <col min="7173" max="7173" width="19.44140625" style="670" bestFit="1" customWidth="1"/>
    <col min="7174" max="7174" width="21.109375" style="670" bestFit="1" customWidth="1"/>
    <col min="7175" max="7175" width="15.88671875" style="670" bestFit="1" customWidth="1"/>
    <col min="7176" max="7176" width="8.88671875" style="670"/>
    <col min="7177" max="7177" width="13.44140625" style="670" bestFit="1" customWidth="1"/>
    <col min="7178" max="7178" width="8.88671875" style="670"/>
    <col min="7179" max="7179" width="11.77734375" style="670" bestFit="1" customWidth="1"/>
    <col min="7180" max="7181" width="8.88671875" style="670"/>
    <col min="7182" max="7182" width="11.6640625" style="670" bestFit="1" customWidth="1"/>
    <col min="7183" max="7380" width="8.88671875" style="670"/>
    <col min="7381" max="7381" width="10" style="670" customWidth="1"/>
    <col min="7382" max="7382" width="64.44140625" style="670" customWidth="1"/>
    <col min="7383" max="7383" width="18.77734375" style="670" customWidth="1"/>
    <col min="7384" max="7384" width="11" style="670" customWidth="1"/>
    <col min="7385" max="7385" width="14.6640625" style="670" customWidth="1"/>
    <col min="7386" max="7386" width="18.6640625" style="670" customWidth="1"/>
    <col min="7387" max="7387" width="14.44140625" style="670" customWidth="1"/>
    <col min="7388" max="7388" width="18.21875" style="670" customWidth="1"/>
    <col min="7389" max="7389" width="15.6640625" style="670" customWidth="1"/>
    <col min="7390" max="7390" width="17.44140625" style="670" customWidth="1"/>
    <col min="7391" max="7391" width="15.6640625" style="670" customWidth="1"/>
    <col min="7392" max="7392" width="17.44140625" style="670" customWidth="1"/>
    <col min="7393" max="7393" width="17" style="670" customWidth="1"/>
    <col min="7394" max="7396" width="17.44140625" style="670" customWidth="1"/>
    <col min="7397" max="7397" width="14.77734375" style="670" customWidth="1"/>
    <col min="7398" max="7423" width="17.44140625" style="670" customWidth="1"/>
    <col min="7424" max="7424" width="17.109375" style="670" customWidth="1"/>
    <col min="7425" max="7425" width="16.44140625" style="670" customWidth="1"/>
    <col min="7426" max="7426" width="18.6640625" style="670" customWidth="1"/>
    <col min="7427" max="7427" width="20.21875" style="670" bestFit="1" customWidth="1"/>
    <col min="7428" max="7428" width="25.6640625" style="670" customWidth="1"/>
    <col min="7429" max="7429" width="19.44140625" style="670" bestFit="1" customWidth="1"/>
    <col min="7430" max="7430" width="21.109375" style="670" bestFit="1" customWidth="1"/>
    <col min="7431" max="7431" width="15.88671875" style="670" bestFit="1" customWidth="1"/>
    <col min="7432" max="7432" width="8.88671875" style="670"/>
    <col min="7433" max="7433" width="13.44140625" style="670" bestFit="1" customWidth="1"/>
    <col min="7434" max="7434" width="8.88671875" style="670"/>
    <col min="7435" max="7435" width="11.77734375" style="670" bestFit="1" customWidth="1"/>
    <col min="7436" max="7437" width="8.88671875" style="670"/>
    <col min="7438" max="7438" width="11.6640625" style="670" bestFit="1" customWidth="1"/>
    <col min="7439" max="7636" width="8.88671875" style="670"/>
    <col min="7637" max="7637" width="10" style="670" customWidth="1"/>
    <col min="7638" max="7638" width="64.44140625" style="670" customWidth="1"/>
    <col min="7639" max="7639" width="18.77734375" style="670" customWidth="1"/>
    <col min="7640" max="7640" width="11" style="670" customWidth="1"/>
    <col min="7641" max="7641" width="14.6640625" style="670" customWidth="1"/>
    <col min="7642" max="7642" width="18.6640625" style="670" customWidth="1"/>
    <col min="7643" max="7643" width="14.44140625" style="670" customWidth="1"/>
    <col min="7644" max="7644" width="18.21875" style="670" customWidth="1"/>
    <col min="7645" max="7645" width="15.6640625" style="670" customWidth="1"/>
    <col min="7646" max="7646" width="17.44140625" style="670" customWidth="1"/>
    <col min="7647" max="7647" width="15.6640625" style="670" customWidth="1"/>
    <col min="7648" max="7648" width="17.44140625" style="670" customWidth="1"/>
    <col min="7649" max="7649" width="17" style="670" customWidth="1"/>
    <col min="7650" max="7652" width="17.44140625" style="670" customWidth="1"/>
    <col min="7653" max="7653" width="14.77734375" style="670" customWidth="1"/>
    <col min="7654" max="7679" width="17.44140625" style="670" customWidth="1"/>
    <col min="7680" max="7680" width="17.109375" style="670" customWidth="1"/>
    <col min="7681" max="7681" width="16.44140625" style="670" customWidth="1"/>
    <col min="7682" max="7682" width="18.6640625" style="670" customWidth="1"/>
    <col min="7683" max="7683" width="20.21875" style="670" bestFit="1" customWidth="1"/>
    <col min="7684" max="7684" width="25.6640625" style="670" customWidth="1"/>
    <col min="7685" max="7685" width="19.44140625" style="670" bestFit="1" customWidth="1"/>
    <col min="7686" max="7686" width="21.109375" style="670" bestFit="1" customWidth="1"/>
    <col min="7687" max="7687" width="15.88671875" style="670" bestFit="1" customWidth="1"/>
    <col min="7688" max="7688" width="8.88671875" style="670"/>
    <col min="7689" max="7689" width="13.44140625" style="670" bestFit="1" customWidth="1"/>
    <col min="7690" max="7690" width="8.88671875" style="670"/>
    <col min="7691" max="7691" width="11.77734375" style="670" bestFit="1" customWidth="1"/>
    <col min="7692" max="7693" width="8.88671875" style="670"/>
    <col min="7694" max="7694" width="11.6640625" style="670" bestFit="1" customWidth="1"/>
    <col min="7695" max="7892" width="8.88671875" style="670"/>
    <col min="7893" max="7893" width="10" style="670" customWidth="1"/>
    <col min="7894" max="7894" width="64.44140625" style="670" customWidth="1"/>
    <col min="7895" max="7895" width="18.77734375" style="670" customWidth="1"/>
    <col min="7896" max="7896" width="11" style="670" customWidth="1"/>
    <col min="7897" max="7897" width="14.6640625" style="670" customWidth="1"/>
    <col min="7898" max="7898" width="18.6640625" style="670" customWidth="1"/>
    <col min="7899" max="7899" width="14.44140625" style="670" customWidth="1"/>
    <col min="7900" max="7900" width="18.21875" style="670" customWidth="1"/>
    <col min="7901" max="7901" width="15.6640625" style="670" customWidth="1"/>
    <col min="7902" max="7902" width="17.44140625" style="670" customWidth="1"/>
    <col min="7903" max="7903" width="15.6640625" style="670" customWidth="1"/>
    <col min="7904" max="7904" width="17.44140625" style="670" customWidth="1"/>
    <col min="7905" max="7905" width="17" style="670" customWidth="1"/>
    <col min="7906" max="7908" width="17.44140625" style="670" customWidth="1"/>
    <col min="7909" max="7909" width="14.77734375" style="670" customWidth="1"/>
    <col min="7910" max="7935" width="17.44140625" style="670" customWidth="1"/>
    <col min="7936" max="7936" width="17.109375" style="670" customWidth="1"/>
    <col min="7937" max="7937" width="16.44140625" style="670" customWidth="1"/>
    <col min="7938" max="7938" width="18.6640625" style="670" customWidth="1"/>
    <col min="7939" max="7939" width="20.21875" style="670" bestFit="1" customWidth="1"/>
    <col min="7940" max="7940" width="25.6640625" style="670" customWidth="1"/>
    <col min="7941" max="7941" width="19.44140625" style="670" bestFit="1" customWidth="1"/>
    <col min="7942" max="7942" width="21.109375" style="670" bestFit="1" customWidth="1"/>
    <col min="7943" max="7943" width="15.88671875" style="670" bestFit="1" customWidth="1"/>
    <col min="7944" max="7944" width="8.88671875" style="670"/>
    <col min="7945" max="7945" width="13.44140625" style="670" bestFit="1" customWidth="1"/>
    <col min="7946" max="7946" width="8.88671875" style="670"/>
    <col min="7947" max="7947" width="11.77734375" style="670" bestFit="1" customWidth="1"/>
    <col min="7948" max="7949" width="8.88671875" style="670"/>
    <col min="7950" max="7950" width="11.6640625" style="670" bestFit="1" customWidth="1"/>
    <col min="7951" max="8148" width="8.88671875" style="670"/>
    <col min="8149" max="8149" width="10" style="670" customWidth="1"/>
    <col min="8150" max="8150" width="64.44140625" style="670" customWidth="1"/>
    <col min="8151" max="8151" width="18.77734375" style="670" customWidth="1"/>
    <col min="8152" max="8152" width="11" style="670" customWidth="1"/>
    <col min="8153" max="8153" width="14.6640625" style="670" customWidth="1"/>
    <col min="8154" max="8154" width="18.6640625" style="670" customWidth="1"/>
    <col min="8155" max="8155" width="14.44140625" style="670" customWidth="1"/>
    <col min="8156" max="8156" width="18.21875" style="670" customWidth="1"/>
    <col min="8157" max="8157" width="15.6640625" style="670" customWidth="1"/>
    <col min="8158" max="8158" width="17.44140625" style="670" customWidth="1"/>
    <col min="8159" max="8159" width="15.6640625" style="670" customWidth="1"/>
    <col min="8160" max="8160" width="17.44140625" style="670" customWidth="1"/>
    <col min="8161" max="8161" width="17" style="670" customWidth="1"/>
    <col min="8162" max="8164" width="17.44140625" style="670" customWidth="1"/>
    <col min="8165" max="8165" width="14.77734375" style="670" customWidth="1"/>
    <col min="8166" max="8191" width="17.44140625" style="670" customWidth="1"/>
    <col min="8192" max="8192" width="17.109375" style="670" customWidth="1"/>
    <col min="8193" max="8193" width="16.44140625" style="670" customWidth="1"/>
    <col min="8194" max="8194" width="18.6640625" style="670" customWidth="1"/>
    <col min="8195" max="8195" width="20.21875" style="670" bestFit="1" customWidth="1"/>
    <col min="8196" max="8196" width="25.6640625" style="670" customWidth="1"/>
    <col min="8197" max="8197" width="19.44140625" style="670" bestFit="1" customWidth="1"/>
    <col min="8198" max="8198" width="21.109375" style="670" bestFit="1" customWidth="1"/>
    <col min="8199" max="8199" width="15.88671875" style="670" bestFit="1" customWidth="1"/>
    <col min="8200" max="8200" width="8.88671875" style="670"/>
    <col min="8201" max="8201" width="13.44140625" style="670" bestFit="1" customWidth="1"/>
    <col min="8202" max="8202" width="8.88671875" style="670"/>
    <col min="8203" max="8203" width="11.77734375" style="670" bestFit="1" customWidth="1"/>
    <col min="8204" max="8205" width="8.88671875" style="670"/>
    <col min="8206" max="8206" width="11.6640625" style="670" bestFit="1" customWidth="1"/>
    <col min="8207" max="8404" width="8.88671875" style="670"/>
    <col min="8405" max="8405" width="10" style="670" customWidth="1"/>
    <col min="8406" max="8406" width="64.44140625" style="670" customWidth="1"/>
    <col min="8407" max="8407" width="18.77734375" style="670" customWidth="1"/>
    <col min="8408" max="8408" width="11" style="670" customWidth="1"/>
    <col min="8409" max="8409" width="14.6640625" style="670" customWidth="1"/>
    <col min="8410" max="8410" width="18.6640625" style="670" customWidth="1"/>
    <col min="8411" max="8411" width="14.44140625" style="670" customWidth="1"/>
    <col min="8412" max="8412" width="18.21875" style="670" customWidth="1"/>
    <col min="8413" max="8413" width="15.6640625" style="670" customWidth="1"/>
    <col min="8414" max="8414" width="17.44140625" style="670" customWidth="1"/>
    <col min="8415" max="8415" width="15.6640625" style="670" customWidth="1"/>
    <col min="8416" max="8416" width="17.44140625" style="670" customWidth="1"/>
    <col min="8417" max="8417" width="17" style="670" customWidth="1"/>
    <col min="8418" max="8420" width="17.44140625" style="670" customWidth="1"/>
    <col min="8421" max="8421" width="14.77734375" style="670" customWidth="1"/>
    <col min="8422" max="8447" width="17.44140625" style="670" customWidth="1"/>
    <col min="8448" max="8448" width="17.109375" style="670" customWidth="1"/>
    <col min="8449" max="8449" width="16.44140625" style="670" customWidth="1"/>
    <col min="8450" max="8450" width="18.6640625" style="670" customWidth="1"/>
    <col min="8451" max="8451" width="20.21875" style="670" bestFit="1" customWidth="1"/>
    <col min="8452" max="8452" width="25.6640625" style="670" customWidth="1"/>
    <col min="8453" max="8453" width="19.44140625" style="670" bestFit="1" customWidth="1"/>
    <col min="8454" max="8454" width="21.109375" style="670" bestFit="1" customWidth="1"/>
    <col min="8455" max="8455" width="15.88671875" style="670" bestFit="1" customWidth="1"/>
    <col min="8456" max="8456" width="8.88671875" style="670"/>
    <col min="8457" max="8457" width="13.44140625" style="670" bestFit="1" customWidth="1"/>
    <col min="8458" max="8458" width="8.88671875" style="670"/>
    <col min="8459" max="8459" width="11.77734375" style="670" bestFit="1" customWidth="1"/>
    <col min="8460" max="8461" width="8.88671875" style="670"/>
    <col min="8462" max="8462" width="11.6640625" style="670" bestFit="1" customWidth="1"/>
    <col min="8463" max="8660" width="8.88671875" style="670"/>
    <col min="8661" max="8661" width="10" style="670" customWidth="1"/>
    <col min="8662" max="8662" width="64.44140625" style="670" customWidth="1"/>
    <col min="8663" max="8663" width="18.77734375" style="670" customWidth="1"/>
    <col min="8664" max="8664" width="11" style="670" customWidth="1"/>
    <col min="8665" max="8665" width="14.6640625" style="670" customWidth="1"/>
    <col min="8666" max="8666" width="18.6640625" style="670" customWidth="1"/>
    <col min="8667" max="8667" width="14.44140625" style="670" customWidth="1"/>
    <col min="8668" max="8668" width="18.21875" style="670" customWidth="1"/>
    <col min="8669" max="8669" width="15.6640625" style="670" customWidth="1"/>
    <col min="8670" max="8670" width="17.44140625" style="670" customWidth="1"/>
    <col min="8671" max="8671" width="15.6640625" style="670" customWidth="1"/>
    <col min="8672" max="8672" width="17.44140625" style="670" customWidth="1"/>
    <col min="8673" max="8673" width="17" style="670" customWidth="1"/>
    <col min="8674" max="8676" width="17.44140625" style="670" customWidth="1"/>
    <col min="8677" max="8677" width="14.77734375" style="670" customWidth="1"/>
    <col min="8678" max="8703" width="17.44140625" style="670" customWidth="1"/>
    <col min="8704" max="8704" width="17.109375" style="670" customWidth="1"/>
    <col min="8705" max="8705" width="16.44140625" style="670" customWidth="1"/>
    <col min="8706" max="8706" width="18.6640625" style="670" customWidth="1"/>
    <col min="8707" max="8707" width="20.21875" style="670" bestFit="1" customWidth="1"/>
    <col min="8708" max="8708" width="25.6640625" style="670" customWidth="1"/>
    <col min="8709" max="8709" width="19.44140625" style="670" bestFit="1" customWidth="1"/>
    <col min="8710" max="8710" width="21.109375" style="670" bestFit="1" customWidth="1"/>
    <col min="8711" max="8711" width="15.88671875" style="670" bestFit="1" customWidth="1"/>
    <col min="8712" max="8712" width="8.88671875" style="670"/>
    <col min="8713" max="8713" width="13.44140625" style="670" bestFit="1" customWidth="1"/>
    <col min="8714" max="8714" width="8.88671875" style="670"/>
    <col min="8715" max="8715" width="11.77734375" style="670" bestFit="1" customWidth="1"/>
    <col min="8716" max="8717" width="8.88671875" style="670"/>
    <col min="8718" max="8718" width="11.6640625" style="670" bestFit="1" customWidth="1"/>
    <col min="8719" max="8916" width="8.88671875" style="670"/>
    <col min="8917" max="8917" width="10" style="670" customWidth="1"/>
    <col min="8918" max="8918" width="64.44140625" style="670" customWidth="1"/>
    <col min="8919" max="8919" width="18.77734375" style="670" customWidth="1"/>
    <col min="8920" max="8920" width="11" style="670" customWidth="1"/>
    <col min="8921" max="8921" width="14.6640625" style="670" customWidth="1"/>
    <col min="8922" max="8922" width="18.6640625" style="670" customWidth="1"/>
    <col min="8923" max="8923" width="14.44140625" style="670" customWidth="1"/>
    <col min="8924" max="8924" width="18.21875" style="670" customWidth="1"/>
    <col min="8925" max="8925" width="15.6640625" style="670" customWidth="1"/>
    <col min="8926" max="8926" width="17.44140625" style="670" customWidth="1"/>
    <col min="8927" max="8927" width="15.6640625" style="670" customWidth="1"/>
    <col min="8928" max="8928" width="17.44140625" style="670" customWidth="1"/>
    <col min="8929" max="8929" width="17" style="670" customWidth="1"/>
    <col min="8930" max="8932" width="17.44140625" style="670" customWidth="1"/>
    <col min="8933" max="8933" width="14.77734375" style="670" customWidth="1"/>
    <col min="8934" max="8959" width="17.44140625" style="670" customWidth="1"/>
    <col min="8960" max="8960" width="17.109375" style="670" customWidth="1"/>
    <col min="8961" max="8961" width="16.44140625" style="670" customWidth="1"/>
    <col min="8962" max="8962" width="18.6640625" style="670" customWidth="1"/>
    <col min="8963" max="8963" width="20.21875" style="670" bestFit="1" customWidth="1"/>
    <col min="8964" max="8964" width="25.6640625" style="670" customWidth="1"/>
    <col min="8965" max="8965" width="19.44140625" style="670" bestFit="1" customWidth="1"/>
    <col min="8966" max="8966" width="21.109375" style="670" bestFit="1" customWidth="1"/>
    <col min="8967" max="8967" width="15.88671875" style="670" bestFit="1" customWidth="1"/>
    <col min="8968" max="8968" width="8.88671875" style="670"/>
    <col min="8969" max="8969" width="13.44140625" style="670" bestFit="1" customWidth="1"/>
    <col min="8970" max="8970" width="8.88671875" style="670"/>
    <col min="8971" max="8971" width="11.77734375" style="670" bestFit="1" customWidth="1"/>
    <col min="8972" max="8973" width="8.88671875" style="670"/>
    <col min="8974" max="8974" width="11.6640625" style="670" bestFit="1" customWidth="1"/>
    <col min="8975" max="9172" width="8.88671875" style="670"/>
    <col min="9173" max="9173" width="10" style="670" customWidth="1"/>
    <col min="9174" max="9174" width="64.44140625" style="670" customWidth="1"/>
    <col min="9175" max="9175" width="18.77734375" style="670" customWidth="1"/>
    <col min="9176" max="9176" width="11" style="670" customWidth="1"/>
    <col min="9177" max="9177" width="14.6640625" style="670" customWidth="1"/>
    <col min="9178" max="9178" width="18.6640625" style="670" customWidth="1"/>
    <col min="9179" max="9179" width="14.44140625" style="670" customWidth="1"/>
    <col min="9180" max="9180" width="18.21875" style="670" customWidth="1"/>
    <col min="9181" max="9181" width="15.6640625" style="670" customWidth="1"/>
    <col min="9182" max="9182" width="17.44140625" style="670" customWidth="1"/>
    <col min="9183" max="9183" width="15.6640625" style="670" customWidth="1"/>
    <col min="9184" max="9184" width="17.44140625" style="670" customWidth="1"/>
    <col min="9185" max="9185" width="17" style="670" customWidth="1"/>
    <col min="9186" max="9188" width="17.44140625" style="670" customWidth="1"/>
    <col min="9189" max="9189" width="14.77734375" style="670" customWidth="1"/>
    <col min="9190" max="9215" width="17.44140625" style="670" customWidth="1"/>
    <col min="9216" max="9216" width="17.109375" style="670" customWidth="1"/>
    <col min="9217" max="9217" width="16.44140625" style="670" customWidth="1"/>
    <col min="9218" max="9218" width="18.6640625" style="670" customWidth="1"/>
    <col min="9219" max="9219" width="20.21875" style="670" bestFit="1" customWidth="1"/>
    <col min="9220" max="9220" width="25.6640625" style="670" customWidth="1"/>
    <col min="9221" max="9221" width="19.44140625" style="670" bestFit="1" customWidth="1"/>
    <col min="9222" max="9222" width="21.109375" style="670" bestFit="1" customWidth="1"/>
    <col min="9223" max="9223" width="15.88671875" style="670" bestFit="1" customWidth="1"/>
    <col min="9224" max="9224" width="8.88671875" style="670"/>
    <col min="9225" max="9225" width="13.44140625" style="670" bestFit="1" customWidth="1"/>
    <col min="9226" max="9226" width="8.88671875" style="670"/>
    <col min="9227" max="9227" width="11.77734375" style="670" bestFit="1" customWidth="1"/>
    <col min="9228" max="9229" width="8.88671875" style="670"/>
    <col min="9230" max="9230" width="11.6640625" style="670" bestFit="1" customWidth="1"/>
    <col min="9231" max="9428" width="8.88671875" style="670"/>
    <col min="9429" max="9429" width="10" style="670" customWidth="1"/>
    <col min="9430" max="9430" width="64.44140625" style="670" customWidth="1"/>
    <col min="9431" max="9431" width="18.77734375" style="670" customWidth="1"/>
    <col min="9432" max="9432" width="11" style="670" customWidth="1"/>
    <col min="9433" max="9433" width="14.6640625" style="670" customWidth="1"/>
    <col min="9434" max="9434" width="18.6640625" style="670" customWidth="1"/>
    <col min="9435" max="9435" width="14.44140625" style="670" customWidth="1"/>
    <col min="9436" max="9436" width="18.21875" style="670" customWidth="1"/>
    <col min="9437" max="9437" width="15.6640625" style="670" customWidth="1"/>
    <col min="9438" max="9438" width="17.44140625" style="670" customWidth="1"/>
    <col min="9439" max="9439" width="15.6640625" style="670" customWidth="1"/>
    <col min="9440" max="9440" width="17.44140625" style="670" customWidth="1"/>
    <col min="9441" max="9441" width="17" style="670" customWidth="1"/>
    <col min="9442" max="9444" width="17.44140625" style="670" customWidth="1"/>
    <col min="9445" max="9445" width="14.77734375" style="670" customWidth="1"/>
    <col min="9446" max="9471" width="17.44140625" style="670" customWidth="1"/>
    <col min="9472" max="9472" width="17.109375" style="670" customWidth="1"/>
    <col min="9473" max="9473" width="16.44140625" style="670" customWidth="1"/>
    <col min="9474" max="9474" width="18.6640625" style="670" customWidth="1"/>
    <col min="9475" max="9475" width="20.21875" style="670" bestFit="1" customWidth="1"/>
    <col min="9476" max="9476" width="25.6640625" style="670" customWidth="1"/>
    <col min="9477" max="9477" width="19.44140625" style="670" bestFit="1" customWidth="1"/>
    <col min="9478" max="9478" width="21.109375" style="670" bestFit="1" customWidth="1"/>
    <col min="9479" max="9479" width="15.88671875" style="670" bestFit="1" customWidth="1"/>
    <col min="9480" max="9480" width="8.88671875" style="670"/>
    <col min="9481" max="9481" width="13.44140625" style="670" bestFit="1" customWidth="1"/>
    <col min="9482" max="9482" width="8.88671875" style="670"/>
    <col min="9483" max="9483" width="11.77734375" style="670" bestFit="1" customWidth="1"/>
    <col min="9484" max="9485" width="8.88671875" style="670"/>
    <col min="9486" max="9486" width="11.6640625" style="670" bestFit="1" customWidth="1"/>
    <col min="9487" max="9684" width="8.88671875" style="670"/>
    <col min="9685" max="9685" width="10" style="670" customWidth="1"/>
    <col min="9686" max="9686" width="64.44140625" style="670" customWidth="1"/>
    <col min="9687" max="9687" width="18.77734375" style="670" customWidth="1"/>
    <col min="9688" max="9688" width="11" style="670" customWidth="1"/>
    <col min="9689" max="9689" width="14.6640625" style="670" customWidth="1"/>
    <col min="9690" max="9690" width="18.6640625" style="670" customWidth="1"/>
    <col min="9691" max="9691" width="14.44140625" style="670" customWidth="1"/>
    <col min="9692" max="9692" width="18.21875" style="670" customWidth="1"/>
    <col min="9693" max="9693" width="15.6640625" style="670" customWidth="1"/>
    <col min="9694" max="9694" width="17.44140625" style="670" customWidth="1"/>
    <col min="9695" max="9695" width="15.6640625" style="670" customWidth="1"/>
    <col min="9696" max="9696" width="17.44140625" style="670" customWidth="1"/>
    <col min="9697" max="9697" width="17" style="670" customWidth="1"/>
    <col min="9698" max="9700" width="17.44140625" style="670" customWidth="1"/>
    <col min="9701" max="9701" width="14.77734375" style="670" customWidth="1"/>
    <col min="9702" max="9727" width="17.44140625" style="670" customWidth="1"/>
    <col min="9728" max="9728" width="17.109375" style="670" customWidth="1"/>
    <col min="9729" max="9729" width="16.44140625" style="670" customWidth="1"/>
    <col min="9730" max="9730" width="18.6640625" style="670" customWidth="1"/>
    <col min="9731" max="9731" width="20.21875" style="670" bestFit="1" customWidth="1"/>
    <col min="9732" max="9732" width="25.6640625" style="670" customWidth="1"/>
    <col min="9733" max="9733" width="19.44140625" style="670" bestFit="1" customWidth="1"/>
    <col min="9734" max="9734" width="21.109375" style="670" bestFit="1" customWidth="1"/>
    <col min="9735" max="9735" width="15.88671875" style="670" bestFit="1" customWidth="1"/>
    <col min="9736" max="9736" width="8.88671875" style="670"/>
    <col min="9737" max="9737" width="13.44140625" style="670" bestFit="1" customWidth="1"/>
    <col min="9738" max="9738" width="8.88671875" style="670"/>
    <col min="9739" max="9739" width="11.77734375" style="670" bestFit="1" customWidth="1"/>
    <col min="9740" max="9741" width="8.88671875" style="670"/>
    <col min="9742" max="9742" width="11.6640625" style="670" bestFit="1" customWidth="1"/>
    <col min="9743" max="9940" width="8.88671875" style="670"/>
    <col min="9941" max="9941" width="10" style="670" customWidth="1"/>
    <col min="9942" max="9942" width="64.44140625" style="670" customWidth="1"/>
    <col min="9943" max="9943" width="18.77734375" style="670" customWidth="1"/>
    <col min="9944" max="9944" width="11" style="670" customWidth="1"/>
    <col min="9945" max="9945" width="14.6640625" style="670" customWidth="1"/>
    <col min="9946" max="9946" width="18.6640625" style="670" customWidth="1"/>
    <col min="9947" max="9947" width="14.44140625" style="670" customWidth="1"/>
    <col min="9948" max="9948" width="18.21875" style="670" customWidth="1"/>
    <col min="9949" max="9949" width="15.6640625" style="670" customWidth="1"/>
    <col min="9950" max="9950" width="17.44140625" style="670" customWidth="1"/>
    <col min="9951" max="9951" width="15.6640625" style="670" customWidth="1"/>
    <col min="9952" max="9952" width="17.44140625" style="670" customWidth="1"/>
    <col min="9953" max="9953" width="17" style="670" customWidth="1"/>
    <col min="9954" max="9956" width="17.44140625" style="670" customWidth="1"/>
    <col min="9957" max="9957" width="14.77734375" style="670" customWidth="1"/>
    <col min="9958" max="9983" width="17.44140625" style="670" customWidth="1"/>
    <col min="9984" max="9984" width="17.109375" style="670" customWidth="1"/>
    <col min="9985" max="9985" width="16.44140625" style="670" customWidth="1"/>
    <col min="9986" max="9986" width="18.6640625" style="670" customWidth="1"/>
    <col min="9987" max="9987" width="20.21875" style="670" bestFit="1" customWidth="1"/>
    <col min="9988" max="9988" width="25.6640625" style="670" customWidth="1"/>
    <col min="9989" max="9989" width="19.44140625" style="670" bestFit="1" customWidth="1"/>
    <col min="9990" max="9990" width="21.109375" style="670" bestFit="1" customWidth="1"/>
    <col min="9991" max="9991" width="15.88671875" style="670" bestFit="1" customWidth="1"/>
    <col min="9992" max="9992" width="8.88671875" style="670"/>
    <col min="9993" max="9993" width="13.44140625" style="670" bestFit="1" customWidth="1"/>
    <col min="9994" max="9994" width="8.88671875" style="670"/>
    <col min="9995" max="9995" width="11.77734375" style="670" bestFit="1" customWidth="1"/>
    <col min="9996" max="9997" width="8.88671875" style="670"/>
    <col min="9998" max="9998" width="11.6640625" style="670" bestFit="1" customWidth="1"/>
    <col min="9999" max="10196" width="8.88671875" style="670"/>
    <col min="10197" max="10197" width="10" style="670" customWidth="1"/>
    <col min="10198" max="10198" width="64.44140625" style="670" customWidth="1"/>
    <col min="10199" max="10199" width="18.77734375" style="670" customWidth="1"/>
    <col min="10200" max="10200" width="11" style="670" customWidth="1"/>
    <col min="10201" max="10201" width="14.6640625" style="670" customWidth="1"/>
    <col min="10202" max="10202" width="18.6640625" style="670" customWidth="1"/>
    <col min="10203" max="10203" width="14.44140625" style="670" customWidth="1"/>
    <col min="10204" max="10204" width="18.21875" style="670" customWidth="1"/>
    <col min="10205" max="10205" width="15.6640625" style="670" customWidth="1"/>
    <col min="10206" max="10206" width="17.44140625" style="670" customWidth="1"/>
    <col min="10207" max="10207" width="15.6640625" style="670" customWidth="1"/>
    <col min="10208" max="10208" width="17.44140625" style="670" customWidth="1"/>
    <col min="10209" max="10209" width="17" style="670" customWidth="1"/>
    <col min="10210" max="10212" width="17.44140625" style="670" customWidth="1"/>
    <col min="10213" max="10213" width="14.77734375" style="670" customWidth="1"/>
    <col min="10214" max="10239" width="17.44140625" style="670" customWidth="1"/>
    <col min="10240" max="10240" width="17.109375" style="670" customWidth="1"/>
    <col min="10241" max="10241" width="16.44140625" style="670" customWidth="1"/>
    <col min="10242" max="10242" width="18.6640625" style="670" customWidth="1"/>
    <col min="10243" max="10243" width="20.21875" style="670" bestFit="1" customWidth="1"/>
    <col min="10244" max="10244" width="25.6640625" style="670" customWidth="1"/>
    <col min="10245" max="10245" width="19.44140625" style="670" bestFit="1" customWidth="1"/>
    <col min="10246" max="10246" width="21.109375" style="670" bestFit="1" customWidth="1"/>
    <col min="10247" max="10247" width="15.88671875" style="670" bestFit="1" customWidth="1"/>
    <col min="10248" max="10248" width="8.88671875" style="670"/>
    <col min="10249" max="10249" width="13.44140625" style="670" bestFit="1" customWidth="1"/>
    <col min="10250" max="10250" width="8.88671875" style="670"/>
    <col min="10251" max="10251" width="11.77734375" style="670" bestFit="1" customWidth="1"/>
    <col min="10252" max="10253" width="8.88671875" style="670"/>
    <col min="10254" max="10254" width="11.6640625" style="670" bestFit="1" customWidth="1"/>
    <col min="10255" max="10452" width="8.88671875" style="670"/>
    <col min="10453" max="10453" width="10" style="670" customWidth="1"/>
    <col min="10454" max="10454" width="64.44140625" style="670" customWidth="1"/>
    <col min="10455" max="10455" width="18.77734375" style="670" customWidth="1"/>
    <col min="10456" max="10456" width="11" style="670" customWidth="1"/>
    <col min="10457" max="10457" width="14.6640625" style="670" customWidth="1"/>
    <col min="10458" max="10458" width="18.6640625" style="670" customWidth="1"/>
    <col min="10459" max="10459" width="14.44140625" style="670" customWidth="1"/>
    <col min="10460" max="10460" width="18.21875" style="670" customWidth="1"/>
    <col min="10461" max="10461" width="15.6640625" style="670" customWidth="1"/>
    <col min="10462" max="10462" width="17.44140625" style="670" customWidth="1"/>
    <col min="10463" max="10463" width="15.6640625" style="670" customWidth="1"/>
    <col min="10464" max="10464" width="17.44140625" style="670" customWidth="1"/>
    <col min="10465" max="10465" width="17" style="670" customWidth="1"/>
    <col min="10466" max="10468" width="17.44140625" style="670" customWidth="1"/>
    <col min="10469" max="10469" width="14.77734375" style="670" customWidth="1"/>
    <col min="10470" max="10495" width="17.44140625" style="670" customWidth="1"/>
    <col min="10496" max="10496" width="17.109375" style="670" customWidth="1"/>
    <col min="10497" max="10497" width="16.44140625" style="670" customWidth="1"/>
    <col min="10498" max="10498" width="18.6640625" style="670" customWidth="1"/>
    <col min="10499" max="10499" width="20.21875" style="670" bestFit="1" customWidth="1"/>
    <col min="10500" max="10500" width="25.6640625" style="670" customWidth="1"/>
    <col min="10501" max="10501" width="19.44140625" style="670" bestFit="1" customWidth="1"/>
    <col min="10502" max="10502" width="21.109375" style="670" bestFit="1" customWidth="1"/>
    <col min="10503" max="10503" width="15.88671875" style="670" bestFit="1" customWidth="1"/>
    <col min="10504" max="10504" width="8.88671875" style="670"/>
    <col min="10505" max="10505" width="13.44140625" style="670" bestFit="1" customWidth="1"/>
    <col min="10506" max="10506" width="8.88671875" style="670"/>
    <col min="10507" max="10507" width="11.77734375" style="670" bestFit="1" customWidth="1"/>
    <col min="10508" max="10509" width="8.88671875" style="670"/>
    <col min="10510" max="10510" width="11.6640625" style="670" bestFit="1" customWidth="1"/>
    <col min="10511" max="10708" width="8.88671875" style="670"/>
    <col min="10709" max="10709" width="10" style="670" customWidth="1"/>
    <col min="10710" max="10710" width="64.44140625" style="670" customWidth="1"/>
    <col min="10711" max="10711" width="18.77734375" style="670" customWidth="1"/>
    <col min="10712" max="10712" width="11" style="670" customWidth="1"/>
    <col min="10713" max="10713" width="14.6640625" style="670" customWidth="1"/>
    <col min="10714" max="10714" width="18.6640625" style="670" customWidth="1"/>
    <col min="10715" max="10715" width="14.44140625" style="670" customWidth="1"/>
    <col min="10716" max="10716" width="18.21875" style="670" customWidth="1"/>
    <col min="10717" max="10717" width="15.6640625" style="670" customWidth="1"/>
    <col min="10718" max="10718" width="17.44140625" style="670" customWidth="1"/>
    <col min="10719" max="10719" width="15.6640625" style="670" customWidth="1"/>
    <col min="10720" max="10720" width="17.44140625" style="670" customWidth="1"/>
    <col min="10721" max="10721" width="17" style="670" customWidth="1"/>
    <col min="10722" max="10724" width="17.44140625" style="670" customWidth="1"/>
    <col min="10725" max="10725" width="14.77734375" style="670" customWidth="1"/>
    <col min="10726" max="10751" width="17.44140625" style="670" customWidth="1"/>
    <col min="10752" max="10752" width="17.109375" style="670" customWidth="1"/>
    <col min="10753" max="10753" width="16.44140625" style="670" customWidth="1"/>
    <col min="10754" max="10754" width="18.6640625" style="670" customWidth="1"/>
    <col min="10755" max="10755" width="20.21875" style="670" bestFit="1" customWidth="1"/>
    <col min="10756" max="10756" width="25.6640625" style="670" customWidth="1"/>
    <col min="10757" max="10757" width="19.44140625" style="670" bestFit="1" customWidth="1"/>
    <col min="10758" max="10758" width="21.109375" style="670" bestFit="1" customWidth="1"/>
    <col min="10759" max="10759" width="15.88671875" style="670" bestFit="1" customWidth="1"/>
    <col min="10760" max="10760" width="8.88671875" style="670"/>
    <col min="10761" max="10761" width="13.44140625" style="670" bestFit="1" customWidth="1"/>
    <col min="10762" max="10762" width="8.88671875" style="670"/>
    <col min="10763" max="10763" width="11.77734375" style="670" bestFit="1" customWidth="1"/>
    <col min="10764" max="10765" width="8.88671875" style="670"/>
    <col min="10766" max="10766" width="11.6640625" style="670" bestFit="1" customWidth="1"/>
    <col min="10767" max="10964" width="8.88671875" style="670"/>
    <col min="10965" max="10965" width="10" style="670" customWidth="1"/>
    <col min="10966" max="10966" width="64.44140625" style="670" customWidth="1"/>
    <col min="10967" max="10967" width="18.77734375" style="670" customWidth="1"/>
    <col min="10968" max="10968" width="11" style="670" customWidth="1"/>
    <col min="10969" max="10969" width="14.6640625" style="670" customWidth="1"/>
    <col min="10970" max="10970" width="18.6640625" style="670" customWidth="1"/>
    <col min="10971" max="10971" width="14.44140625" style="670" customWidth="1"/>
    <col min="10972" max="10972" width="18.21875" style="670" customWidth="1"/>
    <col min="10973" max="10973" width="15.6640625" style="670" customWidth="1"/>
    <col min="10974" max="10974" width="17.44140625" style="670" customWidth="1"/>
    <col min="10975" max="10975" width="15.6640625" style="670" customWidth="1"/>
    <col min="10976" max="10976" width="17.44140625" style="670" customWidth="1"/>
    <col min="10977" max="10977" width="17" style="670" customWidth="1"/>
    <col min="10978" max="10980" width="17.44140625" style="670" customWidth="1"/>
    <col min="10981" max="10981" width="14.77734375" style="670" customWidth="1"/>
    <col min="10982" max="11007" width="17.44140625" style="670" customWidth="1"/>
    <col min="11008" max="11008" width="17.109375" style="670" customWidth="1"/>
    <col min="11009" max="11009" width="16.44140625" style="670" customWidth="1"/>
    <col min="11010" max="11010" width="18.6640625" style="670" customWidth="1"/>
    <col min="11011" max="11011" width="20.21875" style="670" bestFit="1" customWidth="1"/>
    <col min="11012" max="11012" width="25.6640625" style="670" customWidth="1"/>
    <col min="11013" max="11013" width="19.44140625" style="670" bestFit="1" customWidth="1"/>
    <col min="11014" max="11014" width="21.109375" style="670" bestFit="1" customWidth="1"/>
    <col min="11015" max="11015" width="15.88671875" style="670" bestFit="1" customWidth="1"/>
    <col min="11016" max="11016" width="8.88671875" style="670"/>
    <col min="11017" max="11017" width="13.44140625" style="670" bestFit="1" customWidth="1"/>
    <col min="11018" max="11018" width="8.88671875" style="670"/>
    <col min="11019" max="11019" width="11.77734375" style="670" bestFit="1" customWidth="1"/>
    <col min="11020" max="11021" width="8.88671875" style="670"/>
    <col min="11022" max="11022" width="11.6640625" style="670" bestFit="1" customWidth="1"/>
    <col min="11023" max="11220" width="8.88671875" style="670"/>
    <col min="11221" max="11221" width="10" style="670" customWidth="1"/>
    <col min="11222" max="11222" width="64.44140625" style="670" customWidth="1"/>
    <col min="11223" max="11223" width="18.77734375" style="670" customWidth="1"/>
    <col min="11224" max="11224" width="11" style="670" customWidth="1"/>
    <col min="11225" max="11225" width="14.6640625" style="670" customWidth="1"/>
    <col min="11226" max="11226" width="18.6640625" style="670" customWidth="1"/>
    <col min="11227" max="11227" width="14.44140625" style="670" customWidth="1"/>
    <col min="11228" max="11228" width="18.21875" style="670" customWidth="1"/>
    <col min="11229" max="11229" width="15.6640625" style="670" customWidth="1"/>
    <col min="11230" max="11230" width="17.44140625" style="670" customWidth="1"/>
    <col min="11231" max="11231" width="15.6640625" style="670" customWidth="1"/>
    <col min="11232" max="11232" width="17.44140625" style="670" customWidth="1"/>
    <col min="11233" max="11233" width="17" style="670" customWidth="1"/>
    <col min="11234" max="11236" width="17.44140625" style="670" customWidth="1"/>
    <col min="11237" max="11237" width="14.77734375" style="670" customWidth="1"/>
    <col min="11238" max="11263" width="17.44140625" style="670" customWidth="1"/>
    <col min="11264" max="11264" width="17.109375" style="670" customWidth="1"/>
    <col min="11265" max="11265" width="16.44140625" style="670" customWidth="1"/>
    <col min="11266" max="11266" width="18.6640625" style="670" customWidth="1"/>
    <col min="11267" max="11267" width="20.21875" style="670" bestFit="1" customWidth="1"/>
    <col min="11268" max="11268" width="25.6640625" style="670" customWidth="1"/>
    <col min="11269" max="11269" width="19.44140625" style="670" bestFit="1" customWidth="1"/>
    <col min="11270" max="11270" width="21.109375" style="670" bestFit="1" customWidth="1"/>
    <col min="11271" max="11271" width="15.88671875" style="670" bestFit="1" customWidth="1"/>
    <col min="11272" max="11272" width="8.88671875" style="670"/>
    <col min="11273" max="11273" width="13.44140625" style="670" bestFit="1" customWidth="1"/>
    <col min="11274" max="11274" width="8.88671875" style="670"/>
    <col min="11275" max="11275" width="11.77734375" style="670" bestFit="1" customWidth="1"/>
    <col min="11276" max="11277" width="8.88671875" style="670"/>
    <col min="11278" max="11278" width="11.6640625" style="670" bestFit="1" customWidth="1"/>
    <col min="11279" max="11476" width="8.88671875" style="670"/>
    <col min="11477" max="11477" width="10" style="670" customWidth="1"/>
    <col min="11478" max="11478" width="64.44140625" style="670" customWidth="1"/>
    <col min="11479" max="11479" width="18.77734375" style="670" customWidth="1"/>
    <col min="11480" max="11480" width="11" style="670" customWidth="1"/>
    <col min="11481" max="11481" width="14.6640625" style="670" customWidth="1"/>
    <col min="11482" max="11482" width="18.6640625" style="670" customWidth="1"/>
    <col min="11483" max="11483" width="14.44140625" style="670" customWidth="1"/>
    <col min="11484" max="11484" width="18.21875" style="670" customWidth="1"/>
    <col min="11485" max="11485" width="15.6640625" style="670" customWidth="1"/>
    <col min="11486" max="11486" width="17.44140625" style="670" customWidth="1"/>
    <col min="11487" max="11487" width="15.6640625" style="670" customWidth="1"/>
    <col min="11488" max="11488" width="17.44140625" style="670" customWidth="1"/>
    <col min="11489" max="11489" width="17" style="670" customWidth="1"/>
    <col min="11490" max="11492" width="17.44140625" style="670" customWidth="1"/>
    <col min="11493" max="11493" width="14.77734375" style="670" customWidth="1"/>
    <col min="11494" max="11519" width="17.44140625" style="670" customWidth="1"/>
    <col min="11520" max="11520" width="17.109375" style="670" customWidth="1"/>
    <col min="11521" max="11521" width="16.44140625" style="670" customWidth="1"/>
    <col min="11522" max="11522" width="18.6640625" style="670" customWidth="1"/>
    <col min="11523" max="11523" width="20.21875" style="670" bestFit="1" customWidth="1"/>
    <col min="11524" max="11524" width="25.6640625" style="670" customWidth="1"/>
    <col min="11525" max="11525" width="19.44140625" style="670" bestFit="1" customWidth="1"/>
    <col min="11526" max="11526" width="21.109375" style="670" bestFit="1" customWidth="1"/>
    <col min="11527" max="11527" width="15.88671875" style="670" bestFit="1" customWidth="1"/>
    <col min="11528" max="11528" width="8.88671875" style="670"/>
    <col min="11529" max="11529" width="13.44140625" style="670" bestFit="1" customWidth="1"/>
    <col min="11530" max="11530" width="8.88671875" style="670"/>
    <col min="11531" max="11531" width="11.77734375" style="670" bestFit="1" customWidth="1"/>
    <col min="11532" max="11533" width="8.88671875" style="670"/>
    <col min="11534" max="11534" width="11.6640625" style="670" bestFit="1" customWidth="1"/>
    <col min="11535" max="11732" width="8.88671875" style="670"/>
    <col min="11733" max="11733" width="10" style="670" customWidth="1"/>
    <col min="11734" max="11734" width="64.44140625" style="670" customWidth="1"/>
    <col min="11735" max="11735" width="18.77734375" style="670" customWidth="1"/>
    <col min="11736" max="11736" width="11" style="670" customWidth="1"/>
    <col min="11737" max="11737" width="14.6640625" style="670" customWidth="1"/>
    <col min="11738" max="11738" width="18.6640625" style="670" customWidth="1"/>
    <col min="11739" max="11739" width="14.44140625" style="670" customWidth="1"/>
    <col min="11740" max="11740" width="18.21875" style="670" customWidth="1"/>
    <col min="11741" max="11741" width="15.6640625" style="670" customWidth="1"/>
    <col min="11742" max="11742" width="17.44140625" style="670" customWidth="1"/>
    <col min="11743" max="11743" width="15.6640625" style="670" customWidth="1"/>
    <col min="11744" max="11744" width="17.44140625" style="670" customWidth="1"/>
    <col min="11745" max="11745" width="17" style="670" customWidth="1"/>
    <col min="11746" max="11748" width="17.44140625" style="670" customWidth="1"/>
    <col min="11749" max="11749" width="14.77734375" style="670" customWidth="1"/>
    <col min="11750" max="11775" width="17.44140625" style="670" customWidth="1"/>
    <col min="11776" max="11776" width="17.109375" style="670" customWidth="1"/>
    <col min="11777" max="11777" width="16.44140625" style="670" customWidth="1"/>
    <col min="11778" max="11778" width="18.6640625" style="670" customWidth="1"/>
    <col min="11779" max="11779" width="20.21875" style="670" bestFit="1" customWidth="1"/>
    <col min="11780" max="11780" width="25.6640625" style="670" customWidth="1"/>
    <col min="11781" max="11781" width="19.44140625" style="670" bestFit="1" customWidth="1"/>
    <col min="11782" max="11782" width="21.109375" style="670" bestFit="1" customWidth="1"/>
    <col min="11783" max="11783" width="15.88671875" style="670" bestFit="1" customWidth="1"/>
    <col min="11784" max="11784" width="8.88671875" style="670"/>
    <col min="11785" max="11785" width="13.44140625" style="670" bestFit="1" customWidth="1"/>
    <col min="11786" max="11786" width="8.88671875" style="670"/>
    <col min="11787" max="11787" width="11.77734375" style="670" bestFit="1" customWidth="1"/>
    <col min="11788" max="11789" width="8.88671875" style="670"/>
    <col min="11790" max="11790" width="11.6640625" style="670" bestFit="1" customWidth="1"/>
    <col min="11791" max="11988" width="8.88671875" style="670"/>
    <col min="11989" max="11989" width="10" style="670" customWidth="1"/>
    <col min="11990" max="11990" width="64.44140625" style="670" customWidth="1"/>
    <col min="11991" max="11991" width="18.77734375" style="670" customWidth="1"/>
    <col min="11992" max="11992" width="11" style="670" customWidth="1"/>
    <col min="11993" max="11993" width="14.6640625" style="670" customWidth="1"/>
    <col min="11994" max="11994" width="18.6640625" style="670" customWidth="1"/>
    <col min="11995" max="11995" width="14.44140625" style="670" customWidth="1"/>
    <col min="11996" max="11996" width="18.21875" style="670" customWidth="1"/>
    <col min="11997" max="11997" width="15.6640625" style="670" customWidth="1"/>
    <col min="11998" max="11998" width="17.44140625" style="670" customWidth="1"/>
    <col min="11999" max="11999" width="15.6640625" style="670" customWidth="1"/>
    <col min="12000" max="12000" width="17.44140625" style="670" customWidth="1"/>
    <col min="12001" max="12001" width="17" style="670" customWidth="1"/>
    <col min="12002" max="12004" width="17.44140625" style="670" customWidth="1"/>
    <col min="12005" max="12005" width="14.77734375" style="670" customWidth="1"/>
    <col min="12006" max="12031" width="17.44140625" style="670" customWidth="1"/>
    <col min="12032" max="12032" width="17.109375" style="670" customWidth="1"/>
    <col min="12033" max="12033" width="16.44140625" style="670" customWidth="1"/>
    <col min="12034" max="12034" width="18.6640625" style="670" customWidth="1"/>
    <col min="12035" max="12035" width="20.21875" style="670" bestFit="1" customWidth="1"/>
    <col min="12036" max="12036" width="25.6640625" style="670" customWidth="1"/>
    <col min="12037" max="12037" width="19.44140625" style="670" bestFit="1" customWidth="1"/>
    <col min="12038" max="12038" width="21.109375" style="670" bestFit="1" customWidth="1"/>
    <col min="12039" max="12039" width="15.88671875" style="670" bestFit="1" customWidth="1"/>
    <col min="12040" max="12040" width="8.88671875" style="670"/>
    <col min="12041" max="12041" width="13.44140625" style="670" bestFit="1" customWidth="1"/>
    <col min="12042" max="12042" width="8.88671875" style="670"/>
    <col min="12043" max="12043" width="11.77734375" style="670" bestFit="1" customWidth="1"/>
    <col min="12044" max="12045" width="8.88671875" style="670"/>
    <col min="12046" max="12046" width="11.6640625" style="670" bestFit="1" customWidth="1"/>
    <col min="12047" max="12244" width="8.88671875" style="670"/>
    <col min="12245" max="12245" width="10" style="670" customWidth="1"/>
    <col min="12246" max="12246" width="64.44140625" style="670" customWidth="1"/>
    <col min="12247" max="12247" width="18.77734375" style="670" customWidth="1"/>
    <col min="12248" max="12248" width="11" style="670" customWidth="1"/>
    <col min="12249" max="12249" width="14.6640625" style="670" customWidth="1"/>
    <col min="12250" max="12250" width="18.6640625" style="670" customWidth="1"/>
    <col min="12251" max="12251" width="14.44140625" style="670" customWidth="1"/>
    <col min="12252" max="12252" width="18.21875" style="670" customWidth="1"/>
    <col min="12253" max="12253" width="15.6640625" style="670" customWidth="1"/>
    <col min="12254" max="12254" width="17.44140625" style="670" customWidth="1"/>
    <col min="12255" max="12255" width="15.6640625" style="670" customWidth="1"/>
    <col min="12256" max="12256" width="17.44140625" style="670" customWidth="1"/>
    <col min="12257" max="12257" width="17" style="670" customWidth="1"/>
    <col min="12258" max="12260" width="17.44140625" style="670" customWidth="1"/>
    <col min="12261" max="12261" width="14.77734375" style="670" customWidth="1"/>
    <col min="12262" max="12287" width="17.44140625" style="670" customWidth="1"/>
    <col min="12288" max="12288" width="17.109375" style="670" customWidth="1"/>
    <col min="12289" max="12289" width="16.44140625" style="670" customWidth="1"/>
    <col min="12290" max="12290" width="18.6640625" style="670" customWidth="1"/>
    <col min="12291" max="12291" width="20.21875" style="670" bestFit="1" customWidth="1"/>
    <col min="12292" max="12292" width="25.6640625" style="670" customWidth="1"/>
    <col min="12293" max="12293" width="19.44140625" style="670" bestFit="1" customWidth="1"/>
    <col min="12294" max="12294" width="21.109375" style="670" bestFit="1" customWidth="1"/>
    <col min="12295" max="12295" width="15.88671875" style="670" bestFit="1" customWidth="1"/>
    <col min="12296" max="12296" width="8.88671875" style="670"/>
    <col min="12297" max="12297" width="13.44140625" style="670" bestFit="1" customWidth="1"/>
    <col min="12298" max="12298" width="8.88671875" style="670"/>
    <col min="12299" max="12299" width="11.77734375" style="670" bestFit="1" customWidth="1"/>
    <col min="12300" max="12301" width="8.88671875" style="670"/>
    <col min="12302" max="12302" width="11.6640625" style="670" bestFit="1" customWidth="1"/>
    <col min="12303" max="12500" width="8.88671875" style="670"/>
    <col min="12501" max="12501" width="10" style="670" customWidth="1"/>
    <col min="12502" max="12502" width="64.44140625" style="670" customWidth="1"/>
    <col min="12503" max="12503" width="18.77734375" style="670" customWidth="1"/>
    <col min="12504" max="12504" width="11" style="670" customWidth="1"/>
    <col min="12505" max="12505" width="14.6640625" style="670" customWidth="1"/>
    <col min="12506" max="12506" width="18.6640625" style="670" customWidth="1"/>
    <col min="12507" max="12507" width="14.44140625" style="670" customWidth="1"/>
    <col min="12508" max="12508" width="18.21875" style="670" customWidth="1"/>
    <col min="12509" max="12509" width="15.6640625" style="670" customWidth="1"/>
    <col min="12510" max="12510" width="17.44140625" style="670" customWidth="1"/>
    <col min="12511" max="12511" width="15.6640625" style="670" customWidth="1"/>
    <col min="12512" max="12512" width="17.44140625" style="670" customWidth="1"/>
    <col min="12513" max="12513" width="17" style="670" customWidth="1"/>
    <col min="12514" max="12516" width="17.44140625" style="670" customWidth="1"/>
    <col min="12517" max="12517" width="14.77734375" style="670" customWidth="1"/>
    <col min="12518" max="12543" width="17.44140625" style="670" customWidth="1"/>
    <col min="12544" max="12544" width="17.109375" style="670" customWidth="1"/>
    <col min="12545" max="12545" width="16.44140625" style="670" customWidth="1"/>
    <col min="12546" max="12546" width="18.6640625" style="670" customWidth="1"/>
    <col min="12547" max="12547" width="20.21875" style="670" bestFit="1" customWidth="1"/>
    <col min="12548" max="12548" width="25.6640625" style="670" customWidth="1"/>
    <col min="12549" max="12549" width="19.44140625" style="670" bestFit="1" customWidth="1"/>
    <col min="12550" max="12550" width="21.109375" style="670" bestFit="1" customWidth="1"/>
    <col min="12551" max="12551" width="15.88671875" style="670" bestFit="1" customWidth="1"/>
    <col min="12552" max="12552" width="8.88671875" style="670"/>
    <col min="12553" max="12553" width="13.44140625" style="670" bestFit="1" customWidth="1"/>
    <col min="12554" max="12554" width="8.88671875" style="670"/>
    <col min="12555" max="12555" width="11.77734375" style="670" bestFit="1" customWidth="1"/>
    <col min="12556" max="12557" width="8.88671875" style="670"/>
    <col min="12558" max="12558" width="11.6640625" style="670" bestFit="1" customWidth="1"/>
    <col min="12559" max="12756" width="8.88671875" style="670"/>
    <col min="12757" max="12757" width="10" style="670" customWidth="1"/>
    <col min="12758" max="12758" width="64.44140625" style="670" customWidth="1"/>
    <col min="12759" max="12759" width="18.77734375" style="670" customWidth="1"/>
    <col min="12760" max="12760" width="11" style="670" customWidth="1"/>
    <col min="12761" max="12761" width="14.6640625" style="670" customWidth="1"/>
    <col min="12762" max="12762" width="18.6640625" style="670" customWidth="1"/>
    <col min="12763" max="12763" width="14.44140625" style="670" customWidth="1"/>
    <col min="12764" max="12764" width="18.21875" style="670" customWidth="1"/>
    <col min="12765" max="12765" width="15.6640625" style="670" customWidth="1"/>
    <col min="12766" max="12766" width="17.44140625" style="670" customWidth="1"/>
    <col min="12767" max="12767" width="15.6640625" style="670" customWidth="1"/>
    <col min="12768" max="12768" width="17.44140625" style="670" customWidth="1"/>
    <col min="12769" max="12769" width="17" style="670" customWidth="1"/>
    <col min="12770" max="12772" width="17.44140625" style="670" customWidth="1"/>
    <col min="12773" max="12773" width="14.77734375" style="670" customWidth="1"/>
    <col min="12774" max="12799" width="17.44140625" style="670" customWidth="1"/>
    <col min="12800" max="12800" width="17.109375" style="670" customWidth="1"/>
    <col min="12801" max="12801" width="16.44140625" style="670" customWidth="1"/>
    <col min="12802" max="12802" width="18.6640625" style="670" customWidth="1"/>
    <col min="12803" max="12803" width="20.21875" style="670" bestFit="1" customWidth="1"/>
    <col min="12804" max="12804" width="25.6640625" style="670" customWidth="1"/>
    <col min="12805" max="12805" width="19.44140625" style="670" bestFit="1" customWidth="1"/>
    <col min="12806" max="12806" width="21.109375" style="670" bestFit="1" customWidth="1"/>
    <col min="12807" max="12807" width="15.88671875" style="670" bestFit="1" customWidth="1"/>
    <col min="12808" max="12808" width="8.88671875" style="670"/>
    <col min="12809" max="12809" width="13.44140625" style="670" bestFit="1" customWidth="1"/>
    <col min="12810" max="12810" width="8.88671875" style="670"/>
    <col min="12811" max="12811" width="11.77734375" style="670" bestFit="1" customWidth="1"/>
    <col min="12812" max="12813" width="8.88671875" style="670"/>
    <col min="12814" max="12814" width="11.6640625" style="670" bestFit="1" customWidth="1"/>
    <col min="12815" max="13012" width="8.88671875" style="670"/>
    <col min="13013" max="13013" width="10" style="670" customWidth="1"/>
    <col min="13014" max="13014" width="64.44140625" style="670" customWidth="1"/>
    <col min="13015" max="13015" width="18.77734375" style="670" customWidth="1"/>
    <col min="13016" max="13016" width="11" style="670" customWidth="1"/>
    <col min="13017" max="13017" width="14.6640625" style="670" customWidth="1"/>
    <col min="13018" max="13018" width="18.6640625" style="670" customWidth="1"/>
    <col min="13019" max="13019" width="14.44140625" style="670" customWidth="1"/>
    <col min="13020" max="13020" width="18.21875" style="670" customWidth="1"/>
    <col min="13021" max="13021" width="15.6640625" style="670" customWidth="1"/>
    <col min="13022" max="13022" width="17.44140625" style="670" customWidth="1"/>
    <col min="13023" max="13023" width="15.6640625" style="670" customWidth="1"/>
    <col min="13024" max="13024" width="17.44140625" style="670" customWidth="1"/>
    <col min="13025" max="13025" width="17" style="670" customWidth="1"/>
    <col min="13026" max="13028" width="17.44140625" style="670" customWidth="1"/>
    <col min="13029" max="13029" width="14.77734375" style="670" customWidth="1"/>
    <col min="13030" max="13055" width="17.44140625" style="670" customWidth="1"/>
    <col min="13056" max="13056" width="17.109375" style="670" customWidth="1"/>
    <col min="13057" max="13057" width="16.44140625" style="670" customWidth="1"/>
    <col min="13058" max="13058" width="18.6640625" style="670" customWidth="1"/>
    <col min="13059" max="13059" width="20.21875" style="670" bestFit="1" customWidth="1"/>
    <col min="13060" max="13060" width="25.6640625" style="670" customWidth="1"/>
    <col min="13061" max="13061" width="19.44140625" style="670" bestFit="1" customWidth="1"/>
    <col min="13062" max="13062" width="21.109375" style="670" bestFit="1" customWidth="1"/>
    <col min="13063" max="13063" width="15.88671875" style="670" bestFit="1" customWidth="1"/>
    <col min="13064" max="13064" width="8.88671875" style="670"/>
    <col min="13065" max="13065" width="13.44140625" style="670" bestFit="1" customWidth="1"/>
    <col min="13066" max="13066" width="8.88671875" style="670"/>
    <col min="13067" max="13067" width="11.77734375" style="670" bestFit="1" customWidth="1"/>
    <col min="13068" max="13069" width="8.88671875" style="670"/>
    <col min="13070" max="13070" width="11.6640625" style="670" bestFit="1" customWidth="1"/>
    <col min="13071" max="13268" width="8.88671875" style="670"/>
    <col min="13269" max="13269" width="10" style="670" customWidth="1"/>
    <col min="13270" max="13270" width="64.44140625" style="670" customWidth="1"/>
    <col min="13271" max="13271" width="18.77734375" style="670" customWidth="1"/>
    <col min="13272" max="13272" width="11" style="670" customWidth="1"/>
    <col min="13273" max="13273" width="14.6640625" style="670" customWidth="1"/>
    <col min="13274" max="13274" width="18.6640625" style="670" customWidth="1"/>
    <col min="13275" max="13275" width="14.44140625" style="670" customWidth="1"/>
    <col min="13276" max="13276" width="18.21875" style="670" customWidth="1"/>
    <col min="13277" max="13277" width="15.6640625" style="670" customWidth="1"/>
    <col min="13278" max="13278" width="17.44140625" style="670" customWidth="1"/>
    <col min="13279" max="13279" width="15.6640625" style="670" customWidth="1"/>
    <col min="13280" max="13280" width="17.44140625" style="670" customWidth="1"/>
    <col min="13281" max="13281" width="17" style="670" customWidth="1"/>
    <col min="13282" max="13284" width="17.44140625" style="670" customWidth="1"/>
    <col min="13285" max="13285" width="14.77734375" style="670" customWidth="1"/>
    <col min="13286" max="13311" width="17.44140625" style="670" customWidth="1"/>
    <col min="13312" max="13312" width="17.109375" style="670" customWidth="1"/>
    <col min="13313" max="13313" width="16.44140625" style="670" customWidth="1"/>
    <col min="13314" max="13314" width="18.6640625" style="670" customWidth="1"/>
    <col min="13315" max="13315" width="20.21875" style="670" bestFit="1" customWidth="1"/>
    <col min="13316" max="13316" width="25.6640625" style="670" customWidth="1"/>
    <col min="13317" max="13317" width="19.44140625" style="670" bestFit="1" customWidth="1"/>
    <col min="13318" max="13318" width="21.109375" style="670" bestFit="1" customWidth="1"/>
    <col min="13319" max="13319" width="15.88671875" style="670" bestFit="1" customWidth="1"/>
    <col min="13320" max="13320" width="8.88671875" style="670"/>
    <col min="13321" max="13321" width="13.44140625" style="670" bestFit="1" customWidth="1"/>
    <col min="13322" max="13322" width="8.88671875" style="670"/>
    <col min="13323" max="13323" width="11.77734375" style="670" bestFit="1" customWidth="1"/>
    <col min="13324" max="13325" width="8.88671875" style="670"/>
    <col min="13326" max="13326" width="11.6640625" style="670" bestFit="1" customWidth="1"/>
    <col min="13327" max="13524" width="8.88671875" style="670"/>
    <col min="13525" max="13525" width="10" style="670" customWidth="1"/>
    <col min="13526" max="13526" width="64.44140625" style="670" customWidth="1"/>
    <col min="13527" max="13527" width="18.77734375" style="670" customWidth="1"/>
    <col min="13528" max="13528" width="11" style="670" customWidth="1"/>
    <col min="13529" max="13529" width="14.6640625" style="670" customWidth="1"/>
    <col min="13530" max="13530" width="18.6640625" style="670" customWidth="1"/>
    <col min="13531" max="13531" width="14.44140625" style="670" customWidth="1"/>
    <col min="13532" max="13532" width="18.21875" style="670" customWidth="1"/>
    <col min="13533" max="13533" width="15.6640625" style="670" customWidth="1"/>
    <col min="13534" max="13534" width="17.44140625" style="670" customWidth="1"/>
    <col min="13535" max="13535" width="15.6640625" style="670" customWidth="1"/>
    <col min="13536" max="13536" width="17.44140625" style="670" customWidth="1"/>
    <col min="13537" max="13537" width="17" style="670" customWidth="1"/>
    <col min="13538" max="13540" width="17.44140625" style="670" customWidth="1"/>
    <col min="13541" max="13541" width="14.77734375" style="670" customWidth="1"/>
    <col min="13542" max="13567" width="17.44140625" style="670" customWidth="1"/>
    <col min="13568" max="13568" width="17.109375" style="670" customWidth="1"/>
    <col min="13569" max="13569" width="16.44140625" style="670" customWidth="1"/>
    <col min="13570" max="13570" width="18.6640625" style="670" customWidth="1"/>
    <col min="13571" max="13571" width="20.21875" style="670" bestFit="1" customWidth="1"/>
    <col min="13572" max="13572" width="25.6640625" style="670" customWidth="1"/>
    <col min="13573" max="13573" width="19.44140625" style="670" bestFit="1" customWidth="1"/>
    <col min="13574" max="13574" width="21.109375" style="670" bestFit="1" customWidth="1"/>
    <col min="13575" max="13575" width="15.88671875" style="670" bestFit="1" customWidth="1"/>
    <col min="13576" max="13576" width="8.88671875" style="670"/>
    <col min="13577" max="13577" width="13.44140625" style="670" bestFit="1" customWidth="1"/>
    <col min="13578" max="13578" width="8.88671875" style="670"/>
    <col min="13579" max="13579" width="11.77734375" style="670" bestFit="1" customWidth="1"/>
    <col min="13580" max="13581" width="8.88671875" style="670"/>
    <col min="13582" max="13582" width="11.6640625" style="670" bestFit="1" customWidth="1"/>
    <col min="13583" max="13780" width="8.88671875" style="670"/>
    <col min="13781" max="13781" width="10" style="670" customWidth="1"/>
    <col min="13782" max="13782" width="64.44140625" style="670" customWidth="1"/>
    <col min="13783" max="13783" width="18.77734375" style="670" customWidth="1"/>
    <col min="13784" max="13784" width="11" style="670" customWidth="1"/>
    <col min="13785" max="13785" width="14.6640625" style="670" customWidth="1"/>
    <col min="13786" max="13786" width="18.6640625" style="670" customWidth="1"/>
    <col min="13787" max="13787" width="14.44140625" style="670" customWidth="1"/>
    <col min="13788" max="13788" width="18.21875" style="670" customWidth="1"/>
    <col min="13789" max="13789" width="15.6640625" style="670" customWidth="1"/>
    <col min="13790" max="13790" width="17.44140625" style="670" customWidth="1"/>
    <col min="13791" max="13791" width="15.6640625" style="670" customWidth="1"/>
    <col min="13792" max="13792" width="17.44140625" style="670" customWidth="1"/>
    <col min="13793" max="13793" width="17" style="670" customWidth="1"/>
    <col min="13794" max="13796" width="17.44140625" style="670" customWidth="1"/>
    <col min="13797" max="13797" width="14.77734375" style="670" customWidth="1"/>
    <col min="13798" max="13823" width="17.44140625" style="670" customWidth="1"/>
    <col min="13824" max="13824" width="17.109375" style="670" customWidth="1"/>
    <col min="13825" max="13825" width="16.44140625" style="670" customWidth="1"/>
    <col min="13826" max="13826" width="18.6640625" style="670" customWidth="1"/>
    <col min="13827" max="13827" width="20.21875" style="670" bestFit="1" customWidth="1"/>
    <col min="13828" max="13828" width="25.6640625" style="670" customWidth="1"/>
    <col min="13829" max="13829" width="19.44140625" style="670" bestFit="1" customWidth="1"/>
    <col min="13830" max="13830" width="21.109375" style="670" bestFit="1" customWidth="1"/>
    <col min="13831" max="13831" width="15.88671875" style="670" bestFit="1" customWidth="1"/>
    <col min="13832" max="13832" width="8.88671875" style="670"/>
    <col min="13833" max="13833" width="13.44140625" style="670" bestFit="1" customWidth="1"/>
    <col min="13834" max="13834" width="8.88671875" style="670"/>
    <col min="13835" max="13835" width="11.77734375" style="670" bestFit="1" customWidth="1"/>
    <col min="13836" max="13837" width="8.88671875" style="670"/>
    <col min="13838" max="13838" width="11.6640625" style="670" bestFit="1" customWidth="1"/>
    <col min="13839" max="14036" width="8.88671875" style="670"/>
    <col min="14037" max="14037" width="10" style="670" customWidth="1"/>
    <col min="14038" max="14038" width="64.44140625" style="670" customWidth="1"/>
    <col min="14039" max="14039" width="18.77734375" style="670" customWidth="1"/>
    <col min="14040" max="14040" width="11" style="670" customWidth="1"/>
    <col min="14041" max="14041" width="14.6640625" style="670" customWidth="1"/>
    <col min="14042" max="14042" width="18.6640625" style="670" customWidth="1"/>
    <col min="14043" max="14043" width="14.44140625" style="670" customWidth="1"/>
    <col min="14044" max="14044" width="18.21875" style="670" customWidth="1"/>
    <col min="14045" max="14045" width="15.6640625" style="670" customWidth="1"/>
    <col min="14046" max="14046" width="17.44140625" style="670" customWidth="1"/>
    <col min="14047" max="14047" width="15.6640625" style="670" customWidth="1"/>
    <col min="14048" max="14048" width="17.44140625" style="670" customWidth="1"/>
    <col min="14049" max="14049" width="17" style="670" customWidth="1"/>
    <col min="14050" max="14052" width="17.44140625" style="670" customWidth="1"/>
    <col min="14053" max="14053" width="14.77734375" style="670" customWidth="1"/>
    <col min="14054" max="14079" width="17.44140625" style="670" customWidth="1"/>
    <col min="14080" max="14080" width="17.109375" style="670" customWidth="1"/>
    <col min="14081" max="14081" width="16.44140625" style="670" customWidth="1"/>
    <col min="14082" max="14082" width="18.6640625" style="670" customWidth="1"/>
    <col min="14083" max="14083" width="20.21875" style="670" bestFit="1" customWidth="1"/>
    <col min="14084" max="14084" width="25.6640625" style="670" customWidth="1"/>
    <col min="14085" max="14085" width="19.44140625" style="670" bestFit="1" customWidth="1"/>
    <col min="14086" max="14086" width="21.109375" style="670" bestFit="1" customWidth="1"/>
    <col min="14087" max="14087" width="15.88671875" style="670" bestFit="1" customWidth="1"/>
    <col min="14088" max="14088" width="8.88671875" style="670"/>
    <col min="14089" max="14089" width="13.44140625" style="670" bestFit="1" customWidth="1"/>
    <col min="14090" max="14090" width="8.88671875" style="670"/>
    <col min="14091" max="14091" width="11.77734375" style="670" bestFit="1" customWidth="1"/>
    <col min="14092" max="14093" width="8.88671875" style="670"/>
    <col min="14094" max="14094" width="11.6640625" style="670" bestFit="1" customWidth="1"/>
    <col min="14095" max="14292" width="8.88671875" style="670"/>
    <col min="14293" max="14293" width="10" style="670" customWidth="1"/>
    <col min="14294" max="14294" width="64.44140625" style="670" customWidth="1"/>
    <col min="14295" max="14295" width="18.77734375" style="670" customWidth="1"/>
    <col min="14296" max="14296" width="11" style="670" customWidth="1"/>
    <col min="14297" max="14297" width="14.6640625" style="670" customWidth="1"/>
    <col min="14298" max="14298" width="18.6640625" style="670" customWidth="1"/>
    <col min="14299" max="14299" width="14.44140625" style="670" customWidth="1"/>
    <col min="14300" max="14300" width="18.21875" style="670" customWidth="1"/>
    <col min="14301" max="14301" width="15.6640625" style="670" customWidth="1"/>
    <col min="14302" max="14302" width="17.44140625" style="670" customWidth="1"/>
    <col min="14303" max="14303" width="15.6640625" style="670" customWidth="1"/>
    <col min="14304" max="14304" width="17.44140625" style="670" customWidth="1"/>
    <col min="14305" max="14305" width="17" style="670" customWidth="1"/>
    <col min="14306" max="14308" width="17.44140625" style="670" customWidth="1"/>
    <col min="14309" max="14309" width="14.77734375" style="670" customWidth="1"/>
    <col min="14310" max="14335" width="17.44140625" style="670" customWidth="1"/>
    <col min="14336" max="14336" width="17.109375" style="670" customWidth="1"/>
    <col min="14337" max="14337" width="16.44140625" style="670" customWidth="1"/>
    <col min="14338" max="14338" width="18.6640625" style="670" customWidth="1"/>
    <col min="14339" max="14339" width="20.21875" style="670" bestFit="1" customWidth="1"/>
    <col min="14340" max="14340" width="25.6640625" style="670" customWidth="1"/>
    <col min="14341" max="14341" width="19.44140625" style="670" bestFit="1" customWidth="1"/>
    <col min="14342" max="14342" width="21.109375" style="670" bestFit="1" customWidth="1"/>
    <col min="14343" max="14343" width="15.88671875" style="670" bestFit="1" customWidth="1"/>
    <col min="14344" max="14344" width="8.88671875" style="670"/>
    <col min="14345" max="14345" width="13.44140625" style="670" bestFit="1" customWidth="1"/>
    <col min="14346" max="14346" width="8.88671875" style="670"/>
    <col min="14347" max="14347" width="11.77734375" style="670" bestFit="1" customWidth="1"/>
    <col min="14348" max="14349" width="8.88671875" style="670"/>
    <col min="14350" max="14350" width="11.6640625" style="670" bestFit="1" customWidth="1"/>
    <col min="14351" max="14548" width="8.88671875" style="670"/>
    <col min="14549" max="14549" width="10" style="670" customWidth="1"/>
    <col min="14550" max="14550" width="64.44140625" style="670" customWidth="1"/>
    <col min="14551" max="14551" width="18.77734375" style="670" customWidth="1"/>
    <col min="14552" max="14552" width="11" style="670" customWidth="1"/>
    <col min="14553" max="14553" width="14.6640625" style="670" customWidth="1"/>
    <col min="14554" max="14554" width="18.6640625" style="670" customWidth="1"/>
    <col min="14555" max="14555" width="14.44140625" style="670" customWidth="1"/>
    <col min="14556" max="14556" width="18.21875" style="670" customWidth="1"/>
    <col min="14557" max="14557" width="15.6640625" style="670" customWidth="1"/>
    <col min="14558" max="14558" width="17.44140625" style="670" customWidth="1"/>
    <col min="14559" max="14559" width="15.6640625" style="670" customWidth="1"/>
    <col min="14560" max="14560" width="17.44140625" style="670" customWidth="1"/>
    <col min="14561" max="14561" width="17" style="670" customWidth="1"/>
    <col min="14562" max="14564" width="17.44140625" style="670" customWidth="1"/>
    <col min="14565" max="14565" width="14.77734375" style="670" customWidth="1"/>
    <col min="14566" max="14591" width="17.44140625" style="670" customWidth="1"/>
    <col min="14592" max="14592" width="17.109375" style="670" customWidth="1"/>
    <col min="14593" max="14593" width="16.44140625" style="670" customWidth="1"/>
    <col min="14594" max="14594" width="18.6640625" style="670" customWidth="1"/>
    <col min="14595" max="14595" width="20.21875" style="670" bestFit="1" customWidth="1"/>
    <col min="14596" max="14596" width="25.6640625" style="670" customWidth="1"/>
    <col min="14597" max="14597" width="19.44140625" style="670" bestFit="1" customWidth="1"/>
    <col min="14598" max="14598" width="21.109375" style="670" bestFit="1" customWidth="1"/>
    <col min="14599" max="14599" width="15.88671875" style="670" bestFit="1" customWidth="1"/>
    <col min="14600" max="14600" width="8.88671875" style="670"/>
    <col min="14601" max="14601" width="13.44140625" style="670" bestFit="1" customWidth="1"/>
    <col min="14602" max="14602" width="8.88671875" style="670"/>
    <col min="14603" max="14603" width="11.77734375" style="670" bestFit="1" customWidth="1"/>
    <col min="14604" max="14605" width="8.88671875" style="670"/>
    <col min="14606" max="14606" width="11.6640625" style="670" bestFit="1" customWidth="1"/>
    <col min="14607" max="14804" width="8.88671875" style="670"/>
    <col min="14805" max="14805" width="10" style="670" customWidth="1"/>
    <col min="14806" max="14806" width="64.44140625" style="670" customWidth="1"/>
    <col min="14807" max="14807" width="18.77734375" style="670" customWidth="1"/>
    <col min="14808" max="14808" width="11" style="670" customWidth="1"/>
    <col min="14809" max="14809" width="14.6640625" style="670" customWidth="1"/>
    <col min="14810" max="14810" width="18.6640625" style="670" customWidth="1"/>
    <col min="14811" max="14811" width="14.44140625" style="670" customWidth="1"/>
    <col min="14812" max="14812" width="18.21875" style="670" customWidth="1"/>
    <col min="14813" max="14813" width="15.6640625" style="670" customWidth="1"/>
    <col min="14814" max="14814" width="17.44140625" style="670" customWidth="1"/>
    <col min="14815" max="14815" width="15.6640625" style="670" customWidth="1"/>
    <col min="14816" max="14816" width="17.44140625" style="670" customWidth="1"/>
    <col min="14817" max="14817" width="17" style="670" customWidth="1"/>
    <col min="14818" max="14820" width="17.44140625" style="670" customWidth="1"/>
    <col min="14821" max="14821" width="14.77734375" style="670" customWidth="1"/>
    <col min="14822" max="14847" width="17.44140625" style="670" customWidth="1"/>
    <col min="14848" max="14848" width="17.109375" style="670" customWidth="1"/>
    <col min="14849" max="14849" width="16.44140625" style="670" customWidth="1"/>
    <col min="14850" max="14850" width="18.6640625" style="670" customWidth="1"/>
    <col min="14851" max="14851" width="20.21875" style="670" bestFit="1" customWidth="1"/>
    <col min="14852" max="14852" width="25.6640625" style="670" customWidth="1"/>
    <col min="14853" max="14853" width="19.44140625" style="670" bestFit="1" customWidth="1"/>
    <col min="14854" max="14854" width="21.109375" style="670" bestFit="1" customWidth="1"/>
    <col min="14855" max="14855" width="15.88671875" style="670" bestFit="1" customWidth="1"/>
    <col min="14856" max="14856" width="8.88671875" style="670"/>
    <col min="14857" max="14857" width="13.44140625" style="670" bestFit="1" customWidth="1"/>
    <col min="14858" max="14858" width="8.88671875" style="670"/>
    <col min="14859" max="14859" width="11.77734375" style="670" bestFit="1" customWidth="1"/>
    <col min="14860" max="14861" width="8.88671875" style="670"/>
    <col min="14862" max="14862" width="11.6640625" style="670" bestFit="1" customWidth="1"/>
    <col min="14863" max="15060" width="8.88671875" style="670"/>
    <col min="15061" max="15061" width="10" style="670" customWidth="1"/>
    <col min="15062" max="15062" width="64.44140625" style="670" customWidth="1"/>
    <col min="15063" max="15063" width="18.77734375" style="670" customWidth="1"/>
    <col min="15064" max="15064" width="11" style="670" customWidth="1"/>
    <col min="15065" max="15065" width="14.6640625" style="670" customWidth="1"/>
    <col min="15066" max="15066" width="18.6640625" style="670" customWidth="1"/>
    <col min="15067" max="15067" width="14.44140625" style="670" customWidth="1"/>
    <col min="15068" max="15068" width="18.21875" style="670" customWidth="1"/>
    <col min="15069" max="15069" width="15.6640625" style="670" customWidth="1"/>
    <col min="15070" max="15070" width="17.44140625" style="670" customWidth="1"/>
    <col min="15071" max="15071" width="15.6640625" style="670" customWidth="1"/>
    <col min="15072" max="15072" width="17.44140625" style="670" customWidth="1"/>
    <col min="15073" max="15073" width="17" style="670" customWidth="1"/>
    <col min="15074" max="15076" width="17.44140625" style="670" customWidth="1"/>
    <col min="15077" max="15077" width="14.77734375" style="670" customWidth="1"/>
    <col min="15078" max="15103" width="17.44140625" style="670" customWidth="1"/>
    <col min="15104" max="15104" width="17.109375" style="670" customWidth="1"/>
    <col min="15105" max="15105" width="16.44140625" style="670" customWidth="1"/>
    <col min="15106" max="15106" width="18.6640625" style="670" customWidth="1"/>
    <col min="15107" max="15107" width="20.21875" style="670" bestFit="1" customWidth="1"/>
    <col min="15108" max="15108" width="25.6640625" style="670" customWidth="1"/>
    <col min="15109" max="15109" width="19.44140625" style="670" bestFit="1" customWidth="1"/>
    <col min="15110" max="15110" width="21.109375" style="670" bestFit="1" customWidth="1"/>
    <col min="15111" max="15111" width="15.88671875" style="670" bestFit="1" customWidth="1"/>
    <col min="15112" max="15112" width="8.88671875" style="670"/>
    <col min="15113" max="15113" width="13.44140625" style="670" bestFit="1" customWidth="1"/>
    <col min="15114" max="15114" width="8.88671875" style="670"/>
    <col min="15115" max="15115" width="11.77734375" style="670" bestFit="1" customWidth="1"/>
    <col min="15116" max="15117" width="8.88671875" style="670"/>
    <col min="15118" max="15118" width="11.6640625" style="670" bestFit="1" customWidth="1"/>
    <col min="15119" max="15316" width="8.88671875" style="670"/>
    <col min="15317" max="15317" width="10" style="670" customWidth="1"/>
    <col min="15318" max="15318" width="64.44140625" style="670" customWidth="1"/>
    <col min="15319" max="15319" width="18.77734375" style="670" customWidth="1"/>
    <col min="15320" max="15320" width="11" style="670" customWidth="1"/>
    <col min="15321" max="15321" width="14.6640625" style="670" customWidth="1"/>
    <col min="15322" max="15322" width="18.6640625" style="670" customWidth="1"/>
    <col min="15323" max="15323" width="14.44140625" style="670" customWidth="1"/>
    <col min="15324" max="15324" width="18.21875" style="670" customWidth="1"/>
    <col min="15325" max="15325" width="15.6640625" style="670" customWidth="1"/>
    <col min="15326" max="15326" width="17.44140625" style="670" customWidth="1"/>
    <col min="15327" max="15327" width="15.6640625" style="670" customWidth="1"/>
    <col min="15328" max="15328" width="17.44140625" style="670" customWidth="1"/>
    <col min="15329" max="15329" width="17" style="670" customWidth="1"/>
    <col min="15330" max="15332" width="17.44140625" style="670" customWidth="1"/>
    <col min="15333" max="15333" width="14.77734375" style="670" customWidth="1"/>
    <col min="15334" max="15359" width="17.44140625" style="670" customWidth="1"/>
    <col min="15360" max="15360" width="17.109375" style="670" customWidth="1"/>
    <col min="15361" max="15361" width="16.44140625" style="670" customWidth="1"/>
    <col min="15362" max="15362" width="18.6640625" style="670" customWidth="1"/>
    <col min="15363" max="15363" width="20.21875" style="670" bestFit="1" customWidth="1"/>
    <col min="15364" max="15364" width="25.6640625" style="670" customWidth="1"/>
    <col min="15365" max="15365" width="19.44140625" style="670" bestFit="1" customWidth="1"/>
    <col min="15366" max="15366" width="21.109375" style="670" bestFit="1" customWidth="1"/>
    <col min="15367" max="15367" width="15.88671875" style="670" bestFit="1" customWidth="1"/>
    <col min="15368" max="15368" width="8.88671875" style="670"/>
    <col min="15369" max="15369" width="13.44140625" style="670" bestFit="1" customWidth="1"/>
    <col min="15370" max="15370" width="8.88671875" style="670"/>
    <col min="15371" max="15371" width="11.77734375" style="670" bestFit="1" customWidth="1"/>
    <col min="15372" max="15373" width="8.88671875" style="670"/>
    <col min="15374" max="15374" width="11.6640625" style="670" bestFit="1" customWidth="1"/>
    <col min="15375" max="15572" width="8.88671875" style="670"/>
    <col min="15573" max="15573" width="10" style="670" customWidth="1"/>
    <col min="15574" max="15574" width="64.44140625" style="670" customWidth="1"/>
    <col min="15575" max="15575" width="18.77734375" style="670" customWidth="1"/>
    <col min="15576" max="15576" width="11" style="670" customWidth="1"/>
    <col min="15577" max="15577" width="14.6640625" style="670" customWidth="1"/>
    <col min="15578" max="15578" width="18.6640625" style="670" customWidth="1"/>
    <col min="15579" max="15579" width="14.44140625" style="670" customWidth="1"/>
    <col min="15580" max="15580" width="18.21875" style="670" customWidth="1"/>
    <col min="15581" max="15581" width="15.6640625" style="670" customWidth="1"/>
    <col min="15582" max="15582" width="17.44140625" style="670" customWidth="1"/>
    <col min="15583" max="15583" width="15.6640625" style="670" customWidth="1"/>
    <col min="15584" max="15584" width="17.44140625" style="670" customWidth="1"/>
    <col min="15585" max="15585" width="17" style="670" customWidth="1"/>
    <col min="15586" max="15588" width="17.44140625" style="670" customWidth="1"/>
    <col min="15589" max="15589" width="14.77734375" style="670" customWidth="1"/>
    <col min="15590" max="15615" width="17.44140625" style="670" customWidth="1"/>
    <col min="15616" max="15616" width="17.109375" style="670" customWidth="1"/>
    <col min="15617" max="15617" width="16.44140625" style="670" customWidth="1"/>
    <col min="15618" max="15618" width="18.6640625" style="670" customWidth="1"/>
    <col min="15619" max="15619" width="20.21875" style="670" bestFit="1" customWidth="1"/>
    <col min="15620" max="15620" width="25.6640625" style="670" customWidth="1"/>
    <col min="15621" max="15621" width="19.44140625" style="670" bestFit="1" customWidth="1"/>
    <col min="15622" max="15622" width="21.109375" style="670" bestFit="1" customWidth="1"/>
    <col min="15623" max="15623" width="15.88671875" style="670" bestFit="1" customWidth="1"/>
    <col min="15624" max="15624" width="8.88671875" style="670"/>
    <col min="15625" max="15625" width="13.44140625" style="670" bestFit="1" customWidth="1"/>
    <col min="15626" max="15626" width="8.88671875" style="670"/>
    <col min="15627" max="15627" width="11.77734375" style="670" bestFit="1" customWidth="1"/>
    <col min="15628" max="15629" width="8.88671875" style="670"/>
    <col min="15630" max="15630" width="11.6640625" style="670" bestFit="1" customWidth="1"/>
    <col min="15631" max="15828" width="8.88671875" style="670"/>
    <col min="15829" max="15829" width="10" style="670" customWidth="1"/>
    <col min="15830" max="15830" width="64.44140625" style="670" customWidth="1"/>
    <col min="15831" max="15831" width="18.77734375" style="670" customWidth="1"/>
    <col min="15832" max="15832" width="11" style="670" customWidth="1"/>
    <col min="15833" max="15833" width="14.6640625" style="670" customWidth="1"/>
    <col min="15834" max="15834" width="18.6640625" style="670" customWidth="1"/>
    <col min="15835" max="15835" width="14.44140625" style="670" customWidth="1"/>
    <col min="15836" max="15836" width="18.21875" style="670" customWidth="1"/>
    <col min="15837" max="15837" width="15.6640625" style="670" customWidth="1"/>
    <col min="15838" max="15838" width="17.44140625" style="670" customWidth="1"/>
    <col min="15839" max="15839" width="15.6640625" style="670" customWidth="1"/>
    <col min="15840" max="15840" width="17.44140625" style="670" customWidth="1"/>
    <col min="15841" max="15841" width="17" style="670" customWidth="1"/>
    <col min="15842" max="15844" width="17.44140625" style="670" customWidth="1"/>
    <col min="15845" max="15845" width="14.77734375" style="670" customWidth="1"/>
    <col min="15846" max="15871" width="17.44140625" style="670" customWidth="1"/>
    <col min="15872" max="15872" width="17.109375" style="670" customWidth="1"/>
    <col min="15873" max="15873" width="16.44140625" style="670" customWidth="1"/>
    <col min="15874" max="15874" width="18.6640625" style="670" customWidth="1"/>
    <col min="15875" max="15875" width="20.21875" style="670" bestFit="1" customWidth="1"/>
    <col min="15876" max="15876" width="25.6640625" style="670" customWidth="1"/>
    <col min="15877" max="15877" width="19.44140625" style="670" bestFit="1" customWidth="1"/>
    <col min="15878" max="15878" width="21.109375" style="670" bestFit="1" customWidth="1"/>
    <col min="15879" max="15879" width="15.88671875" style="670" bestFit="1" customWidth="1"/>
    <col min="15880" max="15880" width="8.88671875" style="670"/>
    <col min="15881" max="15881" width="13.44140625" style="670" bestFit="1" customWidth="1"/>
    <col min="15882" max="15882" width="8.88671875" style="670"/>
    <col min="15883" max="15883" width="11.77734375" style="670" bestFit="1" customWidth="1"/>
    <col min="15884" max="15885" width="8.88671875" style="670"/>
    <col min="15886" max="15886" width="11.6640625" style="670" bestFit="1" customWidth="1"/>
    <col min="15887" max="16084" width="8.88671875" style="670"/>
    <col min="16085" max="16085" width="10" style="670" customWidth="1"/>
    <col min="16086" max="16086" width="64.44140625" style="670" customWidth="1"/>
    <col min="16087" max="16087" width="18.77734375" style="670" customWidth="1"/>
    <col min="16088" max="16088" width="11" style="670" customWidth="1"/>
    <col min="16089" max="16089" width="14.6640625" style="670" customWidth="1"/>
    <col min="16090" max="16090" width="18.6640625" style="670" customWidth="1"/>
    <col min="16091" max="16091" width="14.44140625" style="670" customWidth="1"/>
    <col min="16092" max="16092" width="18.21875" style="670" customWidth="1"/>
    <col min="16093" max="16093" width="15.6640625" style="670" customWidth="1"/>
    <col min="16094" max="16094" width="17.44140625" style="670" customWidth="1"/>
    <col min="16095" max="16095" width="15.6640625" style="670" customWidth="1"/>
    <col min="16096" max="16096" width="17.44140625" style="670" customWidth="1"/>
    <col min="16097" max="16097" width="17" style="670" customWidth="1"/>
    <col min="16098" max="16100" width="17.44140625" style="670" customWidth="1"/>
    <col min="16101" max="16101" width="14.77734375" style="670" customWidth="1"/>
    <col min="16102" max="16127" width="17.44140625" style="670" customWidth="1"/>
    <col min="16128" max="16128" width="17.109375" style="670" customWidth="1"/>
    <col min="16129" max="16129" width="16.44140625" style="670" customWidth="1"/>
    <col min="16130" max="16130" width="18.6640625" style="670" customWidth="1"/>
    <col min="16131" max="16131" width="20.21875" style="670" bestFit="1" customWidth="1"/>
    <col min="16132" max="16132" width="25.6640625" style="670" customWidth="1"/>
    <col min="16133" max="16133" width="19.44140625" style="670" bestFit="1" customWidth="1"/>
    <col min="16134" max="16134" width="21.109375" style="670" bestFit="1" customWidth="1"/>
    <col min="16135" max="16135" width="15.88671875" style="670" bestFit="1" customWidth="1"/>
    <col min="16136" max="16136" width="8.88671875" style="670"/>
    <col min="16137" max="16137" width="13.44140625" style="670" bestFit="1" customWidth="1"/>
    <col min="16138" max="16138" width="8.88671875" style="670"/>
    <col min="16139" max="16139" width="11.77734375" style="670" bestFit="1" customWidth="1"/>
    <col min="16140" max="16141" width="8.88671875" style="670"/>
    <col min="16142" max="16142" width="11.6640625" style="670" bestFit="1" customWidth="1"/>
    <col min="16143" max="16384" width="8.88671875" style="670"/>
  </cols>
  <sheetData>
    <row r="1" spans="1:8" s="651" customFormat="1" ht="72.75" customHeight="1">
      <c r="A1" s="1449" t="s">
        <v>2048</v>
      </c>
      <c r="B1" s="1450"/>
      <c r="C1" s="1450"/>
      <c r="D1" s="1450"/>
      <c r="E1" s="1450"/>
      <c r="F1" s="1450"/>
      <c r="G1" s="807"/>
      <c r="H1" s="807"/>
    </row>
    <row r="2" spans="1:8" s="651" customFormat="1" ht="72.75" customHeight="1">
      <c r="A2" s="804"/>
      <c r="B2" s="805"/>
      <c r="C2" s="805" t="s">
        <v>2052</v>
      </c>
      <c r="D2" s="805"/>
      <c r="E2" s="805"/>
      <c r="F2" s="805"/>
      <c r="G2" s="805"/>
      <c r="H2" s="805"/>
    </row>
    <row r="3" spans="1:8" s="653" customFormat="1" ht="75" customHeight="1">
      <c r="A3" s="1448" t="s">
        <v>544</v>
      </c>
      <c r="B3" s="1505" t="s">
        <v>8</v>
      </c>
      <c r="C3" s="1448" t="s">
        <v>1231</v>
      </c>
      <c r="D3" s="1448" t="s">
        <v>1339</v>
      </c>
      <c r="E3" s="1448" t="s">
        <v>215</v>
      </c>
      <c r="F3" s="1505" t="s">
        <v>1340</v>
      </c>
      <c r="G3" s="1451" t="s">
        <v>1358</v>
      </c>
      <c r="H3" s="1452"/>
    </row>
    <row r="4" spans="1:8" s="653" customFormat="1" ht="57.75" customHeight="1">
      <c r="A4" s="1448"/>
      <c r="B4" s="1506"/>
      <c r="C4" s="1448"/>
      <c r="D4" s="1448"/>
      <c r="E4" s="1448"/>
      <c r="F4" s="1506"/>
      <c r="G4" s="655" t="s">
        <v>214</v>
      </c>
      <c r="H4" s="655" t="s">
        <v>1340</v>
      </c>
    </row>
    <row r="5" spans="1:8" s="653" customFormat="1" ht="26.25">
      <c r="A5" s="657"/>
      <c r="B5" s="657"/>
      <c r="C5" s="658"/>
      <c r="D5" s="657"/>
      <c r="E5" s="658"/>
      <c r="F5" s="658"/>
      <c r="G5" s="657"/>
      <c r="H5" s="657"/>
    </row>
    <row r="6" spans="1:8" s="677" customFormat="1" ht="46.5" hidden="1" customHeight="1">
      <c r="A6" s="662">
        <v>1.2</v>
      </c>
      <c r="B6" s="666"/>
      <c r="C6" s="663" t="s">
        <v>1365</v>
      </c>
      <c r="D6" s="675"/>
      <c r="E6" s="674"/>
      <c r="F6" s="663">
        <f t="shared" ref="F6:F15" si="0">H6</f>
        <v>0</v>
      </c>
      <c r="G6" s="675"/>
      <c r="H6" s="667">
        <f t="shared" ref="H6:H69" si="1">G6*D6</f>
        <v>0</v>
      </c>
    </row>
    <row r="7" spans="1:8" s="677" customFormat="1" ht="25.5" hidden="1" customHeight="1">
      <c r="A7" s="662"/>
      <c r="B7" s="666"/>
      <c r="C7" s="663" t="s">
        <v>63</v>
      </c>
      <c r="D7" s="675">
        <f>ROUND([14]Data!K90,2)</f>
        <v>193.2</v>
      </c>
      <c r="E7" s="674" t="s">
        <v>235</v>
      </c>
      <c r="F7" s="663">
        <f t="shared" si="0"/>
        <v>0</v>
      </c>
      <c r="G7" s="675"/>
      <c r="H7" s="667">
        <f t="shared" si="1"/>
        <v>0</v>
      </c>
    </row>
    <row r="8" spans="1:8" s="677" customFormat="1" ht="25.5" hidden="1" customHeight="1">
      <c r="A8" s="662"/>
      <c r="B8" s="666"/>
      <c r="C8" s="663" t="s">
        <v>1364</v>
      </c>
      <c r="D8" s="675">
        <f>ROUND([14]Data!K91,2)</f>
        <v>202.5</v>
      </c>
      <c r="E8" s="674" t="s">
        <v>235</v>
      </c>
      <c r="F8" s="663">
        <f t="shared" si="0"/>
        <v>0</v>
      </c>
      <c r="G8" s="675"/>
      <c r="H8" s="667">
        <f t="shared" si="1"/>
        <v>0</v>
      </c>
    </row>
    <row r="9" spans="1:8" ht="60" hidden="1" customHeight="1">
      <c r="A9" s="673">
        <v>1.3</v>
      </c>
      <c r="B9" s="666"/>
      <c r="C9" s="674" t="s">
        <v>1366</v>
      </c>
      <c r="D9" s="675"/>
      <c r="E9" s="674" t="s">
        <v>220</v>
      </c>
      <c r="F9" s="663">
        <f t="shared" si="0"/>
        <v>0</v>
      </c>
      <c r="G9" s="675"/>
      <c r="H9" s="667">
        <f t="shared" si="1"/>
        <v>0</v>
      </c>
    </row>
    <row r="10" spans="1:8" ht="41.25" hidden="1" customHeight="1">
      <c r="A10" s="673"/>
      <c r="B10" s="666"/>
      <c r="C10" s="674" t="s">
        <v>63</v>
      </c>
      <c r="D10" s="675">
        <f>ROUND([14]Data!K101,2)</f>
        <v>299</v>
      </c>
      <c r="E10" s="674" t="s">
        <v>235</v>
      </c>
      <c r="F10" s="663">
        <f t="shared" si="0"/>
        <v>0</v>
      </c>
      <c r="G10" s="675"/>
      <c r="H10" s="667">
        <f t="shared" si="1"/>
        <v>0</v>
      </c>
    </row>
    <row r="11" spans="1:8" s="677" customFormat="1" ht="25.5" hidden="1" customHeight="1">
      <c r="A11" s="662"/>
      <c r="B11" s="666"/>
      <c r="C11" s="663" t="s">
        <v>1364</v>
      </c>
      <c r="D11" s="675">
        <f>ROUND([14]Data!K102,2)</f>
        <v>308.3</v>
      </c>
      <c r="E11" s="674" t="s">
        <v>235</v>
      </c>
      <c r="F11" s="663">
        <f t="shared" si="0"/>
        <v>0</v>
      </c>
      <c r="G11" s="675"/>
      <c r="H11" s="667">
        <f t="shared" si="1"/>
        <v>0</v>
      </c>
    </row>
    <row r="12" spans="1:8" s="677" customFormat="1" ht="46.5" hidden="1" customHeight="1">
      <c r="A12" s="662">
        <v>1.4</v>
      </c>
      <c r="B12" s="666"/>
      <c r="C12" s="663" t="s">
        <v>1367</v>
      </c>
      <c r="D12" s="675"/>
      <c r="E12" s="674"/>
      <c r="F12" s="663">
        <f t="shared" si="0"/>
        <v>0</v>
      </c>
      <c r="G12" s="675"/>
      <c r="H12" s="667">
        <f t="shared" si="1"/>
        <v>0</v>
      </c>
    </row>
    <row r="13" spans="1:8" s="677" customFormat="1" ht="25.5" hidden="1" customHeight="1">
      <c r="A13" s="662"/>
      <c r="B13" s="666"/>
      <c r="C13" s="663" t="s">
        <v>63</v>
      </c>
      <c r="D13" s="675">
        <f>ROUND([14]Data!K116,2)</f>
        <v>107.8</v>
      </c>
      <c r="E13" s="674" t="s">
        <v>235</v>
      </c>
      <c r="F13" s="663">
        <f t="shared" si="0"/>
        <v>0</v>
      </c>
      <c r="G13" s="675"/>
      <c r="H13" s="667">
        <f t="shared" si="1"/>
        <v>0</v>
      </c>
    </row>
    <row r="14" spans="1:8" s="677" customFormat="1" ht="25.5" hidden="1" customHeight="1">
      <c r="A14" s="662"/>
      <c r="B14" s="666"/>
      <c r="C14" s="663" t="s">
        <v>1364</v>
      </c>
      <c r="D14" s="675">
        <f>ROUND([14]Data!L116,2)</f>
        <v>117.1</v>
      </c>
      <c r="E14" s="674" t="s">
        <v>235</v>
      </c>
      <c r="F14" s="663">
        <f t="shared" si="0"/>
        <v>0</v>
      </c>
      <c r="G14" s="675"/>
      <c r="H14" s="667">
        <f t="shared" si="1"/>
        <v>0</v>
      </c>
    </row>
    <row r="15" spans="1:8" ht="56.25" customHeight="1">
      <c r="A15" s="662">
        <v>1.5</v>
      </c>
      <c r="B15" s="666"/>
      <c r="C15" s="663" t="s">
        <v>1368</v>
      </c>
      <c r="D15" s="667"/>
      <c r="E15" s="663" t="s">
        <v>220</v>
      </c>
      <c r="F15" s="663">
        <f t="shared" si="0"/>
        <v>0</v>
      </c>
      <c r="G15" s="667"/>
      <c r="H15" s="667">
        <f t="shared" si="1"/>
        <v>0</v>
      </c>
    </row>
    <row r="16" spans="1:8" ht="45.75" customHeight="1">
      <c r="A16" s="662"/>
      <c r="B16" s="666">
        <v>4.1500000000000004</v>
      </c>
      <c r="C16" s="663" t="s">
        <v>63</v>
      </c>
      <c r="D16" s="667">
        <f>ROUND([14]Data!K118,2)</f>
        <v>96.6</v>
      </c>
      <c r="E16" s="663" t="s">
        <v>235</v>
      </c>
      <c r="F16" s="663">
        <f>B16*D16</f>
        <v>400.89</v>
      </c>
      <c r="G16" s="667">
        <f>'PAVER ROAD'!$G$11</f>
        <v>4.1500000000000004</v>
      </c>
      <c r="H16" s="667">
        <f t="shared" si="1"/>
        <v>400.89</v>
      </c>
    </row>
    <row r="17" spans="1:8" ht="38.25" hidden="1" customHeight="1">
      <c r="A17" s="673"/>
      <c r="B17" s="666"/>
      <c r="C17" s="674" t="s">
        <v>1364</v>
      </c>
      <c r="D17" s="675">
        <f>ROUND([14]Data!K119,2)</f>
        <v>105.9</v>
      </c>
      <c r="E17" s="674" t="s">
        <v>235</v>
      </c>
      <c r="F17" s="663">
        <f t="shared" ref="F17:F80" si="2">B17*D17</f>
        <v>0</v>
      </c>
      <c r="G17" s="675"/>
      <c r="H17" s="667">
        <f t="shared" si="1"/>
        <v>0</v>
      </c>
    </row>
    <row r="18" spans="1:8" s="677" customFormat="1" ht="25.5" hidden="1" customHeight="1">
      <c r="A18" s="662"/>
      <c r="B18" s="666"/>
      <c r="C18" s="663" t="s">
        <v>1369</v>
      </c>
      <c r="D18" s="675">
        <f>ROUND([14]Data!K120,2)</f>
        <v>115.2</v>
      </c>
      <c r="E18" s="674" t="s">
        <v>235</v>
      </c>
      <c r="F18" s="663">
        <f t="shared" si="2"/>
        <v>0</v>
      </c>
      <c r="G18" s="675"/>
      <c r="H18" s="667">
        <f t="shared" si="1"/>
        <v>0</v>
      </c>
    </row>
    <row r="19" spans="1:8" s="677" customFormat="1" ht="25.5" hidden="1" customHeight="1">
      <c r="A19" s="662"/>
      <c r="B19" s="666"/>
      <c r="C19" s="663" t="s">
        <v>1370</v>
      </c>
      <c r="D19" s="675">
        <f>ROUND([14]Data!K121,2)</f>
        <v>124.5</v>
      </c>
      <c r="E19" s="674" t="s">
        <v>235</v>
      </c>
      <c r="F19" s="663">
        <f t="shared" si="2"/>
        <v>0</v>
      </c>
      <c r="G19" s="675"/>
      <c r="H19" s="667">
        <f t="shared" si="1"/>
        <v>0</v>
      </c>
    </row>
    <row r="20" spans="1:8" s="677" customFormat="1" ht="51" hidden="1" customHeight="1">
      <c r="A20" s="662">
        <v>1.6</v>
      </c>
      <c r="B20" s="666"/>
      <c r="C20" s="663" t="s">
        <v>1371</v>
      </c>
      <c r="D20" s="667"/>
      <c r="E20" s="663"/>
      <c r="F20" s="663">
        <f t="shared" si="2"/>
        <v>0</v>
      </c>
      <c r="G20" s="667"/>
      <c r="H20" s="667">
        <f t="shared" si="1"/>
        <v>0</v>
      </c>
    </row>
    <row r="21" spans="1:8" s="677" customFormat="1" ht="43.5" hidden="1" customHeight="1">
      <c r="A21" s="662"/>
      <c r="B21" s="666"/>
      <c r="C21" s="663" t="s">
        <v>63</v>
      </c>
      <c r="D21" s="675">
        <f>ROUND([14]Data!K133,2)</f>
        <v>144.9</v>
      </c>
      <c r="E21" s="674" t="s">
        <v>235</v>
      </c>
      <c r="F21" s="663">
        <f t="shared" si="2"/>
        <v>0</v>
      </c>
      <c r="G21" s="675"/>
      <c r="H21" s="667">
        <f t="shared" si="1"/>
        <v>0</v>
      </c>
    </row>
    <row r="22" spans="1:8" s="677" customFormat="1" ht="25.5" hidden="1" customHeight="1">
      <c r="A22" s="662"/>
      <c r="B22" s="666"/>
      <c r="C22" s="663" t="s">
        <v>1364</v>
      </c>
      <c r="D22" s="675">
        <f>ROUND([14]Data!K134,2)</f>
        <v>154.19999999999999</v>
      </c>
      <c r="E22" s="674" t="s">
        <v>235</v>
      </c>
      <c r="F22" s="663">
        <f t="shared" si="2"/>
        <v>0</v>
      </c>
      <c r="G22" s="675"/>
      <c r="H22" s="667">
        <f t="shared" si="1"/>
        <v>0</v>
      </c>
    </row>
    <row r="23" spans="1:8" s="677" customFormat="1" ht="46.5" hidden="1" customHeight="1">
      <c r="A23" s="662">
        <v>1.7</v>
      </c>
      <c r="B23" s="666"/>
      <c r="C23" s="663" t="s">
        <v>1372</v>
      </c>
      <c r="D23" s="675"/>
      <c r="E23" s="674" t="s">
        <v>220</v>
      </c>
      <c r="F23" s="663">
        <f t="shared" si="2"/>
        <v>0</v>
      </c>
      <c r="G23" s="675"/>
      <c r="H23" s="667">
        <f t="shared" si="1"/>
        <v>0</v>
      </c>
    </row>
    <row r="24" spans="1:8" s="677" customFormat="1" ht="25.5" hidden="1" customHeight="1">
      <c r="A24" s="662"/>
      <c r="B24" s="666"/>
      <c r="C24" s="663" t="s">
        <v>63</v>
      </c>
      <c r="D24" s="675">
        <f>ROUND([14]Data!K104,2)</f>
        <v>287.8</v>
      </c>
      <c r="E24" s="674" t="s">
        <v>235</v>
      </c>
      <c r="F24" s="663">
        <f t="shared" si="2"/>
        <v>0</v>
      </c>
      <c r="G24" s="675"/>
      <c r="H24" s="667">
        <f t="shared" si="1"/>
        <v>0</v>
      </c>
    </row>
    <row r="25" spans="1:8" s="677" customFormat="1" ht="25.5" hidden="1" customHeight="1">
      <c r="A25" s="662"/>
      <c r="B25" s="666"/>
      <c r="C25" s="663" t="s">
        <v>1364</v>
      </c>
      <c r="D25" s="675">
        <f>ROUND([14]Data!K105,2)</f>
        <v>297.10000000000002</v>
      </c>
      <c r="E25" s="674" t="s">
        <v>235</v>
      </c>
      <c r="F25" s="663">
        <f t="shared" si="2"/>
        <v>0</v>
      </c>
      <c r="G25" s="675"/>
      <c r="H25" s="667">
        <f t="shared" si="1"/>
        <v>0</v>
      </c>
    </row>
    <row r="26" spans="1:8" s="677" customFormat="1" ht="46.5" hidden="1" customHeight="1">
      <c r="A26" s="662">
        <v>1.8</v>
      </c>
      <c r="B26" s="666"/>
      <c r="C26" s="663" t="s">
        <v>1373</v>
      </c>
      <c r="D26" s="675"/>
      <c r="E26" s="674" t="s">
        <v>220</v>
      </c>
      <c r="F26" s="663">
        <f t="shared" si="2"/>
        <v>0</v>
      </c>
      <c r="G26" s="675"/>
      <c r="H26" s="667">
        <f t="shared" si="1"/>
        <v>0</v>
      </c>
    </row>
    <row r="27" spans="1:8" s="682" customFormat="1" ht="25.5" hidden="1" customHeight="1">
      <c r="A27" s="662"/>
      <c r="B27" s="666"/>
      <c r="C27" s="663" t="s">
        <v>63</v>
      </c>
      <c r="D27" s="675">
        <f>ROUND([14]Data!K129,2)</f>
        <v>143.9</v>
      </c>
      <c r="E27" s="674" t="s">
        <v>235</v>
      </c>
      <c r="F27" s="663">
        <f t="shared" si="2"/>
        <v>0</v>
      </c>
      <c r="G27" s="675"/>
      <c r="H27" s="667">
        <f t="shared" si="1"/>
        <v>0</v>
      </c>
    </row>
    <row r="28" spans="1:8" s="677" customFormat="1" ht="25.5" hidden="1" customHeight="1">
      <c r="A28" s="662"/>
      <c r="B28" s="666"/>
      <c r="C28" s="663" t="s">
        <v>1364</v>
      </c>
      <c r="D28" s="675">
        <f>ROUND([14]Data!K130,2)</f>
        <v>153.19999999999999</v>
      </c>
      <c r="E28" s="674" t="s">
        <v>235</v>
      </c>
      <c r="F28" s="663">
        <f t="shared" si="2"/>
        <v>0</v>
      </c>
      <c r="G28" s="675"/>
      <c r="H28" s="667">
        <f t="shared" si="1"/>
        <v>0</v>
      </c>
    </row>
    <row r="29" spans="1:8" s="677" customFormat="1" ht="25.5" hidden="1" customHeight="1">
      <c r="A29" s="662">
        <v>1.9</v>
      </c>
      <c r="B29" s="666"/>
      <c r="C29" s="663" t="s">
        <v>1374</v>
      </c>
      <c r="D29" s="675"/>
      <c r="E29" s="674"/>
      <c r="F29" s="663">
        <f t="shared" si="2"/>
        <v>0</v>
      </c>
      <c r="G29" s="675"/>
      <c r="H29" s="667">
        <f t="shared" si="1"/>
        <v>0</v>
      </c>
    </row>
    <row r="30" spans="1:8" s="677" customFormat="1" ht="26.25" hidden="1" customHeight="1">
      <c r="A30" s="662"/>
      <c r="B30" s="666"/>
      <c r="C30" s="663" t="s">
        <v>1375</v>
      </c>
      <c r="D30" s="675"/>
      <c r="E30" s="674" t="s">
        <v>61</v>
      </c>
      <c r="F30" s="663">
        <f t="shared" si="2"/>
        <v>0</v>
      </c>
      <c r="G30" s="675"/>
      <c r="H30" s="667">
        <f t="shared" si="1"/>
        <v>0</v>
      </c>
    </row>
    <row r="31" spans="1:8" s="677" customFormat="1" ht="25.5" hidden="1" customHeight="1">
      <c r="A31" s="662"/>
      <c r="B31" s="666"/>
      <c r="C31" s="663" t="s">
        <v>1376</v>
      </c>
      <c r="D31" s="675"/>
      <c r="E31" s="674" t="s">
        <v>61</v>
      </c>
      <c r="F31" s="663">
        <f t="shared" si="2"/>
        <v>0</v>
      </c>
      <c r="G31" s="675"/>
      <c r="H31" s="667">
        <f t="shared" si="1"/>
        <v>0</v>
      </c>
    </row>
    <row r="32" spans="1:8" s="677" customFormat="1" ht="25.5" hidden="1" customHeight="1">
      <c r="A32" s="662"/>
      <c r="B32" s="666"/>
      <c r="C32" s="663" t="s">
        <v>1377</v>
      </c>
      <c r="D32" s="675"/>
      <c r="E32" s="674" t="s">
        <v>61</v>
      </c>
      <c r="F32" s="663">
        <f t="shared" si="2"/>
        <v>0</v>
      </c>
      <c r="G32" s="675"/>
      <c r="H32" s="667">
        <f t="shared" si="1"/>
        <v>0</v>
      </c>
    </row>
    <row r="33" spans="1:11" s="677" customFormat="1" ht="25.5" hidden="1" customHeight="1">
      <c r="A33" s="662"/>
      <c r="B33" s="666"/>
      <c r="C33" s="663" t="s">
        <v>1378</v>
      </c>
      <c r="D33" s="675"/>
      <c r="E33" s="674" t="s">
        <v>61</v>
      </c>
      <c r="F33" s="663">
        <f t="shared" si="2"/>
        <v>0</v>
      </c>
      <c r="G33" s="675"/>
      <c r="H33" s="667">
        <f t="shared" si="1"/>
        <v>0</v>
      </c>
    </row>
    <row r="34" spans="1:11" s="677" customFormat="1" ht="25.5" hidden="1" customHeight="1">
      <c r="A34" s="662"/>
      <c r="B34" s="666"/>
      <c r="C34" s="663" t="s">
        <v>1379</v>
      </c>
      <c r="D34" s="675"/>
      <c r="E34" s="674" t="s">
        <v>61</v>
      </c>
      <c r="F34" s="663">
        <f t="shared" si="2"/>
        <v>0</v>
      </c>
      <c r="G34" s="675"/>
      <c r="H34" s="667">
        <f t="shared" si="1"/>
        <v>0</v>
      </c>
    </row>
    <row r="35" spans="1:11" s="677" customFormat="1" ht="18.75" hidden="1" customHeight="1">
      <c r="A35" s="662"/>
      <c r="B35" s="666"/>
      <c r="C35" s="663" t="s">
        <v>1380</v>
      </c>
      <c r="D35" s="675"/>
      <c r="E35" s="674" t="s">
        <v>61</v>
      </c>
      <c r="F35" s="663">
        <f t="shared" si="2"/>
        <v>0</v>
      </c>
      <c r="G35" s="675"/>
      <c r="H35" s="667">
        <f t="shared" si="1"/>
        <v>0</v>
      </c>
    </row>
    <row r="36" spans="1:11" s="683" customFormat="1" ht="43.5" customHeight="1">
      <c r="A36" s="662">
        <v>2.1</v>
      </c>
      <c r="B36" s="666">
        <v>6</v>
      </c>
      <c r="C36" s="663" t="s">
        <v>509</v>
      </c>
      <c r="D36" s="667">
        <f>SP!D36</f>
        <v>1864.56</v>
      </c>
      <c r="E36" s="663" t="s">
        <v>235</v>
      </c>
      <c r="F36" s="663">
        <f t="shared" si="2"/>
        <v>11187.36</v>
      </c>
      <c r="G36" s="667">
        <f>'PAVER ROAD'!$G$41</f>
        <v>6</v>
      </c>
      <c r="H36" s="667">
        <f t="shared" si="1"/>
        <v>11187.36</v>
      </c>
    </row>
    <row r="37" spans="1:11" s="677" customFormat="1" ht="24" hidden="1" customHeight="1">
      <c r="A37" s="662">
        <v>2.2000000000000002</v>
      </c>
      <c r="B37" s="666"/>
      <c r="C37" s="663" t="s">
        <v>1381</v>
      </c>
      <c r="D37" s="675">
        <f>ROUND([14]Data!K161,2)</f>
        <v>1556.79</v>
      </c>
      <c r="E37" s="674" t="s">
        <v>235</v>
      </c>
      <c r="F37" s="663">
        <f t="shared" si="2"/>
        <v>0</v>
      </c>
      <c r="G37" s="675"/>
      <c r="H37" s="667">
        <f t="shared" si="1"/>
        <v>0</v>
      </c>
    </row>
    <row r="38" spans="1:11" ht="46.5" hidden="1" customHeight="1">
      <c r="A38" s="673">
        <v>2.2999999999999998</v>
      </c>
      <c r="B38" s="666"/>
      <c r="C38" s="674" t="s">
        <v>19</v>
      </c>
      <c r="D38" s="675">
        <f>ROUND([14]Data!C165,2)</f>
        <v>837.3</v>
      </c>
      <c r="E38" s="674" t="s">
        <v>235</v>
      </c>
      <c r="F38" s="663">
        <f t="shared" si="2"/>
        <v>0</v>
      </c>
      <c r="G38" s="675"/>
      <c r="H38" s="667">
        <f t="shared" si="1"/>
        <v>0</v>
      </c>
    </row>
    <row r="39" spans="1:11" ht="46.5" hidden="1" customHeight="1">
      <c r="A39" s="673">
        <v>2.4</v>
      </c>
      <c r="B39" s="666"/>
      <c r="C39" s="674" t="s">
        <v>20</v>
      </c>
      <c r="D39" s="675">
        <f>ROUND([14]Data!C166,2)</f>
        <v>916.3</v>
      </c>
      <c r="E39" s="674" t="s">
        <v>235</v>
      </c>
      <c r="F39" s="663">
        <f t="shared" si="2"/>
        <v>0</v>
      </c>
      <c r="G39" s="675"/>
      <c r="H39" s="667">
        <f t="shared" si="1"/>
        <v>0</v>
      </c>
    </row>
    <row r="40" spans="1:11" s="677" customFormat="1" ht="22.5" hidden="1" customHeight="1">
      <c r="A40" s="662">
        <v>2.5</v>
      </c>
      <c r="B40" s="666"/>
      <c r="C40" s="663" t="s">
        <v>1382</v>
      </c>
      <c r="D40" s="675">
        <f>ROUND([14]Data!K189,2)</f>
        <v>441.45</v>
      </c>
      <c r="E40" s="674" t="s">
        <v>235</v>
      </c>
      <c r="F40" s="663">
        <f t="shared" si="2"/>
        <v>0</v>
      </c>
      <c r="G40" s="675"/>
      <c r="H40" s="667">
        <f t="shared" si="1"/>
        <v>0</v>
      </c>
    </row>
    <row r="41" spans="1:11" s="683" customFormat="1" ht="48" customHeight="1">
      <c r="A41" s="662">
        <v>3.1</v>
      </c>
      <c r="B41" s="666">
        <v>1.38025</v>
      </c>
      <c r="C41" s="663" t="s">
        <v>1385</v>
      </c>
      <c r="D41" s="667">
        <f>[8]Abst!$D$32</f>
        <v>4858.32</v>
      </c>
      <c r="E41" s="663" t="s">
        <v>235</v>
      </c>
      <c r="F41" s="663">
        <f t="shared" si="2"/>
        <v>6705.6961799999999</v>
      </c>
      <c r="G41" s="667">
        <f>'PAVER ROAD'!$G$18</f>
        <v>1.38025</v>
      </c>
      <c r="H41" s="667">
        <f t="shared" si="1"/>
        <v>6705.6961799999999</v>
      </c>
    </row>
    <row r="42" spans="1:11" ht="60" customHeight="1">
      <c r="A42" s="662">
        <v>3.2</v>
      </c>
      <c r="B42" s="666"/>
      <c r="C42" s="663" t="s">
        <v>1386</v>
      </c>
      <c r="D42" s="667"/>
      <c r="E42" s="663" t="s">
        <v>235</v>
      </c>
      <c r="F42" s="663">
        <f t="shared" si="2"/>
        <v>0</v>
      </c>
      <c r="G42" s="667"/>
      <c r="H42" s="667">
        <f t="shared" si="1"/>
        <v>0</v>
      </c>
    </row>
    <row r="43" spans="1:11" s="677" customFormat="1" ht="56.25" hidden="1" customHeight="1">
      <c r="A43" s="662">
        <v>3.3</v>
      </c>
      <c r="B43" s="666"/>
      <c r="C43" s="663" t="s">
        <v>1387</v>
      </c>
      <c r="D43" s="675">
        <f>ROUND([14]Data!K234,2)</f>
        <v>3839.63</v>
      </c>
      <c r="E43" s="674" t="s">
        <v>235</v>
      </c>
      <c r="F43" s="663">
        <f t="shared" si="2"/>
        <v>0</v>
      </c>
      <c r="G43" s="675"/>
      <c r="H43" s="667">
        <f t="shared" si="1"/>
        <v>0</v>
      </c>
      <c r="K43" s="677">
        <f>4360-145</f>
        <v>4215</v>
      </c>
    </row>
    <row r="44" spans="1:11" s="677" customFormat="1" ht="46.5" hidden="1" customHeight="1">
      <c r="A44" s="662">
        <v>3.4</v>
      </c>
      <c r="B44" s="666"/>
      <c r="C44" s="663" t="s">
        <v>1388</v>
      </c>
      <c r="D44" s="675"/>
      <c r="E44" s="674" t="s">
        <v>264</v>
      </c>
      <c r="F44" s="663">
        <f t="shared" si="2"/>
        <v>0</v>
      </c>
      <c r="G44" s="675"/>
      <c r="H44" s="667">
        <f t="shared" si="1"/>
        <v>0</v>
      </c>
    </row>
    <row r="45" spans="1:11" s="677" customFormat="1" ht="25.5" hidden="1" customHeight="1">
      <c r="A45" s="662">
        <v>3.5</v>
      </c>
      <c r="B45" s="666"/>
      <c r="C45" s="663" t="s">
        <v>1389</v>
      </c>
      <c r="D45" s="675"/>
      <c r="E45" s="674" t="s">
        <v>264</v>
      </c>
      <c r="F45" s="663">
        <f t="shared" si="2"/>
        <v>0</v>
      </c>
      <c r="G45" s="675"/>
      <c r="H45" s="667">
        <f t="shared" si="1"/>
        <v>0</v>
      </c>
    </row>
    <row r="46" spans="1:11" s="677" customFormat="1" ht="93" hidden="1" customHeight="1">
      <c r="A46" s="662">
        <v>3.6</v>
      </c>
      <c r="B46" s="666"/>
      <c r="C46" s="663" t="s">
        <v>1390</v>
      </c>
      <c r="D46" s="675">
        <f>ROUND([14]Data!K249,2)</f>
        <v>215.1</v>
      </c>
      <c r="E46" s="674" t="s">
        <v>264</v>
      </c>
      <c r="F46" s="663">
        <f t="shared" si="2"/>
        <v>0</v>
      </c>
      <c r="G46" s="675"/>
      <c r="H46" s="667">
        <f t="shared" si="1"/>
        <v>0</v>
      </c>
    </row>
    <row r="47" spans="1:11" s="677" customFormat="1" ht="46.5" hidden="1" customHeight="1">
      <c r="A47" s="662">
        <v>3.7</v>
      </c>
      <c r="B47" s="666"/>
      <c r="C47" s="663" t="s">
        <v>1391</v>
      </c>
      <c r="D47" s="675">
        <f>ROUND([14]Data!K261,2)</f>
        <v>149.82</v>
      </c>
      <c r="E47" s="674" t="s">
        <v>264</v>
      </c>
      <c r="F47" s="663">
        <f t="shared" si="2"/>
        <v>0</v>
      </c>
      <c r="G47" s="675"/>
      <c r="H47" s="667">
        <f t="shared" si="1"/>
        <v>0</v>
      </c>
    </row>
    <row r="48" spans="1:11" s="677" customFormat="1" ht="25.5" hidden="1" customHeight="1">
      <c r="A48" s="662">
        <v>4.0999999999999996</v>
      </c>
      <c r="B48" s="666"/>
      <c r="C48" s="685" t="s">
        <v>1392</v>
      </c>
      <c r="D48" s="675">
        <f>ROUND([14]Data!K285,2)</f>
        <v>7554.26</v>
      </c>
      <c r="E48" s="674" t="s">
        <v>235</v>
      </c>
      <c r="F48" s="663">
        <f t="shared" si="2"/>
        <v>0</v>
      </c>
      <c r="G48" s="675"/>
      <c r="H48" s="667">
        <f t="shared" si="1"/>
        <v>0</v>
      </c>
    </row>
    <row r="49" spans="1:8" s="677" customFormat="1" ht="18.75" hidden="1" customHeight="1">
      <c r="A49" s="662">
        <v>4.2</v>
      </c>
      <c r="B49" s="666"/>
      <c r="C49" s="685" t="s">
        <v>1393</v>
      </c>
      <c r="D49" s="675">
        <f>[14]Data!K821</f>
        <v>8196.15</v>
      </c>
      <c r="E49" s="674" t="s">
        <v>235</v>
      </c>
      <c r="F49" s="663">
        <f t="shared" si="2"/>
        <v>0</v>
      </c>
      <c r="G49" s="675"/>
      <c r="H49" s="667">
        <f t="shared" si="1"/>
        <v>0</v>
      </c>
    </row>
    <row r="50" spans="1:8" ht="71.25" hidden="1" customHeight="1">
      <c r="A50" s="673">
        <v>5</v>
      </c>
      <c r="B50" s="666"/>
      <c r="C50" s="674" t="s">
        <v>1394</v>
      </c>
      <c r="D50" s="675">
        <f>ROUND([14]Data!K306,2)</f>
        <v>5108.78</v>
      </c>
      <c r="E50" s="674" t="s">
        <v>235</v>
      </c>
      <c r="F50" s="663">
        <f t="shared" si="2"/>
        <v>0</v>
      </c>
      <c r="G50" s="675"/>
      <c r="H50" s="667">
        <f t="shared" si="1"/>
        <v>0</v>
      </c>
    </row>
    <row r="51" spans="1:8" s="677" customFormat="1" ht="69.75" hidden="1" customHeight="1">
      <c r="A51" s="662">
        <v>6.1</v>
      </c>
      <c r="B51" s="666"/>
      <c r="C51" s="685" t="s">
        <v>1395</v>
      </c>
      <c r="D51" s="675">
        <f>[14]Data!X321</f>
        <v>6348.58</v>
      </c>
      <c r="E51" s="674" t="s">
        <v>235</v>
      </c>
      <c r="F51" s="663">
        <f t="shared" si="2"/>
        <v>0</v>
      </c>
      <c r="G51" s="675"/>
      <c r="H51" s="667">
        <f t="shared" si="1"/>
        <v>0</v>
      </c>
    </row>
    <row r="52" spans="1:8" s="677" customFormat="1" ht="69.75" hidden="1" customHeight="1">
      <c r="A52" s="662">
        <v>6.2</v>
      </c>
      <c r="B52" s="666"/>
      <c r="C52" s="685" t="s">
        <v>1396</v>
      </c>
      <c r="D52" s="675">
        <f>ROUND([14]Data!AG321,2)</f>
        <v>6027.89</v>
      </c>
      <c r="E52" s="674" t="s">
        <v>235</v>
      </c>
      <c r="F52" s="663">
        <f t="shared" si="2"/>
        <v>0</v>
      </c>
      <c r="G52" s="675"/>
      <c r="H52" s="667">
        <f t="shared" si="1"/>
        <v>0</v>
      </c>
    </row>
    <row r="53" spans="1:8" s="677" customFormat="1" ht="69.75" hidden="1" customHeight="1">
      <c r="A53" s="662">
        <v>6.3</v>
      </c>
      <c r="B53" s="666"/>
      <c r="C53" s="685" t="s">
        <v>1397</v>
      </c>
      <c r="D53" s="675"/>
      <c r="E53" s="674" t="s">
        <v>235</v>
      </c>
      <c r="F53" s="663">
        <f t="shared" si="2"/>
        <v>0</v>
      </c>
      <c r="G53" s="675"/>
      <c r="H53" s="667">
        <f t="shared" si="1"/>
        <v>0</v>
      </c>
    </row>
    <row r="54" spans="1:8" s="677" customFormat="1" ht="13.5" hidden="1" customHeight="1">
      <c r="A54" s="662">
        <v>6.4</v>
      </c>
      <c r="B54" s="666"/>
      <c r="C54" s="685" t="s">
        <v>1398</v>
      </c>
      <c r="D54" s="675"/>
      <c r="E54" s="674" t="s">
        <v>235</v>
      </c>
      <c r="F54" s="663">
        <f t="shared" si="2"/>
        <v>0</v>
      </c>
      <c r="G54" s="675"/>
      <c r="H54" s="667">
        <f t="shared" si="1"/>
        <v>0</v>
      </c>
    </row>
    <row r="55" spans="1:8" ht="80.25" customHeight="1">
      <c r="A55" s="662">
        <v>6.5</v>
      </c>
      <c r="B55" s="666">
        <v>2.2911250000000001</v>
      </c>
      <c r="C55" s="685" t="s">
        <v>1399</v>
      </c>
      <c r="D55" s="667">
        <f>SP!D57</f>
        <v>6233.2</v>
      </c>
      <c r="E55" s="663" t="s">
        <v>235</v>
      </c>
      <c r="F55" s="663">
        <f t="shared" si="2"/>
        <v>14281.040349999999</v>
      </c>
      <c r="G55" s="667">
        <f>'PAVER ROAD'!$G$25</f>
        <v>2.2911250000000001</v>
      </c>
      <c r="H55" s="667">
        <f t="shared" si="1"/>
        <v>14281.040349999999</v>
      </c>
    </row>
    <row r="56" spans="1:8" s="677" customFormat="1" ht="69.75" hidden="1" customHeight="1">
      <c r="A56" s="662">
        <v>6.6</v>
      </c>
      <c r="B56" s="666"/>
      <c r="C56" s="685" t="s">
        <v>1400</v>
      </c>
      <c r="D56" s="675"/>
      <c r="E56" s="674" t="s">
        <v>235</v>
      </c>
      <c r="F56" s="663">
        <f t="shared" si="2"/>
        <v>0</v>
      </c>
      <c r="G56" s="675"/>
      <c r="H56" s="667">
        <f t="shared" si="1"/>
        <v>0</v>
      </c>
    </row>
    <row r="57" spans="1:8" s="677" customFormat="1" ht="46.5" hidden="1" customHeight="1">
      <c r="A57" s="662">
        <v>7.1</v>
      </c>
      <c r="B57" s="666"/>
      <c r="C57" s="685" t="s">
        <v>1401</v>
      </c>
      <c r="D57" s="675"/>
      <c r="E57" s="674" t="s">
        <v>264</v>
      </c>
      <c r="F57" s="663">
        <f t="shared" si="2"/>
        <v>0</v>
      </c>
      <c r="G57" s="675"/>
      <c r="H57" s="667">
        <f t="shared" si="1"/>
        <v>0</v>
      </c>
    </row>
    <row r="58" spans="1:8" s="677" customFormat="1" ht="46.5" hidden="1" customHeight="1">
      <c r="A58" s="662">
        <v>7.2</v>
      </c>
      <c r="B58" s="666"/>
      <c r="C58" s="663" t="s">
        <v>1402</v>
      </c>
      <c r="D58" s="675">
        <f>ROUND([14]Data!K329,2)</f>
        <v>712</v>
      </c>
      <c r="E58" s="674" t="s">
        <v>264</v>
      </c>
      <c r="F58" s="663">
        <f t="shared" si="2"/>
        <v>0</v>
      </c>
      <c r="G58" s="675"/>
      <c r="H58" s="667">
        <f t="shared" si="1"/>
        <v>0</v>
      </c>
    </row>
    <row r="59" spans="1:8" s="677" customFormat="1" ht="46.5" hidden="1" customHeight="1">
      <c r="A59" s="662">
        <v>7.3</v>
      </c>
      <c r="B59" s="666"/>
      <c r="C59" s="685" t="s">
        <v>1403</v>
      </c>
      <c r="D59" s="675">
        <f>ROUND([14]Data!K497,2)</f>
        <v>278.10000000000002</v>
      </c>
      <c r="E59" s="674" t="s">
        <v>264</v>
      </c>
      <c r="F59" s="663">
        <f t="shared" si="2"/>
        <v>0</v>
      </c>
      <c r="G59" s="675"/>
      <c r="H59" s="667">
        <f t="shared" si="1"/>
        <v>0</v>
      </c>
    </row>
    <row r="60" spans="1:8" s="682" customFormat="1" ht="25.5" hidden="1" customHeight="1">
      <c r="A60" s="662">
        <v>8.1</v>
      </c>
      <c r="B60" s="666"/>
      <c r="C60" s="685" t="s">
        <v>1404</v>
      </c>
      <c r="D60" s="675"/>
      <c r="E60" s="674"/>
      <c r="F60" s="663">
        <f t="shared" si="2"/>
        <v>0</v>
      </c>
      <c r="G60" s="675"/>
      <c r="H60" s="667">
        <f t="shared" si="1"/>
        <v>0</v>
      </c>
    </row>
    <row r="61" spans="1:8" s="682" customFormat="1" ht="25.5" hidden="1" customHeight="1">
      <c r="A61" s="662"/>
      <c r="B61" s="666"/>
      <c r="C61" s="663" t="s">
        <v>1405</v>
      </c>
      <c r="D61" s="675">
        <f>ROUND([14]Data!K287,2)</f>
        <v>7657.56</v>
      </c>
      <c r="E61" s="674" t="s">
        <v>235</v>
      </c>
      <c r="F61" s="663">
        <f t="shared" si="2"/>
        <v>0</v>
      </c>
      <c r="G61" s="675"/>
      <c r="H61" s="667">
        <f t="shared" si="1"/>
        <v>0</v>
      </c>
    </row>
    <row r="62" spans="1:8" s="682" customFormat="1" ht="25.5" hidden="1" customHeight="1">
      <c r="A62" s="662"/>
      <c r="B62" s="666"/>
      <c r="C62" s="663" t="s">
        <v>1406</v>
      </c>
      <c r="D62" s="675">
        <f>ROUND([14]Data!K288,2)</f>
        <v>7861.06</v>
      </c>
      <c r="E62" s="674" t="s">
        <v>235</v>
      </c>
      <c r="F62" s="663">
        <f t="shared" si="2"/>
        <v>0</v>
      </c>
      <c r="G62" s="675"/>
      <c r="H62" s="667">
        <f t="shared" si="1"/>
        <v>0</v>
      </c>
    </row>
    <row r="63" spans="1:8" s="682" customFormat="1" ht="25.5" hidden="1" customHeight="1">
      <c r="A63" s="662"/>
      <c r="B63" s="666"/>
      <c r="C63" s="663" t="s">
        <v>1407</v>
      </c>
      <c r="D63" s="675">
        <f>ROUND([14]Data!K289,2)</f>
        <v>8064.56</v>
      </c>
      <c r="E63" s="674" t="s">
        <v>235</v>
      </c>
      <c r="F63" s="663">
        <f t="shared" si="2"/>
        <v>0</v>
      </c>
      <c r="G63" s="675"/>
      <c r="H63" s="667">
        <f t="shared" si="1"/>
        <v>0</v>
      </c>
    </row>
    <row r="64" spans="1:8" s="682" customFormat="1" ht="25.5" hidden="1" customHeight="1">
      <c r="A64" s="662"/>
      <c r="B64" s="666"/>
      <c r="C64" s="663" t="s">
        <v>1408</v>
      </c>
      <c r="D64" s="675">
        <f>ROUND([14]Data!K290,2)</f>
        <v>8268.06</v>
      </c>
      <c r="E64" s="674" t="s">
        <v>235</v>
      </c>
      <c r="F64" s="663">
        <f t="shared" si="2"/>
        <v>0</v>
      </c>
      <c r="G64" s="675"/>
      <c r="H64" s="667">
        <f t="shared" si="1"/>
        <v>0</v>
      </c>
    </row>
    <row r="65" spans="1:8" s="682" customFormat="1" ht="25.5" hidden="1" customHeight="1">
      <c r="A65" s="687"/>
      <c r="B65" s="666"/>
      <c r="C65" s="663" t="s">
        <v>1409</v>
      </c>
      <c r="D65" s="675">
        <f>ROUND([14]Data!K291,2)</f>
        <v>8471.56</v>
      </c>
      <c r="E65" s="674" t="s">
        <v>235</v>
      </c>
      <c r="F65" s="663">
        <f t="shared" si="2"/>
        <v>0</v>
      </c>
      <c r="G65" s="675"/>
      <c r="H65" s="667">
        <f t="shared" si="1"/>
        <v>0</v>
      </c>
    </row>
    <row r="66" spans="1:8" s="677" customFormat="1" ht="25.5" hidden="1" customHeight="1">
      <c r="A66" s="662">
        <v>8.1999999999999993</v>
      </c>
      <c r="B66" s="666"/>
      <c r="C66" s="685" t="s">
        <v>1410</v>
      </c>
      <c r="D66" s="675"/>
      <c r="E66" s="674"/>
      <c r="F66" s="663">
        <f t="shared" si="2"/>
        <v>0</v>
      </c>
      <c r="G66" s="675"/>
      <c r="H66" s="667">
        <f t="shared" si="1"/>
        <v>0</v>
      </c>
    </row>
    <row r="67" spans="1:8" s="677" customFormat="1" ht="25.5" hidden="1" customHeight="1">
      <c r="A67" s="666"/>
      <c r="B67" s="666"/>
      <c r="C67" s="663" t="s">
        <v>1405</v>
      </c>
      <c r="D67" s="675">
        <f>ROUND([14]Data!K823,2)</f>
        <v>8299.4500000000007</v>
      </c>
      <c r="E67" s="674" t="s">
        <v>235</v>
      </c>
      <c r="F67" s="663">
        <f t="shared" si="2"/>
        <v>0</v>
      </c>
      <c r="G67" s="675"/>
      <c r="H67" s="667">
        <f t="shared" si="1"/>
        <v>0</v>
      </c>
    </row>
    <row r="68" spans="1:8" s="677" customFormat="1" ht="25.5" hidden="1" customHeight="1">
      <c r="A68" s="666"/>
      <c r="B68" s="666"/>
      <c r="C68" s="663" t="s">
        <v>1406</v>
      </c>
      <c r="D68" s="675">
        <f>ROUND([14]Data!K824,2)</f>
        <v>8502.9500000000007</v>
      </c>
      <c r="E68" s="674" t="s">
        <v>235</v>
      </c>
      <c r="F68" s="663">
        <f t="shared" si="2"/>
        <v>0</v>
      </c>
      <c r="G68" s="675"/>
      <c r="H68" s="667">
        <f t="shared" si="1"/>
        <v>0</v>
      </c>
    </row>
    <row r="69" spans="1:8" s="677" customFormat="1" ht="25.5" hidden="1" customHeight="1">
      <c r="A69" s="666"/>
      <c r="B69" s="666"/>
      <c r="C69" s="663" t="s">
        <v>1407</v>
      </c>
      <c r="D69" s="675">
        <f>ROUND([14]Data!K825,2)</f>
        <v>8706.4500000000007</v>
      </c>
      <c r="E69" s="674" t="s">
        <v>235</v>
      </c>
      <c r="F69" s="663">
        <f t="shared" si="2"/>
        <v>0</v>
      </c>
      <c r="G69" s="675"/>
      <c r="H69" s="667">
        <f t="shared" si="1"/>
        <v>0</v>
      </c>
    </row>
    <row r="70" spans="1:8" s="677" customFormat="1" ht="25.5" hidden="1" customHeight="1">
      <c r="A70" s="666"/>
      <c r="B70" s="666"/>
      <c r="C70" s="663" t="s">
        <v>1408</v>
      </c>
      <c r="D70" s="675">
        <f>ROUND([14]Data!K826,2)</f>
        <v>8909.9500000000007</v>
      </c>
      <c r="E70" s="674" t="s">
        <v>235</v>
      </c>
      <c r="F70" s="663">
        <f t="shared" si="2"/>
        <v>0</v>
      </c>
      <c r="G70" s="675"/>
      <c r="H70" s="667">
        <f t="shared" ref="H70:H133" si="3">G70*D70</f>
        <v>0</v>
      </c>
    </row>
    <row r="71" spans="1:8" s="677" customFormat="1" ht="25.5" hidden="1" customHeight="1">
      <c r="A71" s="662"/>
      <c r="B71" s="666"/>
      <c r="C71" s="663" t="s">
        <v>1409</v>
      </c>
      <c r="D71" s="675">
        <f>ROUND([14]Data!K827,2)</f>
        <v>9113.4500000000007</v>
      </c>
      <c r="E71" s="674" t="s">
        <v>235</v>
      </c>
      <c r="F71" s="663">
        <f t="shared" si="2"/>
        <v>0</v>
      </c>
      <c r="G71" s="675"/>
      <c r="H71" s="667">
        <f t="shared" si="3"/>
        <v>0</v>
      </c>
    </row>
    <row r="72" spans="1:8" s="677" customFormat="1" ht="25.5" hidden="1" customHeight="1">
      <c r="A72" s="662"/>
      <c r="B72" s="666"/>
      <c r="C72" s="663" t="s">
        <v>1411</v>
      </c>
      <c r="D72" s="675">
        <f>ROUND([14]Data!K828,2)</f>
        <v>9316.9500000000007</v>
      </c>
      <c r="E72" s="674" t="s">
        <v>235</v>
      </c>
      <c r="F72" s="663">
        <f t="shared" si="2"/>
        <v>0</v>
      </c>
      <c r="G72" s="675"/>
      <c r="H72" s="667">
        <f t="shared" si="3"/>
        <v>0</v>
      </c>
    </row>
    <row r="73" spans="1:8" s="677" customFormat="1" ht="25.5" hidden="1" customHeight="1">
      <c r="A73" s="662"/>
      <c r="B73" s="666"/>
      <c r="C73" s="663" t="s">
        <v>1412</v>
      </c>
      <c r="D73" s="675">
        <f>ROUND([14]Data!K829,2)</f>
        <v>9520.4500000000007</v>
      </c>
      <c r="E73" s="674" t="s">
        <v>235</v>
      </c>
      <c r="F73" s="663">
        <f t="shared" si="2"/>
        <v>0</v>
      </c>
      <c r="G73" s="675"/>
      <c r="H73" s="667">
        <f t="shared" si="3"/>
        <v>0</v>
      </c>
    </row>
    <row r="74" spans="1:8" s="677" customFormat="1" ht="25.5" hidden="1" customHeight="1">
      <c r="A74" s="662"/>
      <c r="B74" s="666"/>
      <c r="C74" s="663" t="s">
        <v>1413</v>
      </c>
      <c r="D74" s="675">
        <f>ROUND([14]Data!K830,2)</f>
        <v>9723.9500000000007</v>
      </c>
      <c r="E74" s="674" t="s">
        <v>235</v>
      </c>
      <c r="F74" s="663">
        <f t="shared" si="2"/>
        <v>0</v>
      </c>
      <c r="G74" s="675"/>
      <c r="H74" s="667">
        <f t="shared" si="3"/>
        <v>0</v>
      </c>
    </row>
    <row r="75" spans="1:8" s="677" customFormat="1" ht="25.5" hidden="1" customHeight="1">
      <c r="A75" s="662"/>
      <c r="B75" s="666"/>
      <c r="C75" s="663" t="s">
        <v>1414</v>
      </c>
      <c r="D75" s="675">
        <f>ROUND([14]Data!K831,2)</f>
        <v>9927.4500000000007</v>
      </c>
      <c r="E75" s="674" t="s">
        <v>235</v>
      </c>
      <c r="F75" s="663">
        <f t="shared" si="2"/>
        <v>0</v>
      </c>
      <c r="G75" s="675"/>
      <c r="H75" s="667">
        <f t="shared" si="3"/>
        <v>0</v>
      </c>
    </row>
    <row r="76" spans="1:8" s="677" customFormat="1" ht="25.5" hidden="1" customHeight="1">
      <c r="A76" s="662"/>
      <c r="B76" s="666"/>
      <c r="C76" s="663" t="s">
        <v>1415</v>
      </c>
      <c r="D76" s="675">
        <f>ROUND([14]Data!K832,2)</f>
        <v>10130.950000000001</v>
      </c>
      <c r="E76" s="674" t="s">
        <v>235</v>
      </c>
      <c r="F76" s="663">
        <f t="shared" si="2"/>
        <v>0</v>
      </c>
      <c r="G76" s="675"/>
      <c r="H76" s="667">
        <f t="shared" si="3"/>
        <v>0</v>
      </c>
    </row>
    <row r="77" spans="1:8" s="677" customFormat="1" ht="25.5" hidden="1" customHeight="1">
      <c r="A77" s="662"/>
      <c r="B77" s="666"/>
      <c r="C77" s="663" t="s">
        <v>1416</v>
      </c>
      <c r="D77" s="675">
        <f>ROUND([14]Data!K833,2)</f>
        <v>10334.450000000001</v>
      </c>
      <c r="E77" s="674" t="s">
        <v>235</v>
      </c>
      <c r="F77" s="663">
        <f t="shared" si="2"/>
        <v>0</v>
      </c>
      <c r="G77" s="675"/>
      <c r="H77" s="667">
        <f t="shared" si="3"/>
        <v>0</v>
      </c>
    </row>
    <row r="78" spans="1:8" s="677" customFormat="1" ht="25.5" hidden="1" customHeight="1">
      <c r="A78" s="662"/>
      <c r="B78" s="666"/>
      <c r="C78" s="663" t="s">
        <v>1417</v>
      </c>
      <c r="D78" s="675">
        <f>ROUND([14]Data!K834,2)</f>
        <v>10537.95</v>
      </c>
      <c r="E78" s="674" t="s">
        <v>235</v>
      </c>
      <c r="F78" s="663">
        <f t="shared" si="2"/>
        <v>0</v>
      </c>
      <c r="G78" s="675"/>
      <c r="H78" s="667">
        <f t="shared" si="3"/>
        <v>0</v>
      </c>
    </row>
    <row r="79" spans="1:8" s="677" customFormat="1" ht="25.5" hidden="1" customHeight="1">
      <c r="A79" s="662"/>
      <c r="B79" s="666"/>
      <c r="C79" s="663" t="s">
        <v>1418</v>
      </c>
      <c r="D79" s="675">
        <f>ROUND([14]Data!K835,2)</f>
        <v>10741.45</v>
      </c>
      <c r="E79" s="674" t="s">
        <v>235</v>
      </c>
      <c r="F79" s="663">
        <f t="shared" si="2"/>
        <v>0</v>
      </c>
      <c r="G79" s="675"/>
      <c r="H79" s="667">
        <f t="shared" si="3"/>
        <v>0</v>
      </c>
    </row>
    <row r="80" spans="1:8" s="677" customFormat="1" ht="46.5" hidden="1" customHeight="1">
      <c r="A80" s="662">
        <v>9.1</v>
      </c>
      <c r="B80" s="666"/>
      <c r="C80" s="663" t="s">
        <v>1419</v>
      </c>
      <c r="D80" s="675"/>
      <c r="E80" s="674"/>
      <c r="F80" s="663">
        <f t="shared" si="2"/>
        <v>0</v>
      </c>
      <c r="G80" s="675"/>
      <c r="H80" s="667">
        <f t="shared" si="3"/>
        <v>0</v>
      </c>
    </row>
    <row r="81" spans="1:8" s="677" customFormat="1" ht="25.5" hidden="1" customHeight="1">
      <c r="A81" s="662"/>
      <c r="B81" s="666"/>
      <c r="C81" s="663" t="s">
        <v>1420</v>
      </c>
      <c r="D81" s="675">
        <f>[14]Data!X347</f>
        <v>6345.06</v>
      </c>
      <c r="E81" s="674" t="s">
        <v>235</v>
      </c>
      <c r="F81" s="663">
        <f t="shared" ref="F81:F144" si="4">B81*D81</f>
        <v>0</v>
      </c>
      <c r="G81" s="675"/>
      <c r="H81" s="667">
        <f t="shared" si="3"/>
        <v>0</v>
      </c>
    </row>
    <row r="82" spans="1:8" s="677" customFormat="1" ht="25.5" hidden="1" customHeight="1">
      <c r="A82" s="662"/>
      <c r="B82" s="666"/>
      <c r="C82" s="663" t="s">
        <v>1421</v>
      </c>
      <c r="D82" s="675">
        <f>[14]Data!X348</f>
        <v>6482.26</v>
      </c>
      <c r="E82" s="674" t="s">
        <v>235</v>
      </c>
      <c r="F82" s="663">
        <f t="shared" si="4"/>
        <v>0</v>
      </c>
      <c r="G82" s="675"/>
      <c r="H82" s="667">
        <f t="shared" si="3"/>
        <v>0</v>
      </c>
    </row>
    <row r="83" spans="1:8" s="677" customFormat="1" ht="25.5" hidden="1" customHeight="1">
      <c r="A83" s="662"/>
      <c r="B83" s="666"/>
      <c r="C83" s="663" t="s">
        <v>1422</v>
      </c>
      <c r="D83" s="675">
        <f>[14]Data!X349</f>
        <v>6619.46</v>
      </c>
      <c r="E83" s="674" t="s">
        <v>235</v>
      </c>
      <c r="F83" s="663">
        <f t="shared" si="4"/>
        <v>0</v>
      </c>
      <c r="G83" s="675"/>
      <c r="H83" s="667">
        <f t="shared" si="3"/>
        <v>0</v>
      </c>
    </row>
    <row r="84" spans="1:8" s="677" customFormat="1" ht="25.5" hidden="1" customHeight="1">
      <c r="A84" s="662"/>
      <c r="B84" s="666"/>
      <c r="C84" s="663" t="s">
        <v>1423</v>
      </c>
      <c r="D84" s="675">
        <f>[14]Data!X350</f>
        <v>6756.66</v>
      </c>
      <c r="E84" s="674" t="s">
        <v>235</v>
      </c>
      <c r="F84" s="663">
        <f t="shared" si="4"/>
        <v>0</v>
      </c>
      <c r="G84" s="675"/>
      <c r="H84" s="667">
        <f t="shared" si="3"/>
        <v>0</v>
      </c>
    </row>
    <row r="85" spans="1:8" s="677" customFormat="1" ht="25.5" hidden="1" customHeight="1">
      <c r="A85" s="662"/>
      <c r="B85" s="666"/>
      <c r="C85" s="663" t="s">
        <v>1424</v>
      </c>
      <c r="D85" s="675">
        <f>[14]Data!X351</f>
        <v>6893.86</v>
      </c>
      <c r="E85" s="674" t="s">
        <v>235</v>
      </c>
      <c r="F85" s="663">
        <f t="shared" si="4"/>
        <v>0</v>
      </c>
      <c r="G85" s="675"/>
      <c r="H85" s="667">
        <f t="shared" si="3"/>
        <v>0</v>
      </c>
    </row>
    <row r="86" spans="1:8" s="677" customFormat="1" ht="46.5" hidden="1" customHeight="1">
      <c r="A86" s="662">
        <v>9.1999999999999993</v>
      </c>
      <c r="B86" s="666"/>
      <c r="C86" s="685" t="s">
        <v>1425</v>
      </c>
      <c r="D86" s="675"/>
      <c r="E86" s="674"/>
      <c r="F86" s="663">
        <f t="shared" si="4"/>
        <v>0</v>
      </c>
      <c r="G86" s="675"/>
      <c r="H86" s="667">
        <f t="shared" si="3"/>
        <v>0</v>
      </c>
    </row>
    <row r="87" spans="1:8" s="677" customFormat="1" ht="25.5" hidden="1" customHeight="1">
      <c r="A87" s="662"/>
      <c r="B87" s="666"/>
      <c r="C87" s="663" t="s">
        <v>1426</v>
      </c>
      <c r="D87" s="675">
        <f>ROUND([14]Data!AG347,2)</f>
        <v>6038.67</v>
      </c>
      <c r="E87" s="674" t="s">
        <v>235</v>
      </c>
      <c r="F87" s="663">
        <f t="shared" si="4"/>
        <v>0</v>
      </c>
      <c r="G87" s="675"/>
      <c r="H87" s="667">
        <f t="shared" si="3"/>
        <v>0</v>
      </c>
    </row>
    <row r="88" spans="1:8" s="677" customFormat="1" ht="25.5" hidden="1" customHeight="1">
      <c r="A88" s="662"/>
      <c r="B88" s="666"/>
      <c r="C88" s="663" t="s">
        <v>1421</v>
      </c>
      <c r="D88" s="675">
        <f>ROUND([14]Data!AG348,2)</f>
        <v>6175.87</v>
      </c>
      <c r="E88" s="674" t="s">
        <v>235</v>
      </c>
      <c r="F88" s="663">
        <f t="shared" si="4"/>
        <v>0</v>
      </c>
      <c r="G88" s="675"/>
      <c r="H88" s="667">
        <f t="shared" si="3"/>
        <v>0</v>
      </c>
    </row>
    <row r="89" spans="1:8" s="677" customFormat="1" ht="25.5" hidden="1" customHeight="1">
      <c r="A89" s="662"/>
      <c r="B89" s="666"/>
      <c r="C89" s="663" t="s">
        <v>1422</v>
      </c>
      <c r="D89" s="675">
        <f>ROUND([14]Data!AG349,2)</f>
        <v>6313.07</v>
      </c>
      <c r="E89" s="674" t="s">
        <v>235</v>
      </c>
      <c r="F89" s="663">
        <f t="shared" si="4"/>
        <v>0</v>
      </c>
      <c r="G89" s="675"/>
      <c r="H89" s="667">
        <f t="shared" si="3"/>
        <v>0</v>
      </c>
    </row>
    <row r="90" spans="1:8" s="677" customFormat="1" ht="25.5" hidden="1" customHeight="1">
      <c r="A90" s="662"/>
      <c r="B90" s="666"/>
      <c r="C90" s="663" t="s">
        <v>1423</v>
      </c>
      <c r="D90" s="675">
        <f>ROUND([14]Data!AG350,2)</f>
        <v>6450.27</v>
      </c>
      <c r="E90" s="674" t="s">
        <v>235</v>
      </c>
      <c r="F90" s="663">
        <f t="shared" si="4"/>
        <v>0</v>
      </c>
      <c r="G90" s="675"/>
      <c r="H90" s="667">
        <f t="shared" si="3"/>
        <v>0</v>
      </c>
    </row>
    <row r="91" spans="1:8" s="677" customFormat="1" ht="25.5" hidden="1" customHeight="1">
      <c r="A91" s="662"/>
      <c r="B91" s="666"/>
      <c r="C91" s="663" t="s">
        <v>1424</v>
      </c>
      <c r="D91" s="675">
        <f>ROUND([14]Data!AG351,2)</f>
        <v>6587.47</v>
      </c>
      <c r="E91" s="674" t="s">
        <v>235</v>
      </c>
      <c r="F91" s="663">
        <f t="shared" si="4"/>
        <v>0</v>
      </c>
      <c r="G91" s="675"/>
      <c r="H91" s="667">
        <f t="shared" si="3"/>
        <v>0</v>
      </c>
    </row>
    <row r="92" spans="1:8" s="677" customFormat="1" ht="25.5" hidden="1" customHeight="1">
      <c r="A92" s="662"/>
      <c r="B92" s="666"/>
      <c r="C92" s="663" t="s">
        <v>1411</v>
      </c>
      <c r="D92" s="675">
        <f>ROUND([14]Data!AG352,2)</f>
        <v>6724.67</v>
      </c>
      <c r="E92" s="674" t="s">
        <v>235</v>
      </c>
      <c r="F92" s="663">
        <f t="shared" si="4"/>
        <v>0</v>
      </c>
      <c r="G92" s="675"/>
      <c r="H92" s="667">
        <f t="shared" si="3"/>
        <v>0</v>
      </c>
    </row>
    <row r="93" spans="1:8" s="677" customFormat="1" ht="25.5" hidden="1" customHeight="1">
      <c r="A93" s="662"/>
      <c r="B93" s="666"/>
      <c r="C93" s="663" t="s">
        <v>1412</v>
      </c>
      <c r="D93" s="675">
        <f>ROUND([14]Data!AG353,2)</f>
        <v>6861.87</v>
      </c>
      <c r="E93" s="674" t="s">
        <v>235</v>
      </c>
      <c r="F93" s="663">
        <f t="shared" si="4"/>
        <v>0</v>
      </c>
      <c r="G93" s="675"/>
      <c r="H93" s="667">
        <f t="shared" si="3"/>
        <v>0</v>
      </c>
    </row>
    <row r="94" spans="1:8" s="677" customFormat="1" ht="25.5" hidden="1" customHeight="1">
      <c r="A94" s="662"/>
      <c r="B94" s="666"/>
      <c r="C94" s="663" t="s">
        <v>1413</v>
      </c>
      <c r="D94" s="675">
        <f>ROUND([14]Data!AG354,2)</f>
        <v>6999.07</v>
      </c>
      <c r="E94" s="674" t="s">
        <v>235</v>
      </c>
      <c r="F94" s="663">
        <f t="shared" si="4"/>
        <v>0</v>
      </c>
      <c r="G94" s="675"/>
      <c r="H94" s="667">
        <f t="shared" si="3"/>
        <v>0</v>
      </c>
    </row>
    <row r="95" spans="1:8" s="677" customFormat="1" ht="25.5" hidden="1" customHeight="1">
      <c r="A95" s="662"/>
      <c r="B95" s="666"/>
      <c r="C95" s="663" t="s">
        <v>1414</v>
      </c>
      <c r="D95" s="675">
        <f>ROUND([14]Data!AG355,2)</f>
        <v>7136.27</v>
      </c>
      <c r="E95" s="674" t="s">
        <v>235</v>
      </c>
      <c r="F95" s="663">
        <f t="shared" si="4"/>
        <v>0</v>
      </c>
      <c r="G95" s="675"/>
      <c r="H95" s="667">
        <f t="shared" si="3"/>
        <v>0</v>
      </c>
    </row>
    <row r="96" spans="1:8" s="677" customFormat="1" ht="25.5" hidden="1" customHeight="1">
      <c r="A96" s="662"/>
      <c r="B96" s="666"/>
      <c r="C96" s="663" t="s">
        <v>1415</v>
      </c>
      <c r="D96" s="675">
        <f>ROUND([14]Data!AG356,2)</f>
        <v>7273.47</v>
      </c>
      <c r="E96" s="674" t="s">
        <v>235</v>
      </c>
      <c r="F96" s="663">
        <f t="shared" si="4"/>
        <v>0</v>
      </c>
      <c r="G96" s="675"/>
      <c r="H96" s="667">
        <f t="shared" si="3"/>
        <v>0</v>
      </c>
    </row>
    <row r="97" spans="1:8" s="677" customFormat="1" ht="25.5" hidden="1" customHeight="1">
      <c r="A97" s="662"/>
      <c r="B97" s="666"/>
      <c r="C97" s="663" t="s">
        <v>1416</v>
      </c>
      <c r="D97" s="675">
        <f>ROUND([14]Data!AG357,2)</f>
        <v>7410.67</v>
      </c>
      <c r="E97" s="674" t="s">
        <v>235</v>
      </c>
      <c r="F97" s="663">
        <f t="shared" si="4"/>
        <v>0</v>
      </c>
      <c r="G97" s="675"/>
      <c r="H97" s="667">
        <f t="shared" si="3"/>
        <v>0</v>
      </c>
    </row>
    <row r="98" spans="1:8" s="677" customFormat="1" ht="25.5" hidden="1" customHeight="1">
      <c r="A98" s="662"/>
      <c r="B98" s="666"/>
      <c r="C98" s="663" t="s">
        <v>1417</v>
      </c>
      <c r="D98" s="675">
        <f>ROUND([14]Data!AG358,2)</f>
        <v>7547.87</v>
      </c>
      <c r="E98" s="674" t="s">
        <v>235</v>
      </c>
      <c r="F98" s="663">
        <f t="shared" si="4"/>
        <v>0</v>
      </c>
      <c r="G98" s="675"/>
      <c r="H98" s="667">
        <f t="shared" si="3"/>
        <v>0</v>
      </c>
    </row>
    <row r="99" spans="1:8" s="677" customFormat="1" ht="25.5" hidden="1" customHeight="1">
      <c r="A99" s="662"/>
      <c r="B99" s="666"/>
      <c r="C99" s="663" t="s">
        <v>1418</v>
      </c>
      <c r="D99" s="675">
        <f>ROUND([14]Data!AG359,2)</f>
        <v>7685.07</v>
      </c>
      <c r="E99" s="674" t="s">
        <v>235</v>
      </c>
      <c r="F99" s="663">
        <f t="shared" si="4"/>
        <v>0</v>
      </c>
      <c r="G99" s="675"/>
      <c r="H99" s="667">
        <f t="shared" si="3"/>
        <v>0</v>
      </c>
    </row>
    <row r="100" spans="1:8" s="677" customFormat="1" ht="25.5" hidden="1" customHeight="1">
      <c r="A100" s="662"/>
      <c r="B100" s="666"/>
      <c r="C100" s="663" t="s">
        <v>1427</v>
      </c>
      <c r="D100" s="675">
        <f>ROUND([14]Data!AG360,2)</f>
        <v>7822.27</v>
      </c>
      <c r="E100" s="674" t="s">
        <v>235</v>
      </c>
      <c r="F100" s="663">
        <f t="shared" si="4"/>
        <v>0</v>
      </c>
      <c r="G100" s="675"/>
      <c r="H100" s="667">
        <f t="shared" si="3"/>
        <v>0</v>
      </c>
    </row>
    <row r="101" spans="1:8" s="677" customFormat="1" ht="46.5" hidden="1" customHeight="1">
      <c r="A101" s="662">
        <v>9.3000000000000007</v>
      </c>
      <c r="B101" s="666"/>
      <c r="C101" s="663" t="s">
        <v>1428</v>
      </c>
      <c r="D101" s="675"/>
      <c r="E101" s="674"/>
      <c r="F101" s="663">
        <f t="shared" si="4"/>
        <v>0</v>
      </c>
      <c r="G101" s="675"/>
      <c r="H101" s="667">
        <f t="shared" si="3"/>
        <v>0</v>
      </c>
    </row>
    <row r="102" spans="1:8" s="677" customFormat="1" ht="25.5" hidden="1" customHeight="1">
      <c r="A102" s="662"/>
      <c r="B102" s="666"/>
      <c r="C102" s="663" t="s">
        <v>1420</v>
      </c>
      <c r="D102" s="675"/>
      <c r="E102" s="674" t="s">
        <v>235</v>
      </c>
      <c r="F102" s="663">
        <f t="shared" si="4"/>
        <v>0</v>
      </c>
      <c r="G102" s="675"/>
      <c r="H102" s="667">
        <f t="shared" si="3"/>
        <v>0</v>
      </c>
    </row>
    <row r="103" spans="1:8" s="677" customFormat="1" ht="25.5" hidden="1" customHeight="1">
      <c r="A103" s="662"/>
      <c r="B103" s="666"/>
      <c r="C103" s="663" t="s">
        <v>1421</v>
      </c>
      <c r="D103" s="675"/>
      <c r="E103" s="674" t="s">
        <v>235</v>
      </c>
      <c r="F103" s="663">
        <f t="shared" si="4"/>
        <v>0</v>
      </c>
      <c r="G103" s="675"/>
      <c r="H103" s="667">
        <f t="shared" si="3"/>
        <v>0</v>
      </c>
    </row>
    <row r="104" spans="1:8" s="677" customFormat="1" ht="25.5" hidden="1" customHeight="1">
      <c r="A104" s="662"/>
      <c r="B104" s="666"/>
      <c r="C104" s="663" t="s">
        <v>1422</v>
      </c>
      <c r="D104" s="675"/>
      <c r="E104" s="674" t="s">
        <v>235</v>
      </c>
      <c r="F104" s="663">
        <f t="shared" si="4"/>
        <v>0</v>
      </c>
      <c r="G104" s="675"/>
      <c r="H104" s="667">
        <f t="shared" si="3"/>
        <v>0</v>
      </c>
    </row>
    <row r="105" spans="1:8" s="677" customFormat="1" ht="25.5" hidden="1" customHeight="1">
      <c r="A105" s="662"/>
      <c r="B105" s="666"/>
      <c r="C105" s="663" t="s">
        <v>1423</v>
      </c>
      <c r="D105" s="675"/>
      <c r="E105" s="674" t="s">
        <v>235</v>
      </c>
      <c r="F105" s="663">
        <f t="shared" si="4"/>
        <v>0</v>
      </c>
      <c r="G105" s="675"/>
      <c r="H105" s="667">
        <f t="shared" si="3"/>
        <v>0</v>
      </c>
    </row>
    <row r="106" spans="1:8" s="677" customFormat="1" ht="25.5" hidden="1" customHeight="1">
      <c r="A106" s="688"/>
      <c r="B106" s="666"/>
      <c r="C106" s="663" t="s">
        <v>1424</v>
      </c>
      <c r="D106" s="675"/>
      <c r="E106" s="674" t="s">
        <v>235</v>
      </c>
      <c r="F106" s="663">
        <f t="shared" si="4"/>
        <v>0</v>
      </c>
      <c r="G106" s="675"/>
      <c r="H106" s="667">
        <f t="shared" si="3"/>
        <v>0</v>
      </c>
    </row>
    <row r="107" spans="1:8" s="677" customFormat="1" ht="46.5" hidden="1" customHeight="1">
      <c r="A107" s="662">
        <v>9.4</v>
      </c>
      <c r="B107" s="666"/>
      <c r="C107" s="663" t="s">
        <v>1429</v>
      </c>
      <c r="D107" s="675"/>
      <c r="E107" s="674"/>
      <c r="F107" s="663">
        <f t="shared" si="4"/>
        <v>0</v>
      </c>
      <c r="G107" s="675"/>
      <c r="H107" s="667">
        <f t="shared" si="3"/>
        <v>0</v>
      </c>
    </row>
    <row r="108" spans="1:8" s="677" customFormat="1" ht="25.5" hidden="1" customHeight="1">
      <c r="A108" s="662"/>
      <c r="B108" s="666"/>
      <c r="C108" s="663" t="s">
        <v>1420</v>
      </c>
      <c r="D108" s="675"/>
      <c r="E108" s="674" t="s">
        <v>235</v>
      </c>
      <c r="F108" s="663">
        <f t="shared" si="4"/>
        <v>0</v>
      </c>
      <c r="G108" s="675"/>
      <c r="H108" s="667">
        <f t="shared" si="3"/>
        <v>0</v>
      </c>
    </row>
    <row r="109" spans="1:8" s="677" customFormat="1" ht="25.5" hidden="1" customHeight="1">
      <c r="A109" s="662"/>
      <c r="B109" s="666"/>
      <c r="C109" s="663" t="s">
        <v>1421</v>
      </c>
      <c r="D109" s="675"/>
      <c r="E109" s="674" t="s">
        <v>235</v>
      </c>
      <c r="F109" s="663">
        <f t="shared" si="4"/>
        <v>0</v>
      </c>
      <c r="G109" s="675"/>
      <c r="H109" s="667">
        <f t="shared" si="3"/>
        <v>0</v>
      </c>
    </row>
    <row r="110" spans="1:8" s="677" customFormat="1" ht="25.5" hidden="1" customHeight="1">
      <c r="A110" s="662"/>
      <c r="B110" s="666"/>
      <c r="C110" s="663" t="s">
        <v>1422</v>
      </c>
      <c r="D110" s="675"/>
      <c r="E110" s="674" t="s">
        <v>235</v>
      </c>
      <c r="F110" s="663">
        <f t="shared" si="4"/>
        <v>0</v>
      </c>
      <c r="G110" s="675"/>
      <c r="H110" s="667">
        <f t="shared" si="3"/>
        <v>0</v>
      </c>
    </row>
    <row r="111" spans="1:8" s="677" customFormat="1" ht="25.5" hidden="1" customHeight="1">
      <c r="A111" s="662"/>
      <c r="B111" s="666"/>
      <c r="C111" s="663" t="s">
        <v>1423</v>
      </c>
      <c r="D111" s="675"/>
      <c r="E111" s="674" t="s">
        <v>235</v>
      </c>
      <c r="F111" s="663">
        <f t="shared" si="4"/>
        <v>0</v>
      </c>
      <c r="G111" s="675"/>
      <c r="H111" s="667">
        <f t="shared" si="3"/>
        <v>0</v>
      </c>
    </row>
    <row r="112" spans="1:8" s="677" customFormat="1" ht="12" hidden="1" customHeight="1">
      <c r="A112" s="688"/>
      <c r="B112" s="666"/>
      <c r="C112" s="663" t="s">
        <v>1424</v>
      </c>
      <c r="D112" s="675"/>
      <c r="E112" s="674" t="s">
        <v>235</v>
      </c>
      <c r="F112" s="663">
        <f t="shared" si="4"/>
        <v>0</v>
      </c>
      <c r="G112" s="675"/>
      <c r="H112" s="667">
        <f t="shared" si="3"/>
        <v>0</v>
      </c>
    </row>
    <row r="113" spans="1:8" ht="84.75" hidden="1" customHeight="1">
      <c r="A113" s="662">
        <v>9.5</v>
      </c>
      <c r="B113" s="666"/>
      <c r="C113" s="685" t="s">
        <v>1430</v>
      </c>
      <c r="D113" s="667"/>
      <c r="E113" s="663"/>
      <c r="F113" s="663">
        <f t="shared" si="4"/>
        <v>0</v>
      </c>
      <c r="G113" s="667"/>
      <c r="H113" s="667">
        <f t="shared" si="3"/>
        <v>0</v>
      </c>
    </row>
    <row r="114" spans="1:8" ht="45.75" hidden="1" customHeight="1">
      <c r="A114" s="662"/>
      <c r="B114" s="666"/>
      <c r="C114" s="663" t="s">
        <v>1420</v>
      </c>
      <c r="D114" s="667">
        <f>ROUND([14]Data!K347,2)</f>
        <v>6126.78</v>
      </c>
      <c r="E114" s="663" t="s">
        <v>235</v>
      </c>
      <c r="F114" s="663">
        <f t="shared" si="4"/>
        <v>0</v>
      </c>
      <c r="G114" s="667"/>
      <c r="H114" s="667">
        <f t="shared" si="3"/>
        <v>0</v>
      </c>
    </row>
    <row r="115" spans="1:8" ht="45.75" hidden="1" customHeight="1">
      <c r="A115" s="662"/>
      <c r="B115" s="666"/>
      <c r="C115" s="663" t="s">
        <v>1421</v>
      </c>
      <c r="D115" s="667">
        <f>ROUND([14]Data!K348,2)</f>
        <v>6263.98</v>
      </c>
      <c r="E115" s="663" t="s">
        <v>235</v>
      </c>
      <c r="F115" s="663">
        <f t="shared" si="4"/>
        <v>0</v>
      </c>
      <c r="G115" s="667"/>
      <c r="H115" s="667">
        <f t="shared" si="3"/>
        <v>0</v>
      </c>
    </row>
    <row r="116" spans="1:8" ht="45.75" hidden="1" customHeight="1">
      <c r="A116" s="662"/>
      <c r="B116" s="666"/>
      <c r="C116" s="663" t="s">
        <v>1422</v>
      </c>
      <c r="D116" s="667">
        <f>ROUND([14]Data!K349,2)</f>
        <v>6401.18</v>
      </c>
      <c r="E116" s="663" t="s">
        <v>235</v>
      </c>
      <c r="F116" s="663">
        <f t="shared" si="4"/>
        <v>0</v>
      </c>
      <c r="G116" s="667"/>
      <c r="H116" s="667">
        <f t="shared" si="3"/>
        <v>0</v>
      </c>
    </row>
    <row r="117" spans="1:8" ht="45.75" hidden="1" customHeight="1">
      <c r="A117" s="662"/>
      <c r="B117" s="666"/>
      <c r="C117" s="663" t="s">
        <v>1423</v>
      </c>
      <c r="D117" s="667">
        <f>ROUND([14]Data!K350,2)</f>
        <v>6538.38</v>
      </c>
      <c r="E117" s="663" t="s">
        <v>235</v>
      </c>
      <c r="F117" s="663">
        <f t="shared" si="4"/>
        <v>0</v>
      </c>
      <c r="G117" s="667"/>
      <c r="H117" s="667">
        <f t="shared" si="3"/>
        <v>0</v>
      </c>
    </row>
    <row r="118" spans="1:8" ht="49.5" hidden="1" customHeight="1">
      <c r="A118" s="687"/>
      <c r="B118" s="666"/>
      <c r="C118" s="663" t="s">
        <v>1424</v>
      </c>
      <c r="D118" s="667">
        <f>ROUND([14]Data!K351,2)</f>
        <v>6675.58</v>
      </c>
      <c r="E118" s="663" t="s">
        <v>235</v>
      </c>
      <c r="F118" s="663">
        <f t="shared" si="4"/>
        <v>0</v>
      </c>
      <c r="G118" s="667"/>
      <c r="H118" s="667">
        <f t="shared" si="3"/>
        <v>0</v>
      </c>
    </row>
    <row r="119" spans="1:8" s="677" customFormat="1" ht="69.75" hidden="1" customHeight="1">
      <c r="A119" s="662">
        <v>9.6</v>
      </c>
      <c r="B119" s="666"/>
      <c r="C119" s="663" t="s">
        <v>1431</v>
      </c>
      <c r="D119" s="675"/>
      <c r="E119" s="674"/>
      <c r="F119" s="663">
        <f t="shared" si="4"/>
        <v>0</v>
      </c>
      <c r="G119" s="675"/>
      <c r="H119" s="667">
        <f t="shared" si="3"/>
        <v>0</v>
      </c>
    </row>
    <row r="120" spans="1:8" s="677" customFormat="1" ht="25.5" hidden="1" customHeight="1">
      <c r="A120" s="662"/>
      <c r="B120" s="666"/>
      <c r="C120" s="663" t="s">
        <v>1420</v>
      </c>
      <c r="D120" s="675"/>
      <c r="E120" s="674" t="s">
        <v>235</v>
      </c>
      <c r="F120" s="663">
        <f t="shared" si="4"/>
        <v>0</v>
      </c>
      <c r="G120" s="675"/>
      <c r="H120" s="667">
        <f t="shared" si="3"/>
        <v>0</v>
      </c>
    </row>
    <row r="121" spans="1:8" s="677" customFormat="1" ht="25.5" hidden="1" customHeight="1">
      <c r="A121" s="662"/>
      <c r="B121" s="666"/>
      <c r="C121" s="663" t="s">
        <v>1421</v>
      </c>
      <c r="D121" s="675"/>
      <c r="E121" s="674" t="s">
        <v>235</v>
      </c>
      <c r="F121" s="663">
        <f t="shared" si="4"/>
        <v>0</v>
      </c>
      <c r="G121" s="675"/>
      <c r="H121" s="667">
        <f t="shared" si="3"/>
        <v>0</v>
      </c>
    </row>
    <row r="122" spans="1:8" s="677" customFormat="1" ht="25.5" hidden="1" customHeight="1">
      <c r="A122" s="662"/>
      <c r="B122" s="666"/>
      <c r="C122" s="663" t="s">
        <v>1422</v>
      </c>
      <c r="D122" s="675"/>
      <c r="E122" s="674" t="s">
        <v>235</v>
      </c>
      <c r="F122" s="663">
        <f t="shared" si="4"/>
        <v>0</v>
      </c>
      <c r="G122" s="675"/>
      <c r="H122" s="667">
        <f t="shared" si="3"/>
        <v>0</v>
      </c>
    </row>
    <row r="123" spans="1:8" s="677" customFormat="1" ht="25.5" hidden="1" customHeight="1">
      <c r="A123" s="662"/>
      <c r="B123" s="666"/>
      <c r="C123" s="663" t="s">
        <v>1423</v>
      </c>
      <c r="D123" s="675"/>
      <c r="E123" s="674" t="s">
        <v>235</v>
      </c>
      <c r="F123" s="663">
        <f t="shared" si="4"/>
        <v>0</v>
      </c>
      <c r="G123" s="675"/>
      <c r="H123" s="667">
        <f t="shared" si="3"/>
        <v>0</v>
      </c>
    </row>
    <row r="124" spans="1:8" s="677" customFormat="1" ht="25.5" hidden="1" customHeight="1">
      <c r="A124" s="688"/>
      <c r="B124" s="666"/>
      <c r="C124" s="663" t="s">
        <v>1424</v>
      </c>
      <c r="D124" s="675"/>
      <c r="E124" s="674" t="s">
        <v>235</v>
      </c>
      <c r="F124" s="663">
        <f t="shared" si="4"/>
        <v>0</v>
      </c>
      <c r="G124" s="675"/>
      <c r="H124" s="667">
        <f t="shared" si="3"/>
        <v>0</v>
      </c>
    </row>
    <row r="125" spans="1:8" s="677" customFormat="1" ht="69.75" hidden="1" customHeight="1">
      <c r="A125" s="662">
        <v>10.1</v>
      </c>
      <c r="B125" s="666"/>
      <c r="C125" s="685" t="s">
        <v>1432</v>
      </c>
      <c r="D125" s="675"/>
      <c r="E125" s="674"/>
      <c r="F125" s="663">
        <f t="shared" si="4"/>
        <v>0</v>
      </c>
      <c r="G125" s="675"/>
      <c r="H125" s="667">
        <f t="shared" si="3"/>
        <v>0</v>
      </c>
    </row>
    <row r="126" spans="1:8" s="677" customFormat="1" ht="25.5" hidden="1" customHeight="1">
      <c r="A126" s="662"/>
      <c r="B126" s="666"/>
      <c r="C126" s="663" t="s">
        <v>1433</v>
      </c>
      <c r="D126" s="675">
        <f>ROUND([14]Data!X400,2)</f>
        <v>772.02</v>
      </c>
      <c r="E126" s="674" t="s">
        <v>264</v>
      </c>
      <c r="F126" s="663">
        <f t="shared" si="4"/>
        <v>0</v>
      </c>
      <c r="G126" s="675"/>
      <c r="H126" s="667">
        <f t="shared" si="3"/>
        <v>0</v>
      </c>
    </row>
    <row r="127" spans="1:8" s="677" customFormat="1" ht="25.5" hidden="1" customHeight="1">
      <c r="A127" s="662"/>
      <c r="B127" s="666"/>
      <c r="C127" s="663" t="s">
        <v>1434</v>
      </c>
      <c r="D127" s="675">
        <f>ROUND([14]Data!X402,2)</f>
        <v>779.64</v>
      </c>
      <c r="E127" s="674" t="s">
        <v>264</v>
      </c>
      <c r="F127" s="663">
        <f t="shared" si="4"/>
        <v>0</v>
      </c>
      <c r="G127" s="675"/>
      <c r="H127" s="667">
        <f t="shared" si="3"/>
        <v>0</v>
      </c>
    </row>
    <row r="128" spans="1:8" s="677" customFormat="1" ht="25.5" hidden="1" customHeight="1">
      <c r="A128" s="662"/>
      <c r="B128" s="666"/>
      <c r="C128" s="663" t="s">
        <v>1435</v>
      </c>
      <c r="D128" s="675">
        <f>ROUND([14]Data!X403,2)</f>
        <v>795.01</v>
      </c>
      <c r="E128" s="674" t="s">
        <v>264</v>
      </c>
      <c r="F128" s="663">
        <f t="shared" si="4"/>
        <v>0</v>
      </c>
      <c r="G128" s="675"/>
      <c r="H128" s="667">
        <f t="shared" si="3"/>
        <v>0</v>
      </c>
    </row>
    <row r="129" spans="1:8" s="677" customFormat="1" ht="25.5" hidden="1" customHeight="1">
      <c r="A129" s="662"/>
      <c r="B129" s="666"/>
      <c r="C129" s="663" t="s">
        <v>1436</v>
      </c>
      <c r="D129" s="675">
        <f>ROUND([14]Data!X404,2)</f>
        <v>810.38</v>
      </c>
      <c r="E129" s="674" t="s">
        <v>264</v>
      </c>
      <c r="F129" s="663">
        <f t="shared" si="4"/>
        <v>0</v>
      </c>
      <c r="G129" s="675"/>
      <c r="H129" s="667">
        <f t="shared" si="3"/>
        <v>0</v>
      </c>
    </row>
    <row r="130" spans="1:8" s="677" customFormat="1" ht="25.5" hidden="1" customHeight="1">
      <c r="A130" s="662"/>
      <c r="B130" s="666"/>
      <c r="C130" s="663" t="s">
        <v>1437</v>
      </c>
      <c r="D130" s="675">
        <f>ROUND([14]Data!X405,2)</f>
        <v>825.75</v>
      </c>
      <c r="E130" s="674" t="s">
        <v>264</v>
      </c>
      <c r="F130" s="663">
        <f t="shared" si="4"/>
        <v>0</v>
      </c>
      <c r="G130" s="675"/>
      <c r="H130" s="667">
        <f t="shared" si="3"/>
        <v>0</v>
      </c>
    </row>
    <row r="131" spans="1:8" s="677" customFormat="1" ht="25.5" hidden="1" customHeight="1">
      <c r="A131" s="688"/>
      <c r="B131" s="666"/>
      <c r="C131" s="663" t="s">
        <v>1438</v>
      </c>
      <c r="D131" s="675">
        <f>ROUND([14]Data!X406,2)</f>
        <v>841.12</v>
      </c>
      <c r="E131" s="674" t="s">
        <v>264</v>
      </c>
      <c r="F131" s="663">
        <f t="shared" si="4"/>
        <v>0</v>
      </c>
      <c r="G131" s="675"/>
      <c r="H131" s="667">
        <f t="shared" si="3"/>
        <v>0</v>
      </c>
    </row>
    <row r="132" spans="1:8" s="677" customFormat="1" ht="69.75" hidden="1" customHeight="1">
      <c r="A132" s="662">
        <v>10.199999999999999</v>
      </c>
      <c r="B132" s="666"/>
      <c r="C132" s="685" t="s">
        <v>1439</v>
      </c>
      <c r="D132" s="675"/>
      <c r="E132" s="674"/>
      <c r="F132" s="663">
        <f t="shared" si="4"/>
        <v>0</v>
      </c>
      <c r="G132" s="675"/>
      <c r="H132" s="667">
        <f t="shared" si="3"/>
        <v>0</v>
      </c>
    </row>
    <row r="133" spans="1:8" s="677" customFormat="1" ht="25.5" hidden="1" customHeight="1">
      <c r="A133" s="662"/>
      <c r="B133" s="666"/>
      <c r="C133" s="663" t="s">
        <v>1433</v>
      </c>
      <c r="D133" s="675">
        <f>ROUND([14]Data!AG409,2)</f>
        <v>753.19</v>
      </c>
      <c r="E133" s="674" t="s">
        <v>264</v>
      </c>
      <c r="F133" s="663">
        <f t="shared" si="4"/>
        <v>0</v>
      </c>
      <c r="G133" s="675"/>
      <c r="H133" s="667">
        <f t="shared" si="3"/>
        <v>0</v>
      </c>
    </row>
    <row r="134" spans="1:8" s="677" customFormat="1" ht="25.5" hidden="1" customHeight="1">
      <c r="A134" s="662"/>
      <c r="B134" s="666"/>
      <c r="C134" s="663" t="s">
        <v>1440</v>
      </c>
      <c r="D134" s="675">
        <f>ROUND([14]Data!AG411,2)</f>
        <v>760.94</v>
      </c>
      <c r="E134" s="674" t="s">
        <v>264</v>
      </c>
      <c r="F134" s="663">
        <f t="shared" si="4"/>
        <v>0</v>
      </c>
      <c r="G134" s="675"/>
      <c r="H134" s="667">
        <f t="shared" ref="H134:H197" si="5">G134*D134</f>
        <v>0</v>
      </c>
    </row>
    <row r="135" spans="1:8" s="677" customFormat="1" ht="25.5" hidden="1" customHeight="1">
      <c r="A135" s="662"/>
      <c r="B135" s="666"/>
      <c r="C135" s="663" t="s">
        <v>1435</v>
      </c>
      <c r="D135" s="675">
        <f>ROUND([14]Data!AG412,2)</f>
        <v>776.58</v>
      </c>
      <c r="E135" s="674" t="s">
        <v>264</v>
      </c>
      <c r="F135" s="663">
        <f t="shared" si="4"/>
        <v>0</v>
      </c>
      <c r="G135" s="675"/>
      <c r="H135" s="667">
        <f t="shared" si="5"/>
        <v>0</v>
      </c>
    </row>
    <row r="136" spans="1:8" s="677" customFormat="1" ht="25.5" hidden="1" customHeight="1">
      <c r="A136" s="662"/>
      <c r="B136" s="666"/>
      <c r="C136" s="663" t="s">
        <v>1436</v>
      </c>
      <c r="D136" s="675">
        <f>ROUND([14]Data!AG413,2)</f>
        <v>792.22</v>
      </c>
      <c r="E136" s="674" t="s">
        <v>264</v>
      </c>
      <c r="F136" s="663">
        <f t="shared" si="4"/>
        <v>0</v>
      </c>
      <c r="G136" s="675"/>
      <c r="H136" s="667">
        <f t="shared" si="5"/>
        <v>0</v>
      </c>
    </row>
    <row r="137" spans="1:8" s="677" customFormat="1" ht="25.5" hidden="1" customHeight="1">
      <c r="A137" s="662"/>
      <c r="B137" s="666"/>
      <c r="C137" s="663" t="s">
        <v>1437</v>
      </c>
      <c r="D137" s="675">
        <f>ROUND([14]Data!AG414,2)</f>
        <v>807.86</v>
      </c>
      <c r="E137" s="674" t="s">
        <v>264</v>
      </c>
      <c r="F137" s="663">
        <f t="shared" si="4"/>
        <v>0</v>
      </c>
      <c r="G137" s="675"/>
      <c r="H137" s="667">
        <f t="shared" si="5"/>
        <v>0</v>
      </c>
    </row>
    <row r="138" spans="1:8" s="677" customFormat="1" ht="25.5" hidden="1" customHeight="1">
      <c r="A138" s="688"/>
      <c r="B138" s="666"/>
      <c r="C138" s="663" t="s">
        <v>1438</v>
      </c>
      <c r="D138" s="675">
        <f>ROUND([14]Data!AG415,2)</f>
        <v>823.5</v>
      </c>
      <c r="E138" s="674" t="s">
        <v>264</v>
      </c>
      <c r="F138" s="663">
        <f t="shared" si="4"/>
        <v>0</v>
      </c>
      <c r="G138" s="675"/>
      <c r="H138" s="667">
        <f t="shared" si="5"/>
        <v>0</v>
      </c>
    </row>
    <row r="139" spans="1:8" s="677" customFormat="1" ht="25.5" hidden="1" customHeight="1">
      <c r="A139" s="688"/>
      <c r="B139" s="666"/>
      <c r="C139" s="663" t="s">
        <v>1411</v>
      </c>
      <c r="D139" s="675">
        <f>ROUND([14]Data!AG416,2)</f>
        <v>839.14</v>
      </c>
      <c r="E139" s="674" t="s">
        <v>264</v>
      </c>
      <c r="F139" s="663">
        <f t="shared" si="4"/>
        <v>0</v>
      </c>
      <c r="G139" s="675"/>
      <c r="H139" s="667">
        <f t="shared" si="5"/>
        <v>0</v>
      </c>
    </row>
    <row r="140" spans="1:8" s="677" customFormat="1" ht="25.5" hidden="1" customHeight="1">
      <c r="A140" s="688"/>
      <c r="B140" s="666"/>
      <c r="C140" s="663" t="s">
        <v>1412</v>
      </c>
      <c r="D140" s="675">
        <f>ROUND([14]Data!AG417,2)</f>
        <v>854.78</v>
      </c>
      <c r="E140" s="674" t="s">
        <v>264</v>
      </c>
      <c r="F140" s="663">
        <f t="shared" si="4"/>
        <v>0</v>
      </c>
      <c r="G140" s="675"/>
      <c r="H140" s="667">
        <f t="shared" si="5"/>
        <v>0</v>
      </c>
    </row>
    <row r="141" spans="1:8" s="677" customFormat="1" ht="25.5" hidden="1" customHeight="1">
      <c r="A141" s="688"/>
      <c r="B141" s="666"/>
      <c r="C141" s="663" t="s">
        <v>1413</v>
      </c>
      <c r="D141" s="675">
        <f>ROUND([14]Data!AG418,2)</f>
        <v>870.42</v>
      </c>
      <c r="E141" s="674" t="s">
        <v>264</v>
      </c>
      <c r="F141" s="663">
        <f t="shared" si="4"/>
        <v>0</v>
      </c>
      <c r="G141" s="675"/>
      <c r="H141" s="667">
        <f t="shared" si="5"/>
        <v>0</v>
      </c>
    </row>
    <row r="142" spans="1:8" s="677" customFormat="1" ht="25.5" hidden="1" customHeight="1">
      <c r="A142" s="688"/>
      <c r="B142" s="666"/>
      <c r="C142" s="663" t="s">
        <v>1414</v>
      </c>
      <c r="D142" s="675">
        <f>ROUND([14]Data!AG419,2)</f>
        <v>886.06</v>
      </c>
      <c r="E142" s="674" t="s">
        <v>264</v>
      </c>
      <c r="F142" s="663">
        <f t="shared" si="4"/>
        <v>0</v>
      </c>
      <c r="G142" s="675"/>
      <c r="H142" s="667">
        <f t="shared" si="5"/>
        <v>0</v>
      </c>
    </row>
    <row r="143" spans="1:8" s="677" customFormat="1" ht="25.5" hidden="1" customHeight="1">
      <c r="A143" s="688"/>
      <c r="B143" s="666"/>
      <c r="C143" s="663" t="s">
        <v>1415</v>
      </c>
      <c r="D143" s="675">
        <f>ROUND([14]Data!AG420,2)</f>
        <v>901.7</v>
      </c>
      <c r="E143" s="674" t="s">
        <v>264</v>
      </c>
      <c r="F143" s="663">
        <f t="shared" si="4"/>
        <v>0</v>
      </c>
      <c r="G143" s="675"/>
      <c r="H143" s="667">
        <f t="shared" si="5"/>
        <v>0</v>
      </c>
    </row>
    <row r="144" spans="1:8" s="677" customFormat="1" ht="26.25" hidden="1" customHeight="1">
      <c r="A144" s="688"/>
      <c r="B144" s="666"/>
      <c r="C144" s="663" t="s">
        <v>1416</v>
      </c>
      <c r="D144" s="675">
        <f>ROUND([14]Data!AG421,2)</f>
        <v>917.34</v>
      </c>
      <c r="E144" s="674" t="s">
        <v>264</v>
      </c>
      <c r="F144" s="663">
        <f t="shared" si="4"/>
        <v>0</v>
      </c>
      <c r="G144" s="675"/>
      <c r="H144" s="667">
        <f t="shared" si="5"/>
        <v>0</v>
      </c>
    </row>
    <row r="145" spans="1:8" s="677" customFormat="1" ht="25.5" hidden="1" customHeight="1">
      <c r="A145" s="688"/>
      <c r="B145" s="666"/>
      <c r="C145" s="663" t="s">
        <v>1417</v>
      </c>
      <c r="D145" s="675">
        <f>ROUND([14]Data!AG422,2)</f>
        <v>932.98</v>
      </c>
      <c r="E145" s="674" t="s">
        <v>264</v>
      </c>
      <c r="F145" s="663">
        <f t="shared" ref="F145:F208" si="6">B145*D145</f>
        <v>0</v>
      </c>
      <c r="G145" s="675"/>
      <c r="H145" s="667">
        <f t="shared" si="5"/>
        <v>0</v>
      </c>
    </row>
    <row r="146" spans="1:8" s="677" customFormat="1" ht="25.5" hidden="1" customHeight="1">
      <c r="A146" s="688"/>
      <c r="B146" s="666"/>
      <c r="C146" s="663" t="s">
        <v>1418</v>
      </c>
      <c r="D146" s="675">
        <f>[14]Data!AI422</f>
        <v>948.62</v>
      </c>
      <c r="E146" s="674" t="s">
        <v>264</v>
      </c>
      <c r="F146" s="663">
        <f t="shared" si="6"/>
        <v>0</v>
      </c>
      <c r="G146" s="675"/>
      <c r="H146" s="667">
        <f t="shared" si="5"/>
        <v>0</v>
      </c>
    </row>
    <row r="147" spans="1:8" s="677" customFormat="1" ht="25.5" hidden="1" customHeight="1">
      <c r="A147" s="688"/>
      <c r="B147" s="666"/>
      <c r="C147" s="663" t="s">
        <v>1427</v>
      </c>
      <c r="D147" s="675">
        <f>[14]Data!AI423</f>
        <v>964.26</v>
      </c>
      <c r="E147" s="674" t="s">
        <v>264</v>
      </c>
      <c r="F147" s="663">
        <f t="shared" si="6"/>
        <v>0</v>
      </c>
      <c r="G147" s="675"/>
      <c r="H147" s="667">
        <f t="shared" si="5"/>
        <v>0</v>
      </c>
    </row>
    <row r="148" spans="1:8" s="677" customFormat="1" ht="69.75" hidden="1" customHeight="1">
      <c r="A148" s="662">
        <v>10.3</v>
      </c>
      <c r="B148" s="666"/>
      <c r="C148" s="685" t="s">
        <v>1441</v>
      </c>
      <c r="D148" s="675"/>
      <c r="E148" s="674"/>
      <c r="F148" s="663">
        <f t="shared" si="6"/>
        <v>0</v>
      </c>
      <c r="G148" s="675"/>
      <c r="H148" s="667">
        <f t="shared" si="5"/>
        <v>0</v>
      </c>
    </row>
    <row r="149" spans="1:8" s="677" customFormat="1" ht="25.5" hidden="1" customHeight="1">
      <c r="A149" s="662"/>
      <c r="B149" s="666"/>
      <c r="C149" s="663" t="s">
        <v>1433</v>
      </c>
      <c r="D149" s="675"/>
      <c r="E149" s="674" t="s">
        <v>264</v>
      </c>
      <c r="F149" s="663">
        <f t="shared" si="6"/>
        <v>0</v>
      </c>
      <c r="G149" s="675"/>
      <c r="H149" s="667">
        <f t="shared" si="5"/>
        <v>0</v>
      </c>
    </row>
    <row r="150" spans="1:8" s="677" customFormat="1" ht="25.5" hidden="1" customHeight="1">
      <c r="A150" s="662"/>
      <c r="B150" s="666"/>
      <c r="C150" s="663" t="s">
        <v>1434</v>
      </c>
      <c r="D150" s="675"/>
      <c r="E150" s="674" t="s">
        <v>264</v>
      </c>
      <c r="F150" s="663">
        <f t="shared" si="6"/>
        <v>0</v>
      </c>
      <c r="G150" s="675"/>
      <c r="H150" s="667">
        <f t="shared" si="5"/>
        <v>0</v>
      </c>
    </row>
    <row r="151" spans="1:8" s="677" customFormat="1" ht="25.5" hidden="1" customHeight="1">
      <c r="A151" s="662"/>
      <c r="B151" s="666"/>
      <c r="C151" s="663" t="s">
        <v>1435</v>
      </c>
      <c r="D151" s="675"/>
      <c r="E151" s="674" t="s">
        <v>264</v>
      </c>
      <c r="F151" s="663">
        <f t="shared" si="6"/>
        <v>0</v>
      </c>
      <c r="G151" s="675"/>
      <c r="H151" s="667">
        <f t="shared" si="5"/>
        <v>0</v>
      </c>
    </row>
    <row r="152" spans="1:8" s="677" customFormat="1" ht="25.5" hidden="1" customHeight="1">
      <c r="A152" s="662"/>
      <c r="B152" s="666"/>
      <c r="C152" s="663" t="s">
        <v>1436</v>
      </c>
      <c r="D152" s="675"/>
      <c r="E152" s="674" t="s">
        <v>264</v>
      </c>
      <c r="F152" s="663">
        <f t="shared" si="6"/>
        <v>0</v>
      </c>
      <c r="G152" s="675"/>
      <c r="H152" s="667">
        <f t="shared" si="5"/>
        <v>0</v>
      </c>
    </row>
    <row r="153" spans="1:8" s="677" customFormat="1" ht="25.5" hidden="1" customHeight="1">
      <c r="A153" s="662"/>
      <c r="B153" s="666"/>
      <c r="C153" s="663" t="s">
        <v>1437</v>
      </c>
      <c r="D153" s="675"/>
      <c r="E153" s="674" t="s">
        <v>264</v>
      </c>
      <c r="F153" s="663">
        <f t="shared" si="6"/>
        <v>0</v>
      </c>
      <c r="G153" s="675"/>
      <c r="H153" s="667">
        <f t="shared" si="5"/>
        <v>0</v>
      </c>
    </row>
    <row r="154" spans="1:8" s="677" customFormat="1" ht="25.5" hidden="1" customHeight="1">
      <c r="A154" s="688"/>
      <c r="B154" s="666"/>
      <c r="C154" s="663" t="s">
        <v>1438</v>
      </c>
      <c r="D154" s="675"/>
      <c r="E154" s="674" t="s">
        <v>264</v>
      </c>
      <c r="F154" s="663">
        <f t="shared" si="6"/>
        <v>0</v>
      </c>
      <c r="G154" s="675"/>
      <c r="H154" s="667">
        <f t="shared" si="5"/>
        <v>0</v>
      </c>
    </row>
    <row r="155" spans="1:8" s="677" customFormat="1" ht="69.75" hidden="1" customHeight="1">
      <c r="A155" s="662">
        <v>10.4</v>
      </c>
      <c r="B155" s="666"/>
      <c r="C155" s="685" t="s">
        <v>1442</v>
      </c>
      <c r="D155" s="675"/>
      <c r="E155" s="674"/>
      <c r="F155" s="663">
        <f t="shared" si="6"/>
        <v>0</v>
      </c>
      <c r="G155" s="675"/>
      <c r="H155" s="667">
        <f t="shared" si="5"/>
        <v>0</v>
      </c>
    </row>
    <row r="156" spans="1:8" s="677" customFormat="1" ht="25.5" hidden="1" customHeight="1">
      <c r="A156" s="662"/>
      <c r="B156" s="666"/>
      <c r="C156" s="663" t="s">
        <v>1433</v>
      </c>
      <c r="D156" s="675"/>
      <c r="E156" s="674" t="s">
        <v>264</v>
      </c>
      <c r="F156" s="663">
        <f t="shared" si="6"/>
        <v>0</v>
      </c>
      <c r="G156" s="675"/>
      <c r="H156" s="667">
        <f t="shared" si="5"/>
        <v>0</v>
      </c>
    </row>
    <row r="157" spans="1:8" s="677" customFormat="1" ht="25.5" hidden="1" customHeight="1">
      <c r="A157" s="662"/>
      <c r="B157" s="666"/>
      <c r="C157" s="663" t="s">
        <v>1434</v>
      </c>
      <c r="D157" s="675"/>
      <c r="E157" s="674" t="s">
        <v>264</v>
      </c>
      <c r="F157" s="663">
        <f t="shared" si="6"/>
        <v>0</v>
      </c>
      <c r="G157" s="675"/>
      <c r="H157" s="667">
        <f t="shared" si="5"/>
        <v>0</v>
      </c>
    </row>
    <row r="158" spans="1:8" s="677" customFormat="1" ht="25.5" hidden="1" customHeight="1">
      <c r="A158" s="662"/>
      <c r="B158" s="666"/>
      <c r="C158" s="663" t="s">
        <v>1435</v>
      </c>
      <c r="D158" s="675"/>
      <c r="E158" s="674" t="s">
        <v>264</v>
      </c>
      <c r="F158" s="663">
        <f t="shared" si="6"/>
        <v>0</v>
      </c>
      <c r="G158" s="675"/>
      <c r="H158" s="667">
        <f t="shared" si="5"/>
        <v>0</v>
      </c>
    </row>
    <row r="159" spans="1:8" s="677" customFormat="1" ht="25.5" hidden="1" customHeight="1">
      <c r="A159" s="662"/>
      <c r="B159" s="666"/>
      <c r="C159" s="663" t="s">
        <v>1436</v>
      </c>
      <c r="D159" s="675"/>
      <c r="E159" s="674" t="s">
        <v>264</v>
      </c>
      <c r="F159" s="663">
        <f t="shared" si="6"/>
        <v>0</v>
      </c>
      <c r="G159" s="675"/>
      <c r="H159" s="667">
        <f t="shared" si="5"/>
        <v>0</v>
      </c>
    </row>
    <row r="160" spans="1:8" s="677" customFormat="1" ht="25.5" hidden="1" customHeight="1">
      <c r="A160" s="662"/>
      <c r="B160" s="666"/>
      <c r="C160" s="663" t="s">
        <v>1437</v>
      </c>
      <c r="D160" s="675"/>
      <c r="E160" s="674" t="s">
        <v>264</v>
      </c>
      <c r="F160" s="663">
        <f t="shared" si="6"/>
        <v>0</v>
      </c>
      <c r="G160" s="675"/>
      <c r="H160" s="667">
        <f t="shared" si="5"/>
        <v>0</v>
      </c>
    </row>
    <row r="161" spans="1:8" s="677" customFormat="1" ht="25.5" hidden="1" customHeight="1">
      <c r="A161" s="688"/>
      <c r="B161" s="666"/>
      <c r="C161" s="663" t="s">
        <v>1438</v>
      </c>
      <c r="D161" s="675"/>
      <c r="E161" s="674" t="s">
        <v>264</v>
      </c>
      <c r="F161" s="663">
        <f t="shared" si="6"/>
        <v>0</v>
      </c>
      <c r="G161" s="675"/>
      <c r="H161" s="667">
        <f t="shared" si="5"/>
        <v>0</v>
      </c>
    </row>
    <row r="162" spans="1:8" ht="84.75" hidden="1" customHeight="1">
      <c r="A162" s="662">
        <v>10.5</v>
      </c>
      <c r="B162" s="666"/>
      <c r="C162" s="685" t="s">
        <v>1443</v>
      </c>
      <c r="D162" s="667"/>
      <c r="E162" s="663"/>
      <c r="F162" s="663">
        <f t="shared" si="6"/>
        <v>0</v>
      </c>
      <c r="G162" s="667"/>
      <c r="H162" s="667">
        <f t="shared" si="5"/>
        <v>0</v>
      </c>
    </row>
    <row r="163" spans="1:8" ht="43.5" hidden="1" customHeight="1">
      <c r="A163" s="662"/>
      <c r="B163" s="666"/>
      <c r="C163" s="663" t="s">
        <v>1433</v>
      </c>
      <c r="D163" s="667">
        <f>ROUND([14]Data!K400,2)</f>
        <v>735.76</v>
      </c>
      <c r="E163" s="663" t="s">
        <v>264</v>
      </c>
      <c r="F163" s="663">
        <f t="shared" si="6"/>
        <v>0</v>
      </c>
      <c r="G163" s="667"/>
      <c r="H163" s="667">
        <f t="shared" si="5"/>
        <v>0</v>
      </c>
    </row>
    <row r="164" spans="1:8" ht="43.5" hidden="1" customHeight="1">
      <c r="A164" s="662"/>
      <c r="B164" s="666"/>
      <c r="C164" s="663" t="s">
        <v>1434</v>
      </c>
      <c r="D164" s="667">
        <f>ROUND([14]Data!K402,2)</f>
        <v>743.24</v>
      </c>
      <c r="E164" s="663" t="s">
        <v>264</v>
      </c>
      <c r="F164" s="663">
        <f t="shared" si="6"/>
        <v>0</v>
      </c>
      <c r="G164" s="667"/>
      <c r="H164" s="667">
        <f t="shared" si="5"/>
        <v>0</v>
      </c>
    </row>
    <row r="165" spans="1:8" ht="43.5" hidden="1" customHeight="1">
      <c r="A165" s="662"/>
      <c r="B165" s="666"/>
      <c r="C165" s="663" t="s">
        <v>1435</v>
      </c>
      <c r="D165" s="667">
        <f>ROUND([14]Data!K403,2)</f>
        <v>758.33</v>
      </c>
      <c r="E165" s="663" t="s">
        <v>264</v>
      </c>
      <c r="F165" s="663">
        <f t="shared" si="6"/>
        <v>0</v>
      </c>
      <c r="G165" s="667"/>
      <c r="H165" s="667">
        <f t="shared" si="5"/>
        <v>0</v>
      </c>
    </row>
    <row r="166" spans="1:8" ht="43.5" hidden="1" customHeight="1">
      <c r="A166" s="662"/>
      <c r="B166" s="666"/>
      <c r="C166" s="663" t="s">
        <v>1436</v>
      </c>
      <c r="D166" s="667">
        <f>ROUND([14]Data!K404,2)</f>
        <v>773.42</v>
      </c>
      <c r="E166" s="663" t="s">
        <v>264</v>
      </c>
      <c r="F166" s="663">
        <f t="shared" si="6"/>
        <v>0</v>
      </c>
      <c r="G166" s="667"/>
      <c r="H166" s="667">
        <f t="shared" si="5"/>
        <v>0</v>
      </c>
    </row>
    <row r="167" spans="1:8" ht="43.5" hidden="1" customHeight="1">
      <c r="A167" s="662"/>
      <c r="B167" s="666"/>
      <c r="C167" s="663" t="s">
        <v>1437</v>
      </c>
      <c r="D167" s="667">
        <f>ROUND([14]Data!K405,2)</f>
        <v>788.51</v>
      </c>
      <c r="E167" s="663" t="s">
        <v>264</v>
      </c>
      <c r="F167" s="663">
        <f t="shared" si="6"/>
        <v>0</v>
      </c>
      <c r="G167" s="667"/>
      <c r="H167" s="667">
        <f t="shared" si="5"/>
        <v>0</v>
      </c>
    </row>
    <row r="168" spans="1:8" s="677" customFormat="1" ht="36" hidden="1" customHeight="1">
      <c r="A168" s="687"/>
      <c r="B168" s="666"/>
      <c r="C168" s="663" t="s">
        <v>1438</v>
      </c>
      <c r="D168" s="675">
        <f>ROUND([14]Data!K406,2)</f>
        <v>803.6</v>
      </c>
      <c r="E168" s="674" t="s">
        <v>264</v>
      </c>
      <c r="F168" s="663">
        <f t="shared" si="6"/>
        <v>0</v>
      </c>
      <c r="G168" s="675"/>
      <c r="H168" s="667">
        <f t="shared" si="5"/>
        <v>0</v>
      </c>
    </row>
    <row r="169" spans="1:8" s="677" customFormat="1" ht="69.75" hidden="1" customHeight="1">
      <c r="A169" s="662">
        <v>10.6</v>
      </c>
      <c r="B169" s="666"/>
      <c r="C169" s="685" t="s">
        <v>1444</v>
      </c>
      <c r="D169" s="675"/>
      <c r="E169" s="674"/>
      <c r="F169" s="663">
        <f t="shared" si="6"/>
        <v>0</v>
      </c>
      <c r="G169" s="675"/>
      <c r="H169" s="667">
        <f t="shared" si="5"/>
        <v>0</v>
      </c>
    </row>
    <row r="170" spans="1:8" s="677" customFormat="1" ht="25.5" hidden="1" customHeight="1">
      <c r="A170" s="662"/>
      <c r="B170" s="666"/>
      <c r="C170" s="663" t="s">
        <v>1433</v>
      </c>
      <c r="D170" s="675"/>
      <c r="E170" s="674" t="s">
        <v>264</v>
      </c>
      <c r="F170" s="663">
        <f t="shared" si="6"/>
        <v>0</v>
      </c>
      <c r="G170" s="675"/>
      <c r="H170" s="667">
        <f t="shared" si="5"/>
        <v>0</v>
      </c>
    </row>
    <row r="171" spans="1:8" s="677" customFormat="1" ht="25.5" hidden="1" customHeight="1">
      <c r="A171" s="662"/>
      <c r="B171" s="666"/>
      <c r="C171" s="663" t="s">
        <v>1434</v>
      </c>
      <c r="D171" s="675"/>
      <c r="E171" s="674" t="s">
        <v>264</v>
      </c>
      <c r="F171" s="663">
        <f t="shared" si="6"/>
        <v>0</v>
      </c>
      <c r="G171" s="675"/>
      <c r="H171" s="667">
        <f t="shared" si="5"/>
        <v>0</v>
      </c>
    </row>
    <row r="172" spans="1:8" s="677" customFormat="1" ht="25.5" hidden="1" customHeight="1">
      <c r="A172" s="662"/>
      <c r="B172" s="666"/>
      <c r="C172" s="663" t="s">
        <v>1435</v>
      </c>
      <c r="D172" s="675"/>
      <c r="E172" s="674" t="s">
        <v>264</v>
      </c>
      <c r="F172" s="663">
        <f t="shared" si="6"/>
        <v>0</v>
      </c>
      <c r="G172" s="675"/>
      <c r="H172" s="667">
        <f t="shared" si="5"/>
        <v>0</v>
      </c>
    </row>
    <row r="173" spans="1:8" s="677" customFormat="1" ht="26.25" hidden="1" customHeight="1">
      <c r="A173" s="662"/>
      <c r="B173" s="666"/>
      <c r="C173" s="663" t="s">
        <v>1436</v>
      </c>
      <c r="D173" s="675"/>
      <c r="E173" s="674" t="s">
        <v>264</v>
      </c>
      <c r="F173" s="663">
        <f t="shared" si="6"/>
        <v>0</v>
      </c>
      <c r="G173" s="675"/>
      <c r="H173" s="667">
        <f t="shared" si="5"/>
        <v>0</v>
      </c>
    </row>
    <row r="174" spans="1:8" s="677" customFormat="1" ht="25.5" hidden="1" customHeight="1">
      <c r="A174" s="662"/>
      <c r="B174" s="666"/>
      <c r="C174" s="663" t="s">
        <v>1437</v>
      </c>
      <c r="D174" s="675"/>
      <c r="E174" s="674" t="s">
        <v>264</v>
      </c>
      <c r="F174" s="663">
        <f t="shared" si="6"/>
        <v>0</v>
      </c>
      <c r="G174" s="675"/>
      <c r="H174" s="667">
        <f t="shared" si="5"/>
        <v>0</v>
      </c>
    </row>
    <row r="175" spans="1:8" s="677" customFormat="1" ht="25.5" hidden="1" customHeight="1">
      <c r="A175" s="688"/>
      <c r="B175" s="666"/>
      <c r="C175" s="663" t="s">
        <v>1438</v>
      </c>
      <c r="D175" s="675"/>
      <c r="E175" s="674" t="s">
        <v>264</v>
      </c>
      <c r="F175" s="663">
        <f t="shared" si="6"/>
        <v>0</v>
      </c>
      <c r="G175" s="675"/>
      <c r="H175" s="667">
        <f t="shared" si="5"/>
        <v>0</v>
      </c>
    </row>
    <row r="176" spans="1:8" s="677" customFormat="1" ht="69.75" hidden="1" customHeight="1">
      <c r="A176" s="662">
        <v>11.1</v>
      </c>
      <c r="B176" s="666"/>
      <c r="C176" s="685" t="s">
        <v>1445</v>
      </c>
      <c r="D176" s="675"/>
      <c r="E176" s="674"/>
      <c r="F176" s="663">
        <f t="shared" si="6"/>
        <v>0</v>
      </c>
      <c r="G176" s="675"/>
      <c r="H176" s="667">
        <f t="shared" si="5"/>
        <v>0</v>
      </c>
    </row>
    <row r="177" spans="1:8" s="677" customFormat="1" ht="25.5" hidden="1" customHeight="1">
      <c r="A177" s="662"/>
      <c r="B177" s="666"/>
      <c r="C177" s="663" t="s">
        <v>1420</v>
      </c>
      <c r="D177" s="675">
        <f>ROUND([14]Data!X434,2)</f>
        <v>519.55999999999995</v>
      </c>
      <c r="E177" s="674" t="s">
        <v>264</v>
      </c>
      <c r="F177" s="663">
        <f t="shared" si="6"/>
        <v>0</v>
      </c>
      <c r="G177" s="675"/>
      <c r="H177" s="667">
        <f t="shared" si="5"/>
        <v>0</v>
      </c>
    </row>
    <row r="178" spans="1:8" s="677" customFormat="1" ht="25.5" hidden="1" customHeight="1">
      <c r="A178" s="662"/>
      <c r="B178" s="666"/>
      <c r="C178" s="663" t="s">
        <v>1421</v>
      </c>
      <c r="D178" s="675">
        <f>ROUND([14]Data!X435,2)</f>
        <v>529.16</v>
      </c>
      <c r="E178" s="674" t="s">
        <v>264</v>
      </c>
      <c r="F178" s="663">
        <f t="shared" si="6"/>
        <v>0</v>
      </c>
      <c r="G178" s="675"/>
      <c r="H178" s="667">
        <f t="shared" si="5"/>
        <v>0</v>
      </c>
    </row>
    <row r="179" spans="1:8" s="677" customFormat="1" ht="25.5" hidden="1" customHeight="1">
      <c r="A179" s="662"/>
      <c r="B179" s="666"/>
      <c r="C179" s="663" t="s">
        <v>1422</v>
      </c>
      <c r="D179" s="675">
        <f>ROUND([14]Data!X436,2)</f>
        <v>538.76</v>
      </c>
      <c r="E179" s="674" t="s">
        <v>264</v>
      </c>
      <c r="F179" s="663">
        <f t="shared" si="6"/>
        <v>0</v>
      </c>
      <c r="G179" s="675"/>
      <c r="H179" s="667">
        <f t="shared" si="5"/>
        <v>0</v>
      </c>
    </row>
    <row r="180" spans="1:8" s="677" customFormat="1" ht="25.5" hidden="1" customHeight="1">
      <c r="A180" s="662"/>
      <c r="B180" s="666"/>
      <c r="C180" s="663" t="s">
        <v>1423</v>
      </c>
      <c r="D180" s="675">
        <f>ROUND([14]Data!X437,2)</f>
        <v>548.36</v>
      </c>
      <c r="E180" s="674" t="s">
        <v>264</v>
      </c>
      <c r="F180" s="663">
        <f t="shared" si="6"/>
        <v>0</v>
      </c>
      <c r="G180" s="675"/>
      <c r="H180" s="667">
        <f t="shared" si="5"/>
        <v>0</v>
      </c>
    </row>
    <row r="181" spans="1:8" s="677" customFormat="1" ht="25.5" hidden="1" customHeight="1">
      <c r="A181" s="688"/>
      <c r="B181" s="666"/>
      <c r="C181" s="663" t="s">
        <v>1424</v>
      </c>
      <c r="D181" s="675">
        <f>ROUND([14]Data!X438,2)</f>
        <v>557.96</v>
      </c>
      <c r="E181" s="674" t="s">
        <v>264</v>
      </c>
      <c r="F181" s="663">
        <f t="shared" si="6"/>
        <v>0</v>
      </c>
      <c r="G181" s="675"/>
      <c r="H181" s="667">
        <f t="shared" si="5"/>
        <v>0</v>
      </c>
    </row>
    <row r="182" spans="1:8" s="677" customFormat="1" ht="80.25" hidden="1" customHeight="1">
      <c r="A182" s="662">
        <v>11.2</v>
      </c>
      <c r="B182" s="666"/>
      <c r="C182" s="685" t="s">
        <v>1446</v>
      </c>
      <c r="D182" s="675"/>
      <c r="E182" s="674"/>
      <c r="F182" s="663">
        <f t="shared" si="6"/>
        <v>0</v>
      </c>
      <c r="G182" s="675"/>
      <c r="H182" s="667">
        <f t="shared" si="5"/>
        <v>0</v>
      </c>
    </row>
    <row r="183" spans="1:8" s="677" customFormat="1" ht="41.25" hidden="1" customHeight="1">
      <c r="A183" s="662"/>
      <c r="B183" s="666"/>
      <c r="C183" s="663" t="s">
        <v>1420</v>
      </c>
      <c r="D183" s="675">
        <f>ROUND([14]Data!AG448,2)</f>
        <v>530.07000000000005</v>
      </c>
      <c r="E183" s="674" t="s">
        <v>264</v>
      </c>
      <c r="F183" s="663">
        <f t="shared" si="6"/>
        <v>0</v>
      </c>
      <c r="G183" s="675"/>
      <c r="H183" s="667">
        <f t="shared" si="5"/>
        <v>0</v>
      </c>
    </row>
    <row r="184" spans="1:8" s="677" customFormat="1" ht="41.25" hidden="1" customHeight="1">
      <c r="A184" s="662"/>
      <c r="B184" s="666"/>
      <c r="C184" s="663" t="s">
        <v>1421</v>
      </c>
      <c r="D184" s="675">
        <f>ROUND([14]Data!AG449,2)</f>
        <v>540.36</v>
      </c>
      <c r="E184" s="674" t="s">
        <v>264</v>
      </c>
      <c r="F184" s="663">
        <f t="shared" si="6"/>
        <v>0</v>
      </c>
      <c r="G184" s="675"/>
      <c r="H184" s="667">
        <f t="shared" si="5"/>
        <v>0</v>
      </c>
    </row>
    <row r="185" spans="1:8" s="677" customFormat="1" ht="41.25" hidden="1" customHeight="1">
      <c r="A185" s="662"/>
      <c r="B185" s="666"/>
      <c r="C185" s="663" t="s">
        <v>1422</v>
      </c>
      <c r="D185" s="675">
        <f>ROUND([14]Data!AG450,2)</f>
        <v>550.65</v>
      </c>
      <c r="E185" s="674" t="s">
        <v>264</v>
      </c>
      <c r="F185" s="663">
        <f t="shared" si="6"/>
        <v>0</v>
      </c>
      <c r="G185" s="675"/>
      <c r="H185" s="667">
        <f t="shared" si="5"/>
        <v>0</v>
      </c>
    </row>
    <row r="186" spans="1:8" s="677" customFormat="1" ht="41.25" hidden="1" customHeight="1">
      <c r="A186" s="662"/>
      <c r="B186" s="666"/>
      <c r="C186" s="663" t="s">
        <v>1423</v>
      </c>
      <c r="D186" s="675">
        <f>ROUND([14]Data!AG451,2)</f>
        <v>560.94000000000005</v>
      </c>
      <c r="E186" s="674" t="s">
        <v>264</v>
      </c>
      <c r="F186" s="663">
        <f t="shared" si="6"/>
        <v>0</v>
      </c>
      <c r="G186" s="675"/>
      <c r="H186" s="667">
        <f t="shared" si="5"/>
        <v>0</v>
      </c>
    </row>
    <row r="187" spans="1:8" s="677" customFormat="1" ht="41.25" hidden="1" customHeight="1">
      <c r="A187" s="688"/>
      <c r="B187" s="666"/>
      <c r="C187" s="663" t="s">
        <v>1424</v>
      </c>
      <c r="D187" s="675">
        <f>ROUND([14]Data!AG452,2)</f>
        <v>571.23</v>
      </c>
      <c r="E187" s="674" t="s">
        <v>264</v>
      </c>
      <c r="F187" s="663">
        <f t="shared" si="6"/>
        <v>0</v>
      </c>
      <c r="G187" s="675"/>
      <c r="H187" s="667">
        <f t="shared" si="5"/>
        <v>0</v>
      </c>
    </row>
    <row r="188" spans="1:8" s="677" customFormat="1" ht="69.75" hidden="1" customHeight="1">
      <c r="A188" s="662">
        <v>11.3</v>
      </c>
      <c r="B188" s="666"/>
      <c r="C188" s="685" t="s">
        <v>1447</v>
      </c>
      <c r="D188" s="675"/>
      <c r="E188" s="674"/>
      <c r="F188" s="663">
        <f t="shared" si="6"/>
        <v>0</v>
      </c>
      <c r="G188" s="675"/>
      <c r="H188" s="667">
        <f t="shared" si="5"/>
        <v>0</v>
      </c>
    </row>
    <row r="189" spans="1:8" s="677" customFormat="1" ht="25.5" hidden="1" customHeight="1">
      <c r="A189" s="662"/>
      <c r="B189" s="666"/>
      <c r="C189" s="663" t="s">
        <v>1420</v>
      </c>
      <c r="D189" s="675"/>
      <c r="E189" s="674" t="s">
        <v>264</v>
      </c>
      <c r="F189" s="663">
        <f t="shared" si="6"/>
        <v>0</v>
      </c>
      <c r="G189" s="675"/>
      <c r="H189" s="667">
        <f t="shared" si="5"/>
        <v>0</v>
      </c>
    </row>
    <row r="190" spans="1:8" s="677" customFormat="1" ht="25.5" hidden="1" customHeight="1">
      <c r="A190" s="662"/>
      <c r="B190" s="666"/>
      <c r="C190" s="663" t="s">
        <v>1421</v>
      </c>
      <c r="D190" s="675"/>
      <c r="E190" s="674" t="s">
        <v>264</v>
      </c>
      <c r="F190" s="663">
        <f t="shared" si="6"/>
        <v>0</v>
      </c>
      <c r="G190" s="675"/>
      <c r="H190" s="667">
        <f t="shared" si="5"/>
        <v>0</v>
      </c>
    </row>
    <row r="191" spans="1:8" s="677" customFormat="1" ht="25.5" hidden="1" customHeight="1">
      <c r="A191" s="662"/>
      <c r="B191" s="666"/>
      <c r="C191" s="663" t="s">
        <v>1422</v>
      </c>
      <c r="D191" s="675"/>
      <c r="E191" s="674" t="s">
        <v>264</v>
      </c>
      <c r="F191" s="663">
        <f t="shared" si="6"/>
        <v>0</v>
      </c>
      <c r="G191" s="675"/>
      <c r="H191" s="667">
        <f t="shared" si="5"/>
        <v>0</v>
      </c>
    </row>
    <row r="192" spans="1:8" s="677" customFormat="1" ht="25.5" hidden="1" customHeight="1">
      <c r="A192" s="662"/>
      <c r="B192" s="666"/>
      <c r="C192" s="663" t="s">
        <v>1423</v>
      </c>
      <c r="D192" s="675"/>
      <c r="E192" s="674" t="s">
        <v>264</v>
      </c>
      <c r="F192" s="663">
        <f t="shared" si="6"/>
        <v>0</v>
      </c>
      <c r="G192" s="675"/>
      <c r="H192" s="667">
        <f t="shared" si="5"/>
        <v>0</v>
      </c>
    </row>
    <row r="193" spans="1:8" s="677" customFormat="1" ht="25.5" hidden="1" customHeight="1">
      <c r="A193" s="688"/>
      <c r="B193" s="666"/>
      <c r="C193" s="663" t="s">
        <v>1424</v>
      </c>
      <c r="D193" s="675"/>
      <c r="E193" s="674" t="s">
        <v>264</v>
      </c>
      <c r="F193" s="663">
        <f t="shared" si="6"/>
        <v>0</v>
      </c>
      <c r="G193" s="675"/>
      <c r="H193" s="667">
        <f t="shared" si="5"/>
        <v>0</v>
      </c>
    </row>
    <row r="194" spans="1:8" s="677" customFormat="1" ht="69.75" hidden="1" customHeight="1">
      <c r="A194" s="662">
        <v>11.4</v>
      </c>
      <c r="B194" s="666"/>
      <c r="C194" s="685" t="s">
        <v>1448</v>
      </c>
      <c r="D194" s="675"/>
      <c r="E194" s="674"/>
      <c r="F194" s="663">
        <f t="shared" si="6"/>
        <v>0</v>
      </c>
      <c r="G194" s="675"/>
      <c r="H194" s="667">
        <f t="shared" si="5"/>
        <v>0</v>
      </c>
    </row>
    <row r="195" spans="1:8" s="677" customFormat="1" ht="25.5" hidden="1" customHeight="1">
      <c r="A195" s="666"/>
      <c r="B195" s="666"/>
      <c r="C195" s="663" t="s">
        <v>1420</v>
      </c>
      <c r="D195" s="675"/>
      <c r="E195" s="674" t="s">
        <v>264</v>
      </c>
      <c r="F195" s="663">
        <f t="shared" si="6"/>
        <v>0</v>
      </c>
      <c r="G195" s="675"/>
      <c r="H195" s="667">
        <f t="shared" si="5"/>
        <v>0</v>
      </c>
    </row>
    <row r="196" spans="1:8" s="677" customFormat="1" ht="25.5" hidden="1" customHeight="1">
      <c r="A196" s="666"/>
      <c r="B196" s="666"/>
      <c r="C196" s="663" t="s">
        <v>1421</v>
      </c>
      <c r="D196" s="675"/>
      <c r="E196" s="674" t="s">
        <v>264</v>
      </c>
      <c r="F196" s="663">
        <f t="shared" si="6"/>
        <v>0</v>
      </c>
      <c r="G196" s="675"/>
      <c r="H196" s="667">
        <f t="shared" si="5"/>
        <v>0</v>
      </c>
    </row>
    <row r="197" spans="1:8" s="677" customFormat="1" ht="25.5" hidden="1" customHeight="1">
      <c r="A197" s="666"/>
      <c r="B197" s="666"/>
      <c r="C197" s="663" t="s">
        <v>1422</v>
      </c>
      <c r="D197" s="675"/>
      <c r="E197" s="674" t="s">
        <v>264</v>
      </c>
      <c r="F197" s="663">
        <f t="shared" si="6"/>
        <v>0</v>
      </c>
      <c r="G197" s="675"/>
      <c r="H197" s="667">
        <f t="shared" si="5"/>
        <v>0</v>
      </c>
    </row>
    <row r="198" spans="1:8" s="677" customFormat="1" ht="25.5" hidden="1" customHeight="1">
      <c r="A198" s="666"/>
      <c r="B198" s="666"/>
      <c r="C198" s="663" t="s">
        <v>1423</v>
      </c>
      <c r="D198" s="675"/>
      <c r="E198" s="674" t="s">
        <v>264</v>
      </c>
      <c r="F198" s="663">
        <f t="shared" si="6"/>
        <v>0</v>
      </c>
      <c r="G198" s="675"/>
      <c r="H198" s="667">
        <f t="shared" ref="H198:H261" si="7">G198*D198</f>
        <v>0</v>
      </c>
    </row>
    <row r="199" spans="1:8" s="677" customFormat="1" ht="25.5" hidden="1" customHeight="1">
      <c r="A199" s="690"/>
      <c r="B199" s="666"/>
      <c r="C199" s="663" t="s">
        <v>1424</v>
      </c>
      <c r="D199" s="675"/>
      <c r="E199" s="674" t="s">
        <v>264</v>
      </c>
      <c r="F199" s="663">
        <f t="shared" si="6"/>
        <v>0</v>
      </c>
      <c r="G199" s="675"/>
      <c r="H199" s="667">
        <f t="shared" si="7"/>
        <v>0</v>
      </c>
    </row>
    <row r="200" spans="1:8" ht="87.75" hidden="1" customHeight="1">
      <c r="A200" s="692">
        <v>11.5</v>
      </c>
      <c r="B200" s="666"/>
      <c r="C200" s="685" t="s">
        <v>1449</v>
      </c>
      <c r="D200" s="667"/>
      <c r="E200" s="663"/>
      <c r="F200" s="663">
        <f t="shared" si="6"/>
        <v>0</v>
      </c>
      <c r="G200" s="667"/>
      <c r="H200" s="667">
        <f t="shared" si="7"/>
        <v>0</v>
      </c>
    </row>
    <row r="201" spans="1:8" ht="48.75" hidden="1" customHeight="1">
      <c r="A201" s="692"/>
      <c r="B201" s="666"/>
      <c r="C201" s="663" t="s">
        <v>1420</v>
      </c>
      <c r="D201" s="667">
        <f>ROUND([14]Data!K434,2)</f>
        <v>504.28</v>
      </c>
      <c r="E201" s="663" t="s">
        <v>264</v>
      </c>
      <c r="F201" s="663">
        <f t="shared" si="6"/>
        <v>0</v>
      </c>
      <c r="G201" s="667"/>
      <c r="H201" s="667">
        <f t="shared" si="7"/>
        <v>0</v>
      </c>
    </row>
    <row r="202" spans="1:8" ht="42" hidden="1" customHeight="1">
      <c r="A202" s="692"/>
      <c r="B202" s="666"/>
      <c r="C202" s="663" t="s">
        <v>1421</v>
      </c>
      <c r="D202" s="667">
        <f>ROUND([14]Data!K435,2)</f>
        <v>513.88</v>
      </c>
      <c r="E202" s="663" t="s">
        <v>264</v>
      </c>
      <c r="F202" s="663">
        <f t="shared" si="6"/>
        <v>0</v>
      </c>
      <c r="G202" s="667"/>
      <c r="H202" s="667">
        <f t="shared" si="7"/>
        <v>0</v>
      </c>
    </row>
    <row r="203" spans="1:8" ht="42" hidden="1" customHeight="1">
      <c r="A203" s="692"/>
      <c r="B203" s="666"/>
      <c r="C203" s="663" t="s">
        <v>1422</v>
      </c>
      <c r="D203" s="667">
        <f>ROUND([14]Data!K436,2)</f>
        <v>523.48</v>
      </c>
      <c r="E203" s="663" t="s">
        <v>264</v>
      </c>
      <c r="F203" s="663">
        <f t="shared" si="6"/>
        <v>0</v>
      </c>
      <c r="G203" s="667"/>
      <c r="H203" s="667">
        <f t="shared" si="7"/>
        <v>0</v>
      </c>
    </row>
    <row r="204" spans="1:8" ht="42" hidden="1" customHeight="1">
      <c r="A204" s="692"/>
      <c r="B204" s="666"/>
      <c r="C204" s="663" t="s">
        <v>1423</v>
      </c>
      <c r="D204" s="667">
        <f>ROUND([14]Data!K437,2)</f>
        <v>533.08000000000004</v>
      </c>
      <c r="E204" s="663" t="s">
        <v>264</v>
      </c>
      <c r="F204" s="663">
        <f t="shared" si="6"/>
        <v>0</v>
      </c>
      <c r="G204" s="667"/>
      <c r="H204" s="667">
        <f t="shared" si="7"/>
        <v>0</v>
      </c>
    </row>
    <row r="205" spans="1:8" s="677" customFormat="1" ht="25.5" hidden="1" customHeight="1">
      <c r="A205" s="694"/>
      <c r="B205" s="666"/>
      <c r="C205" s="663" t="s">
        <v>1424</v>
      </c>
      <c r="D205" s="675">
        <f>ROUND([14]Data!K438,2)</f>
        <v>542.67999999999995</v>
      </c>
      <c r="E205" s="674" t="s">
        <v>264</v>
      </c>
      <c r="F205" s="663">
        <f t="shared" si="6"/>
        <v>0</v>
      </c>
      <c r="G205" s="675"/>
      <c r="H205" s="667">
        <f t="shared" si="7"/>
        <v>0</v>
      </c>
    </row>
    <row r="206" spans="1:8" s="677" customFormat="1" ht="69.75" hidden="1" customHeight="1">
      <c r="A206" s="692">
        <v>11.6</v>
      </c>
      <c r="B206" s="666"/>
      <c r="C206" s="685" t="s">
        <v>1450</v>
      </c>
      <c r="D206" s="675"/>
      <c r="E206" s="674"/>
      <c r="F206" s="663">
        <f t="shared" si="6"/>
        <v>0</v>
      </c>
      <c r="G206" s="675"/>
      <c r="H206" s="667">
        <f t="shared" si="7"/>
        <v>0</v>
      </c>
    </row>
    <row r="207" spans="1:8" s="677" customFormat="1" ht="25.5" hidden="1" customHeight="1">
      <c r="A207" s="692"/>
      <c r="B207" s="666"/>
      <c r="C207" s="663" t="s">
        <v>1420</v>
      </c>
      <c r="D207" s="675"/>
      <c r="E207" s="674" t="s">
        <v>264</v>
      </c>
      <c r="F207" s="663">
        <f t="shared" si="6"/>
        <v>0</v>
      </c>
      <c r="G207" s="675"/>
      <c r="H207" s="667">
        <f t="shared" si="7"/>
        <v>0</v>
      </c>
    </row>
    <row r="208" spans="1:8" s="677" customFormat="1" ht="25.5" hidden="1" customHeight="1">
      <c r="A208" s="692"/>
      <c r="B208" s="666"/>
      <c r="C208" s="663" t="s">
        <v>1421</v>
      </c>
      <c r="D208" s="675"/>
      <c r="E208" s="674" t="s">
        <v>264</v>
      </c>
      <c r="F208" s="663">
        <f t="shared" si="6"/>
        <v>0</v>
      </c>
      <c r="G208" s="675"/>
      <c r="H208" s="667">
        <f t="shared" si="7"/>
        <v>0</v>
      </c>
    </row>
    <row r="209" spans="1:8" s="677" customFormat="1" ht="25.5" hidden="1" customHeight="1">
      <c r="A209" s="692"/>
      <c r="B209" s="666"/>
      <c r="C209" s="663" t="s">
        <v>1422</v>
      </c>
      <c r="D209" s="675"/>
      <c r="E209" s="674" t="s">
        <v>264</v>
      </c>
      <c r="F209" s="663">
        <f t="shared" ref="F209:F272" si="8">B209*D209</f>
        <v>0</v>
      </c>
      <c r="G209" s="675"/>
      <c r="H209" s="667">
        <f t="shared" si="7"/>
        <v>0</v>
      </c>
    </row>
    <row r="210" spans="1:8" s="677" customFormat="1" ht="25.5" hidden="1" customHeight="1">
      <c r="A210" s="692"/>
      <c r="B210" s="666"/>
      <c r="C210" s="663" t="s">
        <v>1423</v>
      </c>
      <c r="D210" s="675"/>
      <c r="E210" s="674" t="s">
        <v>264</v>
      </c>
      <c r="F210" s="663">
        <f t="shared" si="8"/>
        <v>0</v>
      </c>
      <c r="G210" s="675"/>
      <c r="H210" s="667">
        <f t="shared" si="7"/>
        <v>0</v>
      </c>
    </row>
    <row r="211" spans="1:8" s="677" customFormat="1" ht="7.5" hidden="1" customHeight="1">
      <c r="A211" s="694"/>
      <c r="B211" s="666"/>
      <c r="C211" s="663" t="s">
        <v>1424</v>
      </c>
      <c r="D211" s="675"/>
      <c r="E211" s="674" t="s">
        <v>264</v>
      </c>
      <c r="F211" s="663">
        <f t="shared" si="8"/>
        <v>0</v>
      </c>
      <c r="G211" s="675"/>
      <c r="H211" s="667">
        <f t="shared" si="7"/>
        <v>0</v>
      </c>
    </row>
    <row r="212" spans="1:8" ht="76.5" hidden="1" customHeight="1">
      <c r="A212" s="662">
        <v>12.1</v>
      </c>
      <c r="B212" s="666"/>
      <c r="C212" s="685" t="s">
        <v>1451</v>
      </c>
      <c r="D212" s="667"/>
      <c r="E212" s="685"/>
      <c r="F212" s="663">
        <f t="shared" si="8"/>
        <v>0</v>
      </c>
      <c r="G212" s="667"/>
      <c r="H212" s="667">
        <f t="shared" si="7"/>
        <v>0</v>
      </c>
    </row>
    <row r="213" spans="1:8" s="683" customFormat="1" ht="43.5" hidden="1" customHeight="1">
      <c r="A213" s="666"/>
      <c r="B213" s="666"/>
      <c r="C213" s="663" t="s">
        <v>1420</v>
      </c>
      <c r="D213" s="667">
        <f>ROUND([14]Data!K467,2)</f>
        <v>365.93</v>
      </c>
      <c r="E213" s="663" t="s">
        <v>264</v>
      </c>
      <c r="F213" s="663">
        <f t="shared" si="8"/>
        <v>0</v>
      </c>
      <c r="G213" s="667"/>
      <c r="H213" s="667">
        <f t="shared" si="7"/>
        <v>0</v>
      </c>
    </row>
    <row r="214" spans="1:8" s="683" customFormat="1" ht="43.5" hidden="1" customHeight="1">
      <c r="A214" s="666"/>
      <c r="B214" s="666"/>
      <c r="C214" s="663" t="s">
        <v>1421</v>
      </c>
      <c r="D214" s="667">
        <f>ROUND([14]Data!K468,2)</f>
        <v>372.79</v>
      </c>
      <c r="E214" s="663" t="s">
        <v>264</v>
      </c>
      <c r="F214" s="663">
        <f t="shared" si="8"/>
        <v>0</v>
      </c>
      <c r="G214" s="667"/>
      <c r="H214" s="667">
        <f t="shared" si="7"/>
        <v>0</v>
      </c>
    </row>
    <row r="215" spans="1:8" s="683" customFormat="1" ht="43.5" hidden="1" customHeight="1">
      <c r="A215" s="666"/>
      <c r="B215" s="666"/>
      <c r="C215" s="663" t="s">
        <v>1422</v>
      </c>
      <c r="D215" s="667">
        <f>ROUND([14]Data!K469,2)</f>
        <v>379.65</v>
      </c>
      <c r="E215" s="663" t="s">
        <v>264</v>
      </c>
      <c r="F215" s="663">
        <f t="shared" si="8"/>
        <v>0</v>
      </c>
      <c r="G215" s="667"/>
      <c r="H215" s="667">
        <f t="shared" si="7"/>
        <v>0</v>
      </c>
    </row>
    <row r="216" spans="1:8" s="683" customFormat="1" ht="43.5" hidden="1" customHeight="1">
      <c r="A216" s="666"/>
      <c r="B216" s="666"/>
      <c r="C216" s="663" t="s">
        <v>1423</v>
      </c>
      <c r="D216" s="667">
        <f>ROUND([14]Data!K470,2)</f>
        <v>386.51</v>
      </c>
      <c r="E216" s="663" t="s">
        <v>264</v>
      </c>
      <c r="F216" s="663">
        <f t="shared" si="8"/>
        <v>0</v>
      </c>
      <c r="G216" s="667"/>
      <c r="H216" s="667">
        <f t="shared" si="7"/>
        <v>0</v>
      </c>
    </row>
    <row r="217" spans="1:8" s="677" customFormat="1" ht="43.5" hidden="1" customHeight="1">
      <c r="A217" s="690"/>
      <c r="B217" s="666"/>
      <c r="C217" s="663" t="s">
        <v>1424</v>
      </c>
      <c r="D217" s="667">
        <f>ROUND([14]Data!K471,2)</f>
        <v>393.37</v>
      </c>
      <c r="E217" s="663" t="s">
        <v>264</v>
      </c>
      <c r="F217" s="663">
        <f t="shared" si="8"/>
        <v>0</v>
      </c>
      <c r="G217" s="667"/>
      <c r="H217" s="667">
        <f t="shared" si="7"/>
        <v>0</v>
      </c>
    </row>
    <row r="218" spans="1:8" s="677" customFormat="1" ht="69.75" hidden="1" customHeight="1">
      <c r="A218" s="662">
        <v>12.2</v>
      </c>
      <c r="B218" s="666"/>
      <c r="C218" s="663" t="s">
        <v>1452</v>
      </c>
      <c r="D218" s="675"/>
      <c r="E218" s="695"/>
      <c r="F218" s="663">
        <f t="shared" si="8"/>
        <v>0</v>
      </c>
      <c r="G218" s="675"/>
      <c r="H218" s="667">
        <f t="shared" si="7"/>
        <v>0</v>
      </c>
    </row>
    <row r="219" spans="1:8" s="677" customFormat="1" ht="25.5" hidden="1" customHeight="1">
      <c r="A219" s="666"/>
      <c r="B219" s="666"/>
      <c r="C219" s="663" t="s">
        <v>1420</v>
      </c>
      <c r="D219" s="675"/>
      <c r="E219" s="674" t="s">
        <v>264</v>
      </c>
      <c r="F219" s="663">
        <f t="shared" si="8"/>
        <v>0</v>
      </c>
      <c r="G219" s="675"/>
      <c r="H219" s="667">
        <f t="shared" si="7"/>
        <v>0</v>
      </c>
    </row>
    <row r="220" spans="1:8" s="677" customFormat="1" ht="25.5" hidden="1" customHeight="1">
      <c r="A220" s="666"/>
      <c r="B220" s="666"/>
      <c r="C220" s="663" t="s">
        <v>1421</v>
      </c>
      <c r="D220" s="675"/>
      <c r="E220" s="674" t="s">
        <v>264</v>
      </c>
      <c r="F220" s="663">
        <f t="shared" si="8"/>
        <v>0</v>
      </c>
      <c r="G220" s="675"/>
      <c r="H220" s="667">
        <f t="shared" si="7"/>
        <v>0</v>
      </c>
    </row>
    <row r="221" spans="1:8" s="677" customFormat="1" ht="25.5" hidden="1" customHeight="1">
      <c r="A221" s="666"/>
      <c r="B221" s="666"/>
      <c r="C221" s="663" t="s">
        <v>1422</v>
      </c>
      <c r="D221" s="675"/>
      <c r="E221" s="674" t="s">
        <v>264</v>
      </c>
      <c r="F221" s="663">
        <f t="shared" si="8"/>
        <v>0</v>
      </c>
      <c r="G221" s="675"/>
      <c r="H221" s="667">
        <f t="shared" si="7"/>
        <v>0</v>
      </c>
    </row>
    <row r="222" spans="1:8" s="677" customFormat="1" ht="25.5" hidden="1" customHeight="1">
      <c r="A222" s="666"/>
      <c r="B222" s="666"/>
      <c r="C222" s="663" t="s">
        <v>1423</v>
      </c>
      <c r="D222" s="675"/>
      <c r="E222" s="674" t="s">
        <v>264</v>
      </c>
      <c r="F222" s="663">
        <f t="shared" si="8"/>
        <v>0</v>
      </c>
      <c r="G222" s="675"/>
      <c r="H222" s="667">
        <f t="shared" si="7"/>
        <v>0</v>
      </c>
    </row>
    <row r="223" spans="1:8" s="677" customFormat="1" ht="25.5" hidden="1" customHeight="1">
      <c r="A223" s="690"/>
      <c r="B223" s="666"/>
      <c r="C223" s="663" t="s">
        <v>1424</v>
      </c>
      <c r="D223" s="675"/>
      <c r="E223" s="674" t="s">
        <v>264</v>
      </c>
      <c r="F223" s="663">
        <f t="shared" si="8"/>
        <v>0</v>
      </c>
      <c r="G223" s="675"/>
      <c r="H223" s="667">
        <f t="shared" si="7"/>
        <v>0</v>
      </c>
    </row>
    <row r="224" spans="1:8" s="677" customFormat="1" ht="25.5" hidden="1" customHeight="1">
      <c r="A224" s="690"/>
      <c r="B224" s="666"/>
      <c r="C224" s="663"/>
      <c r="D224" s="675"/>
      <c r="E224" s="674"/>
      <c r="F224" s="663">
        <f t="shared" si="8"/>
        <v>0</v>
      </c>
      <c r="G224" s="675"/>
      <c r="H224" s="667">
        <f t="shared" si="7"/>
        <v>0</v>
      </c>
    </row>
    <row r="225" spans="1:8" s="683" customFormat="1" ht="46.5" hidden="1" customHeight="1">
      <c r="A225" s="662">
        <v>13.1</v>
      </c>
      <c r="B225" s="666"/>
      <c r="C225" s="663" t="s">
        <v>809</v>
      </c>
      <c r="D225" s="667">
        <f>ROUND([14]Data!K482,2)</f>
        <v>33.6</v>
      </c>
      <c r="E225" s="663" t="s">
        <v>235</v>
      </c>
      <c r="F225" s="663">
        <f t="shared" si="8"/>
        <v>0</v>
      </c>
      <c r="G225" s="667"/>
      <c r="H225" s="667">
        <f t="shared" si="7"/>
        <v>0</v>
      </c>
    </row>
    <row r="226" spans="1:8" s="677" customFormat="1" ht="33.75" hidden="1" customHeight="1">
      <c r="A226" s="662">
        <v>13.2</v>
      </c>
      <c r="B226" s="666"/>
      <c r="C226" s="663" t="s">
        <v>1453</v>
      </c>
      <c r="D226" s="675"/>
      <c r="E226" s="674" t="s">
        <v>235</v>
      </c>
      <c r="F226" s="663">
        <f t="shared" si="8"/>
        <v>0</v>
      </c>
      <c r="G226" s="675"/>
      <c r="H226" s="667">
        <f t="shared" si="7"/>
        <v>0</v>
      </c>
    </row>
    <row r="227" spans="1:8" s="682" customFormat="1" ht="60.75" hidden="1" customHeight="1">
      <c r="A227" s="666" t="s">
        <v>1454</v>
      </c>
      <c r="B227" s="666"/>
      <c r="C227" s="685" t="s">
        <v>1455</v>
      </c>
      <c r="D227" s="675"/>
      <c r="E227" s="674"/>
      <c r="F227" s="663">
        <f t="shared" si="8"/>
        <v>0</v>
      </c>
      <c r="G227" s="675"/>
      <c r="H227" s="667">
        <f t="shared" si="7"/>
        <v>0</v>
      </c>
    </row>
    <row r="228" spans="1:8" s="682" customFormat="1" ht="50.25" hidden="1" customHeight="1">
      <c r="A228" s="666"/>
      <c r="B228" s="666"/>
      <c r="C228" s="663" t="s">
        <v>1405</v>
      </c>
      <c r="D228" s="675">
        <f>ROUND([14]Data!K535,2)</f>
        <v>1287.1600000000001</v>
      </c>
      <c r="E228" s="674" t="s">
        <v>264</v>
      </c>
      <c r="F228" s="663">
        <f t="shared" si="8"/>
        <v>0</v>
      </c>
      <c r="G228" s="675"/>
      <c r="H228" s="667">
        <f t="shared" si="7"/>
        <v>0</v>
      </c>
    </row>
    <row r="229" spans="1:8" s="682" customFormat="1" ht="50.25" hidden="1" customHeight="1">
      <c r="A229" s="666"/>
      <c r="B229" s="666"/>
      <c r="C229" s="663" t="s">
        <v>1406</v>
      </c>
      <c r="D229" s="675">
        <f>ROUND([14]Data!K536,2)</f>
        <v>1291.27</v>
      </c>
      <c r="E229" s="674" t="s">
        <v>264</v>
      </c>
      <c r="F229" s="663">
        <f t="shared" si="8"/>
        <v>0</v>
      </c>
      <c r="G229" s="675"/>
      <c r="H229" s="667">
        <f t="shared" si="7"/>
        <v>0</v>
      </c>
    </row>
    <row r="230" spans="1:8" s="682" customFormat="1" ht="50.25" hidden="1" customHeight="1">
      <c r="A230" s="666"/>
      <c r="B230" s="666"/>
      <c r="C230" s="663" t="s">
        <v>1407</v>
      </c>
      <c r="D230" s="675">
        <f>ROUND([14]Data!K537,2)</f>
        <v>1295.3800000000001</v>
      </c>
      <c r="E230" s="674" t="s">
        <v>264</v>
      </c>
      <c r="F230" s="663">
        <f t="shared" si="8"/>
        <v>0</v>
      </c>
      <c r="G230" s="675"/>
      <c r="H230" s="667">
        <f t="shared" si="7"/>
        <v>0</v>
      </c>
    </row>
    <row r="231" spans="1:8" s="682" customFormat="1" ht="50.25" hidden="1" customHeight="1">
      <c r="A231" s="666"/>
      <c r="B231" s="666"/>
      <c r="C231" s="663" t="s">
        <v>1408</v>
      </c>
      <c r="D231" s="675">
        <f>ROUND([14]Data!K538,2)</f>
        <v>1299.49</v>
      </c>
      <c r="E231" s="674" t="s">
        <v>264</v>
      </c>
      <c r="F231" s="663">
        <f t="shared" si="8"/>
        <v>0</v>
      </c>
      <c r="G231" s="675"/>
      <c r="H231" s="667">
        <f t="shared" si="7"/>
        <v>0</v>
      </c>
    </row>
    <row r="232" spans="1:8" s="677" customFormat="1" ht="41.25" hidden="1" customHeight="1">
      <c r="A232" s="690"/>
      <c r="B232" s="666"/>
      <c r="C232" s="663" t="s">
        <v>1409</v>
      </c>
      <c r="D232" s="675">
        <f>ROUND([14]Data!K539,2)</f>
        <v>1303.5999999999999</v>
      </c>
      <c r="E232" s="674" t="s">
        <v>264</v>
      </c>
      <c r="F232" s="663">
        <f t="shared" si="8"/>
        <v>0</v>
      </c>
      <c r="G232" s="675"/>
      <c r="H232" s="667">
        <f t="shared" si="7"/>
        <v>0</v>
      </c>
    </row>
    <row r="233" spans="1:8" s="677" customFormat="1" ht="41.25" hidden="1" customHeight="1">
      <c r="A233" s="690"/>
      <c r="B233" s="666"/>
      <c r="C233" s="663" t="s">
        <v>1411</v>
      </c>
      <c r="D233" s="675">
        <f>ROUND([14]Data!K540,2)</f>
        <v>1307.71</v>
      </c>
      <c r="E233" s="674" t="s">
        <v>264</v>
      </c>
      <c r="F233" s="663">
        <f t="shared" si="8"/>
        <v>0</v>
      </c>
      <c r="G233" s="675"/>
      <c r="H233" s="667">
        <f t="shared" si="7"/>
        <v>0</v>
      </c>
    </row>
    <row r="234" spans="1:8" s="677" customFormat="1" ht="41.25" hidden="1" customHeight="1">
      <c r="A234" s="690"/>
      <c r="B234" s="666"/>
      <c r="C234" s="663" t="s">
        <v>1412</v>
      </c>
      <c r="D234" s="675">
        <f>ROUND([14]Data!K541,2)</f>
        <v>1311.82</v>
      </c>
      <c r="E234" s="674" t="s">
        <v>264</v>
      </c>
      <c r="F234" s="663">
        <f t="shared" si="8"/>
        <v>0</v>
      </c>
      <c r="G234" s="675"/>
      <c r="H234" s="667">
        <f t="shared" si="7"/>
        <v>0</v>
      </c>
    </row>
    <row r="235" spans="1:8" s="677" customFormat="1" ht="41.25" hidden="1" customHeight="1">
      <c r="A235" s="690"/>
      <c r="B235" s="666"/>
      <c r="C235" s="663" t="s">
        <v>1413</v>
      </c>
      <c r="D235" s="675">
        <f>ROUND([14]Data!K542,2)</f>
        <v>1315.93</v>
      </c>
      <c r="E235" s="674" t="s">
        <v>264</v>
      </c>
      <c r="F235" s="663">
        <f t="shared" si="8"/>
        <v>0</v>
      </c>
      <c r="G235" s="675"/>
      <c r="H235" s="667">
        <f t="shared" si="7"/>
        <v>0</v>
      </c>
    </row>
    <row r="236" spans="1:8" s="677" customFormat="1" ht="41.25" hidden="1" customHeight="1">
      <c r="A236" s="690"/>
      <c r="B236" s="666"/>
      <c r="C236" s="663" t="s">
        <v>1414</v>
      </c>
      <c r="D236" s="675">
        <f>ROUND([14]Data!K543,2)</f>
        <v>1320.04</v>
      </c>
      <c r="E236" s="674" t="s">
        <v>264</v>
      </c>
      <c r="F236" s="663">
        <f t="shared" si="8"/>
        <v>0</v>
      </c>
      <c r="G236" s="675"/>
      <c r="H236" s="667">
        <f t="shared" si="7"/>
        <v>0</v>
      </c>
    </row>
    <row r="237" spans="1:8" s="677" customFormat="1" ht="41.25" hidden="1" customHeight="1">
      <c r="A237" s="690"/>
      <c r="B237" s="666"/>
      <c r="C237" s="663" t="s">
        <v>1415</v>
      </c>
      <c r="D237" s="675">
        <f>ROUND([14]Data!K544,2)</f>
        <v>1324.15</v>
      </c>
      <c r="E237" s="674" t="s">
        <v>264</v>
      </c>
      <c r="F237" s="663">
        <f t="shared" si="8"/>
        <v>0</v>
      </c>
      <c r="G237" s="675"/>
      <c r="H237" s="667">
        <f t="shared" si="7"/>
        <v>0</v>
      </c>
    </row>
    <row r="238" spans="1:8" s="677" customFormat="1" ht="41.25" hidden="1" customHeight="1">
      <c r="A238" s="690"/>
      <c r="B238" s="666"/>
      <c r="C238" s="663" t="s">
        <v>1416</v>
      </c>
      <c r="D238" s="675">
        <f>ROUND([14]Data!K545,2)</f>
        <v>1328.26</v>
      </c>
      <c r="E238" s="674" t="s">
        <v>264</v>
      </c>
      <c r="F238" s="663">
        <f t="shared" si="8"/>
        <v>0</v>
      </c>
      <c r="G238" s="675"/>
      <c r="H238" s="667">
        <f t="shared" si="7"/>
        <v>0</v>
      </c>
    </row>
    <row r="239" spans="1:8" s="677" customFormat="1" ht="41.25" hidden="1" customHeight="1">
      <c r="A239" s="690"/>
      <c r="B239" s="666"/>
      <c r="C239" s="663" t="s">
        <v>1417</v>
      </c>
      <c r="D239" s="675">
        <f>ROUND([14]Data!K546,2)</f>
        <v>1332.37</v>
      </c>
      <c r="E239" s="674" t="s">
        <v>264</v>
      </c>
      <c r="F239" s="663">
        <f t="shared" si="8"/>
        <v>0</v>
      </c>
      <c r="G239" s="675"/>
      <c r="H239" s="667">
        <f t="shared" si="7"/>
        <v>0</v>
      </c>
    </row>
    <row r="240" spans="1:8" s="682" customFormat="1" ht="60.75" hidden="1" customHeight="1">
      <c r="A240" s="666" t="s">
        <v>39</v>
      </c>
      <c r="B240" s="666"/>
      <c r="C240" s="685" t="s">
        <v>1456</v>
      </c>
      <c r="D240" s="675"/>
      <c r="E240" s="674"/>
      <c r="F240" s="663">
        <f t="shared" si="8"/>
        <v>0</v>
      </c>
      <c r="G240" s="675"/>
      <c r="H240" s="667">
        <f t="shared" si="7"/>
        <v>0</v>
      </c>
    </row>
    <row r="241" spans="1:8" s="682" customFormat="1" ht="48.75" hidden="1" customHeight="1">
      <c r="A241" s="666"/>
      <c r="B241" s="666"/>
      <c r="C241" s="663" t="s">
        <v>1457</v>
      </c>
      <c r="D241" s="675">
        <f>ROUND([14]Data!K557,2)</f>
        <v>1423.45</v>
      </c>
      <c r="E241" s="674" t="s">
        <v>264</v>
      </c>
      <c r="F241" s="663">
        <f t="shared" si="8"/>
        <v>0</v>
      </c>
      <c r="G241" s="675"/>
      <c r="H241" s="667">
        <f t="shared" si="7"/>
        <v>0</v>
      </c>
    </row>
    <row r="242" spans="1:8" s="682" customFormat="1" ht="50.25" hidden="1" customHeight="1">
      <c r="A242" s="666"/>
      <c r="B242" s="666"/>
      <c r="C242" s="663" t="s">
        <v>1458</v>
      </c>
      <c r="D242" s="675">
        <f>ROUND([14]Data!K559,2)</f>
        <v>1427.62</v>
      </c>
      <c r="E242" s="674" t="s">
        <v>264</v>
      </c>
      <c r="F242" s="663">
        <f t="shared" si="8"/>
        <v>0</v>
      </c>
      <c r="G242" s="675"/>
      <c r="H242" s="667">
        <f t="shared" si="7"/>
        <v>0</v>
      </c>
    </row>
    <row r="243" spans="1:8" s="682" customFormat="1" ht="50.25" hidden="1" customHeight="1">
      <c r="A243" s="666"/>
      <c r="B243" s="666"/>
      <c r="C243" s="663" t="s">
        <v>1459</v>
      </c>
      <c r="D243" s="675">
        <f>ROUND([14]Data!K560,2)</f>
        <v>1435.84</v>
      </c>
      <c r="E243" s="674" t="s">
        <v>264</v>
      </c>
      <c r="F243" s="663">
        <f t="shared" si="8"/>
        <v>0</v>
      </c>
      <c r="G243" s="675"/>
      <c r="H243" s="667">
        <f t="shared" si="7"/>
        <v>0</v>
      </c>
    </row>
    <row r="244" spans="1:8" s="682" customFormat="1" ht="50.25" hidden="1" customHeight="1">
      <c r="A244" s="666"/>
      <c r="B244" s="666"/>
      <c r="C244" s="663" t="s">
        <v>1460</v>
      </c>
      <c r="D244" s="675">
        <f>ROUND([14]Data!K561,2)</f>
        <v>1444.06</v>
      </c>
      <c r="E244" s="674" t="s">
        <v>264</v>
      </c>
      <c r="F244" s="663">
        <f t="shared" si="8"/>
        <v>0</v>
      </c>
      <c r="G244" s="675"/>
      <c r="H244" s="667">
        <f t="shared" si="7"/>
        <v>0</v>
      </c>
    </row>
    <row r="245" spans="1:8" s="682" customFormat="1" ht="50.25" hidden="1" customHeight="1">
      <c r="A245" s="666"/>
      <c r="B245" s="666"/>
      <c r="C245" s="663" t="s">
        <v>1461</v>
      </c>
      <c r="D245" s="675">
        <f>ROUND([14]Data!K562,2)</f>
        <v>1452.28</v>
      </c>
      <c r="E245" s="674" t="s">
        <v>264</v>
      </c>
      <c r="F245" s="663">
        <f t="shared" si="8"/>
        <v>0</v>
      </c>
      <c r="G245" s="675"/>
      <c r="H245" s="667">
        <f t="shared" si="7"/>
        <v>0</v>
      </c>
    </row>
    <row r="246" spans="1:8" s="677" customFormat="1" ht="41.25" hidden="1" customHeight="1">
      <c r="A246" s="690"/>
      <c r="B246" s="666"/>
      <c r="C246" s="663" t="s">
        <v>1462</v>
      </c>
      <c r="D246" s="675">
        <f>ROUND([14]Data!K563,2)</f>
        <v>1460.5</v>
      </c>
      <c r="E246" s="674" t="s">
        <v>264</v>
      </c>
      <c r="F246" s="663">
        <f t="shared" si="8"/>
        <v>0</v>
      </c>
      <c r="G246" s="675"/>
      <c r="H246" s="667">
        <f t="shared" si="7"/>
        <v>0</v>
      </c>
    </row>
    <row r="247" spans="1:8" s="677" customFormat="1" ht="25.5" hidden="1" customHeight="1">
      <c r="A247" s="662">
        <v>15.1</v>
      </c>
      <c r="B247" s="666"/>
      <c r="C247" s="685" t="s">
        <v>1463</v>
      </c>
      <c r="D247" s="675"/>
      <c r="E247" s="674"/>
      <c r="F247" s="663">
        <f t="shared" si="8"/>
        <v>0</v>
      </c>
      <c r="G247" s="675"/>
      <c r="H247" s="667">
        <f t="shared" si="7"/>
        <v>0</v>
      </c>
    </row>
    <row r="248" spans="1:8" s="677" customFormat="1" ht="25.5" hidden="1" customHeight="1">
      <c r="A248" s="662"/>
      <c r="B248" s="666"/>
      <c r="C248" s="663" t="s">
        <v>1405</v>
      </c>
      <c r="D248" s="675">
        <f>ROUND([14]Data!K590,2)</f>
        <v>529.37</v>
      </c>
      <c r="E248" s="674" t="s">
        <v>264</v>
      </c>
      <c r="F248" s="663">
        <f t="shared" si="8"/>
        <v>0</v>
      </c>
      <c r="G248" s="675"/>
      <c r="H248" s="667">
        <f t="shared" si="7"/>
        <v>0</v>
      </c>
    </row>
    <row r="249" spans="1:8" s="677" customFormat="1" ht="25.5" hidden="1" customHeight="1">
      <c r="A249" s="662"/>
      <c r="B249" s="666"/>
      <c r="C249" s="663" t="s">
        <v>1406</v>
      </c>
      <c r="D249" s="675">
        <f>ROUND([14]Data!K591,2)</f>
        <v>533.44000000000005</v>
      </c>
      <c r="E249" s="674" t="s">
        <v>264</v>
      </c>
      <c r="F249" s="663">
        <f t="shared" si="8"/>
        <v>0</v>
      </c>
      <c r="G249" s="675"/>
      <c r="H249" s="667">
        <f t="shared" si="7"/>
        <v>0</v>
      </c>
    </row>
    <row r="250" spans="1:8" s="677" customFormat="1" ht="25.5" hidden="1" customHeight="1">
      <c r="A250" s="662"/>
      <c r="B250" s="666"/>
      <c r="C250" s="663" t="s">
        <v>1407</v>
      </c>
      <c r="D250" s="675">
        <f>ROUND([14]Data!K592,2)</f>
        <v>537.51</v>
      </c>
      <c r="E250" s="674" t="s">
        <v>264</v>
      </c>
      <c r="F250" s="663">
        <f t="shared" si="8"/>
        <v>0</v>
      </c>
      <c r="G250" s="675"/>
      <c r="H250" s="667">
        <f t="shared" si="7"/>
        <v>0</v>
      </c>
    </row>
    <row r="251" spans="1:8" s="677" customFormat="1" ht="25.5" hidden="1" customHeight="1">
      <c r="A251" s="662"/>
      <c r="B251" s="666"/>
      <c r="C251" s="663" t="s">
        <v>1408</v>
      </c>
      <c r="D251" s="675">
        <f>ROUND([14]Data!K593,2)</f>
        <v>541.58000000000004</v>
      </c>
      <c r="E251" s="674" t="s">
        <v>264</v>
      </c>
      <c r="F251" s="663">
        <f t="shared" si="8"/>
        <v>0</v>
      </c>
      <c r="G251" s="675"/>
      <c r="H251" s="667">
        <f t="shared" si="7"/>
        <v>0</v>
      </c>
    </row>
    <row r="252" spans="1:8" s="677" customFormat="1" ht="25.5" hidden="1" customHeight="1">
      <c r="A252" s="688"/>
      <c r="B252" s="666"/>
      <c r="C252" s="663" t="s">
        <v>1409</v>
      </c>
      <c r="D252" s="675">
        <f>ROUND([14]Data!K594,2)</f>
        <v>545.65</v>
      </c>
      <c r="E252" s="674" t="s">
        <v>264</v>
      </c>
      <c r="F252" s="663">
        <f t="shared" si="8"/>
        <v>0</v>
      </c>
      <c r="G252" s="675"/>
      <c r="H252" s="667">
        <f t="shared" si="7"/>
        <v>0</v>
      </c>
    </row>
    <row r="253" spans="1:8" s="677" customFormat="1" ht="25.5" hidden="1" customHeight="1">
      <c r="A253" s="662">
        <v>15.2</v>
      </c>
      <c r="B253" s="666"/>
      <c r="C253" s="685" t="s">
        <v>1464</v>
      </c>
      <c r="D253" s="675"/>
      <c r="E253" s="674"/>
      <c r="F253" s="663">
        <f t="shared" si="8"/>
        <v>0</v>
      </c>
      <c r="G253" s="675"/>
      <c r="H253" s="667">
        <f t="shared" si="7"/>
        <v>0</v>
      </c>
    </row>
    <row r="254" spans="1:8" s="677" customFormat="1" ht="25.5" hidden="1" customHeight="1">
      <c r="A254" s="666"/>
      <c r="B254" s="666"/>
      <c r="C254" s="663" t="s">
        <v>1405</v>
      </c>
      <c r="D254" s="675">
        <f>ROUND([14]Data!K612,2)</f>
        <v>1847.38</v>
      </c>
      <c r="E254" s="674" t="s">
        <v>264</v>
      </c>
      <c r="F254" s="663">
        <f t="shared" si="8"/>
        <v>0</v>
      </c>
      <c r="G254" s="675"/>
      <c r="H254" s="667">
        <f t="shared" si="7"/>
        <v>0</v>
      </c>
    </row>
    <row r="255" spans="1:8" s="677" customFormat="1" ht="25.5" hidden="1" customHeight="1">
      <c r="A255" s="666"/>
      <c r="B255" s="666"/>
      <c r="C255" s="663" t="s">
        <v>1406</v>
      </c>
      <c r="D255" s="675">
        <f>ROUND([14]Data!K613,2)</f>
        <v>1855.52</v>
      </c>
      <c r="E255" s="674" t="s">
        <v>264</v>
      </c>
      <c r="F255" s="663">
        <f t="shared" si="8"/>
        <v>0</v>
      </c>
      <c r="G255" s="675"/>
      <c r="H255" s="667">
        <f t="shared" si="7"/>
        <v>0</v>
      </c>
    </row>
    <row r="256" spans="1:8" s="677" customFormat="1" ht="25.5" hidden="1" customHeight="1">
      <c r="A256" s="666"/>
      <c r="B256" s="666"/>
      <c r="C256" s="663" t="s">
        <v>1407</v>
      </c>
      <c r="D256" s="675">
        <f>ROUND([14]Data!K614,2)</f>
        <v>1863.66</v>
      </c>
      <c r="E256" s="674" t="s">
        <v>264</v>
      </c>
      <c r="F256" s="663">
        <f t="shared" si="8"/>
        <v>0</v>
      </c>
      <c r="G256" s="675"/>
      <c r="H256" s="667">
        <f t="shared" si="7"/>
        <v>0</v>
      </c>
    </row>
    <row r="257" spans="1:8" s="677" customFormat="1" ht="25.5" hidden="1" customHeight="1">
      <c r="A257" s="666"/>
      <c r="B257" s="666"/>
      <c r="C257" s="663" t="s">
        <v>1408</v>
      </c>
      <c r="D257" s="675">
        <f>ROUND([14]Data!K615,2)</f>
        <v>1871.8</v>
      </c>
      <c r="E257" s="674" t="s">
        <v>264</v>
      </c>
      <c r="F257" s="663">
        <f t="shared" si="8"/>
        <v>0</v>
      </c>
      <c r="G257" s="675"/>
      <c r="H257" s="667">
        <f t="shared" si="7"/>
        <v>0</v>
      </c>
    </row>
    <row r="258" spans="1:8" s="677" customFormat="1" ht="25.5" hidden="1" customHeight="1">
      <c r="A258" s="690"/>
      <c r="B258" s="666"/>
      <c r="C258" s="663" t="s">
        <v>1409</v>
      </c>
      <c r="D258" s="675">
        <f>ROUND([14]Data!K616,2)</f>
        <v>1879.94</v>
      </c>
      <c r="E258" s="674" t="s">
        <v>264</v>
      </c>
      <c r="F258" s="663">
        <f t="shared" si="8"/>
        <v>0</v>
      </c>
      <c r="G258" s="675"/>
      <c r="H258" s="667">
        <f t="shared" si="7"/>
        <v>0</v>
      </c>
    </row>
    <row r="259" spans="1:8" s="682" customFormat="1" ht="50.25" hidden="1" customHeight="1">
      <c r="A259" s="662">
        <v>16.100000000000001</v>
      </c>
      <c r="B259" s="666"/>
      <c r="C259" s="663" t="s">
        <v>1465</v>
      </c>
      <c r="D259" s="675"/>
      <c r="E259" s="674"/>
      <c r="F259" s="663">
        <f t="shared" si="8"/>
        <v>0</v>
      </c>
      <c r="G259" s="675"/>
      <c r="H259" s="667">
        <f t="shared" si="7"/>
        <v>0</v>
      </c>
    </row>
    <row r="260" spans="1:8" s="682" customFormat="1" ht="50.25" hidden="1" customHeight="1">
      <c r="A260" s="662"/>
      <c r="B260" s="666"/>
      <c r="C260" s="663" t="s">
        <v>1420</v>
      </c>
      <c r="D260" s="675">
        <f>[14]Data!K659</f>
        <v>2579.7800000000002</v>
      </c>
      <c r="E260" s="674" t="s">
        <v>264</v>
      </c>
      <c r="F260" s="663">
        <f t="shared" si="8"/>
        <v>0</v>
      </c>
      <c r="G260" s="675"/>
      <c r="H260" s="667">
        <f t="shared" si="7"/>
        <v>0</v>
      </c>
    </row>
    <row r="261" spans="1:8" s="682" customFormat="1" ht="50.25" hidden="1" customHeight="1">
      <c r="A261" s="662"/>
      <c r="B261" s="666"/>
      <c r="C261" s="663" t="s">
        <v>1406</v>
      </c>
      <c r="D261" s="675">
        <f>ROUND([14]Data!K660,2)</f>
        <v>2587.44</v>
      </c>
      <c r="E261" s="674" t="s">
        <v>264</v>
      </c>
      <c r="F261" s="663">
        <f t="shared" si="8"/>
        <v>0</v>
      </c>
      <c r="G261" s="675"/>
      <c r="H261" s="667">
        <f t="shared" si="7"/>
        <v>0</v>
      </c>
    </row>
    <row r="262" spans="1:8" s="682" customFormat="1" ht="50.25" hidden="1" customHeight="1">
      <c r="A262" s="662"/>
      <c r="B262" s="666"/>
      <c r="C262" s="663" t="s">
        <v>1407</v>
      </c>
      <c r="D262" s="675">
        <f>ROUND([14]Data!K661,2)</f>
        <v>2595.1</v>
      </c>
      <c r="E262" s="674" t="s">
        <v>264</v>
      </c>
      <c r="F262" s="663">
        <f t="shared" si="8"/>
        <v>0</v>
      </c>
      <c r="G262" s="675"/>
      <c r="H262" s="667">
        <f t="shared" ref="H262:H325" si="9">G262*D262</f>
        <v>0</v>
      </c>
    </row>
    <row r="263" spans="1:8" s="682" customFormat="1" ht="50.25" hidden="1" customHeight="1">
      <c r="A263" s="662"/>
      <c r="B263" s="666"/>
      <c r="C263" s="663" t="s">
        <v>1408</v>
      </c>
      <c r="D263" s="675">
        <f>ROUND([14]Data!K662,2)</f>
        <v>2602.7600000000002</v>
      </c>
      <c r="E263" s="674" t="s">
        <v>264</v>
      </c>
      <c r="F263" s="663">
        <f t="shared" si="8"/>
        <v>0</v>
      </c>
      <c r="G263" s="675"/>
      <c r="H263" s="667">
        <f t="shared" si="9"/>
        <v>0</v>
      </c>
    </row>
    <row r="264" spans="1:8" s="682" customFormat="1" ht="50.25" hidden="1" customHeight="1">
      <c r="A264" s="687"/>
      <c r="B264" s="666"/>
      <c r="C264" s="663" t="s">
        <v>1409</v>
      </c>
      <c r="D264" s="675">
        <f>ROUND([14]Data!K663,2)</f>
        <v>2610.42</v>
      </c>
      <c r="E264" s="674" t="s">
        <v>264</v>
      </c>
      <c r="F264" s="663">
        <f t="shared" si="8"/>
        <v>0</v>
      </c>
      <c r="G264" s="675"/>
      <c r="H264" s="667">
        <f t="shared" si="9"/>
        <v>0</v>
      </c>
    </row>
    <row r="265" spans="1:8" s="677" customFormat="1" ht="46.5" hidden="1" customHeight="1">
      <c r="A265" s="662">
        <v>16.2</v>
      </c>
      <c r="B265" s="666"/>
      <c r="C265" s="663" t="s">
        <v>1466</v>
      </c>
      <c r="D265" s="675"/>
      <c r="E265" s="674"/>
      <c r="F265" s="663">
        <f t="shared" si="8"/>
        <v>0</v>
      </c>
      <c r="G265" s="675"/>
      <c r="H265" s="667">
        <f t="shared" si="9"/>
        <v>0</v>
      </c>
    </row>
    <row r="266" spans="1:8" s="677" customFormat="1" ht="25.5" hidden="1" customHeight="1">
      <c r="A266" s="666"/>
      <c r="B266" s="666"/>
      <c r="C266" s="663" t="s">
        <v>1420</v>
      </c>
      <c r="D266" s="675">
        <f>ROUND([14]Data!K686,2)</f>
        <v>483.4</v>
      </c>
      <c r="E266" s="674" t="s">
        <v>264</v>
      </c>
      <c r="F266" s="663">
        <f t="shared" si="8"/>
        <v>0</v>
      </c>
      <c r="G266" s="675"/>
      <c r="H266" s="667">
        <f t="shared" si="9"/>
        <v>0</v>
      </c>
    </row>
    <row r="267" spans="1:8" s="677" customFormat="1" ht="25.5" hidden="1" customHeight="1">
      <c r="A267" s="666"/>
      <c r="B267" s="666"/>
      <c r="C267" s="663" t="s">
        <v>1421</v>
      </c>
      <c r="D267" s="675">
        <f>ROUND([14]Data!K687,2)</f>
        <v>490.26</v>
      </c>
      <c r="E267" s="674" t="s">
        <v>264</v>
      </c>
      <c r="F267" s="663">
        <f t="shared" si="8"/>
        <v>0</v>
      </c>
      <c r="G267" s="675"/>
      <c r="H267" s="667">
        <f t="shared" si="9"/>
        <v>0</v>
      </c>
    </row>
    <row r="268" spans="1:8" s="677" customFormat="1" ht="25.5" hidden="1" customHeight="1">
      <c r="A268" s="666"/>
      <c r="B268" s="666"/>
      <c r="C268" s="663" t="s">
        <v>1422</v>
      </c>
      <c r="D268" s="675">
        <f>ROUND([14]Data!K688,2)</f>
        <v>497.12</v>
      </c>
      <c r="E268" s="674" t="s">
        <v>264</v>
      </c>
      <c r="F268" s="663">
        <f t="shared" si="8"/>
        <v>0</v>
      </c>
      <c r="G268" s="675"/>
      <c r="H268" s="667">
        <f t="shared" si="9"/>
        <v>0</v>
      </c>
    </row>
    <row r="269" spans="1:8" s="677" customFormat="1" ht="25.5" hidden="1" customHeight="1">
      <c r="A269" s="666"/>
      <c r="B269" s="666"/>
      <c r="C269" s="663" t="s">
        <v>1423</v>
      </c>
      <c r="D269" s="675">
        <f>ROUND([14]Data!K689,2)</f>
        <v>503.98</v>
      </c>
      <c r="E269" s="674" t="s">
        <v>264</v>
      </c>
      <c r="F269" s="663">
        <f t="shared" si="8"/>
        <v>0</v>
      </c>
      <c r="G269" s="675"/>
      <c r="H269" s="667">
        <f t="shared" si="9"/>
        <v>0</v>
      </c>
    </row>
    <row r="270" spans="1:8" s="677" customFormat="1" ht="25.5" hidden="1" customHeight="1">
      <c r="A270" s="690"/>
      <c r="B270" s="666"/>
      <c r="C270" s="663" t="s">
        <v>1424</v>
      </c>
      <c r="D270" s="675">
        <f>ROUND([14]Data!K690,2)</f>
        <v>510.84</v>
      </c>
      <c r="E270" s="674" t="s">
        <v>264</v>
      </c>
      <c r="F270" s="663">
        <f t="shared" si="8"/>
        <v>0</v>
      </c>
      <c r="G270" s="675"/>
      <c r="H270" s="667">
        <f t="shared" si="9"/>
        <v>0</v>
      </c>
    </row>
    <row r="271" spans="1:8" s="677" customFormat="1" ht="46.5" hidden="1" customHeight="1">
      <c r="A271" s="662">
        <v>16.3</v>
      </c>
      <c r="B271" s="666"/>
      <c r="C271" s="663" t="s">
        <v>1467</v>
      </c>
      <c r="D271" s="675"/>
      <c r="E271" s="674"/>
      <c r="F271" s="663">
        <f t="shared" si="8"/>
        <v>0</v>
      </c>
      <c r="G271" s="675"/>
      <c r="H271" s="667">
        <f t="shared" si="9"/>
        <v>0</v>
      </c>
    </row>
    <row r="272" spans="1:8" s="677" customFormat="1" ht="25.5" hidden="1" customHeight="1">
      <c r="A272" s="662"/>
      <c r="B272" s="666"/>
      <c r="C272" s="663" t="s">
        <v>1420</v>
      </c>
      <c r="D272" s="675">
        <f>ROUND([14]Data!K706,2)</f>
        <v>657.48</v>
      </c>
      <c r="E272" s="674" t="s">
        <v>264</v>
      </c>
      <c r="F272" s="663">
        <f t="shared" si="8"/>
        <v>0</v>
      </c>
      <c r="G272" s="675"/>
      <c r="H272" s="667">
        <f t="shared" si="9"/>
        <v>0</v>
      </c>
    </row>
    <row r="273" spans="1:8" s="677" customFormat="1" ht="25.5" hidden="1" customHeight="1">
      <c r="A273" s="662"/>
      <c r="B273" s="666"/>
      <c r="C273" s="663" t="s">
        <v>1421</v>
      </c>
      <c r="D273" s="675">
        <f>ROUND([14]Data!K707,2)</f>
        <v>672.57</v>
      </c>
      <c r="E273" s="674" t="s">
        <v>264</v>
      </c>
      <c r="F273" s="663">
        <f t="shared" ref="F273:F336" si="10">B273*D273</f>
        <v>0</v>
      </c>
      <c r="G273" s="675"/>
      <c r="H273" s="667">
        <f t="shared" si="9"/>
        <v>0</v>
      </c>
    </row>
    <row r="274" spans="1:8" s="677" customFormat="1" ht="25.5" hidden="1" customHeight="1">
      <c r="A274" s="662"/>
      <c r="B274" s="666"/>
      <c r="C274" s="663" t="s">
        <v>1422</v>
      </c>
      <c r="D274" s="675">
        <f>ROUND([14]Data!K708,2)</f>
        <v>687.66</v>
      </c>
      <c r="E274" s="674" t="s">
        <v>264</v>
      </c>
      <c r="F274" s="663">
        <f t="shared" si="10"/>
        <v>0</v>
      </c>
      <c r="G274" s="675"/>
      <c r="H274" s="667">
        <f t="shared" si="9"/>
        <v>0</v>
      </c>
    </row>
    <row r="275" spans="1:8" s="677" customFormat="1" ht="25.5" hidden="1" customHeight="1">
      <c r="A275" s="666"/>
      <c r="B275" s="666"/>
      <c r="C275" s="663" t="s">
        <v>1423</v>
      </c>
      <c r="D275" s="675">
        <f>ROUND([14]Data!K709,2)</f>
        <v>702.75</v>
      </c>
      <c r="E275" s="674" t="s">
        <v>264</v>
      </c>
      <c r="F275" s="663">
        <f t="shared" si="10"/>
        <v>0</v>
      </c>
      <c r="G275" s="675"/>
      <c r="H275" s="667">
        <f t="shared" si="9"/>
        <v>0</v>
      </c>
    </row>
    <row r="276" spans="1:8" s="677" customFormat="1" ht="25.5" hidden="1" customHeight="1">
      <c r="A276" s="690"/>
      <c r="B276" s="666"/>
      <c r="C276" s="663" t="s">
        <v>1424</v>
      </c>
      <c r="D276" s="675">
        <f>ROUND([14]Data!K710,2)</f>
        <v>717.84</v>
      </c>
      <c r="E276" s="674" t="s">
        <v>264</v>
      </c>
      <c r="F276" s="663">
        <f t="shared" si="10"/>
        <v>0</v>
      </c>
      <c r="G276" s="675"/>
      <c r="H276" s="667">
        <f t="shared" si="9"/>
        <v>0</v>
      </c>
    </row>
    <row r="277" spans="1:8" s="677" customFormat="1" ht="25.5" hidden="1" customHeight="1">
      <c r="A277" s="662">
        <v>17</v>
      </c>
      <c r="B277" s="666"/>
      <c r="C277" s="663" t="s">
        <v>1468</v>
      </c>
      <c r="D277" s="675"/>
      <c r="E277" s="674" t="s">
        <v>264</v>
      </c>
      <c r="F277" s="663">
        <f t="shared" si="10"/>
        <v>0</v>
      </c>
      <c r="G277" s="675"/>
      <c r="H277" s="667">
        <f t="shared" si="9"/>
        <v>0</v>
      </c>
    </row>
    <row r="278" spans="1:8" s="677" customFormat="1" ht="25.5" hidden="1" customHeight="1">
      <c r="A278" s="662">
        <v>18</v>
      </c>
      <c r="B278" s="666"/>
      <c r="C278" s="663" t="s">
        <v>1469</v>
      </c>
      <c r="D278" s="675"/>
      <c r="E278" s="674" t="s">
        <v>264</v>
      </c>
      <c r="F278" s="663">
        <f t="shared" si="10"/>
        <v>0</v>
      </c>
      <c r="G278" s="675"/>
      <c r="H278" s="667">
        <f t="shared" si="9"/>
        <v>0</v>
      </c>
    </row>
    <row r="279" spans="1:8" s="677" customFormat="1" ht="25.5" hidden="1" customHeight="1">
      <c r="A279" s="662">
        <v>19</v>
      </c>
      <c r="B279" s="666"/>
      <c r="C279" s="663" t="s">
        <v>1470</v>
      </c>
      <c r="D279" s="675"/>
      <c r="E279" s="674" t="s">
        <v>264</v>
      </c>
      <c r="F279" s="663">
        <f t="shared" si="10"/>
        <v>0</v>
      </c>
      <c r="G279" s="675"/>
      <c r="H279" s="667">
        <f t="shared" si="9"/>
        <v>0</v>
      </c>
    </row>
    <row r="280" spans="1:8" s="677" customFormat="1" ht="25.5" hidden="1" customHeight="1">
      <c r="A280" s="662">
        <v>20</v>
      </c>
      <c r="B280" s="666"/>
      <c r="C280" s="663" t="s">
        <v>1471</v>
      </c>
      <c r="D280" s="675"/>
      <c r="E280" s="674" t="s">
        <v>264</v>
      </c>
      <c r="F280" s="663">
        <f t="shared" si="10"/>
        <v>0</v>
      </c>
      <c r="G280" s="675"/>
      <c r="H280" s="667">
        <f t="shared" si="9"/>
        <v>0</v>
      </c>
    </row>
    <row r="281" spans="1:8" s="677" customFormat="1" ht="25.5" hidden="1" customHeight="1">
      <c r="A281" s="662">
        <v>21.1</v>
      </c>
      <c r="B281" s="666"/>
      <c r="C281" s="685" t="s">
        <v>1472</v>
      </c>
      <c r="D281" s="675"/>
      <c r="E281" s="674"/>
      <c r="F281" s="663">
        <f t="shared" si="10"/>
        <v>0</v>
      </c>
      <c r="G281" s="675"/>
      <c r="H281" s="667">
        <f t="shared" si="9"/>
        <v>0</v>
      </c>
    </row>
    <row r="282" spans="1:8" s="677" customFormat="1" ht="25.5" hidden="1" customHeight="1">
      <c r="A282" s="662"/>
      <c r="B282" s="666"/>
      <c r="C282" s="663" t="s">
        <v>1473</v>
      </c>
      <c r="D282" s="675">
        <f>ROUND([14]Data!K889,2)</f>
        <v>2440.4499999999998</v>
      </c>
      <c r="E282" s="674" t="s">
        <v>522</v>
      </c>
      <c r="F282" s="663">
        <f t="shared" si="10"/>
        <v>0</v>
      </c>
      <c r="G282" s="675"/>
      <c r="H282" s="667">
        <f t="shared" si="9"/>
        <v>0</v>
      </c>
    </row>
    <row r="283" spans="1:8" s="677" customFormat="1" ht="25.5" hidden="1" customHeight="1">
      <c r="A283" s="662"/>
      <c r="B283" s="666"/>
      <c r="C283" s="663" t="s">
        <v>1474</v>
      </c>
      <c r="D283" s="675">
        <f>ROUND([14]Data!K905,2)</f>
        <v>2406.77</v>
      </c>
      <c r="E283" s="674" t="s">
        <v>522</v>
      </c>
      <c r="F283" s="663">
        <f t="shared" si="10"/>
        <v>0</v>
      </c>
      <c r="G283" s="675"/>
      <c r="H283" s="667">
        <f t="shared" si="9"/>
        <v>0</v>
      </c>
    </row>
    <row r="284" spans="1:8" s="677" customFormat="1" ht="25.5" hidden="1" customHeight="1">
      <c r="A284" s="688"/>
      <c r="B284" s="666"/>
      <c r="C284" s="663" t="s">
        <v>1475</v>
      </c>
      <c r="D284" s="675">
        <f>ROUND([14]Data!K871,2)</f>
        <v>2460.2199999999998</v>
      </c>
      <c r="E284" s="674" t="s">
        <v>522</v>
      </c>
      <c r="F284" s="663">
        <f t="shared" si="10"/>
        <v>0</v>
      </c>
      <c r="G284" s="675"/>
      <c r="H284" s="667">
        <f t="shared" si="9"/>
        <v>0</v>
      </c>
    </row>
    <row r="285" spans="1:8" ht="46.5" hidden="1" customHeight="1">
      <c r="A285" s="662">
        <v>21.2</v>
      </c>
      <c r="B285" s="666"/>
      <c r="C285" s="685" t="s">
        <v>1476</v>
      </c>
      <c r="D285" s="667"/>
      <c r="E285" s="663"/>
      <c r="F285" s="663">
        <f t="shared" si="10"/>
        <v>0</v>
      </c>
      <c r="G285" s="667"/>
      <c r="H285" s="667">
        <f t="shared" si="9"/>
        <v>0</v>
      </c>
    </row>
    <row r="286" spans="1:8" ht="46.5" hidden="1" customHeight="1">
      <c r="A286" s="662"/>
      <c r="B286" s="666"/>
      <c r="C286" s="663" t="s">
        <v>1477</v>
      </c>
      <c r="D286" s="667">
        <f>ROUND([14]Data!K923,2)</f>
        <v>123400</v>
      </c>
      <c r="E286" s="663" t="s">
        <v>235</v>
      </c>
      <c r="F286" s="663">
        <f t="shared" si="10"/>
        <v>0</v>
      </c>
      <c r="G286" s="667"/>
      <c r="H286" s="667">
        <f t="shared" si="9"/>
        <v>0</v>
      </c>
    </row>
    <row r="287" spans="1:8" ht="46.5" hidden="1" customHeight="1">
      <c r="A287" s="687"/>
      <c r="B287" s="666"/>
      <c r="C287" s="663" t="s">
        <v>1478</v>
      </c>
      <c r="D287" s="667">
        <f>ROUND([14]Data!K930,2)</f>
        <v>111200</v>
      </c>
      <c r="E287" s="663" t="s">
        <v>235</v>
      </c>
      <c r="F287" s="663">
        <f t="shared" si="10"/>
        <v>0</v>
      </c>
      <c r="G287" s="667"/>
      <c r="H287" s="667">
        <f t="shared" si="9"/>
        <v>0</v>
      </c>
    </row>
    <row r="288" spans="1:8" s="677" customFormat="1" ht="37.5" hidden="1" customHeight="1">
      <c r="A288" s="662">
        <v>21.3</v>
      </c>
      <c r="B288" s="666"/>
      <c r="C288" s="663" t="s">
        <v>1479</v>
      </c>
      <c r="D288" s="675">
        <f>ROUND([14]Data!K912,2)</f>
        <v>2034</v>
      </c>
      <c r="E288" s="674" t="s">
        <v>264</v>
      </c>
      <c r="F288" s="663">
        <f t="shared" si="10"/>
        <v>0</v>
      </c>
      <c r="G288" s="675"/>
      <c r="H288" s="667">
        <f t="shared" si="9"/>
        <v>0</v>
      </c>
    </row>
    <row r="289" spans="1:8" s="677" customFormat="1" ht="25.5" hidden="1" customHeight="1">
      <c r="A289" s="662">
        <v>22.1</v>
      </c>
      <c r="B289" s="666"/>
      <c r="C289" s="663" t="s">
        <v>1480</v>
      </c>
      <c r="D289" s="675"/>
      <c r="E289" s="674"/>
      <c r="F289" s="663">
        <f t="shared" si="10"/>
        <v>0</v>
      </c>
      <c r="G289" s="675"/>
      <c r="H289" s="667">
        <f t="shared" si="9"/>
        <v>0</v>
      </c>
    </row>
    <row r="290" spans="1:8" s="677" customFormat="1" ht="25.5" hidden="1" customHeight="1">
      <c r="A290" s="666"/>
      <c r="B290" s="666"/>
      <c r="C290" s="663" t="s">
        <v>1481</v>
      </c>
      <c r="D290" s="675">
        <f>ROUND([14]Data!K964,2)</f>
        <v>4719.55</v>
      </c>
      <c r="E290" s="674" t="s">
        <v>264</v>
      </c>
      <c r="F290" s="663">
        <f t="shared" si="10"/>
        <v>0</v>
      </c>
      <c r="G290" s="675"/>
      <c r="H290" s="667">
        <f t="shared" si="9"/>
        <v>0</v>
      </c>
    </row>
    <row r="291" spans="1:8" s="677" customFormat="1" ht="25.5" hidden="1" customHeight="1">
      <c r="A291" s="666"/>
      <c r="B291" s="666"/>
      <c r="C291" s="663" t="s">
        <v>1482</v>
      </c>
      <c r="D291" s="675">
        <f>ROUND([14]Data!K1000,2)</f>
        <v>4803.54</v>
      </c>
      <c r="E291" s="674" t="s">
        <v>264</v>
      </c>
      <c r="F291" s="663">
        <f t="shared" si="10"/>
        <v>0</v>
      </c>
      <c r="G291" s="675"/>
      <c r="H291" s="667">
        <f t="shared" si="9"/>
        <v>0</v>
      </c>
    </row>
    <row r="292" spans="1:8" s="677" customFormat="1" ht="25.5" hidden="1" customHeight="1">
      <c r="A292" s="690"/>
      <c r="B292" s="666"/>
      <c r="C292" s="663" t="s">
        <v>1483</v>
      </c>
      <c r="D292" s="675">
        <f>ROUND([14]Data!K1030,2)</f>
        <v>4817.3500000000004</v>
      </c>
      <c r="E292" s="674" t="s">
        <v>264</v>
      </c>
      <c r="F292" s="663">
        <f t="shared" si="10"/>
        <v>0</v>
      </c>
      <c r="G292" s="675"/>
      <c r="H292" s="667">
        <f t="shared" si="9"/>
        <v>0</v>
      </c>
    </row>
    <row r="293" spans="1:8" s="677" customFormat="1" ht="25.5" hidden="1" customHeight="1">
      <c r="A293" s="690"/>
      <c r="B293" s="666"/>
      <c r="C293" s="663" t="s">
        <v>1484</v>
      </c>
      <c r="D293" s="675">
        <f>[14]Data!R2834</f>
        <v>5284.73</v>
      </c>
      <c r="E293" s="674" t="s">
        <v>264</v>
      </c>
      <c r="F293" s="663">
        <f t="shared" si="10"/>
        <v>0</v>
      </c>
      <c r="G293" s="675"/>
      <c r="H293" s="667">
        <f t="shared" si="9"/>
        <v>0</v>
      </c>
    </row>
    <row r="294" spans="1:8" s="677" customFormat="1" ht="25.5" hidden="1" customHeight="1">
      <c r="A294" s="662">
        <v>22.2</v>
      </c>
      <c r="B294" s="666"/>
      <c r="C294" s="685" t="s">
        <v>1485</v>
      </c>
      <c r="D294" s="675"/>
      <c r="E294" s="674"/>
      <c r="F294" s="663">
        <f t="shared" si="10"/>
        <v>0</v>
      </c>
      <c r="G294" s="675"/>
      <c r="H294" s="667">
        <f t="shared" si="9"/>
        <v>0</v>
      </c>
    </row>
    <row r="295" spans="1:8" s="677" customFormat="1" ht="25.5" hidden="1" customHeight="1">
      <c r="A295" s="666"/>
      <c r="B295" s="666"/>
      <c r="C295" s="663" t="s">
        <v>1486</v>
      </c>
      <c r="D295" s="675">
        <f>ROUND([14]Data!K1081,2)</f>
        <v>3364.08</v>
      </c>
      <c r="E295" s="674" t="s">
        <v>264</v>
      </c>
      <c r="F295" s="663">
        <f t="shared" si="10"/>
        <v>0</v>
      </c>
      <c r="G295" s="675"/>
      <c r="H295" s="667">
        <f t="shared" si="9"/>
        <v>0</v>
      </c>
    </row>
    <row r="296" spans="1:8" s="677" customFormat="1" ht="25.5" hidden="1" customHeight="1">
      <c r="A296" s="666"/>
      <c r="B296" s="666"/>
      <c r="C296" s="663" t="s">
        <v>1487</v>
      </c>
      <c r="D296" s="675"/>
      <c r="E296" s="674" t="s">
        <v>264</v>
      </c>
      <c r="F296" s="663">
        <f t="shared" si="10"/>
        <v>0</v>
      </c>
      <c r="G296" s="675"/>
      <c r="H296" s="667">
        <f t="shared" si="9"/>
        <v>0</v>
      </c>
    </row>
    <row r="297" spans="1:8" s="677" customFormat="1" ht="25.5" hidden="1" customHeight="1">
      <c r="A297" s="666"/>
      <c r="B297" s="666"/>
      <c r="C297" s="663" t="s">
        <v>1488</v>
      </c>
      <c r="D297" s="675">
        <f>ROUND([14]Data!K1097,2)</f>
        <v>3552.27</v>
      </c>
      <c r="E297" s="674" t="s">
        <v>264</v>
      </c>
      <c r="F297" s="663">
        <f t="shared" si="10"/>
        <v>0</v>
      </c>
      <c r="G297" s="675"/>
      <c r="H297" s="667">
        <f t="shared" si="9"/>
        <v>0</v>
      </c>
    </row>
    <row r="298" spans="1:8" s="677" customFormat="1" ht="25.5" hidden="1" customHeight="1">
      <c r="A298" s="690"/>
      <c r="B298" s="666"/>
      <c r="C298" s="663" t="s">
        <v>1489</v>
      </c>
      <c r="D298" s="675">
        <f>ROUND([14]Data!K1112,2)</f>
        <v>2642.35</v>
      </c>
      <c r="E298" s="674" t="s">
        <v>264</v>
      </c>
      <c r="F298" s="663">
        <f t="shared" si="10"/>
        <v>0</v>
      </c>
      <c r="G298" s="675"/>
      <c r="H298" s="667">
        <f t="shared" si="9"/>
        <v>0</v>
      </c>
    </row>
    <row r="299" spans="1:8" s="677" customFormat="1" ht="37.5" hidden="1" customHeight="1">
      <c r="A299" s="662">
        <v>22.3</v>
      </c>
      <c r="B299" s="666"/>
      <c r="C299" s="663" t="s">
        <v>1490</v>
      </c>
      <c r="D299" s="675"/>
      <c r="E299" s="674" t="s">
        <v>264</v>
      </c>
      <c r="F299" s="663">
        <f t="shared" si="10"/>
        <v>0</v>
      </c>
      <c r="G299" s="675"/>
      <c r="H299" s="667">
        <f t="shared" si="9"/>
        <v>0</v>
      </c>
    </row>
    <row r="300" spans="1:8" s="677" customFormat="1" ht="43.5" hidden="1" customHeight="1">
      <c r="A300" s="662">
        <v>23.1</v>
      </c>
      <c r="B300" s="666"/>
      <c r="C300" s="663" t="s">
        <v>1491</v>
      </c>
      <c r="D300" s="675"/>
      <c r="E300" s="674" t="s">
        <v>264</v>
      </c>
      <c r="F300" s="663">
        <f t="shared" si="10"/>
        <v>0</v>
      </c>
      <c r="G300" s="675"/>
      <c r="H300" s="667">
        <f t="shared" si="9"/>
        <v>0</v>
      </c>
    </row>
    <row r="301" spans="1:8" s="677" customFormat="1" ht="25.5" hidden="1" customHeight="1">
      <c r="A301" s="690"/>
      <c r="B301" s="666"/>
      <c r="C301" s="663" t="s">
        <v>1473</v>
      </c>
      <c r="D301" s="675">
        <f>ROUND([14]Data!K1066,2)</f>
        <v>3424.55</v>
      </c>
      <c r="E301" s="674" t="s">
        <v>264</v>
      </c>
      <c r="F301" s="663">
        <f t="shared" si="10"/>
        <v>0</v>
      </c>
      <c r="G301" s="675"/>
      <c r="H301" s="667">
        <f t="shared" si="9"/>
        <v>0</v>
      </c>
    </row>
    <row r="302" spans="1:8" s="677" customFormat="1" ht="25.5" hidden="1" customHeight="1">
      <c r="A302" s="662">
        <v>23.2</v>
      </c>
      <c r="B302" s="666"/>
      <c r="C302" s="663" t="s">
        <v>1492</v>
      </c>
      <c r="D302" s="675">
        <f>ROUND([14]Data!K1185,2)</f>
        <v>708.1</v>
      </c>
      <c r="E302" s="674" t="s">
        <v>264</v>
      </c>
      <c r="F302" s="663">
        <f t="shared" si="10"/>
        <v>0</v>
      </c>
      <c r="G302" s="675"/>
      <c r="H302" s="667">
        <f t="shared" si="9"/>
        <v>0</v>
      </c>
    </row>
    <row r="303" spans="1:8" s="683" customFormat="1" ht="51" hidden="1" customHeight="1">
      <c r="A303" s="662">
        <v>23.3</v>
      </c>
      <c r="B303" s="666"/>
      <c r="C303" s="663" t="s">
        <v>1493</v>
      </c>
      <c r="D303" s="667">
        <f>[14]Data!K1170</f>
        <v>52</v>
      </c>
      <c r="E303" s="663" t="s">
        <v>522</v>
      </c>
      <c r="F303" s="663">
        <f t="shared" si="10"/>
        <v>0</v>
      </c>
      <c r="G303" s="667"/>
      <c r="H303" s="667">
        <f t="shared" si="9"/>
        <v>0</v>
      </c>
    </row>
    <row r="304" spans="1:8" s="677" customFormat="1" ht="46.5" hidden="1" customHeight="1">
      <c r="A304" s="662">
        <v>23.4</v>
      </c>
      <c r="B304" s="666"/>
      <c r="C304" s="663" t="s">
        <v>1494</v>
      </c>
      <c r="D304" s="675"/>
      <c r="E304" s="674"/>
      <c r="F304" s="663">
        <f t="shared" si="10"/>
        <v>0</v>
      </c>
      <c r="G304" s="675"/>
      <c r="H304" s="667">
        <f t="shared" si="9"/>
        <v>0</v>
      </c>
    </row>
    <row r="305" spans="1:8" s="677" customFormat="1" ht="33" hidden="1" customHeight="1">
      <c r="A305" s="666"/>
      <c r="B305" s="666"/>
      <c r="C305" s="663" t="s">
        <v>1495</v>
      </c>
      <c r="D305" s="675">
        <f>[14]Data!X1399</f>
        <v>14549.64</v>
      </c>
      <c r="E305" s="674" t="s">
        <v>522</v>
      </c>
      <c r="F305" s="663">
        <f t="shared" si="10"/>
        <v>0</v>
      </c>
      <c r="G305" s="675"/>
      <c r="H305" s="667">
        <f t="shared" si="9"/>
        <v>0</v>
      </c>
    </row>
    <row r="306" spans="1:8" s="677" customFormat="1" ht="33" hidden="1" customHeight="1">
      <c r="A306" s="666"/>
      <c r="B306" s="666"/>
      <c r="C306" s="663" t="s">
        <v>1496</v>
      </c>
      <c r="D306" s="675">
        <f>[14]Data!R1404</f>
        <v>10968.39</v>
      </c>
      <c r="E306" s="674" t="s">
        <v>522</v>
      </c>
      <c r="F306" s="663">
        <f t="shared" si="10"/>
        <v>0</v>
      </c>
      <c r="G306" s="675"/>
      <c r="H306" s="667">
        <f t="shared" si="9"/>
        <v>0</v>
      </c>
    </row>
    <row r="307" spans="1:8" s="677" customFormat="1" ht="33" hidden="1" customHeight="1">
      <c r="A307" s="666"/>
      <c r="B307" s="666"/>
      <c r="C307" s="663" t="s">
        <v>1497</v>
      </c>
      <c r="D307" s="675">
        <f>[14]Data!X1365</f>
        <v>9368.61</v>
      </c>
      <c r="E307" s="674" t="s">
        <v>522</v>
      </c>
      <c r="F307" s="663">
        <f t="shared" si="10"/>
        <v>0</v>
      </c>
      <c r="G307" s="675"/>
      <c r="H307" s="667">
        <f t="shared" si="9"/>
        <v>0</v>
      </c>
    </row>
    <row r="308" spans="1:8" s="677" customFormat="1" ht="33" hidden="1" customHeight="1">
      <c r="A308" s="666"/>
      <c r="B308" s="666"/>
      <c r="C308" s="663" t="s">
        <v>1498</v>
      </c>
      <c r="D308" s="675">
        <f>[14]Data!R1421</f>
        <v>8713.44</v>
      </c>
      <c r="E308" s="674" t="s">
        <v>522</v>
      </c>
      <c r="F308" s="663">
        <f t="shared" si="10"/>
        <v>0</v>
      </c>
      <c r="G308" s="675"/>
      <c r="H308" s="667">
        <f t="shared" si="9"/>
        <v>0</v>
      </c>
    </row>
    <row r="309" spans="1:8" s="677" customFormat="1" ht="33" hidden="1" customHeight="1">
      <c r="A309" s="666"/>
      <c r="B309" s="666"/>
      <c r="C309" s="663" t="s">
        <v>1499</v>
      </c>
      <c r="D309" s="675">
        <f>[14]Data!X1463</f>
        <v>7235.67</v>
      </c>
      <c r="E309" s="674" t="s">
        <v>522</v>
      </c>
      <c r="F309" s="663">
        <f t="shared" si="10"/>
        <v>0</v>
      </c>
      <c r="G309" s="675"/>
      <c r="H309" s="667">
        <f t="shared" si="9"/>
        <v>0</v>
      </c>
    </row>
    <row r="310" spans="1:8" s="677" customFormat="1" ht="33" hidden="1" customHeight="1">
      <c r="A310" s="666"/>
      <c r="B310" s="666"/>
      <c r="C310" s="663" t="s">
        <v>1500</v>
      </c>
      <c r="D310" s="675">
        <f>[14]Data!AD1380</f>
        <v>8048.46</v>
      </c>
      <c r="E310" s="674" t="s">
        <v>522</v>
      </c>
      <c r="F310" s="663">
        <f t="shared" si="10"/>
        <v>0</v>
      </c>
      <c r="G310" s="675"/>
      <c r="H310" s="667">
        <f t="shared" si="9"/>
        <v>0</v>
      </c>
    </row>
    <row r="311" spans="1:8" s="677" customFormat="1" ht="33" hidden="1" customHeight="1">
      <c r="A311" s="666"/>
      <c r="B311" s="666"/>
      <c r="C311" s="663" t="s">
        <v>1501</v>
      </c>
      <c r="D311" s="675">
        <f>[14]Data!X1382</f>
        <v>7379.44</v>
      </c>
      <c r="E311" s="674" t="s">
        <v>522</v>
      </c>
      <c r="F311" s="663">
        <f t="shared" si="10"/>
        <v>0</v>
      </c>
      <c r="G311" s="675"/>
      <c r="H311" s="667">
        <f t="shared" si="9"/>
        <v>0</v>
      </c>
    </row>
    <row r="312" spans="1:8" s="677" customFormat="1" ht="33" hidden="1" customHeight="1">
      <c r="A312" s="666"/>
      <c r="B312" s="666"/>
      <c r="C312" s="663" t="s">
        <v>1502</v>
      </c>
      <c r="D312" s="675">
        <f>[14]Data!AD1363</f>
        <v>6304.16</v>
      </c>
      <c r="E312" s="674" t="s">
        <v>522</v>
      </c>
      <c r="F312" s="663">
        <f t="shared" si="10"/>
        <v>0</v>
      </c>
      <c r="G312" s="675"/>
      <c r="H312" s="667">
        <f t="shared" si="9"/>
        <v>0</v>
      </c>
    </row>
    <row r="313" spans="1:8" s="677" customFormat="1" ht="33" hidden="1" customHeight="1">
      <c r="A313" s="666"/>
      <c r="B313" s="666"/>
      <c r="C313" s="663" t="s">
        <v>1503</v>
      </c>
      <c r="D313" s="675">
        <f>[14]Data!AD1397</f>
        <v>4015.35</v>
      </c>
      <c r="E313" s="674" t="s">
        <v>522</v>
      </c>
      <c r="F313" s="663">
        <f t="shared" si="10"/>
        <v>0</v>
      </c>
      <c r="G313" s="675"/>
      <c r="H313" s="667">
        <f t="shared" si="9"/>
        <v>0</v>
      </c>
    </row>
    <row r="314" spans="1:8" s="677" customFormat="1" ht="33" hidden="1" customHeight="1">
      <c r="A314" s="666"/>
      <c r="B314" s="666"/>
      <c r="C314" s="663" t="s">
        <v>1504</v>
      </c>
      <c r="D314" s="675">
        <f>[14]Data!R1438</f>
        <v>3794.03</v>
      </c>
      <c r="E314" s="674" t="s">
        <v>522</v>
      </c>
      <c r="F314" s="663">
        <f t="shared" si="10"/>
        <v>0</v>
      </c>
      <c r="G314" s="675"/>
      <c r="H314" s="667">
        <f t="shared" si="9"/>
        <v>0</v>
      </c>
    </row>
    <row r="315" spans="1:8" s="677" customFormat="1" ht="33" hidden="1" customHeight="1">
      <c r="A315" s="666"/>
      <c r="B315" s="666"/>
      <c r="C315" s="663" t="s">
        <v>1505</v>
      </c>
      <c r="D315" s="675">
        <f>[14]Data!R1479</f>
        <v>4535.8900000000003</v>
      </c>
      <c r="E315" s="674" t="s">
        <v>522</v>
      </c>
      <c r="F315" s="663">
        <f t="shared" si="10"/>
        <v>0</v>
      </c>
      <c r="G315" s="675"/>
      <c r="H315" s="667">
        <f t="shared" si="9"/>
        <v>0</v>
      </c>
    </row>
    <row r="316" spans="1:8" s="677" customFormat="1" ht="18" hidden="1" customHeight="1">
      <c r="A316" s="690"/>
      <c r="B316" s="666"/>
      <c r="C316" s="663" t="s">
        <v>1506</v>
      </c>
      <c r="D316" s="675">
        <f>[14]Data!X1440</f>
        <v>5059.03</v>
      </c>
      <c r="E316" s="674" t="s">
        <v>522</v>
      </c>
      <c r="F316" s="663">
        <f t="shared" si="10"/>
        <v>0</v>
      </c>
      <c r="G316" s="675"/>
      <c r="H316" s="667">
        <f t="shared" si="9"/>
        <v>0</v>
      </c>
    </row>
    <row r="317" spans="1:8" ht="56.25" hidden="1" customHeight="1">
      <c r="A317" s="662">
        <v>24</v>
      </c>
      <c r="B317" s="666"/>
      <c r="C317" s="663" t="s">
        <v>1507</v>
      </c>
      <c r="D317" s="667">
        <f>[14]Data!K1191</f>
        <v>62.1</v>
      </c>
      <c r="E317" s="663" t="s">
        <v>271</v>
      </c>
      <c r="F317" s="663">
        <f t="shared" si="10"/>
        <v>0</v>
      </c>
      <c r="G317" s="667"/>
      <c r="H317" s="667">
        <f t="shared" si="9"/>
        <v>0</v>
      </c>
    </row>
    <row r="318" spans="1:8" ht="45.75" hidden="1" customHeight="1">
      <c r="A318" s="662">
        <v>25</v>
      </c>
      <c r="B318" s="666"/>
      <c r="C318" s="663" t="s">
        <v>1508</v>
      </c>
      <c r="D318" s="667">
        <f>ROUND([14]Data!K1194,2)</f>
        <v>9.6</v>
      </c>
      <c r="E318" s="663" t="s">
        <v>522</v>
      </c>
      <c r="F318" s="663">
        <f t="shared" si="10"/>
        <v>0</v>
      </c>
      <c r="G318" s="667"/>
      <c r="H318" s="667">
        <f t="shared" si="9"/>
        <v>0</v>
      </c>
    </row>
    <row r="319" spans="1:8" ht="45.75" hidden="1" customHeight="1">
      <c r="A319" s="662">
        <v>26</v>
      </c>
      <c r="B319" s="666"/>
      <c r="C319" s="663" t="s">
        <v>1509</v>
      </c>
      <c r="D319" s="667">
        <f>ROUND([14]Data!K204,2)</f>
        <v>4691.3</v>
      </c>
      <c r="E319" s="663" t="s">
        <v>235</v>
      </c>
      <c r="F319" s="663">
        <f t="shared" si="10"/>
        <v>0</v>
      </c>
      <c r="G319" s="667"/>
      <c r="H319" s="667">
        <f t="shared" si="9"/>
        <v>0</v>
      </c>
    </row>
    <row r="320" spans="1:8" s="677" customFormat="1" ht="39.950000000000003" hidden="1" customHeight="1">
      <c r="A320" s="662">
        <v>27.1</v>
      </c>
      <c r="B320" s="666"/>
      <c r="C320" s="663" t="s">
        <v>1510</v>
      </c>
      <c r="D320" s="675">
        <f>ROUND([14]Data!Y368,2)</f>
        <v>6592.46</v>
      </c>
      <c r="E320" s="674" t="s">
        <v>235</v>
      </c>
      <c r="F320" s="663">
        <f t="shared" si="10"/>
        <v>0</v>
      </c>
      <c r="G320" s="675"/>
      <c r="H320" s="667">
        <f t="shared" si="9"/>
        <v>0</v>
      </c>
    </row>
    <row r="321" spans="1:14" s="677" customFormat="1" ht="45.75" hidden="1" customHeight="1">
      <c r="A321" s="662">
        <v>27.2</v>
      </c>
      <c r="B321" s="666"/>
      <c r="C321" s="663" t="s">
        <v>1511</v>
      </c>
      <c r="D321" s="675">
        <f>ROUND([14]Data!AG381,2)</f>
        <v>6387.51</v>
      </c>
      <c r="E321" s="674" t="s">
        <v>235</v>
      </c>
      <c r="F321" s="663">
        <f t="shared" si="10"/>
        <v>0</v>
      </c>
      <c r="G321" s="675"/>
      <c r="H321" s="667">
        <f t="shared" si="9"/>
        <v>0</v>
      </c>
    </row>
    <row r="322" spans="1:14" s="677" customFormat="1" ht="39.950000000000003" hidden="1" customHeight="1">
      <c r="A322" s="662">
        <v>27.3</v>
      </c>
      <c r="B322" s="666"/>
      <c r="C322" s="663" t="s">
        <v>1512</v>
      </c>
      <c r="D322" s="675"/>
      <c r="E322" s="674" t="s">
        <v>235</v>
      </c>
      <c r="F322" s="663">
        <f t="shared" si="10"/>
        <v>0</v>
      </c>
      <c r="G322" s="675"/>
      <c r="H322" s="667">
        <f t="shared" si="9"/>
        <v>0</v>
      </c>
    </row>
    <row r="323" spans="1:14" s="677" customFormat="1" ht="39.950000000000003" hidden="1" customHeight="1">
      <c r="A323" s="662">
        <v>27.4</v>
      </c>
      <c r="B323" s="666"/>
      <c r="C323" s="663" t="s">
        <v>1513</v>
      </c>
      <c r="D323" s="675"/>
      <c r="E323" s="674" t="s">
        <v>235</v>
      </c>
      <c r="F323" s="663">
        <f t="shared" si="10"/>
        <v>0</v>
      </c>
      <c r="G323" s="675"/>
      <c r="H323" s="667">
        <f t="shared" si="9"/>
        <v>0</v>
      </c>
    </row>
    <row r="324" spans="1:14" s="677" customFormat="1" ht="39.950000000000003" hidden="1" customHeight="1">
      <c r="A324" s="662">
        <v>27.5</v>
      </c>
      <c r="B324" s="666"/>
      <c r="C324" s="663" t="s">
        <v>1514</v>
      </c>
      <c r="D324" s="675">
        <f>ROUND([14]Data!K372,2)</f>
        <v>6511.38</v>
      </c>
      <c r="E324" s="674" t="s">
        <v>235</v>
      </c>
      <c r="F324" s="663">
        <f t="shared" si="10"/>
        <v>0</v>
      </c>
      <c r="G324" s="675"/>
      <c r="H324" s="667">
        <f t="shared" si="9"/>
        <v>0</v>
      </c>
    </row>
    <row r="325" spans="1:14" s="677" customFormat="1" ht="39.950000000000003" hidden="1" customHeight="1">
      <c r="A325" s="662">
        <v>27.6</v>
      </c>
      <c r="B325" s="666"/>
      <c r="C325" s="663" t="s">
        <v>1515</v>
      </c>
      <c r="D325" s="675"/>
      <c r="E325" s="674" t="s">
        <v>235</v>
      </c>
      <c r="F325" s="663">
        <f t="shared" si="10"/>
        <v>0</v>
      </c>
      <c r="G325" s="675"/>
      <c r="H325" s="667">
        <f t="shared" si="9"/>
        <v>0</v>
      </c>
    </row>
    <row r="326" spans="1:14" ht="45.75" hidden="1" customHeight="1">
      <c r="A326" s="662">
        <v>28</v>
      </c>
      <c r="B326" s="666"/>
      <c r="C326" s="685" t="s">
        <v>1516</v>
      </c>
      <c r="D326" s="667">
        <f>ROUND([14]Data!K1213,2)</f>
        <v>450.53</v>
      </c>
      <c r="E326" s="663" t="s">
        <v>264</v>
      </c>
      <c r="F326" s="663">
        <f t="shared" si="10"/>
        <v>0</v>
      </c>
      <c r="G326" s="667"/>
      <c r="H326" s="667">
        <f t="shared" ref="H326:H389" si="11">G326*D326</f>
        <v>0</v>
      </c>
    </row>
    <row r="327" spans="1:14" s="677" customFormat="1" ht="25.5" hidden="1" customHeight="1">
      <c r="A327" s="662">
        <v>29.1</v>
      </c>
      <c r="B327" s="666"/>
      <c r="C327" s="685" t="s">
        <v>1517</v>
      </c>
      <c r="D327" s="675"/>
      <c r="E327" s="674" t="s">
        <v>264</v>
      </c>
      <c r="F327" s="663">
        <f t="shared" si="10"/>
        <v>0</v>
      </c>
      <c r="G327" s="675"/>
      <c r="H327" s="667">
        <f t="shared" si="11"/>
        <v>0</v>
      </c>
    </row>
    <row r="328" spans="1:14" s="677" customFormat="1" ht="25.5" hidden="1" customHeight="1">
      <c r="A328" s="662">
        <v>29.2</v>
      </c>
      <c r="B328" s="666"/>
      <c r="C328" s="685" t="s">
        <v>1518</v>
      </c>
      <c r="D328" s="675">
        <f>ROUND([14]Data!K1241,2)</f>
        <v>1101.47</v>
      </c>
      <c r="E328" s="674" t="s">
        <v>264</v>
      </c>
      <c r="F328" s="663">
        <f t="shared" si="10"/>
        <v>0</v>
      </c>
      <c r="G328" s="675"/>
      <c r="H328" s="667">
        <f t="shared" si="11"/>
        <v>0</v>
      </c>
    </row>
    <row r="329" spans="1:14" s="677" customFormat="1" ht="25.5" hidden="1" customHeight="1">
      <c r="A329" s="662">
        <v>29.3</v>
      </c>
      <c r="B329" s="666"/>
      <c r="C329" s="663" t="s">
        <v>1519</v>
      </c>
      <c r="D329" s="675">
        <f>ROUND([14]Data!K1264,2)</f>
        <v>1094.29</v>
      </c>
      <c r="E329" s="674" t="s">
        <v>264</v>
      </c>
      <c r="F329" s="663">
        <f t="shared" si="10"/>
        <v>0</v>
      </c>
      <c r="G329" s="675"/>
      <c r="H329" s="667">
        <f t="shared" si="11"/>
        <v>0</v>
      </c>
    </row>
    <row r="330" spans="1:14" s="677" customFormat="1" ht="25.5" hidden="1" customHeight="1">
      <c r="A330" s="662">
        <v>29.4</v>
      </c>
      <c r="B330" s="666"/>
      <c r="C330" s="663" t="s">
        <v>1520</v>
      </c>
      <c r="D330" s="675">
        <f>ROUND([14]Data!K1278,2)</f>
        <v>1237.43</v>
      </c>
      <c r="E330" s="674" t="s">
        <v>264</v>
      </c>
      <c r="F330" s="663">
        <f t="shared" si="10"/>
        <v>0</v>
      </c>
      <c r="G330" s="675"/>
      <c r="H330" s="667">
        <f t="shared" si="11"/>
        <v>0</v>
      </c>
    </row>
    <row r="331" spans="1:14" s="677" customFormat="1" ht="25.5" hidden="1" customHeight="1">
      <c r="A331" s="662">
        <v>29.5</v>
      </c>
      <c r="B331" s="666"/>
      <c r="C331" s="663" t="s">
        <v>1521</v>
      </c>
      <c r="D331" s="675">
        <f>D329</f>
        <v>1094.29</v>
      </c>
      <c r="E331" s="674" t="s">
        <v>264</v>
      </c>
      <c r="F331" s="663">
        <f t="shared" si="10"/>
        <v>0</v>
      </c>
      <c r="G331" s="675"/>
      <c r="H331" s="667">
        <f t="shared" si="11"/>
        <v>0</v>
      </c>
    </row>
    <row r="332" spans="1:14" ht="45.75" hidden="1" customHeight="1">
      <c r="A332" s="662">
        <v>30</v>
      </c>
      <c r="B332" s="666"/>
      <c r="C332" s="663" t="s">
        <v>834</v>
      </c>
      <c r="D332" s="667">
        <f>ROUND([14]Data!K1312,2)</f>
        <v>402.17</v>
      </c>
      <c r="E332" s="663" t="s">
        <v>264</v>
      </c>
      <c r="F332" s="663">
        <f t="shared" si="10"/>
        <v>0</v>
      </c>
      <c r="G332" s="667"/>
      <c r="H332" s="667">
        <f t="shared" si="11"/>
        <v>0</v>
      </c>
      <c r="N332" s="670">
        <f>146-34.2</f>
        <v>111.8</v>
      </c>
    </row>
    <row r="333" spans="1:14" ht="45.75" hidden="1" customHeight="1">
      <c r="A333" s="662">
        <v>31</v>
      </c>
      <c r="B333" s="666"/>
      <c r="C333" s="663" t="s">
        <v>1522</v>
      </c>
      <c r="D333" s="667">
        <f>ROUND([14]Data!K1330,2)</f>
        <v>3443.33</v>
      </c>
      <c r="E333" s="663" t="s">
        <v>235</v>
      </c>
      <c r="F333" s="663">
        <f t="shared" si="10"/>
        <v>0</v>
      </c>
      <c r="G333" s="667"/>
      <c r="H333" s="667">
        <f t="shared" si="11"/>
        <v>0</v>
      </c>
    </row>
    <row r="334" spans="1:14" s="677" customFormat="1" ht="46.5" hidden="1" customHeight="1">
      <c r="A334" s="662">
        <v>32</v>
      </c>
      <c r="B334" s="666"/>
      <c r="C334" s="663" t="s">
        <v>1523</v>
      </c>
      <c r="D334" s="675"/>
      <c r="E334" s="674" t="s">
        <v>264</v>
      </c>
      <c r="F334" s="663">
        <f t="shared" si="10"/>
        <v>0</v>
      </c>
      <c r="G334" s="675"/>
      <c r="H334" s="667">
        <f t="shared" si="11"/>
        <v>0</v>
      </c>
    </row>
    <row r="335" spans="1:14" s="677" customFormat="1" ht="46.5" hidden="1" customHeight="1">
      <c r="A335" s="662">
        <v>32.1</v>
      </c>
      <c r="B335" s="666"/>
      <c r="C335" s="663" t="s">
        <v>1524</v>
      </c>
      <c r="D335" s="675">
        <f>ROUND([14]Data!K1365,2)</f>
        <v>1079.3699999999999</v>
      </c>
      <c r="E335" s="674" t="s">
        <v>264</v>
      </c>
      <c r="F335" s="663">
        <f t="shared" si="10"/>
        <v>0</v>
      </c>
      <c r="G335" s="675"/>
      <c r="H335" s="667">
        <f t="shared" si="11"/>
        <v>0</v>
      </c>
    </row>
    <row r="336" spans="1:14" s="677" customFormat="1" ht="46.5" hidden="1" customHeight="1">
      <c r="A336" s="662">
        <v>32.200000000000003</v>
      </c>
      <c r="B336" s="666"/>
      <c r="C336" s="663" t="s">
        <v>1525</v>
      </c>
      <c r="D336" s="675"/>
      <c r="E336" s="674" t="s">
        <v>264</v>
      </c>
      <c r="F336" s="663">
        <f t="shared" si="10"/>
        <v>0</v>
      </c>
      <c r="G336" s="675"/>
      <c r="H336" s="667">
        <f t="shared" si="11"/>
        <v>0</v>
      </c>
    </row>
    <row r="337" spans="1:11" ht="57.75" hidden="1" customHeight="1">
      <c r="A337" s="662">
        <v>33</v>
      </c>
      <c r="B337" s="666"/>
      <c r="C337" s="663" t="s">
        <v>1526</v>
      </c>
      <c r="D337" s="667">
        <f>ROUND([14]Data!K1400,2)</f>
        <v>222.1</v>
      </c>
      <c r="E337" s="663" t="s">
        <v>264</v>
      </c>
      <c r="F337" s="663">
        <f t="shared" ref="F337:F400" si="12">B337*D337</f>
        <v>0</v>
      </c>
      <c r="G337" s="667"/>
      <c r="H337" s="667">
        <f t="shared" si="11"/>
        <v>0</v>
      </c>
    </row>
    <row r="338" spans="1:11" ht="66.75" hidden="1" customHeight="1">
      <c r="A338" s="662">
        <v>34</v>
      </c>
      <c r="B338" s="666"/>
      <c r="C338" s="663" t="s">
        <v>1527</v>
      </c>
      <c r="D338" s="667">
        <f>ROUND([14]Data!K1414,2)</f>
        <v>228.11</v>
      </c>
      <c r="E338" s="663" t="s">
        <v>264</v>
      </c>
      <c r="F338" s="663">
        <f t="shared" si="12"/>
        <v>0</v>
      </c>
      <c r="G338" s="667"/>
      <c r="H338" s="667">
        <f t="shared" si="11"/>
        <v>0</v>
      </c>
    </row>
    <row r="339" spans="1:11" ht="57.75" hidden="1" customHeight="1">
      <c r="A339" s="662">
        <v>35</v>
      </c>
      <c r="B339" s="666"/>
      <c r="C339" s="663" t="s">
        <v>1528</v>
      </c>
      <c r="D339" s="667">
        <f>ROUND([14]Data!K1426,2)</f>
        <v>253.53</v>
      </c>
      <c r="E339" s="663" t="s">
        <v>264</v>
      </c>
      <c r="F339" s="663">
        <f t="shared" si="12"/>
        <v>0</v>
      </c>
      <c r="G339" s="667"/>
      <c r="H339" s="667">
        <f t="shared" si="11"/>
        <v>0</v>
      </c>
    </row>
    <row r="340" spans="1:11" ht="57.75" hidden="1" customHeight="1">
      <c r="A340" s="662">
        <v>36</v>
      </c>
      <c r="B340" s="666"/>
      <c r="C340" s="685" t="s">
        <v>1529</v>
      </c>
      <c r="D340" s="667"/>
      <c r="E340" s="663"/>
      <c r="F340" s="663">
        <f t="shared" si="12"/>
        <v>0</v>
      </c>
      <c r="G340" s="667"/>
      <c r="H340" s="667">
        <f t="shared" si="11"/>
        <v>0</v>
      </c>
    </row>
    <row r="341" spans="1:11" ht="43.5" hidden="1" customHeight="1">
      <c r="A341" s="666" t="s">
        <v>220</v>
      </c>
      <c r="B341" s="666"/>
      <c r="C341" s="663" t="s">
        <v>1530</v>
      </c>
      <c r="D341" s="667">
        <f>ROUND([14]Data!K1460,2)</f>
        <v>70.16</v>
      </c>
      <c r="E341" s="663" t="s">
        <v>61</v>
      </c>
      <c r="F341" s="663">
        <f t="shared" si="12"/>
        <v>0</v>
      </c>
      <c r="G341" s="667"/>
      <c r="H341" s="667">
        <f t="shared" si="11"/>
        <v>0</v>
      </c>
    </row>
    <row r="342" spans="1:11" ht="43.5" hidden="1" customHeight="1">
      <c r="A342" s="666"/>
      <c r="B342" s="666"/>
      <c r="C342" s="663" t="s">
        <v>1531</v>
      </c>
      <c r="D342" s="667">
        <f>ROUND([14]Data!K1472,2)</f>
        <v>45.59</v>
      </c>
      <c r="E342" s="663" t="s">
        <v>61</v>
      </c>
      <c r="F342" s="663">
        <f t="shared" si="12"/>
        <v>0</v>
      </c>
      <c r="G342" s="667"/>
      <c r="H342" s="667">
        <f t="shared" si="11"/>
        <v>0</v>
      </c>
    </row>
    <row r="343" spans="1:11" ht="43.5" hidden="1" customHeight="1">
      <c r="A343" s="667"/>
      <c r="B343" s="666"/>
      <c r="C343" s="663" t="s">
        <v>1532</v>
      </c>
      <c r="D343" s="667">
        <f>ROUND([14]Data!K1485,2)</f>
        <v>33.909999999999997</v>
      </c>
      <c r="E343" s="663" t="s">
        <v>61</v>
      </c>
      <c r="F343" s="663">
        <f t="shared" si="12"/>
        <v>0</v>
      </c>
      <c r="G343" s="667"/>
      <c r="H343" s="667">
        <f t="shared" si="11"/>
        <v>0</v>
      </c>
    </row>
    <row r="344" spans="1:11" ht="43.5" hidden="1" customHeight="1">
      <c r="A344" s="662">
        <v>37.1</v>
      </c>
      <c r="B344" s="666"/>
      <c r="C344" s="663" t="s">
        <v>1533</v>
      </c>
      <c r="D344" s="667">
        <f>ROUND([14]Data!K1498,2)</f>
        <v>39.22</v>
      </c>
      <c r="E344" s="663" t="s">
        <v>264</v>
      </c>
      <c r="F344" s="663">
        <f t="shared" si="12"/>
        <v>0</v>
      </c>
      <c r="G344" s="667"/>
      <c r="H344" s="667">
        <f t="shared" si="11"/>
        <v>0</v>
      </c>
    </row>
    <row r="345" spans="1:11" s="677" customFormat="1" ht="25.5" hidden="1" customHeight="1">
      <c r="A345" s="662">
        <v>37.200000000000003</v>
      </c>
      <c r="B345" s="666"/>
      <c r="C345" s="663" t="s">
        <v>1534</v>
      </c>
      <c r="D345" s="675"/>
      <c r="E345" s="674" t="s">
        <v>264</v>
      </c>
      <c r="F345" s="663">
        <f t="shared" si="12"/>
        <v>0</v>
      </c>
      <c r="G345" s="675"/>
      <c r="H345" s="667">
        <f t="shared" si="11"/>
        <v>0</v>
      </c>
    </row>
    <row r="346" spans="1:11" s="677" customFormat="1" ht="25.5" hidden="1" customHeight="1">
      <c r="A346" s="662">
        <v>38.1</v>
      </c>
      <c r="B346" s="666"/>
      <c r="C346" s="663" t="s">
        <v>1535</v>
      </c>
      <c r="D346" s="675">
        <f>ROUND([14]Data!K1513,2)</f>
        <v>172.93</v>
      </c>
      <c r="E346" s="674" t="s">
        <v>264</v>
      </c>
      <c r="F346" s="663">
        <f t="shared" si="12"/>
        <v>0</v>
      </c>
      <c r="G346" s="675"/>
      <c r="H346" s="667">
        <f t="shared" si="11"/>
        <v>0</v>
      </c>
    </row>
    <row r="347" spans="1:11" s="677" customFormat="1" ht="26.25" hidden="1" customHeight="1">
      <c r="A347" s="662">
        <v>38.200000000000003</v>
      </c>
      <c r="B347" s="666"/>
      <c r="C347" s="663" t="s">
        <v>1536</v>
      </c>
      <c r="D347" s="675">
        <f>ROUND([14]Data!K1526,2)</f>
        <v>147.27000000000001</v>
      </c>
      <c r="E347" s="674" t="s">
        <v>264</v>
      </c>
      <c r="F347" s="663">
        <f t="shared" si="12"/>
        <v>0</v>
      </c>
      <c r="G347" s="675"/>
      <c r="H347" s="667">
        <f t="shared" si="11"/>
        <v>0</v>
      </c>
    </row>
    <row r="348" spans="1:11" ht="43.5" hidden="1" customHeight="1">
      <c r="A348" s="662">
        <v>39</v>
      </c>
      <c r="B348" s="666"/>
      <c r="C348" s="663" t="s">
        <v>1537</v>
      </c>
      <c r="D348" s="667">
        <f>[14]Data!K1193</f>
        <v>62.6</v>
      </c>
      <c r="E348" s="663" t="s">
        <v>271</v>
      </c>
      <c r="F348" s="663">
        <f t="shared" si="12"/>
        <v>0</v>
      </c>
      <c r="G348" s="667"/>
      <c r="H348" s="667">
        <f t="shared" si="11"/>
        <v>0</v>
      </c>
      <c r="K348" s="670">
        <f>2.1*35</f>
        <v>73.5</v>
      </c>
    </row>
    <row r="349" spans="1:11" ht="43.5" hidden="1" customHeight="1">
      <c r="A349" s="662">
        <v>40</v>
      </c>
      <c r="B349" s="666"/>
      <c r="C349" s="663" t="s">
        <v>1538</v>
      </c>
      <c r="D349" s="667">
        <f>ROUND([14]Data!K1540,2)</f>
        <v>212.24</v>
      </c>
      <c r="E349" s="663" t="s">
        <v>264</v>
      </c>
      <c r="F349" s="663">
        <f t="shared" si="12"/>
        <v>0</v>
      </c>
      <c r="G349" s="667"/>
      <c r="H349" s="667">
        <f t="shared" si="11"/>
        <v>0</v>
      </c>
    </row>
    <row r="350" spans="1:11" ht="65.25" customHeight="1">
      <c r="A350" s="662">
        <v>41</v>
      </c>
      <c r="B350" s="666">
        <v>19.574999999999999</v>
      </c>
      <c r="C350" s="663" t="s">
        <v>1539</v>
      </c>
      <c r="D350" s="667">
        <f>[8]Abst!$D$283</f>
        <v>125.87</v>
      </c>
      <c r="E350" s="663" t="s">
        <v>264</v>
      </c>
      <c r="F350" s="663">
        <f t="shared" si="12"/>
        <v>2463.9052499999998</v>
      </c>
      <c r="G350" s="667">
        <f>'PAVER ROAD'!$G$35</f>
        <v>19.574999999999999</v>
      </c>
      <c r="H350" s="667">
        <f t="shared" si="11"/>
        <v>2463.9052499999998</v>
      </c>
    </row>
    <row r="351" spans="1:11" s="677" customFormat="1" ht="46.5" hidden="1" customHeight="1">
      <c r="A351" s="662">
        <v>42</v>
      </c>
      <c r="B351" s="666"/>
      <c r="C351" s="663" t="s">
        <v>1540</v>
      </c>
      <c r="D351" s="675"/>
      <c r="E351" s="674"/>
      <c r="F351" s="663">
        <f t="shared" si="12"/>
        <v>0</v>
      </c>
      <c r="G351" s="675"/>
      <c r="H351" s="667">
        <f t="shared" si="11"/>
        <v>0</v>
      </c>
    </row>
    <row r="352" spans="1:11" s="677" customFormat="1" ht="25.5" hidden="1" customHeight="1">
      <c r="A352" s="666"/>
      <c r="B352" s="666"/>
      <c r="C352" s="663" t="s">
        <v>1541</v>
      </c>
      <c r="D352" s="675">
        <f>ROUND([14]Data!K1582,2)</f>
        <v>80140.5</v>
      </c>
      <c r="E352" s="674" t="s">
        <v>58</v>
      </c>
      <c r="F352" s="663">
        <f t="shared" si="12"/>
        <v>0</v>
      </c>
      <c r="G352" s="675"/>
      <c r="H352" s="667">
        <f t="shared" si="11"/>
        <v>0</v>
      </c>
    </row>
    <row r="353" spans="1:8" s="677" customFormat="1" ht="25.5" hidden="1" customHeight="1">
      <c r="A353" s="690"/>
      <c r="B353" s="666"/>
      <c r="C353" s="663" t="s">
        <v>1542</v>
      </c>
      <c r="D353" s="675">
        <f>ROUND([14]Data!K1595,2)</f>
        <v>80140.5</v>
      </c>
      <c r="E353" s="674" t="s">
        <v>58</v>
      </c>
      <c r="F353" s="663">
        <f t="shared" si="12"/>
        <v>0</v>
      </c>
      <c r="G353" s="675"/>
      <c r="H353" s="667">
        <f t="shared" si="11"/>
        <v>0</v>
      </c>
    </row>
    <row r="354" spans="1:8" s="677" customFormat="1" ht="46.5" hidden="1" customHeight="1">
      <c r="A354" s="662">
        <v>43</v>
      </c>
      <c r="B354" s="666"/>
      <c r="C354" s="663" t="s">
        <v>1543</v>
      </c>
      <c r="D354" s="675"/>
      <c r="E354" s="674"/>
      <c r="F354" s="663">
        <f t="shared" si="12"/>
        <v>0</v>
      </c>
      <c r="G354" s="675"/>
      <c r="H354" s="667">
        <f t="shared" si="11"/>
        <v>0</v>
      </c>
    </row>
    <row r="355" spans="1:8" s="677" customFormat="1" ht="25.5" hidden="1" customHeight="1">
      <c r="A355" s="666"/>
      <c r="B355" s="666"/>
      <c r="C355" s="663" t="s">
        <v>1541</v>
      </c>
      <c r="D355" s="675">
        <f>ROUND([14]Data!K1608,2)</f>
        <v>78398</v>
      </c>
      <c r="E355" s="674" t="s">
        <v>58</v>
      </c>
      <c r="F355" s="663">
        <f t="shared" si="12"/>
        <v>0</v>
      </c>
      <c r="G355" s="675"/>
      <c r="H355" s="667">
        <f t="shared" si="11"/>
        <v>0</v>
      </c>
    </row>
    <row r="356" spans="1:8" s="677" customFormat="1" ht="25.5" hidden="1" customHeight="1">
      <c r="A356" s="690"/>
      <c r="B356" s="666"/>
      <c r="C356" s="663" t="s">
        <v>1542</v>
      </c>
      <c r="D356" s="675">
        <f>ROUND([14]Data!K1620,2)</f>
        <v>78398</v>
      </c>
      <c r="E356" s="674" t="s">
        <v>58</v>
      </c>
      <c r="F356" s="663">
        <f t="shared" si="12"/>
        <v>0</v>
      </c>
      <c r="G356" s="675"/>
      <c r="H356" s="667">
        <f t="shared" si="11"/>
        <v>0</v>
      </c>
    </row>
    <row r="357" spans="1:8" s="677" customFormat="1" ht="25.5" hidden="1" customHeight="1">
      <c r="A357" s="662">
        <v>44.1</v>
      </c>
      <c r="B357" s="666"/>
      <c r="C357" s="663" t="s">
        <v>1544</v>
      </c>
      <c r="D357" s="675">
        <f>ROUND([14]Data!K1638,2)</f>
        <v>321.74</v>
      </c>
      <c r="E357" s="674" t="s">
        <v>61</v>
      </c>
      <c r="F357" s="663">
        <f t="shared" si="12"/>
        <v>0</v>
      </c>
      <c r="G357" s="675"/>
      <c r="H357" s="667">
        <f t="shared" si="11"/>
        <v>0</v>
      </c>
    </row>
    <row r="358" spans="1:8" s="677" customFormat="1" ht="46.5" hidden="1" customHeight="1">
      <c r="A358" s="662">
        <v>44.2</v>
      </c>
      <c r="B358" s="666"/>
      <c r="C358" s="663" t="s">
        <v>1545</v>
      </c>
      <c r="D358" s="675"/>
      <c r="E358" s="674" t="s">
        <v>522</v>
      </c>
      <c r="F358" s="663">
        <f t="shared" si="12"/>
        <v>0</v>
      </c>
      <c r="G358" s="675"/>
      <c r="H358" s="667">
        <f t="shared" si="11"/>
        <v>0</v>
      </c>
    </row>
    <row r="359" spans="1:8" ht="40.5" hidden="1" customHeight="1">
      <c r="A359" s="673">
        <v>45</v>
      </c>
      <c r="B359" s="666"/>
      <c r="C359" s="695" t="s">
        <v>1546</v>
      </c>
      <c r="D359" s="675">
        <f>ROUND([14]Data!K1653,2)</f>
        <v>286.45999999999998</v>
      </c>
      <c r="E359" s="674" t="s">
        <v>264</v>
      </c>
      <c r="F359" s="663">
        <f t="shared" si="12"/>
        <v>0</v>
      </c>
      <c r="G359" s="675"/>
      <c r="H359" s="667">
        <f t="shared" si="11"/>
        <v>0</v>
      </c>
    </row>
    <row r="360" spans="1:8" ht="45.75" hidden="1" customHeight="1">
      <c r="A360" s="662">
        <v>46</v>
      </c>
      <c r="B360" s="666"/>
      <c r="C360" s="663" t="s">
        <v>1547</v>
      </c>
      <c r="D360" s="667">
        <f>ROUND([14]Data!K1670,2)</f>
        <v>58</v>
      </c>
      <c r="E360" s="663" t="s">
        <v>61</v>
      </c>
      <c r="F360" s="663">
        <f t="shared" si="12"/>
        <v>0</v>
      </c>
      <c r="G360" s="667"/>
      <c r="H360" s="667">
        <f t="shared" si="11"/>
        <v>0</v>
      </c>
    </row>
    <row r="361" spans="1:8" ht="45.75" hidden="1" customHeight="1">
      <c r="A361" s="662">
        <v>47</v>
      </c>
      <c r="B361" s="666"/>
      <c r="C361" s="663" t="s">
        <v>1548</v>
      </c>
      <c r="D361" s="667">
        <f>ROUND([14]Data!K1682,2)</f>
        <v>95</v>
      </c>
      <c r="E361" s="663" t="s">
        <v>522</v>
      </c>
      <c r="F361" s="663">
        <f t="shared" si="12"/>
        <v>0</v>
      </c>
      <c r="G361" s="667"/>
      <c r="H361" s="667">
        <f t="shared" si="11"/>
        <v>0</v>
      </c>
    </row>
    <row r="362" spans="1:8" ht="45.75" hidden="1" customHeight="1">
      <c r="A362" s="662">
        <v>48</v>
      </c>
      <c r="B362" s="666"/>
      <c r="C362" s="663" t="s">
        <v>1549</v>
      </c>
      <c r="D362" s="667">
        <f>ROUND([14]Data!K1690,2)</f>
        <v>55</v>
      </c>
      <c r="E362" s="663" t="s">
        <v>522</v>
      </c>
      <c r="F362" s="663">
        <f t="shared" si="12"/>
        <v>0</v>
      </c>
      <c r="G362" s="667"/>
      <c r="H362" s="667">
        <f t="shared" si="11"/>
        <v>0</v>
      </c>
    </row>
    <row r="363" spans="1:8" ht="45.75" hidden="1" customHeight="1">
      <c r="A363" s="662">
        <v>49</v>
      </c>
      <c r="B363" s="666"/>
      <c r="C363" s="663" t="s">
        <v>1550</v>
      </c>
      <c r="D363" s="667">
        <f>ROUND([14]Data!K1697,2)</f>
        <v>1.5</v>
      </c>
      <c r="E363" s="663" t="s">
        <v>522</v>
      </c>
      <c r="F363" s="663">
        <f t="shared" si="12"/>
        <v>0</v>
      </c>
      <c r="G363" s="667"/>
      <c r="H363" s="667">
        <f t="shared" si="11"/>
        <v>0</v>
      </c>
    </row>
    <row r="364" spans="1:8" s="677" customFormat="1" ht="25.5" hidden="1" customHeight="1">
      <c r="A364" s="662">
        <v>50.1</v>
      </c>
      <c r="B364" s="666"/>
      <c r="C364" s="663" t="s">
        <v>1551</v>
      </c>
      <c r="D364" s="675"/>
      <c r="E364" s="674" t="s">
        <v>264</v>
      </c>
      <c r="F364" s="663">
        <f t="shared" si="12"/>
        <v>0</v>
      </c>
      <c r="G364" s="675"/>
      <c r="H364" s="667">
        <f t="shared" si="11"/>
        <v>0</v>
      </c>
    </row>
    <row r="365" spans="1:8" ht="65.25" customHeight="1">
      <c r="A365" s="673">
        <v>50.2</v>
      </c>
      <c r="B365" s="666">
        <v>39.15</v>
      </c>
      <c r="C365" s="663" t="s">
        <v>1190</v>
      </c>
      <c r="D365" s="675">
        <f>[15]Abstract!$D$368</f>
        <v>263.52</v>
      </c>
      <c r="E365" s="674" t="s">
        <v>61</v>
      </c>
      <c r="F365" s="663">
        <f t="shared" si="12"/>
        <v>10316.807999999999</v>
      </c>
      <c r="G365" s="675">
        <f>'PAVER ROAD'!$G$30</f>
        <v>39.15</v>
      </c>
      <c r="H365" s="667">
        <f t="shared" si="11"/>
        <v>10316.807999999999</v>
      </c>
    </row>
    <row r="366" spans="1:8" ht="49.5" hidden="1" customHeight="1">
      <c r="A366" s="662">
        <v>50.3</v>
      </c>
      <c r="B366" s="666"/>
      <c r="C366" s="663" t="s">
        <v>1552</v>
      </c>
      <c r="D366" s="667">
        <f>ROUND([14]Data!K1762,2)</f>
        <v>364.3</v>
      </c>
      <c r="E366" s="663" t="s">
        <v>522</v>
      </c>
      <c r="F366" s="663">
        <f t="shared" si="12"/>
        <v>0</v>
      </c>
      <c r="G366" s="667"/>
      <c r="H366" s="667">
        <f t="shared" si="11"/>
        <v>0</v>
      </c>
    </row>
    <row r="367" spans="1:8" ht="43.5" hidden="1" customHeight="1">
      <c r="A367" s="662">
        <v>50.4</v>
      </c>
      <c r="B367" s="666"/>
      <c r="C367" s="663" t="s">
        <v>1553</v>
      </c>
      <c r="D367" s="667">
        <f>ROUND([14]Data!K1775,2)</f>
        <v>812.3</v>
      </c>
      <c r="E367" s="663" t="s">
        <v>522</v>
      </c>
      <c r="F367" s="663">
        <f t="shared" si="12"/>
        <v>0</v>
      </c>
      <c r="G367" s="667"/>
      <c r="H367" s="667">
        <f t="shared" si="11"/>
        <v>0</v>
      </c>
    </row>
    <row r="368" spans="1:8" ht="62.25" hidden="1" customHeight="1">
      <c r="A368" s="662">
        <v>50.5</v>
      </c>
      <c r="B368" s="666"/>
      <c r="C368" s="663" t="s">
        <v>967</v>
      </c>
      <c r="D368" s="667">
        <f>ROUND([14]Data!K1790,2)</f>
        <v>17344.5</v>
      </c>
      <c r="E368" s="663" t="s">
        <v>522</v>
      </c>
      <c r="F368" s="663">
        <f t="shared" si="12"/>
        <v>0</v>
      </c>
      <c r="G368" s="667"/>
      <c r="H368" s="667">
        <f t="shared" si="11"/>
        <v>0</v>
      </c>
    </row>
    <row r="369" spans="1:8" s="677" customFormat="1" ht="53.25" hidden="1" customHeight="1">
      <c r="A369" s="662">
        <v>51</v>
      </c>
      <c r="B369" s="666"/>
      <c r="C369" s="663" t="s">
        <v>1554</v>
      </c>
      <c r="D369" s="675">
        <f>ROUND([14]Data!K1796,2)</f>
        <v>6720</v>
      </c>
      <c r="E369" s="674" t="s">
        <v>522</v>
      </c>
      <c r="F369" s="663">
        <f t="shared" si="12"/>
        <v>0</v>
      </c>
      <c r="G369" s="675"/>
      <c r="H369" s="667">
        <f t="shared" si="11"/>
        <v>0</v>
      </c>
    </row>
    <row r="370" spans="1:8" s="683" customFormat="1" ht="43.5" hidden="1" customHeight="1">
      <c r="A370" s="662">
        <v>52</v>
      </c>
      <c r="B370" s="666"/>
      <c r="C370" s="685" t="s">
        <v>1555</v>
      </c>
      <c r="D370" s="667"/>
      <c r="E370" s="663"/>
      <c r="F370" s="663">
        <f t="shared" si="12"/>
        <v>0</v>
      </c>
      <c r="G370" s="667"/>
      <c r="H370" s="667">
        <f t="shared" si="11"/>
        <v>0</v>
      </c>
    </row>
    <row r="371" spans="1:8" s="683" customFormat="1" ht="43.5" hidden="1" customHeight="1">
      <c r="A371" s="666"/>
      <c r="B371" s="666"/>
      <c r="C371" s="663" t="s">
        <v>1556</v>
      </c>
      <c r="D371" s="667">
        <f>ROUND([14]Data!K1890,2)</f>
        <v>225.97</v>
      </c>
      <c r="E371" s="663" t="s">
        <v>61</v>
      </c>
      <c r="F371" s="663">
        <f t="shared" si="12"/>
        <v>0</v>
      </c>
      <c r="G371" s="667"/>
      <c r="H371" s="667">
        <f t="shared" si="11"/>
        <v>0</v>
      </c>
    </row>
    <row r="372" spans="1:8" s="683" customFormat="1" ht="43.5" hidden="1" customHeight="1">
      <c r="A372" s="666"/>
      <c r="B372" s="666"/>
      <c r="C372" s="663" t="s">
        <v>1557</v>
      </c>
      <c r="D372" s="667">
        <f>ROUND([14]Data!K1882,2)</f>
        <v>208.73</v>
      </c>
      <c r="E372" s="663" t="s">
        <v>61</v>
      </c>
      <c r="F372" s="663">
        <f t="shared" si="12"/>
        <v>0</v>
      </c>
      <c r="G372" s="667"/>
      <c r="H372" s="667">
        <f t="shared" si="11"/>
        <v>0</v>
      </c>
    </row>
    <row r="373" spans="1:8" s="677" customFormat="1" ht="41.25" hidden="1" customHeight="1">
      <c r="A373" s="690"/>
      <c r="B373" s="666"/>
      <c r="C373" s="663" t="s">
        <v>1558</v>
      </c>
      <c r="D373" s="675">
        <f>ROUND([14]Data!K1874,2)</f>
        <v>203.95</v>
      </c>
      <c r="E373" s="674" t="s">
        <v>61</v>
      </c>
      <c r="F373" s="663">
        <f t="shared" si="12"/>
        <v>0</v>
      </c>
      <c r="G373" s="675"/>
      <c r="H373" s="667">
        <f t="shared" si="11"/>
        <v>0</v>
      </c>
    </row>
    <row r="374" spans="1:8" ht="60" hidden="1" customHeight="1">
      <c r="A374" s="662">
        <v>52.1</v>
      </c>
      <c r="B374" s="666"/>
      <c r="C374" s="663" t="s">
        <v>1559</v>
      </c>
      <c r="D374" s="667">
        <f>ROUND([14]Data!K1927,2)</f>
        <v>286.08</v>
      </c>
      <c r="E374" s="663" t="s">
        <v>61</v>
      </c>
      <c r="F374" s="663">
        <f t="shared" si="12"/>
        <v>0</v>
      </c>
      <c r="G374" s="667"/>
      <c r="H374" s="667">
        <f t="shared" si="11"/>
        <v>0</v>
      </c>
    </row>
    <row r="375" spans="1:8" s="677" customFormat="1" ht="56.25" hidden="1" customHeight="1">
      <c r="A375" s="662">
        <v>53.1</v>
      </c>
      <c r="B375" s="666"/>
      <c r="C375" s="663" t="s">
        <v>1142</v>
      </c>
      <c r="D375" s="675">
        <f>ROUND([14]Data!K1948,2)</f>
        <v>3104.82</v>
      </c>
      <c r="E375" s="674" t="s">
        <v>522</v>
      </c>
      <c r="F375" s="663">
        <f t="shared" si="12"/>
        <v>0</v>
      </c>
      <c r="G375" s="675"/>
      <c r="H375" s="667">
        <f t="shared" si="11"/>
        <v>0</v>
      </c>
    </row>
    <row r="376" spans="1:8" s="677" customFormat="1" ht="43.5" hidden="1" customHeight="1">
      <c r="A376" s="662">
        <v>53.2</v>
      </c>
      <c r="B376" s="666"/>
      <c r="C376" s="663" t="s">
        <v>1560</v>
      </c>
      <c r="D376" s="675"/>
      <c r="E376" s="674" t="s">
        <v>522</v>
      </c>
      <c r="F376" s="663">
        <f t="shared" si="12"/>
        <v>0</v>
      </c>
      <c r="G376" s="675"/>
      <c r="H376" s="667">
        <f t="shared" si="11"/>
        <v>0</v>
      </c>
    </row>
    <row r="377" spans="1:8" ht="60.75" hidden="1" customHeight="1">
      <c r="A377" s="662">
        <v>53.3</v>
      </c>
      <c r="B377" s="666"/>
      <c r="C377" s="663" t="s">
        <v>1561</v>
      </c>
      <c r="D377" s="667">
        <f>ROUND([14]Data!K1952,2)</f>
        <v>30</v>
      </c>
      <c r="E377" s="663" t="s">
        <v>522</v>
      </c>
      <c r="F377" s="663">
        <f t="shared" si="12"/>
        <v>0</v>
      </c>
      <c r="G377" s="667"/>
      <c r="H377" s="667">
        <f t="shared" si="11"/>
        <v>0</v>
      </c>
    </row>
    <row r="378" spans="1:8" s="677" customFormat="1" ht="25.5" hidden="1" customHeight="1">
      <c r="A378" s="700">
        <v>54</v>
      </c>
      <c r="B378" s="666"/>
      <c r="C378" s="663" t="s">
        <v>1562</v>
      </c>
      <c r="D378" s="675">
        <f>ROUND([14]Data!K1954,2)</f>
        <v>204</v>
      </c>
      <c r="E378" s="674" t="s">
        <v>522</v>
      </c>
      <c r="F378" s="663">
        <f t="shared" si="12"/>
        <v>0</v>
      </c>
      <c r="G378" s="675"/>
      <c r="H378" s="667">
        <f t="shared" si="11"/>
        <v>0</v>
      </c>
    </row>
    <row r="379" spans="1:8" s="677" customFormat="1" ht="36.75" hidden="1" customHeight="1">
      <c r="A379" s="662">
        <v>54.1</v>
      </c>
      <c r="B379" s="666"/>
      <c r="C379" s="663" t="s">
        <v>1563</v>
      </c>
      <c r="D379" s="675">
        <f>ROUND([14]Data!K1957,2)</f>
        <v>300</v>
      </c>
      <c r="E379" s="674" t="s">
        <v>522</v>
      </c>
      <c r="F379" s="663">
        <f t="shared" si="12"/>
        <v>0</v>
      </c>
      <c r="G379" s="675"/>
      <c r="H379" s="667">
        <f t="shared" si="11"/>
        <v>0</v>
      </c>
    </row>
    <row r="380" spans="1:8" s="677" customFormat="1" ht="36.75" hidden="1" customHeight="1">
      <c r="A380" s="662">
        <v>54.2</v>
      </c>
      <c r="B380" s="666"/>
      <c r="C380" s="663" t="s">
        <v>1564</v>
      </c>
      <c r="D380" s="675">
        <f>ROUND([14]Data!K1960,2)</f>
        <v>250</v>
      </c>
      <c r="E380" s="674" t="s">
        <v>522</v>
      </c>
      <c r="F380" s="663">
        <f t="shared" si="12"/>
        <v>0</v>
      </c>
      <c r="G380" s="675"/>
      <c r="H380" s="667">
        <f t="shared" si="11"/>
        <v>0</v>
      </c>
    </row>
    <row r="381" spans="1:8" s="677" customFormat="1" ht="25.5" hidden="1" customHeight="1">
      <c r="A381" s="662">
        <v>55.1</v>
      </c>
      <c r="B381" s="666"/>
      <c r="C381" s="663" t="s">
        <v>1565</v>
      </c>
      <c r="D381" s="675">
        <f>[14]Data!K2403</f>
        <v>822.61</v>
      </c>
      <c r="E381" s="674" t="s">
        <v>522</v>
      </c>
      <c r="F381" s="663">
        <f t="shared" si="12"/>
        <v>0</v>
      </c>
      <c r="G381" s="675"/>
      <c r="H381" s="667">
        <f t="shared" si="11"/>
        <v>0</v>
      </c>
    </row>
    <row r="382" spans="1:8" s="677" customFormat="1" ht="45.75" hidden="1" customHeight="1">
      <c r="A382" s="662">
        <v>55.2</v>
      </c>
      <c r="B382" s="666"/>
      <c r="C382" s="663" t="s">
        <v>1566</v>
      </c>
      <c r="D382" s="675">
        <f>[14]Data!K2415</f>
        <v>2016.25</v>
      </c>
      <c r="E382" s="674" t="s">
        <v>522</v>
      </c>
      <c r="F382" s="663">
        <f t="shared" si="12"/>
        <v>0</v>
      </c>
      <c r="G382" s="675"/>
      <c r="H382" s="667">
        <f t="shared" si="11"/>
        <v>0</v>
      </c>
    </row>
    <row r="383" spans="1:8" s="677" customFormat="1" ht="25.5" hidden="1" customHeight="1">
      <c r="A383" s="662">
        <v>56.1</v>
      </c>
      <c r="B383" s="666"/>
      <c r="C383" s="663" t="s">
        <v>1567</v>
      </c>
      <c r="D383" s="675">
        <f>ROUND([14]Data!K1977,2)</f>
        <v>3071.23</v>
      </c>
      <c r="E383" s="674" t="s">
        <v>522</v>
      </c>
      <c r="F383" s="663">
        <f t="shared" si="12"/>
        <v>0</v>
      </c>
      <c r="G383" s="675"/>
      <c r="H383" s="667">
        <f t="shared" si="11"/>
        <v>0</v>
      </c>
    </row>
    <row r="384" spans="1:8" s="677" customFormat="1" ht="25.5" hidden="1" customHeight="1">
      <c r="A384" s="662">
        <v>56.2</v>
      </c>
      <c r="B384" s="666"/>
      <c r="C384" s="663" t="s">
        <v>1568</v>
      </c>
      <c r="D384" s="675">
        <f>ROUND([14]Data!K1998,2)</f>
        <v>4786.87</v>
      </c>
      <c r="E384" s="674" t="s">
        <v>522</v>
      </c>
      <c r="F384" s="663">
        <f t="shared" si="12"/>
        <v>0</v>
      </c>
      <c r="G384" s="675"/>
      <c r="H384" s="667">
        <f t="shared" si="11"/>
        <v>0</v>
      </c>
    </row>
    <row r="385" spans="1:8" s="677" customFormat="1" ht="41.25" hidden="1" customHeight="1">
      <c r="A385" s="700">
        <v>57</v>
      </c>
      <c r="B385" s="666"/>
      <c r="C385" s="663" t="s">
        <v>1569</v>
      </c>
      <c r="D385" s="675">
        <f>ROUND([14]Data!K2015,2)</f>
        <v>6531.2</v>
      </c>
      <c r="E385" s="674" t="s">
        <v>522</v>
      </c>
      <c r="F385" s="663">
        <f t="shared" si="12"/>
        <v>0</v>
      </c>
      <c r="G385" s="675"/>
      <c r="H385" s="667">
        <f t="shared" si="11"/>
        <v>0</v>
      </c>
    </row>
    <row r="386" spans="1:8" s="677" customFormat="1" ht="45.75" hidden="1" customHeight="1">
      <c r="A386" s="662">
        <v>57.1</v>
      </c>
      <c r="B386" s="666"/>
      <c r="C386" s="663" t="s">
        <v>1570</v>
      </c>
      <c r="D386" s="675">
        <f>ROUND([14]Data!K2034,2)</f>
        <v>6891.2</v>
      </c>
      <c r="E386" s="674" t="s">
        <v>522</v>
      </c>
      <c r="F386" s="663">
        <f t="shared" si="12"/>
        <v>0</v>
      </c>
      <c r="G386" s="675"/>
      <c r="H386" s="667">
        <f t="shared" si="11"/>
        <v>0</v>
      </c>
    </row>
    <row r="387" spans="1:8" s="677" customFormat="1" ht="20.100000000000001" hidden="1" customHeight="1">
      <c r="A387" s="662">
        <v>58.1</v>
      </c>
      <c r="B387" s="666"/>
      <c r="C387" s="663" t="s">
        <v>1571</v>
      </c>
      <c r="D387" s="675"/>
      <c r="E387" s="674"/>
      <c r="F387" s="663">
        <f t="shared" si="12"/>
        <v>0</v>
      </c>
      <c r="G387" s="675"/>
      <c r="H387" s="667">
        <f t="shared" si="11"/>
        <v>0</v>
      </c>
    </row>
    <row r="388" spans="1:8" s="677" customFormat="1" ht="20.100000000000001" hidden="1" customHeight="1">
      <c r="A388" s="666"/>
      <c r="B388" s="666"/>
      <c r="C388" s="663" t="s">
        <v>1572</v>
      </c>
      <c r="D388" s="675">
        <f>ROUND([14]Data!K2063,2)</f>
        <v>657.29</v>
      </c>
      <c r="E388" s="674" t="s">
        <v>61</v>
      </c>
      <c r="F388" s="663">
        <f t="shared" si="12"/>
        <v>0</v>
      </c>
      <c r="G388" s="675"/>
      <c r="H388" s="667">
        <f t="shared" si="11"/>
        <v>0</v>
      </c>
    </row>
    <row r="389" spans="1:8" s="677" customFormat="1" ht="20.100000000000001" hidden="1" customHeight="1">
      <c r="A389" s="690"/>
      <c r="B389" s="666"/>
      <c r="C389" s="663" t="s">
        <v>1573</v>
      </c>
      <c r="D389" s="675">
        <f>ROUND([14]Data!K2087,2)</f>
        <v>541.41999999999996</v>
      </c>
      <c r="E389" s="674" t="s">
        <v>61</v>
      </c>
      <c r="F389" s="663">
        <f t="shared" si="12"/>
        <v>0</v>
      </c>
      <c r="G389" s="675"/>
      <c r="H389" s="667">
        <f t="shared" si="11"/>
        <v>0</v>
      </c>
    </row>
    <row r="390" spans="1:8" s="677" customFormat="1" ht="20.100000000000001" hidden="1" customHeight="1">
      <c r="A390" s="662">
        <v>58.2</v>
      </c>
      <c r="B390" s="666"/>
      <c r="C390" s="663" t="s">
        <v>1574</v>
      </c>
      <c r="D390" s="675">
        <f>ROUND([14]Data!K2098,2)</f>
        <v>450.1</v>
      </c>
      <c r="E390" s="674" t="s">
        <v>522</v>
      </c>
      <c r="F390" s="663">
        <f t="shared" si="12"/>
        <v>0</v>
      </c>
      <c r="G390" s="675"/>
      <c r="H390" s="667">
        <f t="shared" ref="H390:H453" si="13">G390*D390</f>
        <v>0</v>
      </c>
    </row>
    <row r="391" spans="1:8" s="677" customFormat="1" ht="39.950000000000003" hidden="1" customHeight="1">
      <c r="A391" s="662">
        <v>59.1</v>
      </c>
      <c r="B391" s="666"/>
      <c r="C391" s="663" t="s">
        <v>1575</v>
      </c>
      <c r="D391" s="675"/>
      <c r="E391" s="674" t="s">
        <v>522</v>
      </c>
      <c r="F391" s="663">
        <f t="shared" si="12"/>
        <v>0</v>
      </c>
      <c r="G391" s="675"/>
      <c r="H391" s="667">
        <f t="shared" si="13"/>
        <v>0</v>
      </c>
    </row>
    <row r="392" spans="1:8" s="677" customFormat="1" ht="60.75" hidden="1" customHeight="1">
      <c r="A392" s="662">
        <v>59.2</v>
      </c>
      <c r="B392" s="666"/>
      <c r="C392" s="663" t="s">
        <v>1576</v>
      </c>
      <c r="D392" s="675">
        <f>ROUND([14]Data!K2111,2)</f>
        <v>1754.17</v>
      </c>
      <c r="E392" s="674" t="s">
        <v>522</v>
      </c>
      <c r="F392" s="663">
        <f t="shared" si="12"/>
        <v>0</v>
      </c>
      <c r="G392" s="675"/>
      <c r="H392" s="667">
        <f t="shared" si="13"/>
        <v>0</v>
      </c>
    </row>
    <row r="393" spans="1:8" s="677" customFormat="1" ht="39.950000000000003" hidden="1" customHeight="1">
      <c r="A393" s="662">
        <v>59.3</v>
      </c>
      <c r="B393" s="666"/>
      <c r="C393" s="663" t="s">
        <v>1577</v>
      </c>
      <c r="D393" s="675"/>
      <c r="E393" s="674" t="s">
        <v>522</v>
      </c>
      <c r="F393" s="663">
        <f t="shared" si="12"/>
        <v>0</v>
      </c>
      <c r="G393" s="675"/>
      <c r="H393" s="667">
        <f t="shared" si="13"/>
        <v>0</v>
      </c>
    </row>
    <row r="394" spans="1:8" s="677" customFormat="1" ht="39.950000000000003" hidden="1" customHeight="1">
      <c r="A394" s="662">
        <v>59.4</v>
      </c>
      <c r="B394" s="666"/>
      <c r="C394" s="663" t="s">
        <v>1578</v>
      </c>
      <c r="D394" s="675"/>
      <c r="E394" s="674" t="s">
        <v>522</v>
      </c>
      <c r="F394" s="663">
        <f t="shared" si="12"/>
        <v>0</v>
      </c>
      <c r="G394" s="675"/>
      <c r="H394" s="667">
        <f t="shared" si="13"/>
        <v>0</v>
      </c>
    </row>
    <row r="395" spans="1:8" ht="60" hidden="1" customHeight="1">
      <c r="A395" s="662">
        <v>59.5</v>
      </c>
      <c r="B395" s="666"/>
      <c r="C395" s="663" t="s">
        <v>1579</v>
      </c>
      <c r="D395" s="667">
        <f>[14]Data!K2111</f>
        <v>1754.17</v>
      </c>
      <c r="E395" s="663" t="s">
        <v>522</v>
      </c>
      <c r="F395" s="663">
        <f t="shared" si="12"/>
        <v>0</v>
      </c>
      <c r="G395" s="667"/>
      <c r="H395" s="667">
        <f t="shared" si="13"/>
        <v>0</v>
      </c>
    </row>
    <row r="396" spans="1:8" s="677" customFormat="1" ht="61.5" hidden="1" customHeight="1">
      <c r="A396" s="662">
        <v>59.6</v>
      </c>
      <c r="B396" s="666"/>
      <c r="C396" s="663" t="s">
        <v>1580</v>
      </c>
      <c r="D396" s="675"/>
      <c r="E396" s="674" t="s">
        <v>522</v>
      </c>
      <c r="F396" s="663">
        <f t="shared" si="12"/>
        <v>0</v>
      </c>
      <c r="G396" s="675"/>
      <c r="H396" s="667">
        <f t="shared" si="13"/>
        <v>0</v>
      </c>
    </row>
    <row r="397" spans="1:8" ht="39.75" hidden="1" customHeight="1">
      <c r="A397" s="662">
        <v>60</v>
      </c>
      <c r="B397" s="666"/>
      <c r="C397" s="663" t="s">
        <v>1581</v>
      </c>
      <c r="D397" s="667">
        <f>ROUND([14]Data!K2119,2)</f>
        <v>152.6</v>
      </c>
      <c r="E397" s="663" t="s">
        <v>522</v>
      </c>
      <c r="F397" s="663">
        <f t="shared" si="12"/>
        <v>0</v>
      </c>
      <c r="G397" s="667"/>
      <c r="H397" s="667">
        <f t="shared" si="13"/>
        <v>0</v>
      </c>
    </row>
    <row r="398" spans="1:8" s="677" customFormat="1" ht="41.25" hidden="1" customHeight="1">
      <c r="A398" s="662">
        <v>61.1</v>
      </c>
      <c r="B398" s="666"/>
      <c r="C398" s="663" t="s">
        <v>1582</v>
      </c>
      <c r="D398" s="675"/>
      <c r="E398" s="674"/>
      <c r="F398" s="663">
        <f t="shared" si="12"/>
        <v>0</v>
      </c>
      <c r="G398" s="675"/>
      <c r="H398" s="667">
        <f t="shared" si="13"/>
        <v>0</v>
      </c>
    </row>
    <row r="399" spans="1:8" s="677" customFormat="1" ht="41.25" hidden="1" customHeight="1">
      <c r="A399" s="666"/>
      <c r="B399" s="666"/>
      <c r="C399" s="663" t="s">
        <v>1583</v>
      </c>
      <c r="D399" s="675">
        <f>ROUND([14]Data!K2138,2)</f>
        <v>507.25</v>
      </c>
      <c r="E399" s="674" t="s">
        <v>61</v>
      </c>
      <c r="F399" s="663">
        <f t="shared" si="12"/>
        <v>0</v>
      </c>
      <c r="G399" s="675"/>
      <c r="H399" s="667">
        <f t="shared" si="13"/>
        <v>0</v>
      </c>
    </row>
    <row r="400" spans="1:8" s="677" customFormat="1" ht="41.25" hidden="1" customHeight="1">
      <c r="A400" s="690"/>
      <c r="B400" s="666"/>
      <c r="C400" s="663" t="s">
        <v>1584</v>
      </c>
      <c r="D400" s="675">
        <f>ROUND([14]Data!K2158,2)</f>
        <v>673.35</v>
      </c>
      <c r="E400" s="674" t="s">
        <v>61</v>
      </c>
      <c r="F400" s="663">
        <f t="shared" si="12"/>
        <v>0</v>
      </c>
      <c r="G400" s="675"/>
      <c r="H400" s="667">
        <f t="shared" si="13"/>
        <v>0</v>
      </c>
    </row>
    <row r="401" spans="1:8" s="677" customFormat="1" ht="45.75" hidden="1" customHeight="1">
      <c r="A401" s="662">
        <v>61.2</v>
      </c>
      <c r="B401" s="666"/>
      <c r="C401" s="685" t="s">
        <v>1585</v>
      </c>
      <c r="D401" s="667"/>
      <c r="E401" s="663"/>
      <c r="F401" s="663">
        <f t="shared" ref="F401:F464" si="14">B401*D401</f>
        <v>0</v>
      </c>
      <c r="G401" s="667"/>
      <c r="H401" s="667">
        <f t="shared" si="13"/>
        <v>0</v>
      </c>
    </row>
    <row r="402" spans="1:8" s="677" customFormat="1" ht="45.75" hidden="1" customHeight="1">
      <c r="A402" s="666"/>
      <c r="B402" s="666"/>
      <c r="C402" s="663" t="s">
        <v>1586</v>
      </c>
      <c r="D402" s="675">
        <f>ROUND([14]Data!K2169,2)</f>
        <v>222.53</v>
      </c>
      <c r="E402" s="674" t="s">
        <v>61</v>
      </c>
      <c r="F402" s="663">
        <f t="shared" si="14"/>
        <v>0</v>
      </c>
      <c r="G402" s="675"/>
      <c r="H402" s="667">
        <f t="shared" si="13"/>
        <v>0</v>
      </c>
    </row>
    <row r="403" spans="1:8" s="677" customFormat="1" ht="55.5" hidden="1" customHeight="1">
      <c r="A403" s="690"/>
      <c r="B403" s="666"/>
      <c r="C403" s="663" t="s">
        <v>1587</v>
      </c>
      <c r="D403" s="675">
        <f>ROUND([14]Data!K2184,2)</f>
        <v>329.02</v>
      </c>
      <c r="E403" s="674" t="s">
        <v>61</v>
      </c>
      <c r="F403" s="663">
        <f t="shared" si="14"/>
        <v>0</v>
      </c>
      <c r="G403" s="675"/>
      <c r="H403" s="667">
        <f t="shared" si="13"/>
        <v>0</v>
      </c>
    </row>
    <row r="404" spans="1:8" s="677" customFormat="1" ht="41.25" hidden="1" customHeight="1">
      <c r="A404" s="662">
        <v>62.1</v>
      </c>
      <c r="B404" s="666"/>
      <c r="C404" s="663" t="s">
        <v>1588</v>
      </c>
      <c r="D404" s="675"/>
      <c r="E404" s="674"/>
      <c r="F404" s="663">
        <f t="shared" si="14"/>
        <v>0</v>
      </c>
      <c r="G404" s="675"/>
      <c r="H404" s="667">
        <f t="shared" si="13"/>
        <v>0</v>
      </c>
    </row>
    <row r="405" spans="1:8" s="677" customFormat="1" ht="41.25" hidden="1" customHeight="1">
      <c r="A405" s="666"/>
      <c r="B405" s="666"/>
      <c r="C405" s="663" t="s">
        <v>1586</v>
      </c>
      <c r="D405" s="675">
        <f>ROUND([14]Data!K2193,2)</f>
        <v>103.1</v>
      </c>
      <c r="E405" s="674" t="s">
        <v>522</v>
      </c>
      <c r="F405" s="663">
        <f t="shared" si="14"/>
        <v>0</v>
      </c>
      <c r="G405" s="675"/>
      <c r="H405" s="667">
        <f t="shared" si="13"/>
        <v>0</v>
      </c>
    </row>
    <row r="406" spans="1:8" s="677" customFormat="1" ht="49.5" hidden="1" customHeight="1">
      <c r="A406" s="690"/>
      <c r="B406" s="666"/>
      <c r="C406" s="663" t="s">
        <v>1587</v>
      </c>
      <c r="D406" s="675">
        <f>ROUND([14]Data!K2200,2)</f>
        <v>141.80000000000001</v>
      </c>
      <c r="E406" s="674" t="s">
        <v>522</v>
      </c>
      <c r="F406" s="663">
        <f t="shared" si="14"/>
        <v>0</v>
      </c>
      <c r="G406" s="675"/>
      <c r="H406" s="667">
        <f t="shared" si="13"/>
        <v>0</v>
      </c>
    </row>
    <row r="407" spans="1:8" s="677" customFormat="1" ht="41.25" hidden="1" customHeight="1">
      <c r="A407" s="662">
        <v>62.2</v>
      </c>
      <c r="B407" s="666"/>
      <c r="C407" s="685" t="s">
        <v>1589</v>
      </c>
      <c r="D407" s="667"/>
      <c r="E407" s="663"/>
      <c r="F407" s="663">
        <f t="shared" si="14"/>
        <v>0</v>
      </c>
      <c r="G407" s="667"/>
      <c r="H407" s="667">
        <f t="shared" si="13"/>
        <v>0</v>
      </c>
    </row>
    <row r="408" spans="1:8" s="677" customFormat="1" ht="41.25" hidden="1" customHeight="1">
      <c r="A408" s="666"/>
      <c r="B408" s="666"/>
      <c r="C408" s="663" t="s">
        <v>1586</v>
      </c>
      <c r="D408" s="667">
        <f>ROUND([14]Data!K2206,2)</f>
        <v>129.80000000000001</v>
      </c>
      <c r="E408" s="663" t="s">
        <v>522</v>
      </c>
      <c r="F408" s="663">
        <f t="shared" si="14"/>
        <v>0</v>
      </c>
      <c r="G408" s="667"/>
      <c r="H408" s="667">
        <f t="shared" si="13"/>
        <v>0</v>
      </c>
    </row>
    <row r="409" spans="1:8" s="677" customFormat="1" ht="55.5" hidden="1" customHeight="1">
      <c r="A409" s="690"/>
      <c r="B409" s="666"/>
      <c r="C409" s="663" t="s">
        <v>1587</v>
      </c>
      <c r="D409" s="675">
        <f>ROUND([14]Data!K2216,2)</f>
        <v>167.5</v>
      </c>
      <c r="E409" s="674" t="s">
        <v>522</v>
      </c>
      <c r="F409" s="663">
        <f t="shared" si="14"/>
        <v>0</v>
      </c>
      <c r="G409" s="675"/>
      <c r="H409" s="667">
        <f t="shared" si="13"/>
        <v>0</v>
      </c>
    </row>
    <row r="410" spans="1:8" s="677" customFormat="1" ht="20.100000000000001" hidden="1" customHeight="1">
      <c r="A410" s="662">
        <v>63</v>
      </c>
      <c r="B410" s="666"/>
      <c r="C410" s="663" t="s">
        <v>1590</v>
      </c>
      <c r="D410" s="675">
        <f>ROUND([14]Data!K2225,2)</f>
        <v>31.87</v>
      </c>
      <c r="E410" s="674" t="s">
        <v>522</v>
      </c>
      <c r="F410" s="663">
        <f t="shared" si="14"/>
        <v>0</v>
      </c>
      <c r="G410" s="675"/>
      <c r="H410" s="667">
        <f t="shared" si="13"/>
        <v>0</v>
      </c>
    </row>
    <row r="411" spans="1:8" ht="45.75" hidden="1" customHeight="1">
      <c r="A411" s="662"/>
      <c r="B411" s="666"/>
      <c r="C411" s="685" t="s">
        <v>167</v>
      </c>
      <c r="D411" s="667"/>
      <c r="E411" s="663"/>
      <c r="F411" s="663">
        <f t="shared" si="14"/>
        <v>0</v>
      </c>
      <c r="G411" s="667"/>
      <c r="H411" s="667">
        <f t="shared" si="13"/>
        <v>0</v>
      </c>
    </row>
    <row r="412" spans="1:8" s="677" customFormat="1" ht="20.100000000000001" hidden="1" customHeight="1">
      <c r="A412" s="662">
        <v>64</v>
      </c>
      <c r="B412" s="666"/>
      <c r="C412" s="663" t="s">
        <v>168</v>
      </c>
      <c r="D412" s="675">
        <f>[14]Data!K2261</f>
        <v>1499.29</v>
      </c>
      <c r="E412" s="674" t="s">
        <v>522</v>
      </c>
      <c r="F412" s="663">
        <f t="shared" si="14"/>
        <v>0</v>
      </c>
      <c r="G412" s="675"/>
      <c r="H412" s="667">
        <f t="shared" si="13"/>
        <v>0</v>
      </c>
    </row>
    <row r="413" spans="1:8" s="677" customFormat="1" ht="30.75" hidden="1" customHeight="1">
      <c r="A413" s="666"/>
      <c r="B413" s="666"/>
      <c r="C413" s="663" t="s">
        <v>170</v>
      </c>
      <c r="D413" s="675"/>
      <c r="E413" s="674" t="s">
        <v>522</v>
      </c>
      <c r="F413" s="663">
        <f t="shared" si="14"/>
        <v>0</v>
      </c>
      <c r="G413" s="675"/>
      <c r="H413" s="667">
        <f t="shared" si="13"/>
        <v>0</v>
      </c>
    </row>
    <row r="414" spans="1:8" s="677" customFormat="1" ht="20.100000000000001" hidden="1" customHeight="1">
      <c r="A414" s="690"/>
      <c r="B414" s="666"/>
      <c r="C414" s="663" t="s">
        <v>1591</v>
      </c>
      <c r="D414" s="675">
        <f>[14]Data!K2263</f>
        <v>1531.07</v>
      </c>
      <c r="E414" s="674" t="s">
        <v>522</v>
      </c>
      <c r="F414" s="663">
        <f t="shared" si="14"/>
        <v>0</v>
      </c>
      <c r="G414" s="675"/>
      <c r="H414" s="667">
        <f t="shared" si="13"/>
        <v>0</v>
      </c>
    </row>
    <row r="415" spans="1:8" s="677" customFormat="1" ht="20.100000000000001" hidden="1" customHeight="1">
      <c r="A415" s="662">
        <v>65</v>
      </c>
      <c r="B415" s="666"/>
      <c r="C415" s="663" t="s">
        <v>1592</v>
      </c>
      <c r="D415" s="675">
        <f>[14]Data!K2264</f>
        <v>1565.5</v>
      </c>
      <c r="E415" s="674" t="s">
        <v>522</v>
      </c>
      <c r="F415" s="663">
        <f t="shared" si="14"/>
        <v>0</v>
      </c>
      <c r="G415" s="675"/>
      <c r="H415" s="667">
        <f t="shared" si="13"/>
        <v>0</v>
      </c>
    </row>
    <row r="416" spans="1:8" s="677" customFormat="1" ht="20.100000000000001" hidden="1" customHeight="1">
      <c r="A416" s="662">
        <v>66</v>
      </c>
      <c r="B416" s="666"/>
      <c r="C416" s="663" t="s">
        <v>998</v>
      </c>
      <c r="D416" s="675">
        <f>[14]Data!K2265</f>
        <v>2802.19</v>
      </c>
      <c r="E416" s="674" t="s">
        <v>522</v>
      </c>
      <c r="F416" s="663">
        <f t="shared" si="14"/>
        <v>0</v>
      </c>
      <c r="G416" s="675"/>
      <c r="H416" s="667">
        <f t="shared" si="13"/>
        <v>0</v>
      </c>
    </row>
    <row r="417" spans="1:8" s="677" customFormat="1" ht="20.100000000000001" hidden="1" customHeight="1">
      <c r="A417" s="662">
        <v>67</v>
      </c>
      <c r="B417" s="666"/>
      <c r="C417" s="663" t="s">
        <v>1593</v>
      </c>
      <c r="D417" s="675">
        <f>[14]Data!K2266</f>
        <v>764.91</v>
      </c>
      <c r="E417" s="674" t="s">
        <v>522</v>
      </c>
      <c r="F417" s="663">
        <f t="shared" si="14"/>
        <v>0</v>
      </c>
      <c r="G417" s="675"/>
      <c r="H417" s="667">
        <f t="shared" si="13"/>
        <v>0</v>
      </c>
    </row>
    <row r="418" spans="1:8" s="677" customFormat="1" ht="20.100000000000001" hidden="1" customHeight="1">
      <c r="A418" s="662">
        <v>68</v>
      </c>
      <c r="B418" s="666"/>
      <c r="C418" s="663" t="s">
        <v>1594</v>
      </c>
      <c r="D418" s="675">
        <f>[14]Data!K2267</f>
        <v>1041.2</v>
      </c>
      <c r="E418" s="674" t="s">
        <v>522</v>
      </c>
      <c r="F418" s="663">
        <f t="shared" si="14"/>
        <v>0</v>
      </c>
      <c r="G418" s="675"/>
      <c r="H418" s="667">
        <f t="shared" si="13"/>
        <v>0</v>
      </c>
    </row>
    <row r="419" spans="1:8" ht="45.75" hidden="1" customHeight="1">
      <c r="A419" s="662">
        <v>69</v>
      </c>
      <c r="B419" s="666"/>
      <c r="C419" s="663" t="s">
        <v>1595</v>
      </c>
      <c r="D419" s="667">
        <f>[14]Data!K2268</f>
        <v>138.69999999999999</v>
      </c>
      <c r="E419" s="663" t="s">
        <v>522</v>
      </c>
      <c r="F419" s="663">
        <f t="shared" si="14"/>
        <v>0</v>
      </c>
      <c r="G419" s="667"/>
      <c r="H419" s="667">
        <f t="shared" si="13"/>
        <v>0</v>
      </c>
    </row>
    <row r="420" spans="1:8" s="677" customFormat="1" ht="29.25" hidden="1" customHeight="1">
      <c r="A420" s="662">
        <v>70.099999999999994</v>
      </c>
      <c r="B420" s="666"/>
      <c r="C420" s="663" t="s">
        <v>1005</v>
      </c>
      <c r="D420" s="675">
        <f>[14]Data!K2269</f>
        <v>486.5</v>
      </c>
      <c r="E420" s="674" t="s">
        <v>522</v>
      </c>
      <c r="F420" s="663">
        <f t="shared" si="14"/>
        <v>0</v>
      </c>
      <c r="G420" s="675"/>
      <c r="H420" s="667">
        <f t="shared" si="13"/>
        <v>0</v>
      </c>
    </row>
    <row r="421" spans="1:8" s="677" customFormat="1" ht="20.100000000000001" hidden="1" customHeight="1">
      <c r="A421" s="662">
        <v>70.2</v>
      </c>
      <c r="B421" s="666"/>
      <c r="C421" s="663" t="s">
        <v>1596</v>
      </c>
      <c r="D421" s="675"/>
      <c r="E421" s="674" t="s">
        <v>522</v>
      </c>
      <c r="F421" s="663">
        <f t="shared" si="14"/>
        <v>0</v>
      </c>
      <c r="G421" s="675"/>
      <c r="H421" s="667">
        <f t="shared" si="13"/>
        <v>0</v>
      </c>
    </row>
    <row r="422" spans="1:8" s="677" customFormat="1" ht="20.100000000000001" hidden="1" customHeight="1">
      <c r="A422" s="662">
        <v>70.3</v>
      </c>
      <c r="B422" s="666"/>
      <c r="C422" s="663" t="s">
        <v>1597</v>
      </c>
      <c r="D422" s="675">
        <f>[14]Data!K2271</f>
        <v>12</v>
      </c>
      <c r="E422" s="674" t="s">
        <v>522</v>
      </c>
      <c r="F422" s="663">
        <f t="shared" si="14"/>
        <v>0</v>
      </c>
      <c r="G422" s="675"/>
      <c r="H422" s="667">
        <f t="shared" si="13"/>
        <v>0</v>
      </c>
    </row>
    <row r="423" spans="1:8" s="677" customFormat="1" ht="20.100000000000001" hidden="1" customHeight="1">
      <c r="A423" s="662">
        <v>70.400000000000006</v>
      </c>
      <c r="B423" s="666"/>
      <c r="C423" s="663" t="s">
        <v>1598</v>
      </c>
      <c r="D423" s="675">
        <f>[14]Data!K2272</f>
        <v>10</v>
      </c>
      <c r="E423" s="674" t="s">
        <v>522</v>
      </c>
      <c r="F423" s="663">
        <f t="shared" si="14"/>
        <v>0</v>
      </c>
      <c r="G423" s="675"/>
      <c r="H423" s="667">
        <f t="shared" si="13"/>
        <v>0</v>
      </c>
    </row>
    <row r="424" spans="1:8" s="677" customFormat="1" ht="45.75" hidden="1" customHeight="1">
      <c r="A424" s="662">
        <v>71</v>
      </c>
      <c r="B424" s="666"/>
      <c r="C424" s="663" t="s">
        <v>1599</v>
      </c>
      <c r="D424" s="675">
        <f>[14]Data!K2273</f>
        <v>1308</v>
      </c>
      <c r="E424" s="674" t="s">
        <v>522</v>
      </c>
      <c r="F424" s="663">
        <f t="shared" si="14"/>
        <v>0</v>
      </c>
      <c r="G424" s="675"/>
      <c r="H424" s="667">
        <f t="shared" si="13"/>
        <v>0</v>
      </c>
    </row>
    <row r="425" spans="1:8" ht="45.75" hidden="1" customHeight="1">
      <c r="A425" s="662">
        <v>72</v>
      </c>
      <c r="B425" s="666"/>
      <c r="C425" s="663" t="s">
        <v>175</v>
      </c>
      <c r="D425" s="667">
        <f>[14]Data!K2274</f>
        <v>33.9</v>
      </c>
      <c r="E425" s="663" t="s">
        <v>522</v>
      </c>
      <c r="F425" s="663">
        <f t="shared" si="14"/>
        <v>0</v>
      </c>
      <c r="G425" s="667"/>
      <c r="H425" s="667">
        <f t="shared" si="13"/>
        <v>0</v>
      </c>
    </row>
    <row r="426" spans="1:8" ht="45.75" hidden="1" customHeight="1">
      <c r="A426" s="666">
        <v>73.099999999999994</v>
      </c>
      <c r="B426" s="666"/>
      <c r="C426" s="663" t="s">
        <v>1600</v>
      </c>
      <c r="D426" s="667">
        <f>[14]Data!K2275</f>
        <v>4116.8500000000004</v>
      </c>
      <c r="E426" s="663" t="s">
        <v>522</v>
      </c>
      <c r="F426" s="663">
        <f t="shared" si="14"/>
        <v>0</v>
      </c>
      <c r="G426" s="667"/>
      <c r="H426" s="667">
        <f t="shared" si="13"/>
        <v>0</v>
      </c>
    </row>
    <row r="427" spans="1:8" s="677" customFormat="1" ht="45.75" hidden="1" customHeight="1">
      <c r="A427" s="662">
        <v>73.2</v>
      </c>
      <c r="B427" s="666"/>
      <c r="C427" s="663" t="s">
        <v>1601</v>
      </c>
      <c r="D427" s="667">
        <f>[14]Data!K2276</f>
        <v>3342.85</v>
      </c>
      <c r="E427" s="663" t="s">
        <v>522</v>
      </c>
      <c r="F427" s="663">
        <f t="shared" si="14"/>
        <v>0</v>
      </c>
      <c r="G427" s="667"/>
      <c r="H427" s="667">
        <f t="shared" si="13"/>
        <v>0</v>
      </c>
    </row>
    <row r="428" spans="1:8" ht="45.75" hidden="1" customHeight="1">
      <c r="A428" s="662">
        <v>74</v>
      </c>
      <c r="B428" s="666"/>
      <c r="C428" s="663" t="s">
        <v>176</v>
      </c>
      <c r="D428" s="667">
        <f>[14]Data!K2277</f>
        <v>520.79999999999995</v>
      </c>
      <c r="E428" s="663" t="s">
        <v>522</v>
      </c>
      <c r="F428" s="663">
        <f t="shared" si="14"/>
        <v>0</v>
      </c>
      <c r="G428" s="667"/>
      <c r="H428" s="667">
        <f t="shared" si="13"/>
        <v>0</v>
      </c>
    </row>
    <row r="429" spans="1:8" s="677" customFormat="1" ht="20.100000000000001" hidden="1" customHeight="1">
      <c r="A429" s="662">
        <v>75</v>
      </c>
      <c r="B429" s="666"/>
      <c r="C429" s="685" t="s">
        <v>1602</v>
      </c>
      <c r="D429" s="675"/>
      <c r="E429" s="674"/>
      <c r="F429" s="663">
        <f t="shared" si="14"/>
        <v>0</v>
      </c>
      <c r="G429" s="675"/>
      <c r="H429" s="667">
        <f t="shared" si="13"/>
        <v>0</v>
      </c>
    </row>
    <row r="430" spans="1:8" s="677" customFormat="1" ht="20.100000000000001" hidden="1" customHeight="1">
      <c r="A430" s="666"/>
      <c r="B430" s="666"/>
      <c r="C430" s="663" t="s">
        <v>1133</v>
      </c>
      <c r="D430" s="675"/>
      <c r="E430" s="674" t="s">
        <v>522</v>
      </c>
      <c r="F430" s="663">
        <f t="shared" si="14"/>
        <v>0</v>
      </c>
      <c r="G430" s="675"/>
      <c r="H430" s="667">
        <f t="shared" si="13"/>
        <v>0</v>
      </c>
    </row>
    <row r="431" spans="1:8" s="677" customFormat="1" ht="20.100000000000001" hidden="1" customHeight="1">
      <c r="A431" s="690"/>
      <c r="B431" s="666"/>
      <c r="C431" s="663" t="s">
        <v>1603</v>
      </c>
      <c r="D431" s="675"/>
      <c r="E431" s="674" t="s">
        <v>522</v>
      </c>
      <c r="F431" s="663">
        <f t="shared" si="14"/>
        <v>0</v>
      </c>
      <c r="G431" s="675"/>
      <c r="H431" s="667">
        <f t="shared" si="13"/>
        <v>0</v>
      </c>
    </row>
    <row r="432" spans="1:8" ht="45.75" hidden="1" customHeight="1">
      <c r="A432" s="662">
        <v>76</v>
      </c>
      <c r="B432" s="666"/>
      <c r="C432" s="663" t="s">
        <v>1604</v>
      </c>
      <c r="D432" s="667">
        <f>[14]Elec.Data!K3294</f>
        <v>23.79</v>
      </c>
      <c r="E432" s="663" t="s">
        <v>61</v>
      </c>
      <c r="F432" s="663">
        <f t="shared" si="14"/>
        <v>0</v>
      </c>
      <c r="G432" s="667"/>
      <c r="H432" s="667">
        <f t="shared" si="13"/>
        <v>0</v>
      </c>
    </row>
    <row r="433" spans="1:8" s="677" customFormat="1" ht="19.899999999999999" hidden="1" customHeight="1">
      <c r="A433" s="662">
        <v>77</v>
      </c>
      <c r="B433" s="666"/>
      <c r="C433" s="663" t="s">
        <v>1605</v>
      </c>
      <c r="D433" s="675">
        <f>ROUND([14]Data!K2282,2)</f>
        <v>192.58</v>
      </c>
      <c r="E433" s="674" t="s">
        <v>61</v>
      </c>
      <c r="F433" s="663">
        <f t="shared" si="14"/>
        <v>0</v>
      </c>
      <c r="G433" s="675"/>
      <c r="H433" s="667">
        <f t="shared" si="13"/>
        <v>0</v>
      </c>
    </row>
    <row r="434" spans="1:8" s="677" customFormat="1" ht="39.950000000000003" hidden="1" customHeight="1">
      <c r="A434" s="662">
        <v>77.099999999999994</v>
      </c>
      <c r="B434" s="666"/>
      <c r="C434" s="663" t="s">
        <v>1606</v>
      </c>
      <c r="D434" s="675">
        <f>ROUND([14]Data!K2283,2)</f>
        <v>246.68</v>
      </c>
      <c r="E434" s="674" t="s">
        <v>61</v>
      </c>
      <c r="F434" s="663">
        <f t="shared" si="14"/>
        <v>0</v>
      </c>
      <c r="G434" s="675"/>
      <c r="H434" s="667">
        <f t="shared" si="13"/>
        <v>0</v>
      </c>
    </row>
    <row r="435" spans="1:8" s="677" customFormat="1" ht="25.5" hidden="1" customHeight="1">
      <c r="A435" s="662">
        <v>77.2</v>
      </c>
      <c r="B435" s="666"/>
      <c r="C435" s="663" t="s">
        <v>1607</v>
      </c>
      <c r="D435" s="675">
        <f>[14]Data!K2284</f>
        <v>500</v>
      </c>
      <c r="E435" s="674" t="s">
        <v>522</v>
      </c>
      <c r="F435" s="663">
        <f t="shared" si="14"/>
        <v>0</v>
      </c>
      <c r="G435" s="675"/>
      <c r="H435" s="667">
        <f t="shared" si="13"/>
        <v>0</v>
      </c>
    </row>
    <row r="436" spans="1:8" ht="45.75" hidden="1" customHeight="1">
      <c r="A436" s="662">
        <v>77.3</v>
      </c>
      <c r="B436" s="666"/>
      <c r="C436" s="663" t="s">
        <v>1608</v>
      </c>
      <c r="D436" s="667">
        <f>[14]Data!K2285</f>
        <v>76.67</v>
      </c>
      <c r="E436" s="663" t="s">
        <v>522</v>
      </c>
      <c r="F436" s="663">
        <f t="shared" si="14"/>
        <v>0</v>
      </c>
      <c r="G436" s="667"/>
      <c r="H436" s="667">
        <f t="shared" si="13"/>
        <v>0</v>
      </c>
    </row>
    <row r="437" spans="1:8" ht="45.75" hidden="1" customHeight="1">
      <c r="A437" s="662">
        <v>77.400000000000006</v>
      </c>
      <c r="B437" s="666"/>
      <c r="C437" s="663" t="s">
        <v>1609</v>
      </c>
      <c r="D437" s="667">
        <f>[14]Data!K2304</f>
        <v>79.650000000000006</v>
      </c>
      <c r="E437" s="663" t="s">
        <v>61</v>
      </c>
      <c r="F437" s="663">
        <f t="shared" si="14"/>
        <v>0</v>
      </c>
      <c r="G437" s="667"/>
      <c r="H437" s="667">
        <f t="shared" si="13"/>
        <v>0</v>
      </c>
    </row>
    <row r="438" spans="1:8" ht="45.75" hidden="1" customHeight="1">
      <c r="A438" s="662">
        <v>78</v>
      </c>
      <c r="B438" s="666"/>
      <c r="C438" s="663" t="s">
        <v>181</v>
      </c>
      <c r="D438" s="667">
        <f>[14]Data!K2286</f>
        <v>2723</v>
      </c>
      <c r="E438" s="663" t="s">
        <v>522</v>
      </c>
      <c r="F438" s="663">
        <f t="shared" si="14"/>
        <v>0</v>
      </c>
      <c r="G438" s="667"/>
      <c r="H438" s="667">
        <f t="shared" si="13"/>
        <v>0</v>
      </c>
    </row>
    <row r="439" spans="1:8" s="677" customFormat="1" ht="25.5" hidden="1" customHeight="1">
      <c r="A439" s="662">
        <v>78.099999999999994</v>
      </c>
      <c r="B439" s="666"/>
      <c r="C439" s="663" t="s">
        <v>1610</v>
      </c>
      <c r="D439" s="675"/>
      <c r="E439" s="674" t="s">
        <v>522</v>
      </c>
      <c r="F439" s="663">
        <f t="shared" si="14"/>
        <v>0</v>
      </c>
      <c r="G439" s="675"/>
      <c r="H439" s="667">
        <f t="shared" si="13"/>
        <v>0</v>
      </c>
    </row>
    <row r="440" spans="1:8" s="677" customFormat="1" ht="46.5" hidden="1" customHeight="1">
      <c r="A440" s="662">
        <v>79.099999999999994</v>
      </c>
      <c r="B440" s="666"/>
      <c r="C440" s="663" t="s">
        <v>1611</v>
      </c>
      <c r="D440" s="675">
        <f>[14]Elec.Data!K3400</f>
        <v>508.26</v>
      </c>
      <c r="E440" s="674" t="s">
        <v>522</v>
      </c>
      <c r="F440" s="663">
        <f t="shared" si="14"/>
        <v>0</v>
      </c>
      <c r="G440" s="675"/>
      <c r="H440" s="667">
        <f t="shared" si="13"/>
        <v>0</v>
      </c>
    </row>
    <row r="441" spans="1:8" s="677" customFormat="1" ht="33" hidden="1" customHeight="1">
      <c r="A441" s="662">
        <v>79.2</v>
      </c>
      <c r="B441" s="666"/>
      <c r="C441" s="663" t="s">
        <v>1612</v>
      </c>
      <c r="D441" s="675">
        <f>[14]Elec.Data!K3419</f>
        <v>776.68</v>
      </c>
      <c r="E441" s="674" t="s">
        <v>522</v>
      </c>
      <c r="F441" s="663">
        <f t="shared" si="14"/>
        <v>0</v>
      </c>
      <c r="G441" s="675"/>
      <c r="H441" s="667">
        <f t="shared" si="13"/>
        <v>0</v>
      </c>
    </row>
    <row r="442" spans="1:8" s="677" customFormat="1" ht="51.75" hidden="1" customHeight="1">
      <c r="A442" s="662">
        <v>80</v>
      </c>
      <c r="B442" s="666"/>
      <c r="C442" s="663" t="s">
        <v>1613</v>
      </c>
      <c r="D442" s="675">
        <f>[14]Data!K2287</f>
        <v>770.34</v>
      </c>
      <c r="E442" s="674" t="s">
        <v>522</v>
      </c>
      <c r="F442" s="663">
        <f t="shared" si="14"/>
        <v>0</v>
      </c>
      <c r="G442" s="675"/>
      <c r="H442" s="667">
        <f t="shared" si="13"/>
        <v>0</v>
      </c>
    </row>
    <row r="443" spans="1:8" ht="45.75" hidden="1" customHeight="1">
      <c r="A443" s="662">
        <v>81</v>
      </c>
      <c r="B443" s="666"/>
      <c r="C443" s="663" t="s">
        <v>1614</v>
      </c>
      <c r="D443" s="667">
        <f>ROUND([14]Data!K2288,2)</f>
        <v>2363.98</v>
      </c>
      <c r="E443" s="663" t="s">
        <v>37</v>
      </c>
      <c r="F443" s="663">
        <f t="shared" si="14"/>
        <v>0</v>
      </c>
      <c r="G443" s="667"/>
      <c r="H443" s="667">
        <f t="shared" si="13"/>
        <v>0</v>
      </c>
    </row>
    <row r="444" spans="1:8" s="677" customFormat="1" ht="39" hidden="1" customHeight="1">
      <c r="A444" s="662">
        <v>82</v>
      </c>
      <c r="B444" s="666"/>
      <c r="C444" s="663" t="s">
        <v>1145</v>
      </c>
      <c r="D444" s="675">
        <f>ROUND([14]Data!K2289,2)</f>
        <v>2774.3</v>
      </c>
      <c r="E444" s="674" t="s">
        <v>522</v>
      </c>
      <c r="F444" s="663">
        <f t="shared" si="14"/>
        <v>0</v>
      </c>
      <c r="G444" s="675"/>
      <c r="H444" s="667">
        <f t="shared" si="13"/>
        <v>0</v>
      </c>
    </row>
    <row r="445" spans="1:8" s="677" customFormat="1" ht="40.5" hidden="1" customHeight="1">
      <c r="A445" s="662">
        <v>83</v>
      </c>
      <c r="B445" s="666"/>
      <c r="C445" s="663" t="s">
        <v>1615</v>
      </c>
      <c r="D445" s="675">
        <f>[14]Elec.Data!K3556</f>
        <v>169.77</v>
      </c>
      <c r="E445" s="674" t="s">
        <v>61</v>
      </c>
      <c r="F445" s="663">
        <f t="shared" si="14"/>
        <v>0</v>
      </c>
      <c r="G445" s="675"/>
      <c r="H445" s="667">
        <f t="shared" si="13"/>
        <v>0</v>
      </c>
    </row>
    <row r="446" spans="1:8" s="677" customFormat="1" ht="20.100000000000001" hidden="1" customHeight="1">
      <c r="A446" s="662">
        <v>84</v>
      </c>
      <c r="B446" s="666"/>
      <c r="C446" s="663" t="s">
        <v>1616</v>
      </c>
      <c r="D446" s="675"/>
      <c r="E446" s="674" t="s">
        <v>61</v>
      </c>
      <c r="F446" s="663">
        <f t="shared" si="14"/>
        <v>0</v>
      </c>
      <c r="G446" s="675"/>
      <c r="H446" s="667">
        <f t="shared" si="13"/>
        <v>0</v>
      </c>
    </row>
    <row r="447" spans="1:8" s="677" customFormat="1" ht="20.100000000000001" hidden="1" customHeight="1">
      <c r="A447" s="662">
        <v>85</v>
      </c>
      <c r="B447" s="666"/>
      <c r="C447" s="663" t="s">
        <v>1617</v>
      </c>
      <c r="D447" s="675">
        <f>[14]Elec.Data!K3515</f>
        <v>130</v>
      </c>
      <c r="E447" s="674" t="s">
        <v>61</v>
      </c>
      <c r="F447" s="663">
        <f t="shared" si="14"/>
        <v>0</v>
      </c>
      <c r="G447" s="675"/>
      <c r="H447" s="667">
        <f t="shared" si="13"/>
        <v>0</v>
      </c>
    </row>
    <row r="448" spans="1:8" ht="45.75" hidden="1" customHeight="1">
      <c r="A448" s="662">
        <v>86</v>
      </c>
      <c r="B448" s="666"/>
      <c r="C448" s="663" t="s">
        <v>1618</v>
      </c>
      <c r="D448" s="667">
        <v>34</v>
      </c>
      <c r="E448" s="663" t="s">
        <v>264</v>
      </c>
      <c r="F448" s="663">
        <f t="shared" si="14"/>
        <v>0</v>
      </c>
      <c r="G448" s="667"/>
      <c r="H448" s="667">
        <f t="shared" si="13"/>
        <v>0</v>
      </c>
    </row>
    <row r="449" spans="1:10" s="677" customFormat="1" ht="51.75" hidden="1" customHeight="1">
      <c r="A449" s="662">
        <v>87</v>
      </c>
      <c r="B449" s="666"/>
      <c r="C449" s="663" t="s">
        <v>1619</v>
      </c>
      <c r="D449" s="675">
        <f>ROUND([14]Data!K2290,2)</f>
        <v>2602.1</v>
      </c>
      <c r="E449" s="674" t="s">
        <v>522</v>
      </c>
      <c r="F449" s="663">
        <f t="shared" si="14"/>
        <v>0</v>
      </c>
      <c r="G449" s="675"/>
      <c r="H449" s="667">
        <f t="shared" si="13"/>
        <v>0</v>
      </c>
    </row>
    <row r="450" spans="1:10" s="677" customFormat="1" ht="41.25" hidden="1" customHeight="1">
      <c r="A450" s="662">
        <v>112</v>
      </c>
      <c r="B450" s="666"/>
      <c r="C450" s="663" t="s">
        <v>1620</v>
      </c>
      <c r="D450" s="675">
        <f>ROUND([14]Data!K2280,2)</f>
        <v>1967.5</v>
      </c>
      <c r="E450" s="674" t="s">
        <v>522</v>
      </c>
      <c r="F450" s="663">
        <f t="shared" si="14"/>
        <v>0</v>
      </c>
      <c r="G450" s="675"/>
      <c r="H450" s="667">
        <f t="shared" si="13"/>
        <v>0</v>
      </c>
    </row>
    <row r="451" spans="1:10" s="677" customFormat="1" ht="48.75" hidden="1" customHeight="1">
      <c r="A451" s="662">
        <v>238</v>
      </c>
      <c r="B451" s="666"/>
      <c r="C451" s="663" t="s">
        <v>1621</v>
      </c>
      <c r="D451" s="675">
        <f>ROUND([14]Data!K1567,2)</f>
        <v>4403.5</v>
      </c>
      <c r="E451" s="674" t="s">
        <v>58</v>
      </c>
      <c r="F451" s="663">
        <f t="shared" si="14"/>
        <v>0</v>
      </c>
      <c r="G451" s="675"/>
      <c r="H451" s="667">
        <f t="shared" si="13"/>
        <v>0</v>
      </c>
    </row>
    <row r="452" spans="1:10" ht="45.75" hidden="1" customHeight="1">
      <c r="A452" s="662"/>
      <c r="B452" s="666"/>
      <c r="C452" s="658" t="s">
        <v>1622</v>
      </c>
      <c r="D452" s="667"/>
      <c r="E452" s="663"/>
      <c r="F452" s="663">
        <f t="shared" si="14"/>
        <v>0</v>
      </c>
      <c r="G452" s="667"/>
      <c r="H452" s="667">
        <f t="shared" si="13"/>
        <v>0</v>
      </c>
    </row>
    <row r="453" spans="1:10" s="683" customFormat="1" ht="75" hidden="1" customHeight="1">
      <c r="A453" s="666" t="s">
        <v>1454</v>
      </c>
      <c r="B453" s="666"/>
      <c r="C453" s="685" t="s">
        <v>1623</v>
      </c>
      <c r="D453" s="667"/>
      <c r="E453" s="663"/>
      <c r="F453" s="663">
        <f t="shared" si="14"/>
        <v>0</v>
      </c>
      <c r="G453" s="667"/>
      <c r="H453" s="667">
        <f t="shared" si="13"/>
        <v>0</v>
      </c>
      <c r="I453" s="702"/>
      <c r="J453" s="702"/>
    </row>
    <row r="454" spans="1:10" s="683" customFormat="1" ht="41.25" hidden="1" customHeight="1">
      <c r="A454" s="666"/>
      <c r="B454" s="666"/>
      <c r="C454" s="663" t="s">
        <v>1405</v>
      </c>
      <c r="D454" s="667">
        <f>[14]Data!X537</f>
        <v>1288.99</v>
      </c>
      <c r="E454" s="663" t="s">
        <v>264</v>
      </c>
      <c r="F454" s="663">
        <f t="shared" si="14"/>
        <v>0</v>
      </c>
      <c r="G454" s="667"/>
      <c r="H454" s="667">
        <f t="shared" ref="H454:H517" si="15">G454*D454</f>
        <v>0</v>
      </c>
      <c r="I454" s="702"/>
      <c r="J454" s="702"/>
    </row>
    <row r="455" spans="1:10" s="683" customFormat="1" ht="41.25" hidden="1" customHeight="1">
      <c r="A455" s="666"/>
      <c r="B455" s="666"/>
      <c r="C455" s="663" t="s">
        <v>1406</v>
      </c>
      <c r="D455" s="667">
        <f>[14]Data!X538</f>
        <v>1293.0999999999999</v>
      </c>
      <c r="E455" s="663" t="s">
        <v>264</v>
      </c>
      <c r="F455" s="663">
        <f t="shared" si="14"/>
        <v>0</v>
      </c>
      <c r="G455" s="667"/>
      <c r="H455" s="667">
        <f t="shared" si="15"/>
        <v>0</v>
      </c>
      <c r="I455" s="702"/>
      <c r="J455" s="702"/>
    </row>
    <row r="456" spans="1:10" s="683" customFormat="1" ht="37.5" hidden="1" customHeight="1">
      <c r="A456" s="666"/>
      <c r="B456" s="666"/>
      <c r="C456" s="663" t="s">
        <v>1407</v>
      </c>
      <c r="D456" s="667">
        <f>[14]Data!X539</f>
        <v>1297.21</v>
      </c>
      <c r="E456" s="663" t="s">
        <v>264</v>
      </c>
      <c r="F456" s="663">
        <f t="shared" si="14"/>
        <v>0</v>
      </c>
      <c r="G456" s="667"/>
      <c r="H456" s="667">
        <f t="shared" si="15"/>
        <v>0</v>
      </c>
      <c r="I456" s="702"/>
      <c r="J456" s="702"/>
    </row>
    <row r="457" spans="1:10" s="683" customFormat="1" ht="47.25" hidden="1" customHeight="1">
      <c r="A457" s="703"/>
      <c r="B457" s="666"/>
      <c r="C457" s="704" t="s">
        <v>1408</v>
      </c>
      <c r="D457" s="667">
        <f>[14]Data!X540</f>
        <v>1301.32</v>
      </c>
      <c r="E457" s="704" t="s">
        <v>264</v>
      </c>
      <c r="F457" s="663">
        <f t="shared" si="14"/>
        <v>0</v>
      </c>
      <c r="G457" s="667"/>
      <c r="H457" s="667">
        <f t="shared" si="15"/>
        <v>0</v>
      </c>
      <c r="I457" s="702"/>
      <c r="J457" s="702"/>
    </row>
    <row r="458" spans="1:10" s="677" customFormat="1" ht="56.25" hidden="1" customHeight="1">
      <c r="A458" s="705"/>
      <c r="B458" s="666"/>
      <c r="C458" s="706" t="s">
        <v>1409</v>
      </c>
      <c r="D458" s="667">
        <f>[14]Data!X541</f>
        <v>1305.43</v>
      </c>
      <c r="E458" s="706" t="s">
        <v>264</v>
      </c>
      <c r="F458" s="663">
        <f t="shared" si="14"/>
        <v>0</v>
      </c>
      <c r="G458" s="667"/>
      <c r="H458" s="667">
        <f t="shared" si="15"/>
        <v>0</v>
      </c>
      <c r="I458" s="676"/>
      <c r="J458" s="676"/>
    </row>
    <row r="459" spans="1:10" s="683" customFormat="1" ht="68.25" hidden="1" customHeight="1">
      <c r="A459" s="666" t="s">
        <v>39</v>
      </c>
      <c r="B459" s="666"/>
      <c r="C459" s="685" t="s">
        <v>1624</v>
      </c>
      <c r="D459" s="667"/>
      <c r="E459" s="663"/>
      <c r="F459" s="663">
        <f t="shared" si="14"/>
        <v>0</v>
      </c>
      <c r="G459" s="667"/>
      <c r="H459" s="667">
        <f t="shared" si="15"/>
        <v>0</v>
      </c>
      <c r="I459" s="702"/>
      <c r="J459" s="702"/>
    </row>
    <row r="460" spans="1:10" s="683" customFormat="1" ht="49.5" hidden="1" customHeight="1">
      <c r="A460" s="666"/>
      <c r="B460" s="666"/>
      <c r="C460" s="663" t="s">
        <v>1457</v>
      </c>
      <c r="D460" s="667">
        <f>[14]Data!X559</f>
        <v>1427.11</v>
      </c>
      <c r="E460" s="663" t="s">
        <v>264</v>
      </c>
      <c r="F460" s="663">
        <f t="shared" si="14"/>
        <v>0</v>
      </c>
      <c r="G460" s="667"/>
      <c r="H460" s="667">
        <f t="shared" si="15"/>
        <v>0</v>
      </c>
      <c r="I460" s="702"/>
      <c r="J460" s="702"/>
    </row>
    <row r="461" spans="1:10" s="683" customFormat="1" ht="49.5" hidden="1" customHeight="1">
      <c r="A461" s="666"/>
      <c r="B461" s="666"/>
      <c r="C461" s="663" t="s">
        <v>1458</v>
      </c>
      <c r="D461" s="667">
        <f>[14]Data!X561</f>
        <v>1431.28</v>
      </c>
      <c r="E461" s="663" t="s">
        <v>264</v>
      </c>
      <c r="F461" s="663">
        <f t="shared" si="14"/>
        <v>0</v>
      </c>
      <c r="G461" s="667"/>
      <c r="H461" s="667">
        <f t="shared" si="15"/>
        <v>0</v>
      </c>
      <c r="I461" s="702"/>
      <c r="J461" s="702"/>
    </row>
    <row r="462" spans="1:10" s="683" customFormat="1" ht="49.5" hidden="1" customHeight="1">
      <c r="A462" s="666"/>
      <c r="B462" s="666"/>
      <c r="C462" s="663" t="s">
        <v>1459</v>
      </c>
      <c r="D462" s="667">
        <f>[14]Data!X562</f>
        <v>1439.5</v>
      </c>
      <c r="E462" s="663" t="s">
        <v>264</v>
      </c>
      <c r="F462" s="663">
        <f t="shared" si="14"/>
        <v>0</v>
      </c>
      <c r="G462" s="667"/>
      <c r="H462" s="667">
        <f t="shared" si="15"/>
        <v>0</v>
      </c>
      <c r="I462" s="702"/>
      <c r="J462" s="702"/>
    </row>
    <row r="463" spans="1:10" s="683" customFormat="1" ht="49.5" hidden="1" customHeight="1">
      <c r="A463" s="703"/>
      <c r="B463" s="666"/>
      <c r="C463" s="704" t="s">
        <v>1460</v>
      </c>
      <c r="D463" s="667">
        <f>[14]Data!X563</f>
        <v>1447.72</v>
      </c>
      <c r="E463" s="704" t="s">
        <v>264</v>
      </c>
      <c r="F463" s="663">
        <f t="shared" si="14"/>
        <v>0</v>
      </c>
      <c r="G463" s="667"/>
      <c r="H463" s="667">
        <f t="shared" si="15"/>
        <v>0</v>
      </c>
      <c r="I463" s="702"/>
      <c r="J463" s="702"/>
    </row>
    <row r="464" spans="1:10" s="683" customFormat="1" ht="49.5" hidden="1" customHeight="1">
      <c r="A464" s="666"/>
      <c r="B464" s="666"/>
      <c r="C464" s="663" t="s">
        <v>1461</v>
      </c>
      <c r="D464" s="667">
        <f>[14]Data!X564</f>
        <v>1455.94</v>
      </c>
      <c r="E464" s="663" t="s">
        <v>264</v>
      </c>
      <c r="F464" s="663">
        <f t="shared" si="14"/>
        <v>0</v>
      </c>
      <c r="G464" s="667"/>
      <c r="H464" s="667">
        <f t="shared" si="15"/>
        <v>0</v>
      </c>
      <c r="I464" s="702"/>
      <c r="J464" s="702"/>
    </row>
    <row r="465" spans="1:10" s="677" customFormat="1" ht="25.5" hidden="1" customHeight="1">
      <c r="A465" s="707"/>
      <c r="B465" s="666"/>
      <c r="C465" s="708" t="s">
        <v>1462</v>
      </c>
      <c r="D465" s="675">
        <f>[14]Data!X565</f>
        <v>1464.16</v>
      </c>
      <c r="E465" s="674" t="s">
        <v>264</v>
      </c>
      <c r="F465" s="663">
        <f t="shared" ref="F465:F528" si="16">B465*D465</f>
        <v>0</v>
      </c>
      <c r="G465" s="675"/>
      <c r="H465" s="667">
        <f t="shared" si="15"/>
        <v>0</v>
      </c>
      <c r="I465" s="676"/>
      <c r="J465" s="676"/>
    </row>
    <row r="466" spans="1:10" s="677" customFormat="1" ht="43.5" hidden="1" customHeight="1">
      <c r="A466" s="709" t="s">
        <v>1454</v>
      </c>
      <c r="B466" s="666"/>
      <c r="C466" s="710" t="s">
        <v>1625</v>
      </c>
      <c r="D466" s="675"/>
      <c r="E466" s="674"/>
      <c r="F466" s="663">
        <f t="shared" si="16"/>
        <v>0</v>
      </c>
      <c r="G466" s="675"/>
      <c r="H466" s="667">
        <f t="shared" si="15"/>
        <v>0</v>
      </c>
      <c r="I466" s="676"/>
      <c r="J466" s="676"/>
    </row>
    <row r="467" spans="1:10" s="677" customFormat="1" ht="25.5" hidden="1" customHeight="1">
      <c r="A467" s="709"/>
      <c r="B467" s="666"/>
      <c r="C467" s="708" t="s">
        <v>1405</v>
      </c>
      <c r="D467" s="675">
        <f>[14]Data!AD537</f>
        <v>1299.8399999999999</v>
      </c>
      <c r="E467" s="674" t="s">
        <v>264</v>
      </c>
      <c r="F467" s="663">
        <f t="shared" si="16"/>
        <v>0</v>
      </c>
      <c r="G467" s="675"/>
      <c r="H467" s="667">
        <f t="shared" si="15"/>
        <v>0</v>
      </c>
      <c r="I467" s="676"/>
      <c r="J467" s="676"/>
    </row>
    <row r="468" spans="1:10" s="677" customFormat="1" ht="25.5" hidden="1" customHeight="1">
      <c r="A468" s="709"/>
      <c r="B468" s="666"/>
      <c r="C468" s="708" t="s">
        <v>1406</v>
      </c>
      <c r="D468" s="675">
        <f>[14]Data!AD538</f>
        <v>1303.95</v>
      </c>
      <c r="E468" s="674" t="s">
        <v>264</v>
      </c>
      <c r="F468" s="663">
        <f t="shared" si="16"/>
        <v>0</v>
      </c>
      <c r="G468" s="675"/>
      <c r="H468" s="667">
        <f t="shared" si="15"/>
        <v>0</v>
      </c>
      <c r="I468" s="676"/>
      <c r="J468" s="676"/>
    </row>
    <row r="469" spans="1:10" s="677" customFormat="1" ht="25.5" hidden="1" customHeight="1">
      <c r="A469" s="709"/>
      <c r="B469" s="666"/>
      <c r="C469" s="708" t="s">
        <v>1407</v>
      </c>
      <c r="D469" s="675">
        <f>[14]Data!AD539</f>
        <v>1308.06</v>
      </c>
      <c r="E469" s="674" t="s">
        <v>264</v>
      </c>
      <c r="F469" s="663">
        <f t="shared" si="16"/>
        <v>0</v>
      </c>
      <c r="G469" s="675"/>
      <c r="H469" s="667">
        <f t="shared" si="15"/>
        <v>0</v>
      </c>
      <c r="I469" s="676"/>
      <c r="J469" s="676"/>
    </row>
    <row r="470" spans="1:10" s="677" customFormat="1" ht="25.5" hidden="1" customHeight="1">
      <c r="A470" s="711"/>
      <c r="B470" s="666"/>
      <c r="C470" s="712" t="s">
        <v>1408</v>
      </c>
      <c r="D470" s="675">
        <f>[14]Data!AD540</f>
        <v>1312.17</v>
      </c>
      <c r="E470" s="713" t="s">
        <v>264</v>
      </c>
      <c r="F470" s="663">
        <f t="shared" si="16"/>
        <v>0</v>
      </c>
      <c r="G470" s="675"/>
      <c r="H470" s="667">
        <f t="shared" si="15"/>
        <v>0</v>
      </c>
      <c r="I470" s="676"/>
      <c r="J470" s="676"/>
    </row>
    <row r="471" spans="1:10" s="677" customFormat="1" ht="25.5" hidden="1" customHeight="1">
      <c r="A471" s="714"/>
      <c r="B471" s="666"/>
      <c r="C471" s="715" t="s">
        <v>1409</v>
      </c>
      <c r="D471" s="675">
        <f>[14]Data!AD541</f>
        <v>1316.28</v>
      </c>
      <c r="E471" s="716" t="s">
        <v>264</v>
      </c>
      <c r="F471" s="663">
        <f t="shared" si="16"/>
        <v>0</v>
      </c>
      <c r="G471" s="675"/>
      <c r="H471" s="667">
        <f t="shared" si="15"/>
        <v>0</v>
      </c>
      <c r="I471" s="676"/>
      <c r="J471" s="676"/>
    </row>
    <row r="472" spans="1:10" s="677" customFormat="1" ht="61.5" hidden="1" customHeight="1">
      <c r="A472" s="709" t="s">
        <v>39</v>
      </c>
      <c r="B472" s="666"/>
      <c r="C472" s="710" t="s">
        <v>1626</v>
      </c>
      <c r="D472" s="675"/>
      <c r="E472" s="674"/>
      <c r="F472" s="663">
        <f t="shared" si="16"/>
        <v>0</v>
      </c>
      <c r="G472" s="675"/>
      <c r="H472" s="667">
        <f t="shared" si="15"/>
        <v>0</v>
      </c>
      <c r="I472" s="676"/>
      <c r="J472" s="676"/>
    </row>
    <row r="473" spans="1:10" s="677" customFormat="1" ht="39" hidden="1" customHeight="1">
      <c r="A473" s="709"/>
      <c r="B473" s="666"/>
      <c r="C473" s="674" t="s">
        <v>1457</v>
      </c>
      <c r="D473" s="675">
        <f>[14]Data!AD559</f>
        <v>1448.8</v>
      </c>
      <c r="E473" s="674" t="s">
        <v>264</v>
      </c>
      <c r="F473" s="663">
        <f t="shared" si="16"/>
        <v>0</v>
      </c>
      <c r="G473" s="675"/>
      <c r="H473" s="667">
        <f t="shared" si="15"/>
        <v>0</v>
      </c>
      <c r="I473" s="676"/>
      <c r="J473" s="676"/>
    </row>
    <row r="474" spans="1:10" s="677" customFormat="1" ht="25.5" hidden="1" customHeight="1">
      <c r="A474" s="709"/>
      <c r="B474" s="666"/>
      <c r="C474" s="708" t="s">
        <v>1458</v>
      </c>
      <c r="D474" s="675">
        <f>[14]Data!AD561</f>
        <v>1452.97</v>
      </c>
      <c r="E474" s="674" t="s">
        <v>264</v>
      </c>
      <c r="F474" s="663">
        <f t="shared" si="16"/>
        <v>0</v>
      </c>
      <c r="G474" s="675"/>
      <c r="H474" s="667">
        <f t="shared" si="15"/>
        <v>0</v>
      </c>
      <c r="I474" s="676"/>
      <c r="J474" s="676"/>
    </row>
    <row r="475" spans="1:10" s="677" customFormat="1" ht="25.5" hidden="1" customHeight="1">
      <c r="A475" s="709"/>
      <c r="B475" s="666"/>
      <c r="C475" s="708" t="s">
        <v>1459</v>
      </c>
      <c r="D475" s="675">
        <f>[14]Data!AD562</f>
        <v>1461.19</v>
      </c>
      <c r="E475" s="674" t="s">
        <v>264</v>
      </c>
      <c r="F475" s="663">
        <f t="shared" si="16"/>
        <v>0</v>
      </c>
      <c r="G475" s="675"/>
      <c r="H475" s="667">
        <f t="shared" si="15"/>
        <v>0</v>
      </c>
      <c r="I475" s="676"/>
      <c r="J475" s="676"/>
    </row>
    <row r="476" spans="1:10" s="677" customFormat="1" ht="25.5" hidden="1" customHeight="1">
      <c r="A476" s="711"/>
      <c r="B476" s="666"/>
      <c r="C476" s="712" t="s">
        <v>1460</v>
      </c>
      <c r="D476" s="675">
        <f>[14]Data!AD563</f>
        <v>1469.41</v>
      </c>
      <c r="E476" s="713" t="s">
        <v>264</v>
      </c>
      <c r="F476" s="663">
        <f t="shared" si="16"/>
        <v>0</v>
      </c>
      <c r="G476" s="675"/>
      <c r="H476" s="667">
        <f t="shared" si="15"/>
        <v>0</v>
      </c>
      <c r="I476" s="676"/>
      <c r="J476" s="676"/>
    </row>
    <row r="477" spans="1:10" s="677" customFormat="1" ht="25.5" hidden="1" customHeight="1">
      <c r="A477" s="709"/>
      <c r="B477" s="666"/>
      <c r="C477" s="708" t="s">
        <v>1461</v>
      </c>
      <c r="D477" s="675">
        <f>[14]Data!AD564</f>
        <v>1477.63</v>
      </c>
      <c r="E477" s="674" t="s">
        <v>264</v>
      </c>
      <c r="F477" s="663">
        <f t="shared" si="16"/>
        <v>0</v>
      </c>
      <c r="G477" s="675"/>
      <c r="H477" s="667">
        <f t="shared" si="15"/>
        <v>0</v>
      </c>
      <c r="I477" s="676"/>
      <c r="J477" s="676"/>
    </row>
    <row r="478" spans="1:10" s="677" customFormat="1" ht="25.5" hidden="1" customHeight="1">
      <c r="A478" s="707"/>
      <c r="B478" s="666"/>
      <c r="C478" s="708" t="s">
        <v>1462</v>
      </c>
      <c r="D478" s="675">
        <f>[14]Data!AD565</f>
        <v>1485.85</v>
      </c>
      <c r="E478" s="674" t="s">
        <v>264</v>
      </c>
      <c r="F478" s="663">
        <f t="shared" si="16"/>
        <v>0</v>
      </c>
      <c r="G478" s="675"/>
      <c r="H478" s="667">
        <f t="shared" si="15"/>
        <v>0</v>
      </c>
      <c r="I478" s="676"/>
      <c r="J478" s="676"/>
    </row>
    <row r="479" spans="1:10" s="677" customFormat="1" ht="40.5" hidden="1" customHeight="1">
      <c r="A479" s="707"/>
      <c r="B479" s="666"/>
      <c r="C479" s="717" t="s">
        <v>1627</v>
      </c>
      <c r="D479" s="718"/>
      <c r="E479" s="713"/>
      <c r="F479" s="663">
        <f t="shared" si="16"/>
        <v>0</v>
      </c>
      <c r="G479" s="675"/>
      <c r="H479" s="667">
        <f t="shared" si="15"/>
        <v>0</v>
      </c>
      <c r="I479" s="676"/>
      <c r="J479" s="676"/>
    </row>
    <row r="480" spans="1:10" s="677" customFormat="1" ht="25.5" hidden="1" customHeight="1">
      <c r="A480" s="707"/>
      <c r="B480" s="666"/>
      <c r="C480" s="719" t="s">
        <v>1628</v>
      </c>
      <c r="D480" s="720">
        <f>[14]Data!AD486</f>
        <v>2598.2199999999998</v>
      </c>
      <c r="E480" s="719" t="s">
        <v>264</v>
      </c>
      <c r="F480" s="663">
        <f t="shared" si="16"/>
        <v>0</v>
      </c>
      <c r="G480" s="675"/>
      <c r="H480" s="667">
        <f t="shared" si="15"/>
        <v>0</v>
      </c>
      <c r="I480" s="676"/>
      <c r="J480" s="676"/>
    </row>
    <row r="481" spans="1:10" s="677" customFormat="1" ht="25.5" hidden="1" customHeight="1">
      <c r="A481" s="707"/>
      <c r="B481" s="666"/>
      <c r="C481" s="721" t="s">
        <v>1406</v>
      </c>
      <c r="D481" s="720">
        <f>[14]Data!AD487</f>
        <v>2605.88</v>
      </c>
      <c r="E481" s="721" t="s">
        <v>264</v>
      </c>
      <c r="F481" s="663">
        <f t="shared" si="16"/>
        <v>0</v>
      </c>
      <c r="G481" s="675"/>
      <c r="H481" s="667">
        <f t="shared" si="15"/>
        <v>0</v>
      </c>
      <c r="I481" s="676"/>
      <c r="J481" s="676"/>
    </row>
    <row r="482" spans="1:10" s="677" customFormat="1" ht="25.5" hidden="1" customHeight="1">
      <c r="A482" s="707"/>
      <c r="B482" s="666"/>
      <c r="C482" s="708" t="s">
        <v>1407</v>
      </c>
      <c r="D482" s="720">
        <f>[14]Data!AD488</f>
        <v>2613.54</v>
      </c>
      <c r="E482" s="674" t="s">
        <v>264</v>
      </c>
      <c r="F482" s="663">
        <f t="shared" si="16"/>
        <v>0</v>
      </c>
      <c r="G482" s="675"/>
      <c r="H482" s="667">
        <f t="shared" si="15"/>
        <v>0</v>
      </c>
      <c r="I482" s="676"/>
      <c r="J482" s="676"/>
    </row>
    <row r="483" spans="1:10" s="677" customFormat="1" ht="25.5" hidden="1" customHeight="1">
      <c r="A483" s="707"/>
      <c r="B483" s="666"/>
      <c r="C483" s="712" t="s">
        <v>1408</v>
      </c>
      <c r="D483" s="720">
        <f>[14]Data!AD489</f>
        <v>2621.1999999999998</v>
      </c>
      <c r="E483" s="713" t="s">
        <v>264</v>
      </c>
      <c r="F483" s="663">
        <f t="shared" si="16"/>
        <v>0</v>
      </c>
      <c r="G483" s="675"/>
      <c r="H483" s="667">
        <f t="shared" si="15"/>
        <v>0</v>
      </c>
      <c r="I483" s="676"/>
      <c r="J483" s="676"/>
    </row>
    <row r="484" spans="1:10" s="677" customFormat="1" ht="5.25" hidden="1" customHeight="1">
      <c r="A484" s="707"/>
      <c r="B484" s="666"/>
      <c r="C484" s="715" t="s">
        <v>1409</v>
      </c>
      <c r="D484" s="720">
        <f>[14]Data!AD490</f>
        <v>2628.86</v>
      </c>
      <c r="E484" s="716" t="s">
        <v>264</v>
      </c>
      <c r="F484" s="663">
        <f t="shared" si="16"/>
        <v>0</v>
      </c>
      <c r="G484" s="675"/>
      <c r="H484" s="667">
        <f t="shared" si="15"/>
        <v>0</v>
      </c>
      <c r="I484" s="676"/>
      <c r="J484" s="676"/>
    </row>
    <row r="485" spans="1:10" s="683" customFormat="1" ht="90.75" hidden="1" customHeight="1">
      <c r="A485" s="722"/>
      <c r="B485" s="666"/>
      <c r="C485" s="663" t="s">
        <v>1629</v>
      </c>
      <c r="D485" s="667"/>
      <c r="E485" s="663"/>
      <c r="F485" s="663">
        <f t="shared" si="16"/>
        <v>0</v>
      </c>
      <c r="G485" s="667"/>
      <c r="H485" s="667">
        <f t="shared" si="15"/>
        <v>0</v>
      </c>
      <c r="I485" s="702"/>
      <c r="J485" s="702"/>
    </row>
    <row r="486" spans="1:10" s="683" customFormat="1" ht="48.75" hidden="1" customHeight="1">
      <c r="A486" s="662"/>
      <c r="B486" s="666"/>
      <c r="C486" s="663" t="s">
        <v>1420</v>
      </c>
      <c r="D486" s="667">
        <f>[14]Data!X486</f>
        <v>2578</v>
      </c>
      <c r="E486" s="663" t="s">
        <v>264</v>
      </c>
      <c r="F486" s="663">
        <f t="shared" si="16"/>
        <v>0</v>
      </c>
      <c r="G486" s="667"/>
      <c r="H486" s="667">
        <f t="shared" si="15"/>
        <v>0</v>
      </c>
      <c r="I486" s="702"/>
      <c r="J486" s="702"/>
    </row>
    <row r="487" spans="1:10" s="683" customFormat="1" ht="48.75" hidden="1" customHeight="1">
      <c r="A487" s="662"/>
      <c r="B487" s="666"/>
      <c r="C487" s="663" t="s">
        <v>1406</v>
      </c>
      <c r="D487" s="667">
        <f>[14]Data!X487</f>
        <v>2585.66</v>
      </c>
      <c r="E487" s="663" t="s">
        <v>264</v>
      </c>
      <c r="F487" s="663">
        <f t="shared" si="16"/>
        <v>0</v>
      </c>
      <c r="G487" s="667"/>
      <c r="H487" s="667">
        <f t="shared" si="15"/>
        <v>0</v>
      </c>
      <c r="I487" s="702"/>
      <c r="J487" s="702"/>
    </row>
    <row r="488" spans="1:10" s="683" customFormat="1" ht="48.75" hidden="1" customHeight="1">
      <c r="A488" s="662"/>
      <c r="B488" s="666"/>
      <c r="C488" s="663" t="s">
        <v>1407</v>
      </c>
      <c r="D488" s="667">
        <f>[14]Data!X488</f>
        <v>2593.3200000000002</v>
      </c>
      <c r="E488" s="663" t="s">
        <v>264</v>
      </c>
      <c r="F488" s="663">
        <f t="shared" si="16"/>
        <v>0</v>
      </c>
      <c r="G488" s="667"/>
      <c r="H488" s="667">
        <f t="shared" si="15"/>
        <v>0</v>
      </c>
      <c r="I488" s="702"/>
      <c r="J488" s="702"/>
    </row>
    <row r="489" spans="1:10" s="683" customFormat="1" ht="48.75" hidden="1" customHeight="1">
      <c r="A489" s="662"/>
      <c r="B489" s="666"/>
      <c r="C489" s="663" t="s">
        <v>1408</v>
      </c>
      <c r="D489" s="667">
        <f>[14]Data!X489</f>
        <v>2600.98</v>
      </c>
      <c r="E489" s="663" t="s">
        <v>264</v>
      </c>
      <c r="F489" s="663">
        <f t="shared" si="16"/>
        <v>0</v>
      </c>
      <c r="G489" s="667"/>
      <c r="H489" s="667">
        <f t="shared" si="15"/>
        <v>0</v>
      </c>
      <c r="I489" s="702"/>
      <c r="J489" s="702"/>
    </row>
    <row r="490" spans="1:10" s="683" customFormat="1" ht="44.25" hidden="1" customHeight="1">
      <c r="A490" s="688"/>
      <c r="B490" s="666"/>
      <c r="C490" s="663" t="s">
        <v>1409</v>
      </c>
      <c r="D490" s="667">
        <f>[14]Data!X490</f>
        <v>2608.64</v>
      </c>
      <c r="E490" s="663" t="s">
        <v>264</v>
      </c>
      <c r="F490" s="663">
        <f t="shared" si="16"/>
        <v>0</v>
      </c>
      <c r="G490" s="667"/>
      <c r="H490" s="667">
        <f t="shared" si="15"/>
        <v>0</v>
      </c>
      <c r="I490" s="702"/>
      <c r="J490" s="702"/>
    </row>
    <row r="491" spans="1:10" s="726" customFormat="1" ht="25.5" hidden="1" customHeight="1">
      <c r="A491" s="723"/>
      <c r="B491" s="666"/>
      <c r="C491" s="724" t="s">
        <v>1411</v>
      </c>
      <c r="D491" s="675">
        <f>[14]Data!X491</f>
        <v>0</v>
      </c>
      <c r="E491" s="674" t="s">
        <v>264</v>
      </c>
      <c r="F491" s="663">
        <f t="shared" si="16"/>
        <v>0</v>
      </c>
      <c r="G491" s="675"/>
      <c r="H491" s="667">
        <f t="shared" si="15"/>
        <v>0</v>
      </c>
      <c r="I491" s="725"/>
      <c r="J491" s="725"/>
    </row>
    <row r="492" spans="1:10" ht="44.25" hidden="1" customHeight="1">
      <c r="A492" s="727">
        <v>4.0999999999999996</v>
      </c>
      <c r="B492" s="666"/>
      <c r="C492" s="728" t="s">
        <v>547</v>
      </c>
      <c r="D492" s="729"/>
      <c r="E492" s="704"/>
      <c r="F492" s="663">
        <f t="shared" si="16"/>
        <v>0</v>
      </c>
      <c r="G492" s="667"/>
      <c r="H492" s="667">
        <f t="shared" si="15"/>
        <v>0</v>
      </c>
    </row>
    <row r="493" spans="1:10" ht="50.25" hidden="1" customHeight="1">
      <c r="A493" s="727"/>
      <c r="B493" s="666"/>
      <c r="C493" s="663" t="s">
        <v>1433</v>
      </c>
      <c r="D493" s="729">
        <f>[14]Data!X718</f>
        <v>7507.52</v>
      </c>
      <c r="E493" s="663" t="s">
        <v>16</v>
      </c>
      <c r="F493" s="663">
        <f t="shared" si="16"/>
        <v>0</v>
      </c>
      <c r="G493" s="667"/>
      <c r="H493" s="667">
        <f t="shared" si="15"/>
        <v>0</v>
      </c>
    </row>
    <row r="494" spans="1:10" ht="50.25" hidden="1" customHeight="1">
      <c r="A494" s="727">
        <v>8.1</v>
      </c>
      <c r="B494" s="666"/>
      <c r="C494" s="663" t="s">
        <v>1630</v>
      </c>
      <c r="D494" s="729">
        <f>[14]Data!X720</f>
        <v>7610.82</v>
      </c>
      <c r="E494" s="663" t="s">
        <v>16</v>
      </c>
      <c r="F494" s="663">
        <f t="shared" si="16"/>
        <v>0</v>
      </c>
      <c r="G494" s="667"/>
      <c r="H494" s="667">
        <f t="shared" si="15"/>
        <v>0</v>
      </c>
    </row>
    <row r="495" spans="1:10" ht="50.25" hidden="1" customHeight="1">
      <c r="A495" s="727"/>
      <c r="B495" s="666"/>
      <c r="C495" s="663" t="s">
        <v>1435</v>
      </c>
      <c r="D495" s="729">
        <f>[14]Data!X721</f>
        <v>7814.32</v>
      </c>
      <c r="E495" s="663" t="s">
        <v>16</v>
      </c>
      <c r="F495" s="663">
        <f t="shared" si="16"/>
        <v>0</v>
      </c>
      <c r="G495" s="667"/>
      <c r="H495" s="667">
        <f t="shared" si="15"/>
        <v>0</v>
      </c>
    </row>
    <row r="496" spans="1:10" ht="50.25" hidden="1" customHeight="1">
      <c r="A496" s="727"/>
      <c r="B496" s="666"/>
      <c r="C496" s="663" t="s">
        <v>1436</v>
      </c>
      <c r="D496" s="729">
        <f>[14]Data!X722</f>
        <v>8017.82</v>
      </c>
      <c r="E496" s="663" t="s">
        <v>16</v>
      </c>
      <c r="F496" s="663">
        <f t="shared" si="16"/>
        <v>0</v>
      </c>
      <c r="G496" s="667"/>
      <c r="H496" s="667">
        <f t="shared" si="15"/>
        <v>0</v>
      </c>
    </row>
    <row r="497" spans="1:8" ht="50.25" hidden="1" customHeight="1">
      <c r="A497" s="727"/>
      <c r="B497" s="666"/>
      <c r="C497" s="663" t="s">
        <v>1461</v>
      </c>
      <c r="D497" s="729">
        <f>[14]Data!X723</f>
        <v>8221.32</v>
      </c>
      <c r="E497" s="663" t="s">
        <v>16</v>
      </c>
      <c r="F497" s="663">
        <f t="shared" si="16"/>
        <v>0</v>
      </c>
      <c r="G497" s="667"/>
      <c r="H497" s="667">
        <f t="shared" si="15"/>
        <v>0</v>
      </c>
    </row>
    <row r="498" spans="1:8" ht="48.75" hidden="1" customHeight="1">
      <c r="A498" s="727"/>
      <c r="B498" s="666"/>
      <c r="C498" s="704" t="s">
        <v>1631</v>
      </c>
      <c r="D498" s="729">
        <f>[14]Data!X724</f>
        <v>8424.82</v>
      </c>
      <c r="E498" s="663" t="s">
        <v>16</v>
      </c>
      <c r="F498" s="663">
        <f t="shared" si="16"/>
        <v>0</v>
      </c>
      <c r="G498" s="667"/>
      <c r="H498" s="667">
        <f t="shared" si="15"/>
        <v>0</v>
      </c>
    </row>
    <row r="499" spans="1:8" s="677" customFormat="1" ht="38.25" hidden="1" customHeight="1">
      <c r="A499" s="730" t="s">
        <v>1632</v>
      </c>
      <c r="B499" s="666"/>
      <c r="C499" s="731" t="s">
        <v>1633</v>
      </c>
      <c r="D499" s="675"/>
      <c r="E499" s="674"/>
      <c r="F499" s="663">
        <f t="shared" si="16"/>
        <v>0</v>
      </c>
      <c r="G499" s="675"/>
      <c r="H499" s="667">
        <f t="shared" si="15"/>
        <v>0</v>
      </c>
    </row>
    <row r="500" spans="1:8" s="677" customFormat="1" ht="38.25" hidden="1" customHeight="1">
      <c r="A500" s="730"/>
      <c r="B500" s="666"/>
      <c r="C500" s="708" t="s">
        <v>1433</v>
      </c>
      <c r="D500" s="675">
        <f>[14]Data!X688</f>
        <v>8044.93</v>
      </c>
      <c r="E500" s="674" t="s">
        <v>16</v>
      </c>
      <c r="F500" s="663">
        <f t="shared" si="16"/>
        <v>0</v>
      </c>
      <c r="G500" s="675"/>
      <c r="H500" s="667">
        <f t="shared" si="15"/>
        <v>0</v>
      </c>
    </row>
    <row r="501" spans="1:8" s="677" customFormat="1" ht="38.25" hidden="1" customHeight="1">
      <c r="A501" s="730"/>
      <c r="B501" s="666"/>
      <c r="C501" s="708" t="s">
        <v>1434</v>
      </c>
      <c r="D501" s="675">
        <f>[14]Data!X690</f>
        <v>8148.23</v>
      </c>
      <c r="E501" s="674" t="s">
        <v>16</v>
      </c>
      <c r="F501" s="663">
        <f t="shared" si="16"/>
        <v>0</v>
      </c>
      <c r="G501" s="675"/>
      <c r="H501" s="667">
        <f t="shared" si="15"/>
        <v>0</v>
      </c>
    </row>
    <row r="502" spans="1:8" s="677" customFormat="1" ht="38.25" hidden="1" customHeight="1">
      <c r="A502" s="730"/>
      <c r="B502" s="666"/>
      <c r="C502" s="708" t="s">
        <v>1435</v>
      </c>
      <c r="D502" s="675">
        <f>[14]Data!X691</f>
        <v>8351.73</v>
      </c>
      <c r="E502" s="674" t="s">
        <v>16</v>
      </c>
      <c r="F502" s="663">
        <f t="shared" si="16"/>
        <v>0</v>
      </c>
      <c r="G502" s="675"/>
      <c r="H502" s="667">
        <f t="shared" si="15"/>
        <v>0</v>
      </c>
    </row>
    <row r="503" spans="1:8" s="677" customFormat="1" ht="50.25" hidden="1" customHeight="1">
      <c r="A503" s="732"/>
      <c r="B503" s="666"/>
      <c r="C503" s="708" t="s">
        <v>1436</v>
      </c>
      <c r="D503" s="733">
        <f>[14]Data!X692</f>
        <v>8555.23</v>
      </c>
      <c r="E503" s="674" t="s">
        <v>16</v>
      </c>
      <c r="F503" s="663">
        <f t="shared" si="16"/>
        <v>0</v>
      </c>
      <c r="G503" s="675"/>
      <c r="H503" s="667">
        <f t="shared" si="15"/>
        <v>0</v>
      </c>
    </row>
    <row r="504" spans="1:8" s="677" customFormat="1" ht="50.25" hidden="1" customHeight="1">
      <c r="A504" s="732"/>
      <c r="B504" s="666"/>
      <c r="C504" s="708" t="s">
        <v>1461</v>
      </c>
      <c r="D504" s="733">
        <f>[14]Data!X693</f>
        <v>8758.73</v>
      </c>
      <c r="E504" s="674" t="s">
        <v>16</v>
      </c>
      <c r="F504" s="663">
        <f t="shared" si="16"/>
        <v>0</v>
      </c>
      <c r="G504" s="675"/>
      <c r="H504" s="667">
        <f t="shared" si="15"/>
        <v>0</v>
      </c>
    </row>
    <row r="505" spans="1:8" s="677" customFormat="1" ht="60" hidden="1" customHeight="1">
      <c r="A505" s="662"/>
      <c r="B505" s="666"/>
      <c r="C505" s="734" t="s">
        <v>1634</v>
      </c>
      <c r="D505" s="675"/>
      <c r="E505" s="674"/>
      <c r="F505" s="663">
        <f t="shared" si="16"/>
        <v>0</v>
      </c>
      <c r="G505" s="675"/>
      <c r="H505" s="667">
        <f t="shared" si="15"/>
        <v>0</v>
      </c>
    </row>
    <row r="506" spans="1:8" s="677" customFormat="1" ht="51" hidden="1" customHeight="1">
      <c r="A506" s="662"/>
      <c r="B506" s="666"/>
      <c r="C506" s="735" t="s">
        <v>1635</v>
      </c>
      <c r="D506" s="675">
        <f>[14]Data!R1183</f>
        <v>7897.4</v>
      </c>
      <c r="E506" s="674" t="s">
        <v>16</v>
      </c>
      <c r="F506" s="663">
        <f t="shared" si="16"/>
        <v>0</v>
      </c>
      <c r="G506" s="675"/>
      <c r="H506" s="667">
        <f t="shared" si="15"/>
        <v>0</v>
      </c>
    </row>
    <row r="507" spans="1:8" s="677" customFormat="1" ht="33" hidden="1" customHeight="1">
      <c r="A507" s="662"/>
      <c r="B507" s="666"/>
      <c r="C507" s="735" t="s">
        <v>1636</v>
      </c>
      <c r="D507" s="675">
        <f>[14]Data!R1184</f>
        <v>8000.7</v>
      </c>
      <c r="E507" s="674" t="s">
        <v>16</v>
      </c>
      <c r="F507" s="663">
        <f t="shared" si="16"/>
        <v>0</v>
      </c>
      <c r="G507" s="675"/>
      <c r="H507" s="667">
        <f t="shared" si="15"/>
        <v>0</v>
      </c>
    </row>
    <row r="508" spans="1:8" s="677" customFormat="1" ht="58.5" hidden="1" customHeight="1">
      <c r="A508" s="662"/>
      <c r="B508" s="666"/>
      <c r="C508" s="685" t="s">
        <v>1637</v>
      </c>
      <c r="D508" s="675"/>
      <c r="E508" s="674"/>
      <c r="F508" s="663">
        <f t="shared" si="16"/>
        <v>0</v>
      </c>
      <c r="G508" s="675"/>
      <c r="H508" s="667">
        <f t="shared" si="15"/>
        <v>0</v>
      </c>
    </row>
    <row r="509" spans="1:8" s="677" customFormat="1" ht="45.75" hidden="1" customHeight="1">
      <c r="A509" s="662"/>
      <c r="B509" s="666"/>
      <c r="C509" s="663" t="s">
        <v>1433</v>
      </c>
      <c r="D509" s="675">
        <f>[14]Data!R1156</f>
        <v>7823.57</v>
      </c>
      <c r="E509" s="674" t="s">
        <v>235</v>
      </c>
      <c r="F509" s="663">
        <f t="shared" si="16"/>
        <v>0</v>
      </c>
      <c r="G509" s="675"/>
      <c r="H509" s="667">
        <f t="shared" si="15"/>
        <v>0</v>
      </c>
    </row>
    <row r="510" spans="1:8" s="677" customFormat="1" ht="45.75" hidden="1" customHeight="1">
      <c r="A510" s="662"/>
      <c r="B510" s="666"/>
      <c r="C510" s="663" t="s">
        <v>1638</v>
      </c>
      <c r="D510" s="675">
        <f>[14]Data!R1158</f>
        <v>7926.87</v>
      </c>
      <c r="E510" s="674" t="s">
        <v>235</v>
      </c>
      <c r="F510" s="663">
        <f t="shared" si="16"/>
        <v>0</v>
      </c>
      <c r="G510" s="675"/>
      <c r="H510" s="667">
        <f t="shared" si="15"/>
        <v>0</v>
      </c>
    </row>
    <row r="511" spans="1:8" s="677" customFormat="1" ht="45.75" hidden="1" customHeight="1">
      <c r="A511" s="662"/>
      <c r="B511" s="666"/>
      <c r="C511" s="663" t="s">
        <v>1435</v>
      </c>
      <c r="D511" s="675">
        <f>[14]Data!R1159</f>
        <v>8130.37</v>
      </c>
      <c r="E511" s="674" t="s">
        <v>235</v>
      </c>
      <c r="F511" s="663">
        <f t="shared" si="16"/>
        <v>0</v>
      </c>
      <c r="G511" s="675"/>
      <c r="H511" s="667">
        <f t="shared" si="15"/>
        <v>0</v>
      </c>
    </row>
    <row r="512" spans="1:8" s="677" customFormat="1" ht="45.75" hidden="1" customHeight="1">
      <c r="A512" s="662"/>
      <c r="B512" s="666"/>
      <c r="C512" s="663" t="s">
        <v>1436</v>
      </c>
      <c r="D512" s="675">
        <f>[14]Data!R1160</f>
        <v>8333.8700000000008</v>
      </c>
      <c r="E512" s="674" t="s">
        <v>235</v>
      </c>
      <c r="F512" s="663">
        <f t="shared" si="16"/>
        <v>0</v>
      </c>
      <c r="G512" s="675"/>
      <c r="H512" s="667">
        <f t="shared" si="15"/>
        <v>0</v>
      </c>
    </row>
    <row r="513" spans="1:8" s="677" customFormat="1" ht="45.75" hidden="1" customHeight="1">
      <c r="A513" s="662"/>
      <c r="B513" s="666"/>
      <c r="C513" s="663" t="s">
        <v>1461</v>
      </c>
      <c r="D513" s="675">
        <f>[14]Data!R1161</f>
        <v>8537.3700000000008</v>
      </c>
      <c r="E513" s="674" t="s">
        <v>235</v>
      </c>
      <c r="F513" s="663">
        <f t="shared" si="16"/>
        <v>0</v>
      </c>
      <c r="G513" s="675"/>
      <c r="H513" s="667">
        <f t="shared" si="15"/>
        <v>0</v>
      </c>
    </row>
    <row r="514" spans="1:8" s="677" customFormat="1" ht="45.75" hidden="1" customHeight="1">
      <c r="A514" s="662"/>
      <c r="B514" s="666"/>
      <c r="C514" s="663" t="s">
        <v>1438</v>
      </c>
      <c r="D514" s="675">
        <f>[14]Data!R1162</f>
        <v>8740.8700000000008</v>
      </c>
      <c r="E514" s="674" t="s">
        <v>235</v>
      </c>
      <c r="F514" s="663">
        <f t="shared" si="16"/>
        <v>0</v>
      </c>
      <c r="G514" s="675"/>
      <c r="H514" s="667">
        <f t="shared" si="15"/>
        <v>0</v>
      </c>
    </row>
    <row r="515" spans="1:8" s="677" customFormat="1" ht="45.75" hidden="1" customHeight="1">
      <c r="A515" s="662"/>
      <c r="B515" s="666"/>
      <c r="C515" s="663" t="s">
        <v>1639</v>
      </c>
      <c r="D515" s="675">
        <f>[14]Data!R1163</f>
        <v>8944.3700000000008</v>
      </c>
      <c r="E515" s="674" t="s">
        <v>235</v>
      </c>
      <c r="F515" s="663">
        <f t="shared" si="16"/>
        <v>0</v>
      </c>
      <c r="G515" s="675"/>
      <c r="H515" s="667">
        <f t="shared" si="15"/>
        <v>0</v>
      </c>
    </row>
    <row r="516" spans="1:8" s="677" customFormat="1" ht="45.75" hidden="1" customHeight="1">
      <c r="A516" s="662"/>
      <c r="B516" s="666"/>
      <c r="C516" s="663" t="s">
        <v>1640</v>
      </c>
      <c r="D516" s="675">
        <f>[14]Data!R1164</f>
        <v>9147.8700000000008</v>
      </c>
      <c r="E516" s="674" t="s">
        <v>235</v>
      </c>
      <c r="F516" s="663">
        <f t="shared" si="16"/>
        <v>0</v>
      </c>
      <c r="G516" s="675"/>
      <c r="H516" s="667">
        <f t="shared" si="15"/>
        <v>0</v>
      </c>
    </row>
    <row r="517" spans="1:8" s="677" customFormat="1" ht="45.75" hidden="1" customHeight="1">
      <c r="A517" s="662"/>
      <c r="B517" s="666"/>
      <c r="C517" s="663" t="s">
        <v>1641</v>
      </c>
      <c r="D517" s="675">
        <f>[14]Data!R1165</f>
        <v>9351.3700000000008</v>
      </c>
      <c r="E517" s="674" t="s">
        <v>235</v>
      </c>
      <c r="F517" s="663">
        <f t="shared" si="16"/>
        <v>0</v>
      </c>
      <c r="G517" s="675"/>
      <c r="H517" s="667">
        <f t="shared" si="15"/>
        <v>0</v>
      </c>
    </row>
    <row r="518" spans="1:8" s="677" customFormat="1" ht="45.75" hidden="1" customHeight="1">
      <c r="A518" s="662"/>
      <c r="B518" s="666"/>
      <c r="C518" s="735" t="s">
        <v>1642</v>
      </c>
      <c r="D518" s="675">
        <f>[14]Data!R1166</f>
        <v>9554.8700000000008</v>
      </c>
      <c r="E518" s="674" t="s">
        <v>235</v>
      </c>
      <c r="F518" s="663">
        <f t="shared" si="16"/>
        <v>0</v>
      </c>
      <c r="G518" s="675"/>
      <c r="H518" s="667">
        <f t="shared" ref="H518:H581" si="17">G518*D518</f>
        <v>0</v>
      </c>
    </row>
    <row r="519" spans="1:8" s="677" customFormat="1" ht="45.75" hidden="1" customHeight="1">
      <c r="A519" s="662"/>
      <c r="B519" s="666"/>
      <c r="C519" s="735" t="s">
        <v>1643</v>
      </c>
      <c r="D519" s="675">
        <f>[14]Data!R1167</f>
        <v>9758.3700000000008</v>
      </c>
      <c r="E519" s="674" t="s">
        <v>235</v>
      </c>
      <c r="F519" s="663">
        <f t="shared" si="16"/>
        <v>0</v>
      </c>
      <c r="G519" s="675"/>
      <c r="H519" s="667">
        <f t="shared" si="17"/>
        <v>0</v>
      </c>
    </row>
    <row r="520" spans="1:8" s="677" customFormat="1" ht="45.75" hidden="1" customHeight="1">
      <c r="A520" s="662"/>
      <c r="B520" s="666"/>
      <c r="C520" s="735" t="s">
        <v>1644</v>
      </c>
      <c r="D520" s="675">
        <f>[14]Data!R1168</f>
        <v>9961.8700000000008</v>
      </c>
      <c r="E520" s="674" t="s">
        <v>235</v>
      </c>
      <c r="F520" s="663">
        <f t="shared" si="16"/>
        <v>0</v>
      </c>
      <c r="G520" s="675"/>
      <c r="H520" s="667">
        <f t="shared" si="17"/>
        <v>0</v>
      </c>
    </row>
    <row r="521" spans="1:8" s="677" customFormat="1" ht="45.75" hidden="1" customHeight="1">
      <c r="A521" s="662"/>
      <c r="B521" s="666"/>
      <c r="C521" s="663" t="s">
        <v>1417</v>
      </c>
      <c r="D521" s="675">
        <f>[14]Data!R1169</f>
        <v>10165.370000000001</v>
      </c>
      <c r="E521" s="674" t="s">
        <v>235</v>
      </c>
      <c r="F521" s="663">
        <f t="shared" si="16"/>
        <v>0</v>
      </c>
      <c r="G521" s="675"/>
      <c r="H521" s="667">
        <f t="shared" si="17"/>
        <v>0</v>
      </c>
    </row>
    <row r="522" spans="1:8" s="677" customFormat="1" ht="45.75" hidden="1" customHeight="1">
      <c r="A522" s="662"/>
      <c r="B522" s="666"/>
      <c r="C522" s="663" t="s">
        <v>1418</v>
      </c>
      <c r="D522" s="675">
        <f>[14]Data!R1170</f>
        <v>10368.870000000001</v>
      </c>
      <c r="E522" s="674" t="s">
        <v>235</v>
      </c>
      <c r="F522" s="663">
        <f t="shared" si="16"/>
        <v>0</v>
      </c>
      <c r="G522" s="675"/>
      <c r="H522" s="667">
        <f t="shared" si="17"/>
        <v>0</v>
      </c>
    </row>
    <row r="523" spans="1:8" s="677" customFormat="1" ht="45.75" hidden="1" customHeight="1">
      <c r="A523" s="662"/>
      <c r="B523" s="666"/>
      <c r="C523" s="663" t="s">
        <v>1645</v>
      </c>
      <c r="D523" s="675">
        <f>[14]Data!R1171</f>
        <v>10572.37</v>
      </c>
      <c r="E523" s="674" t="s">
        <v>235</v>
      </c>
      <c r="F523" s="663">
        <f t="shared" si="16"/>
        <v>0</v>
      </c>
      <c r="G523" s="675"/>
      <c r="H523" s="667">
        <f t="shared" si="17"/>
        <v>0</v>
      </c>
    </row>
    <row r="524" spans="1:8" s="677" customFormat="1" ht="49.5" hidden="1" customHeight="1">
      <c r="A524" s="662">
        <v>9.1999999999999993</v>
      </c>
      <c r="B524" s="666"/>
      <c r="C524" s="685" t="s">
        <v>1425</v>
      </c>
      <c r="D524" s="675"/>
      <c r="E524" s="674"/>
      <c r="F524" s="663">
        <f t="shared" si="16"/>
        <v>0</v>
      </c>
      <c r="G524" s="675"/>
      <c r="H524" s="667">
        <f t="shared" si="17"/>
        <v>0</v>
      </c>
    </row>
    <row r="525" spans="1:8" s="677" customFormat="1" ht="33" hidden="1" customHeight="1">
      <c r="A525" s="662"/>
      <c r="B525" s="666"/>
      <c r="C525" s="663" t="s">
        <v>1639</v>
      </c>
      <c r="D525" s="675">
        <f>[14]Data!AG352</f>
        <v>6724.67</v>
      </c>
      <c r="E525" s="674" t="s">
        <v>235</v>
      </c>
      <c r="F525" s="663">
        <f t="shared" si="16"/>
        <v>0</v>
      </c>
      <c r="G525" s="675"/>
      <c r="H525" s="667">
        <f t="shared" si="17"/>
        <v>0</v>
      </c>
    </row>
    <row r="526" spans="1:8" s="677" customFormat="1" ht="33" hidden="1" customHeight="1">
      <c r="A526" s="662"/>
      <c r="B526" s="666"/>
      <c r="C526" s="663" t="s">
        <v>1640</v>
      </c>
      <c r="D526" s="675">
        <f>[14]Data!AG353</f>
        <v>6861.87</v>
      </c>
      <c r="E526" s="674" t="s">
        <v>235</v>
      </c>
      <c r="F526" s="663">
        <f t="shared" si="16"/>
        <v>0</v>
      </c>
      <c r="G526" s="675"/>
      <c r="H526" s="667">
        <f t="shared" si="17"/>
        <v>0</v>
      </c>
    </row>
    <row r="527" spans="1:8" s="677" customFormat="1" ht="33" hidden="1" customHeight="1">
      <c r="A527" s="662"/>
      <c r="B527" s="666"/>
      <c r="C527" s="663" t="s">
        <v>1641</v>
      </c>
      <c r="D527" s="675">
        <f>[14]Data!AG354</f>
        <v>6999.07</v>
      </c>
      <c r="E527" s="674" t="s">
        <v>235</v>
      </c>
      <c r="F527" s="663">
        <f t="shared" si="16"/>
        <v>0</v>
      </c>
      <c r="G527" s="675"/>
      <c r="H527" s="667">
        <f t="shared" si="17"/>
        <v>0</v>
      </c>
    </row>
    <row r="528" spans="1:8" s="677" customFormat="1" ht="33" hidden="1" customHeight="1">
      <c r="A528" s="662"/>
      <c r="B528" s="666"/>
      <c r="C528" s="735" t="s">
        <v>1642</v>
      </c>
      <c r="D528" s="675">
        <f>[14]Data!AG355</f>
        <v>7136.27</v>
      </c>
      <c r="E528" s="674" t="s">
        <v>235</v>
      </c>
      <c r="F528" s="663">
        <f t="shared" si="16"/>
        <v>0</v>
      </c>
      <c r="G528" s="675"/>
      <c r="H528" s="667">
        <f t="shared" si="17"/>
        <v>0</v>
      </c>
    </row>
    <row r="529" spans="1:8" s="677" customFormat="1" ht="33" hidden="1" customHeight="1">
      <c r="A529" s="662"/>
      <c r="B529" s="666"/>
      <c r="C529" s="735" t="s">
        <v>1643</v>
      </c>
      <c r="D529" s="675">
        <f>[14]Data!AG356</f>
        <v>7273.47</v>
      </c>
      <c r="E529" s="674" t="s">
        <v>235</v>
      </c>
      <c r="F529" s="663">
        <f t="shared" ref="F529:F592" si="18">B529*D529</f>
        <v>0</v>
      </c>
      <c r="G529" s="675"/>
      <c r="H529" s="667">
        <f t="shared" si="17"/>
        <v>0</v>
      </c>
    </row>
    <row r="530" spans="1:8" s="677" customFormat="1" ht="33" hidden="1" customHeight="1">
      <c r="A530" s="662"/>
      <c r="B530" s="666"/>
      <c r="C530" s="735" t="s">
        <v>1644</v>
      </c>
      <c r="D530" s="675">
        <f>[14]Data!AG357</f>
        <v>7410.67</v>
      </c>
      <c r="E530" s="674"/>
      <c r="F530" s="663">
        <f t="shared" si="18"/>
        <v>0</v>
      </c>
      <c r="G530" s="675"/>
      <c r="H530" s="667">
        <f t="shared" si="17"/>
        <v>0</v>
      </c>
    </row>
    <row r="531" spans="1:8" s="677" customFormat="1" ht="68.25" hidden="1" customHeight="1">
      <c r="A531" s="662">
        <v>10.199999999999999</v>
      </c>
      <c r="B531" s="666"/>
      <c r="C531" s="685" t="s">
        <v>1439</v>
      </c>
      <c r="D531" s="675"/>
      <c r="E531" s="674"/>
      <c r="F531" s="663">
        <f t="shared" si="18"/>
        <v>0</v>
      </c>
      <c r="G531" s="675"/>
      <c r="H531" s="667">
        <f t="shared" si="17"/>
        <v>0</v>
      </c>
    </row>
    <row r="532" spans="1:8" s="677" customFormat="1" ht="33" hidden="1" customHeight="1">
      <c r="A532" s="662"/>
      <c r="B532" s="666"/>
      <c r="C532" s="663" t="s">
        <v>1639</v>
      </c>
      <c r="D532" s="675">
        <f>[14]Data!AG416</f>
        <v>839.14</v>
      </c>
      <c r="E532" s="674" t="s">
        <v>235</v>
      </c>
      <c r="F532" s="663">
        <f t="shared" si="18"/>
        <v>0</v>
      </c>
      <c r="G532" s="675"/>
      <c r="H532" s="667">
        <f t="shared" si="17"/>
        <v>0</v>
      </c>
    </row>
    <row r="533" spans="1:8" s="677" customFormat="1" ht="33" hidden="1" customHeight="1">
      <c r="A533" s="662"/>
      <c r="B533" s="666"/>
      <c r="C533" s="663" t="s">
        <v>1640</v>
      </c>
      <c r="D533" s="675">
        <f>[14]Data!AG417</f>
        <v>854.78</v>
      </c>
      <c r="E533" s="674" t="s">
        <v>235</v>
      </c>
      <c r="F533" s="663">
        <f t="shared" si="18"/>
        <v>0</v>
      </c>
      <c r="G533" s="675"/>
      <c r="H533" s="667">
        <f t="shared" si="17"/>
        <v>0</v>
      </c>
    </row>
    <row r="534" spans="1:8" ht="35.25" hidden="1" customHeight="1">
      <c r="A534" s="662"/>
      <c r="B534" s="666"/>
      <c r="C534" s="663" t="s">
        <v>1641</v>
      </c>
      <c r="D534" s="667"/>
      <c r="E534" s="663" t="s">
        <v>235</v>
      </c>
      <c r="F534" s="663">
        <f t="shared" si="18"/>
        <v>0</v>
      </c>
      <c r="G534" s="667"/>
      <c r="H534" s="667">
        <f t="shared" si="17"/>
        <v>0</v>
      </c>
    </row>
    <row r="535" spans="1:8" s="677" customFormat="1" ht="33" hidden="1" customHeight="1">
      <c r="A535" s="662"/>
      <c r="B535" s="666"/>
      <c r="C535" s="735" t="s">
        <v>1642</v>
      </c>
      <c r="D535" s="675">
        <f>[14]Data!AG419</f>
        <v>886.06</v>
      </c>
      <c r="E535" s="674" t="s">
        <v>235</v>
      </c>
      <c r="F535" s="663">
        <f t="shared" si="18"/>
        <v>0</v>
      </c>
      <c r="G535" s="675"/>
      <c r="H535" s="667">
        <f t="shared" si="17"/>
        <v>0</v>
      </c>
    </row>
    <row r="536" spans="1:8" s="677" customFormat="1" ht="33" hidden="1" customHeight="1">
      <c r="A536" s="662"/>
      <c r="B536" s="666"/>
      <c r="C536" s="735" t="s">
        <v>1643</v>
      </c>
      <c r="D536" s="675">
        <f>[14]Data!AG420</f>
        <v>901.7</v>
      </c>
      <c r="E536" s="674" t="s">
        <v>235</v>
      </c>
      <c r="F536" s="663">
        <f t="shared" si="18"/>
        <v>0</v>
      </c>
      <c r="G536" s="675"/>
      <c r="H536" s="667">
        <f t="shared" si="17"/>
        <v>0</v>
      </c>
    </row>
    <row r="537" spans="1:8" s="677" customFormat="1" ht="62.25" hidden="1" customHeight="1">
      <c r="A537" s="662">
        <v>11.2</v>
      </c>
      <c r="B537" s="666"/>
      <c r="C537" s="685" t="s">
        <v>1446</v>
      </c>
      <c r="D537" s="675"/>
      <c r="E537" s="674"/>
      <c r="F537" s="663">
        <f t="shared" si="18"/>
        <v>0</v>
      </c>
      <c r="G537" s="675"/>
      <c r="H537" s="667">
        <f t="shared" si="17"/>
        <v>0</v>
      </c>
    </row>
    <row r="538" spans="1:8" s="677" customFormat="1" ht="33" hidden="1" customHeight="1">
      <c r="A538" s="662"/>
      <c r="B538" s="666"/>
      <c r="C538" s="663" t="s">
        <v>1639</v>
      </c>
      <c r="D538" s="675">
        <f>[14]Data!AG455</f>
        <v>602.1</v>
      </c>
      <c r="E538" s="674" t="s">
        <v>37</v>
      </c>
      <c r="F538" s="663">
        <f t="shared" si="18"/>
        <v>0</v>
      </c>
      <c r="G538" s="675"/>
      <c r="H538" s="667">
        <f t="shared" si="17"/>
        <v>0</v>
      </c>
    </row>
    <row r="539" spans="1:8" s="677" customFormat="1" ht="33" hidden="1" customHeight="1">
      <c r="A539" s="662"/>
      <c r="B539" s="666"/>
      <c r="C539" s="663" t="s">
        <v>1640</v>
      </c>
      <c r="D539" s="675">
        <f>[14]Data!AG456</f>
        <v>612.39</v>
      </c>
      <c r="E539" s="674" t="s">
        <v>37</v>
      </c>
      <c r="F539" s="663">
        <f t="shared" si="18"/>
        <v>0</v>
      </c>
      <c r="G539" s="675"/>
      <c r="H539" s="667">
        <f t="shared" si="17"/>
        <v>0</v>
      </c>
    </row>
    <row r="540" spans="1:8" s="677" customFormat="1" ht="33" hidden="1" customHeight="1">
      <c r="A540" s="662"/>
      <c r="B540" s="666"/>
      <c r="C540" s="663" t="s">
        <v>1641</v>
      </c>
      <c r="D540" s="675">
        <f>[14]Data!AG457</f>
        <v>622.67999999999995</v>
      </c>
      <c r="E540" s="674" t="s">
        <v>37</v>
      </c>
      <c r="F540" s="663">
        <f t="shared" si="18"/>
        <v>0</v>
      </c>
      <c r="G540" s="675"/>
      <c r="H540" s="667">
        <f t="shared" si="17"/>
        <v>0</v>
      </c>
    </row>
    <row r="541" spans="1:8" s="677" customFormat="1" ht="33" hidden="1" customHeight="1">
      <c r="A541" s="662"/>
      <c r="B541" s="666"/>
      <c r="C541" s="735" t="s">
        <v>1646</v>
      </c>
      <c r="D541" s="675">
        <f>[14]Data!AG458</f>
        <v>632.97</v>
      </c>
      <c r="E541" s="674" t="s">
        <v>37</v>
      </c>
      <c r="F541" s="663">
        <f t="shared" si="18"/>
        <v>0</v>
      </c>
      <c r="G541" s="675"/>
      <c r="H541" s="667">
        <f t="shared" si="17"/>
        <v>0</v>
      </c>
    </row>
    <row r="542" spans="1:8" s="677" customFormat="1" ht="33" hidden="1" customHeight="1">
      <c r="A542" s="662"/>
      <c r="B542" s="666"/>
      <c r="C542" s="735" t="s">
        <v>1643</v>
      </c>
      <c r="D542" s="675">
        <f>[14]Data!AG459</f>
        <v>643.26</v>
      </c>
      <c r="E542" s="674" t="s">
        <v>37</v>
      </c>
      <c r="F542" s="663">
        <f t="shared" si="18"/>
        <v>0</v>
      </c>
      <c r="G542" s="675"/>
      <c r="H542" s="667">
        <f t="shared" si="17"/>
        <v>0</v>
      </c>
    </row>
    <row r="543" spans="1:8" s="677" customFormat="1" ht="45" hidden="1" customHeight="1">
      <c r="A543" s="662"/>
      <c r="B543" s="666"/>
      <c r="C543" s="663" t="s">
        <v>1647</v>
      </c>
      <c r="D543" s="675">
        <v>2796.22</v>
      </c>
      <c r="E543" s="674" t="s">
        <v>16</v>
      </c>
      <c r="F543" s="663">
        <f t="shared" si="18"/>
        <v>0</v>
      </c>
      <c r="G543" s="675"/>
      <c r="H543" s="667">
        <f t="shared" si="17"/>
        <v>0</v>
      </c>
    </row>
    <row r="544" spans="1:8" s="677" customFormat="1" ht="51.75" hidden="1" customHeight="1">
      <c r="A544" s="662"/>
      <c r="B544" s="666"/>
      <c r="C544" s="735" t="s">
        <v>1648</v>
      </c>
      <c r="D544" s="675">
        <f>[14]Data!R154</f>
        <v>156.1</v>
      </c>
      <c r="E544" s="674" t="s">
        <v>235</v>
      </c>
      <c r="F544" s="663">
        <f t="shared" si="18"/>
        <v>0</v>
      </c>
      <c r="G544" s="675"/>
      <c r="H544" s="667">
        <f t="shared" si="17"/>
        <v>0</v>
      </c>
    </row>
    <row r="545" spans="1:8" ht="41.25" hidden="1" customHeight="1">
      <c r="A545" s="667"/>
      <c r="B545" s="666"/>
      <c r="C545" s="663" t="s">
        <v>630</v>
      </c>
      <c r="D545" s="667">
        <f>[14]Data!K1442</f>
        <v>246.58</v>
      </c>
      <c r="E545" s="663" t="s">
        <v>37</v>
      </c>
      <c r="F545" s="663">
        <f t="shared" si="18"/>
        <v>0</v>
      </c>
      <c r="G545" s="667"/>
      <c r="H545" s="667">
        <f t="shared" si="17"/>
        <v>0</v>
      </c>
    </row>
    <row r="546" spans="1:8" ht="42.75" hidden="1" customHeight="1">
      <c r="A546" s="736"/>
      <c r="B546" s="666"/>
      <c r="C546" s="704" t="s">
        <v>1649</v>
      </c>
      <c r="D546" s="703">
        <f>[14]Data!R144</f>
        <v>456.4</v>
      </c>
      <c r="E546" s="704" t="s">
        <v>16</v>
      </c>
      <c r="F546" s="663">
        <f t="shared" si="18"/>
        <v>0</v>
      </c>
      <c r="G546" s="667"/>
      <c r="H546" s="667">
        <f t="shared" si="17"/>
        <v>0</v>
      </c>
    </row>
    <row r="547" spans="1:8" ht="48.75" hidden="1" customHeight="1">
      <c r="A547" s="657"/>
      <c r="B547" s="666"/>
      <c r="C547" s="663" t="s">
        <v>1650</v>
      </c>
      <c r="D547" s="675">
        <f>[14]Data!K368</f>
        <v>6442.78</v>
      </c>
      <c r="E547" s="674" t="s">
        <v>16</v>
      </c>
      <c r="F547" s="663">
        <f t="shared" si="18"/>
        <v>0</v>
      </c>
      <c r="G547" s="675"/>
      <c r="H547" s="667">
        <f t="shared" si="17"/>
        <v>0</v>
      </c>
    </row>
    <row r="548" spans="1:8" s="677" customFormat="1" ht="25.5" hidden="1" customHeight="1">
      <c r="A548" s="737"/>
      <c r="B548" s="666"/>
      <c r="C548" s="663" t="s">
        <v>1651</v>
      </c>
      <c r="D548" s="675">
        <f>[14]Data!K369</f>
        <v>6579.98</v>
      </c>
      <c r="E548" s="674" t="s">
        <v>16</v>
      </c>
      <c r="F548" s="663">
        <f t="shared" si="18"/>
        <v>0</v>
      </c>
      <c r="G548" s="675"/>
      <c r="H548" s="667">
        <f t="shared" si="17"/>
        <v>0</v>
      </c>
    </row>
    <row r="549" spans="1:8" ht="65.25" hidden="1" customHeight="1">
      <c r="A549" s="657"/>
      <c r="B549" s="666"/>
      <c r="C549" s="663" t="s">
        <v>1652</v>
      </c>
      <c r="D549" s="675">
        <f>[14]Data!$K$370</f>
        <v>6717.18</v>
      </c>
      <c r="E549" s="674" t="s">
        <v>16</v>
      </c>
      <c r="F549" s="663">
        <f t="shared" si="18"/>
        <v>0</v>
      </c>
      <c r="G549" s="675"/>
      <c r="H549" s="667">
        <f t="shared" si="17"/>
        <v>0</v>
      </c>
    </row>
    <row r="550" spans="1:8" ht="64.5" hidden="1" customHeight="1">
      <c r="A550" s="657"/>
      <c r="B550" s="666"/>
      <c r="C550" s="674" t="s">
        <v>1653</v>
      </c>
      <c r="D550" s="675">
        <f>[14]Data!K371</f>
        <v>6854.38</v>
      </c>
      <c r="E550" s="674" t="s">
        <v>16</v>
      </c>
      <c r="F550" s="663">
        <f t="shared" si="18"/>
        <v>0</v>
      </c>
      <c r="G550" s="675"/>
      <c r="H550" s="667">
        <f t="shared" si="17"/>
        <v>0</v>
      </c>
    </row>
    <row r="551" spans="1:8" s="677" customFormat="1" ht="46.5" hidden="1" customHeight="1">
      <c r="A551" s="690"/>
      <c r="B551" s="666"/>
      <c r="C551" s="663" t="s">
        <v>1654</v>
      </c>
      <c r="D551" s="675">
        <f>[14]Data!X88</f>
        <v>138.83000000000001</v>
      </c>
      <c r="E551" s="674"/>
      <c r="F551" s="663">
        <f t="shared" si="18"/>
        <v>0</v>
      </c>
      <c r="G551" s="675"/>
      <c r="H551" s="667">
        <f t="shared" si="17"/>
        <v>0</v>
      </c>
    </row>
    <row r="552" spans="1:8" s="677" customFormat="1" ht="57" hidden="1" customHeight="1">
      <c r="A552" s="690"/>
      <c r="B552" s="666"/>
      <c r="C552" s="663" t="s">
        <v>1655</v>
      </c>
      <c r="D552" s="675">
        <f>[14]Data!X118</f>
        <v>64.5</v>
      </c>
      <c r="E552" s="674"/>
      <c r="F552" s="663">
        <f t="shared" si="18"/>
        <v>0</v>
      </c>
      <c r="G552" s="675"/>
      <c r="H552" s="667">
        <f t="shared" si="17"/>
        <v>0</v>
      </c>
    </row>
    <row r="553" spans="1:8" s="677" customFormat="1" ht="60" hidden="1" customHeight="1">
      <c r="A553" s="690"/>
      <c r="B553" s="666"/>
      <c r="C553" s="663" t="s">
        <v>1656</v>
      </c>
      <c r="D553" s="675">
        <f>[14]Data!X133</f>
        <v>96.75</v>
      </c>
      <c r="E553" s="674"/>
      <c r="F553" s="663">
        <f t="shared" si="18"/>
        <v>0</v>
      </c>
      <c r="G553" s="675"/>
      <c r="H553" s="667">
        <f t="shared" si="17"/>
        <v>0</v>
      </c>
    </row>
    <row r="554" spans="1:8" s="677" customFormat="1" ht="25.5" hidden="1" customHeight="1">
      <c r="A554" s="662">
        <v>8.4</v>
      </c>
      <c r="B554" s="666"/>
      <c r="C554" s="685" t="s">
        <v>1657</v>
      </c>
      <c r="D554" s="675"/>
      <c r="E554" s="674"/>
      <c r="F554" s="663">
        <f t="shared" si="18"/>
        <v>0</v>
      </c>
      <c r="G554" s="675"/>
      <c r="H554" s="667">
        <f t="shared" si="17"/>
        <v>0</v>
      </c>
    </row>
    <row r="555" spans="1:8" s="677" customFormat="1" ht="25.5" hidden="1" customHeight="1">
      <c r="A555" s="662"/>
      <c r="B555" s="666"/>
      <c r="C555" s="663" t="s">
        <v>1635</v>
      </c>
      <c r="D555" s="675">
        <f>ROUND([14]Data!K2911,2)</f>
        <v>6854.05</v>
      </c>
      <c r="E555" s="674" t="s">
        <v>16</v>
      </c>
      <c r="F555" s="663">
        <f t="shared" si="18"/>
        <v>0</v>
      </c>
      <c r="G555" s="675"/>
      <c r="H555" s="667">
        <f t="shared" si="17"/>
        <v>0</v>
      </c>
    </row>
    <row r="556" spans="1:8" s="677" customFormat="1" ht="25.5" hidden="1" customHeight="1">
      <c r="A556" s="662"/>
      <c r="B556" s="666"/>
      <c r="C556" s="663" t="s">
        <v>1630</v>
      </c>
      <c r="D556" s="675">
        <f>ROUND([14]Data!K2913,2)</f>
        <v>6957.35</v>
      </c>
      <c r="E556" s="674" t="s">
        <v>16</v>
      </c>
      <c r="F556" s="663">
        <f t="shared" si="18"/>
        <v>0</v>
      </c>
      <c r="G556" s="675"/>
      <c r="H556" s="667">
        <f t="shared" si="17"/>
        <v>0</v>
      </c>
    </row>
    <row r="557" spans="1:8" s="677" customFormat="1" ht="25.5" hidden="1" customHeight="1">
      <c r="A557" s="662"/>
      <c r="B557" s="666"/>
      <c r="C557" s="663" t="s">
        <v>1658</v>
      </c>
      <c r="D557" s="675">
        <f>ROUND([14]Data!K2914,2)</f>
        <v>7160.85</v>
      </c>
      <c r="E557" s="674" t="s">
        <v>16</v>
      </c>
      <c r="F557" s="663">
        <f t="shared" si="18"/>
        <v>0</v>
      </c>
      <c r="G557" s="675"/>
      <c r="H557" s="667">
        <f t="shared" si="17"/>
        <v>0</v>
      </c>
    </row>
    <row r="558" spans="1:8" s="677" customFormat="1" ht="25.5" hidden="1" customHeight="1">
      <c r="A558" s="690"/>
      <c r="B558" s="666"/>
      <c r="C558" s="663" t="s">
        <v>1659</v>
      </c>
      <c r="D558" s="660">
        <f>ROUND([14]Data!K2915,2)</f>
        <v>7364.35</v>
      </c>
      <c r="E558" s="674" t="s">
        <v>16</v>
      </c>
      <c r="F558" s="663">
        <f t="shared" si="18"/>
        <v>0</v>
      </c>
      <c r="G558" s="675"/>
      <c r="H558" s="667">
        <f t="shared" si="17"/>
        <v>0</v>
      </c>
    </row>
    <row r="559" spans="1:8" s="677" customFormat="1" ht="46.5" hidden="1" customHeight="1">
      <c r="A559" s="662">
        <v>8.5</v>
      </c>
      <c r="B559" s="666"/>
      <c r="C559" s="685" t="s">
        <v>1660</v>
      </c>
      <c r="D559" s="675"/>
      <c r="E559" s="674"/>
      <c r="F559" s="663">
        <f t="shared" si="18"/>
        <v>0</v>
      </c>
      <c r="G559" s="675"/>
      <c r="H559" s="667">
        <f t="shared" si="17"/>
        <v>0</v>
      </c>
    </row>
    <row r="560" spans="1:8" s="677" customFormat="1" ht="25.5" hidden="1" customHeight="1">
      <c r="A560" s="662"/>
      <c r="B560" s="666"/>
      <c r="C560" s="663" t="s">
        <v>1661</v>
      </c>
      <c r="D560" s="675">
        <f>ROUND([14]Data!K2931,2)</f>
        <v>615.28</v>
      </c>
      <c r="E560" s="674" t="s">
        <v>61</v>
      </c>
      <c r="F560" s="663">
        <f t="shared" si="18"/>
        <v>0</v>
      </c>
      <c r="G560" s="675"/>
      <c r="H560" s="667">
        <f t="shared" si="17"/>
        <v>0</v>
      </c>
    </row>
    <row r="561" spans="1:8" s="677" customFormat="1" ht="25.5" hidden="1" customHeight="1">
      <c r="A561" s="662"/>
      <c r="B561" s="666"/>
      <c r="C561" s="663" t="s">
        <v>1662</v>
      </c>
      <c r="D561" s="675">
        <f>ROUND([14]Data!K2940,2)</f>
        <v>618.77</v>
      </c>
      <c r="E561" s="674" t="s">
        <v>61</v>
      </c>
      <c r="F561" s="663">
        <f t="shared" si="18"/>
        <v>0</v>
      </c>
      <c r="G561" s="675"/>
      <c r="H561" s="667">
        <f t="shared" si="17"/>
        <v>0</v>
      </c>
    </row>
    <row r="562" spans="1:8" s="677" customFormat="1" ht="25.5" hidden="1" customHeight="1">
      <c r="A562" s="662"/>
      <c r="B562" s="666"/>
      <c r="C562" s="663" t="s">
        <v>1663</v>
      </c>
      <c r="D562" s="675">
        <f>ROUND([14]Data!K2950,2)</f>
        <v>622.26</v>
      </c>
      <c r="E562" s="674" t="s">
        <v>61</v>
      </c>
      <c r="F562" s="663">
        <f t="shared" si="18"/>
        <v>0</v>
      </c>
      <c r="G562" s="675"/>
      <c r="H562" s="667">
        <f t="shared" si="17"/>
        <v>0</v>
      </c>
    </row>
    <row r="563" spans="1:8" s="677" customFormat="1" ht="51" hidden="1" customHeight="1">
      <c r="A563" s="662" t="s">
        <v>1664</v>
      </c>
      <c r="B563" s="666"/>
      <c r="C563" s="685" t="s">
        <v>1665</v>
      </c>
      <c r="D563" s="675"/>
      <c r="E563" s="674"/>
      <c r="F563" s="663">
        <f t="shared" si="18"/>
        <v>0</v>
      </c>
      <c r="G563" s="675"/>
      <c r="H563" s="667">
        <f t="shared" si="17"/>
        <v>0</v>
      </c>
    </row>
    <row r="564" spans="1:8" s="677" customFormat="1" ht="25.5" hidden="1" customHeight="1">
      <c r="A564" s="662"/>
      <c r="B564" s="666"/>
      <c r="C564" s="663" t="s">
        <v>1666</v>
      </c>
      <c r="D564" s="675">
        <f>'[14]pile data ( M20 grade)'!F81</f>
        <v>2644.2</v>
      </c>
      <c r="E564" s="674" t="s">
        <v>61</v>
      </c>
      <c r="F564" s="663">
        <f t="shared" si="18"/>
        <v>0</v>
      </c>
      <c r="G564" s="675"/>
      <c r="H564" s="667">
        <f t="shared" si="17"/>
        <v>0</v>
      </c>
    </row>
    <row r="565" spans="1:8" s="677" customFormat="1" ht="69.75" hidden="1" customHeight="1">
      <c r="A565" s="662"/>
      <c r="B565" s="666"/>
      <c r="C565" s="738" t="s">
        <v>1667</v>
      </c>
      <c r="D565" s="675"/>
      <c r="E565" s="674"/>
      <c r="F565" s="663">
        <f t="shared" si="18"/>
        <v>0</v>
      </c>
      <c r="G565" s="675"/>
      <c r="H565" s="667">
        <f t="shared" si="17"/>
        <v>0</v>
      </c>
    </row>
    <row r="566" spans="1:8" s="677" customFormat="1" ht="25.5" hidden="1" customHeight="1">
      <c r="A566" s="662"/>
      <c r="B566" s="666"/>
      <c r="C566" s="738" t="s">
        <v>1668</v>
      </c>
      <c r="D566" s="739">
        <f>'[14]pile data ( M20 grade)'!F92</f>
        <v>710.92</v>
      </c>
      <c r="E566" s="740" t="s">
        <v>61</v>
      </c>
      <c r="F566" s="663">
        <f t="shared" si="18"/>
        <v>0</v>
      </c>
      <c r="G566" s="675"/>
      <c r="H566" s="667">
        <f t="shared" si="17"/>
        <v>0</v>
      </c>
    </row>
    <row r="567" spans="1:8" s="677" customFormat="1" ht="46.5" hidden="1" customHeight="1">
      <c r="A567" s="662"/>
      <c r="B567" s="666"/>
      <c r="C567" s="738" t="s">
        <v>1669</v>
      </c>
      <c r="D567" s="739">
        <v>70000</v>
      </c>
      <c r="E567" s="741" t="s">
        <v>4</v>
      </c>
      <c r="F567" s="663">
        <f t="shared" si="18"/>
        <v>0</v>
      </c>
      <c r="G567" s="675"/>
      <c r="H567" s="667">
        <f t="shared" si="17"/>
        <v>0</v>
      </c>
    </row>
    <row r="568" spans="1:8" s="677" customFormat="1" ht="27" hidden="1" customHeight="1">
      <c r="A568" s="662"/>
      <c r="B568" s="666"/>
      <c r="C568" s="738" t="s">
        <v>1670</v>
      </c>
      <c r="D568" s="739">
        <v>50000</v>
      </c>
      <c r="E568" s="741" t="s">
        <v>1671</v>
      </c>
      <c r="F568" s="663">
        <f t="shared" si="18"/>
        <v>0</v>
      </c>
      <c r="G568" s="675"/>
      <c r="H568" s="667">
        <f t="shared" si="17"/>
        <v>0</v>
      </c>
    </row>
    <row r="569" spans="1:8" s="677" customFormat="1" ht="37.5" hidden="1" customHeight="1">
      <c r="A569" s="662"/>
      <c r="B569" s="666"/>
      <c r="C569" s="738" t="s">
        <v>1672</v>
      </c>
      <c r="D569" s="739">
        <f>[14]Data!K2448</f>
        <v>686.18</v>
      </c>
      <c r="E569" s="741" t="s">
        <v>37</v>
      </c>
      <c r="F569" s="663">
        <f t="shared" si="18"/>
        <v>0</v>
      </c>
      <c r="G569" s="675"/>
      <c r="H569" s="667">
        <f t="shared" si="17"/>
        <v>0</v>
      </c>
    </row>
    <row r="570" spans="1:8" ht="45.75" hidden="1" customHeight="1">
      <c r="A570" s="662">
        <v>18.100000000000001</v>
      </c>
      <c r="B570" s="666"/>
      <c r="C570" s="685" t="s">
        <v>549</v>
      </c>
      <c r="D570" s="667"/>
      <c r="E570" s="663"/>
      <c r="F570" s="663">
        <f t="shared" si="18"/>
        <v>0</v>
      </c>
      <c r="G570" s="667"/>
      <c r="H570" s="667">
        <f t="shared" si="17"/>
        <v>0</v>
      </c>
    </row>
    <row r="571" spans="1:8" ht="63" hidden="1" customHeight="1">
      <c r="A571" s="662"/>
      <c r="B571" s="666"/>
      <c r="C571" s="663" t="s">
        <v>124</v>
      </c>
      <c r="D571" s="667">
        <f>ROUND([14]Data!I2354,2)</f>
        <v>739.38</v>
      </c>
      <c r="E571" s="663" t="s">
        <v>37</v>
      </c>
      <c r="F571" s="663">
        <f t="shared" si="18"/>
        <v>0</v>
      </c>
      <c r="G571" s="667"/>
      <c r="H571" s="667">
        <f t="shared" si="17"/>
        <v>0</v>
      </c>
    </row>
    <row r="572" spans="1:8" ht="93.75" hidden="1" customHeight="1">
      <c r="A572" s="662"/>
      <c r="B572" s="666"/>
      <c r="C572" s="663" t="s">
        <v>31</v>
      </c>
      <c r="D572" s="667">
        <f>ROUND([14]Data!I2356,2)</f>
        <v>831.23</v>
      </c>
      <c r="E572" s="663" t="s">
        <v>37</v>
      </c>
      <c r="F572" s="663">
        <f t="shared" si="18"/>
        <v>0</v>
      </c>
      <c r="G572" s="667"/>
      <c r="H572" s="667">
        <f t="shared" si="17"/>
        <v>0</v>
      </c>
    </row>
    <row r="573" spans="1:8" ht="63" hidden="1" customHeight="1">
      <c r="A573" s="666"/>
      <c r="B573" s="666"/>
      <c r="C573" s="663" t="s">
        <v>131</v>
      </c>
      <c r="D573" s="667">
        <f>ROUND([14]Data!I2358,2)</f>
        <v>997.48</v>
      </c>
      <c r="E573" s="663" t="s">
        <v>37</v>
      </c>
      <c r="F573" s="663">
        <f t="shared" si="18"/>
        <v>0</v>
      </c>
      <c r="G573" s="667"/>
      <c r="H573" s="667">
        <f t="shared" si="17"/>
        <v>0</v>
      </c>
    </row>
    <row r="574" spans="1:8" ht="48" hidden="1" customHeight="1">
      <c r="A574" s="667"/>
      <c r="B574" s="666"/>
      <c r="C574" s="663" t="s">
        <v>1673</v>
      </c>
      <c r="D574" s="667">
        <f>[14]Data!I2360</f>
        <v>914.35</v>
      </c>
      <c r="E574" s="663" t="s">
        <v>37</v>
      </c>
      <c r="F574" s="663">
        <f t="shared" si="18"/>
        <v>0</v>
      </c>
      <c r="G574" s="667"/>
      <c r="H574" s="667">
        <f t="shared" si="17"/>
        <v>0</v>
      </c>
    </row>
    <row r="575" spans="1:8" s="677" customFormat="1" ht="64.5" hidden="1" customHeight="1">
      <c r="A575" s="690"/>
      <c r="B575" s="666"/>
      <c r="C575" s="663" t="s">
        <v>1674</v>
      </c>
      <c r="D575" s="675">
        <f>D573*2</f>
        <v>1994.96</v>
      </c>
      <c r="E575" s="674" t="s">
        <v>37</v>
      </c>
      <c r="F575" s="663">
        <f t="shared" si="18"/>
        <v>0</v>
      </c>
      <c r="G575" s="675"/>
      <c r="H575" s="667">
        <f t="shared" si="17"/>
        <v>0</v>
      </c>
    </row>
    <row r="576" spans="1:8" ht="48" hidden="1" customHeight="1">
      <c r="A576" s="690"/>
      <c r="B576" s="666"/>
      <c r="C576" s="663" t="s">
        <v>1675</v>
      </c>
      <c r="D576" s="667">
        <f>D572*1.5</f>
        <v>1246.845</v>
      </c>
      <c r="E576" s="663" t="s">
        <v>37</v>
      </c>
      <c r="F576" s="663">
        <f t="shared" si="18"/>
        <v>0</v>
      </c>
      <c r="G576" s="667"/>
      <c r="H576" s="667">
        <f t="shared" si="17"/>
        <v>0</v>
      </c>
    </row>
    <row r="577" spans="1:8" s="677" customFormat="1" ht="57" hidden="1" customHeight="1">
      <c r="A577" s="690"/>
      <c r="B577" s="666"/>
      <c r="C577" s="663" t="s">
        <v>1676</v>
      </c>
      <c r="D577" s="675">
        <f>D572*2</f>
        <v>1662.46</v>
      </c>
      <c r="E577" s="674" t="s">
        <v>37</v>
      </c>
      <c r="F577" s="663">
        <f t="shared" si="18"/>
        <v>0</v>
      </c>
      <c r="G577" s="675"/>
      <c r="H577" s="667">
        <f t="shared" si="17"/>
        <v>0</v>
      </c>
    </row>
    <row r="578" spans="1:8" ht="82.5" hidden="1" customHeight="1">
      <c r="A578" s="662">
        <v>21.6</v>
      </c>
      <c r="B578" s="666"/>
      <c r="C578" s="710" t="s">
        <v>1677</v>
      </c>
      <c r="D578" s="667"/>
      <c r="E578" s="663"/>
      <c r="F578" s="663">
        <f t="shared" si="18"/>
        <v>0</v>
      </c>
      <c r="G578" s="667"/>
      <c r="H578" s="667">
        <f t="shared" si="17"/>
        <v>0</v>
      </c>
    </row>
    <row r="579" spans="1:8" ht="45" hidden="1" customHeight="1">
      <c r="A579" s="700"/>
      <c r="B579" s="666"/>
      <c r="C579" s="663" t="s">
        <v>1473</v>
      </c>
      <c r="D579" s="667">
        <f>ROUND([14]Data!K889,2)</f>
        <v>2440.4499999999998</v>
      </c>
      <c r="E579" s="663" t="s">
        <v>522</v>
      </c>
      <c r="F579" s="663">
        <f t="shared" si="18"/>
        <v>0</v>
      </c>
      <c r="G579" s="667"/>
      <c r="H579" s="667">
        <f t="shared" si="17"/>
        <v>0</v>
      </c>
    </row>
    <row r="580" spans="1:8" s="677" customFormat="1" ht="25.5" hidden="1" customHeight="1">
      <c r="A580" s="700"/>
      <c r="B580" s="666"/>
      <c r="C580" s="663" t="s">
        <v>1678</v>
      </c>
      <c r="D580" s="675">
        <f>[14]Data!R864</f>
        <v>2930.64</v>
      </c>
      <c r="E580" s="674" t="s">
        <v>522</v>
      </c>
      <c r="F580" s="663">
        <f t="shared" si="18"/>
        <v>0</v>
      </c>
      <c r="G580" s="675"/>
      <c r="H580" s="667">
        <f t="shared" si="17"/>
        <v>0</v>
      </c>
    </row>
    <row r="581" spans="1:8" s="677" customFormat="1" ht="25.5" hidden="1" customHeight="1">
      <c r="A581" s="700"/>
      <c r="B581" s="666"/>
      <c r="C581" s="663" t="s">
        <v>1679</v>
      </c>
      <c r="D581" s="675">
        <f>[14]Data!K905</f>
        <v>2406.77</v>
      </c>
      <c r="E581" s="674"/>
      <c r="F581" s="663">
        <f t="shared" si="18"/>
        <v>0</v>
      </c>
      <c r="G581" s="675"/>
      <c r="H581" s="667">
        <f t="shared" si="17"/>
        <v>0</v>
      </c>
    </row>
    <row r="582" spans="1:8" s="677" customFormat="1" ht="35.25" hidden="1" customHeight="1">
      <c r="A582" s="690"/>
      <c r="B582" s="666"/>
      <c r="C582" s="663" t="s">
        <v>1475</v>
      </c>
      <c r="D582" s="675">
        <f>ROUND([14]Data!K871,2)</f>
        <v>2460.2199999999998</v>
      </c>
      <c r="E582" s="674" t="s">
        <v>522</v>
      </c>
      <c r="F582" s="663">
        <f t="shared" si="18"/>
        <v>0</v>
      </c>
      <c r="G582" s="675"/>
      <c r="H582" s="667">
        <f t="shared" ref="H582:H589" si="19">G582*D582</f>
        <v>0</v>
      </c>
    </row>
    <row r="583" spans="1:8" s="677" customFormat="1" ht="61.5" hidden="1" customHeight="1">
      <c r="A583" s="690"/>
      <c r="B583" s="666"/>
      <c r="C583" s="685" t="s">
        <v>1680</v>
      </c>
      <c r="D583" s="675"/>
      <c r="E583" s="674"/>
      <c r="F583" s="663">
        <f t="shared" si="18"/>
        <v>0</v>
      </c>
      <c r="G583" s="675"/>
      <c r="H583" s="667">
        <f t="shared" si="19"/>
        <v>0</v>
      </c>
    </row>
    <row r="584" spans="1:8" s="677" customFormat="1" ht="25.5" hidden="1" customHeight="1">
      <c r="A584" s="690"/>
      <c r="B584" s="666"/>
      <c r="C584" s="663" t="s">
        <v>1486</v>
      </c>
      <c r="D584" s="675">
        <f>[14]Data!K1081</f>
        <v>3364.08</v>
      </c>
      <c r="E584" s="674" t="s">
        <v>264</v>
      </c>
      <c r="F584" s="663">
        <f t="shared" si="18"/>
        <v>0</v>
      </c>
      <c r="G584" s="675"/>
      <c r="H584" s="667">
        <f t="shared" si="19"/>
        <v>0</v>
      </c>
    </row>
    <row r="585" spans="1:8" s="677" customFormat="1" ht="25.5" hidden="1" customHeight="1">
      <c r="A585" s="690"/>
      <c r="B585" s="666"/>
      <c r="C585" s="663" t="s">
        <v>1487</v>
      </c>
      <c r="D585" s="675"/>
      <c r="E585" s="674" t="s">
        <v>264</v>
      </c>
      <c r="F585" s="663">
        <f t="shared" si="18"/>
        <v>0</v>
      </c>
      <c r="G585" s="675"/>
      <c r="H585" s="667">
        <f t="shared" si="19"/>
        <v>0</v>
      </c>
    </row>
    <row r="586" spans="1:8" s="677" customFormat="1" ht="31.5" hidden="1" customHeight="1">
      <c r="A586" s="690"/>
      <c r="B586" s="666"/>
      <c r="C586" s="663" t="s">
        <v>1488</v>
      </c>
      <c r="D586" s="675">
        <f>[14]Data!K1097</f>
        <v>3552.27</v>
      </c>
      <c r="E586" s="674" t="s">
        <v>264</v>
      </c>
      <c r="F586" s="663">
        <f t="shared" si="18"/>
        <v>0</v>
      </c>
      <c r="G586" s="675"/>
      <c r="H586" s="667">
        <f t="shared" si="19"/>
        <v>0</v>
      </c>
    </row>
    <row r="587" spans="1:8" s="677" customFormat="1" ht="42" hidden="1" customHeight="1">
      <c r="A587" s="690"/>
      <c r="B587" s="666"/>
      <c r="C587" s="663" t="s">
        <v>1489</v>
      </c>
      <c r="D587" s="675">
        <f>[14]Data!K1112</f>
        <v>2642.35</v>
      </c>
      <c r="E587" s="674" t="s">
        <v>264</v>
      </c>
      <c r="F587" s="663">
        <f t="shared" si="18"/>
        <v>0</v>
      </c>
      <c r="G587" s="675"/>
      <c r="H587" s="667">
        <f t="shared" si="19"/>
        <v>0</v>
      </c>
    </row>
    <row r="588" spans="1:8" s="677" customFormat="1" ht="38.25" hidden="1" customHeight="1">
      <c r="A588" s="690"/>
      <c r="B588" s="666"/>
      <c r="C588" s="663" t="s">
        <v>1681</v>
      </c>
      <c r="D588" s="675">
        <v>2203.2800000000002</v>
      </c>
      <c r="E588" s="674" t="s">
        <v>264</v>
      </c>
      <c r="F588" s="663">
        <f t="shared" si="18"/>
        <v>0</v>
      </c>
      <c r="G588" s="675"/>
      <c r="H588" s="667">
        <f t="shared" si="19"/>
        <v>0</v>
      </c>
    </row>
    <row r="589" spans="1:8" s="677" customFormat="1" ht="46.5" hidden="1" customHeight="1">
      <c r="A589" s="662" t="s">
        <v>1682</v>
      </c>
      <c r="B589" s="666"/>
      <c r="C589" s="663" t="s">
        <v>1683</v>
      </c>
      <c r="D589" s="675">
        <f>ROUND([14]Data!K2877,2)</f>
        <v>2110.4899999999998</v>
      </c>
      <c r="E589" s="674" t="s">
        <v>37</v>
      </c>
      <c r="F589" s="663">
        <f t="shared" si="18"/>
        <v>0</v>
      </c>
      <c r="G589" s="675"/>
      <c r="H589" s="667">
        <f t="shared" si="19"/>
        <v>0</v>
      </c>
    </row>
    <row r="590" spans="1:8" s="677" customFormat="1" ht="78.599999999999994" hidden="1" customHeight="1">
      <c r="A590" s="662"/>
      <c r="B590" s="666"/>
      <c r="C590" s="663" t="s">
        <v>1684</v>
      </c>
      <c r="D590" s="675">
        <f>[14]Data!R2090</f>
        <v>6981.88</v>
      </c>
      <c r="E590" s="674" t="s">
        <v>37</v>
      </c>
      <c r="F590" s="663">
        <f t="shared" si="18"/>
        <v>0</v>
      </c>
      <c r="G590" s="675"/>
      <c r="H590" s="667"/>
    </row>
    <row r="591" spans="1:8" ht="84.75" hidden="1" customHeight="1">
      <c r="A591" s="673"/>
      <c r="B591" s="666"/>
      <c r="C591" s="674" t="s">
        <v>1685</v>
      </c>
      <c r="D591" s="675">
        <f>ROUND([14]Data!K3114,2)</f>
        <v>4024.1</v>
      </c>
      <c r="E591" s="674" t="s">
        <v>37</v>
      </c>
      <c r="F591" s="663">
        <f t="shared" si="18"/>
        <v>0</v>
      </c>
      <c r="G591" s="675"/>
      <c r="H591" s="667">
        <f t="shared" ref="H591:H622" si="20">G591*D591</f>
        <v>0</v>
      </c>
    </row>
    <row r="592" spans="1:8" s="677" customFormat="1" ht="72" hidden="1" customHeight="1">
      <c r="A592" s="662">
        <v>22.8</v>
      </c>
      <c r="B592" s="666"/>
      <c r="C592" s="663" t="s">
        <v>1686</v>
      </c>
      <c r="D592" s="675"/>
      <c r="E592" s="674"/>
      <c r="F592" s="663">
        <f t="shared" si="18"/>
        <v>0</v>
      </c>
      <c r="G592" s="675"/>
      <c r="H592" s="667">
        <f t="shared" si="20"/>
        <v>0</v>
      </c>
    </row>
    <row r="593" spans="1:8" s="677" customFormat="1" ht="35.1" hidden="1" customHeight="1">
      <c r="A593" s="662"/>
      <c r="B593" s="666"/>
      <c r="C593" s="663" t="s">
        <v>1687</v>
      </c>
      <c r="D593" s="675">
        <f>ROUND([14]Data!K2845,2)</f>
        <v>2937.59</v>
      </c>
      <c r="E593" s="674" t="s">
        <v>37</v>
      </c>
      <c r="F593" s="663">
        <f t="shared" ref="F593:F656" si="21">B593*D593</f>
        <v>0</v>
      </c>
      <c r="G593" s="675"/>
      <c r="H593" s="667">
        <f t="shared" si="20"/>
        <v>0</v>
      </c>
    </row>
    <row r="594" spans="1:8" s="677" customFormat="1" ht="35.1" hidden="1" customHeight="1">
      <c r="A594" s="662"/>
      <c r="B594" s="666"/>
      <c r="C594" s="663" t="s">
        <v>1688</v>
      </c>
      <c r="D594" s="675">
        <f>ROUND([14]Data!K2981,2)</f>
        <v>2980.14</v>
      </c>
      <c r="E594" s="674" t="s">
        <v>37</v>
      </c>
      <c r="F594" s="663">
        <f t="shared" si="21"/>
        <v>0</v>
      </c>
      <c r="G594" s="675"/>
      <c r="H594" s="667">
        <f t="shared" si="20"/>
        <v>0</v>
      </c>
    </row>
    <row r="595" spans="1:8" s="677" customFormat="1" ht="28.5" hidden="1" customHeight="1">
      <c r="A595" s="690"/>
      <c r="B595" s="666"/>
      <c r="C595" s="663" t="s">
        <v>1689</v>
      </c>
      <c r="D595" s="675"/>
      <c r="E595" s="674" t="s">
        <v>37</v>
      </c>
      <c r="F595" s="663">
        <f t="shared" si="21"/>
        <v>0</v>
      </c>
      <c r="G595" s="675"/>
      <c r="H595" s="667">
        <f t="shared" si="20"/>
        <v>0</v>
      </c>
    </row>
    <row r="596" spans="1:8" ht="47.25" hidden="1" customHeight="1">
      <c r="A596" s="667"/>
      <c r="B596" s="666"/>
      <c r="C596" s="685" t="s">
        <v>1092</v>
      </c>
      <c r="D596" s="667"/>
      <c r="E596" s="663"/>
      <c r="F596" s="663">
        <f t="shared" si="21"/>
        <v>0</v>
      </c>
      <c r="G596" s="667"/>
      <c r="H596" s="667">
        <f t="shared" si="20"/>
        <v>0</v>
      </c>
    </row>
    <row r="597" spans="1:8" ht="49.5" hidden="1" customHeight="1">
      <c r="A597" s="667"/>
      <c r="B597" s="666"/>
      <c r="C597" s="663" t="s">
        <v>1690</v>
      </c>
      <c r="D597" s="667">
        <f>ROUND([14]Data!K2827,2)</f>
        <v>5724.71</v>
      </c>
      <c r="E597" s="663" t="s">
        <v>37</v>
      </c>
      <c r="F597" s="663">
        <f t="shared" si="21"/>
        <v>0</v>
      </c>
      <c r="G597" s="667"/>
      <c r="H597" s="667">
        <f t="shared" si="20"/>
        <v>0</v>
      </c>
    </row>
    <row r="598" spans="1:8" s="677" customFormat="1" ht="33" hidden="1" customHeight="1">
      <c r="A598" s="690"/>
      <c r="B598" s="666"/>
      <c r="C598" s="663" t="s">
        <v>1691</v>
      </c>
      <c r="D598" s="675"/>
      <c r="E598" s="674"/>
      <c r="F598" s="663">
        <f t="shared" si="21"/>
        <v>0</v>
      </c>
      <c r="G598" s="675"/>
      <c r="H598" s="667">
        <f t="shared" si="20"/>
        <v>0</v>
      </c>
    </row>
    <row r="599" spans="1:8" s="677" customFormat="1" ht="43.5" hidden="1" customHeight="1">
      <c r="A599" s="690"/>
      <c r="B599" s="666"/>
      <c r="C599" s="663" t="s">
        <v>1692</v>
      </c>
      <c r="D599" s="675">
        <f>[14]Data!R2867</f>
        <v>4989.05</v>
      </c>
      <c r="E599" s="674" t="s">
        <v>37</v>
      </c>
      <c r="F599" s="663">
        <f t="shared" si="21"/>
        <v>0</v>
      </c>
      <c r="G599" s="675"/>
      <c r="H599" s="667">
        <f t="shared" si="20"/>
        <v>0</v>
      </c>
    </row>
    <row r="600" spans="1:8" s="677" customFormat="1" ht="46.5" hidden="1" customHeight="1">
      <c r="A600" s="690"/>
      <c r="B600" s="666"/>
      <c r="C600" s="663" t="s">
        <v>1693</v>
      </c>
      <c r="D600" s="675">
        <f>[14]Data!K1000</f>
        <v>4803.54</v>
      </c>
      <c r="E600" s="674"/>
      <c r="F600" s="663">
        <f t="shared" si="21"/>
        <v>0</v>
      </c>
      <c r="G600" s="675"/>
      <c r="H600" s="667">
        <f t="shared" si="20"/>
        <v>0</v>
      </c>
    </row>
    <row r="601" spans="1:8" s="677" customFormat="1" ht="34.5" hidden="1" customHeight="1">
      <c r="A601" s="690"/>
      <c r="B601" s="666"/>
      <c r="C601" s="663" t="s">
        <v>1694</v>
      </c>
      <c r="D601" s="675"/>
      <c r="E601" s="674"/>
      <c r="F601" s="663">
        <f t="shared" si="21"/>
        <v>0</v>
      </c>
      <c r="G601" s="675"/>
      <c r="H601" s="667">
        <f t="shared" si="20"/>
        <v>0</v>
      </c>
    </row>
    <row r="602" spans="1:8" s="677" customFormat="1" ht="59.25" hidden="1" customHeight="1">
      <c r="A602" s="690"/>
      <c r="B602" s="666"/>
      <c r="C602" s="663" t="s">
        <v>1695</v>
      </c>
      <c r="D602" s="675">
        <f>[14]Data!AG2663</f>
        <v>5533.07</v>
      </c>
      <c r="E602" s="742" t="s">
        <v>37</v>
      </c>
      <c r="F602" s="663">
        <f t="shared" si="21"/>
        <v>0</v>
      </c>
      <c r="G602" s="675"/>
      <c r="H602" s="667">
        <f t="shared" si="20"/>
        <v>0</v>
      </c>
    </row>
    <row r="603" spans="1:8" s="677" customFormat="1" ht="59.25" hidden="1" customHeight="1">
      <c r="A603" s="690"/>
      <c r="B603" s="666"/>
      <c r="C603" s="663" t="s">
        <v>1696</v>
      </c>
      <c r="D603" s="675">
        <f>[14]Data!K2647</f>
        <v>5846.33</v>
      </c>
      <c r="E603" s="674" t="s">
        <v>37</v>
      </c>
      <c r="F603" s="663">
        <f t="shared" si="21"/>
        <v>0</v>
      </c>
      <c r="G603" s="675"/>
      <c r="H603" s="667">
        <f t="shared" si="20"/>
        <v>0</v>
      </c>
    </row>
    <row r="604" spans="1:8" s="677" customFormat="1" ht="59.25" hidden="1" customHeight="1">
      <c r="A604" s="690"/>
      <c r="B604" s="666"/>
      <c r="C604" s="663" t="s">
        <v>1697</v>
      </c>
      <c r="D604" s="675">
        <f>[14]Data!K3434</f>
        <v>5051.6899999999996</v>
      </c>
      <c r="E604" s="674" t="s">
        <v>37</v>
      </c>
      <c r="F604" s="663">
        <f t="shared" si="21"/>
        <v>0</v>
      </c>
      <c r="G604" s="675"/>
      <c r="H604" s="667">
        <f t="shared" si="20"/>
        <v>0</v>
      </c>
    </row>
    <row r="605" spans="1:8" s="677" customFormat="1" ht="59.25" hidden="1" customHeight="1">
      <c r="A605" s="690"/>
      <c r="B605" s="666"/>
      <c r="C605" s="743" t="s">
        <v>1698</v>
      </c>
      <c r="D605" s="675">
        <f>[14]Data!R2654</f>
        <v>6199.77</v>
      </c>
      <c r="E605" s="674" t="s">
        <v>37</v>
      </c>
      <c r="F605" s="663">
        <f t="shared" si="21"/>
        <v>0</v>
      </c>
      <c r="G605" s="675"/>
      <c r="H605" s="667">
        <f t="shared" si="20"/>
        <v>0</v>
      </c>
    </row>
    <row r="606" spans="1:8" s="677" customFormat="1" ht="59.25" hidden="1" customHeight="1">
      <c r="A606" s="690"/>
      <c r="B606" s="666"/>
      <c r="C606" s="743" t="s">
        <v>1699</v>
      </c>
      <c r="D606" s="675">
        <f>[14]Data!AG2629</f>
        <v>5298.17</v>
      </c>
      <c r="E606" s="674" t="s">
        <v>37</v>
      </c>
      <c r="F606" s="663">
        <f t="shared" si="21"/>
        <v>0</v>
      </c>
      <c r="G606" s="675"/>
      <c r="H606" s="667">
        <f t="shared" si="20"/>
        <v>0</v>
      </c>
    </row>
    <row r="607" spans="1:8" ht="65.25" hidden="1" customHeight="1">
      <c r="A607" s="667"/>
      <c r="B607" s="666"/>
      <c r="C607" s="663" t="s">
        <v>1700</v>
      </c>
      <c r="D607" s="667">
        <f>[14]Data!K1066</f>
        <v>3424.55</v>
      </c>
      <c r="E607" s="663" t="s">
        <v>37</v>
      </c>
      <c r="F607" s="663">
        <f t="shared" si="21"/>
        <v>0</v>
      </c>
      <c r="G607" s="667"/>
      <c r="H607" s="667">
        <f t="shared" si="20"/>
        <v>0</v>
      </c>
    </row>
    <row r="608" spans="1:8" s="677" customFormat="1" ht="82.5" hidden="1" customHeight="1">
      <c r="A608" s="690"/>
      <c r="B608" s="666"/>
      <c r="C608" s="663" t="s">
        <v>1701</v>
      </c>
      <c r="D608" s="675">
        <f>[14]Data!R1000</f>
        <v>3850.37</v>
      </c>
      <c r="E608" s="674" t="s">
        <v>37</v>
      </c>
      <c r="F608" s="663">
        <f t="shared" si="21"/>
        <v>0</v>
      </c>
      <c r="G608" s="675"/>
      <c r="H608" s="667">
        <f t="shared" si="20"/>
        <v>0</v>
      </c>
    </row>
    <row r="609" spans="1:8" s="677" customFormat="1" ht="63.75" hidden="1" customHeight="1">
      <c r="A609" s="690"/>
      <c r="B609" s="666"/>
      <c r="C609" s="663" t="s">
        <v>1702</v>
      </c>
      <c r="D609" s="667">
        <f>[14]Data!R1077</f>
        <v>3309.65</v>
      </c>
      <c r="E609" s="663" t="s">
        <v>37</v>
      </c>
      <c r="F609" s="663">
        <f t="shared" si="21"/>
        <v>0</v>
      </c>
      <c r="G609" s="667"/>
      <c r="H609" s="667">
        <f t="shared" si="20"/>
        <v>0</v>
      </c>
    </row>
    <row r="610" spans="1:8" s="677" customFormat="1" ht="74.25" hidden="1" customHeight="1">
      <c r="A610" s="690"/>
      <c r="B610" s="666"/>
      <c r="C610" s="663" t="s">
        <v>1703</v>
      </c>
      <c r="D610" s="675"/>
      <c r="E610" s="674" t="s">
        <v>37</v>
      </c>
      <c r="F610" s="663">
        <f t="shared" si="21"/>
        <v>0</v>
      </c>
      <c r="G610" s="675"/>
      <c r="H610" s="667">
        <f t="shared" si="20"/>
        <v>0</v>
      </c>
    </row>
    <row r="611" spans="1:8" s="677" customFormat="1" ht="74.25" hidden="1" customHeight="1">
      <c r="A611" s="690"/>
      <c r="B611" s="666"/>
      <c r="C611" s="663" t="s">
        <v>1704</v>
      </c>
      <c r="D611" s="675">
        <f>[14]Data!R3166</f>
        <v>3117.04</v>
      </c>
      <c r="E611" s="674" t="s">
        <v>37</v>
      </c>
      <c r="F611" s="663">
        <f t="shared" si="21"/>
        <v>0</v>
      </c>
      <c r="G611" s="675"/>
      <c r="H611" s="667">
        <f t="shared" si="20"/>
        <v>0</v>
      </c>
    </row>
    <row r="612" spans="1:8" ht="48.75" hidden="1" customHeight="1">
      <c r="A612" s="662" t="s">
        <v>1095</v>
      </c>
      <c r="B612" s="666"/>
      <c r="C612" s="663" t="s">
        <v>1705</v>
      </c>
      <c r="D612" s="667">
        <f>[14]Data!C704</f>
        <v>3167</v>
      </c>
      <c r="E612" s="663" t="s">
        <v>37</v>
      </c>
      <c r="F612" s="663">
        <f t="shared" si="21"/>
        <v>0</v>
      </c>
      <c r="G612" s="667"/>
      <c r="H612" s="667">
        <f t="shared" si="20"/>
        <v>0</v>
      </c>
    </row>
    <row r="613" spans="1:8" ht="66.75" hidden="1" customHeight="1">
      <c r="A613" s="700" t="s">
        <v>1100</v>
      </c>
      <c r="B613" s="666"/>
      <c r="C613" s="663" t="s">
        <v>507</v>
      </c>
      <c r="D613" s="667">
        <f>ROUND([14]Data!K1185,2)</f>
        <v>708.1</v>
      </c>
      <c r="E613" s="663" t="s">
        <v>37</v>
      </c>
      <c r="F613" s="663">
        <f t="shared" si="21"/>
        <v>0</v>
      </c>
      <c r="G613" s="667"/>
      <c r="H613" s="667">
        <f t="shared" si="20"/>
        <v>0</v>
      </c>
    </row>
    <row r="614" spans="1:8" s="677" customFormat="1" ht="45.75" hidden="1" customHeight="1">
      <c r="A614" s="666"/>
      <c r="B614" s="666"/>
      <c r="C614" s="685" t="s">
        <v>1706</v>
      </c>
      <c r="D614" s="675"/>
      <c r="E614" s="674"/>
      <c r="F614" s="663">
        <f t="shared" si="21"/>
        <v>0</v>
      </c>
      <c r="G614" s="675"/>
      <c r="H614" s="667">
        <f t="shared" si="20"/>
        <v>0</v>
      </c>
    </row>
    <row r="615" spans="1:8" s="677" customFormat="1" ht="39" hidden="1" customHeight="1">
      <c r="A615" s="666"/>
      <c r="B615" s="666"/>
      <c r="C615" s="663" t="s">
        <v>1405</v>
      </c>
      <c r="D615" s="675">
        <f>ROUND([14]Data!K628,2)</f>
        <v>572.35</v>
      </c>
      <c r="E615" s="674" t="s">
        <v>264</v>
      </c>
      <c r="F615" s="663">
        <f t="shared" si="21"/>
        <v>0</v>
      </c>
      <c r="G615" s="675"/>
      <c r="H615" s="667">
        <f t="shared" si="20"/>
        <v>0</v>
      </c>
    </row>
    <row r="616" spans="1:8" s="677" customFormat="1" ht="39" hidden="1" customHeight="1">
      <c r="A616" s="666"/>
      <c r="B616" s="666"/>
      <c r="C616" s="663" t="s">
        <v>1406</v>
      </c>
      <c r="D616" s="675">
        <f>ROUND([14]Data!K629,2)</f>
        <v>576.41999999999996</v>
      </c>
      <c r="E616" s="674" t="s">
        <v>264</v>
      </c>
      <c r="F616" s="663">
        <f t="shared" si="21"/>
        <v>0</v>
      </c>
      <c r="G616" s="675"/>
      <c r="H616" s="667">
        <f t="shared" si="20"/>
        <v>0</v>
      </c>
    </row>
    <row r="617" spans="1:8" s="677" customFormat="1" ht="39" hidden="1" customHeight="1">
      <c r="A617" s="666"/>
      <c r="B617" s="666"/>
      <c r="C617" s="663" t="s">
        <v>1407</v>
      </c>
      <c r="D617" s="675">
        <f>ROUND([14]Data!K630,2)</f>
        <v>580.49</v>
      </c>
      <c r="E617" s="674" t="s">
        <v>264</v>
      </c>
      <c r="F617" s="663">
        <f t="shared" si="21"/>
        <v>0</v>
      </c>
      <c r="G617" s="675"/>
      <c r="H617" s="667">
        <f t="shared" si="20"/>
        <v>0</v>
      </c>
    </row>
    <row r="618" spans="1:8" s="677" customFormat="1" ht="39" hidden="1" customHeight="1">
      <c r="A618" s="666"/>
      <c r="B618" s="666"/>
      <c r="C618" s="663" t="s">
        <v>1408</v>
      </c>
      <c r="D618" s="675">
        <f>ROUND([14]Data!K631,2)</f>
        <v>584.55999999999995</v>
      </c>
      <c r="E618" s="674" t="s">
        <v>264</v>
      </c>
      <c r="F618" s="663">
        <f t="shared" si="21"/>
        <v>0</v>
      </c>
      <c r="G618" s="675"/>
      <c r="H618" s="667">
        <f t="shared" si="20"/>
        <v>0</v>
      </c>
    </row>
    <row r="619" spans="1:8" s="677" customFormat="1" ht="36" hidden="1" customHeight="1">
      <c r="A619" s="690"/>
      <c r="B619" s="666"/>
      <c r="C619" s="663" t="s">
        <v>1409</v>
      </c>
      <c r="D619" s="675">
        <f>ROUND([14]Data!K632,2)</f>
        <v>588.63</v>
      </c>
      <c r="E619" s="674" t="s">
        <v>264</v>
      </c>
      <c r="F619" s="663">
        <f t="shared" si="21"/>
        <v>0</v>
      </c>
      <c r="G619" s="675"/>
      <c r="H619" s="667">
        <f t="shared" si="20"/>
        <v>0</v>
      </c>
    </row>
    <row r="620" spans="1:8" ht="40.5" hidden="1" customHeight="1">
      <c r="A620" s="684"/>
      <c r="B620" s="666"/>
      <c r="C620" s="695" t="s">
        <v>1707</v>
      </c>
      <c r="D620" s="675"/>
      <c r="E620" s="674"/>
      <c r="F620" s="663">
        <f t="shared" si="21"/>
        <v>0</v>
      </c>
      <c r="G620" s="675"/>
      <c r="H620" s="667">
        <f t="shared" si="20"/>
        <v>0</v>
      </c>
    </row>
    <row r="621" spans="1:8" s="677" customFormat="1" ht="39" hidden="1" customHeight="1">
      <c r="A621" s="690"/>
      <c r="B621" s="666"/>
      <c r="C621" s="663" t="s">
        <v>1708</v>
      </c>
      <c r="D621" s="675">
        <f>[14]Data!K590</f>
        <v>529.37</v>
      </c>
      <c r="E621" s="674" t="s">
        <v>264</v>
      </c>
      <c r="F621" s="663">
        <f t="shared" si="21"/>
        <v>0</v>
      </c>
      <c r="G621" s="675"/>
      <c r="H621" s="667">
        <f t="shared" si="20"/>
        <v>0</v>
      </c>
    </row>
    <row r="622" spans="1:8" s="677" customFormat="1" ht="45.75" hidden="1" customHeight="1">
      <c r="A622" s="690"/>
      <c r="B622" s="666"/>
      <c r="C622" s="663" t="s">
        <v>1406</v>
      </c>
      <c r="D622" s="675">
        <f>[14]Data!K591</f>
        <v>533.44000000000005</v>
      </c>
      <c r="E622" s="674" t="s">
        <v>264</v>
      </c>
      <c r="F622" s="663">
        <f t="shared" si="21"/>
        <v>0</v>
      </c>
      <c r="G622" s="675"/>
      <c r="H622" s="667">
        <f t="shared" si="20"/>
        <v>0</v>
      </c>
    </row>
    <row r="623" spans="1:8" s="677" customFormat="1" ht="45.75" hidden="1" customHeight="1">
      <c r="A623" s="690"/>
      <c r="B623" s="666"/>
      <c r="C623" s="663" t="s">
        <v>1407</v>
      </c>
      <c r="D623" s="675">
        <f>[14]Data!K592</f>
        <v>537.51</v>
      </c>
      <c r="E623" s="674" t="s">
        <v>264</v>
      </c>
      <c r="F623" s="663">
        <f t="shared" si="21"/>
        <v>0</v>
      </c>
      <c r="G623" s="675"/>
      <c r="H623" s="667">
        <f t="shared" ref="H623:H654" si="22">G623*D623</f>
        <v>0</v>
      </c>
    </row>
    <row r="624" spans="1:8" s="677" customFormat="1" ht="45.75" hidden="1" customHeight="1">
      <c r="A624" s="690"/>
      <c r="B624" s="666"/>
      <c r="C624" s="663" t="s">
        <v>1408</v>
      </c>
      <c r="D624" s="675">
        <f>[14]Data!K593</f>
        <v>541.58000000000004</v>
      </c>
      <c r="E624" s="674" t="s">
        <v>264</v>
      </c>
      <c r="F624" s="663">
        <f t="shared" si="21"/>
        <v>0</v>
      </c>
      <c r="G624" s="675"/>
      <c r="H624" s="667">
        <f t="shared" si="22"/>
        <v>0</v>
      </c>
    </row>
    <row r="625" spans="1:9" s="677" customFormat="1" ht="36" hidden="1" customHeight="1">
      <c r="A625" s="690"/>
      <c r="B625" s="666"/>
      <c r="C625" s="663" t="s">
        <v>1409</v>
      </c>
      <c r="D625" s="675">
        <f>[14]Data!K594</f>
        <v>545.65</v>
      </c>
      <c r="E625" s="674" t="s">
        <v>264</v>
      </c>
      <c r="F625" s="663">
        <f t="shared" si="21"/>
        <v>0</v>
      </c>
      <c r="G625" s="675"/>
      <c r="H625" s="667">
        <f t="shared" si="22"/>
        <v>0</v>
      </c>
    </row>
    <row r="626" spans="1:9" ht="26.25" hidden="1" customHeight="1">
      <c r="A626" s="684"/>
      <c r="B626" s="666"/>
      <c r="C626" s="695" t="s">
        <v>1709</v>
      </c>
      <c r="D626" s="675"/>
      <c r="E626" s="674"/>
      <c r="F626" s="663">
        <f t="shared" si="21"/>
        <v>0</v>
      </c>
      <c r="G626" s="675"/>
      <c r="H626" s="667">
        <f t="shared" si="22"/>
        <v>0</v>
      </c>
    </row>
    <row r="627" spans="1:9" s="677" customFormat="1" ht="41.25" hidden="1" customHeight="1">
      <c r="A627" s="690"/>
      <c r="B627" s="666"/>
      <c r="C627" s="663" t="s">
        <v>1405</v>
      </c>
      <c r="D627" s="675">
        <f>[14]Data!X589</f>
        <v>558.29999999999995</v>
      </c>
      <c r="E627" s="674" t="s">
        <v>264</v>
      </c>
      <c r="F627" s="663">
        <f t="shared" si="21"/>
        <v>0</v>
      </c>
      <c r="G627" s="675"/>
      <c r="H627" s="667">
        <f t="shared" si="22"/>
        <v>0</v>
      </c>
    </row>
    <row r="628" spans="1:9" s="677" customFormat="1" ht="43.5" hidden="1" customHeight="1">
      <c r="A628" s="690"/>
      <c r="B628" s="666"/>
      <c r="C628" s="663" t="s">
        <v>1406</v>
      </c>
      <c r="D628" s="675">
        <f>[14]Data!X590</f>
        <v>562.42999999999995</v>
      </c>
      <c r="E628" s="674" t="s">
        <v>264</v>
      </c>
      <c r="F628" s="663">
        <f t="shared" si="21"/>
        <v>0</v>
      </c>
      <c r="G628" s="675"/>
      <c r="H628" s="667">
        <f t="shared" si="22"/>
        <v>0</v>
      </c>
    </row>
    <row r="629" spans="1:9" s="677" customFormat="1" ht="36" hidden="1" customHeight="1">
      <c r="A629" s="690"/>
      <c r="B629" s="666"/>
      <c r="C629" s="663" t="s">
        <v>1407</v>
      </c>
      <c r="D629" s="675">
        <f>[14]Data!X591</f>
        <v>570.57000000000005</v>
      </c>
      <c r="E629" s="674" t="s">
        <v>264</v>
      </c>
      <c r="F629" s="663">
        <f t="shared" si="21"/>
        <v>0</v>
      </c>
      <c r="G629" s="675"/>
      <c r="H629" s="667">
        <f t="shared" si="22"/>
        <v>0</v>
      </c>
    </row>
    <row r="630" spans="1:9" s="677" customFormat="1" ht="36" hidden="1" customHeight="1">
      <c r="A630" s="690"/>
      <c r="B630" s="666"/>
      <c r="C630" s="663" t="s">
        <v>1408</v>
      </c>
      <c r="D630" s="675">
        <f>[14]Data!X592</f>
        <v>578.71</v>
      </c>
      <c r="E630" s="674" t="s">
        <v>264</v>
      </c>
      <c r="F630" s="663">
        <f t="shared" si="21"/>
        <v>0</v>
      </c>
      <c r="G630" s="675"/>
      <c r="H630" s="667">
        <f t="shared" si="22"/>
        <v>0</v>
      </c>
    </row>
    <row r="631" spans="1:9" s="677" customFormat="1" ht="36" hidden="1" customHeight="1">
      <c r="A631" s="690"/>
      <c r="B631" s="666"/>
      <c r="C631" s="663" t="s">
        <v>1409</v>
      </c>
      <c r="D631" s="675">
        <f>[14]Data!X593</f>
        <v>586.85</v>
      </c>
      <c r="E631" s="674"/>
      <c r="F631" s="663">
        <f t="shared" si="21"/>
        <v>0</v>
      </c>
      <c r="G631" s="675"/>
      <c r="H631" s="667">
        <f t="shared" si="22"/>
        <v>0</v>
      </c>
    </row>
    <row r="632" spans="1:9" s="677" customFormat="1" ht="45.75" hidden="1" customHeight="1">
      <c r="A632" s="690"/>
      <c r="B632" s="666"/>
      <c r="C632" s="685" t="s">
        <v>1710</v>
      </c>
      <c r="D632" s="675"/>
      <c r="E632" s="674"/>
      <c r="F632" s="663">
        <f t="shared" si="21"/>
        <v>0</v>
      </c>
      <c r="G632" s="675"/>
      <c r="H632" s="667">
        <f t="shared" si="22"/>
        <v>0</v>
      </c>
    </row>
    <row r="633" spans="1:9" s="677" customFormat="1" ht="25.5" hidden="1" customHeight="1">
      <c r="A633" s="690"/>
      <c r="B633" s="666"/>
      <c r="C633" s="663" t="s">
        <v>1405</v>
      </c>
      <c r="D633" s="675">
        <f>[14]Data!K612</f>
        <v>1847.38</v>
      </c>
      <c r="E633" s="674" t="s">
        <v>264</v>
      </c>
      <c r="F633" s="663">
        <f t="shared" si="21"/>
        <v>0</v>
      </c>
      <c r="G633" s="675"/>
      <c r="H633" s="667">
        <f t="shared" si="22"/>
        <v>0</v>
      </c>
    </row>
    <row r="634" spans="1:9" s="677" customFormat="1" ht="25.5" hidden="1" customHeight="1">
      <c r="A634" s="690"/>
      <c r="B634" s="666"/>
      <c r="C634" s="663" t="s">
        <v>1406</v>
      </c>
      <c r="D634" s="675">
        <f>[14]Data!K613</f>
        <v>1855.52</v>
      </c>
      <c r="E634" s="674" t="s">
        <v>264</v>
      </c>
      <c r="F634" s="663">
        <f t="shared" si="21"/>
        <v>0</v>
      </c>
      <c r="G634" s="675"/>
      <c r="H634" s="667">
        <f t="shared" si="22"/>
        <v>0</v>
      </c>
    </row>
    <row r="635" spans="1:9" s="677" customFormat="1" ht="25.5" hidden="1" customHeight="1">
      <c r="A635" s="690"/>
      <c r="B635" s="666"/>
      <c r="C635" s="663" t="s">
        <v>1407</v>
      </c>
      <c r="D635" s="675">
        <f>[14]Data!K614</f>
        <v>1863.66</v>
      </c>
      <c r="E635" s="674" t="s">
        <v>264</v>
      </c>
      <c r="F635" s="663">
        <f t="shared" si="21"/>
        <v>0</v>
      </c>
      <c r="G635" s="675"/>
      <c r="H635" s="667">
        <f t="shared" si="22"/>
        <v>0</v>
      </c>
    </row>
    <row r="636" spans="1:9" s="677" customFormat="1" ht="25.5" hidden="1" customHeight="1">
      <c r="A636" s="690"/>
      <c r="B636" s="666"/>
      <c r="C636" s="663" t="s">
        <v>1408</v>
      </c>
      <c r="D636" s="675">
        <f>[14]Data!K615</f>
        <v>1871.8</v>
      </c>
      <c r="E636" s="674" t="s">
        <v>264</v>
      </c>
      <c r="F636" s="663">
        <f t="shared" si="21"/>
        <v>0</v>
      </c>
      <c r="G636" s="675"/>
      <c r="H636" s="667">
        <f t="shared" si="22"/>
        <v>0</v>
      </c>
    </row>
    <row r="637" spans="1:9" s="677" customFormat="1" ht="25.5" hidden="1" customHeight="1">
      <c r="A637" s="690"/>
      <c r="B637" s="666"/>
      <c r="C637" s="663" t="s">
        <v>1409</v>
      </c>
      <c r="D637" s="675">
        <f>[14]Data!K616</f>
        <v>1879.94</v>
      </c>
      <c r="E637" s="674" t="s">
        <v>264</v>
      </c>
      <c r="F637" s="663">
        <f t="shared" si="21"/>
        <v>0</v>
      </c>
      <c r="G637" s="675"/>
      <c r="H637" s="667">
        <f t="shared" si="22"/>
        <v>0</v>
      </c>
    </row>
    <row r="638" spans="1:9" ht="46.5" hidden="1" customHeight="1">
      <c r="A638" s="662">
        <v>29.8</v>
      </c>
      <c r="B638" s="666"/>
      <c r="C638" s="663" t="s">
        <v>1711</v>
      </c>
      <c r="D638" s="667">
        <f>ROUND([14]Data!K1278,2)</f>
        <v>1237.43</v>
      </c>
      <c r="E638" s="663" t="s">
        <v>37</v>
      </c>
      <c r="F638" s="663">
        <f t="shared" si="21"/>
        <v>0</v>
      </c>
      <c r="G638" s="667"/>
      <c r="H638" s="667">
        <f t="shared" si="22"/>
        <v>0</v>
      </c>
      <c r="I638" s="670">
        <f>43.34+32.51+10.84+3.6</f>
        <v>90.289999999999992</v>
      </c>
    </row>
    <row r="639" spans="1:9" s="677" customFormat="1" ht="25.5" hidden="1" customHeight="1">
      <c r="A639" s="662"/>
      <c r="B639" s="666"/>
      <c r="C639" s="663" t="s">
        <v>1712</v>
      </c>
      <c r="D639" s="675">
        <f>ROUND([14]Data!K1264,2)</f>
        <v>1094.29</v>
      </c>
      <c r="E639" s="674" t="s">
        <v>37</v>
      </c>
      <c r="F639" s="663">
        <f t="shared" si="21"/>
        <v>0</v>
      </c>
      <c r="G639" s="675"/>
      <c r="H639" s="667">
        <f t="shared" si="22"/>
        <v>0</v>
      </c>
    </row>
    <row r="640" spans="1:9" ht="56.25" hidden="1" customHeight="1">
      <c r="A640" s="662">
        <v>29.9</v>
      </c>
      <c r="B640" s="666"/>
      <c r="C640" s="663" t="s">
        <v>137</v>
      </c>
      <c r="D640" s="667">
        <f>ROUND([14]Data!K1264,2)</f>
        <v>1094.29</v>
      </c>
      <c r="E640" s="663" t="s">
        <v>37</v>
      </c>
      <c r="F640" s="663">
        <f t="shared" si="21"/>
        <v>0</v>
      </c>
      <c r="G640" s="667"/>
      <c r="H640" s="667">
        <f t="shared" si="22"/>
        <v>0</v>
      </c>
      <c r="I640" s="670">
        <f>I638+1685</f>
        <v>1775.29</v>
      </c>
    </row>
    <row r="641" spans="1:8" ht="72.75" hidden="1" customHeight="1">
      <c r="A641" s="673">
        <v>38.4</v>
      </c>
      <c r="B641" s="666"/>
      <c r="C641" s="674" t="s">
        <v>1713</v>
      </c>
      <c r="D641" s="675">
        <f>[14]Data!K2725</f>
        <v>114.39</v>
      </c>
      <c r="E641" s="674" t="s">
        <v>37</v>
      </c>
      <c r="F641" s="663">
        <f t="shared" si="21"/>
        <v>0</v>
      </c>
      <c r="G641" s="675"/>
      <c r="H641" s="667">
        <f t="shared" si="22"/>
        <v>0</v>
      </c>
    </row>
    <row r="642" spans="1:8" s="677" customFormat="1" ht="16.5" hidden="1" customHeight="1">
      <c r="A642" s="662">
        <v>38.5</v>
      </c>
      <c r="B642" s="666"/>
      <c r="C642" s="663" t="s">
        <v>1536</v>
      </c>
      <c r="D642" s="675">
        <f>ROUND([14]Data!K1526,2)</f>
        <v>147.27000000000001</v>
      </c>
      <c r="E642" s="674" t="s">
        <v>37</v>
      </c>
      <c r="F642" s="663">
        <f t="shared" si="21"/>
        <v>0</v>
      </c>
      <c r="G642" s="675"/>
      <c r="H642" s="667">
        <f t="shared" si="22"/>
        <v>0</v>
      </c>
    </row>
    <row r="643" spans="1:8" ht="63" hidden="1" customHeight="1">
      <c r="A643" s="662">
        <v>38.6</v>
      </c>
      <c r="B643" s="666"/>
      <c r="C643" s="663" t="s">
        <v>160</v>
      </c>
      <c r="D643" s="667">
        <f>ROUND([14]Data!K2716,2)</f>
        <v>53.72</v>
      </c>
      <c r="E643" s="663" t="s">
        <v>37</v>
      </c>
      <c r="F643" s="663">
        <f t="shared" si="21"/>
        <v>0</v>
      </c>
      <c r="G643" s="667"/>
      <c r="H643" s="667">
        <f t="shared" si="22"/>
        <v>0</v>
      </c>
    </row>
    <row r="644" spans="1:8" s="677" customFormat="1" ht="73.5" hidden="1" customHeight="1">
      <c r="A644" s="662">
        <v>42</v>
      </c>
      <c r="B644" s="666"/>
      <c r="C644" s="663" t="s">
        <v>1714</v>
      </c>
      <c r="D644" s="675">
        <f>ROUND([14]Data!K1582,2)</f>
        <v>80140.5</v>
      </c>
      <c r="E644" s="674" t="s">
        <v>58</v>
      </c>
      <c r="F644" s="663">
        <f t="shared" si="21"/>
        <v>0</v>
      </c>
      <c r="G644" s="675"/>
      <c r="H644" s="667">
        <f t="shared" si="22"/>
        <v>0</v>
      </c>
    </row>
    <row r="645" spans="1:8" ht="66" hidden="1" customHeight="1">
      <c r="A645" s="662">
        <v>43</v>
      </c>
      <c r="B645" s="666"/>
      <c r="C645" s="663" t="s">
        <v>1715</v>
      </c>
      <c r="D645" s="667">
        <f>ROUND([14]Data!K1608,2)</f>
        <v>78398</v>
      </c>
      <c r="E645" s="663" t="s">
        <v>58</v>
      </c>
      <c r="F645" s="663">
        <f t="shared" si="21"/>
        <v>0</v>
      </c>
      <c r="G645" s="667"/>
      <c r="H645" s="667">
        <f t="shared" si="22"/>
        <v>0</v>
      </c>
    </row>
    <row r="646" spans="1:8" ht="65.25" hidden="1" customHeight="1">
      <c r="A646" s="662">
        <v>44.6</v>
      </c>
      <c r="B646" s="666"/>
      <c r="C646" s="706" t="s">
        <v>1716</v>
      </c>
      <c r="D646" s="667">
        <f>ROUND([14]Data!K1638,2)</f>
        <v>321.74</v>
      </c>
      <c r="E646" s="663" t="s">
        <v>61</v>
      </c>
      <c r="F646" s="663">
        <f t="shared" si="21"/>
        <v>0</v>
      </c>
      <c r="G646" s="667"/>
      <c r="H646" s="667">
        <f t="shared" si="22"/>
        <v>0</v>
      </c>
    </row>
    <row r="647" spans="1:8" ht="47.25" hidden="1" customHeight="1">
      <c r="A647" s="746">
        <v>50.6</v>
      </c>
      <c r="B647" s="666"/>
      <c r="C647" s="747" t="s">
        <v>71</v>
      </c>
      <c r="D647" s="748">
        <f>ROUND([14]Data!K2392,2)</f>
        <v>386.19</v>
      </c>
      <c r="E647" s="663" t="s">
        <v>37</v>
      </c>
      <c r="F647" s="663">
        <f t="shared" si="21"/>
        <v>0</v>
      </c>
      <c r="G647" s="667"/>
      <c r="H647" s="667">
        <f t="shared" si="22"/>
        <v>0</v>
      </c>
    </row>
    <row r="648" spans="1:8" ht="63.75" hidden="1" customHeight="1">
      <c r="A648" s="662">
        <v>52.4</v>
      </c>
      <c r="B648" s="666"/>
      <c r="C648" s="704" t="s">
        <v>1717</v>
      </c>
      <c r="D648" s="667">
        <f>ROUND([14]Data!K2767,2)</f>
        <v>205.94</v>
      </c>
      <c r="E648" s="663" t="s">
        <v>61</v>
      </c>
      <c r="F648" s="663">
        <f t="shared" si="21"/>
        <v>0</v>
      </c>
      <c r="G648" s="667"/>
      <c r="H648" s="667">
        <f t="shared" si="22"/>
        <v>0</v>
      </c>
    </row>
    <row r="649" spans="1:8" ht="55.5" hidden="1" customHeight="1">
      <c r="A649" s="662">
        <v>53.4</v>
      </c>
      <c r="B649" s="666"/>
      <c r="C649" s="663" t="s">
        <v>38</v>
      </c>
      <c r="D649" s="667">
        <f>[14]Data!K1951</f>
        <v>1846</v>
      </c>
      <c r="E649" s="663" t="s">
        <v>522</v>
      </c>
      <c r="F649" s="663">
        <f t="shared" si="21"/>
        <v>0</v>
      </c>
      <c r="G649" s="667"/>
      <c r="H649" s="667">
        <f t="shared" si="22"/>
        <v>0</v>
      </c>
    </row>
    <row r="650" spans="1:8" ht="45.75" hidden="1" customHeight="1">
      <c r="A650" s="662"/>
      <c r="B650" s="666"/>
      <c r="C650" s="663" t="s">
        <v>1718</v>
      </c>
      <c r="D650" s="667">
        <f>[14]Data!K3569</f>
        <v>3104.82</v>
      </c>
      <c r="E650" s="663" t="s">
        <v>522</v>
      </c>
      <c r="F650" s="663">
        <f t="shared" si="21"/>
        <v>0</v>
      </c>
      <c r="G650" s="667"/>
      <c r="H650" s="667">
        <f t="shared" si="22"/>
        <v>0</v>
      </c>
    </row>
    <row r="651" spans="1:8" s="677" customFormat="1" ht="88.5" hidden="1" customHeight="1">
      <c r="A651" s="662">
        <v>54.3</v>
      </c>
      <c r="B651" s="666"/>
      <c r="C651" s="663" t="s">
        <v>1719</v>
      </c>
      <c r="D651" s="675">
        <f>ROUND([14]Data!K1954,2)</f>
        <v>204</v>
      </c>
      <c r="E651" s="674" t="s">
        <v>522</v>
      </c>
      <c r="F651" s="663">
        <f t="shared" si="21"/>
        <v>0</v>
      </c>
      <c r="G651" s="675"/>
      <c r="H651" s="667">
        <f t="shared" si="22"/>
        <v>0</v>
      </c>
    </row>
    <row r="652" spans="1:8" s="677" customFormat="1" ht="72.75" hidden="1" customHeight="1">
      <c r="A652" s="662">
        <v>56.3</v>
      </c>
      <c r="B652" s="666"/>
      <c r="C652" s="663" t="s">
        <v>1167</v>
      </c>
      <c r="D652" s="675">
        <f>ROUND([14]Data!K1977,2)</f>
        <v>3071.23</v>
      </c>
      <c r="E652" s="674" t="s">
        <v>522</v>
      </c>
      <c r="F652" s="663">
        <f t="shared" si="21"/>
        <v>0</v>
      </c>
      <c r="G652" s="675"/>
      <c r="H652" s="667">
        <f t="shared" si="22"/>
        <v>0</v>
      </c>
    </row>
    <row r="653" spans="1:8" s="677" customFormat="1" ht="86.25" hidden="1" customHeight="1">
      <c r="A653" s="662">
        <v>56.4</v>
      </c>
      <c r="B653" s="666"/>
      <c r="C653" s="663" t="s">
        <v>1720</v>
      </c>
      <c r="D653" s="675">
        <f>ROUND([14]Data!K1998,2)</f>
        <v>4786.87</v>
      </c>
      <c r="E653" s="674" t="s">
        <v>522</v>
      </c>
      <c r="F653" s="663">
        <f t="shared" si="21"/>
        <v>0</v>
      </c>
      <c r="G653" s="675"/>
      <c r="H653" s="667">
        <f t="shared" si="22"/>
        <v>0</v>
      </c>
    </row>
    <row r="654" spans="1:8" ht="43.5" hidden="1" customHeight="1">
      <c r="A654" s="662">
        <v>58.3</v>
      </c>
      <c r="B654" s="666"/>
      <c r="C654" s="685" t="s">
        <v>1721</v>
      </c>
      <c r="D654" s="667"/>
      <c r="E654" s="750"/>
      <c r="F654" s="663">
        <f t="shared" si="21"/>
        <v>0</v>
      </c>
      <c r="G654" s="667"/>
      <c r="H654" s="667">
        <f t="shared" si="22"/>
        <v>0</v>
      </c>
    </row>
    <row r="655" spans="1:8" ht="48" hidden="1" customHeight="1">
      <c r="A655" s="662"/>
      <c r="B655" s="666"/>
      <c r="C655" s="663" t="s">
        <v>1572</v>
      </c>
      <c r="D655" s="667">
        <f>ROUND([14]Data!K2063,2)</f>
        <v>657.29</v>
      </c>
      <c r="E655" s="663" t="s">
        <v>61</v>
      </c>
      <c r="F655" s="663">
        <f t="shared" si="21"/>
        <v>0</v>
      </c>
      <c r="G655" s="667"/>
      <c r="H655" s="667">
        <f t="shared" ref="H655:H683" si="23">G655*D655</f>
        <v>0</v>
      </c>
    </row>
    <row r="656" spans="1:8" ht="48" hidden="1" customHeight="1">
      <c r="A656" s="667"/>
      <c r="B656" s="666"/>
      <c r="C656" s="663" t="s">
        <v>1573</v>
      </c>
      <c r="D656" s="667">
        <f>ROUND([14]Data!K2087,2)</f>
        <v>541.41999999999996</v>
      </c>
      <c r="E656" s="663" t="s">
        <v>61</v>
      </c>
      <c r="F656" s="663">
        <f t="shared" si="21"/>
        <v>0</v>
      </c>
      <c r="G656" s="667"/>
      <c r="H656" s="667">
        <f t="shared" si="23"/>
        <v>0</v>
      </c>
    </row>
    <row r="657" spans="1:8" ht="78.75" hidden="1" customHeight="1">
      <c r="A657" s="662">
        <v>58.4</v>
      </c>
      <c r="B657" s="666"/>
      <c r="C657" s="663" t="s">
        <v>1722</v>
      </c>
      <c r="D657" s="667">
        <f>ROUND([14]Data!K2888,2)</f>
        <v>81.2</v>
      </c>
      <c r="E657" s="750" t="s">
        <v>61</v>
      </c>
      <c r="F657" s="663">
        <f t="shared" ref="F657:F720" si="24">B657*D657</f>
        <v>0</v>
      </c>
      <c r="G657" s="667"/>
      <c r="H657" s="667">
        <f t="shared" si="23"/>
        <v>0</v>
      </c>
    </row>
    <row r="658" spans="1:8" ht="61.5" hidden="1" customHeight="1">
      <c r="A658" s="662">
        <v>58.5</v>
      </c>
      <c r="B658" s="666"/>
      <c r="C658" s="663" t="s">
        <v>1723</v>
      </c>
      <c r="D658" s="667">
        <f>ROUND([14]Data!K2098,2)</f>
        <v>450.1</v>
      </c>
      <c r="E658" s="750" t="s">
        <v>522</v>
      </c>
      <c r="F658" s="663">
        <f t="shared" si="24"/>
        <v>0</v>
      </c>
      <c r="G658" s="667"/>
      <c r="H658" s="667">
        <f t="shared" si="23"/>
        <v>0</v>
      </c>
    </row>
    <row r="659" spans="1:8" ht="92.25" hidden="1" customHeight="1">
      <c r="A659" s="662"/>
      <c r="B659" s="666"/>
      <c r="C659" s="685" t="s">
        <v>1724</v>
      </c>
      <c r="D659" s="667"/>
      <c r="E659" s="750"/>
      <c r="F659" s="663">
        <f t="shared" si="24"/>
        <v>0</v>
      </c>
      <c r="G659" s="667"/>
      <c r="H659" s="667">
        <f t="shared" si="23"/>
        <v>0</v>
      </c>
    </row>
    <row r="660" spans="1:8" ht="47.25" hidden="1" customHeight="1">
      <c r="A660" s="662"/>
      <c r="B660" s="666"/>
      <c r="C660" s="663" t="s">
        <v>168</v>
      </c>
      <c r="D660" s="667">
        <f>[14]Data!K2261</f>
        <v>1499.29</v>
      </c>
      <c r="E660" s="751" t="s">
        <v>522</v>
      </c>
      <c r="F660" s="663">
        <f t="shared" si="24"/>
        <v>0</v>
      </c>
      <c r="G660" s="667"/>
      <c r="H660" s="667">
        <f t="shared" si="23"/>
        <v>0</v>
      </c>
    </row>
    <row r="661" spans="1:8" ht="47.25" hidden="1" customHeight="1">
      <c r="A661" s="662"/>
      <c r="B661" s="666"/>
      <c r="C661" s="663" t="s">
        <v>170</v>
      </c>
      <c r="D661" s="667">
        <f>[14]Data!K2262</f>
        <v>1503.34</v>
      </c>
      <c r="E661" s="751" t="s">
        <v>522</v>
      </c>
      <c r="F661" s="663">
        <f t="shared" si="24"/>
        <v>0</v>
      </c>
      <c r="G661" s="667"/>
      <c r="H661" s="667">
        <f t="shared" si="23"/>
        <v>0</v>
      </c>
    </row>
    <row r="662" spans="1:8" ht="47.25" hidden="1" customHeight="1">
      <c r="A662" s="667"/>
      <c r="B662" s="666"/>
      <c r="C662" s="663" t="s">
        <v>1591</v>
      </c>
      <c r="D662" s="667">
        <f>[14]Data!K2263</f>
        <v>1531.07</v>
      </c>
      <c r="E662" s="751" t="s">
        <v>522</v>
      </c>
      <c r="F662" s="663">
        <f t="shared" si="24"/>
        <v>0</v>
      </c>
      <c r="G662" s="667"/>
      <c r="H662" s="667">
        <f t="shared" si="23"/>
        <v>0</v>
      </c>
    </row>
    <row r="663" spans="1:8" ht="90.75" hidden="1" customHeight="1">
      <c r="A663" s="662">
        <v>65.099999999999994</v>
      </c>
      <c r="B663" s="666"/>
      <c r="C663" s="663" t="s">
        <v>1725</v>
      </c>
      <c r="D663" s="667">
        <f>[14]Data!K2264</f>
        <v>1565.5</v>
      </c>
      <c r="E663" s="751" t="s">
        <v>522</v>
      </c>
      <c r="F663" s="663">
        <f t="shared" si="24"/>
        <v>0</v>
      </c>
      <c r="G663" s="667"/>
      <c r="H663" s="667">
        <f t="shared" si="23"/>
        <v>0</v>
      </c>
    </row>
    <row r="664" spans="1:8" ht="93" hidden="1" customHeight="1">
      <c r="A664" s="662">
        <v>66.099999999999994</v>
      </c>
      <c r="B664" s="666"/>
      <c r="C664" s="663" t="s">
        <v>1726</v>
      </c>
      <c r="D664" s="667">
        <f>[14]Data!K2265</f>
        <v>2802.19</v>
      </c>
      <c r="E664" s="751" t="s">
        <v>522</v>
      </c>
      <c r="F664" s="663">
        <f t="shared" si="24"/>
        <v>0</v>
      </c>
      <c r="G664" s="667"/>
      <c r="H664" s="667">
        <f t="shared" si="23"/>
        <v>0</v>
      </c>
    </row>
    <row r="665" spans="1:8" ht="120.75" hidden="1" customHeight="1">
      <c r="A665" s="662">
        <v>67.099999999999994</v>
      </c>
      <c r="B665" s="666"/>
      <c r="C665" s="663" t="s">
        <v>1727</v>
      </c>
      <c r="D665" s="667">
        <f>[14]Data!K2266</f>
        <v>764.91</v>
      </c>
      <c r="E665" s="751" t="s">
        <v>522</v>
      </c>
      <c r="F665" s="663">
        <f t="shared" si="24"/>
        <v>0</v>
      </c>
      <c r="G665" s="667"/>
      <c r="H665" s="667">
        <f t="shared" si="23"/>
        <v>0</v>
      </c>
    </row>
    <row r="666" spans="1:8" ht="114.75" hidden="1" customHeight="1">
      <c r="A666" s="662">
        <v>68.2</v>
      </c>
      <c r="B666" s="666"/>
      <c r="C666" s="663" t="s">
        <v>1728</v>
      </c>
      <c r="D666" s="667">
        <f>[14]Data!K2267</f>
        <v>1041.2</v>
      </c>
      <c r="E666" s="751" t="s">
        <v>522</v>
      </c>
      <c r="F666" s="663">
        <f t="shared" si="24"/>
        <v>0</v>
      </c>
      <c r="G666" s="667"/>
      <c r="H666" s="667">
        <f t="shared" si="23"/>
        <v>0</v>
      </c>
    </row>
    <row r="667" spans="1:8" s="677" customFormat="1" ht="60.75" hidden="1" customHeight="1">
      <c r="A667" s="662">
        <v>70.5</v>
      </c>
      <c r="B667" s="666"/>
      <c r="C667" s="663" t="s">
        <v>1729</v>
      </c>
      <c r="D667" s="675">
        <f>[14]Elec.Data!K3781</f>
        <v>501.49</v>
      </c>
      <c r="E667" s="742" t="s">
        <v>522</v>
      </c>
      <c r="F667" s="663">
        <f t="shared" si="24"/>
        <v>0</v>
      </c>
      <c r="G667" s="675"/>
      <c r="H667" s="667">
        <f t="shared" si="23"/>
        <v>0</v>
      </c>
    </row>
    <row r="668" spans="1:8" ht="63.75" hidden="1" customHeight="1">
      <c r="A668" s="667"/>
      <c r="B668" s="666"/>
      <c r="C668" s="663" t="s">
        <v>1730</v>
      </c>
      <c r="D668" s="667">
        <f>ROUND([14]Data!K3038,2)</f>
        <v>1437.4</v>
      </c>
      <c r="E668" s="751" t="s">
        <v>522</v>
      </c>
      <c r="F668" s="663">
        <f t="shared" si="24"/>
        <v>0</v>
      </c>
      <c r="G668" s="667"/>
      <c r="H668" s="667">
        <f t="shared" si="23"/>
        <v>0</v>
      </c>
    </row>
    <row r="669" spans="1:8" ht="87" hidden="1" customHeight="1">
      <c r="A669" s="667"/>
      <c r="B669" s="666"/>
      <c r="C669" s="663" t="s">
        <v>1731</v>
      </c>
      <c r="D669" s="667">
        <f>[14]Data!K2283</f>
        <v>246.68</v>
      </c>
      <c r="E669" s="750" t="s">
        <v>61</v>
      </c>
      <c r="F669" s="663">
        <f t="shared" si="24"/>
        <v>0</v>
      </c>
      <c r="G669" s="667"/>
      <c r="H669" s="667">
        <f t="shared" si="23"/>
        <v>0</v>
      </c>
    </row>
    <row r="670" spans="1:8" s="677" customFormat="1" ht="84.75" hidden="1" customHeight="1">
      <c r="A670" s="662">
        <v>77.5</v>
      </c>
      <c r="B670" s="666"/>
      <c r="C670" s="663" t="s">
        <v>1732</v>
      </c>
      <c r="D670" s="675">
        <f>ROUND([14]Data!K2282,2)</f>
        <v>192.58</v>
      </c>
      <c r="E670" s="752" t="s">
        <v>61</v>
      </c>
      <c r="F670" s="663">
        <f t="shared" si="24"/>
        <v>0</v>
      </c>
      <c r="G670" s="675"/>
      <c r="H670" s="667">
        <f t="shared" si="23"/>
        <v>0</v>
      </c>
    </row>
    <row r="671" spans="1:8" ht="102" hidden="1" customHeight="1">
      <c r="A671" s="673"/>
      <c r="B671" s="666"/>
      <c r="C671" s="674" t="s">
        <v>1731</v>
      </c>
      <c r="D671" s="675">
        <f>ROUND([14]Data!K2283,2)</f>
        <v>246.68</v>
      </c>
      <c r="E671" s="752" t="s">
        <v>61</v>
      </c>
      <c r="F671" s="663">
        <f t="shared" si="24"/>
        <v>0</v>
      </c>
      <c r="G671" s="675"/>
      <c r="H671" s="667">
        <f t="shared" si="23"/>
        <v>0</v>
      </c>
    </row>
    <row r="672" spans="1:8" ht="71.25" hidden="1" customHeight="1">
      <c r="A672" s="662"/>
      <c r="B672" s="666"/>
      <c r="C672" s="663" t="s">
        <v>397</v>
      </c>
      <c r="D672" s="667">
        <f>[14]Elec.Data!K3539</f>
        <v>251.18</v>
      </c>
      <c r="E672" s="750" t="s">
        <v>61</v>
      </c>
      <c r="F672" s="663">
        <f t="shared" si="24"/>
        <v>0</v>
      </c>
      <c r="G672" s="667"/>
      <c r="H672" s="667">
        <f t="shared" si="23"/>
        <v>0</v>
      </c>
    </row>
    <row r="673" spans="1:8" s="677" customFormat="1" ht="91.5" hidden="1" customHeight="1">
      <c r="A673" s="662"/>
      <c r="B673" s="666"/>
      <c r="C673" s="663" t="s">
        <v>1134</v>
      </c>
      <c r="D673" s="667">
        <f>D965</f>
        <v>209.78</v>
      </c>
      <c r="E673" s="753" t="s">
        <v>61</v>
      </c>
      <c r="F673" s="663">
        <f t="shared" si="24"/>
        <v>0</v>
      </c>
      <c r="G673" s="667"/>
      <c r="H673" s="667">
        <f t="shared" si="23"/>
        <v>0</v>
      </c>
    </row>
    <row r="674" spans="1:8" s="677" customFormat="1" ht="59.25" hidden="1" customHeight="1">
      <c r="A674" s="662"/>
      <c r="B674" s="666"/>
      <c r="C674" s="754" t="s">
        <v>1733</v>
      </c>
      <c r="D674" s="675">
        <f>[14]Elec.Data!R3119</f>
        <v>457.07</v>
      </c>
      <c r="E674" s="755" t="s">
        <v>61</v>
      </c>
      <c r="F674" s="663">
        <f t="shared" si="24"/>
        <v>0</v>
      </c>
      <c r="G674" s="675"/>
      <c r="H674" s="667">
        <f t="shared" si="23"/>
        <v>0</v>
      </c>
    </row>
    <row r="675" spans="1:8" s="677" customFormat="1" ht="66.75" hidden="1" customHeight="1">
      <c r="A675" s="662"/>
      <c r="B675" s="666"/>
      <c r="C675" s="754" t="s">
        <v>1734</v>
      </c>
      <c r="D675" s="675">
        <f>[14]Elec.Data!R3133</f>
        <v>589.27</v>
      </c>
      <c r="E675" s="755" t="s">
        <v>61</v>
      </c>
      <c r="F675" s="663">
        <f t="shared" si="24"/>
        <v>0</v>
      </c>
      <c r="G675" s="675"/>
      <c r="H675" s="667">
        <f t="shared" si="23"/>
        <v>0</v>
      </c>
    </row>
    <row r="676" spans="1:8" ht="42" hidden="1" customHeight="1">
      <c r="A676" s="662">
        <v>112.1</v>
      </c>
      <c r="B676" s="666"/>
      <c r="C676" s="663" t="s">
        <v>1735</v>
      </c>
      <c r="D676" s="667">
        <f>[14]Data!K3018</f>
        <v>1942.75</v>
      </c>
      <c r="E676" s="751" t="s">
        <v>522</v>
      </c>
      <c r="F676" s="663">
        <f t="shared" si="24"/>
        <v>0</v>
      </c>
      <c r="G676" s="667"/>
      <c r="H676" s="667">
        <f t="shared" si="23"/>
        <v>0</v>
      </c>
    </row>
    <row r="677" spans="1:8" s="677" customFormat="1" ht="46.5" hidden="1" customHeight="1">
      <c r="A677" s="662"/>
      <c r="B677" s="666"/>
      <c r="C677" s="685" t="s">
        <v>1736</v>
      </c>
      <c r="D677" s="675"/>
      <c r="E677" s="742"/>
      <c r="F677" s="663">
        <f t="shared" si="24"/>
        <v>0</v>
      </c>
      <c r="G677" s="675"/>
      <c r="H677" s="667">
        <f t="shared" si="23"/>
        <v>0</v>
      </c>
    </row>
    <row r="678" spans="1:8" s="677" customFormat="1" ht="51.75" hidden="1" customHeight="1">
      <c r="A678" s="662"/>
      <c r="B678" s="666"/>
      <c r="C678" s="663" t="s">
        <v>1737</v>
      </c>
      <c r="D678" s="675">
        <f>ROUND([14]Data!K3031,2)</f>
        <v>130</v>
      </c>
      <c r="E678" s="742" t="s">
        <v>522</v>
      </c>
      <c r="F678" s="663">
        <f t="shared" si="24"/>
        <v>0</v>
      </c>
      <c r="G678" s="675"/>
      <c r="H678" s="667">
        <f t="shared" si="23"/>
        <v>0</v>
      </c>
    </row>
    <row r="679" spans="1:8" s="677" customFormat="1" ht="51.75" hidden="1" customHeight="1">
      <c r="A679" s="662"/>
      <c r="B679" s="666"/>
      <c r="C679" s="663" t="s">
        <v>1738</v>
      </c>
      <c r="D679" s="675">
        <f>[14]Data!K3033</f>
        <v>170</v>
      </c>
      <c r="E679" s="742" t="s">
        <v>522</v>
      </c>
      <c r="F679" s="663">
        <f t="shared" si="24"/>
        <v>0</v>
      </c>
      <c r="G679" s="675"/>
      <c r="H679" s="667">
        <f t="shared" si="23"/>
        <v>0</v>
      </c>
    </row>
    <row r="680" spans="1:8" s="677" customFormat="1" ht="39" hidden="1" customHeight="1">
      <c r="A680" s="662"/>
      <c r="B680" s="666"/>
      <c r="C680" s="663" t="s">
        <v>1739</v>
      </c>
      <c r="D680" s="675">
        <f>[14]Data!K3036</f>
        <v>443</v>
      </c>
      <c r="E680" s="742" t="s">
        <v>522</v>
      </c>
      <c r="F680" s="663">
        <f t="shared" si="24"/>
        <v>0</v>
      </c>
      <c r="G680" s="675"/>
      <c r="H680" s="667">
        <f t="shared" si="23"/>
        <v>0</v>
      </c>
    </row>
    <row r="681" spans="1:8" s="677" customFormat="1" ht="67.5" hidden="1" customHeight="1">
      <c r="A681" s="662">
        <v>44.2</v>
      </c>
      <c r="B681" s="666"/>
      <c r="C681" s="685" t="s">
        <v>1740</v>
      </c>
      <c r="D681" s="667"/>
      <c r="E681" s="751"/>
      <c r="F681" s="663">
        <f t="shared" si="24"/>
        <v>0</v>
      </c>
      <c r="G681" s="667"/>
      <c r="H681" s="667">
        <f t="shared" si="23"/>
        <v>0</v>
      </c>
    </row>
    <row r="682" spans="1:8" ht="48.75" hidden="1" customHeight="1">
      <c r="A682" s="662"/>
      <c r="B682" s="666"/>
      <c r="C682" s="663" t="s">
        <v>1741</v>
      </c>
      <c r="D682" s="667">
        <f>[14]Data!R2350</f>
        <v>1968.19</v>
      </c>
      <c r="E682" s="751" t="s">
        <v>522</v>
      </c>
      <c r="F682" s="663">
        <f t="shared" si="24"/>
        <v>0</v>
      </c>
      <c r="G682" s="667"/>
      <c r="H682" s="667">
        <f t="shared" si="23"/>
        <v>0</v>
      </c>
    </row>
    <row r="683" spans="1:8" ht="48.75" hidden="1" customHeight="1">
      <c r="A683" s="662"/>
      <c r="B683" s="666"/>
      <c r="C683" s="663" t="s">
        <v>1742</v>
      </c>
      <c r="D683" s="667">
        <f>[14]Data!R2357</f>
        <v>450.99</v>
      </c>
      <c r="E683" s="751" t="s">
        <v>61</v>
      </c>
      <c r="F683" s="663">
        <f t="shared" si="24"/>
        <v>0</v>
      </c>
      <c r="G683" s="667"/>
      <c r="H683" s="667">
        <f t="shared" si="23"/>
        <v>0</v>
      </c>
    </row>
    <row r="684" spans="1:8" ht="79.900000000000006" hidden="1" customHeight="1">
      <c r="A684" s="662"/>
      <c r="B684" s="666"/>
      <c r="C684" s="663" t="s">
        <v>1743</v>
      </c>
      <c r="D684" s="667">
        <f>[14]Data!R2044</f>
        <v>1297.5899999999999</v>
      </c>
      <c r="E684" s="751" t="s">
        <v>522</v>
      </c>
      <c r="F684" s="663">
        <f t="shared" si="24"/>
        <v>0</v>
      </c>
      <c r="G684" s="667"/>
      <c r="H684" s="667"/>
    </row>
    <row r="685" spans="1:8" s="677" customFormat="1" ht="45.75" hidden="1" customHeight="1">
      <c r="A685" s="662">
        <v>257.10000000000002</v>
      </c>
      <c r="B685" s="666"/>
      <c r="C685" s="663" t="s">
        <v>1744</v>
      </c>
      <c r="D685" s="675">
        <f>ROUND([14]Data!K2703,2)</f>
        <v>239.99</v>
      </c>
      <c r="E685" s="742" t="s">
        <v>61</v>
      </c>
      <c r="F685" s="663">
        <f t="shared" si="24"/>
        <v>0</v>
      </c>
      <c r="G685" s="675"/>
      <c r="H685" s="667">
        <f t="shared" ref="H685:H703" si="25">G685*D685</f>
        <v>0</v>
      </c>
    </row>
    <row r="686" spans="1:8" ht="48.75" hidden="1" customHeight="1">
      <c r="A686" s="662">
        <v>344.2</v>
      </c>
      <c r="B686" s="666"/>
      <c r="C686" s="663" t="s">
        <v>1139</v>
      </c>
      <c r="D686" s="667">
        <f>ROUND([14]Data!K3014,2)</f>
        <v>379.4</v>
      </c>
      <c r="E686" s="751" t="s">
        <v>522</v>
      </c>
      <c r="F686" s="663">
        <f t="shared" si="24"/>
        <v>0</v>
      </c>
      <c r="G686" s="667"/>
      <c r="H686" s="667">
        <f t="shared" si="25"/>
        <v>0</v>
      </c>
    </row>
    <row r="687" spans="1:8" ht="48.75" hidden="1" customHeight="1">
      <c r="A687" s="700">
        <v>383</v>
      </c>
      <c r="B687" s="666"/>
      <c r="C687" s="663" t="s">
        <v>1745</v>
      </c>
      <c r="D687" s="667">
        <f>[14]Data!C764</f>
        <v>1010</v>
      </c>
      <c r="E687" s="663" t="s">
        <v>522</v>
      </c>
      <c r="F687" s="663">
        <f t="shared" si="24"/>
        <v>0</v>
      </c>
      <c r="G687" s="667"/>
      <c r="H687" s="667">
        <f t="shared" si="25"/>
        <v>0</v>
      </c>
    </row>
    <row r="688" spans="1:8" s="677" customFormat="1" ht="44.25" hidden="1" customHeight="1">
      <c r="A688" s="662">
        <v>383.1</v>
      </c>
      <c r="B688" s="666"/>
      <c r="C688" s="663" t="s">
        <v>1746</v>
      </c>
      <c r="D688" s="675">
        <v>235</v>
      </c>
      <c r="E688" s="742" t="s">
        <v>61</v>
      </c>
      <c r="F688" s="663">
        <f t="shared" si="24"/>
        <v>0</v>
      </c>
      <c r="G688" s="675"/>
      <c r="H688" s="667">
        <f t="shared" si="25"/>
        <v>0</v>
      </c>
    </row>
    <row r="689" spans="1:8" s="677" customFormat="1" ht="45" hidden="1" customHeight="1">
      <c r="A689" s="662"/>
      <c r="B689" s="666"/>
      <c r="C689" s="663" t="s">
        <v>1747</v>
      </c>
      <c r="D689" s="675">
        <f>[14]Data!R1912</f>
        <v>273.74</v>
      </c>
      <c r="E689" s="742"/>
      <c r="F689" s="663">
        <f t="shared" si="24"/>
        <v>0</v>
      </c>
      <c r="G689" s="675"/>
      <c r="H689" s="667">
        <f t="shared" si="25"/>
        <v>0</v>
      </c>
    </row>
    <row r="690" spans="1:8" ht="48.75" hidden="1" customHeight="1">
      <c r="A690" s="700">
        <v>384</v>
      </c>
      <c r="B690" s="666"/>
      <c r="C690" s="663" t="s">
        <v>1748</v>
      </c>
      <c r="D690" s="667">
        <f>[14]Data!K3046</f>
        <v>1602.5</v>
      </c>
      <c r="E690" s="753" t="s">
        <v>522</v>
      </c>
      <c r="F690" s="663">
        <f t="shared" si="24"/>
        <v>0</v>
      </c>
      <c r="G690" s="667"/>
      <c r="H690" s="667">
        <f t="shared" si="25"/>
        <v>0</v>
      </c>
    </row>
    <row r="691" spans="1:8" s="677" customFormat="1" ht="33.75" hidden="1" customHeight="1">
      <c r="A691" s="700">
        <v>385</v>
      </c>
      <c r="B691" s="666"/>
      <c r="C691" s="663" t="s">
        <v>1749</v>
      </c>
      <c r="D691" s="675">
        <f>ROUND([14]Data!K2690,2)</f>
        <v>762.6</v>
      </c>
      <c r="E691" s="674" t="s">
        <v>522</v>
      </c>
      <c r="F691" s="663">
        <f t="shared" si="24"/>
        <v>0</v>
      </c>
      <c r="G691" s="675"/>
      <c r="H691" s="667">
        <f t="shared" si="25"/>
        <v>0</v>
      </c>
    </row>
    <row r="692" spans="1:8" s="677" customFormat="1" ht="42" hidden="1" customHeight="1">
      <c r="A692" s="662">
        <v>238.1</v>
      </c>
      <c r="B692" s="666"/>
      <c r="C692" s="663" t="s">
        <v>1750</v>
      </c>
      <c r="D692" s="675">
        <f>ROUND([14]Data!K2778,2)</f>
        <v>2595.25</v>
      </c>
      <c r="E692" s="755" t="s">
        <v>58</v>
      </c>
      <c r="F692" s="663">
        <f t="shared" si="24"/>
        <v>0</v>
      </c>
      <c r="G692" s="675"/>
      <c r="H692" s="667">
        <f t="shared" si="25"/>
        <v>0</v>
      </c>
    </row>
    <row r="693" spans="1:8" ht="58.5" hidden="1" customHeight="1">
      <c r="A693" s="662">
        <v>71.2</v>
      </c>
      <c r="B693" s="666"/>
      <c r="C693" s="663" t="s">
        <v>1181</v>
      </c>
      <c r="D693" s="667">
        <f>[14]Elec.Data!K3210</f>
        <v>2083.67</v>
      </c>
      <c r="E693" s="753" t="s">
        <v>522</v>
      </c>
      <c r="F693" s="663">
        <f t="shared" si="24"/>
        <v>0</v>
      </c>
      <c r="G693" s="667"/>
      <c r="H693" s="667">
        <f t="shared" si="25"/>
        <v>0</v>
      </c>
    </row>
    <row r="694" spans="1:8" ht="47.25" hidden="1" customHeight="1">
      <c r="A694" s="662">
        <v>80.099999999999994</v>
      </c>
      <c r="B694" s="666"/>
      <c r="C694" s="663" t="s">
        <v>1751</v>
      </c>
      <c r="D694" s="667">
        <f>D947</f>
        <v>1242.21</v>
      </c>
      <c r="E694" s="753" t="s">
        <v>522</v>
      </c>
      <c r="F694" s="663">
        <f t="shared" si="24"/>
        <v>0</v>
      </c>
      <c r="G694" s="667"/>
      <c r="H694" s="667">
        <f t="shared" si="25"/>
        <v>0</v>
      </c>
    </row>
    <row r="695" spans="1:8" s="677" customFormat="1" ht="39.75" hidden="1" customHeight="1">
      <c r="A695" s="662"/>
      <c r="B695" s="666"/>
      <c r="C695" s="663" t="s">
        <v>1752</v>
      </c>
      <c r="D695" s="675">
        <f>[14]Elec.Data!K3419</f>
        <v>776.68</v>
      </c>
      <c r="E695" s="755" t="s">
        <v>522</v>
      </c>
      <c r="F695" s="663">
        <f t="shared" si="24"/>
        <v>0</v>
      </c>
      <c r="G695" s="675"/>
      <c r="H695" s="667">
        <f t="shared" si="25"/>
        <v>0</v>
      </c>
    </row>
    <row r="696" spans="1:8" s="677" customFormat="1" ht="39.75" hidden="1" customHeight="1">
      <c r="A696" s="662"/>
      <c r="B696" s="666"/>
      <c r="C696" s="663" t="s">
        <v>1753</v>
      </c>
      <c r="D696" s="675">
        <f>[14]Elec.Data!K3400</f>
        <v>508.26</v>
      </c>
      <c r="E696" s="755" t="s">
        <v>522</v>
      </c>
      <c r="F696" s="663">
        <f t="shared" si="24"/>
        <v>0</v>
      </c>
      <c r="G696" s="675"/>
      <c r="H696" s="667">
        <f t="shared" si="25"/>
        <v>0</v>
      </c>
    </row>
    <row r="697" spans="1:8" ht="45.75" hidden="1" customHeight="1">
      <c r="A697" s="662">
        <v>87.1</v>
      </c>
      <c r="B697" s="666"/>
      <c r="C697" s="663" t="str">
        <f>C981</f>
        <v>Supplying and delivery of Three phase ELCB/RCCB</v>
      </c>
      <c r="D697" s="667">
        <f>[14]Elec.Data!K3468</f>
        <v>2972.1</v>
      </c>
      <c r="E697" s="753" t="s">
        <v>522</v>
      </c>
      <c r="F697" s="663">
        <f t="shared" si="24"/>
        <v>0</v>
      </c>
      <c r="G697" s="667"/>
      <c r="H697" s="667">
        <f t="shared" si="25"/>
        <v>0</v>
      </c>
    </row>
    <row r="698" spans="1:8" s="677" customFormat="1" ht="46.5" hidden="1" customHeight="1">
      <c r="A698" s="662"/>
      <c r="B698" s="666"/>
      <c r="C698" s="663" t="s">
        <v>1754</v>
      </c>
      <c r="D698" s="675">
        <f>D984</f>
        <v>165</v>
      </c>
      <c r="E698" s="755" t="s">
        <v>61</v>
      </c>
      <c r="F698" s="663">
        <f t="shared" si="24"/>
        <v>0</v>
      </c>
      <c r="G698" s="675"/>
      <c r="H698" s="667">
        <f t="shared" si="25"/>
        <v>0</v>
      </c>
    </row>
    <row r="699" spans="1:8" ht="62.25" hidden="1" customHeight="1">
      <c r="A699" s="662"/>
      <c r="B699" s="666"/>
      <c r="C699" s="663" t="s">
        <v>1755</v>
      </c>
      <c r="D699" s="667">
        <f>[14]Data!R1326</f>
        <v>206.91</v>
      </c>
      <c r="E699" s="753" t="s">
        <v>37</v>
      </c>
      <c r="F699" s="663">
        <f t="shared" si="24"/>
        <v>0</v>
      </c>
      <c r="G699" s="667"/>
      <c r="H699" s="667">
        <f t="shared" si="25"/>
        <v>0</v>
      </c>
    </row>
    <row r="700" spans="1:8" ht="59.25" hidden="1" customHeight="1">
      <c r="A700" s="662" t="s">
        <v>1172</v>
      </c>
      <c r="B700" s="666"/>
      <c r="C700" s="663" t="s">
        <v>1756</v>
      </c>
      <c r="D700" s="667">
        <f>[14]Data!K3348</f>
        <v>109.44</v>
      </c>
      <c r="E700" s="753" t="s">
        <v>37</v>
      </c>
      <c r="F700" s="663">
        <f t="shared" si="24"/>
        <v>0</v>
      </c>
      <c r="G700" s="667"/>
      <c r="H700" s="667">
        <f t="shared" si="25"/>
        <v>0</v>
      </c>
    </row>
    <row r="701" spans="1:8" s="677" customFormat="1" ht="81" hidden="1" customHeight="1">
      <c r="A701" s="662"/>
      <c r="B701" s="666"/>
      <c r="C701" s="663" t="str">
        <f>C982</f>
        <v>2 x 4 Sqmm Copper PVC insulated unsheathed single core 1 KV grade cable for EB service single phase.</v>
      </c>
      <c r="D701" s="675">
        <f>D982</f>
        <v>142.97999999999999</v>
      </c>
      <c r="E701" s="755" t="s">
        <v>61</v>
      </c>
      <c r="F701" s="663">
        <f t="shared" si="24"/>
        <v>0</v>
      </c>
      <c r="G701" s="675"/>
      <c r="H701" s="667">
        <f t="shared" si="25"/>
        <v>0</v>
      </c>
    </row>
    <row r="702" spans="1:8" s="677" customFormat="1" ht="42.75" hidden="1" customHeight="1">
      <c r="A702" s="662"/>
      <c r="B702" s="666"/>
      <c r="C702" s="663" t="str">
        <f>C948</f>
        <v>40 mm dia GI pipe "B"class</v>
      </c>
      <c r="D702" s="660">
        <f>D948</f>
        <v>165</v>
      </c>
      <c r="E702" s="755" t="s">
        <v>61</v>
      </c>
      <c r="F702" s="663">
        <f t="shared" si="24"/>
        <v>0</v>
      </c>
      <c r="G702" s="675"/>
      <c r="H702" s="667">
        <f t="shared" si="25"/>
        <v>0</v>
      </c>
    </row>
    <row r="703" spans="1:8" s="677" customFormat="1" ht="44.25" hidden="1" customHeight="1">
      <c r="A703" s="662"/>
      <c r="B703" s="666"/>
      <c r="C703" s="663" t="s">
        <v>1757</v>
      </c>
      <c r="D703" s="675">
        <f>[14]Elec.Data!K3400</f>
        <v>508.26</v>
      </c>
      <c r="E703" s="674" t="s">
        <v>522</v>
      </c>
      <c r="F703" s="663">
        <f t="shared" si="24"/>
        <v>0</v>
      </c>
      <c r="G703" s="675"/>
      <c r="H703" s="667">
        <f t="shared" si="25"/>
        <v>0</v>
      </c>
    </row>
    <row r="704" spans="1:8" s="677" customFormat="1" ht="44.25" hidden="1" customHeight="1">
      <c r="A704" s="662"/>
      <c r="B704" s="666"/>
      <c r="C704" s="663" t="s">
        <v>1758</v>
      </c>
      <c r="D704" s="675">
        <f>[14]A.DATA!F602</f>
        <v>211</v>
      </c>
      <c r="E704" s="674" t="s">
        <v>61</v>
      </c>
      <c r="F704" s="663">
        <f t="shared" si="24"/>
        <v>0</v>
      </c>
      <c r="G704" s="675"/>
      <c r="H704" s="667"/>
    </row>
    <row r="705" spans="1:8" s="677" customFormat="1" ht="60" hidden="1" customHeight="1">
      <c r="A705" s="662"/>
      <c r="B705" s="666"/>
      <c r="C705" s="663" t="s">
        <v>1759</v>
      </c>
      <c r="D705" s="675">
        <f>[14]Data!R204</f>
        <v>5568.94</v>
      </c>
      <c r="E705" s="674" t="s">
        <v>16</v>
      </c>
      <c r="F705" s="663">
        <f t="shared" si="24"/>
        <v>0</v>
      </c>
      <c r="G705" s="675"/>
      <c r="H705" s="667">
        <f t="shared" ref="H705:H736" si="26">G705*D705</f>
        <v>0</v>
      </c>
    </row>
    <row r="706" spans="1:8" ht="43.5" hidden="1" customHeight="1">
      <c r="A706" s="662">
        <v>448.2</v>
      </c>
      <c r="B706" s="666"/>
      <c r="C706" s="663" t="s">
        <v>1141</v>
      </c>
      <c r="D706" s="667">
        <f>[14]Data!R3123</f>
        <v>122.25</v>
      </c>
      <c r="E706" s="753" t="s">
        <v>522</v>
      </c>
      <c r="F706" s="663">
        <f t="shared" si="24"/>
        <v>0</v>
      </c>
      <c r="G706" s="667"/>
      <c r="H706" s="667">
        <f t="shared" si="26"/>
        <v>0</v>
      </c>
    </row>
    <row r="707" spans="1:8" s="677" customFormat="1" ht="25.5" hidden="1" customHeight="1">
      <c r="A707" s="662"/>
      <c r="B707" s="666"/>
      <c r="C707" s="663" t="s">
        <v>1760</v>
      </c>
      <c r="D707" s="675">
        <f>D932</f>
        <v>1493.95</v>
      </c>
      <c r="E707" s="742" t="s">
        <v>37</v>
      </c>
      <c r="F707" s="663">
        <f t="shared" si="24"/>
        <v>0</v>
      </c>
      <c r="G707" s="675"/>
      <c r="H707" s="667">
        <f t="shared" si="26"/>
        <v>0</v>
      </c>
    </row>
    <row r="708" spans="1:8" ht="48.75" hidden="1" customHeight="1">
      <c r="A708" s="662"/>
      <c r="B708" s="666"/>
      <c r="C708" s="663" t="s">
        <v>1761</v>
      </c>
      <c r="D708" s="667">
        <f>[14]Data!R2416</f>
        <v>1298.51</v>
      </c>
      <c r="E708" s="751" t="s">
        <v>37</v>
      </c>
      <c r="F708" s="663">
        <f t="shared" si="24"/>
        <v>0</v>
      </c>
      <c r="G708" s="667"/>
      <c r="H708" s="667">
        <f t="shared" si="26"/>
        <v>0</v>
      </c>
    </row>
    <row r="709" spans="1:8" s="677" customFormat="1" ht="72" hidden="1" customHeight="1">
      <c r="A709" s="662"/>
      <c r="B709" s="666"/>
      <c r="C709" s="663" t="s">
        <v>1762</v>
      </c>
      <c r="D709" s="675">
        <v>4500</v>
      </c>
      <c r="E709" s="742" t="s">
        <v>61</v>
      </c>
      <c r="F709" s="663">
        <f t="shared" si="24"/>
        <v>0</v>
      </c>
      <c r="G709" s="675"/>
      <c r="H709" s="667">
        <f t="shared" si="26"/>
        <v>0</v>
      </c>
    </row>
    <row r="710" spans="1:8" ht="49.5" hidden="1" customHeight="1">
      <c r="A710" s="662"/>
      <c r="B710" s="666"/>
      <c r="C710" s="663" t="s">
        <v>1763</v>
      </c>
      <c r="D710" s="667">
        <f>[14]Data!R1272</f>
        <v>1152.25</v>
      </c>
      <c r="E710" s="751" t="s">
        <v>37</v>
      </c>
      <c r="F710" s="663">
        <f t="shared" si="24"/>
        <v>0</v>
      </c>
      <c r="G710" s="667"/>
      <c r="H710" s="667">
        <f t="shared" si="26"/>
        <v>0</v>
      </c>
    </row>
    <row r="711" spans="1:8" s="677" customFormat="1" ht="27.75" hidden="1" customHeight="1">
      <c r="A711" s="662"/>
      <c r="B711" s="666"/>
      <c r="C711" s="663" t="s">
        <v>1764</v>
      </c>
      <c r="D711" s="675">
        <f>[14]Data!R1249</f>
        <v>1327.95</v>
      </c>
      <c r="E711" s="742" t="s">
        <v>37</v>
      </c>
      <c r="F711" s="663">
        <f t="shared" si="24"/>
        <v>0</v>
      </c>
      <c r="G711" s="675"/>
      <c r="H711" s="667">
        <f t="shared" si="26"/>
        <v>0</v>
      </c>
    </row>
    <row r="712" spans="1:8" s="677" customFormat="1" ht="39" hidden="1" customHeight="1">
      <c r="A712" s="662" t="s">
        <v>1765</v>
      </c>
      <c r="B712" s="666"/>
      <c r="C712" s="663" t="s">
        <v>1766</v>
      </c>
      <c r="D712" s="675">
        <f>[14]Data!R1230</f>
        <v>1357.13</v>
      </c>
      <c r="E712" s="742" t="s">
        <v>37</v>
      </c>
      <c r="F712" s="663">
        <f t="shared" si="24"/>
        <v>0</v>
      </c>
      <c r="G712" s="675"/>
      <c r="H712" s="667">
        <f t="shared" si="26"/>
        <v>0</v>
      </c>
    </row>
    <row r="713" spans="1:8" s="677" customFormat="1" ht="66" hidden="1" customHeight="1">
      <c r="A713" s="662"/>
      <c r="B713" s="666"/>
      <c r="C713" s="663" t="s">
        <v>1767</v>
      </c>
      <c r="D713" s="675">
        <f>[14]Data!R1230</f>
        <v>1357.13</v>
      </c>
      <c r="E713" s="742" t="s">
        <v>37</v>
      </c>
      <c r="F713" s="663">
        <f t="shared" si="24"/>
        <v>0</v>
      </c>
      <c r="G713" s="675"/>
      <c r="H713" s="667">
        <f t="shared" si="26"/>
        <v>0</v>
      </c>
    </row>
    <row r="714" spans="1:8" s="677" customFormat="1" ht="46.5" hidden="1" customHeight="1">
      <c r="A714" s="662"/>
      <c r="B714" s="666"/>
      <c r="C714" s="756" t="s">
        <v>1768</v>
      </c>
      <c r="D714" s="675"/>
      <c r="E714" s="742"/>
      <c r="F714" s="663">
        <f t="shared" si="24"/>
        <v>0</v>
      </c>
      <c r="G714" s="675"/>
      <c r="H714" s="667">
        <f t="shared" si="26"/>
        <v>0</v>
      </c>
    </row>
    <row r="715" spans="1:8" s="677" customFormat="1" ht="25.5" hidden="1" customHeight="1">
      <c r="A715" s="662"/>
      <c r="B715" s="666"/>
      <c r="C715" s="738" t="s">
        <v>1769</v>
      </c>
      <c r="D715" s="675">
        <f>[14]Data!X3711</f>
        <v>3584</v>
      </c>
      <c r="E715" s="742"/>
      <c r="F715" s="663">
        <f t="shared" si="24"/>
        <v>0</v>
      </c>
      <c r="G715" s="675"/>
      <c r="H715" s="667">
        <f t="shared" si="26"/>
        <v>0</v>
      </c>
    </row>
    <row r="716" spans="1:8" s="677" customFormat="1" ht="25.5" hidden="1" customHeight="1">
      <c r="A716" s="662"/>
      <c r="B716" s="666"/>
      <c r="C716" s="738" t="s">
        <v>1770</v>
      </c>
      <c r="D716" s="675">
        <f>[14]Data!X3725</f>
        <v>3873</v>
      </c>
      <c r="E716" s="742"/>
      <c r="F716" s="663">
        <f t="shared" si="24"/>
        <v>0</v>
      </c>
      <c r="G716" s="675"/>
      <c r="H716" s="667">
        <f t="shared" si="26"/>
        <v>0</v>
      </c>
    </row>
    <row r="717" spans="1:8" s="677" customFormat="1" ht="25.5" hidden="1" customHeight="1">
      <c r="A717" s="662"/>
      <c r="B717" s="666"/>
      <c r="C717" s="738" t="s">
        <v>1771</v>
      </c>
      <c r="D717" s="675"/>
      <c r="E717" s="742" t="s">
        <v>37</v>
      </c>
      <c r="F717" s="663">
        <f t="shared" si="24"/>
        <v>0</v>
      </c>
      <c r="G717" s="675"/>
      <c r="H717" s="667">
        <f t="shared" si="26"/>
        <v>0</v>
      </c>
    </row>
    <row r="718" spans="1:8" s="677" customFormat="1" ht="25.5" hidden="1" customHeight="1">
      <c r="A718" s="662"/>
      <c r="B718" s="666"/>
      <c r="C718" s="738" t="s">
        <v>1772</v>
      </c>
      <c r="D718" s="675"/>
      <c r="E718" s="742" t="s">
        <v>37</v>
      </c>
      <c r="F718" s="663">
        <f t="shared" si="24"/>
        <v>0</v>
      </c>
      <c r="G718" s="675"/>
      <c r="H718" s="667">
        <f t="shared" si="26"/>
        <v>0</v>
      </c>
    </row>
    <row r="719" spans="1:8" s="677" customFormat="1" ht="46.5" hidden="1" customHeight="1">
      <c r="A719" s="662"/>
      <c r="B719" s="666"/>
      <c r="C719" s="738" t="s">
        <v>1773</v>
      </c>
      <c r="D719" s="739">
        <f>[14]Data!X1293</f>
        <v>1269.1600000000001</v>
      </c>
      <c r="E719" s="741" t="s">
        <v>264</v>
      </c>
      <c r="F719" s="663">
        <f t="shared" si="24"/>
        <v>0</v>
      </c>
      <c r="G719" s="675"/>
      <c r="H719" s="667">
        <f t="shared" si="26"/>
        <v>0</v>
      </c>
    </row>
    <row r="720" spans="1:8" s="677" customFormat="1" ht="46.5" hidden="1" customHeight="1">
      <c r="A720" s="662"/>
      <c r="B720" s="666"/>
      <c r="C720" s="738" t="s">
        <v>1774</v>
      </c>
      <c r="D720" s="739">
        <f>[14]Data!K1292</f>
        <v>2810.78</v>
      </c>
      <c r="E720" s="741" t="s">
        <v>264</v>
      </c>
      <c r="F720" s="663">
        <f t="shared" si="24"/>
        <v>0</v>
      </c>
      <c r="G720" s="675"/>
      <c r="H720" s="667">
        <f t="shared" si="26"/>
        <v>0</v>
      </c>
    </row>
    <row r="721" spans="1:8" s="677" customFormat="1" ht="46.5" hidden="1" customHeight="1">
      <c r="A721" s="662"/>
      <c r="B721" s="666"/>
      <c r="C721" s="663" t="s">
        <v>1775</v>
      </c>
      <c r="D721" s="739">
        <v>3034.4</v>
      </c>
      <c r="E721" s="674" t="s">
        <v>37</v>
      </c>
      <c r="F721" s="663">
        <f t="shared" ref="F721:F784" si="27">B721*D721</f>
        <v>0</v>
      </c>
      <c r="G721" s="675"/>
      <c r="H721" s="667">
        <f t="shared" si="26"/>
        <v>0</v>
      </c>
    </row>
    <row r="722" spans="1:8" s="677" customFormat="1" ht="46.5" hidden="1" customHeight="1">
      <c r="A722" s="662">
        <f>11.6-7.25</f>
        <v>4.3499999999999996</v>
      </c>
      <c r="B722" s="666"/>
      <c r="C722" s="663" t="s">
        <v>1776</v>
      </c>
      <c r="D722" s="739">
        <v>915.02</v>
      </c>
      <c r="E722" s="674" t="s">
        <v>37</v>
      </c>
      <c r="F722" s="663">
        <f t="shared" si="27"/>
        <v>0</v>
      </c>
      <c r="G722" s="675"/>
      <c r="H722" s="667">
        <f t="shared" si="26"/>
        <v>0</v>
      </c>
    </row>
    <row r="723" spans="1:8" s="677" customFormat="1" ht="69.75" hidden="1" customHeight="1">
      <c r="A723" s="662"/>
      <c r="B723" s="666"/>
      <c r="C723" s="663" t="s">
        <v>1777</v>
      </c>
      <c r="D723" s="739">
        <v>990</v>
      </c>
      <c r="E723" s="674" t="s">
        <v>37</v>
      </c>
      <c r="F723" s="663">
        <f t="shared" si="27"/>
        <v>0</v>
      </c>
      <c r="G723" s="675"/>
      <c r="H723" s="667">
        <f t="shared" si="26"/>
        <v>0</v>
      </c>
    </row>
    <row r="724" spans="1:8" s="677" customFormat="1" ht="25.5" hidden="1" customHeight="1">
      <c r="A724" s="662"/>
      <c r="B724" s="666"/>
      <c r="C724" s="663" t="s">
        <v>1778</v>
      </c>
      <c r="D724" s="739">
        <v>905</v>
      </c>
      <c r="E724" s="674" t="s">
        <v>61</v>
      </c>
      <c r="F724" s="663">
        <f t="shared" si="27"/>
        <v>0</v>
      </c>
      <c r="G724" s="675"/>
      <c r="H724" s="667">
        <f t="shared" si="26"/>
        <v>0</v>
      </c>
    </row>
    <row r="725" spans="1:8" s="677" customFormat="1" ht="25.5" hidden="1" customHeight="1">
      <c r="A725" s="662"/>
      <c r="B725" s="666"/>
      <c r="C725" s="663" t="s">
        <v>1779</v>
      </c>
      <c r="D725" s="739">
        <v>8467.2999999999993</v>
      </c>
      <c r="E725" s="674" t="s">
        <v>522</v>
      </c>
      <c r="F725" s="663">
        <f t="shared" si="27"/>
        <v>0</v>
      </c>
      <c r="G725" s="675"/>
      <c r="H725" s="667">
        <f t="shared" si="26"/>
        <v>0</v>
      </c>
    </row>
    <row r="726" spans="1:8" s="677" customFormat="1" ht="93" hidden="1" customHeight="1">
      <c r="A726" s="662"/>
      <c r="B726" s="666"/>
      <c r="C726" s="663" t="s">
        <v>1780</v>
      </c>
      <c r="D726" s="739">
        <v>3409</v>
      </c>
      <c r="E726" s="674" t="s">
        <v>522</v>
      </c>
      <c r="F726" s="663">
        <f t="shared" si="27"/>
        <v>0</v>
      </c>
      <c r="G726" s="675"/>
      <c r="H726" s="667">
        <f t="shared" si="26"/>
        <v>0</v>
      </c>
    </row>
    <row r="727" spans="1:8" s="677" customFormat="1" ht="93" hidden="1" customHeight="1">
      <c r="A727" s="662"/>
      <c r="B727" s="666"/>
      <c r="C727" s="663" t="s">
        <v>1781</v>
      </c>
      <c r="D727" s="739">
        <v>469.42</v>
      </c>
      <c r="E727" s="674" t="s">
        <v>522</v>
      </c>
      <c r="F727" s="663">
        <f t="shared" si="27"/>
        <v>0</v>
      </c>
      <c r="G727" s="675"/>
      <c r="H727" s="667">
        <f t="shared" si="26"/>
        <v>0</v>
      </c>
    </row>
    <row r="728" spans="1:8" s="677" customFormat="1" ht="25.5" hidden="1" customHeight="1">
      <c r="A728" s="662"/>
      <c r="B728" s="666"/>
      <c r="C728" s="663" t="s">
        <v>1782</v>
      </c>
      <c r="D728" s="739"/>
      <c r="E728" s="674"/>
      <c r="F728" s="663">
        <f t="shared" si="27"/>
        <v>0</v>
      </c>
      <c r="G728" s="675"/>
      <c r="H728" s="667">
        <f t="shared" si="26"/>
        <v>0</v>
      </c>
    </row>
    <row r="729" spans="1:8" s="677" customFormat="1" ht="26.25" hidden="1" customHeight="1">
      <c r="A729" s="662"/>
      <c r="B729" s="666"/>
      <c r="C729" s="663" t="s">
        <v>1783</v>
      </c>
      <c r="D729" s="739">
        <v>5640</v>
      </c>
      <c r="E729" s="674" t="s">
        <v>522</v>
      </c>
      <c r="F729" s="663">
        <f t="shared" si="27"/>
        <v>0</v>
      </c>
      <c r="G729" s="675"/>
      <c r="H729" s="667">
        <f t="shared" si="26"/>
        <v>0</v>
      </c>
    </row>
    <row r="730" spans="1:8" s="677" customFormat="1" ht="25.5" hidden="1" customHeight="1">
      <c r="A730" s="662"/>
      <c r="B730" s="666"/>
      <c r="C730" s="663" t="s">
        <v>1784</v>
      </c>
      <c r="D730" s="739">
        <v>1340</v>
      </c>
      <c r="E730" s="674" t="s">
        <v>522</v>
      </c>
      <c r="F730" s="663">
        <f t="shared" si="27"/>
        <v>0</v>
      </c>
      <c r="G730" s="675"/>
      <c r="H730" s="667">
        <f t="shared" si="26"/>
        <v>0</v>
      </c>
    </row>
    <row r="731" spans="1:8" s="677" customFormat="1" ht="25.5" hidden="1" customHeight="1">
      <c r="A731" s="662"/>
      <c r="B731" s="666"/>
      <c r="C731" s="663" t="s">
        <v>1785</v>
      </c>
      <c r="D731" s="739">
        <v>604</v>
      </c>
      <c r="E731" s="674" t="s">
        <v>522</v>
      </c>
      <c r="F731" s="663">
        <f t="shared" si="27"/>
        <v>0</v>
      </c>
      <c r="G731" s="675"/>
      <c r="H731" s="667">
        <f t="shared" si="26"/>
        <v>0</v>
      </c>
    </row>
    <row r="732" spans="1:8" s="677" customFormat="1" ht="69.75" hidden="1" customHeight="1">
      <c r="A732" s="662"/>
      <c r="B732" s="666"/>
      <c r="C732" s="663" t="s">
        <v>1786</v>
      </c>
      <c r="D732" s="739"/>
      <c r="E732" s="674"/>
      <c r="F732" s="663">
        <f t="shared" si="27"/>
        <v>0</v>
      </c>
      <c r="G732" s="675"/>
      <c r="H732" s="667">
        <f t="shared" si="26"/>
        <v>0</v>
      </c>
    </row>
    <row r="733" spans="1:8" s="677" customFormat="1" ht="25.5" hidden="1" customHeight="1">
      <c r="A733" s="662"/>
      <c r="B733" s="666"/>
      <c r="C733" s="663" t="s">
        <v>168</v>
      </c>
      <c r="D733" s="739">
        <v>1000.51</v>
      </c>
      <c r="E733" s="674" t="s">
        <v>522</v>
      </c>
      <c r="F733" s="663">
        <f t="shared" si="27"/>
        <v>0</v>
      </c>
      <c r="G733" s="675"/>
      <c r="H733" s="667">
        <f t="shared" si="26"/>
        <v>0</v>
      </c>
    </row>
    <row r="734" spans="1:8" s="677" customFormat="1" ht="25.5" hidden="1" customHeight="1">
      <c r="A734" s="662"/>
      <c r="B734" s="666"/>
      <c r="C734" s="663" t="s">
        <v>170</v>
      </c>
      <c r="D734" s="739">
        <v>1003.51</v>
      </c>
      <c r="E734" s="674" t="s">
        <v>522</v>
      </c>
      <c r="F734" s="663">
        <f t="shared" si="27"/>
        <v>0</v>
      </c>
      <c r="G734" s="675"/>
      <c r="H734" s="667">
        <f t="shared" si="26"/>
        <v>0</v>
      </c>
    </row>
    <row r="735" spans="1:8" s="677" customFormat="1" ht="116.25" hidden="1" customHeight="1">
      <c r="A735" s="662"/>
      <c r="B735" s="666"/>
      <c r="C735" s="663" t="s">
        <v>1787</v>
      </c>
      <c r="D735" s="739">
        <v>769.3</v>
      </c>
      <c r="E735" s="674" t="s">
        <v>522</v>
      </c>
      <c r="F735" s="663">
        <f t="shared" si="27"/>
        <v>0</v>
      </c>
      <c r="G735" s="675"/>
      <c r="H735" s="667">
        <f t="shared" si="26"/>
        <v>0</v>
      </c>
    </row>
    <row r="736" spans="1:8" s="677" customFormat="1" ht="116.25" hidden="1" customHeight="1">
      <c r="A736" s="662"/>
      <c r="B736" s="666"/>
      <c r="C736" s="663" t="s">
        <v>1788</v>
      </c>
      <c r="D736" s="739">
        <v>536.54999999999995</v>
      </c>
      <c r="E736" s="674" t="s">
        <v>522</v>
      </c>
      <c r="F736" s="663">
        <f t="shared" si="27"/>
        <v>0</v>
      </c>
      <c r="G736" s="675"/>
      <c r="H736" s="667">
        <f t="shared" si="26"/>
        <v>0</v>
      </c>
    </row>
    <row r="737" spans="1:8" s="677" customFormat="1" ht="46.5" hidden="1" customHeight="1">
      <c r="A737" s="662"/>
      <c r="B737" s="666"/>
      <c r="C737" s="663" t="s">
        <v>1789</v>
      </c>
      <c r="D737" s="739">
        <v>627.4</v>
      </c>
      <c r="E737" s="757" t="s">
        <v>1790</v>
      </c>
      <c r="F737" s="663">
        <f t="shared" si="27"/>
        <v>0</v>
      </c>
      <c r="G737" s="675"/>
      <c r="H737" s="667">
        <f t="shared" ref="H737:H768" si="28">G737*D737</f>
        <v>0</v>
      </c>
    </row>
    <row r="738" spans="1:8" s="677" customFormat="1" ht="25.5" hidden="1" customHeight="1">
      <c r="A738" s="662"/>
      <c r="B738" s="666"/>
      <c r="C738" s="663" t="s">
        <v>1791</v>
      </c>
      <c r="D738" s="739">
        <v>435</v>
      </c>
      <c r="E738" s="757" t="s">
        <v>1790</v>
      </c>
      <c r="F738" s="663">
        <f t="shared" si="27"/>
        <v>0</v>
      </c>
      <c r="G738" s="675"/>
      <c r="H738" s="667">
        <f t="shared" si="28"/>
        <v>0</v>
      </c>
    </row>
    <row r="739" spans="1:8" s="677" customFormat="1" ht="25.5" hidden="1" customHeight="1">
      <c r="A739" s="662"/>
      <c r="B739" s="666"/>
      <c r="C739" s="663" t="s">
        <v>1792</v>
      </c>
      <c r="D739" s="739">
        <v>356</v>
      </c>
      <c r="E739" s="757" t="s">
        <v>1790</v>
      </c>
      <c r="F739" s="663">
        <f t="shared" si="27"/>
        <v>0</v>
      </c>
      <c r="G739" s="675"/>
      <c r="H739" s="667">
        <f t="shared" si="28"/>
        <v>0</v>
      </c>
    </row>
    <row r="740" spans="1:8" s="677" customFormat="1" ht="25.5" hidden="1" customHeight="1">
      <c r="A740" s="662"/>
      <c r="B740" s="666"/>
      <c r="C740" s="663" t="s">
        <v>1793</v>
      </c>
      <c r="D740" s="739">
        <v>317</v>
      </c>
      <c r="E740" s="757" t="s">
        <v>1790</v>
      </c>
      <c r="F740" s="663">
        <f t="shared" si="27"/>
        <v>0</v>
      </c>
      <c r="G740" s="675"/>
      <c r="H740" s="667">
        <f t="shared" si="28"/>
        <v>0</v>
      </c>
    </row>
    <row r="741" spans="1:8" s="677" customFormat="1" ht="25.5" hidden="1" customHeight="1">
      <c r="A741" s="662"/>
      <c r="B741" s="666"/>
      <c r="C741" s="663" t="s">
        <v>1794</v>
      </c>
      <c r="D741" s="739">
        <v>176.84</v>
      </c>
      <c r="E741" s="757" t="s">
        <v>61</v>
      </c>
      <c r="F741" s="663">
        <f t="shared" si="27"/>
        <v>0</v>
      </c>
      <c r="G741" s="675"/>
      <c r="H741" s="667">
        <f t="shared" si="28"/>
        <v>0</v>
      </c>
    </row>
    <row r="742" spans="1:8" s="677" customFormat="1" ht="69.75" hidden="1" customHeight="1">
      <c r="A742" s="662"/>
      <c r="B742" s="666"/>
      <c r="C742" s="663" t="s">
        <v>1795</v>
      </c>
      <c r="D742" s="739">
        <v>293.25</v>
      </c>
      <c r="E742" s="757" t="s">
        <v>522</v>
      </c>
      <c r="F742" s="663">
        <f t="shared" si="27"/>
        <v>0</v>
      </c>
      <c r="G742" s="675"/>
      <c r="H742" s="667">
        <f t="shared" si="28"/>
        <v>0</v>
      </c>
    </row>
    <row r="743" spans="1:8" s="677" customFormat="1" ht="69.75" hidden="1" customHeight="1">
      <c r="A743" s="662"/>
      <c r="B743" s="666"/>
      <c r="C743" s="756" t="s">
        <v>1796</v>
      </c>
      <c r="D743" s="684"/>
      <c r="E743" s="674"/>
      <c r="F743" s="663">
        <f t="shared" si="27"/>
        <v>0</v>
      </c>
      <c r="G743" s="675"/>
      <c r="H743" s="667">
        <f t="shared" si="28"/>
        <v>0</v>
      </c>
    </row>
    <row r="744" spans="1:8" s="677" customFormat="1" ht="25.5" hidden="1" customHeight="1">
      <c r="A744" s="662"/>
      <c r="B744" s="666"/>
      <c r="C744" s="738" t="s">
        <v>1797</v>
      </c>
      <c r="D744" s="684">
        <f>[14]Data!R1455</f>
        <v>5611.1</v>
      </c>
      <c r="E744" s="674" t="s">
        <v>37</v>
      </c>
      <c r="F744" s="663">
        <f t="shared" si="27"/>
        <v>0</v>
      </c>
      <c r="G744" s="675"/>
      <c r="H744" s="667">
        <f t="shared" si="28"/>
        <v>0</v>
      </c>
    </row>
    <row r="745" spans="1:8" s="677" customFormat="1" ht="25.5" hidden="1" customHeight="1">
      <c r="A745" s="662"/>
      <c r="B745" s="666"/>
      <c r="C745" s="738" t="s">
        <v>1798</v>
      </c>
      <c r="D745" s="684">
        <f>'[14]Sliding and french window'!F145</f>
        <v>5107.12</v>
      </c>
      <c r="E745" s="674" t="s">
        <v>37</v>
      </c>
      <c r="F745" s="663">
        <f t="shared" si="27"/>
        <v>0</v>
      </c>
      <c r="G745" s="675"/>
      <c r="H745" s="667">
        <f t="shared" si="28"/>
        <v>0</v>
      </c>
    </row>
    <row r="746" spans="1:8" s="677" customFormat="1" ht="25.5" hidden="1" customHeight="1">
      <c r="A746" s="662"/>
      <c r="B746" s="666"/>
      <c r="C746" s="738" t="s">
        <v>1799</v>
      </c>
      <c r="D746" s="684">
        <f>'[14]Sliding and french window'!F32</f>
        <v>4757.03</v>
      </c>
      <c r="E746" s="674" t="s">
        <v>37</v>
      </c>
      <c r="F746" s="663">
        <f t="shared" si="27"/>
        <v>0</v>
      </c>
      <c r="G746" s="675"/>
      <c r="H746" s="667">
        <f t="shared" si="28"/>
        <v>0</v>
      </c>
    </row>
    <row r="747" spans="1:8" s="677" customFormat="1" ht="25.5" hidden="1" customHeight="1">
      <c r="A747" s="662"/>
      <c r="B747" s="666"/>
      <c r="C747" s="738" t="s">
        <v>1800</v>
      </c>
      <c r="D747" s="684">
        <f>'[14]Sliding and french window'!F310</f>
        <v>5118.9399999999996</v>
      </c>
      <c r="E747" s="674" t="s">
        <v>37</v>
      </c>
      <c r="F747" s="663">
        <f t="shared" si="27"/>
        <v>0</v>
      </c>
      <c r="G747" s="675"/>
      <c r="H747" s="667">
        <f t="shared" si="28"/>
        <v>0</v>
      </c>
    </row>
    <row r="748" spans="1:8" s="677" customFormat="1" ht="25.5" hidden="1" customHeight="1">
      <c r="A748" s="662"/>
      <c r="B748" s="666"/>
      <c r="C748" s="738" t="s">
        <v>1801</v>
      </c>
      <c r="D748" s="684">
        <f>'[14]Sliding and french window'!F167</f>
        <v>4446.5</v>
      </c>
      <c r="E748" s="674" t="s">
        <v>37</v>
      </c>
      <c r="F748" s="663">
        <f t="shared" si="27"/>
        <v>0</v>
      </c>
      <c r="G748" s="675"/>
      <c r="H748" s="667">
        <f t="shared" si="28"/>
        <v>0</v>
      </c>
    </row>
    <row r="749" spans="1:8" s="677" customFormat="1" ht="25.5" hidden="1" customHeight="1">
      <c r="A749" s="662"/>
      <c r="B749" s="666"/>
      <c r="C749" s="738" t="s">
        <v>1802</v>
      </c>
      <c r="D749" s="684">
        <f>'[14]Sliding and french window'!F145</f>
        <v>5107.12</v>
      </c>
      <c r="E749" s="674" t="s">
        <v>37</v>
      </c>
      <c r="F749" s="663">
        <f t="shared" si="27"/>
        <v>0</v>
      </c>
      <c r="G749" s="675"/>
      <c r="H749" s="667">
        <f t="shared" si="28"/>
        <v>0</v>
      </c>
    </row>
    <row r="750" spans="1:8" s="677" customFormat="1" ht="25.5" hidden="1" customHeight="1">
      <c r="A750" s="662"/>
      <c r="B750" s="666"/>
      <c r="C750" s="738" t="s">
        <v>1803</v>
      </c>
      <c r="D750" s="684">
        <f>'[14]Sliding and french window'!F46</f>
        <v>4517.32</v>
      </c>
      <c r="E750" s="674" t="s">
        <v>37</v>
      </c>
      <c r="F750" s="663">
        <f t="shared" si="27"/>
        <v>0</v>
      </c>
      <c r="G750" s="675"/>
      <c r="H750" s="667">
        <f t="shared" si="28"/>
        <v>0</v>
      </c>
    </row>
    <row r="751" spans="1:8" s="677" customFormat="1" ht="25.5" hidden="1" customHeight="1">
      <c r="A751" s="662"/>
      <c r="B751" s="666"/>
      <c r="C751" s="738" t="s">
        <v>1804</v>
      </c>
      <c r="D751" s="684">
        <f>'[14]Sliding and french window'!F32</f>
        <v>4757.03</v>
      </c>
      <c r="E751" s="674" t="s">
        <v>37</v>
      </c>
      <c r="F751" s="663">
        <f t="shared" si="27"/>
        <v>0</v>
      </c>
      <c r="G751" s="675"/>
      <c r="H751" s="667">
        <f t="shared" si="28"/>
        <v>0</v>
      </c>
    </row>
    <row r="752" spans="1:8" s="677" customFormat="1" ht="25.5" hidden="1" customHeight="1">
      <c r="A752" s="662"/>
      <c r="B752" s="666"/>
      <c r="C752" s="738" t="s">
        <v>1805</v>
      </c>
      <c r="D752" s="684">
        <f>'[14]Sliding and french window'!F167</f>
        <v>4446.5</v>
      </c>
      <c r="E752" s="674" t="s">
        <v>37</v>
      </c>
      <c r="F752" s="663">
        <f t="shared" si="27"/>
        <v>0</v>
      </c>
      <c r="G752" s="675"/>
      <c r="H752" s="667">
        <f t="shared" si="28"/>
        <v>0</v>
      </c>
    </row>
    <row r="753" spans="1:8" s="677" customFormat="1" ht="25.5" hidden="1" customHeight="1">
      <c r="A753" s="662"/>
      <c r="B753" s="666"/>
      <c r="C753" s="756" t="s">
        <v>1806</v>
      </c>
      <c r="D753" s="684"/>
      <c r="E753" s="674"/>
      <c r="F753" s="663">
        <f t="shared" si="27"/>
        <v>0</v>
      </c>
      <c r="G753" s="675"/>
      <c r="H753" s="667">
        <f t="shared" si="28"/>
        <v>0</v>
      </c>
    </row>
    <row r="754" spans="1:8" s="677" customFormat="1" ht="33" hidden="1" customHeight="1">
      <c r="A754" s="662"/>
      <c r="B754" s="666"/>
      <c r="C754" s="756" t="s">
        <v>1807</v>
      </c>
      <c r="D754" s="758">
        <f>[14]Data!K3999</f>
        <v>4714.8100000000004</v>
      </c>
      <c r="E754" s="674" t="s">
        <v>37</v>
      </c>
      <c r="F754" s="663">
        <f t="shared" si="27"/>
        <v>0</v>
      </c>
      <c r="G754" s="675"/>
      <c r="H754" s="667">
        <f t="shared" si="28"/>
        <v>0</v>
      </c>
    </row>
    <row r="755" spans="1:8" s="677" customFormat="1" ht="33" hidden="1" customHeight="1">
      <c r="A755" s="662"/>
      <c r="B755" s="666"/>
      <c r="C755" s="759" t="s">
        <v>1808</v>
      </c>
      <c r="D755" s="760">
        <f>[14]Data!K4015</f>
        <v>4530.8</v>
      </c>
      <c r="E755" s="674" t="s">
        <v>37</v>
      </c>
      <c r="F755" s="663">
        <f t="shared" si="27"/>
        <v>0</v>
      </c>
      <c r="G755" s="675"/>
      <c r="H755" s="667">
        <f t="shared" si="28"/>
        <v>0</v>
      </c>
    </row>
    <row r="756" spans="1:8" s="677" customFormat="1" ht="33" hidden="1" customHeight="1">
      <c r="A756" s="662"/>
      <c r="B756" s="666"/>
      <c r="C756" s="759" t="s">
        <v>1809</v>
      </c>
      <c r="D756" s="761">
        <f>[14]Data!K4030</f>
        <v>4872.84</v>
      </c>
      <c r="E756" s="674" t="s">
        <v>37</v>
      </c>
      <c r="F756" s="663">
        <f t="shared" si="27"/>
        <v>0</v>
      </c>
      <c r="G756" s="675"/>
      <c r="H756" s="667">
        <f t="shared" si="28"/>
        <v>0</v>
      </c>
    </row>
    <row r="757" spans="1:8" s="677" customFormat="1" ht="33" hidden="1" customHeight="1">
      <c r="A757" s="662"/>
      <c r="B757" s="666"/>
      <c r="C757" s="759" t="s">
        <v>1810</v>
      </c>
      <c r="D757" s="761">
        <f>[14]Data!K4042</f>
        <v>4763.7</v>
      </c>
      <c r="E757" s="674" t="s">
        <v>37</v>
      </c>
      <c r="F757" s="663">
        <f t="shared" si="27"/>
        <v>0</v>
      </c>
      <c r="G757" s="675"/>
      <c r="H757" s="667">
        <f t="shared" si="28"/>
        <v>0</v>
      </c>
    </row>
    <row r="758" spans="1:8" s="677" customFormat="1" ht="25.5" hidden="1" customHeight="1">
      <c r="A758" s="662"/>
      <c r="B758" s="666"/>
      <c r="C758" s="762"/>
      <c r="D758" s="739"/>
      <c r="E758" s="757" t="s">
        <v>522</v>
      </c>
      <c r="F758" s="663">
        <f t="shared" si="27"/>
        <v>0</v>
      </c>
      <c r="G758" s="675"/>
      <c r="H758" s="667">
        <f t="shared" si="28"/>
        <v>0</v>
      </c>
    </row>
    <row r="759" spans="1:8" s="677" customFormat="1" ht="93" hidden="1" customHeight="1">
      <c r="A759" s="662"/>
      <c r="B759" s="666"/>
      <c r="C759" s="663" t="s">
        <v>1811</v>
      </c>
      <c r="D759" s="739">
        <v>6950</v>
      </c>
      <c r="E759" s="757" t="s">
        <v>522</v>
      </c>
      <c r="F759" s="663">
        <f t="shared" si="27"/>
        <v>0</v>
      </c>
      <c r="G759" s="675"/>
      <c r="H759" s="667">
        <f t="shared" si="28"/>
        <v>0</v>
      </c>
    </row>
    <row r="760" spans="1:8" s="677" customFormat="1" ht="46.5" hidden="1" customHeight="1">
      <c r="A760" s="662"/>
      <c r="B760" s="666"/>
      <c r="C760" s="663" t="s">
        <v>1812</v>
      </c>
      <c r="D760" s="739">
        <v>634</v>
      </c>
      <c r="E760" s="757" t="s">
        <v>522</v>
      </c>
      <c r="F760" s="663">
        <f t="shared" si="27"/>
        <v>0</v>
      </c>
      <c r="G760" s="675"/>
      <c r="H760" s="667">
        <f t="shared" si="28"/>
        <v>0</v>
      </c>
    </row>
    <row r="761" spans="1:8" s="677" customFormat="1" ht="69.75" hidden="1" customHeight="1">
      <c r="A761" s="662"/>
      <c r="B761" s="666"/>
      <c r="C761" s="663" t="s">
        <v>1813</v>
      </c>
      <c r="D761" s="739">
        <v>9470</v>
      </c>
      <c r="E761" s="757" t="s">
        <v>522</v>
      </c>
      <c r="F761" s="663">
        <f t="shared" si="27"/>
        <v>0</v>
      </c>
      <c r="G761" s="675"/>
      <c r="H761" s="667">
        <f t="shared" si="28"/>
        <v>0</v>
      </c>
    </row>
    <row r="762" spans="1:8" s="677" customFormat="1" ht="46.5" hidden="1" customHeight="1">
      <c r="A762" s="662"/>
      <c r="B762" s="666"/>
      <c r="C762" s="663" t="s">
        <v>1814</v>
      </c>
      <c r="D762" s="739">
        <v>123622</v>
      </c>
      <c r="E762" s="757" t="s">
        <v>522</v>
      </c>
      <c r="F762" s="663">
        <f t="shared" si="27"/>
        <v>0</v>
      </c>
      <c r="G762" s="675"/>
      <c r="H762" s="667">
        <f t="shared" si="28"/>
        <v>0</v>
      </c>
    </row>
    <row r="763" spans="1:8" s="677" customFormat="1" ht="69.75" hidden="1" customHeight="1">
      <c r="A763" s="662"/>
      <c r="B763" s="666"/>
      <c r="C763" s="663" t="s">
        <v>1815</v>
      </c>
      <c r="D763" s="739">
        <v>704.75</v>
      </c>
      <c r="E763" s="674" t="s">
        <v>522</v>
      </c>
      <c r="F763" s="663">
        <f t="shared" si="27"/>
        <v>0</v>
      </c>
      <c r="G763" s="675"/>
      <c r="H763" s="667">
        <f t="shared" si="28"/>
        <v>0</v>
      </c>
    </row>
    <row r="764" spans="1:8" s="677" customFormat="1" ht="69.75" hidden="1" customHeight="1">
      <c r="A764" s="662"/>
      <c r="B764" s="666"/>
      <c r="C764" s="663" t="s">
        <v>1816</v>
      </c>
      <c r="D764" s="739">
        <v>514.85</v>
      </c>
      <c r="E764" s="674" t="s">
        <v>522</v>
      </c>
      <c r="F764" s="663">
        <f t="shared" si="27"/>
        <v>0</v>
      </c>
      <c r="G764" s="675"/>
      <c r="H764" s="667">
        <f t="shared" si="28"/>
        <v>0</v>
      </c>
    </row>
    <row r="765" spans="1:8" s="677" customFormat="1" ht="25.5" hidden="1" customHeight="1">
      <c r="A765" s="662"/>
      <c r="B765" s="666"/>
      <c r="C765" s="762" t="s">
        <v>1817</v>
      </c>
      <c r="D765" s="739">
        <v>473.5</v>
      </c>
      <c r="E765" s="757" t="s">
        <v>61</v>
      </c>
      <c r="F765" s="663">
        <f t="shared" si="27"/>
        <v>0</v>
      </c>
      <c r="G765" s="675"/>
      <c r="H765" s="667">
        <f t="shared" si="28"/>
        <v>0</v>
      </c>
    </row>
    <row r="766" spans="1:8" s="677" customFormat="1" ht="46.5" hidden="1" customHeight="1">
      <c r="A766" s="662"/>
      <c r="B766" s="666"/>
      <c r="C766" s="762" t="s">
        <v>1818</v>
      </c>
      <c r="D766" s="739">
        <v>952</v>
      </c>
      <c r="E766" s="757" t="s">
        <v>522</v>
      </c>
      <c r="F766" s="663">
        <f t="shared" si="27"/>
        <v>0</v>
      </c>
      <c r="G766" s="675"/>
      <c r="H766" s="667">
        <f t="shared" si="28"/>
        <v>0</v>
      </c>
    </row>
    <row r="767" spans="1:8" s="677" customFormat="1" ht="25.5" hidden="1" customHeight="1">
      <c r="A767" s="662"/>
      <c r="B767" s="666"/>
      <c r="C767" s="762" t="s">
        <v>1819</v>
      </c>
      <c r="D767" s="739">
        <v>11481.8</v>
      </c>
      <c r="E767" s="757" t="s">
        <v>522</v>
      </c>
      <c r="F767" s="663">
        <f t="shared" si="27"/>
        <v>0</v>
      </c>
      <c r="G767" s="675"/>
      <c r="H767" s="667">
        <f t="shared" si="28"/>
        <v>0</v>
      </c>
    </row>
    <row r="768" spans="1:8" s="677" customFormat="1" ht="46.5" hidden="1" customHeight="1">
      <c r="A768" s="662"/>
      <c r="B768" s="666"/>
      <c r="C768" s="762" t="s">
        <v>1820</v>
      </c>
      <c r="D768" s="739">
        <v>5325.6</v>
      </c>
      <c r="E768" s="757" t="s">
        <v>522</v>
      </c>
      <c r="F768" s="663">
        <f t="shared" si="27"/>
        <v>0</v>
      </c>
      <c r="G768" s="675"/>
      <c r="H768" s="667">
        <f t="shared" si="28"/>
        <v>0</v>
      </c>
    </row>
    <row r="769" spans="1:8" s="677" customFormat="1" ht="46.5" hidden="1" customHeight="1">
      <c r="A769" s="662"/>
      <c r="B769" s="666"/>
      <c r="C769" s="762" t="s">
        <v>1821</v>
      </c>
      <c r="D769" s="739">
        <v>8254.6</v>
      </c>
      <c r="E769" s="757" t="s">
        <v>522</v>
      </c>
      <c r="F769" s="663">
        <f t="shared" si="27"/>
        <v>0</v>
      </c>
      <c r="G769" s="675"/>
      <c r="H769" s="667">
        <f t="shared" ref="H769:H800" si="29">G769*D769</f>
        <v>0</v>
      </c>
    </row>
    <row r="770" spans="1:8" s="677" customFormat="1" ht="46.5" hidden="1" customHeight="1">
      <c r="A770" s="662"/>
      <c r="B770" s="666"/>
      <c r="C770" s="762" t="s">
        <v>1822</v>
      </c>
      <c r="D770" s="739">
        <v>6588</v>
      </c>
      <c r="E770" s="757" t="s">
        <v>522</v>
      </c>
      <c r="F770" s="663">
        <f t="shared" si="27"/>
        <v>0</v>
      </c>
      <c r="G770" s="675"/>
      <c r="H770" s="667">
        <f t="shared" si="29"/>
        <v>0</v>
      </c>
    </row>
    <row r="771" spans="1:8" s="677" customFormat="1" ht="46.5" hidden="1" customHeight="1">
      <c r="A771" s="662"/>
      <c r="B771" s="666"/>
      <c r="C771" s="762" t="s">
        <v>1823</v>
      </c>
      <c r="D771" s="739">
        <v>593</v>
      </c>
      <c r="E771" s="763" t="s">
        <v>522</v>
      </c>
      <c r="F771" s="663">
        <f t="shared" si="27"/>
        <v>0</v>
      </c>
      <c r="G771" s="675"/>
      <c r="H771" s="667">
        <f t="shared" si="29"/>
        <v>0</v>
      </c>
    </row>
    <row r="772" spans="1:8" s="677" customFormat="1" ht="25.5" hidden="1" customHeight="1">
      <c r="A772" s="662"/>
      <c r="B772" s="666"/>
      <c r="C772" s="738" t="s">
        <v>1824</v>
      </c>
      <c r="D772" s="739"/>
      <c r="E772" s="741"/>
      <c r="F772" s="663">
        <f t="shared" si="27"/>
        <v>0</v>
      </c>
      <c r="G772" s="675"/>
      <c r="H772" s="667">
        <f t="shared" si="29"/>
        <v>0</v>
      </c>
    </row>
    <row r="773" spans="1:8" s="677" customFormat="1" ht="25.5" hidden="1" customHeight="1">
      <c r="A773" s="662"/>
      <c r="B773" s="666"/>
      <c r="C773" s="738" t="s">
        <v>1825</v>
      </c>
      <c r="D773" s="739">
        <v>6300</v>
      </c>
      <c r="E773" s="741" t="s">
        <v>37</v>
      </c>
      <c r="F773" s="663">
        <f t="shared" si="27"/>
        <v>0</v>
      </c>
      <c r="G773" s="675"/>
      <c r="H773" s="667">
        <f t="shared" si="29"/>
        <v>0</v>
      </c>
    </row>
    <row r="774" spans="1:8" s="677" customFormat="1" ht="25.5" hidden="1" customHeight="1">
      <c r="A774" s="662"/>
      <c r="B774" s="666"/>
      <c r="C774" s="738" t="s">
        <v>1826</v>
      </c>
      <c r="D774" s="739">
        <v>6300</v>
      </c>
      <c r="E774" s="741" t="s">
        <v>37</v>
      </c>
      <c r="F774" s="663">
        <f t="shared" si="27"/>
        <v>0</v>
      </c>
      <c r="G774" s="675"/>
      <c r="H774" s="667">
        <f t="shared" si="29"/>
        <v>0</v>
      </c>
    </row>
    <row r="775" spans="1:8" s="677" customFormat="1" ht="25.5" hidden="1" customHeight="1">
      <c r="A775" s="662"/>
      <c r="B775" s="666"/>
      <c r="C775" s="738" t="s">
        <v>1827</v>
      </c>
      <c r="D775" s="739">
        <v>6300</v>
      </c>
      <c r="E775" s="741" t="s">
        <v>37</v>
      </c>
      <c r="F775" s="663">
        <f t="shared" si="27"/>
        <v>0</v>
      </c>
      <c r="G775" s="675"/>
      <c r="H775" s="667">
        <f t="shared" si="29"/>
        <v>0</v>
      </c>
    </row>
    <row r="776" spans="1:8" s="677" customFormat="1" ht="25.5" hidden="1" customHeight="1">
      <c r="A776" s="662"/>
      <c r="B776" s="666"/>
      <c r="C776" s="738" t="s">
        <v>1828</v>
      </c>
      <c r="D776" s="739">
        <v>6300</v>
      </c>
      <c r="E776" s="741" t="s">
        <v>37</v>
      </c>
      <c r="F776" s="663">
        <f t="shared" si="27"/>
        <v>0</v>
      </c>
      <c r="G776" s="675"/>
      <c r="H776" s="667">
        <f t="shared" si="29"/>
        <v>0</v>
      </c>
    </row>
    <row r="777" spans="1:8" s="677" customFormat="1" ht="25.5" hidden="1" customHeight="1">
      <c r="A777" s="662"/>
      <c r="B777" s="666"/>
      <c r="C777" s="738" t="s">
        <v>1829</v>
      </c>
      <c r="D777" s="739">
        <v>6300</v>
      </c>
      <c r="E777" s="741" t="s">
        <v>37</v>
      </c>
      <c r="F777" s="663">
        <f t="shared" si="27"/>
        <v>0</v>
      </c>
      <c r="G777" s="675"/>
      <c r="H777" s="667">
        <f t="shared" si="29"/>
        <v>0</v>
      </c>
    </row>
    <row r="778" spans="1:8" s="677" customFormat="1" ht="25.5" hidden="1" customHeight="1">
      <c r="A778" s="662"/>
      <c r="B778" s="666"/>
      <c r="C778" s="738" t="s">
        <v>1830</v>
      </c>
      <c r="D778" s="739">
        <v>6300</v>
      </c>
      <c r="E778" s="741" t="s">
        <v>37</v>
      </c>
      <c r="F778" s="663">
        <f t="shared" si="27"/>
        <v>0</v>
      </c>
      <c r="G778" s="675"/>
      <c r="H778" s="667">
        <f t="shared" si="29"/>
        <v>0</v>
      </c>
    </row>
    <row r="779" spans="1:8" s="677" customFormat="1" ht="25.5" hidden="1" customHeight="1">
      <c r="A779" s="662"/>
      <c r="B779" s="666"/>
      <c r="C779" s="738" t="s">
        <v>1831</v>
      </c>
      <c r="D779" s="739">
        <v>6300</v>
      </c>
      <c r="E779" s="741" t="s">
        <v>37</v>
      </c>
      <c r="F779" s="663">
        <f t="shared" si="27"/>
        <v>0</v>
      </c>
      <c r="G779" s="675"/>
      <c r="H779" s="667">
        <f t="shared" si="29"/>
        <v>0</v>
      </c>
    </row>
    <row r="780" spans="1:8" s="677" customFormat="1" ht="25.5" hidden="1" customHeight="1">
      <c r="A780" s="662"/>
      <c r="B780" s="666"/>
      <c r="C780" s="738" t="s">
        <v>1832</v>
      </c>
      <c r="D780" s="739">
        <v>6300</v>
      </c>
      <c r="E780" s="741" t="s">
        <v>37</v>
      </c>
      <c r="F780" s="663">
        <f t="shared" si="27"/>
        <v>0</v>
      </c>
      <c r="G780" s="675"/>
      <c r="H780" s="667">
        <f t="shared" si="29"/>
        <v>0</v>
      </c>
    </row>
    <row r="781" spans="1:8" s="677" customFormat="1" ht="26.25" hidden="1" customHeight="1">
      <c r="A781" s="662"/>
      <c r="B781" s="666"/>
      <c r="C781" s="685" t="s">
        <v>1833</v>
      </c>
      <c r="D781" s="739"/>
      <c r="E781" s="741"/>
      <c r="F781" s="663">
        <f t="shared" si="27"/>
        <v>0</v>
      </c>
      <c r="G781" s="675"/>
      <c r="H781" s="667">
        <f t="shared" si="29"/>
        <v>0</v>
      </c>
    </row>
    <row r="782" spans="1:8" s="677" customFormat="1" ht="25.5" hidden="1" customHeight="1">
      <c r="A782" s="662"/>
      <c r="B782" s="666"/>
      <c r="C782" s="738" t="s">
        <v>1834</v>
      </c>
      <c r="D782" s="739">
        <v>8520</v>
      </c>
      <c r="E782" s="741" t="s">
        <v>522</v>
      </c>
      <c r="F782" s="663">
        <f t="shared" si="27"/>
        <v>0</v>
      </c>
      <c r="G782" s="675"/>
      <c r="H782" s="667">
        <f t="shared" si="29"/>
        <v>0</v>
      </c>
    </row>
    <row r="783" spans="1:8" s="677" customFormat="1" ht="46.5" hidden="1" customHeight="1">
      <c r="A783" s="662"/>
      <c r="B783" s="666"/>
      <c r="C783" s="685" t="s">
        <v>1835</v>
      </c>
      <c r="D783" s="739"/>
      <c r="E783" s="741"/>
      <c r="F783" s="663">
        <f t="shared" si="27"/>
        <v>0</v>
      </c>
      <c r="G783" s="675"/>
      <c r="H783" s="667">
        <f t="shared" si="29"/>
        <v>0</v>
      </c>
    </row>
    <row r="784" spans="1:8" s="677" customFormat="1" ht="25.5" hidden="1" customHeight="1">
      <c r="A784" s="662"/>
      <c r="B784" s="666"/>
      <c r="C784" s="738" t="s">
        <v>1836</v>
      </c>
      <c r="D784" s="739">
        <f>[14]Data!K2492</f>
        <v>4353.33</v>
      </c>
      <c r="E784" s="741" t="s">
        <v>37</v>
      </c>
      <c r="F784" s="663">
        <f t="shared" si="27"/>
        <v>0</v>
      </c>
      <c r="G784" s="675"/>
      <c r="H784" s="667">
        <f t="shared" si="29"/>
        <v>0</v>
      </c>
    </row>
    <row r="785" spans="1:8" s="677" customFormat="1" ht="25.5" hidden="1" customHeight="1">
      <c r="A785" s="662"/>
      <c r="B785" s="666"/>
      <c r="C785" s="738" t="s">
        <v>1837</v>
      </c>
      <c r="D785" s="675">
        <v>5654</v>
      </c>
      <c r="E785" s="742" t="s">
        <v>1838</v>
      </c>
      <c r="F785" s="663">
        <f t="shared" ref="F785:F848" si="30">B785*D785</f>
        <v>0</v>
      </c>
      <c r="G785" s="675"/>
      <c r="H785" s="667">
        <f t="shared" si="29"/>
        <v>0</v>
      </c>
    </row>
    <row r="786" spans="1:8" s="677" customFormat="1" ht="81.75" hidden="1" customHeight="1">
      <c r="A786" s="662"/>
      <c r="B786" s="666"/>
      <c r="C786" s="764" t="s">
        <v>1839</v>
      </c>
      <c r="D786" s="675">
        <v>6500</v>
      </c>
      <c r="E786" s="765" t="s">
        <v>37</v>
      </c>
      <c r="F786" s="663">
        <f t="shared" si="30"/>
        <v>0</v>
      </c>
      <c r="G786" s="675"/>
      <c r="H786" s="667">
        <f t="shared" si="29"/>
        <v>0</v>
      </c>
    </row>
    <row r="787" spans="1:8" s="677" customFormat="1" ht="65.25" hidden="1" customHeight="1">
      <c r="A787" s="662"/>
      <c r="B787" s="666"/>
      <c r="C787" s="764" t="s">
        <v>1840</v>
      </c>
      <c r="D787" s="675">
        <v>6000</v>
      </c>
      <c r="E787" s="765" t="s">
        <v>37</v>
      </c>
      <c r="F787" s="663">
        <f t="shared" si="30"/>
        <v>0</v>
      </c>
      <c r="G787" s="675"/>
      <c r="H787" s="667">
        <f t="shared" si="29"/>
        <v>0</v>
      </c>
    </row>
    <row r="788" spans="1:8" s="677" customFormat="1" ht="46.5" hidden="1" customHeight="1">
      <c r="A788" s="662"/>
      <c r="B788" s="666"/>
      <c r="C788" s="738" t="s">
        <v>1841</v>
      </c>
      <c r="D788" s="739">
        <v>2286.4499999999998</v>
      </c>
      <c r="E788" s="741" t="s">
        <v>522</v>
      </c>
      <c r="F788" s="663">
        <f t="shared" si="30"/>
        <v>0</v>
      </c>
      <c r="G788" s="675"/>
      <c r="H788" s="667">
        <f t="shared" si="29"/>
        <v>0</v>
      </c>
    </row>
    <row r="789" spans="1:8" s="677" customFormat="1" ht="86.25" hidden="1" customHeight="1">
      <c r="A789" s="662"/>
      <c r="B789" s="666"/>
      <c r="C789" s="743" t="s">
        <v>1842</v>
      </c>
      <c r="D789" s="684">
        <v>2240</v>
      </c>
      <c r="E789" s="766" t="s">
        <v>37</v>
      </c>
      <c r="F789" s="663">
        <f t="shared" si="30"/>
        <v>0</v>
      </c>
      <c r="G789" s="675"/>
      <c r="H789" s="667">
        <f t="shared" si="29"/>
        <v>0</v>
      </c>
    </row>
    <row r="790" spans="1:8" s="677" customFormat="1" ht="46.5" hidden="1" customHeight="1">
      <c r="A790" s="662"/>
      <c r="B790" s="666"/>
      <c r="C790" s="685" t="s">
        <v>1843</v>
      </c>
      <c r="D790" s="739"/>
      <c r="E790" s="741"/>
      <c r="F790" s="663">
        <f t="shared" si="30"/>
        <v>0</v>
      </c>
      <c r="G790" s="675"/>
      <c r="H790" s="667">
        <f t="shared" si="29"/>
        <v>0</v>
      </c>
    </row>
    <row r="791" spans="1:8" s="677" customFormat="1" ht="25.5" hidden="1" customHeight="1">
      <c r="A791" s="662"/>
      <c r="B791" s="666"/>
      <c r="C791" s="663" t="s">
        <v>1844</v>
      </c>
      <c r="D791" s="739">
        <f>[14]Data!X3628</f>
        <v>2795.43</v>
      </c>
      <c r="E791" s="741" t="s">
        <v>37</v>
      </c>
      <c r="F791" s="663">
        <f t="shared" si="30"/>
        <v>0</v>
      </c>
      <c r="G791" s="675"/>
      <c r="H791" s="667">
        <f t="shared" si="29"/>
        <v>0</v>
      </c>
    </row>
    <row r="792" spans="1:8" s="677" customFormat="1" ht="45" hidden="1" customHeight="1">
      <c r="A792" s="662"/>
      <c r="B792" s="666"/>
      <c r="C792" s="663" t="s">
        <v>1845</v>
      </c>
      <c r="D792" s="739">
        <f>[14]Data!K3533</f>
        <v>3127.38</v>
      </c>
      <c r="E792" s="741" t="s">
        <v>37</v>
      </c>
      <c r="F792" s="663">
        <f t="shared" si="30"/>
        <v>0</v>
      </c>
      <c r="G792" s="675"/>
      <c r="H792" s="667">
        <f t="shared" si="29"/>
        <v>0</v>
      </c>
    </row>
    <row r="793" spans="1:8" s="677" customFormat="1" ht="25.5" hidden="1" customHeight="1">
      <c r="A793" s="662"/>
      <c r="B793" s="666"/>
      <c r="C793" s="663" t="s">
        <v>1846</v>
      </c>
      <c r="D793" s="739">
        <f>[14]Data!K3549</f>
        <v>2997.34</v>
      </c>
      <c r="E793" s="741" t="s">
        <v>37</v>
      </c>
      <c r="F793" s="663">
        <f t="shared" si="30"/>
        <v>0</v>
      </c>
      <c r="G793" s="675"/>
      <c r="H793" s="667">
        <f t="shared" si="29"/>
        <v>0</v>
      </c>
    </row>
    <row r="794" spans="1:8" s="677" customFormat="1" ht="25.5" hidden="1" customHeight="1">
      <c r="A794" s="662"/>
      <c r="B794" s="666"/>
      <c r="C794" s="663" t="s">
        <v>1847</v>
      </c>
      <c r="D794" s="739">
        <v>2225.27</v>
      </c>
      <c r="E794" s="741" t="s">
        <v>37</v>
      </c>
      <c r="F794" s="663">
        <f t="shared" si="30"/>
        <v>0</v>
      </c>
      <c r="G794" s="675"/>
      <c r="H794" s="667">
        <f t="shared" si="29"/>
        <v>0</v>
      </c>
    </row>
    <row r="795" spans="1:8" s="677" customFormat="1" ht="48" hidden="1" customHeight="1">
      <c r="A795" s="662"/>
      <c r="B795" s="666"/>
      <c r="C795" s="663" t="s">
        <v>1848</v>
      </c>
      <c r="D795" s="739">
        <f>[14]Data!X3549</f>
        <v>2959.11</v>
      </c>
      <c r="E795" s="741" t="s">
        <v>37</v>
      </c>
      <c r="F795" s="663">
        <f t="shared" si="30"/>
        <v>0</v>
      </c>
      <c r="G795" s="675"/>
      <c r="H795" s="667">
        <f t="shared" si="29"/>
        <v>0</v>
      </c>
    </row>
    <row r="796" spans="1:8" s="677" customFormat="1" ht="25.5" hidden="1" customHeight="1">
      <c r="A796" s="662"/>
      <c r="B796" s="666"/>
      <c r="C796" s="663" t="s">
        <v>1849</v>
      </c>
      <c r="D796" s="739">
        <f>[14]Data!X3565</f>
        <v>3204.22</v>
      </c>
      <c r="E796" s="741" t="s">
        <v>37</v>
      </c>
      <c r="F796" s="663">
        <f t="shared" si="30"/>
        <v>0</v>
      </c>
      <c r="G796" s="675"/>
      <c r="H796" s="667">
        <f t="shared" si="29"/>
        <v>0</v>
      </c>
    </row>
    <row r="797" spans="1:8" s="677" customFormat="1" ht="25.5" hidden="1" customHeight="1">
      <c r="A797" s="662"/>
      <c r="B797" s="666"/>
      <c r="C797" s="663" t="s">
        <v>1850</v>
      </c>
      <c r="D797" s="739">
        <f>[14]Data!X3581</f>
        <v>3167.17</v>
      </c>
      <c r="E797" s="741" t="s">
        <v>37</v>
      </c>
      <c r="F797" s="663">
        <f t="shared" si="30"/>
        <v>0</v>
      </c>
      <c r="G797" s="675"/>
      <c r="H797" s="667">
        <f t="shared" si="29"/>
        <v>0</v>
      </c>
    </row>
    <row r="798" spans="1:8" s="677" customFormat="1" ht="25.5" hidden="1" customHeight="1">
      <c r="A798" s="662"/>
      <c r="B798" s="666"/>
      <c r="C798" s="663" t="s">
        <v>1851</v>
      </c>
      <c r="D798" s="739">
        <f>[14]Data!X3596</f>
        <v>2939.44</v>
      </c>
      <c r="E798" s="741" t="s">
        <v>37</v>
      </c>
      <c r="F798" s="663">
        <f t="shared" si="30"/>
        <v>0</v>
      </c>
      <c r="G798" s="675"/>
      <c r="H798" s="667">
        <f t="shared" si="29"/>
        <v>0</v>
      </c>
    </row>
    <row r="799" spans="1:8" s="677" customFormat="1" ht="25.5" hidden="1" customHeight="1">
      <c r="A799" s="662"/>
      <c r="B799" s="666"/>
      <c r="C799" s="663" t="s">
        <v>1852</v>
      </c>
      <c r="D799" s="739">
        <f>[14]Data!X3613</f>
        <v>3007.4</v>
      </c>
      <c r="E799" s="741" t="s">
        <v>37</v>
      </c>
      <c r="F799" s="663">
        <f t="shared" si="30"/>
        <v>0</v>
      </c>
      <c r="G799" s="675"/>
      <c r="H799" s="667">
        <f t="shared" si="29"/>
        <v>0</v>
      </c>
    </row>
    <row r="800" spans="1:8" s="677" customFormat="1" ht="46.5" hidden="1" customHeight="1">
      <c r="A800" s="662"/>
      <c r="B800" s="666"/>
      <c r="C800" s="663" t="s">
        <v>1853</v>
      </c>
      <c r="D800" s="675">
        <f>[14]Data!K2353</f>
        <v>30.62</v>
      </c>
      <c r="E800" s="742" t="s">
        <v>37</v>
      </c>
      <c r="F800" s="663">
        <f t="shared" si="30"/>
        <v>0</v>
      </c>
      <c r="G800" s="675"/>
      <c r="H800" s="667">
        <f t="shared" si="29"/>
        <v>0</v>
      </c>
    </row>
    <row r="801" spans="1:8" s="677" customFormat="1" ht="46.5" hidden="1" customHeight="1">
      <c r="A801" s="662"/>
      <c r="B801" s="666"/>
      <c r="C801" s="756" t="s">
        <v>1854</v>
      </c>
      <c r="D801" s="675"/>
      <c r="E801" s="742"/>
      <c r="F801" s="663">
        <f t="shared" si="30"/>
        <v>0</v>
      </c>
      <c r="G801" s="675"/>
      <c r="H801" s="667">
        <f t="shared" ref="H801:H832" si="31">G801*D801</f>
        <v>0</v>
      </c>
    </row>
    <row r="802" spans="1:8" s="677" customFormat="1" ht="46.5" hidden="1" customHeight="1">
      <c r="A802" s="662"/>
      <c r="B802" s="666"/>
      <c r="C802" s="663" t="s">
        <v>1405</v>
      </c>
      <c r="D802" s="675">
        <f>[14]Data!AD1196</f>
        <v>1917.28</v>
      </c>
      <c r="E802" s="742" t="s">
        <v>37</v>
      </c>
      <c r="F802" s="663">
        <f t="shared" si="30"/>
        <v>0</v>
      </c>
      <c r="G802" s="675"/>
      <c r="H802" s="667">
        <f t="shared" si="31"/>
        <v>0</v>
      </c>
    </row>
    <row r="803" spans="1:8" s="677" customFormat="1" ht="46.5" hidden="1" customHeight="1">
      <c r="A803" s="662"/>
      <c r="B803" s="666"/>
      <c r="C803" s="663" t="s">
        <v>1406</v>
      </c>
      <c r="D803" s="675">
        <f>[14]Data!AD1198</f>
        <v>1923.42</v>
      </c>
      <c r="E803" s="742" t="s">
        <v>37</v>
      </c>
      <c r="F803" s="663">
        <f t="shared" si="30"/>
        <v>0</v>
      </c>
      <c r="G803" s="675"/>
      <c r="H803" s="667">
        <f t="shared" si="31"/>
        <v>0</v>
      </c>
    </row>
    <row r="804" spans="1:8" s="677" customFormat="1" ht="46.5" hidden="1" customHeight="1">
      <c r="A804" s="662"/>
      <c r="B804" s="666"/>
      <c r="C804" s="663" t="s">
        <v>1407</v>
      </c>
      <c r="D804" s="675">
        <f>[14]Data!AD1199</f>
        <v>1927.49</v>
      </c>
      <c r="E804" s="742" t="s">
        <v>37</v>
      </c>
      <c r="F804" s="663">
        <f t="shared" si="30"/>
        <v>0</v>
      </c>
      <c r="G804" s="675"/>
      <c r="H804" s="667">
        <f t="shared" si="31"/>
        <v>0</v>
      </c>
    </row>
    <row r="805" spans="1:8" s="677" customFormat="1" ht="6" hidden="1" customHeight="1">
      <c r="A805" s="662"/>
      <c r="B805" s="666"/>
      <c r="C805" s="663" t="s">
        <v>1408</v>
      </c>
      <c r="D805" s="675">
        <f>[14]Data!AD1200</f>
        <v>1931.56</v>
      </c>
      <c r="E805" s="742" t="s">
        <v>37</v>
      </c>
      <c r="F805" s="663">
        <f t="shared" si="30"/>
        <v>0</v>
      </c>
      <c r="G805" s="675"/>
      <c r="H805" s="667">
        <f t="shared" si="31"/>
        <v>0</v>
      </c>
    </row>
    <row r="806" spans="1:8" ht="57.75" hidden="1" customHeight="1">
      <c r="A806" s="662"/>
      <c r="B806" s="666"/>
      <c r="C806" s="756" t="s">
        <v>1855</v>
      </c>
      <c r="D806" s="667"/>
      <c r="E806" s="751"/>
      <c r="F806" s="663">
        <f t="shared" si="30"/>
        <v>0</v>
      </c>
      <c r="G806" s="667"/>
      <c r="H806" s="667">
        <f t="shared" si="31"/>
        <v>0</v>
      </c>
    </row>
    <row r="807" spans="1:8" ht="48.75" hidden="1" customHeight="1">
      <c r="A807" s="662"/>
      <c r="B807" s="666"/>
      <c r="C807" s="663" t="s">
        <v>1405</v>
      </c>
      <c r="D807" s="667">
        <f>[14]Data!AK1197</f>
        <v>1050.31</v>
      </c>
      <c r="E807" s="751" t="s">
        <v>37</v>
      </c>
      <c r="F807" s="663">
        <f t="shared" si="30"/>
        <v>0</v>
      </c>
      <c r="G807" s="667"/>
      <c r="H807" s="667">
        <f t="shared" si="31"/>
        <v>0</v>
      </c>
    </row>
    <row r="808" spans="1:8" ht="48.75" hidden="1" customHeight="1">
      <c r="A808" s="662"/>
      <c r="B808" s="666"/>
      <c r="C808" s="663" t="s">
        <v>1406</v>
      </c>
      <c r="D808" s="667">
        <f>[14]Data!AK1198</f>
        <v>1052.3499999999999</v>
      </c>
      <c r="E808" s="751" t="s">
        <v>37</v>
      </c>
      <c r="F808" s="663">
        <f t="shared" si="30"/>
        <v>0</v>
      </c>
      <c r="G808" s="667"/>
      <c r="H808" s="667">
        <f t="shared" si="31"/>
        <v>0</v>
      </c>
    </row>
    <row r="809" spans="1:8" ht="48.75" hidden="1" customHeight="1">
      <c r="A809" s="662"/>
      <c r="B809" s="666"/>
      <c r="C809" s="663" t="s">
        <v>1407</v>
      </c>
      <c r="D809" s="667">
        <f>[14]Data!AK1199</f>
        <v>1054.3900000000001</v>
      </c>
      <c r="E809" s="751" t="s">
        <v>37</v>
      </c>
      <c r="F809" s="663">
        <f t="shared" si="30"/>
        <v>0</v>
      </c>
      <c r="G809" s="667"/>
      <c r="H809" s="667">
        <f t="shared" si="31"/>
        <v>0</v>
      </c>
    </row>
    <row r="810" spans="1:8" ht="48.75" hidden="1" customHeight="1">
      <c r="A810" s="662"/>
      <c r="B810" s="666"/>
      <c r="C810" s="663" t="s">
        <v>1856</v>
      </c>
      <c r="D810" s="667">
        <f>[14]Data!AK1200</f>
        <v>1056.3399999999999</v>
      </c>
      <c r="E810" s="751" t="s">
        <v>37</v>
      </c>
      <c r="F810" s="663">
        <f t="shared" si="30"/>
        <v>0</v>
      </c>
      <c r="G810" s="667"/>
      <c r="H810" s="667">
        <f t="shared" si="31"/>
        <v>0</v>
      </c>
    </row>
    <row r="811" spans="1:8" s="677" customFormat="1" ht="39" hidden="1" customHeight="1">
      <c r="A811" s="662"/>
      <c r="B811" s="666"/>
      <c r="C811" s="685" t="s">
        <v>1857</v>
      </c>
      <c r="D811" s="739"/>
      <c r="E811" s="741"/>
      <c r="F811" s="663">
        <f t="shared" si="30"/>
        <v>0</v>
      </c>
      <c r="G811" s="675"/>
      <c r="H811" s="667">
        <f t="shared" si="31"/>
        <v>0</v>
      </c>
    </row>
    <row r="812" spans="1:8" s="677" customFormat="1" ht="45" hidden="1" customHeight="1">
      <c r="A812" s="662"/>
      <c r="B812" s="666"/>
      <c r="C812" s="663" t="s">
        <v>1858</v>
      </c>
      <c r="D812" s="675">
        <f>[14]Data!X3126</f>
        <v>3402.37</v>
      </c>
      <c r="E812" s="742" t="s">
        <v>264</v>
      </c>
      <c r="F812" s="663">
        <f t="shared" si="30"/>
        <v>0</v>
      </c>
      <c r="G812" s="675"/>
      <c r="H812" s="667">
        <f t="shared" si="31"/>
        <v>0</v>
      </c>
    </row>
    <row r="813" spans="1:8" s="677" customFormat="1" ht="49.5" hidden="1" customHeight="1">
      <c r="A813" s="662"/>
      <c r="B813" s="666"/>
      <c r="C813" s="738" t="s">
        <v>1859</v>
      </c>
      <c r="D813" s="684">
        <v>3358.02</v>
      </c>
      <c r="E813" s="741" t="s">
        <v>37</v>
      </c>
      <c r="F813" s="663">
        <f t="shared" si="30"/>
        <v>0</v>
      </c>
      <c r="G813" s="675"/>
      <c r="H813" s="667">
        <f t="shared" si="31"/>
        <v>0</v>
      </c>
    </row>
    <row r="814" spans="1:8" s="677" customFormat="1" ht="41.25" hidden="1" customHeight="1">
      <c r="A814" s="662"/>
      <c r="B814" s="666"/>
      <c r="C814" s="738" t="s">
        <v>1860</v>
      </c>
      <c r="D814" s="684">
        <v>3828.85</v>
      </c>
      <c r="E814" s="741" t="s">
        <v>37</v>
      </c>
      <c r="F814" s="663">
        <f t="shared" si="30"/>
        <v>0</v>
      </c>
      <c r="G814" s="675"/>
      <c r="H814" s="667">
        <f t="shared" si="31"/>
        <v>0</v>
      </c>
    </row>
    <row r="815" spans="1:8" s="677" customFormat="1" ht="41.25" hidden="1" customHeight="1">
      <c r="A815" s="662"/>
      <c r="B815" s="666"/>
      <c r="C815" s="756" t="s">
        <v>1861</v>
      </c>
      <c r="D815" s="684">
        <f>[14]Data!X3168</f>
        <v>3283.94</v>
      </c>
      <c r="E815" s="741" t="s">
        <v>37</v>
      </c>
      <c r="F815" s="663">
        <f t="shared" si="30"/>
        <v>0</v>
      </c>
      <c r="G815" s="675"/>
      <c r="H815" s="667">
        <f t="shared" si="31"/>
        <v>0</v>
      </c>
    </row>
    <row r="816" spans="1:8" s="677" customFormat="1" ht="42" hidden="1" customHeight="1">
      <c r="A816" s="662"/>
      <c r="B816" s="666"/>
      <c r="C816" s="756" t="s">
        <v>1862</v>
      </c>
      <c r="D816" s="739"/>
      <c r="E816" s="741"/>
      <c r="F816" s="663">
        <f t="shared" si="30"/>
        <v>0</v>
      </c>
      <c r="G816" s="675"/>
      <c r="H816" s="667">
        <f t="shared" si="31"/>
        <v>0</v>
      </c>
    </row>
    <row r="817" spans="1:8" s="677" customFormat="1" ht="42" hidden="1" customHeight="1">
      <c r="A817" s="662"/>
      <c r="B817" s="666"/>
      <c r="C817" s="738" t="s">
        <v>1863</v>
      </c>
      <c r="D817" s="739">
        <f>[14]Data!R1479</f>
        <v>4535.8900000000003</v>
      </c>
      <c r="E817" s="741" t="s">
        <v>37</v>
      </c>
      <c r="F817" s="663">
        <f t="shared" si="30"/>
        <v>0</v>
      </c>
      <c r="G817" s="675"/>
      <c r="H817" s="667">
        <f t="shared" si="31"/>
        <v>0</v>
      </c>
    </row>
    <row r="818" spans="1:8" s="677" customFormat="1" ht="42" hidden="1" customHeight="1">
      <c r="A818" s="662"/>
      <c r="B818" s="666"/>
      <c r="C818" s="738" t="s">
        <v>1864</v>
      </c>
      <c r="D818" s="739">
        <f>[14]Data!X1440</f>
        <v>5059.03</v>
      </c>
      <c r="E818" s="741" t="s">
        <v>37</v>
      </c>
      <c r="F818" s="663">
        <f t="shared" si="30"/>
        <v>0</v>
      </c>
      <c r="G818" s="675"/>
      <c r="H818" s="667">
        <f t="shared" si="31"/>
        <v>0</v>
      </c>
    </row>
    <row r="819" spans="1:8" s="677" customFormat="1" ht="23.1" hidden="1" customHeight="1">
      <c r="A819" s="662"/>
      <c r="B819" s="666"/>
      <c r="C819" s="738" t="s">
        <v>1865</v>
      </c>
      <c r="D819" s="739">
        <f>[14]Data!X1447</f>
        <v>4748.82</v>
      </c>
      <c r="E819" s="741" t="s">
        <v>37</v>
      </c>
      <c r="F819" s="663">
        <f t="shared" si="30"/>
        <v>0</v>
      </c>
      <c r="G819" s="675"/>
      <c r="H819" s="667">
        <f t="shared" si="31"/>
        <v>0</v>
      </c>
    </row>
    <row r="820" spans="1:8" s="677" customFormat="1" ht="23.1" hidden="1" customHeight="1">
      <c r="A820" s="662"/>
      <c r="B820" s="666"/>
      <c r="C820" s="738" t="s">
        <v>1866</v>
      </c>
      <c r="D820" s="739">
        <f>[14]Data!R1479</f>
        <v>4535.8900000000003</v>
      </c>
      <c r="E820" s="741" t="s">
        <v>37</v>
      </c>
      <c r="F820" s="663">
        <f t="shared" si="30"/>
        <v>0</v>
      </c>
      <c r="G820" s="675"/>
      <c r="H820" s="667">
        <f t="shared" si="31"/>
        <v>0</v>
      </c>
    </row>
    <row r="821" spans="1:8" s="677" customFormat="1" ht="25.5" hidden="1" customHeight="1">
      <c r="A821" s="662"/>
      <c r="B821" s="666"/>
      <c r="C821" s="756" t="str">
        <f>'[9]Bldg+Dev'!$B$566</f>
        <v>Supply &amp; Fixing of MS door  (for lockup door )</v>
      </c>
      <c r="D821" s="675"/>
      <c r="E821" s="742"/>
      <c r="F821" s="663">
        <f t="shared" si="30"/>
        <v>0</v>
      </c>
      <c r="G821" s="675"/>
      <c r="H821" s="667">
        <f t="shared" si="31"/>
        <v>0</v>
      </c>
    </row>
    <row r="822" spans="1:8" s="677" customFormat="1" ht="25.5" hidden="1" customHeight="1">
      <c r="A822" s="662"/>
      <c r="B822" s="666"/>
      <c r="C822" s="663" t="s">
        <v>1867</v>
      </c>
      <c r="D822" s="675">
        <f>D918</f>
        <v>0</v>
      </c>
      <c r="E822" s="742" t="s">
        <v>992</v>
      </c>
      <c r="F822" s="663">
        <f t="shared" si="30"/>
        <v>0</v>
      </c>
      <c r="G822" s="675"/>
      <c r="H822" s="667">
        <f t="shared" si="31"/>
        <v>0</v>
      </c>
    </row>
    <row r="823" spans="1:8" s="677" customFormat="1" ht="25.5" hidden="1" customHeight="1">
      <c r="A823" s="662"/>
      <c r="B823" s="666"/>
      <c r="C823" s="663" t="s">
        <v>1868</v>
      </c>
      <c r="D823" s="675">
        <f>D919</f>
        <v>0</v>
      </c>
      <c r="E823" s="742" t="s">
        <v>522</v>
      </c>
      <c r="F823" s="663">
        <f t="shared" si="30"/>
        <v>0</v>
      </c>
      <c r="G823" s="675"/>
      <c r="H823" s="667">
        <f t="shared" si="31"/>
        <v>0</v>
      </c>
    </row>
    <row r="824" spans="1:8" s="677" customFormat="1" ht="69.75" hidden="1" customHeight="1">
      <c r="A824" s="662"/>
      <c r="B824" s="666"/>
      <c r="C824" s="685" t="s">
        <v>1869</v>
      </c>
      <c r="D824" s="675"/>
      <c r="E824" s="742"/>
      <c r="F824" s="663">
        <f t="shared" si="30"/>
        <v>0</v>
      </c>
      <c r="G824" s="675"/>
      <c r="H824" s="667">
        <f t="shared" si="31"/>
        <v>0</v>
      </c>
    </row>
    <row r="825" spans="1:8" s="677" customFormat="1" ht="51" hidden="1" customHeight="1">
      <c r="A825" s="662"/>
      <c r="B825" s="666"/>
      <c r="C825" s="663" t="s">
        <v>1870</v>
      </c>
      <c r="D825" s="675">
        <v>3004.33</v>
      </c>
      <c r="E825" s="742" t="s">
        <v>37</v>
      </c>
      <c r="F825" s="663">
        <f t="shared" si="30"/>
        <v>0</v>
      </c>
      <c r="G825" s="675"/>
      <c r="H825" s="667">
        <f t="shared" si="31"/>
        <v>0</v>
      </c>
    </row>
    <row r="826" spans="1:8" ht="51" hidden="1" customHeight="1">
      <c r="A826" s="662"/>
      <c r="B826" s="666"/>
      <c r="C826" s="663" t="s">
        <v>1871</v>
      </c>
      <c r="D826" s="667">
        <f>D920</f>
        <v>4353.33</v>
      </c>
      <c r="E826" s="751" t="s">
        <v>37</v>
      </c>
      <c r="F826" s="663">
        <f t="shared" si="30"/>
        <v>0</v>
      </c>
      <c r="G826" s="667"/>
      <c r="H826" s="667">
        <f t="shared" si="31"/>
        <v>0</v>
      </c>
    </row>
    <row r="827" spans="1:8" s="677" customFormat="1" ht="51" hidden="1" customHeight="1">
      <c r="A827" s="662"/>
      <c r="B827" s="666"/>
      <c r="C827" s="663" t="s">
        <v>1872</v>
      </c>
      <c r="D827" s="675">
        <f>Paver!D921</f>
        <v>4626.8100000000004</v>
      </c>
      <c r="E827" s="742" t="s">
        <v>37</v>
      </c>
      <c r="F827" s="663">
        <f t="shared" si="30"/>
        <v>0</v>
      </c>
      <c r="G827" s="675"/>
      <c r="H827" s="667">
        <f t="shared" si="31"/>
        <v>0</v>
      </c>
    </row>
    <row r="828" spans="1:8" s="677" customFormat="1" ht="42" hidden="1" customHeight="1">
      <c r="A828" s="662"/>
      <c r="B828" s="666"/>
      <c r="C828" s="663" t="s">
        <v>1873</v>
      </c>
      <c r="D828" s="675">
        <f>D922</f>
        <v>3971.57</v>
      </c>
      <c r="E828" s="742" t="s">
        <v>37</v>
      </c>
      <c r="F828" s="663">
        <f t="shared" si="30"/>
        <v>0</v>
      </c>
      <c r="G828" s="675"/>
      <c r="H828" s="667">
        <f t="shared" si="31"/>
        <v>0</v>
      </c>
    </row>
    <row r="829" spans="1:8" s="677" customFormat="1" ht="50.25" hidden="1" customHeight="1">
      <c r="A829" s="662"/>
      <c r="B829" s="666"/>
      <c r="C829" s="685" t="s">
        <v>1874</v>
      </c>
      <c r="D829" s="739">
        <f>[14]Data!J3859</f>
        <v>4173.82</v>
      </c>
      <c r="E829" s="743" t="s">
        <v>37</v>
      </c>
      <c r="F829" s="663">
        <f t="shared" si="30"/>
        <v>0</v>
      </c>
      <c r="G829" s="675"/>
      <c r="H829" s="667">
        <f t="shared" si="31"/>
        <v>0</v>
      </c>
    </row>
    <row r="830" spans="1:8" s="677" customFormat="1" ht="42" hidden="1" customHeight="1">
      <c r="A830" s="662"/>
      <c r="B830" s="666"/>
      <c r="C830" s="685" t="s">
        <v>1875</v>
      </c>
      <c r="D830" s="739">
        <f>[14]Data!J3880</f>
        <v>3464.01</v>
      </c>
      <c r="E830" s="743" t="s">
        <v>37</v>
      </c>
      <c r="F830" s="663">
        <f t="shared" si="30"/>
        <v>0</v>
      </c>
      <c r="G830" s="675"/>
      <c r="H830" s="667">
        <f t="shared" si="31"/>
        <v>0</v>
      </c>
    </row>
    <row r="831" spans="1:8" s="677" customFormat="1" ht="52.5" hidden="1" customHeight="1">
      <c r="A831" s="662"/>
      <c r="B831" s="666"/>
      <c r="C831" s="715" t="s">
        <v>1876</v>
      </c>
      <c r="D831" s="767">
        <v>61.8</v>
      </c>
      <c r="E831" s="768" t="s">
        <v>522</v>
      </c>
      <c r="F831" s="663">
        <f t="shared" si="30"/>
        <v>0</v>
      </c>
      <c r="G831" s="675"/>
      <c r="H831" s="667">
        <f t="shared" si="31"/>
        <v>0</v>
      </c>
    </row>
    <row r="832" spans="1:8" s="677" customFormat="1" ht="59.25" hidden="1" customHeight="1">
      <c r="A832" s="662"/>
      <c r="B832" s="666"/>
      <c r="C832" s="663" t="s">
        <v>1877</v>
      </c>
      <c r="D832" s="739">
        <v>405</v>
      </c>
      <c r="E832" s="674" t="s">
        <v>61</v>
      </c>
      <c r="F832" s="663">
        <f t="shared" si="30"/>
        <v>0</v>
      </c>
      <c r="G832" s="675"/>
      <c r="H832" s="667">
        <f t="shared" si="31"/>
        <v>0</v>
      </c>
    </row>
    <row r="833" spans="1:8" s="677" customFormat="1" ht="45.75" hidden="1" customHeight="1">
      <c r="A833" s="662"/>
      <c r="B833" s="666"/>
      <c r="C833" s="663" t="s">
        <v>1878</v>
      </c>
      <c r="D833" s="684">
        <v>325</v>
      </c>
      <c r="E833" s="766" t="s">
        <v>37</v>
      </c>
      <c r="F833" s="663">
        <f t="shared" si="30"/>
        <v>0</v>
      </c>
      <c r="G833" s="675"/>
      <c r="H833" s="667">
        <f t="shared" ref="H833:H851" si="32">G833*D833</f>
        <v>0</v>
      </c>
    </row>
    <row r="834" spans="1:8" s="677" customFormat="1" ht="37.5" hidden="1" customHeight="1">
      <c r="A834" s="662"/>
      <c r="B834" s="666"/>
      <c r="C834" s="663" t="s">
        <v>1879</v>
      </c>
      <c r="D834" s="684">
        <v>35</v>
      </c>
      <c r="E834" s="766" t="s">
        <v>37</v>
      </c>
      <c r="F834" s="663">
        <f t="shared" si="30"/>
        <v>0</v>
      </c>
      <c r="G834" s="675"/>
      <c r="H834" s="667">
        <f t="shared" si="32"/>
        <v>0</v>
      </c>
    </row>
    <row r="835" spans="1:8" s="677" customFormat="1" ht="63.75" hidden="1" customHeight="1">
      <c r="A835" s="662"/>
      <c r="B835" s="666"/>
      <c r="C835" s="738" t="s">
        <v>1880</v>
      </c>
      <c r="D835" s="696">
        <f>[14]Data!AQ3116</f>
        <v>231</v>
      </c>
      <c r="E835" s="741" t="s">
        <v>522</v>
      </c>
      <c r="F835" s="663">
        <f t="shared" si="30"/>
        <v>0</v>
      </c>
      <c r="G835" s="675"/>
      <c r="H835" s="667">
        <f t="shared" si="32"/>
        <v>0</v>
      </c>
    </row>
    <row r="836" spans="1:8" s="677" customFormat="1" ht="55.5" hidden="1" customHeight="1">
      <c r="A836" s="662"/>
      <c r="B836" s="666"/>
      <c r="C836" s="738" t="s">
        <v>1881</v>
      </c>
      <c r="D836" s="696">
        <f>[14]Data!AR3116</f>
        <v>220</v>
      </c>
      <c r="E836" s="741" t="s">
        <v>522</v>
      </c>
      <c r="F836" s="663">
        <f t="shared" si="30"/>
        <v>0</v>
      </c>
      <c r="G836" s="675"/>
      <c r="H836" s="667">
        <f t="shared" si="32"/>
        <v>0</v>
      </c>
    </row>
    <row r="837" spans="1:8" s="677" customFormat="1" ht="63" hidden="1" customHeight="1">
      <c r="A837" s="662"/>
      <c r="B837" s="666"/>
      <c r="C837" s="738" t="s">
        <v>1882</v>
      </c>
      <c r="D837" s="696">
        <f>[14]Elec.Data!R3638</f>
        <v>2808.14</v>
      </c>
      <c r="E837" s="674" t="s">
        <v>522</v>
      </c>
      <c r="F837" s="663">
        <f t="shared" si="30"/>
        <v>0</v>
      </c>
      <c r="G837" s="675"/>
      <c r="H837" s="667">
        <f t="shared" si="32"/>
        <v>0</v>
      </c>
    </row>
    <row r="838" spans="1:8" s="677" customFormat="1" ht="45.75" hidden="1" customHeight="1">
      <c r="A838" s="662"/>
      <c r="B838" s="666"/>
      <c r="C838" s="663" t="s">
        <v>1883</v>
      </c>
      <c r="D838" s="660">
        <f>[14]Data!R2365</f>
        <v>343.98</v>
      </c>
      <c r="E838" s="674" t="s">
        <v>61</v>
      </c>
      <c r="F838" s="663">
        <f t="shared" si="30"/>
        <v>0</v>
      </c>
      <c r="G838" s="675"/>
      <c r="H838" s="667">
        <f t="shared" si="32"/>
        <v>0</v>
      </c>
    </row>
    <row r="839" spans="1:8" ht="61.15" hidden="1" customHeight="1">
      <c r="A839" s="662"/>
      <c r="B839" s="666"/>
      <c r="C839" s="663" t="s">
        <v>1884</v>
      </c>
      <c r="D839" s="769">
        <f>[14]Data!X1347</f>
        <v>1324.24</v>
      </c>
      <c r="E839" s="663" t="s">
        <v>264</v>
      </c>
      <c r="F839" s="663">
        <f t="shared" si="30"/>
        <v>0</v>
      </c>
      <c r="G839" s="667"/>
      <c r="H839" s="667">
        <f t="shared" si="32"/>
        <v>0</v>
      </c>
    </row>
    <row r="840" spans="1:8" s="677" customFormat="1" ht="40.15" hidden="1" customHeight="1">
      <c r="A840" s="662" t="s">
        <v>1885</v>
      </c>
      <c r="B840" s="666"/>
      <c r="C840" s="663" t="s">
        <v>1886</v>
      </c>
      <c r="D840" s="675">
        <f>[14]Data!K1797</f>
        <v>1920</v>
      </c>
      <c r="E840" s="674" t="s">
        <v>522</v>
      </c>
      <c r="F840" s="663">
        <f t="shared" si="30"/>
        <v>0</v>
      </c>
      <c r="G840" s="675"/>
      <c r="H840" s="667">
        <f t="shared" si="32"/>
        <v>0</v>
      </c>
    </row>
    <row r="841" spans="1:8" ht="60.75" hidden="1" customHeight="1">
      <c r="A841" s="662"/>
      <c r="B841" s="666"/>
      <c r="C841" s="685" t="s">
        <v>1887</v>
      </c>
      <c r="D841" s="667"/>
      <c r="E841" s="663"/>
      <c r="F841" s="663">
        <f t="shared" si="30"/>
        <v>0</v>
      </c>
      <c r="G841" s="667"/>
      <c r="H841" s="667">
        <f t="shared" si="32"/>
        <v>0</v>
      </c>
    </row>
    <row r="842" spans="1:8" ht="50.25" hidden="1" customHeight="1">
      <c r="A842" s="662"/>
      <c r="B842" s="666"/>
      <c r="C842" s="663" t="s">
        <v>1888</v>
      </c>
      <c r="D842" s="769">
        <f>[14]Data!K3677</f>
        <v>442.95</v>
      </c>
      <c r="E842" s="663" t="s">
        <v>61</v>
      </c>
      <c r="F842" s="663">
        <f t="shared" si="30"/>
        <v>0</v>
      </c>
      <c r="G842" s="667"/>
      <c r="H842" s="667">
        <f t="shared" si="32"/>
        <v>0</v>
      </c>
    </row>
    <row r="843" spans="1:8" ht="50.25" hidden="1" customHeight="1">
      <c r="A843" s="662"/>
      <c r="B843" s="666"/>
      <c r="C843" s="663" t="s">
        <v>1889</v>
      </c>
      <c r="D843" s="769">
        <f>[14]Data!K3697</f>
        <v>753.21</v>
      </c>
      <c r="E843" s="663" t="s">
        <v>61</v>
      </c>
      <c r="F843" s="663">
        <f t="shared" si="30"/>
        <v>0</v>
      </c>
      <c r="G843" s="667"/>
      <c r="H843" s="667">
        <f t="shared" si="32"/>
        <v>0</v>
      </c>
    </row>
    <row r="844" spans="1:8" ht="50.25" hidden="1" customHeight="1">
      <c r="A844" s="662"/>
      <c r="B844" s="666"/>
      <c r="C844" s="685" t="s">
        <v>1890</v>
      </c>
      <c r="D844" s="769"/>
      <c r="E844" s="663"/>
      <c r="F844" s="663">
        <f t="shared" si="30"/>
        <v>0</v>
      </c>
      <c r="G844" s="667"/>
      <c r="H844" s="667">
        <f t="shared" si="32"/>
        <v>0</v>
      </c>
    </row>
    <row r="845" spans="1:8" ht="57.75" hidden="1" customHeight="1">
      <c r="A845" s="662"/>
      <c r="B845" s="666"/>
      <c r="C845" s="770" t="s">
        <v>1891</v>
      </c>
      <c r="D845" s="769">
        <v>248</v>
      </c>
      <c r="E845" s="663" t="s">
        <v>522</v>
      </c>
      <c r="F845" s="663">
        <f t="shared" si="30"/>
        <v>0</v>
      </c>
      <c r="G845" s="667"/>
      <c r="H845" s="667">
        <f t="shared" si="32"/>
        <v>0</v>
      </c>
    </row>
    <row r="846" spans="1:8" ht="63.75" hidden="1" customHeight="1">
      <c r="A846" s="662"/>
      <c r="B846" s="666"/>
      <c r="C846" s="708" t="s">
        <v>1892</v>
      </c>
      <c r="D846" s="769">
        <v>1048</v>
      </c>
      <c r="E846" s="663" t="s">
        <v>522</v>
      </c>
      <c r="F846" s="663">
        <f t="shared" si="30"/>
        <v>0</v>
      </c>
      <c r="G846" s="667"/>
      <c r="H846" s="667">
        <f t="shared" si="32"/>
        <v>0</v>
      </c>
    </row>
    <row r="847" spans="1:8" ht="51.75" hidden="1" customHeight="1">
      <c r="A847" s="662"/>
      <c r="B847" s="666"/>
      <c r="C847" s="685" t="s">
        <v>1893</v>
      </c>
      <c r="D847" s="769"/>
      <c r="E847" s="663"/>
      <c r="F847" s="663">
        <f t="shared" si="30"/>
        <v>0</v>
      </c>
      <c r="G847" s="667"/>
      <c r="H847" s="667">
        <f t="shared" si="32"/>
        <v>0</v>
      </c>
    </row>
    <row r="848" spans="1:8" ht="52.5" hidden="1" customHeight="1">
      <c r="A848" s="662"/>
      <c r="B848" s="666"/>
      <c r="C848" s="663" t="s">
        <v>1894</v>
      </c>
      <c r="D848" s="769">
        <v>303</v>
      </c>
      <c r="E848" s="663" t="s">
        <v>522</v>
      </c>
      <c r="F848" s="663">
        <f t="shared" si="30"/>
        <v>0</v>
      </c>
      <c r="G848" s="667"/>
      <c r="H848" s="667">
        <f t="shared" si="32"/>
        <v>0</v>
      </c>
    </row>
    <row r="849" spans="1:8" ht="65.25" hidden="1" customHeight="1">
      <c r="A849" s="662"/>
      <c r="B849" s="666"/>
      <c r="C849" s="663" t="s">
        <v>1895</v>
      </c>
      <c r="D849" s="771">
        <v>827</v>
      </c>
      <c r="E849" s="663" t="s">
        <v>522</v>
      </c>
      <c r="F849" s="663">
        <f t="shared" ref="F849:F912" si="33">B849*D849</f>
        <v>0</v>
      </c>
      <c r="G849" s="667"/>
      <c r="H849" s="667">
        <f t="shared" si="32"/>
        <v>0</v>
      </c>
    </row>
    <row r="850" spans="1:8" ht="86.25" hidden="1" customHeight="1">
      <c r="A850" s="662"/>
      <c r="B850" s="666"/>
      <c r="C850" s="663" t="s">
        <v>1896</v>
      </c>
      <c r="D850" s="769">
        <f>[14]Data!R1978</f>
        <v>3040.4</v>
      </c>
      <c r="E850" s="663" t="s">
        <v>522</v>
      </c>
      <c r="F850" s="663">
        <f t="shared" si="33"/>
        <v>0</v>
      </c>
      <c r="G850" s="667"/>
      <c r="H850" s="667">
        <f t="shared" si="32"/>
        <v>0</v>
      </c>
    </row>
    <row r="851" spans="1:8" ht="84.75" hidden="1" customHeight="1">
      <c r="A851" s="662"/>
      <c r="B851" s="666"/>
      <c r="C851" s="663" t="s">
        <v>1897</v>
      </c>
      <c r="D851" s="769">
        <f>[14]Data!R1999</f>
        <v>4756.41</v>
      </c>
      <c r="E851" s="663" t="s">
        <v>522</v>
      </c>
      <c r="F851" s="663">
        <f t="shared" si="33"/>
        <v>0</v>
      </c>
      <c r="G851" s="667"/>
      <c r="H851" s="667">
        <f t="shared" si="32"/>
        <v>0</v>
      </c>
    </row>
    <row r="852" spans="1:8" ht="84.75" hidden="1" customHeight="1">
      <c r="A852" s="662"/>
      <c r="B852" s="666"/>
      <c r="C852" s="663" t="s">
        <v>1898</v>
      </c>
      <c r="D852" s="769">
        <f>[14]Data!R2018</f>
        <v>6501.3</v>
      </c>
      <c r="E852" s="663" t="s">
        <v>522</v>
      </c>
      <c r="F852" s="663">
        <f t="shared" si="33"/>
        <v>0</v>
      </c>
      <c r="G852" s="667"/>
      <c r="H852" s="667"/>
    </row>
    <row r="853" spans="1:8" ht="61.5" hidden="1" customHeight="1">
      <c r="A853" s="662"/>
      <c r="B853" s="666"/>
      <c r="C853" s="663" t="s">
        <v>1899</v>
      </c>
      <c r="D853" s="769">
        <f>[14]Data!R2037</f>
        <v>6861.3</v>
      </c>
      <c r="E853" s="663" t="s">
        <v>522</v>
      </c>
      <c r="F853" s="663">
        <f t="shared" si="33"/>
        <v>0</v>
      </c>
      <c r="G853" s="667"/>
      <c r="H853" s="667">
        <f t="shared" ref="H853:H884" si="34">G853*D853</f>
        <v>0</v>
      </c>
    </row>
    <row r="854" spans="1:8" s="677" customFormat="1" ht="38.25" hidden="1" customHeight="1">
      <c r="A854" s="662"/>
      <c r="B854" s="666"/>
      <c r="C854" s="685" t="s">
        <v>1857</v>
      </c>
      <c r="D854" s="739"/>
      <c r="E854" s="674"/>
      <c r="F854" s="663">
        <f t="shared" si="33"/>
        <v>0</v>
      </c>
      <c r="G854" s="675"/>
      <c r="H854" s="667">
        <f t="shared" si="34"/>
        <v>0</v>
      </c>
    </row>
    <row r="855" spans="1:8" s="677" customFormat="1" ht="45.75" hidden="1" customHeight="1">
      <c r="A855" s="662"/>
      <c r="B855" s="666"/>
      <c r="C855" s="663" t="s">
        <v>1900</v>
      </c>
      <c r="D855" s="761">
        <f>'[10]doors &amp; windows'!$F$979</f>
        <v>2729.4446820175435</v>
      </c>
      <c r="E855" s="766" t="s">
        <v>37</v>
      </c>
      <c r="F855" s="663">
        <f t="shared" si="33"/>
        <v>0</v>
      </c>
      <c r="G855" s="675"/>
      <c r="H855" s="667">
        <f t="shared" si="34"/>
        <v>0</v>
      </c>
    </row>
    <row r="856" spans="1:8" s="677" customFormat="1" ht="45.75" hidden="1" customHeight="1">
      <c r="A856" s="662"/>
      <c r="B856" s="666"/>
      <c r="C856" s="663" t="s">
        <v>1901</v>
      </c>
      <c r="D856" s="739">
        <f>'[10]doors &amp; windows'!$F$942</f>
        <v>3025.6259868421052</v>
      </c>
      <c r="E856" s="766" t="s">
        <v>37</v>
      </c>
      <c r="F856" s="663">
        <f t="shared" si="33"/>
        <v>0</v>
      </c>
      <c r="G856" s="675"/>
      <c r="H856" s="667">
        <f t="shared" si="34"/>
        <v>0</v>
      </c>
    </row>
    <row r="857" spans="1:8" s="677" customFormat="1" ht="45.75" hidden="1" customHeight="1">
      <c r="A857" s="662"/>
      <c r="B857" s="666"/>
      <c r="C857" s="663" t="s">
        <v>1902</v>
      </c>
      <c r="D857" s="739">
        <f>'[10]doors &amp; windows'!$F$1014</f>
        <v>3025.6259868421048</v>
      </c>
      <c r="E857" s="766" t="s">
        <v>37</v>
      </c>
      <c r="F857" s="663">
        <f t="shared" si="33"/>
        <v>0</v>
      </c>
      <c r="G857" s="675"/>
      <c r="H857" s="667">
        <f t="shared" si="34"/>
        <v>0</v>
      </c>
    </row>
    <row r="858" spans="1:8" s="677" customFormat="1" ht="45.75" hidden="1" customHeight="1">
      <c r="A858" s="662"/>
      <c r="B858" s="666"/>
      <c r="C858" s="663" t="s">
        <v>1903</v>
      </c>
      <c r="D858" s="739">
        <f>'[10]doors &amp; windows'!$F$1050</f>
        <v>3553.6057186234821</v>
      </c>
      <c r="E858" s="766" t="s">
        <v>37</v>
      </c>
      <c r="F858" s="663">
        <f t="shared" si="33"/>
        <v>0</v>
      </c>
      <c r="G858" s="675"/>
      <c r="H858" s="667">
        <f t="shared" si="34"/>
        <v>0</v>
      </c>
    </row>
    <row r="859" spans="1:8" s="677" customFormat="1" ht="45.75" hidden="1" customHeight="1">
      <c r="A859" s="662"/>
      <c r="B859" s="666"/>
      <c r="C859" s="663" t="s">
        <v>1904</v>
      </c>
      <c r="D859" s="739">
        <f>[14]Data!X3143</f>
        <v>3717.9</v>
      </c>
      <c r="E859" s="766" t="s">
        <v>37</v>
      </c>
      <c r="F859" s="663">
        <f t="shared" si="33"/>
        <v>0</v>
      </c>
      <c r="G859" s="675"/>
      <c r="H859" s="667">
        <f t="shared" si="34"/>
        <v>0</v>
      </c>
    </row>
    <row r="860" spans="1:8" s="677" customFormat="1" ht="110.25" hidden="1" customHeight="1">
      <c r="A860" s="662"/>
      <c r="B860" s="666"/>
      <c r="C860" s="685" t="s">
        <v>1905</v>
      </c>
      <c r="D860" s="739"/>
      <c r="E860" s="752"/>
      <c r="F860" s="663">
        <f t="shared" si="33"/>
        <v>0</v>
      </c>
      <c r="G860" s="675"/>
      <c r="H860" s="667">
        <f t="shared" si="34"/>
        <v>0</v>
      </c>
    </row>
    <row r="861" spans="1:8" s="677" customFormat="1" ht="51" hidden="1" customHeight="1">
      <c r="A861" s="662"/>
      <c r="B861" s="666"/>
      <c r="C861" s="663" t="s">
        <v>168</v>
      </c>
      <c r="D861" s="739">
        <f>'[14]  Coastal  Elec.Data '!K2860</f>
        <v>1493.27</v>
      </c>
      <c r="E861" s="742" t="s">
        <v>522</v>
      </c>
      <c r="F861" s="663">
        <f t="shared" si="33"/>
        <v>0</v>
      </c>
      <c r="G861" s="675"/>
      <c r="H861" s="667">
        <f t="shared" si="34"/>
        <v>0</v>
      </c>
    </row>
    <row r="862" spans="1:8" s="677" customFormat="1" ht="51" hidden="1" customHeight="1">
      <c r="A862" s="662"/>
      <c r="B862" s="666"/>
      <c r="C862" s="663" t="s">
        <v>170</v>
      </c>
      <c r="D862" s="739">
        <f>'[14]  Coastal  Elec.Data '!K2884</f>
        <v>1496.32</v>
      </c>
      <c r="E862" s="742" t="s">
        <v>522</v>
      </c>
      <c r="F862" s="663">
        <f t="shared" si="33"/>
        <v>0</v>
      </c>
      <c r="G862" s="675"/>
      <c r="H862" s="667">
        <f t="shared" si="34"/>
        <v>0</v>
      </c>
    </row>
    <row r="863" spans="1:8" s="677" customFormat="1" ht="51" hidden="1" customHeight="1">
      <c r="A863" s="690"/>
      <c r="B863" s="666"/>
      <c r="C863" s="663" t="s">
        <v>1591</v>
      </c>
      <c r="D863" s="739">
        <f>'[14]  Coastal  Elec.Data '!K2899</f>
        <v>1526.05</v>
      </c>
      <c r="E863" s="742" t="s">
        <v>522</v>
      </c>
      <c r="F863" s="663">
        <f t="shared" si="33"/>
        <v>0</v>
      </c>
      <c r="G863" s="675"/>
      <c r="H863" s="667">
        <f t="shared" si="34"/>
        <v>0</v>
      </c>
    </row>
    <row r="864" spans="1:8" s="677" customFormat="1" ht="108" hidden="1" customHeight="1">
      <c r="A864" s="662"/>
      <c r="B864" s="666"/>
      <c r="C864" s="663" t="s">
        <v>1906</v>
      </c>
      <c r="D864" s="739">
        <f>'[14]  Coastal  Elec.Data '!K2921</f>
        <v>1547.28</v>
      </c>
      <c r="E864" s="742" t="s">
        <v>522</v>
      </c>
      <c r="F864" s="663">
        <f t="shared" si="33"/>
        <v>0</v>
      </c>
      <c r="G864" s="675"/>
      <c r="H864" s="667">
        <f t="shared" si="34"/>
        <v>0</v>
      </c>
    </row>
    <row r="865" spans="1:8" s="677" customFormat="1" ht="105" hidden="1" customHeight="1">
      <c r="A865" s="662"/>
      <c r="B865" s="666"/>
      <c r="C865" s="663" t="s">
        <v>1907</v>
      </c>
      <c r="D865" s="739">
        <f>'[14]  Coastal  Elec.Data '!K2945</f>
        <v>2795.01</v>
      </c>
      <c r="E865" s="742" t="s">
        <v>522</v>
      </c>
      <c r="F865" s="663">
        <f t="shared" si="33"/>
        <v>0</v>
      </c>
      <c r="G865" s="675"/>
      <c r="H865" s="667">
        <f t="shared" si="34"/>
        <v>0</v>
      </c>
    </row>
    <row r="866" spans="1:8" s="677" customFormat="1" ht="113.25" hidden="1" customHeight="1">
      <c r="A866" s="662">
        <v>67.099999999999994</v>
      </c>
      <c r="B866" s="666"/>
      <c r="C866" s="663" t="s">
        <v>1727</v>
      </c>
      <c r="D866" s="739">
        <f>'[14]  Coastal  Elec.Data '!K2977</f>
        <v>764.91</v>
      </c>
      <c r="E866" s="742" t="s">
        <v>522</v>
      </c>
      <c r="F866" s="663">
        <f t="shared" si="33"/>
        <v>0</v>
      </c>
      <c r="G866" s="675"/>
      <c r="H866" s="667">
        <f t="shared" si="34"/>
        <v>0</v>
      </c>
    </row>
    <row r="867" spans="1:8" s="677" customFormat="1" ht="126" hidden="1" customHeight="1">
      <c r="A867" s="662"/>
      <c r="B867" s="666"/>
      <c r="C867" s="663" t="s">
        <v>1908</v>
      </c>
      <c r="D867" s="739">
        <f>'[14]  Coastal  Elec.Data '!K2965</f>
        <v>1037.46</v>
      </c>
      <c r="E867" s="742" t="s">
        <v>522</v>
      </c>
      <c r="F867" s="663">
        <f t="shared" si="33"/>
        <v>0</v>
      </c>
      <c r="G867" s="675"/>
      <c r="H867" s="667">
        <f t="shared" si="34"/>
        <v>0</v>
      </c>
    </row>
    <row r="868" spans="1:8" s="677" customFormat="1" ht="59.25" hidden="1" customHeight="1">
      <c r="A868" s="662"/>
      <c r="B868" s="666"/>
      <c r="C868" s="663" t="s">
        <v>1909</v>
      </c>
      <c r="D868" s="739">
        <f>'[14]  Coastal  Elec.Data '!K2988</f>
        <v>133.5</v>
      </c>
      <c r="E868" s="742" t="s">
        <v>522</v>
      </c>
      <c r="F868" s="663">
        <f t="shared" si="33"/>
        <v>0</v>
      </c>
      <c r="G868" s="675"/>
      <c r="H868" s="667">
        <f t="shared" si="34"/>
        <v>0</v>
      </c>
    </row>
    <row r="869" spans="1:8" s="677" customFormat="1" ht="85.5" hidden="1" customHeight="1">
      <c r="A869" s="662"/>
      <c r="B869" s="666"/>
      <c r="C869" s="663" t="s">
        <v>1910</v>
      </c>
      <c r="D869" s="739">
        <f>[14]Data!R1609</f>
        <v>78609.3</v>
      </c>
      <c r="E869" s="674" t="s">
        <v>58</v>
      </c>
      <c r="F869" s="663">
        <f t="shared" si="33"/>
        <v>0</v>
      </c>
      <c r="G869" s="675"/>
      <c r="H869" s="667">
        <f t="shared" si="34"/>
        <v>0</v>
      </c>
    </row>
    <row r="870" spans="1:8" s="677" customFormat="1" ht="75" hidden="1" customHeight="1">
      <c r="A870" s="662"/>
      <c r="B870" s="666"/>
      <c r="C870" s="663" t="s">
        <v>1911</v>
      </c>
      <c r="D870" s="739">
        <f>[14]Data!R1640</f>
        <v>326.29000000000002</v>
      </c>
      <c r="E870" s="674" t="s">
        <v>61</v>
      </c>
      <c r="F870" s="663">
        <f t="shared" si="33"/>
        <v>0</v>
      </c>
      <c r="G870" s="675"/>
      <c r="H870" s="667">
        <f t="shared" si="34"/>
        <v>0</v>
      </c>
    </row>
    <row r="871" spans="1:8" s="677" customFormat="1" ht="54" hidden="1" customHeight="1">
      <c r="A871" s="662"/>
      <c r="B871" s="666"/>
      <c r="C871" s="685" t="s">
        <v>1912</v>
      </c>
      <c r="D871" s="739">
        <f>[14]Data!K2331</f>
        <v>33.229999999999997</v>
      </c>
      <c r="E871" s="674"/>
      <c r="F871" s="663">
        <f t="shared" si="33"/>
        <v>0</v>
      </c>
      <c r="G871" s="675"/>
      <c r="H871" s="667">
        <f t="shared" si="34"/>
        <v>0</v>
      </c>
    </row>
    <row r="872" spans="1:8" s="677" customFormat="1" ht="54" hidden="1" customHeight="1">
      <c r="A872" s="662"/>
      <c r="B872" s="666"/>
      <c r="C872" s="756" t="s">
        <v>1913</v>
      </c>
      <c r="D872" s="739"/>
      <c r="E872" s="674"/>
      <c r="F872" s="663">
        <f t="shared" si="33"/>
        <v>0</v>
      </c>
      <c r="G872" s="675"/>
      <c r="H872" s="667">
        <f t="shared" si="34"/>
        <v>0</v>
      </c>
    </row>
    <row r="873" spans="1:8" s="677" customFormat="1" ht="45" hidden="1" customHeight="1">
      <c r="A873" s="662"/>
      <c r="B873" s="666"/>
      <c r="C873" s="663" t="s">
        <v>1556</v>
      </c>
      <c r="D873" s="739">
        <f>[14]Data!K1890</f>
        <v>225.97</v>
      </c>
      <c r="E873" s="674" t="s">
        <v>61</v>
      </c>
      <c r="F873" s="663">
        <f t="shared" si="33"/>
        <v>0</v>
      </c>
      <c r="G873" s="675"/>
      <c r="H873" s="667">
        <f t="shared" si="34"/>
        <v>0</v>
      </c>
    </row>
    <row r="874" spans="1:8" s="677" customFormat="1" ht="45" hidden="1" customHeight="1">
      <c r="A874" s="662"/>
      <c r="B874" s="666"/>
      <c r="C874" s="663" t="s">
        <v>1557</v>
      </c>
      <c r="D874" s="739">
        <f>[14]Data!K1882</f>
        <v>208.73</v>
      </c>
      <c r="E874" s="674" t="s">
        <v>61</v>
      </c>
      <c r="F874" s="663">
        <f t="shared" si="33"/>
        <v>0</v>
      </c>
      <c r="G874" s="675"/>
      <c r="H874" s="667">
        <f t="shared" si="34"/>
        <v>0</v>
      </c>
    </row>
    <row r="875" spans="1:8" s="677" customFormat="1" ht="53.25" hidden="1" customHeight="1">
      <c r="A875" s="662"/>
      <c r="B875" s="666"/>
      <c r="C875" s="663" t="s">
        <v>1914</v>
      </c>
      <c r="D875" s="739">
        <f>[14]Data!K2767</f>
        <v>205.94</v>
      </c>
      <c r="E875" s="674" t="s">
        <v>61</v>
      </c>
      <c r="F875" s="663">
        <f t="shared" si="33"/>
        <v>0</v>
      </c>
      <c r="G875" s="675"/>
      <c r="H875" s="667">
        <f t="shared" si="34"/>
        <v>0</v>
      </c>
    </row>
    <row r="876" spans="1:8" s="677" customFormat="1" ht="21" hidden="1" customHeight="1">
      <c r="A876" s="662"/>
      <c r="B876" s="666"/>
      <c r="C876" s="756" t="s">
        <v>184</v>
      </c>
      <c r="D876" s="739">
        <f>[14]Data!K3648</f>
        <v>334.22</v>
      </c>
      <c r="E876" s="742" t="s">
        <v>37</v>
      </c>
      <c r="F876" s="663">
        <f t="shared" si="33"/>
        <v>0</v>
      </c>
      <c r="G876" s="675"/>
      <c r="H876" s="667">
        <f t="shared" si="34"/>
        <v>0</v>
      </c>
    </row>
    <row r="877" spans="1:8" ht="48.75" hidden="1" customHeight="1">
      <c r="A877" s="662"/>
      <c r="B877" s="666"/>
      <c r="C877" s="738" t="s">
        <v>1915</v>
      </c>
      <c r="D877" s="769">
        <f>[14]Data!AF3115</f>
        <v>467</v>
      </c>
      <c r="E877" s="751" t="s">
        <v>522</v>
      </c>
      <c r="F877" s="663">
        <f t="shared" si="33"/>
        <v>0</v>
      </c>
      <c r="G877" s="667"/>
      <c r="H877" s="667">
        <f t="shared" si="34"/>
        <v>0</v>
      </c>
    </row>
    <row r="878" spans="1:8" ht="48.75" hidden="1" customHeight="1">
      <c r="A878" s="662"/>
      <c r="B878" s="666"/>
      <c r="C878" s="738" t="s">
        <v>1916</v>
      </c>
      <c r="D878" s="769">
        <f>[14]Data!AH3115</f>
        <v>419</v>
      </c>
      <c r="E878" s="751" t="s">
        <v>522</v>
      </c>
      <c r="F878" s="663">
        <f t="shared" si="33"/>
        <v>0</v>
      </c>
      <c r="G878" s="667"/>
      <c r="H878" s="667">
        <f t="shared" si="34"/>
        <v>0</v>
      </c>
    </row>
    <row r="879" spans="1:8" s="677" customFormat="1" ht="25.5" hidden="1" customHeight="1">
      <c r="A879" s="662"/>
      <c r="B879" s="666"/>
      <c r="C879" s="663" t="s">
        <v>1917</v>
      </c>
      <c r="D879" s="739">
        <v>51.4</v>
      </c>
      <c r="E879" s="766" t="s">
        <v>165</v>
      </c>
      <c r="F879" s="663">
        <f t="shared" si="33"/>
        <v>0</v>
      </c>
      <c r="G879" s="675"/>
      <c r="H879" s="667">
        <f t="shared" si="34"/>
        <v>0</v>
      </c>
    </row>
    <row r="880" spans="1:8" s="677" customFormat="1" ht="46.5" hidden="1" customHeight="1">
      <c r="A880" s="662"/>
      <c r="B880" s="666"/>
      <c r="C880" s="663" t="s">
        <v>1918</v>
      </c>
      <c r="D880" s="739">
        <f>[14]Data!AD1229</f>
        <v>1322.54</v>
      </c>
      <c r="E880" s="742" t="s">
        <v>37</v>
      </c>
      <c r="F880" s="663">
        <f t="shared" si="33"/>
        <v>0</v>
      </c>
      <c r="G880" s="675"/>
      <c r="H880" s="667">
        <f t="shared" si="34"/>
        <v>0</v>
      </c>
    </row>
    <row r="881" spans="1:8" s="677" customFormat="1" ht="104.25" hidden="1" customHeight="1">
      <c r="A881" s="662"/>
      <c r="B881" s="666"/>
      <c r="C881" s="685" t="s">
        <v>1919</v>
      </c>
      <c r="D881" s="707"/>
      <c r="E881" s="772"/>
      <c r="F881" s="663">
        <f t="shared" si="33"/>
        <v>0</v>
      </c>
      <c r="G881" s="675"/>
      <c r="H881" s="667">
        <f t="shared" si="34"/>
        <v>0</v>
      </c>
    </row>
    <row r="882" spans="1:8" s="677" customFormat="1" ht="25.5" hidden="1" customHeight="1">
      <c r="A882" s="662"/>
      <c r="B882" s="666"/>
      <c r="C882" s="685" t="s">
        <v>1920</v>
      </c>
      <c r="D882" s="660">
        <f>'[14]pile data ( M20 grade)'!F17</f>
        <v>2977.36</v>
      </c>
      <c r="E882" s="674" t="s">
        <v>61</v>
      </c>
      <c r="F882" s="663">
        <f t="shared" si="33"/>
        <v>0</v>
      </c>
      <c r="G882" s="675"/>
      <c r="H882" s="667">
        <f t="shared" si="34"/>
        <v>0</v>
      </c>
    </row>
    <row r="883" spans="1:8" s="677" customFormat="1" ht="25.5" hidden="1" customHeight="1">
      <c r="A883" s="662"/>
      <c r="B883" s="666"/>
      <c r="C883" s="685" t="s">
        <v>1921</v>
      </c>
      <c r="D883" s="660">
        <f>'[14]pile data ( M20 grade)'!F81</f>
        <v>2644.2</v>
      </c>
      <c r="E883" s="674" t="s">
        <v>61</v>
      </c>
      <c r="F883" s="663">
        <f t="shared" si="33"/>
        <v>0</v>
      </c>
      <c r="G883" s="675"/>
      <c r="H883" s="667">
        <f t="shared" si="34"/>
        <v>0</v>
      </c>
    </row>
    <row r="884" spans="1:8" s="677" customFormat="1" ht="25.5" hidden="1" customHeight="1">
      <c r="A884" s="662"/>
      <c r="B884" s="666"/>
      <c r="C884" s="685" t="s">
        <v>1922</v>
      </c>
      <c r="D884" s="660">
        <f>'[14]pile data ( M20 grade)'!F141</f>
        <v>2345.71</v>
      </c>
      <c r="E884" s="674" t="s">
        <v>61</v>
      </c>
      <c r="F884" s="663">
        <f t="shared" si="33"/>
        <v>0</v>
      </c>
      <c r="G884" s="675"/>
      <c r="H884" s="667">
        <f t="shared" si="34"/>
        <v>0</v>
      </c>
    </row>
    <row r="885" spans="1:8" s="677" customFormat="1" ht="69.75" hidden="1" customHeight="1">
      <c r="A885" s="662"/>
      <c r="B885" s="666"/>
      <c r="C885" s="685" t="s">
        <v>1923</v>
      </c>
      <c r="D885" s="660">
        <f>'[11]pile data'!G83</f>
        <v>0</v>
      </c>
      <c r="E885" s="674"/>
      <c r="F885" s="663">
        <f t="shared" si="33"/>
        <v>0</v>
      </c>
      <c r="G885" s="675"/>
      <c r="H885" s="667">
        <f t="shared" ref="H885:H907" si="35">G885*D885</f>
        <v>0</v>
      </c>
    </row>
    <row r="886" spans="1:8" s="677" customFormat="1" ht="93" hidden="1" customHeight="1">
      <c r="A886" s="662"/>
      <c r="B886" s="666"/>
      <c r="C886" s="685" t="s">
        <v>1924</v>
      </c>
      <c r="D886" s="707"/>
      <c r="E886" s="772"/>
      <c r="F886" s="663">
        <f t="shared" si="33"/>
        <v>0</v>
      </c>
      <c r="G886" s="675"/>
      <c r="H886" s="667">
        <f t="shared" si="35"/>
        <v>0</v>
      </c>
    </row>
    <row r="887" spans="1:8" s="677" customFormat="1" ht="25.5" hidden="1" customHeight="1">
      <c r="A887" s="662"/>
      <c r="B887" s="666"/>
      <c r="C887" s="685" t="s">
        <v>1920</v>
      </c>
      <c r="D887" s="660">
        <f>'[14]pile data ( M20 grade)'!F28</f>
        <v>876.36</v>
      </c>
      <c r="E887" s="674" t="s">
        <v>61</v>
      </c>
      <c r="F887" s="663">
        <f t="shared" si="33"/>
        <v>0</v>
      </c>
      <c r="G887" s="675"/>
      <c r="H887" s="667">
        <f t="shared" si="35"/>
        <v>0</v>
      </c>
    </row>
    <row r="888" spans="1:8" s="677" customFormat="1" ht="25.5" hidden="1" customHeight="1">
      <c r="A888" s="662"/>
      <c r="B888" s="666"/>
      <c r="C888" s="685" t="s">
        <v>1921</v>
      </c>
      <c r="D888" s="660">
        <f>'[14]pile data ( M20 grade)'!F92</f>
        <v>710.92</v>
      </c>
      <c r="E888" s="674" t="s">
        <v>61</v>
      </c>
      <c r="F888" s="663">
        <f t="shared" si="33"/>
        <v>0</v>
      </c>
      <c r="G888" s="675"/>
      <c r="H888" s="667">
        <f t="shared" si="35"/>
        <v>0</v>
      </c>
    </row>
    <row r="889" spans="1:8" s="677" customFormat="1" ht="25.5" hidden="1" customHeight="1">
      <c r="A889" s="662"/>
      <c r="B889" s="666"/>
      <c r="C889" s="685" t="s">
        <v>1922</v>
      </c>
      <c r="D889" s="660">
        <f>'[14]pile data ( M20 grade)'!F152</f>
        <v>563.37</v>
      </c>
      <c r="E889" s="674" t="s">
        <v>61</v>
      </c>
      <c r="F889" s="663">
        <f t="shared" si="33"/>
        <v>0</v>
      </c>
      <c r="G889" s="675"/>
      <c r="H889" s="667">
        <f t="shared" si="35"/>
        <v>0</v>
      </c>
    </row>
    <row r="890" spans="1:8" s="677" customFormat="1" ht="93" hidden="1" customHeight="1">
      <c r="A890" s="662"/>
      <c r="B890" s="666"/>
      <c r="C890" s="685" t="s">
        <v>1925</v>
      </c>
      <c r="D890" s="660">
        <v>40000</v>
      </c>
      <c r="E890" s="674" t="s">
        <v>54</v>
      </c>
      <c r="F890" s="663">
        <f t="shared" si="33"/>
        <v>0</v>
      </c>
      <c r="G890" s="675"/>
      <c r="H890" s="667">
        <f t="shared" si="35"/>
        <v>0</v>
      </c>
    </row>
    <row r="891" spans="1:8" s="677" customFormat="1" ht="162.75" hidden="1" customHeight="1">
      <c r="A891" s="662"/>
      <c r="B891" s="666"/>
      <c r="C891" s="685" t="s">
        <v>1926</v>
      </c>
      <c r="D891" s="660">
        <v>70000</v>
      </c>
      <c r="E891" s="674" t="s">
        <v>54</v>
      </c>
      <c r="F891" s="663">
        <f t="shared" si="33"/>
        <v>0</v>
      </c>
      <c r="G891" s="675"/>
      <c r="H891" s="667">
        <f t="shared" si="35"/>
        <v>0</v>
      </c>
    </row>
    <row r="892" spans="1:8" s="677" customFormat="1" ht="39.75" hidden="1" customHeight="1">
      <c r="A892" s="662"/>
      <c r="B892" s="666"/>
      <c r="C892" s="663" t="s">
        <v>1927</v>
      </c>
      <c r="D892" s="739">
        <v>713.54</v>
      </c>
      <c r="E892" s="708" t="s">
        <v>37</v>
      </c>
      <c r="F892" s="663">
        <f t="shared" si="33"/>
        <v>0</v>
      </c>
      <c r="G892" s="675"/>
      <c r="H892" s="667">
        <f t="shared" si="35"/>
        <v>0</v>
      </c>
    </row>
    <row r="893" spans="1:8" s="677" customFormat="1" ht="93" hidden="1" customHeight="1">
      <c r="A893" s="662"/>
      <c r="B893" s="666"/>
      <c r="C893" s="685" t="s">
        <v>1928</v>
      </c>
      <c r="D893" s="773"/>
      <c r="E893" s="708"/>
      <c r="F893" s="663">
        <f t="shared" si="33"/>
        <v>0</v>
      </c>
      <c r="G893" s="675"/>
      <c r="H893" s="667">
        <f t="shared" si="35"/>
        <v>0</v>
      </c>
    </row>
    <row r="894" spans="1:8" s="677" customFormat="1" ht="25.5" hidden="1" customHeight="1">
      <c r="A894" s="662"/>
      <c r="B894" s="666"/>
      <c r="C894" s="708" t="s">
        <v>168</v>
      </c>
      <c r="D894" s="773">
        <f>[14]Elec.Data!K3815</f>
        <v>830.11</v>
      </c>
      <c r="E894" s="708" t="s">
        <v>522</v>
      </c>
      <c r="F894" s="663">
        <f t="shared" si="33"/>
        <v>0</v>
      </c>
      <c r="G894" s="675"/>
      <c r="H894" s="667">
        <f t="shared" si="35"/>
        <v>0</v>
      </c>
    </row>
    <row r="895" spans="1:8" s="677" customFormat="1" ht="25.5" hidden="1" customHeight="1">
      <c r="A895" s="662"/>
      <c r="B895" s="666"/>
      <c r="C895" s="708" t="s">
        <v>170</v>
      </c>
      <c r="D895" s="773">
        <f>[14]Elec.Data!K3841</f>
        <v>833.16</v>
      </c>
      <c r="E895" s="708" t="s">
        <v>522</v>
      </c>
      <c r="F895" s="663">
        <f t="shared" si="33"/>
        <v>0</v>
      </c>
      <c r="G895" s="675"/>
      <c r="H895" s="667">
        <f t="shared" si="35"/>
        <v>0</v>
      </c>
    </row>
    <row r="896" spans="1:8" s="677" customFormat="1" ht="87" hidden="1" customHeight="1">
      <c r="A896" s="662"/>
      <c r="B896" s="666"/>
      <c r="C896" s="708" t="s">
        <v>1929</v>
      </c>
      <c r="D896" s="773">
        <f>[14]Elec.Data!K3918</f>
        <v>638.45000000000005</v>
      </c>
      <c r="E896" s="708" t="s">
        <v>522</v>
      </c>
      <c r="F896" s="663">
        <f t="shared" si="33"/>
        <v>0</v>
      </c>
      <c r="G896" s="675"/>
      <c r="H896" s="667">
        <f t="shared" si="35"/>
        <v>0</v>
      </c>
    </row>
    <row r="897" spans="1:8" s="677" customFormat="1" ht="87" hidden="1" customHeight="1">
      <c r="A897" s="662"/>
      <c r="B897" s="666"/>
      <c r="C897" s="708" t="s">
        <v>1930</v>
      </c>
      <c r="D897" s="773">
        <f>[14]Elec.Data!K2977</f>
        <v>764.91</v>
      </c>
      <c r="E897" s="708" t="s">
        <v>522</v>
      </c>
      <c r="F897" s="663">
        <f t="shared" si="33"/>
        <v>0</v>
      </c>
      <c r="G897" s="675"/>
      <c r="H897" s="667">
        <f t="shared" si="35"/>
        <v>0</v>
      </c>
    </row>
    <row r="898" spans="1:8" s="677" customFormat="1" ht="65.25" hidden="1" customHeight="1">
      <c r="A898" s="662"/>
      <c r="B898" s="666"/>
      <c r="C898" s="774" t="s">
        <v>1931</v>
      </c>
      <c r="D898" s="775">
        <f>[14]Elec.Data!K3879</f>
        <v>917.46</v>
      </c>
      <c r="E898" s="776" t="s">
        <v>1790</v>
      </c>
      <c r="F898" s="663">
        <f t="shared" si="33"/>
        <v>0</v>
      </c>
      <c r="G898" s="675"/>
      <c r="H898" s="667">
        <f t="shared" si="35"/>
        <v>0</v>
      </c>
    </row>
    <row r="899" spans="1:8" s="677" customFormat="1" ht="43.5" hidden="1" customHeight="1">
      <c r="A899" s="662"/>
      <c r="B899" s="666"/>
      <c r="C899" s="708" t="s">
        <v>1932</v>
      </c>
      <c r="D899" s="775">
        <f>[14]Data!R2654</f>
        <v>6199.77</v>
      </c>
      <c r="E899" s="776" t="s">
        <v>37</v>
      </c>
      <c r="F899" s="663">
        <f t="shared" si="33"/>
        <v>0</v>
      </c>
      <c r="G899" s="675"/>
      <c r="H899" s="667">
        <f t="shared" si="35"/>
        <v>0</v>
      </c>
    </row>
    <row r="900" spans="1:8" s="677" customFormat="1" ht="26.25" hidden="1" customHeight="1">
      <c r="A900" s="662"/>
      <c r="B900" s="666"/>
      <c r="C900" s="663" t="s">
        <v>1933</v>
      </c>
      <c r="D900" s="775">
        <f>[14]Data!K3738</f>
        <v>82.53</v>
      </c>
      <c r="E900" s="674" t="s">
        <v>37</v>
      </c>
      <c r="F900" s="663">
        <f t="shared" si="33"/>
        <v>0</v>
      </c>
      <c r="G900" s="675"/>
      <c r="H900" s="667">
        <f t="shared" si="35"/>
        <v>0</v>
      </c>
    </row>
    <row r="901" spans="1:8" s="677" customFormat="1" ht="54" hidden="1" customHeight="1">
      <c r="A901" s="662"/>
      <c r="B901" s="666"/>
      <c r="C901" s="777" t="s">
        <v>1934</v>
      </c>
      <c r="D901" s="775">
        <f>[14]Data!K3792</f>
        <v>3709.53</v>
      </c>
      <c r="E901" s="778" t="s">
        <v>37</v>
      </c>
      <c r="F901" s="663">
        <f t="shared" si="33"/>
        <v>0</v>
      </c>
      <c r="G901" s="675"/>
      <c r="H901" s="667">
        <f t="shared" si="35"/>
        <v>0</v>
      </c>
    </row>
    <row r="902" spans="1:8" s="677" customFormat="1" ht="72" hidden="1" customHeight="1">
      <c r="A902" s="662"/>
      <c r="B902" s="666"/>
      <c r="C902" s="777" t="s">
        <v>1935</v>
      </c>
      <c r="D902" s="775">
        <f>[14]Data!X3668</f>
        <v>5543.77</v>
      </c>
      <c r="E902" s="778" t="s">
        <v>37</v>
      </c>
      <c r="F902" s="663">
        <f t="shared" si="33"/>
        <v>0</v>
      </c>
      <c r="G902" s="675"/>
      <c r="H902" s="667">
        <f t="shared" si="35"/>
        <v>0</v>
      </c>
    </row>
    <row r="903" spans="1:8" s="677" customFormat="1" ht="69" hidden="1" customHeight="1">
      <c r="A903" s="662"/>
      <c r="B903" s="666"/>
      <c r="C903" s="777" t="s">
        <v>1936</v>
      </c>
      <c r="D903" s="775">
        <f>[14]Data!X3696</f>
        <v>7170.69</v>
      </c>
      <c r="E903" s="778" t="s">
        <v>37</v>
      </c>
      <c r="F903" s="663">
        <f t="shared" si="33"/>
        <v>0</v>
      </c>
      <c r="G903" s="675"/>
      <c r="H903" s="667">
        <f t="shared" si="35"/>
        <v>0</v>
      </c>
    </row>
    <row r="904" spans="1:8" s="677" customFormat="1" ht="66" hidden="1" customHeight="1">
      <c r="A904" s="662"/>
      <c r="B904" s="666"/>
      <c r="C904" s="777" t="s">
        <v>1937</v>
      </c>
      <c r="D904" s="775">
        <f>[14]Data!K3837</f>
        <v>1269.1600000000001</v>
      </c>
      <c r="E904" s="776" t="s">
        <v>37</v>
      </c>
      <c r="F904" s="663">
        <f t="shared" si="33"/>
        <v>0</v>
      </c>
      <c r="G904" s="675"/>
      <c r="H904" s="667">
        <f t="shared" si="35"/>
        <v>0</v>
      </c>
    </row>
    <row r="905" spans="1:8" s="677" customFormat="1" ht="76.5" hidden="1" customHeight="1">
      <c r="A905" s="662"/>
      <c r="B905" s="666"/>
      <c r="C905" s="743" t="s">
        <v>1938</v>
      </c>
      <c r="D905" s="775">
        <f>[14]Data!K3814</f>
        <v>1536.83</v>
      </c>
      <c r="E905" s="776" t="s">
        <v>37</v>
      </c>
      <c r="F905" s="663">
        <f t="shared" si="33"/>
        <v>0</v>
      </c>
      <c r="G905" s="675"/>
      <c r="H905" s="667">
        <f t="shared" si="35"/>
        <v>0</v>
      </c>
    </row>
    <row r="906" spans="1:8" s="677" customFormat="1" ht="129" hidden="1" customHeight="1">
      <c r="A906" s="662"/>
      <c r="B906" s="666"/>
      <c r="C906" s="663" t="s">
        <v>1939</v>
      </c>
      <c r="D906" s="771">
        <v>1692</v>
      </c>
      <c r="E906" s="779" t="s">
        <v>522</v>
      </c>
      <c r="F906" s="663">
        <f t="shared" si="33"/>
        <v>0</v>
      </c>
      <c r="G906" s="667"/>
      <c r="H906" s="667">
        <f t="shared" si="35"/>
        <v>0</v>
      </c>
    </row>
    <row r="907" spans="1:8" s="677" customFormat="1" ht="94.5" hidden="1" customHeight="1">
      <c r="A907" s="662"/>
      <c r="B907" s="666"/>
      <c r="C907" s="780" t="s">
        <v>1940</v>
      </c>
      <c r="D907" s="781">
        <f>[14]Elec.Data!K4087</f>
        <v>34310</v>
      </c>
      <c r="E907" s="780" t="s">
        <v>522</v>
      </c>
      <c r="F907" s="663">
        <f t="shared" si="33"/>
        <v>0</v>
      </c>
      <c r="G907" s="675"/>
      <c r="H907" s="667">
        <f t="shared" si="35"/>
        <v>0</v>
      </c>
    </row>
    <row r="908" spans="1:8" s="677" customFormat="1" ht="89.25" hidden="1" customHeight="1">
      <c r="A908" s="662"/>
      <c r="B908" s="666"/>
      <c r="C908" s="674" t="s">
        <v>1941</v>
      </c>
      <c r="D908" s="781">
        <v>8100</v>
      </c>
      <c r="E908" s="780" t="s">
        <v>522</v>
      </c>
      <c r="F908" s="663">
        <f t="shared" si="33"/>
        <v>0</v>
      </c>
      <c r="G908" s="675"/>
      <c r="H908" s="667"/>
    </row>
    <row r="909" spans="1:8" ht="117.75" customHeight="1">
      <c r="A909" s="673"/>
      <c r="B909" s="666">
        <v>237.21999999999997</v>
      </c>
      <c r="C909" s="674" t="s">
        <v>1942</v>
      </c>
      <c r="D909" s="660">
        <v>829</v>
      </c>
      <c r="E909" s="742" t="s">
        <v>522</v>
      </c>
      <c r="F909" s="663">
        <f t="shared" si="33"/>
        <v>196655.37999999998</v>
      </c>
      <c r="G909" s="675">
        <f>'PAVER ROAD'!$G$48</f>
        <v>237.21999999999997</v>
      </c>
      <c r="H909" s="667">
        <f t="shared" ref="H909:H915" si="36">G909*D909</f>
        <v>196655.37999999998</v>
      </c>
    </row>
    <row r="910" spans="1:8" s="677" customFormat="1" ht="45" hidden="1" customHeight="1">
      <c r="A910" s="662"/>
      <c r="B910" s="666"/>
      <c r="C910" s="782" t="s">
        <v>1943</v>
      </c>
      <c r="D910" s="783">
        <f>[14]Elec.Data!R3646</f>
        <v>8624.34</v>
      </c>
      <c r="E910" s="780" t="s">
        <v>522</v>
      </c>
      <c r="F910" s="663">
        <f t="shared" si="33"/>
        <v>0</v>
      </c>
      <c r="G910" s="675"/>
      <c r="H910" s="667">
        <f t="shared" si="36"/>
        <v>0</v>
      </c>
    </row>
    <row r="911" spans="1:8" s="677" customFormat="1" ht="111" hidden="1" customHeight="1">
      <c r="A911" s="673">
        <v>21.6</v>
      </c>
      <c r="B911" s="666"/>
      <c r="C911" s="695" t="s">
        <v>1944</v>
      </c>
      <c r="D911" s="675"/>
      <c r="E911" s="674"/>
      <c r="F911" s="663">
        <f t="shared" si="33"/>
        <v>0</v>
      </c>
      <c r="G911" s="675"/>
      <c r="H911" s="667">
        <f t="shared" si="36"/>
        <v>0</v>
      </c>
    </row>
    <row r="912" spans="1:8" s="677" customFormat="1" ht="45" hidden="1" customHeight="1">
      <c r="A912" s="784"/>
      <c r="B912" s="666"/>
      <c r="C912" s="674" t="s">
        <v>1473</v>
      </c>
      <c r="D912" s="675">
        <f>[14]Data!K3950</f>
        <v>2468.8000000000002</v>
      </c>
      <c r="E912" s="674" t="s">
        <v>522</v>
      </c>
      <c r="F912" s="663">
        <f t="shared" si="33"/>
        <v>0</v>
      </c>
      <c r="G912" s="675"/>
      <c r="H912" s="667">
        <f t="shared" si="36"/>
        <v>0</v>
      </c>
    </row>
    <row r="913" spans="1:8" s="677" customFormat="1" ht="45" hidden="1" customHeight="1">
      <c r="A913" s="700"/>
      <c r="B913" s="666"/>
      <c r="C913" s="663" t="s">
        <v>1678</v>
      </c>
      <c r="D913" s="675">
        <f>[14]Data!K3983</f>
        <v>2980.71</v>
      </c>
      <c r="E913" s="674" t="s">
        <v>522</v>
      </c>
      <c r="F913" s="663">
        <f t="shared" ref="F913:F915" si="37">B913*D913</f>
        <v>0</v>
      </c>
      <c r="G913" s="675"/>
      <c r="H913" s="667">
        <f t="shared" si="36"/>
        <v>0</v>
      </c>
    </row>
    <row r="914" spans="1:8" s="677" customFormat="1" ht="45" hidden="1" customHeight="1">
      <c r="A914" s="700"/>
      <c r="B914" s="666"/>
      <c r="C914" s="663" t="s">
        <v>1679</v>
      </c>
      <c r="D914" s="675">
        <f>[14]Data!K3966</f>
        <v>2433.96</v>
      </c>
      <c r="E914" s="674"/>
      <c r="F914" s="663">
        <f t="shared" si="37"/>
        <v>0</v>
      </c>
      <c r="G914" s="675"/>
      <c r="H914" s="667">
        <f t="shared" si="36"/>
        <v>0</v>
      </c>
    </row>
    <row r="915" spans="1:8" s="677" customFormat="1" ht="54.75" hidden="1" customHeight="1">
      <c r="A915" s="700"/>
      <c r="B915" s="666"/>
      <c r="C915" s="663" t="s">
        <v>1475</v>
      </c>
      <c r="D915" s="675">
        <f>[14]Data!K3932</f>
        <v>2489.5700000000002</v>
      </c>
      <c r="E915" s="674" t="s">
        <v>522</v>
      </c>
      <c r="F915" s="663">
        <f t="shared" si="37"/>
        <v>0</v>
      </c>
      <c r="G915" s="675"/>
      <c r="H915" s="667">
        <f t="shared" si="36"/>
        <v>0</v>
      </c>
    </row>
    <row r="916" spans="1:8" ht="75" customHeight="1">
      <c r="A916" s="690"/>
      <c r="B916" s="690"/>
      <c r="C916" s="685" t="s">
        <v>57</v>
      </c>
      <c r="D916" s="675">
        <f>ROUND([14]Data!K1206,2)</f>
        <v>0</v>
      </c>
      <c r="E916" s="674"/>
      <c r="F916" s="685">
        <f>SUM(F16:F915)</f>
        <v>242011.07977999997</v>
      </c>
      <c r="G916" s="786"/>
      <c r="H916" s="736">
        <f>SUM(H6:H915)</f>
        <v>242011.07977999997</v>
      </c>
    </row>
    <row r="917" spans="1:8" s="677" customFormat="1" ht="23.25" hidden="1">
      <c r="A917" s="787"/>
      <c r="B917" s="787"/>
      <c r="C917" s="788"/>
      <c r="D917" s="787"/>
      <c r="E917" s="789"/>
      <c r="F917" s="663">
        <f t="shared" ref="F917:F933" si="38">H917</f>
        <v>0</v>
      </c>
      <c r="G917" s="790"/>
      <c r="H917" s="667">
        <f t="shared" ref="H917:H948" si="39">G917*D917</f>
        <v>0</v>
      </c>
    </row>
    <row r="918" spans="1:8" s="677" customFormat="1" hidden="1">
      <c r="A918" s="787"/>
      <c r="B918" s="787"/>
      <c r="C918" s="663" t="s">
        <v>1867</v>
      </c>
      <c r="D918" s="690"/>
      <c r="E918" s="708" t="s">
        <v>522</v>
      </c>
      <c r="F918" s="663">
        <f t="shared" si="38"/>
        <v>0</v>
      </c>
      <c r="G918" s="675"/>
      <c r="H918" s="667">
        <f t="shared" si="39"/>
        <v>0</v>
      </c>
    </row>
    <row r="919" spans="1:8" s="677" customFormat="1" hidden="1">
      <c r="A919" s="787"/>
      <c r="B919" s="787"/>
      <c r="C919" s="663" t="s">
        <v>1868</v>
      </c>
      <c r="D919" s="690"/>
      <c r="E919" s="708" t="s">
        <v>522</v>
      </c>
      <c r="F919" s="663">
        <f t="shared" si="38"/>
        <v>0</v>
      </c>
      <c r="G919" s="675"/>
      <c r="H919" s="667">
        <f t="shared" si="39"/>
        <v>0</v>
      </c>
    </row>
    <row r="920" spans="1:8" s="677" customFormat="1" hidden="1">
      <c r="A920" s="787"/>
      <c r="B920" s="787"/>
      <c r="C920" s="663" t="s">
        <v>1871</v>
      </c>
      <c r="D920" s="690">
        <f>[14]Data!K2492</f>
        <v>4353.33</v>
      </c>
      <c r="E920" s="789" t="s">
        <v>37</v>
      </c>
      <c r="F920" s="663">
        <f t="shared" si="38"/>
        <v>0</v>
      </c>
      <c r="G920" s="675"/>
      <c r="H920" s="667">
        <f t="shared" si="39"/>
        <v>0</v>
      </c>
    </row>
    <row r="921" spans="1:8" s="677" customFormat="1" hidden="1">
      <c r="A921" s="787"/>
      <c r="B921" s="787"/>
      <c r="C921" s="663" t="s">
        <v>1872</v>
      </c>
      <c r="D921" s="690">
        <f>[14]Data!K2515</f>
        <v>4626.8100000000004</v>
      </c>
      <c r="E921" s="789" t="s">
        <v>37</v>
      </c>
      <c r="F921" s="663">
        <f t="shared" si="38"/>
        <v>0</v>
      </c>
      <c r="G921" s="675"/>
      <c r="H921" s="667">
        <f t="shared" si="39"/>
        <v>0</v>
      </c>
    </row>
    <row r="922" spans="1:8" s="677" customFormat="1" hidden="1">
      <c r="A922" s="787"/>
      <c r="B922" s="787"/>
      <c r="C922" s="663" t="s">
        <v>1873</v>
      </c>
      <c r="D922" s="690">
        <f>[14]Data!R2580</f>
        <v>3971.57</v>
      </c>
      <c r="E922" s="789" t="s">
        <v>37</v>
      </c>
      <c r="F922" s="663">
        <f t="shared" si="38"/>
        <v>0</v>
      </c>
      <c r="G922" s="675"/>
      <c r="H922" s="667">
        <f t="shared" si="39"/>
        <v>0</v>
      </c>
    </row>
    <row r="923" spans="1:8" s="677" customFormat="1" hidden="1">
      <c r="A923" s="787"/>
      <c r="B923" s="787"/>
      <c r="C923" s="663" t="s">
        <v>1870</v>
      </c>
      <c r="D923" s="690"/>
      <c r="E923" s="789" t="s">
        <v>37</v>
      </c>
      <c r="F923" s="663">
        <f t="shared" si="38"/>
        <v>0</v>
      </c>
      <c r="G923" s="675"/>
      <c r="H923" s="667">
        <f t="shared" si="39"/>
        <v>0</v>
      </c>
    </row>
    <row r="924" spans="1:8" s="677" customFormat="1" hidden="1">
      <c r="A924" s="787"/>
      <c r="B924" s="787"/>
      <c r="C924" s="663" t="s">
        <v>1958</v>
      </c>
      <c r="D924" s="690"/>
      <c r="E924" s="789" t="s">
        <v>37</v>
      </c>
      <c r="F924" s="663">
        <f t="shared" si="38"/>
        <v>0</v>
      </c>
      <c r="G924" s="675"/>
      <c r="H924" s="667">
        <f t="shared" si="39"/>
        <v>0</v>
      </c>
    </row>
    <row r="925" spans="1:8" s="677" customFormat="1" ht="46.5" hidden="1">
      <c r="A925" s="787"/>
      <c r="B925" s="787"/>
      <c r="C925" s="663" t="s">
        <v>1959</v>
      </c>
      <c r="D925" s="690"/>
      <c r="E925" s="789" t="s">
        <v>37</v>
      </c>
      <c r="F925" s="663">
        <f t="shared" si="38"/>
        <v>0</v>
      </c>
      <c r="G925" s="675"/>
      <c r="H925" s="667">
        <f t="shared" si="39"/>
        <v>0</v>
      </c>
    </row>
    <row r="926" spans="1:8" s="677" customFormat="1" ht="46.5" hidden="1">
      <c r="A926" s="787"/>
      <c r="B926" s="787"/>
      <c r="C926" s="663" t="s">
        <v>1960</v>
      </c>
      <c r="D926" s="690"/>
      <c r="E926" s="789" t="s">
        <v>37</v>
      </c>
      <c r="F926" s="663">
        <f t="shared" si="38"/>
        <v>0</v>
      </c>
      <c r="G926" s="675"/>
      <c r="H926" s="667">
        <f t="shared" si="39"/>
        <v>0</v>
      </c>
    </row>
    <row r="927" spans="1:8" s="677" customFormat="1" hidden="1">
      <c r="A927" s="787"/>
      <c r="B927" s="787"/>
      <c r="C927" s="663" t="s">
        <v>1961</v>
      </c>
      <c r="D927" s="690">
        <f>8.2*1500</f>
        <v>12299.999999999998</v>
      </c>
      <c r="E927" s="789" t="s">
        <v>522</v>
      </c>
      <c r="F927" s="663">
        <f t="shared" si="38"/>
        <v>0</v>
      </c>
      <c r="G927" s="675"/>
      <c r="H927" s="667">
        <f t="shared" si="39"/>
        <v>0</v>
      </c>
    </row>
    <row r="928" spans="1:8" s="677" customFormat="1" hidden="1">
      <c r="A928" s="787"/>
      <c r="B928" s="787"/>
      <c r="C928" s="663" t="s">
        <v>1962</v>
      </c>
      <c r="D928" s="690">
        <f>[14]Data!K2435</f>
        <v>1335.94</v>
      </c>
      <c r="E928" s="789" t="s">
        <v>37</v>
      </c>
      <c r="F928" s="663">
        <f t="shared" si="38"/>
        <v>0</v>
      </c>
      <c r="G928" s="675"/>
      <c r="H928" s="667">
        <f t="shared" si="39"/>
        <v>0</v>
      </c>
    </row>
    <row r="929" spans="1:8" s="677" customFormat="1" hidden="1">
      <c r="A929" s="787"/>
      <c r="B929" s="787"/>
      <c r="C929" s="663" t="s">
        <v>1767</v>
      </c>
      <c r="D929" s="690">
        <f>[14]Data!R1230</f>
        <v>1357.13</v>
      </c>
      <c r="E929" s="789" t="s">
        <v>37</v>
      </c>
      <c r="F929" s="663">
        <f t="shared" si="38"/>
        <v>0</v>
      </c>
      <c r="G929" s="675"/>
      <c r="H929" s="667">
        <f t="shared" si="39"/>
        <v>0</v>
      </c>
    </row>
    <row r="930" spans="1:8" s="677" customFormat="1" ht="23.25" hidden="1">
      <c r="A930" s="787"/>
      <c r="B930" s="787"/>
      <c r="C930" s="663" t="s">
        <v>1963</v>
      </c>
      <c r="D930" s="690">
        <f>[14]Data!R1272</f>
        <v>1152.25</v>
      </c>
      <c r="E930" s="789" t="s">
        <v>37</v>
      </c>
      <c r="F930" s="663">
        <f t="shared" si="38"/>
        <v>0</v>
      </c>
      <c r="G930" s="691"/>
      <c r="H930" s="667">
        <f t="shared" si="39"/>
        <v>0</v>
      </c>
    </row>
    <row r="931" spans="1:8" s="677" customFormat="1" ht="23.25" hidden="1">
      <c r="A931" s="787"/>
      <c r="B931" s="787"/>
      <c r="C931" s="663" t="s">
        <v>1964</v>
      </c>
      <c r="D931" s="690">
        <f>[14]Data!R2442</f>
        <v>1509.19</v>
      </c>
      <c r="E931" s="789" t="s">
        <v>37</v>
      </c>
      <c r="F931" s="663">
        <f t="shared" si="38"/>
        <v>0</v>
      </c>
      <c r="G931" s="691"/>
      <c r="H931" s="667">
        <f t="shared" si="39"/>
        <v>0</v>
      </c>
    </row>
    <row r="932" spans="1:8" s="677" customFormat="1" ht="23.25" hidden="1">
      <c r="A932" s="787"/>
      <c r="B932" s="787"/>
      <c r="C932" s="663" t="s">
        <v>1965</v>
      </c>
      <c r="D932" s="690">
        <f>[14]Data!AD1257</f>
        <v>1493.95</v>
      </c>
      <c r="E932" s="789" t="s">
        <v>37</v>
      </c>
      <c r="F932" s="663">
        <f t="shared" si="38"/>
        <v>0</v>
      </c>
      <c r="G932" s="691"/>
      <c r="H932" s="667">
        <f t="shared" si="39"/>
        <v>0</v>
      </c>
    </row>
    <row r="933" spans="1:8" s="677" customFormat="1" ht="23.25" hidden="1">
      <c r="A933" s="787"/>
      <c r="B933" s="787"/>
      <c r="C933" s="791" t="s">
        <v>1966</v>
      </c>
      <c r="D933" s="787">
        <f>[14]Data!K1442</f>
        <v>246.58</v>
      </c>
      <c r="E933" s="789" t="s">
        <v>37</v>
      </c>
      <c r="F933" s="663">
        <f t="shared" si="38"/>
        <v>0</v>
      </c>
      <c r="G933" s="691"/>
      <c r="H933" s="667">
        <f t="shared" si="39"/>
        <v>0</v>
      </c>
    </row>
    <row r="934" spans="1:8" s="677" customFormat="1" ht="23.25" hidden="1">
      <c r="A934" s="787"/>
      <c r="B934" s="787"/>
      <c r="C934" s="791" t="s">
        <v>1967</v>
      </c>
      <c r="D934" s="787">
        <f>5000*8.2</f>
        <v>41000</v>
      </c>
      <c r="E934" s="789" t="s">
        <v>522</v>
      </c>
      <c r="F934" s="663">
        <f t="shared" ref="F934:F974" si="40">H934</f>
        <v>0</v>
      </c>
      <c r="G934" s="691"/>
      <c r="H934" s="667">
        <f t="shared" si="39"/>
        <v>0</v>
      </c>
    </row>
    <row r="935" spans="1:8" s="677" customFormat="1" ht="23.25" hidden="1">
      <c r="A935" s="787"/>
      <c r="B935" s="787"/>
      <c r="C935" s="791" t="str">
        <f>[14]Data!O2626</f>
        <v>T.W DOOR SHUTTER TWO LEAVES(1200 X 2100 mm ) with Brass Fittings</v>
      </c>
      <c r="D935" s="787">
        <f>[14]Data!R2654</f>
        <v>6199.77</v>
      </c>
      <c r="E935" s="789" t="s">
        <v>37</v>
      </c>
      <c r="F935" s="663">
        <f t="shared" si="40"/>
        <v>0</v>
      </c>
      <c r="G935" s="691"/>
      <c r="H935" s="667">
        <f t="shared" si="39"/>
        <v>0</v>
      </c>
    </row>
    <row r="936" spans="1:8" s="677" customFormat="1" ht="23.25" hidden="1">
      <c r="A936" s="787"/>
      <c r="B936" s="787"/>
      <c r="C936" s="791" t="s">
        <v>1968</v>
      </c>
      <c r="D936" s="787">
        <f>[14]Data!R1124</f>
        <v>5040.1899999999996</v>
      </c>
      <c r="E936" s="789" t="s">
        <v>37</v>
      </c>
      <c r="F936" s="663">
        <f t="shared" si="40"/>
        <v>0</v>
      </c>
      <c r="G936" s="691"/>
      <c r="H936" s="667">
        <f t="shared" si="39"/>
        <v>0</v>
      </c>
    </row>
    <row r="937" spans="1:8" s="677" customFormat="1" ht="23.25" hidden="1">
      <c r="A937" s="787"/>
      <c r="B937" s="787"/>
      <c r="C937" s="791" t="s">
        <v>1969</v>
      </c>
      <c r="D937" s="787">
        <f>[14]Data!R3203</f>
        <v>6182.41</v>
      </c>
      <c r="E937" s="789" t="s">
        <v>37</v>
      </c>
      <c r="F937" s="663">
        <f t="shared" si="40"/>
        <v>0</v>
      </c>
      <c r="G937" s="691"/>
      <c r="H937" s="667">
        <f t="shared" si="39"/>
        <v>0</v>
      </c>
    </row>
    <row r="938" spans="1:8" s="677" customFormat="1" ht="23.25" hidden="1">
      <c r="A938" s="787"/>
      <c r="B938" s="787"/>
      <c r="C938" s="791" t="s">
        <v>1970</v>
      </c>
      <c r="D938" s="787">
        <f>[14]Data!R3272</f>
        <v>6164.11</v>
      </c>
      <c r="E938" s="789" t="s">
        <v>37</v>
      </c>
      <c r="F938" s="663">
        <f t="shared" si="40"/>
        <v>0</v>
      </c>
      <c r="G938" s="691"/>
      <c r="H938" s="667">
        <f t="shared" si="39"/>
        <v>0</v>
      </c>
    </row>
    <row r="939" spans="1:8" s="677" customFormat="1" ht="23.25" hidden="1">
      <c r="A939" s="787"/>
      <c r="B939" s="787"/>
      <c r="C939" s="791" t="s">
        <v>1971</v>
      </c>
      <c r="D939" s="787">
        <f>[14]Data!K3331</f>
        <v>4845.1099999999997</v>
      </c>
      <c r="E939" s="789" t="s">
        <v>37</v>
      </c>
      <c r="F939" s="663">
        <f t="shared" si="40"/>
        <v>0</v>
      </c>
      <c r="G939" s="691"/>
      <c r="H939" s="667">
        <f t="shared" si="39"/>
        <v>0</v>
      </c>
    </row>
    <row r="940" spans="1:8" s="677" customFormat="1" ht="69.75" hidden="1">
      <c r="A940" s="787"/>
      <c r="B940" s="787"/>
      <c r="C940" s="685" t="s">
        <v>1972</v>
      </c>
      <c r="D940" s="787">
        <f>[14]Data!R3339</f>
        <v>4942.12</v>
      </c>
      <c r="E940" s="789" t="s">
        <v>37</v>
      </c>
      <c r="F940" s="663">
        <f t="shared" si="40"/>
        <v>0</v>
      </c>
      <c r="G940" s="691"/>
      <c r="H940" s="667">
        <f t="shared" si="39"/>
        <v>0</v>
      </c>
    </row>
    <row r="941" spans="1:8" s="677" customFormat="1" ht="69.75" hidden="1">
      <c r="A941" s="787"/>
      <c r="B941" s="787"/>
      <c r="C941" s="685" t="s">
        <v>1973</v>
      </c>
      <c r="D941" s="787">
        <f>[14]Data!R3452</f>
        <v>5792.32</v>
      </c>
      <c r="E941" s="789" t="s">
        <v>37</v>
      </c>
      <c r="F941" s="663">
        <f t="shared" si="40"/>
        <v>0</v>
      </c>
      <c r="G941" s="691"/>
      <c r="H941" s="667">
        <f t="shared" si="39"/>
        <v>0</v>
      </c>
    </row>
    <row r="942" spans="1:8" s="677" customFormat="1" ht="46.5" hidden="1">
      <c r="A942" s="787"/>
      <c r="B942" s="787"/>
      <c r="C942" s="663" t="s">
        <v>1974</v>
      </c>
      <c r="D942" s="787">
        <f>[14]Data!K3434</f>
        <v>5051.6899999999996</v>
      </c>
      <c r="E942" s="789" t="s">
        <v>37</v>
      </c>
      <c r="F942" s="663">
        <f t="shared" si="40"/>
        <v>0</v>
      </c>
      <c r="G942" s="691"/>
      <c r="H942" s="667">
        <f t="shared" si="39"/>
        <v>0</v>
      </c>
    </row>
    <row r="943" spans="1:8" s="677" customFormat="1" ht="23.25" hidden="1">
      <c r="A943" s="787"/>
      <c r="B943" s="787"/>
      <c r="C943" s="791" t="s">
        <v>1975</v>
      </c>
      <c r="D943" s="787">
        <f>[14]Data!R3374</f>
        <v>5522.66</v>
      </c>
      <c r="E943" s="789" t="s">
        <v>37</v>
      </c>
      <c r="F943" s="663">
        <f t="shared" si="40"/>
        <v>0</v>
      </c>
      <c r="G943" s="691"/>
      <c r="H943" s="667">
        <f t="shared" si="39"/>
        <v>0</v>
      </c>
    </row>
    <row r="944" spans="1:8" s="677" customFormat="1" ht="23.25" hidden="1">
      <c r="A944" s="787"/>
      <c r="B944" s="787"/>
      <c r="C944" s="791" t="s">
        <v>1976</v>
      </c>
      <c r="D944" s="787">
        <f>[14]Data!R3408</f>
        <v>4897.2299999999996</v>
      </c>
      <c r="E944" s="789" t="s">
        <v>37</v>
      </c>
      <c r="F944" s="663">
        <f t="shared" si="40"/>
        <v>0</v>
      </c>
      <c r="G944" s="691"/>
      <c r="H944" s="667">
        <f t="shared" si="39"/>
        <v>0</v>
      </c>
    </row>
    <row r="945" spans="1:8" s="677" customFormat="1" ht="23.25" hidden="1">
      <c r="A945" s="787"/>
      <c r="B945" s="787"/>
      <c r="C945" s="791" t="s">
        <v>1977</v>
      </c>
      <c r="D945" s="787">
        <f>[14]Data!R3305</f>
        <v>5445.16</v>
      </c>
      <c r="E945" s="789" t="s">
        <v>37</v>
      </c>
      <c r="F945" s="663">
        <f t="shared" si="40"/>
        <v>0</v>
      </c>
      <c r="G945" s="691"/>
      <c r="H945" s="667">
        <f t="shared" si="39"/>
        <v>0</v>
      </c>
    </row>
    <row r="946" spans="1:8" s="677" customFormat="1" ht="23.25" hidden="1">
      <c r="A946" s="787"/>
      <c r="B946" s="787"/>
      <c r="C946" s="791" t="s">
        <v>1978</v>
      </c>
      <c r="D946" s="787">
        <f>[14]Data!R3339</f>
        <v>4942.12</v>
      </c>
      <c r="E946" s="789" t="s">
        <v>37</v>
      </c>
      <c r="F946" s="663">
        <f t="shared" si="40"/>
        <v>0</v>
      </c>
      <c r="G946" s="691"/>
      <c r="H946" s="667">
        <f t="shared" si="39"/>
        <v>0</v>
      </c>
    </row>
    <row r="947" spans="1:8" s="677" customFormat="1" ht="23.25" hidden="1">
      <c r="A947" s="787"/>
      <c r="B947" s="787"/>
      <c r="C947" s="791" t="s">
        <v>1979</v>
      </c>
      <c r="D947" s="787">
        <f>[14]Elec.Data!K3481</f>
        <v>1242.21</v>
      </c>
      <c r="E947" s="789" t="s">
        <v>522</v>
      </c>
      <c r="F947" s="663">
        <f t="shared" si="40"/>
        <v>0</v>
      </c>
      <c r="G947" s="691"/>
      <c r="H947" s="667">
        <f t="shared" si="39"/>
        <v>0</v>
      </c>
    </row>
    <row r="948" spans="1:8" s="677" customFormat="1" ht="23.25" hidden="1">
      <c r="A948" s="787"/>
      <c r="B948" s="787"/>
      <c r="C948" s="791" t="s">
        <v>584</v>
      </c>
      <c r="D948" s="787">
        <f>[14]Elec.Data!K3547</f>
        <v>165</v>
      </c>
      <c r="E948" s="789" t="s">
        <v>61</v>
      </c>
      <c r="F948" s="663">
        <f t="shared" si="40"/>
        <v>0</v>
      </c>
      <c r="G948" s="691"/>
      <c r="H948" s="667">
        <f t="shared" si="39"/>
        <v>0</v>
      </c>
    </row>
    <row r="949" spans="1:8" s="677" customFormat="1" ht="23.25" hidden="1">
      <c r="A949" s="787"/>
      <c r="B949" s="787"/>
      <c r="C949" s="747" t="s">
        <v>1980</v>
      </c>
      <c r="D949" s="787">
        <f>[14]Elec.Data!K3468</f>
        <v>2972.1</v>
      </c>
      <c r="E949" s="789" t="s">
        <v>522</v>
      </c>
      <c r="F949" s="663">
        <f t="shared" si="40"/>
        <v>0</v>
      </c>
      <c r="G949" s="691"/>
      <c r="H949" s="667">
        <f t="shared" ref="H949:H980" si="41">G949*D949</f>
        <v>0</v>
      </c>
    </row>
    <row r="950" spans="1:8" s="677" customFormat="1" ht="23.25" hidden="1">
      <c r="A950" s="787"/>
      <c r="B950" s="787"/>
      <c r="C950" s="791" t="s">
        <v>1981</v>
      </c>
      <c r="D950" s="787">
        <f>[14]Data!K2981</f>
        <v>2980.14</v>
      </c>
      <c r="E950" s="789" t="s">
        <v>37</v>
      </c>
      <c r="F950" s="663">
        <f t="shared" si="40"/>
        <v>0</v>
      </c>
      <c r="G950" s="691"/>
      <c r="H950" s="667">
        <f t="shared" si="41"/>
        <v>0</v>
      </c>
    </row>
    <row r="951" spans="1:8" s="677" customFormat="1" ht="23.25" hidden="1">
      <c r="A951" s="787"/>
      <c r="B951" s="787"/>
      <c r="C951" s="791" t="s">
        <v>1982</v>
      </c>
      <c r="D951" s="787">
        <f>[14]Data!K2845</f>
        <v>2937.59</v>
      </c>
      <c r="E951" s="789" t="s">
        <v>37</v>
      </c>
      <c r="F951" s="663">
        <f t="shared" si="40"/>
        <v>0</v>
      </c>
      <c r="G951" s="691"/>
      <c r="H951" s="667">
        <f t="shared" si="41"/>
        <v>0</v>
      </c>
    </row>
    <row r="952" spans="1:8" s="677" customFormat="1" ht="23.25" hidden="1">
      <c r="A952" s="787"/>
      <c r="B952" s="787"/>
      <c r="C952" s="791" t="s">
        <v>1983</v>
      </c>
      <c r="D952" s="787">
        <f>[14]Data!R2988</f>
        <v>2863.99</v>
      </c>
      <c r="E952" s="789" t="s">
        <v>37</v>
      </c>
      <c r="F952" s="663">
        <f t="shared" si="40"/>
        <v>0</v>
      </c>
      <c r="G952" s="691"/>
      <c r="H952" s="667">
        <f t="shared" si="41"/>
        <v>0</v>
      </c>
    </row>
    <row r="953" spans="1:8" s="677" customFormat="1" ht="23.25" hidden="1">
      <c r="A953" s="787"/>
      <c r="B953" s="787"/>
      <c r="C953" s="791" t="s">
        <v>1984</v>
      </c>
      <c r="D953" s="787">
        <f>[14]Data!K3085</f>
        <v>3082.51</v>
      </c>
      <c r="E953" s="789" t="s">
        <v>37</v>
      </c>
      <c r="F953" s="663">
        <f t="shared" si="40"/>
        <v>0</v>
      </c>
      <c r="G953" s="691"/>
      <c r="H953" s="667">
        <f t="shared" si="41"/>
        <v>0</v>
      </c>
    </row>
    <row r="954" spans="1:8" s="677" customFormat="1" ht="23.25" hidden="1">
      <c r="A954" s="787"/>
      <c r="B954" s="787"/>
      <c r="C954" s="791" t="s">
        <v>1985</v>
      </c>
      <c r="D954" s="787">
        <f>[14]Data!K3066</f>
        <v>3205.31</v>
      </c>
      <c r="E954" s="789" t="s">
        <v>37</v>
      </c>
      <c r="F954" s="663">
        <f t="shared" si="40"/>
        <v>0</v>
      </c>
      <c r="G954" s="691"/>
      <c r="H954" s="667">
        <f t="shared" si="41"/>
        <v>0</v>
      </c>
    </row>
    <row r="955" spans="1:8" s="677" customFormat="1" ht="23.25" hidden="1">
      <c r="A955" s="787"/>
      <c r="B955" s="787"/>
      <c r="C955" s="791" t="s">
        <v>1986</v>
      </c>
      <c r="D955" s="787">
        <f>[14]Data!R3073</f>
        <v>3027.67</v>
      </c>
      <c r="E955" s="789" t="s">
        <v>37</v>
      </c>
      <c r="F955" s="663">
        <f t="shared" si="40"/>
        <v>0</v>
      </c>
      <c r="G955" s="691"/>
      <c r="H955" s="667">
        <f t="shared" si="41"/>
        <v>0</v>
      </c>
    </row>
    <row r="956" spans="1:8" s="677" customFormat="1" ht="46.5" hidden="1">
      <c r="A956" s="787"/>
      <c r="B956" s="787"/>
      <c r="C956" s="792" t="s">
        <v>1987</v>
      </c>
      <c r="D956" s="787">
        <f>[14]Data!K2877</f>
        <v>2110.4899999999998</v>
      </c>
      <c r="E956" s="789" t="s">
        <v>37</v>
      </c>
      <c r="F956" s="663">
        <f t="shared" si="40"/>
        <v>0</v>
      </c>
      <c r="G956" s="691"/>
      <c r="H956" s="667">
        <f t="shared" si="41"/>
        <v>0</v>
      </c>
    </row>
    <row r="957" spans="1:8" s="677" customFormat="1" ht="23.25" hidden="1">
      <c r="A957" s="787"/>
      <c r="B957" s="787"/>
      <c r="C957" s="791" t="s">
        <v>1988</v>
      </c>
      <c r="D957" s="787">
        <f>[14]Data!K1154</f>
        <v>109.86</v>
      </c>
      <c r="E957" s="789"/>
      <c r="F957" s="663">
        <f t="shared" si="40"/>
        <v>0</v>
      </c>
      <c r="G957" s="691"/>
      <c r="H957" s="667">
        <f t="shared" si="41"/>
        <v>0</v>
      </c>
    </row>
    <row r="958" spans="1:8" s="677" customFormat="1" ht="23.25" hidden="1">
      <c r="A958" s="787"/>
      <c r="B958" s="787"/>
      <c r="C958" s="791" t="s">
        <v>1989</v>
      </c>
      <c r="D958" s="787">
        <f>[14]Data!K1167</f>
        <v>172.13</v>
      </c>
      <c r="E958" s="789"/>
      <c r="F958" s="663">
        <f t="shared" si="40"/>
        <v>0</v>
      </c>
      <c r="G958" s="691"/>
      <c r="H958" s="667">
        <f t="shared" si="41"/>
        <v>0</v>
      </c>
    </row>
    <row r="959" spans="1:8" s="677" customFormat="1" ht="23.25" hidden="1">
      <c r="A959" s="787"/>
      <c r="B959" s="787"/>
      <c r="C959" s="791" t="s">
        <v>1990</v>
      </c>
      <c r="D959" s="787">
        <f>[14]Data!K2448</f>
        <v>686.18</v>
      </c>
      <c r="E959" s="789"/>
      <c r="F959" s="663">
        <f t="shared" si="40"/>
        <v>0</v>
      </c>
      <c r="G959" s="691"/>
      <c r="H959" s="667">
        <f t="shared" si="41"/>
        <v>0</v>
      </c>
    </row>
    <row r="960" spans="1:8" s="677" customFormat="1" ht="23.25" hidden="1">
      <c r="A960" s="787"/>
      <c r="B960" s="787"/>
      <c r="C960" s="791" t="s">
        <v>1991</v>
      </c>
      <c r="D960" s="787">
        <f>[14]Data!K2798</f>
        <v>1539.23</v>
      </c>
      <c r="E960" s="789"/>
      <c r="F960" s="663">
        <f t="shared" si="40"/>
        <v>0</v>
      </c>
      <c r="G960" s="691"/>
      <c r="H960" s="667">
        <f t="shared" si="41"/>
        <v>0</v>
      </c>
    </row>
    <row r="961" spans="1:8" s="677" customFormat="1" ht="69.75" hidden="1">
      <c r="A961" s="787"/>
      <c r="B961" s="787"/>
      <c r="C961" s="792" t="s">
        <v>1992</v>
      </c>
      <c r="D961" s="787">
        <f>[14]Elec.Data!K3011</f>
        <v>2424.4299999999998</v>
      </c>
      <c r="E961" s="789"/>
      <c r="F961" s="663">
        <f t="shared" si="40"/>
        <v>0</v>
      </c>
      <c r="G961" s="691"/>
      <c r="H961" s="667">
        <f t="shared" si="41"/>
        <v>0</v>
      </c>
    </row>
    <row r="962" spans="1:8" s="677" customFormat="1" ht="69.75" hidden="1">
      <c r="A962" s="787"/>
      <c r="B962" s="787"/>
      <c r="C962" s="792" t="s">
        <v>1993</v>
      </c>
      <c r="D962" s="787">
        <f>[14]Elec.Data!K3023</f>
        <v>2425.48</v>
      </c>
      <c r="E962" s="789"/>
      <c r="F962" s="663">
        <f t="shared" si="40"/>
        <v>0</v>
      </c>
      <c r="G962" s="691"/>
      <c r="H962" s="667">
        <f t="shared" si="41"/>
        <v>0</v>
      </c>
    </row>
    <row r="963" spans="1:8" s="677" customFormat="1" ht="46.5" hidden="1">
      <c r="A963" s="787"/>
      <c r="B963" s="787"/>
      <c r="C963" s="792" t="s">
        <v>1994</v>
      </c>
      <c r="D963" s="787">
        <f>[14]Elec.Data!K3044</f>
        <v>2491.65</v>
      </c>
      <c r="E963" s="789"/>
      <c r="F963" s="663">
        <f t="shared" si="40"/>
        <v>0</v>
      </c>
      <c r="G963" s="691"/>
      <c r="H963" s="667">
        <f t="shared" si="41"/>
        <v>0</v>
      </c>
    </row>
    <row r="964" spans="1:8" s="677" customFormat="1" ht="69.75" hidden="1">
      <c r="A964" s="787"/>
      <c r="B964" s="787"/>
      <c r="C964" s="792" t="s">
        <v>1995</v>
      </c>
      <c r="D964" s="787">
        <f>[14]Elec.Data!K3063</f>
        <v>4553.6099999999997</v>
      </c>
      <c r="E964" s="789"/>
      <c r="F964" s="663">
        <f t="shared" si="40"/>
        <v>0</v>
      </c>
      <c r="G964" s="691"/>
      <c r="H964" s="667">
        <f t="shared" si="41"/>
        <v>0</v>
      </c>
    </row>
    <row r="965" spans="1:8" s="677" customFormat="1" ht="23.25" hidden="1">
      <c r="A965" s="787"/>
      <c r="B965" s="787"/>
      <c r="C965" s="792" t="s">
        <v>1996</v>
      </c>
      <c r="D965" s="787">
        <f>[14]Elec.Data!K3092</f>
        <v>209.78</v>
      </c>
      <c r="E965" s="789"/>
      <c r="F965" s="663">
        <f t="shared" si="40"/>
        <v>0</v>
      </c>
      <c r="G965" s="691"/>
      <c r="H965" s="667">
        <f t="shared" si="41"/>
        <v>0</v>
      </c>
    </row>
    <row r="966" spans="1:8" s="677" customFormat="1" ht="23.25" hidden="1">
      <c r="A966" s="787"/>
      <c r="B966" s="787"/>
      <c r="C966" s="792" t="s">
        <v>1997</v>
      </c>
      <c r="D966" s="787">
        <f>[14]Elec.Data!K3105</f>
        <v>246.68</v>
      </c>
      <c r="E966" s="789"/>
      <c r="F966" s="663">
        <f t="shared" si="40"/>
        <v>0</v>
      </c>
      <c r="G966" s="691"/>
      <c r="H966" s="667">
        <f t="shared" si="41"/>
        <v>0</v>
      </c>
    </row>
    <row r="967" spans="1:8" s="677" customFormat="1" ht="23.25" hidden="1">
      <c r="A967" s="787"/>
      <c r="B967" s="787"/>
      <c r="C967" s="792" t="s">
        <v>1998</v>
      </c>
      <c r="D967" s="787">
        <f>[14]Elec.Data!K3119</f>
        <v>368.57</v>
      </c>
      <c r="E967" s="789"/>
      <c r="F967" s="663">
        <f t="shared" si="40"/>
        <v>0</v>
      </c>
      <c r="G967" s="691"/>
      <c r="H967" s="667">
        <f t="shared" si="41"/>
        <v>0</v>
      </c>
    </row>
    <row r="968" spans="1:8" s="677" customFormat="1" ht="93" hidden="1">
      <c r="A968" s="787"/>
      <c r="B968" s="787"/>
      <c r="C968" s="792" t="s">
        <v>1999</v>
      </c>
      <c r="D968" s="787">
        <f>[14]Elec.Data!K3173</f>
        <v>1308</v>
      </c>
      <c r="E968" s="789"/>
      <c r="F968" s="663">
        <f t="shared" si="40"/>
        <v>0</v>
      </c>
      <c r="G968" s="691"/>
      <c r="H968" s="667">
        <f t="shared" si="41"/>
        <v>0</v>
      </c>
    </row>
    <row r="969" spans="1:8" s="677" customFormat="1" ht="93" hidden="1">
      <c r="A969" s="787"/>
      <c r="B969" s="787"/>
      <c r="C969" s="792" t="s">
        <v>2000</v>
      </c>
      <c r="D969" s="787">
        <f>[14]Elec.Data!K3184</f>
        <v>984.5</v>
      </c>
      <c r="E969" s="789"/>
      <c r="F969" s="663">
        <f t="shared" si="40"/>
        <v>0</v>
      </c>
      <c r="G969" s="691"/>
      <c r="H969" s="667">
        <f t="shared" si="41"/>
        <v>0</v>
      </c>
    </row>
    <row r="970" spans="1:8" s="677" customFormat="1" ht="69.75" hidden="1">
      <c r="A970" s="787"/>
      <c r="B970" s="787"/>
      <c r="C970" s="792" t="s">
        <v>2001</v>
      </c>
      <c r="D970" s="787">
        <f>[14]Elec.Data!K3195</f>
        <v>1662.67</v>
      </c>
      <c r="E970" s="789"/>
      <c r="F970" s="663">
        <f t="shared" si="40"/>
        <v>0</v>
      </c>
      <c r="G970" s="691"/>
      <c r="H970" s="667">
        <f t="shared" si="41"/>
        <v>0</v>
      </c>
    </row>
    <row r="971" spans="1:8" s="677" customFormat="1" ht="69.75" hidden="1">
      <c r="A971" s="787"/>
      <c r="B971" s="787"/>
      <c r="C971" s="792" t="s">
        <v>2002</v>
      </c>
      <c r="D971" s="787">
        <f>[14]Elec.Data!K3210</f>
        <v>2083.67</v>
      </c>
      <c r="E971" s="789"/>
      <c r="F971" s="663">
        <f t="shared" si="40"/>
        <v>0</v>
      </c>
      <c r="G971" s="691"/>
      <c r="H971" s="667">
        <f t="shared" si="41"/>
        <v>0</v>
      </c>
    </row>
    <row r="972" spans="1:8" s="677" customFormat="1" ht="116.25" hidden="1">
      <c r="A972" s="787"/>
      <c r="B972" s="787"/>
      <c r="C972" s="792" t="s">
        <v>2003</v>
      </c>
      <c r="D972" s="787">
        <f>[14]Elec.Data!K3233</f>
        <v>4116.8500000000004</v>
      </c>
      <c r="E972" s="789"/>
      <c r="F972" s="663">
        <f t="shared" si="40"/>
        <v>0</v>
      </c>
      <c r="G972" s="691"/>
      <c r="H972" s="667">
        <f t="shared" si="41"/>
        <v>0</v>
      </c>
    </row>
    <row r="973" spans="1:8" s="677" customFormat="1" ht="93" hidden="1">
      <c r="A973" s="787"/>
      <c r="B973" s="787"/>
      <c r="C973" s="792" t="s">
        <v>2004</v>
      </c>
      <c r="D973" s="787">
        <f>[14]Elec.Data!K3221</f>
        <v>3342.85</v>
      </c>
      <c r="E973" s="789"/>
      <c r="F973" s="663">
        <f t="shared" si="40"/>
        <v>0</v>
      </c>
      <c r="G973" s="691"/>
      <c r="H973" s="667">
        <f t="shared" si="41"/>
        <v>0</v>
      </c>
    </row>
    <row r="974" spans="1:8" s="677" customFormat="1" ht="46.5" hidden="1">
      <c r="A974" s="787"/>
      <c r="B974" s="787"/>
      <c r="C974" s="792" t="s">
        <v>2005</v>
      </c>
      <c r="D974" s="787">
        <f>[14]Elec.Data!K3244</f>
        <v>275.19</v>
      </c>
      <c r="E974" s="789"/>
      <c r="F974" s="663">
        <f t="shared" si="40"/>
        <v>0</v>
      </c>
      <c r="G974" s="691"/>
      <c r="H974" s="667">
        <f t="shared" si="41"/>
        <v>0</v>
      </c>
    </row>
    <row r="975" spans="1:8" s="677" customFormat="1" ht="46.5" hidden="1">
      <c r="A975" s="787"/>
      <c r="B975" s="787"/>
      <c r="C975" s="792" t="s">
        <v>2006</v>
      </c>
      <c r="D975" s="787">
        <f>[14]Elec.Data!K3262</f>
        <v>463.6</v>
      </c>
      <c r="E975" s="789"/>
      <c r="F975" s="789"/>
      <c r="G975" s="691"/>
      <c r="H975" s="667">
        <f t="shared" si="41"/>
        <v>0</v>
      </c>
    </row>
    <row r="976" spans="1:8" s="677" customFormat="1" ht="46.5" hidden="1">
      <c r="A976" s="787"/>
      <c r="B976" s="787"/>
      <c r="C976" s="792" t="s">
        <v>2007</v>
      </c>
      <c r="D976" s="787">
        <f>[14]Elec.Data!K3333</f>
        <v>361.01</v>
      </c>
      <c r="E976" s="789"/>
      <c r="F976" s="789"/>
      <c r="G976" s="691"/>
      <c r="H976" s="667">
        <f t="shared" si="41"/>
        <v>0</v>
      </c>
    </row>
    <row r="977" spans="1:8" s="677" customFormat="1" ht="46.5" hidden="1">
      <c r="A977" s="787"/>
      <c r="B977" s="787"/>
      <c r="C977" s="792" t="s">
        <v>2008</v>
      </c>
      <c r="D977" s="787">
        <f>[14]Elec.Data!K3348</f>
        <v>714.1</v>
      </c>
      <c r="E977" s="789"/>
      <c r="F977" s="789"/>
      <c r="G977" s="691"/>
      <c r="H977" s="667">
        <f t="shared" si="41"/>
        <v>0</v>
      </c>
    </row>
    <row r="978" spans="1:8" s="677" customFormat="1" ht="46.5" hidden="1">
      <c r="A978" s="787"/>
      <c r="B978" s="787"/>
      <c r="C978" s="792" t="s">
        <v>2009</v>
      </c>
      <c r="D978" s="787">
        <f>[14]Elec.Data!K3366</f>
        <v>449.93</v>
      </c>
      <c r="E978" s="789"/>
      <c r="F978" s="789"/>
      <c r="G978" s="691"/>
      <c r="H978" s="667">
        <f t="shared" si="41"/>
        <v>0</v>
      </c>
    </row>
    <row r="979" spans="1:8" s="677" customFormat="1" ht="46.5" hidden="1">
      <c r="A979" s="787"/>
      <c r="B979" s="787"/>
      <c r="C979" s="792" t="s">
        <v>2010</v>
      </c>
      <c r="D979" s="787">
        <f>[14]Elec.Data!K3379</f>
        <v>728.1</v>
      </c>
      <c r="E979" s="789"/>
      <c r="F979" s="789"/>
      <c r="G979" s="691"/>
      <c r="H979" s="667">
        <f t="shared" si="41"/>
        <v>0</v>
      </c>
    </row>
    <row r="980" spans="1:8" s="677" customFormat="1" ht="46.5" hidden="1">
      <c r="A980" s="787"/>
      <c r="B980" s="787"/>
      <c r="C980" s="792" t="s">
        <v>2011</v>
      </c>
      <c r="D980" s="787">
        <f>[14]Elec.Data!K3384</f>
        <v>1505</v>
      </c>
      <c r="E980" s="789"/>
      <c r="F980" s="789"/>
      <c r="G980" s="691"/>
      <c r="H980" s="667">
        <f t="shared" si="41"/>
        <v>0</v>
      </c>
    </row>
    <row r="981" spans="1:8" s="677" customFormat="1" ht="46.5" hidden="1">
      <c r="A981" s="787"/>
      <c r="B981" s="787"/>
      <c r="C981" s="792" t="s">
        <v>2012</v>
      </c>
      <c r="D981" s="787">
        <f>[14]Elec.Data!K3389</f>
        <v>1858</v>
      </c>
      <c r="E981" s="789"/>
      <c r="F981" s="789"/>
      <c r="G981" s="691"/>
      <c r="H981" s="667">
        <f t="shared" ref="H981:H1012" si="42">G981*D981</f>
        <v>0</v>
      </c>
    </row>
    <row r="982" spans="1:8" s="677" customFormat="1" ht="69.75" hidden="1">
      <c r="A982" s="787"/>
      <c r="B982" s="787"/>
      <c r="C982" s="792" t="s">
        <v>2013</v>
      </c>
      <c r="D982" s="787">
        <f>[14]Elec.Data!K3501</f>
        <v>142.97999999999999</v>
      </c>
      <c r="E982" s="789"/>
      <c r="F982" s="789"/>
      <c r="G982" s="691"/>
      <c r="H982" s="667">
        <f t="shared" si="42"/>
        <v>0</v>
      </c>
    </row>
    <row r="983" spans="1:8" s="677" customFormat="1" ht="69.75" hidden="1">
      <c r="A983" s="787"/>
      <c r="B983" s="787"/>
      <c r="C983" s="792" t="s">
        <v>2014</v>
      </c>
      <c r="D983" s="787">
        <f>[14]Elec.Data!K3539</f>
        <v>251.18</v>
      </c>
      <c r="E983" s="789"/>
      <c r="F983" s="789"/>
      <c r="G983" s="691"/>
      <c r="H983" s="667">
        <f t="shared" si="42"/>
        <v>0</v>
      </c>
    </row>
    <row r="984" spans="1:8" s="677" customFormat="1" ht="23.25" hidden="1">
      <c r="A984" s="787"/>
      <c r="B984" s="787"/>
      <c r="C984" s="792" t="s">
        <v>2015</v>
      </c>
      <c r="D984" s="787">
        <f>[14]Elec.Data!K3547</f>
        <v>165</v>
      </c>
      <c r="E984" s="789"/>
      <c r="F984" s="789"/>
      <c r="G984" s="691"/>
      <c r="H984" s="667">
        <f t="shared" si="42"/>
        <v>0</v>
      </c>
    </row>
    <row r="985" spans="1:8" s="677" customFormat="1" ht="23.25" hidden="1">
      <c r="A985" s="787"/>
      <c r="B985" s="787"/>
      <c r="C985" s="792" t="s">
        <v>2016</v>
      </c>
      <c r="D985" s="787">
        <f>[14]Elec.Data!K3567</f>
        <v>245.49</v>
      </c>
      <c r="E985" s="789"/>
      <c r="F985" s="789"/>
      <c r="G985" s="691"/>
      <c r="H985" s="667">
        <f t="shared" si="42"/>
        <v>0</v>
      </c>
    </row>
    <row r="986" spans="1:8" s="677" customFormat="1" ht="23.25" hidden="1">
      <c r="A986" s="787"/>
      <c r="B986" s="787"/>
      <c r="C986" s="792" t="s">
        <v>2017</v>
      </c>
      <c r="D986" s="787">
        <f>[14]Elec.Data!K3584</f>
        <v>150.69</v>
      </c>
      <c r="E986" s="789"/>
      <c r="F986" s="789"/>
      <c r="G986" s="691"/>
      <c r="H986" s="667">
        <f t="shared" si="42"/>
        <v>0</v>
      </c>
    </row>
    <row r="987" spans="1:8" s="677" customFormat="1" ht="23.25" hidden="1">
      <c r="A987" s="787"/>
      <c r="B987" s="787"/>
      <c r="C987" s="792" t="s">
        <v>2018</v>
      </c>
      <c r="D987" s="787">
        <f>[14]Elec.Data!K3619</f>
        <v>2092</v>
      </c>
      <c r="E987" s="789"/>
      <c r="F987" s="789"/>
      <c r="G987" s="691"/>
      <c r="H987" s="667">
        <f t="shared" si="42"/>
        <v>0</v>
      </c>
    </row>
    <row r="988" spans="1:8" s="677" customFormat="1" ht="116.25" hidden="1">
      <c r="A988" s="787"/>
      <c r="B988" s="787"/>
      <c r="C988" s="792" t="s">
        <v>2019</v>
      </c>
      <c r="D988" s="787">
        <f>[14]Elec.Data!K3650</f>
        <v>2207.4</v>
      </c>
      <c r="E988" s="789"/>
      <c r="F988" s="789"/>
      <c r="G988" s="691"/>
      <c r="H988" s="667">
        <f t="shared" si="42"/>
        <v>0</v>
      </c>
    </row>
    <row r="989" spans="1:8" s="677" customFormat="1" ht="46.5" hidden="1">
      <c r="A989" s="787"/>
      <c r="B989" s="787"/>
      <c r="C989" s="792" t="s">
        <v>2020</v>
      </c>
      <c r="D989" s="787">
        <f>[14]Elec.Data!K3676</f>
        <v>5045.38</v>
      </c>
      <c r="E989" s="789"/>
      <c r="F989" s="789"/>
      <c r="G989" s="691"/>
      <c r="H989" s="667">
        <f t="shared" si="42"/>
        <v>0</v>
      </c>
    </row>
    <row r="990" spans="1:8" s="677" customFormat="1" ht="46.5" hidden="1">
      <c r="A990" s="787"/>
      <c r="B990" s="787"/>
      <c r="C990" s="792" t="s">
        <v>2021</v>
      </c>
      <c r="D990" s="787">
        <f>[14]Elec.Data!K3695</f>
        <v>89.94</v>
      </c>
      <c r="E990" s="789"/>
      <c r="F990" s="789"/>
      <c r="G990" s="691"/>
      <c r="H990" s="667">
        <f t="shared" si="42"/>
        <v>0</v>
      </c>
    </row>
    <row r="991" spans="1:8" s="677" customFormat="1" ht="23.25" hidden="1">
      <c r="A991" s="787"/>
      <c r="B991" s="787"/>
      <c r="C991" s="792" t="s">
        <v>2022</v>
      </c>
      <c r="D991" s="787">
        <f>[14]Elec.Data!K3702</f>
        <v>54</v>
      </c>
      <c r="E991" s="789"/>
      <c r="F991" s="789"/>
      <c r="G991" s="691"/>
      <c r="H991" s="667">
        <f t="shared" si="42"/>
        <v>0</v>
      </c>
    </row>
    <row r="992" spans="1:8" s="677" customFormat="1" ht="93" hidden="1">
      <c r="A992" s="787"/>
      <c r="B992" s="787"/>
      <c r="C992" s="792" t="s">
        <v>2023</v>
      </c>
      <c r="D992" s="787">
        <f>[14]Elec.Data!K3727</f>
        <v>6840.4</v>
      </c>
      <c r="E992" s="789"/>
      <c r="F992" s="789"/>
      <c r="G992" s="691"/>
      <c r="H992" s="667">
        <f t="shared" si="42"/>
        <v>0</v>
      </c>
    </row>
    <row r="993" spans="1:8" s="677" customFormat="1" ht="23.25" hidden="1">
      <c r="A993" s="787"/>
      <c r="B993" s="787"/>
      <c r="C993" s="792" t="s">
        <v>2024</v>
      </c>
      <c r="D993" s="787">
        <f>[14]Elec.Data!K3774</f>
        <v>582.49</v>
      </c>
      <c r="E993" s="789"/>
      <c r="F993" s="789"/>
      <c r="G993" s="691"/>
      <c r="H993" s="667">
        <f t="shared" si="42"/>
        <v>0</v>
      </c>
    </row>
    <row r="994" spans="1:8" s="677" customFormat="1" ht="46.5" hidden="1">
      <c r="A994" s="787"/>
      <c r="B994" s="787"/>
      <c r="C994" s="793" t="s">
        <v>2025</v>
      </c>
      <c r="D994" s="787">
        <f>[14]Elec.Data!K3815</f>
        <v>830.11</v>
      </c>
      <c r="E994" s="789"/>
      <c r="F994" s="789"/>
      <c r="G994" s="691"/>
      <c r="H994" s="667">
        <f t="shared" si="42"/>
        <v>0</v>
      </c>
    </row>
    <row r="995" spans="1:8" s="677" customFormat="1" ht="46.5" hidden="1">
      <c r="A995" s="787"/>
      <c r="B995" s="787"/>
      <c r="C995" s="792" t="s">
        <v>2026</v>
      </c>
      <c r="D995" s="787">
        <f>[14]Elec.Data!K3841</f>
        <v>833.16</v>
      </c>
      <c r="E995" s="789"/>
      <c r="F995" s="789"/>
      <c r="G995" s="691"/>
      <c r="H995" s="667">
        <f t="shared" si="42"/>
        <v>0</v>
      </c>
    </row>
    <row r="996" spans="1:8" s="677" customFormat="1" ht="69.75" hidden="1">
      <c r="A996" s="787"/>
      <c r="B996" s="787"/>
      <c r="C996" s="793" t="s">
        <v>2027</v>
      </c>
      <c r="D996" s="787">
        <f>[14]Elec.Data!K3857</f>
        <v>871.29</v>
      </c>
      <c r="E996" s="789"/>
      <c r="F996" s="789"/>
      <c r="G996" s="691"/>
      <c r="H996" s="667">
        <f t="shared" si="42"/>
        <v>0</v>
      </c>
    </row>
    <row r="997" spans="1:8" s="677" customFormat="1" ht="46.5" hidden="1">
      <c r="A997" s="787"/>
      <c r="B997" s="787"/>
      <c r="C997" s="793" t="s">
        <v>2028</v>
      </c>
      <c r="D997" s="787">
        <f>[14]Elec.Data!K3879</f>
        <v>917.46</v>
      </c>
      <c r="E997" s="789"/>
      <c r="F997" s="789"/>
      <c r="G997" s="691"/>
      <c r="H997" s="667">
        <f t="shared" si="42"/>
        <v>0</v>
      </c>
    </row>
    <row r="998" spans="1:8" s="677" customFormat="1" ht="69.75" hidden="1">
      <c r="A998" s="787"/>
      <c r="B998" s="787"/>
      <c r="C998" s="793" t="s">
        <v>2029</v>
      </c>
      <c r="D998" s="787">
        <f>[14]Elec.Data!K3899</f>
        <v>1963.99</v>
      </c>
      <c r="E998" s="789"/>
      <c r="F998" s="789"/>
      <c r="G998" s="691"/>
      <c r="H998" s="667">
        <f t="shared" si="42"/>
        <v>0</v>
      </c>
    </row>
    <row r="999" spans="1:8" s="677" customFormat="1" ht="46.5" hidden="1">
      <c r="A999" s="787"/>
      <c r="B999" s="787"/>
      <c r="C999" s="793" t="s">
        <v>2030</v>
      </c>
      <c r="D999" s="787">
        <f>[14]Elec.Data!K3918</f>
        <v>638.45000000000005</v>
      </c>
      <c r="E999" s="789"/>
      <c r="F999" s="789"/>
      <c r="G999" s="691"/>
      <c r="H999" s="667">
        <f t="shared" si="42"/>
        <v>0</v>
      </c>
    </row>
    <row r="1000" spans="1:8" s="677" customFormat="1" ht="46.5" hidden="1">
      <c r="A1000" s="787"/>
      <c r="B1000" s="787"/>
      <c r="C1000" s="793" t="s">
        <v>2031</v>
      </c>
      <c r="D1000" s="787">
        <f>[14]Elec.Data!K3942</f>
        <v>119.23</v>
      </c>
      <c r="E1000" s="789"/>
      <c r="F1000" s="789"/>
      <c r="G1000" s="691"/>
      <c r="H1000" s="667">
        <f t="shared" si="42"/>
        <v>0</v>
      </c>
    </row>
    <row r="1001" spans="1:8" s="677" customFormat="1" ht="46.5" hidden="1">
      <c r="A1001" s="787"/>
      <c r="B1001" s="787"/>
      <c r="C1001" s="792" t="s">
        <v>2032</v>
      </c>
      <c r="D1001" s="787">
        <f>[14]Elec.Data!K3953</f>
        <v>136.43</v>
      </c>
      <c r="E1001" s="789"/>
      <c r="F1001" s="789"/>
      <c r="G1001" s="691"/>
      <c r="H1001" s="667">
        <f t="shared" si="42"/>
        <v>0</v>
      </c>
    </row>
    <row r="1002" spans="1:8" s="677" customFormat="1" ht="23.25" hidden="1">
      <c r="A1002" s="787"/>
      <c r="B1002" s="787"/>
      <c r="C1002" s="792" t="s">
        <v>2033</v>
      </c>
      <c r="D1002" s="787">
        <f>[14]Data!R384</f>
        <v>19.96</v>
      </c>
      <c r="E1002" s="789"/>
      <c r="F1002" s="789"/>
      <c r="G1002" s="691"/>
      <c r="H1002" s="667">
        <f t="shared" si="42"/>
        <v>0</v>
      </c>
    </row>
    <row r="1003" spans="1:8" s="677" customFormat="1" ht="23.25" hidden="1">
      <c r="A1003" s="787"/>
      <c r="B1003" s="787"/>
      <c r="C1003" s="792" t="s">
        <v>2034</v>
      </c>
      <c r="D1003" s="787">
        <f>D1002+D1005</f>
        <v>23.61</v>
      </c>
      <c r="E1003" s="789"/>
      <c r="F1003" s="789"/>
      <c r="G1003" s="691"/>
      <c r="H1003" s="667">
        <f t="shared" si="42"/>
        <v>0</v>
      </c>
    </row>
    <row r="1004" spans="1:8" s="677" customFormat="1" ht="23.25" hidden="1">
      <c r="A1004" s="787"/>
      <c r="B1004" s="787"/>
      <c r="C1004" s="792" t="s">
        <v>2035</v>
      </c>
      <c r="D1004" s="787">
        <f>[14]Data!R398</f>
        <v>29.07</v>
      </c>
      <c r="E1004" s="789"/>
      <c r="F1004" s="789"/>
      <c r="G1004" s="691"/>
      <c r="H1004" s="667">
        <f t="shared" si="42"/>
        <v>0</v>
      </c>
    </row>
    <row r="1005" spans="1:8" s="677" customFormat="1" ht="23.25" hidden="1">
      <c r="A1005" s="787"/>
      <c r="B1005" s="787"/>
      <c r="C1005" s="792" t="s">
        <v>2036</v>
      </c>
      <c r="D1005" s="787">
        <f>[14]Data!I3172</f>
        <v>3.65</v>
      </c>
      <c r="E1005" s="789"/>
      <c r="F1005" s="789"/>
      <c r="G1005" s="691"/>
      <c r="H1005" s="667">
        <f t="shared" si="42"/>
        <v>0</v>
      </c>
    </row>
    <row r="1006" spans="1:8" s="677" customFormat="1" ht="23.25" hidden="1">
      <c r="A1006" s="787"/>
      <c r="B1006" s="787"/>
      <c r="C1006" s="792" t="s">
        <v>2037</v>
      </c>
      <c r="D1006" s="787">
        <f>[14]Data!I3198</f>
        <v>7.9</v>
      </c>
      <c r="E1006" s="789"/>
      <c r="F1006" s="789"/>
      <c r="G1006" s="691"/>
      <c r="H1006" s="667">
        <f t="shared" si="42"/>
        <v>0</v>
      </c>
    </row>
    <row r="1007" spans="1:8" s="677" customFormat="1" ht="23.25" hidden="1">
      <c r="A1007" s="787"/>
      <c r="B1007" s="787"/>
      <c r="C1007" s="792" t="s">
        <v>2038</v>
      </c>
      <c r="D1007" s="787">
        <f>[14]Data!I3212</f>
        <v>8.5</v>
      </c>
      <c r="E1007" s="789"/>
      <c r="F1007" s="789"/>
      <c r="G1007" s="691"/>
      <c r="H1007" s="667">
        <f t="shared" si="42"/>
        <v>0</v>
      </c>
    </row>
    <row r="1008" spans="1:8" s="677" customFormat="1" ht="23.25" hidden="1">
      <c r="A1008" s="787"/>
      <c r="B1008" s="787"/>
      <c r="C1008" s="792" t="s">
        <v>2039</v>
      </c>
      <c r="D1008" s="787">
        <f>[14]Data!K3188</f>
        <v>62.39</v>
      </c>
      <c r="E1008" s="789"/>
      <c r="F1008" s="789"/>
      <c r="G1008" s="691"/>
      <c r="H1008" s="667">
        <f t="shared" si="42"/>
        <v>0</v>
      </c>
    </row>
    <row r="1009" spans="1:8" s="677" customFormat="1" ht="23.25" hidden="1">
      <c r="A1009" s="787"/>
      <c r="B1009" s="787"/>
      <c r="C1009" s="792" t="s">
        <v>2040</v>
      </c>
      <c r="D1009" s="787">
        <f>[14]Data!K3175</f>
        <v>119.16</v>
      </c>
      <c r="E1009" s="789"/>
      <c r="F1009" s="789"/>
      <c r="G1009" s="691"/>
      <c r="H1009" s="667">
        <f t="shared" si="42"/>
        <v>0</v>
      </c>
    </row>
    <row r="1010" spans="1:8" s="677" customFormat="1" ht="23.25" hidden="1">
      <c r="A1010" s="787"/>
      <c r="B1010" s="787"/>
      <c r="C1010" s="791" t="s">
        <v>2041</v>
      </c>
      <c r="D1010" s="787">
        <f>[14]Data!K3202</f>
        <v>81.27</v>
      </c>
      <c r="E1010" s="789"/>
      <c r="F1010" s="789"/>
      <c r="G1010" s="691"/>
      <c r="H1010" s="667">
        <f t="shared" si="42"/>
        <v>0</v>
      </c>
    </row>
    <row r="1011" spans="1:8" s="677" customFormat="1" ht="23.25" hidden="1">
      <c r="A1011" s="691"/>
      <c r="B1011" s="691"/>
      <c r="C1011" s="789" t="s">
        <v>2042</v>
      </c>
      <c r="D1011" s="691">
        <f>[14]Data!K3247</f>
        <v>125.87</v>
      </c>
      <c r="E1011" s="789"/>
      <c r="F1011" s="789"/>
      <c r="G1011" s="691"/>
      <c r="H1011" s="667">
        <f t="shared" si="42"/>
        <v>0</v>
      </c>
    </row>
    <row r="1012" spans="1:8" s="677" customFormat="1" ht="23.25" hidden="1">
      <c r="A1012" s="691"/>
      <c r="B1012" s="691"/>
      <c r="C1012" s="789" t="s">
        <v>2043</v>
      </c>
      <c r="D1012" s="691">
        <f>[14]Data!K3216</f>
        <v>88.28</v>
      </c>
      <c r="E1012" s="789"/>
      <c r="F1012" s="789"/>
      <c r="G1012" s="691"/>
      <c r="H1012" s="667">
        <f t="shared" si="42"/>
        <v>0</v>
      </c>
    </row>
    <row r="1013" spans="1:8" s="677" customFormat="1" ht="23.25" hidden="1">
      <c r="A1013" s="691"/>
      <c r="B1013" s="691"/>
      <c r="C1013" s="789" t="s">
        <v>2044</v>
      </c>
      <c r="D1013" s="691">
        <f>[14]Data!K3231</f>
        <v>144.25</v>
      </c>
      <c r="E1013" s="789"/>
      <c r="F1013" s="789"/>
      <c r="G1013" s="691"/>
      <c r="H1013" s="667">
        <f t="shared" ref="H1013:H1036" si="43">G1013*D1013</f>
        <v>0</v>
      </c>
    </row>
    <row r="1014" spans="1:8" s="677" customFormat="1" ht="23.25" hidden="1">
      <c r="A1014" s="691"/>
      <c r="B1014" s="691"/>
      <c r="C1014" s="789" t="s">
        <v>2045</v>
      </c>
      <c r="D1014" s="691">
        <f>[14]Data!K3275</f>
        <v>81.41</v>
      </c>
      <c r="E1014" s="789"/>
      <c r="F1014" s="789"/>
      <c r="G1014" s="691"/>
      <c r="H1014" s="667">
        <f t="shared" si="43"/>
        <v>0</v>
      </c>
    </row>
    <row r="1015" spans="1:8" s="677" customFormat="1" ht="23.25" hidden="1">
      <c r="A1015" s="691"/>
      <c r="B1015" s="691"/>
      <c r="C1015" s="789"/>
      <c r="D1015" s="691"/>
      <c r="E1015" s="789"/>
      <c r="F1015" s="789"/>
      <c r="G1015" s="691"/>
      <c r="H1015" s="667">
        <f t="shared" si="43"/>
        <v>0</v>
      </c>
    </row>
    <row r="1016" spans="1:8" s="677" customFormat="1" ht="23.25" hidden="1">
      <c r="A1016" s="691"/>
      <c r="B1016" s="691"/>
      <c r="C1016" s="789"/>
      <c r="D1016" s="691"/>
      <c r="E1016" s="789"/>
      <c r="F1016" s="789"/>
      <c r="G1016" s="691"/>
      <c r="H1016" s="667">
        <f t="shared" si="43"/>
        <v>0</v>
      </c>
    </row>
    <row r="1017" spans="1:8" s="677" customFormat="1" ht="23.25" hidden="1">
      <c r="A1017" s="691"/>
      <c r="B1017" s="691"/>
      <c r="C1017" s="789"/>
      <c r="D1017" s="691"/>
      <c r="E1017" s="789"/>
      <c r="F1017" s="789"/>
      <c r="G1017" s="691"/>
      <c r="H1017" s="667">
        <f t="shared" si="43"/>
        <v>0</v>
      </c>
    </row>
    <row r="1018" spans="1:8" s="677" customFormat="1" ht="23.25" hidden="1">
      <c r="A1018" s="691"/>
      <c r="B1018" s="691"/>
      <c r="C1018" s="789"/>
      <c r="D1018" s="691"/>
      <c r="E1018" s="789"/>
      <c r="F1018" s="789"/>
      <c r="G1018" s="691"/>
      <c r="H1018" s="667">
        <f t="shared" si="43"/>
        <v>0</v>
      </c>
    </row>
    <row r="1019" spans="1:8" s="677" customFormat="1" ht="23.25" hidden="1">
      <c r="A1019" s="691"/>
      <c r="B1019" s="691"/>
      <c r="C1019" s="789"/>
      <c r="D1019" s="691"/>
      <c r="E1019" s="789"/>
      <c r="F1019" s="789"/>
      <c r="G1019" s="691"/>
      <c r="H1019" s="667">
        <f t="shared" si="43"/>
        <v>0</v>
      </c>
    </row>
    <row r="1020" spans="1:8" s="677" customFormat="1" ht="23.25" hidden="1">
      <c r="A1020" s="691"/>
      <c r="B1020" s="691"/>
      <c r="C1020" s="789"/>
      <c r="D1020" s="691"/>
      <c r="E1020" s="789"/>
      <c r="F1020" s="789"/>
      <c r="G1020" s="691"/>
      <c r="H1020" s="667">
        <f t="shared" si="43"/>
        <v>0</v>
      </c>
    </row>
    <row r="1021" spans="1:8" s="677" customFormat="1" ht="23.25" hidden="1">
      <c r="A1021" s="691"/>
      <c r="B1021" s="691"/>
      <c r="C1021" s="789"/>
      <c r="D1021" s="691"/>
      <c r="E1021" s="789"/>
      <c r="F1021" s="789"/>
      <c r="G1021" s="691"/>
      <c r="H1021" s="667">
        <f t="shared" si="43"/>
        <v>0</v>
      </c>
    </row>
    <row r="1022" spans="1:8" s="677" customFormat="1" ht="23.25" hidden="1">
      <c r="A1022" s="691"/>
      <c r="B1022" s="691"/>
      <c r="C1022" s="789"/>
      <c r="D1022" s="691"/>
      <c r="E1022" s="789"/>
      <c r="F1022" s="789"/>
      <c r="G1022" s="691"/>
      <c r="H1022" s="667">
        <f t="shared" si="43"/>
        <v>0</v>
      </c>
    </row>
    <row r="1023" spans="1:8" s="677" customFormat="1" ht="23.25" hidden="1">
      <c r="A1023" s="691"/>
      <c r="B1023" s="691"/>
      <c r="C1023" s="789"/>
      <c r="D1023" s="691"/>
      <c r="E1023" s="789"/>
      <c r="F1023" s="789"/>
      <c r="G1023" s="691"/>
      <c r="H1023" s="667">
        <f t="shared" si="43"/>
        <v>0</v>
      </c>
    </row>
    <row r="1024" spans="1:8" s="677" customFormat="1" ht="23.25" hidden="1">
      <c r="A1024" s="691"/>
      <c r="B1024" s="691"/>
      <c r="C1024" s="789"/>
      <c r="D1024" s="691"/>
      <c r="E1024" s="789"/>
      <c r="F1024" s="789"/>
      <c r="G1024" s="691"/>
      <c r="H1024" s="667">
        <f t="shared" si="43"/>
        <v>0</v>
      </c>
    </row>
    <row r="1025" spans="8:8" hidden="1">
      <c r="H1025" s="667">
        <f t="shared" si="43"/>
        <v>0</v>
      </c>
    </row>
    <row r="1026" spans="8:8" hidden="1">
      <c r="H1026" s="667">
        <f t="shared" si="43"/>
        <v>0</v>
      </c>
    </row>
    <row r="1027" spans="8:8" hidden="1">
      <c r="H1027" s="667">
        <f t="shared" si="43"/>
        <v>0</v>
      </c>
    </row>
    <row r="1028" spans="8:8" hidden="1">
      <c r="H1028" s="667">
        <f t="shared" si="43"/>
        <v>0</v>
      </c>
    </row>
    <row r="1029" spans="8:8" hidden="1">
      <c r="H1029" s="667">
        <f t="shared" si="43"/>
        <v>0</v>
      </c>
    </row>
    <row r="1030" spans="8:8" hidden="1">
      <c r="H1030" s="667">
        <f t="shared" si="43"/>
        <v>0</v>
      </c>
    </row>
    <row r="1031" spans="8:8" hidden="1">
      <c r="H1031" s="667">
        <f t="shared" si="43"/>
        <v>0</v>
      </c>
    </row>
    <row r="1032" spans="8:8" hidden="1">
      <c r="H1032" s="667">
        <f t="shared" si="43"/>
        <v>0</v>
      </c>
    </row>
    <row r="1033" spans="8:8">
      <c r="H1033" s="667">
        <f t="shared" si="43"/>
        <v>0</v>
      </c>
    </row>
    <row r="1034" spans="8:8">
      <c r="H1034" s="667">
        <f t="shared" si="43"/>
        <v>0</v>
      </c>
    </row>
    <row r="1035" spans="8:8">
      <c r="H1035" s="667">
        <f t="shared" si="43"/>
        <v>0</v>
      </c>
    </row>
    <row r="1036" spans="8:8">
      <c r="H1036" s="667">
        <f t="shared" si="43"/>
        <v>0</v>
      </c>
    </row>
  </sheetData>
  <autoFilter ref="A5:N1042">
    <filterColumn colId="1"/>
    <filterColumn colId="5"/>
  </autoFilter>
  <mergeCells count="8">
    <mergeCell ref="G3:H3"/>
    <mergeCell ref="A1:F1"/>
    <mergeCell ref="A3:A4"/>
    <mergeCell ref="B3:B4"/>
    <mergeCell ref="C3:C4"/>
    <mergeCell ref="D3:D4"/>
    <mergeCell ref="E3:E4"/>
    <mergeCell ref="F3:F4"/>
  </mergeCells>
  <printOptions horizontalCentered="1"/>
  <pageMargins left="0.1" right="0.1" top="0.55118110236220497" bottom="0.55118110236220497" header="0.27559055118110198" footer="0.43307086614173201"/>
  <pageSetup paperSize="9" scale="58" orientation="portrait"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P25"/>
  <sheetViews>
    <sheetView showZeros="0" view="pageBreakPreview" zoomScale="50" zoomScaleNormal="40" zoomScaleSheetLayoutView="50" workbookViewId="0">
      <pane xSplit="5" ySplit="5" topLeftCell="F6" activePane="bottomRight" state="frozen"/>
      <selection pane="topRight" activeCell="E1" sqref="E1"/>
      <selection pane="bottomLeft" activeCell="A5" sqref="A5"/>
      <selection pane="bottomRight" activeCell="F19" sqref="F19"/>
    </sheetView>
  </sheetViews>
  <sheetFormatPr defaultRowHeight="25.5"/>
  <cols>
    <col min="1" max="1" width="10" style="794" customWidth="1"/>
    <col min="2" max="2" width="12.88671875" style="794" customWidth="1"/>
    <col min="3" max="3" width="64.44140625" style="795" customWidth="1"/>
    <col min="4" max="4" width="18.77734375" style="794" customWidth="1"/>
    <col min="5" max="5" width="11" style="795" customWidth="1"/>
    <col min="6" max="6" width="14.109375" style="795" customWidth="1"/>
    <col min="7" max="7" width="14.44140625" style="794" hidden="1" customWidth="1"/>
    <col min="8" max="8" width="18.21875" style="794" hidden="1" customWidth="1"/>
    <col min="9" max="12" width="17.44140625" style="794" hidden="1" customWidth="1"/>
    <col min="13" max="13" width="20.21875" style="669" bestFit="1" customWidth="1"/>
    <col min="14" max="14" width="25.6640625" style="669" customWidth="1"/>
    <col min="15" max="15" width="19.44140625" style="669" bestFit="1" customWidth="1"/>
    <col min="16" max="16" width="21.109375" style="669" bestFit="1" customWidth="1"/>
    <col min="17" max="17" width="15.88671875" style="670" bestFit="1" customWidth="1"/>
    <col min="18" max="18" width="8.88671875" style="670"/>
    <col min="19" max="19" width="13.44140625" style="670" bestFit="1" customWidth="1"/>
    <col min="20" max="20" width="8.88671875" style="670"/>
    <col min="21" max="21" width="11.77734375" style="670" bestFit="1" customWidth="1"/>
    <col min="22" max="23" width="8.88671875" style="670"/>
    <col min="24" max="24" width="11.6640625" style="670" bestFit="1" customWidth="1"/>
    <col min="25" max="222" width="8.88671875" style="670"/>
    <col min="223" max="223" width="10" style="670" customWidth="1"/>
    <col min="224" max="224" width="64.44140625" style="670" customWidth="1"/>
    <col min="225" max="225" width="18.77734375" style="670" customWidth="1"/>
    <col min="226" max="226" width="11" style="670" customWidth="1"/>
    <col min="227" max="227" width="14.6640625" style="670" customWidth="1"/>
    <col min="228" max="228" width="18.6640625" style="670" customWidth="1"/>
    <col min="229" max="229" width="14.44140625" style="670" customWidth="1"/>
    <col min="230" max="230" width="18.21875" style="670" customWidth="1"/>
    <col min="231" max="231" width="15.6640625" style="670" customWidth="1"/>
    <col min="232" max="232" width="17.44140625" style="670" customWidth="1"/>
    <col min="233" max="233" width="15.6640625" style="670" customWidth="1"/>
    <col min="234" max="234" width="17.44140625" style="670" customWidth="1"/>
    <col min="235" max="235" width="17" style="670" customWidth="1"/>
    <col min="236" max="238" width="17.44140625" style="670" customWidth="1"/>
    <col min="239" max="239" width="14.77734375" style="670" customWidth="1"/>
    <col min="240" max="265" width="17.44140625" style="670" customWidth="1"/>
    <col min="266" max="266" width="17.109375" style="670" customWidth="1"/>
    <col min="267" max="267" width="16.44140625" style="670" customWidth="1"/>
    <col min="268" max="268" width="18.6640625" style="670" customWidth="1"/>
    <col min="269" max="269" width="20.21875" style="670" bestFit="1" customWidth="1"/>
    <col min="270" max="270" width="25.6640625" style="670" customWidth="1"/>
    <col min="271" max="271" width="19.44140625" style="670" bestFit="1" customWidth="1"/>
    <col min="272" max="272" width="21.109375" style="670" bestFit="1" customWidth="1"/>
    <col min="273" max="273" width="15.88671875" style="670" bestFit="1" customWidth="1"/>
    <col min="274" max="274" width="8.88671875" style="670"/>
    <col min="275" max="275" width="13.44140625" style="670" bestFit="1" customWidth="1"/>
    <col min="276" max="276" width="8.88671875" style="670"/>
    <col min="277" max="277" width="11.77734375" style="670" bestFit="1" customWidth="1"/>
    <col min="278" max="279" width="8.88671875" style="670"/>
    <col min="280" max="280" width="11.6640625" style="670" bestFit="1" customWidth="1"/>
    <col min="281" max="478" width="8.88671875" style="670"/>
    <col min="479" max="479" width="10" style="670" customWidth="1"/>
    <col min="480" max="480" width="64.44140625" style="670" customWidth="1"/>
    <col min="481" max="481" width="18.77734375" style="670" customWidth="1"/>
    <col min="482" max="482" width="11" style="670" customWidth="1"/>
    <col min="483" max="483" width="14.6640625" style="670" customWidth="1"/>
    <col min="484" max="484" width="18.6640625" style="670" customWidth="1"/>
    <col min="485" max="485" width="14.44140625" style="670" customWidth="1"/>
    <col min="486" max="486" width="18.21875" style="670" customWidth="1"/>
    <col min="487" max="487" width="15.6640625" style="670" customWidth="1"/>
    <col min="488" max="488" width="17.44140625" style="670" customWidth="1"/>
    <col min="489" max="489" width="15.6640625" style="670" customWidth="1"/>
    <col min="490" max="490" width="17.44140625" style="670" customWidth="1"/>
    <col min="491" max="491" width="17" style="670" customWidth="1"/>
    <col min="492" max="494" width="17.44140625" style="670" customWidth="1"/>
    <col min="495" max="495" width="14.77734375" style="670" customWidth="1"/>
    <col min="496" max="521" width="17.44140625" style="670" customWidth="1"/>
    <col min="522" max="522" width="17.109375" style="670" customWidth="1"/>
    <col min="523" max="523" width="16.44140625" style="670" customWidth="1"/>
    <col min="524" max="524" width="18.6640625" style="670" customWidth="1"/>
    <col min="525" max="525" width="20.21875" style="670" bestFit="1" customWidth="1"/>
    <col min="526" max="526" width="25.6640625" style="670" customWidth="1"/>
    <col min="527" max="527" width="19.44140625" style="670" bestFit="1" customWidth="1"/>
    <col min="528" max="528" width="21.109375" style="670" bestFit="1" customWidth="1"/>
    <col min="529" max="529" width="15.88671875" style="670" bestFit="1" customWidth="1"/>
    <col min="530" max="530" width="8.88671875" style="670"/>
    <col min="531" max="531" width="13.44140625" style="670" bestFit="1" customWidth="1"/>
    <col min="532" max="532" width="8.88671875" style="670"/>
    <col min="533" max="533" width="11.77734375" style="670" bestFit="1" customWidth="1"/>
    <col min="534" max="535" width="8.88671875" style="670"/>
    <col min="536" max="536" width="11.6640625" style="670" bestFit="1" customWidth="1"/>
    <col min="537" max="734" width="8.88671875" style="670"/>
    <col min="735" max="735" width="10" style="670" customWidth="1"/>
    <col min="736" max="736" width="64.44140625" style="670" customWidth="1"/>
    <col min="737" max="737" width="18.77734375" style="670" customWidth="1"/>
    <col min="738" max="738" width="11" style="670" customWidth="1"/>
    <col min="739" max="739" width="14.6640625" style="670" customWidth="1"/>
    <col min="740" max="740" width="18.6640625" style="670" customWidth="1"/>
    <col min="741" max="741" width="14.44140625" style="670" customWidth="1"/>
    <col min="742" max="742" width="18.21875" style="670" customWidth="1"/>
    <col min="743" max="743" width="15.6640625" style="670" customWidth="1"/>
    <col min="744" max="744" width="17.44140625" style="670" customWidth="1"/>
    <col min="745" max="745" width="15.6640625" style="670" customWidth="1"/>
    <col min="746" max="746" width="17.44140625" style="670" customWidth="1"/>
    <col min="747" max="747" width="17" style="670" customWidth="1"/>
    <col min="748" max="750" width="17.44140625" style="670" customWidth="1"/>
    <col min="751" max="751" width="14.77734375" style="670" customWidth="1"/>
    <col min="752" max="777" width="17.44140625" style="670" customWidth="1"/>
    <col min="778" max="778" width="17.109375" style="670" customWidth="1"/>
    <col min="779" max="779" width="16.44140625" style="670" customWidth="1"/>
    <col min="780" max="780" width="18.6640625" style="670" customWidth="1"/>
    <col min="781" max="781" width="20.21875" style="670" bestFit="1" customWidth="1"/>
    <col min="782" max="782" width="25.6640625" style="670" customWidth="1"/>
    <col min="783" max="783" width="19.44140625" style="670" bestFit="1" customWidth="1"/>
    <col min="784" max="784" width="21.109375" style="670" bestFit="1" customWidth="1"/>
    <col min="785" max="785" width="15.88671875" style="670" bestFit="1" customWidth="1"/>
    <col min="786" max="786" width="8.88671875" style="670"/>
    <col min="787" max="787" width="13.44140625" style="670" bestFit="1" customWidth="1"/>
    <col min="788" max="788" width="8.88671875" style="670"/>
    <col min="789" max="789" width="11.77734375" style="670" bestFit="1" customWidth="1"/>
    <col min="790" max="791" width="8.88671875" style="670"/>
    <col min="792" max="792" width="11.6640625" style="670" bestFit="1" customWidth="1"/>
    <col min="793" max="990" width="8.88671875" style="670"/>
    <col min="991" max="991" width="10" style="670" customWidth="1"/>
    <col min="992" max="992" width="64.44140625" style="670" customWidth="1"/>
    <col min="993" max="993" width="18.77734375" style="670" customWidth="1"/>
    <col min="994" max="994" width="11" style="670" customWidth="1"/>
    <col min="995" max="995" width="14.6640625" style="670" customWidth="1"/>
    <col min="996" max="996" width="18.6640625" style="670" customWidth="1"/>
    <col min="997" max="997" width="14.44140625" style="670" customWidth="1"/>
    <col min="998" max="998" width="18.21875" style="670" customWidth="1"/>
    <col min="999" max="999" width="15.6640625" style="670" customWidth="1"/>
    <col min="1000" max="1000" width="17.44140625" style="670" customWidth="1"/>
    <col min="1001" max="1001" width="15.6640625" style="670" customWidth="1"/>
    <col min="1002" max="1002" width="17.44140625" style="670" customWidth="1"/>
    <col min="1003" max="1003" width="17" style="670" customWidth="1"/>
    <col min="1004" max="1006" width="17.44140625" style="670" customWidth="1"/>
    <col min="1007" max="1007" width="14.77734375" style="670" customWidth="1"/>
    <col min="1008" max="1033" width="17.44140625" style="670" customWidth="1"/>
    <col min="1034" max="1034" width="17.109375" style="670" customWidth="1"/>
    <col min="1035" max="1035" width="16.44140625" style="670" customWidth="1"/>
    <col min="1036" max="1036" width="18.6640625" style="670" customWidth="1"/>
    <col min="1037" max="1037" width="20.21875" style="670" bestFit="1" customWidth="1"/>
    <col min="1038" max="1038" width="25.6640625" style="670" customWidth="1"/>
    <col min="1039" max="1039" width="19.44140625" style="670" bestFit="1" customWidth="1"/>
    <col min="1040" max="1040" width="21.109375" style="670" bestFit="1" customWidth="1"/>
    <col min="1041" max="1041" width="15.88671875" style="670" bestFit="1" customWidth="1"/>
    <col min="1042" max="1042" width="8.88671875" style="670"/>
    <col min="1043" max="1043" width="13.44140625" style="670" bestFit="1" customWidth="1"/>
    <col min="1044" max="1044" width="8.88671875" style="670"/>
    <col min="1045" max="1045" width="11.77734375" style="670" bestFit="1" customWidth="1"/>
    <col min="1046" max="1047" width="8.88671875" style="670"/>
    <col min="1048" max="1048" width="11.6640625" style="670" bestFit="1" customWidth="1"/>
    <col min="1049" max="1246" width="8.88671875" style="670"/>
    <col min="1247" max="1247" width="10" style="670" customWidth="1"/>
    <col min="1248" max="1248" width="64.44140625" style="670" customWidth="1"/>
    <col min="1249" max="1249" width="18.77734375" style="670" customWidth="1"/>
    <col min="1250" max="1250" width="11" style="670" customWidth="1"/>
    <col min="1251" max="1251" width="14.6640625" style="670" customWidth="1"/>
    <col min="1252" max="1252" width="18.6640625" style="670" customWidth="1"/>
    <col min="1253" max="1253" width="14.44140625" style="670" customWidth="1"/>
    <col min="1254" max="1254" width="18.21875" style="670" customWidth="1"/>
    <col min="1255" max="1255" width="15.6640625" style="670" customWidth="1"/>
    <col min="1256" max="1256" width="17.44140625" style="670" customWidth="1"/>
    <col min="1257" max="1257" width="15.6640625" style="670" customWidth="1"/>
    <col min="1258" max="1258" width="17.44140625" style="670" customWidth="1"/>
    <col min="1259" max="1259" width="17" style="670" customWidth="1"/>
    <col min="1260" max="1262" width="17.44140625" style="670" customWidth="1"/>
    <col min="1263" max="1263" width="14.77734375" style="670" customWidth="1"/>
    <col min="1264" max="1289" width="17.44140625" style="670" customWidth="1"/>
    <col min="1290" max="1290" width="17.109375" style="670" customWidth="1"/>
    <col min="1291" max="1291" width="16.44140625" style="670" customWidth="1"/>
    <col min="1292" max="1292" width="18.6640625" style="670" customWidth="1"/>
    <col min="1293" max="1293" width="20.21875" style="670" bestFit="1" customWidth="1"/>
    <col min="1294" max="1294" width="25.6640625" style="670" customWidth="1"/>
    <col min="1295" max="1295" width="19.44140625" style="670" bestFit="1" customWidth="1"/>
    <col min="1296" max="1296" width="21.109375" style="670" bestFit="1" customWidth="1"/>
    <col min="1297" max="1297" width="15.88671875" style="670" bestFit="1" customWidth="1"/>
    <col min="1298" max="1298" width="8.88671875" style="670"/>
    <col min="1299" max="1299" width="13.44140625" style="670" bestFit="1" customWidth="1"/>
    <col min="1300" max="1300" width="8.88671875" style="670"/>
    <col min="1301" max="1301" width="11.77734375" style="670" bestFit="1" customWidth="1"/>
    <col min="1302" max="1303" width="8.88671875" style="670"/>
    <col min="1304" max="1304" width="11.6640625" style="670" bestFit="1" customWidth="1"/>
    <col min="1305" max="1502" width="8.88671875" style="670"/>
    <col min="1503" max="1503" width="10" style="670" customWidth="1"/>
    <col min="1504" max="1504" width="64.44140625" style="670" customWidth="1"/>
    <col min="1505" max="1505" width="18.77734375" style="670" customWidth="1"/>
    <col min="1506" max="1506" width="11" style="670" customWidth="1"/>
    <col min="1507" max="1507" width="14.6640625" style="670" customWidth="1"/>
    <col min="1508" max="1508" width="18.6640625" style="670" customWidth="1"/>
    <col min="1509" max="1509" width="14.44140625" style="670" customWidth="1"/>
    <col min="1510" max="1510" width="18.21875" style="670" customWidth="1"/>
    <col min="1511" max="1511" width="15.6640625" style="670" customWidth="1"/>
    <col min="1512" max="1512" width="17.44140625" style="670" customWidth="1"/>
    <col min="1513" max="1513" width="15.6640625" style="670" customWidth="1"/>
    <col min="1514" max="1514" width="17.44140625" style="670" customWidth="1"/>
    <col min="1515" max="1515" width="17" style="670" customWidth="1"/>
    <col min="1516" max="1518" width="17.44140625" style="670" customWidth="1"/>
    <col min="1519" max="1519" width="14.77734375" style="670" customWidth="1"/>
    <col min="1520" max="1545" width="17.44140625" style="670" customWidth="1"/>
    <col min="1546" max="1546" width="17.109375" style="670" customWidth="1"/>
    <col min="1547" max="1547" width="16.44140625" style="670" customWidth="1"/>
    <col min="1548" max="1548" width="18.6640625" style="670" customWidth="1"/>
    <col min="1549" max="1549" width="20.21875" style="670" bestFit="1" customWidth="1"/>
    <col min="1550" max="1550" width="25.6640625" style="670" customWidth="1"/>
    <col min="1551" max="1551" width="19.44140625" style="670" bestFit="1" customWidth="1"/>
    <col min="1552" max="1552" width="21.109375" style="670" bestFit="1" customWidth="1"/>
    <col min="1553" max="1553" width="15.88671875" style="670" bestFit="1" customWidth="1"/>
    <col min="1554" max="1554" width="8.88671875" style="670"/>
    <col min="1555" max="1555" width="13.44140625" style="670" bestFit="1" customWidth="1"/>
    <col min="1556" max="1556" width="8.88671875" style="670"/>
    <col min="1557" max="1557" width="11.77734375" style="670" bestFit="1" customWidth="1"/>
    <col min="1558" max="1559" width="8.88671875" style="670"/>
    <col min="1560" max="1560" width="11.6640625" style="670" bestFit="1" customWidth="1"/>
    <col min="1561" max="1758" width="8.88671875" style="670"/>
    <col min="1759" max="1759" width="10" style="670" customWidth="1"/>
    <col min="1760" max="1760" width="64.44140625" style="670" customWidth="1"/>
    <col min="1761" max="1761" width="18.77734375" style="670" customWidth="1"/>
    <col min="1762" max="1762" width="11" style="670" customWidth="1"/>
    <col min="1763" max="1763" width="14.6640625" style="670" customWidth="1"/>
    <col min="1764" max="1764" width="18.6640625" style="670" customWidth="1"/>
    <col min="1765" max="1765" width="14.44140625" style="670" customWidth="1"/>
    <col min="1766" max="1766" width="18.21875" style="670" customWidth="1"/>
    <col min="1767" max="1767" width="15.6640625" style="670" customWidth="1"/>
    <col min="1768" max="1768" width="17.44140625" style="670" customWidth="1"/>
    <col min="1769" max="1769" width="15.6640625" style="670" customWidth="1"/>
    <col min="1770" max="1770" width="17.44140625" style="670" customWidth="1"/>
    <col min="1771" max="1771" width="17" style="670" customWidth="1"/>
    <col min="1772" max="1774" width="17.44140625" style="670" customWidth="1"/>
    <col min="1775" max="1775" width="14.77734375" style="670" customWidth="1"/>
    <col min="1776" max="1801" width="17.44140625" style="670" customWidth="1"/>
    <col min="1802" max="1802" width="17.109375" style="670" customWidth="1"/>
    <col min="1803" max="1803" width="16.44140625" style="670" customWidth="1"/>
    <col min="1804" max="1804" width="18.6640625" style="670" customWidth="1"/>
    <col min="1805" max="1805" width="20.21875" style="670" bestFit="1" customWidth="1"/>
    <col min="1806" max="1806" width="25.6640625" style="670" customWidth="1"/>
    <col min="1807" max="1807" width="19.44140625" style="670" bestFit="1" customWidth="1"/>
    <col min="1808" max="1808" width="21.109375" style="670" bestFit="1" customWidth="1"/>
    <col min="1809" max="1809" width="15.88671875" style="670" bestFit="1" customWidth="1"/>
    <col min="1810" max="1810" width="8.88671875" style="670"/>
    <col min="1811" max="1811" width="13.44140625" style="670" bestFit="1" customWidth="1"/>
    <col min="1812" max="1812" width="8.88671875" style="670"/>
    <col min="1813" max="1813" width="11.77734375" style="670" bestFit="1" customWidth="1"/>
    <col min="1814" max="1815" width="8.88671875" style="670"/>
    <col min="1816" max="1816" width="11.6640625" style="670" bestFit="1" customWidth="1"/>
    <col min="1817" max="2014" width="8.88671875" style="670"/>
    <col min="2015" max="2015" width="10" style="670" customWidth="1"/>
    <col min="2016" max="2016" width="64.44140625" style="670" customWidth="1"/>
    <col min="2017" max="2017" width="18.77734375" style="670" customWidth="1"/>
    <col min="2018" max="2018" width="11" style="670" customWidth="1"/>
    <col min="2019" max="2019" width="14.6640625" style="670" customWidth="1"/>
    <col min="2020" max="2020" width="18.6640625" style="670" customWidth="1"/>
    <col min="2021" max="2021" width="14.44140625" style="670" customWidth="1"/>
    <col min="2022" max="2022" width="18.21875" style="670" customWidth="1"/>
    <col min="2023" max="2023" width="15.6640625" style="670" customWidth="1"/>
    <col min="2024" max="2024" width="17.44140625" style="670" customWidth="1"/>
    <col min="2025" max="2025" width="15.6640625" style="670" customWidth="1"/>
    <col min="2026" max="2026" width="17.44140625" style="670" customWidth="1"/>
    <col min="2027" max="2027" width="17" style="670" customWidth="1"/>
    <col min="2028" max="2030" width="17.44140625" style="670" customWidth="1"/>
    <col min="2031" max="2031" width="14.77734375" style="670" customWidth="1"/>
    <col min="2032" max="2057" width="17.44140625" style="670" customWidth="1"/>
    <col min="2058" max="2058" width="17.109375" style="670" customWidth="1"/>
    <col min="2059" max="2059" width="16.44140625" style="670" customWidth="1"/>
    <col min="2060" max="2060" width="18.6640625" style="670" customWidth="1"/>
    <col min="2061" max="2061" width="20.21875" style="670" bestFit="1" customWidth="1"/>
    <col min="2062" max="2062" width="25.6640625" style="670" customWidth="1"/>
    <col min="2063" max="2063" width="19.44140625" style="670" bestFit="1" customWidth="1"/>
    <col min="2064" max="2064" width="21.109375" style="670" bestFit="1" customWidth="1"/>
    <col min="2065" max="2065" width="15.88671875" style="670" bestFit="1" customWidth="1"/>
    <col min="2066" max="2066" width="8.88671875" style="670"/>
    <col min="2067" max="2067" width="13.44140625" style="670" bestFit="1" customWidth="1"/>
    <col min="2068" max="2068" width="8.88671875" style="670"/>
    <col min="2069" max="2069" width="11.77734375" style="670" bestFit="1" customWidth="1"/>
    <col min="2070" max="2071" width="8.88671875" style="670"/>
    <col min="2072" max="2072" width="11.6640625" style="670" bestFit="1" customWidth="1"/>
    <col min="2073" max="2270" width="8.88671875" style="670"/>
    <col min="2271" max="2271" width="10" style="670" customWidth="1"/>
    <col min="2272" max="2272" width="64.44140625" style="670" customWidth="1"/>
    <col min="2273" max="2273" width="18.77734375" style="670" customWidth="1"/>
    <col min="2274" max="2274" width="11" style="670" customWidth="1"/>
    <col min="2275" max="2275" width="14.6640625" style="670" customWidth="1"/>
    <col min="2276" max="2276" width="18.6640625" style="670" customWidth="1"/>
    <col min="2277" max="2277" width="14.44140625" style="670" customWidth="1"/>
    <col min="2278" max="2278" width="18.21875" style="670" customWidth="1"/>
    <col min="2279" max="2279" width="15.6640625" style="670" customWidth="1"/>
    <col min="2280" max="2280" width="17.44140625" style="670" customWidth="1"/>
    <col min="2281" max="2281" width="15.6640625" style="670" customWidth="1"/>
    <col min="2282" max="2282" width="17.44140625" style="670" customWidth="1"/>
    <col min="2283" max="2283" width="17" style="670" customWidth="1"/>
    <col min="2284" max="2286" width="17.44140625" style="670" customWidth="1"/>
    <col min="2287" max="2287" width="14.77734375" style="670" customWidth="1"/>
    <col min="2288" max="2313" width="17.44140625" style="670" customWidth="1"/>
    <col min="2314" max="2314" width="17.109375" style="670" customWidth="1"/>
    <col min="2315" max="2315" width="16.44140625" style="670" customWidth="1"/>
    <col min="2316" max="2316" width="18.6640625" style="670" customWidth="1"/>
    <col min="2317" max="2317" width="20.21875" style="670" bestFit="1" customWidth="1"/>
    <col min="2318" max="2318" width="25.6640625" style="670" customWidth="1"/>
    <col min="2319" max="2319" width="19.44140625" style="670" bestFit="1" customWidth="1"/>
    <col min="2320" max="2320" width="21.109375" style="670" bestFit="1" customWidth="1"/>
    <col min="2321" max="2321" width="15.88671875" style="670" bestFit="1" customWidth="1"/>
    <col min="2322" max="2322" width="8.88671875" style="670"/>
    <col min="2323" max="2323" width="13.44140625" style="670" bestFit="1" customWidth="1"/>
    <col min="2324" max="2324" width="8.88671875" style="670"/>
    <col min="2325" max="2325" width="11.77734375" style="670" bestFit="1" customWidth="1"/>
    <col min="2326" max="2327" width="8.88671875" style="670"/>
    <col min="2328" max="2328" width="11.6640625" style="670" bestFit="1" customWidth="1"/>
    <col min="2329" max="2526" width="8.88671875" style="670"/>
    <col min="2527" max="2527" width="10" style="670" customWidth="1"/>
    <col min="2528" max="2528" width="64.44140625" style="670" customWidth="1"/>
    <col min="2529" max="2529" width="18.77734375" style="670" customWidth="1"/>
    <col min="2530" max="2530" width="11" style="670" customWidth="1"/>
    <col min="2531" max="2531" width="14.6640625" style="670" customWidth="1"/>
    <col min="2532" max="2532" width="18.6640625" style="670" customWidth="1"/>
    <col min="2533" max="2533" width="14.44140625" style="670" customWidth="1"/>
    <col min="2534" max="2534" width="18.21875" style="670" customWidth="1"/>
    <col min="2535" max="2535" width="15.6640625" style="670" customWidth="1"/>
    <col min="2536" max="2536" width="17.44140625" style="670" customWidth="1"/>
    <col min="2537" max="2537" width="15.6640625" style="670" customWidth="1"/>
    <col min="2538" max="2538" width="17.44140625" style="670" customWidth="1"/>
    <col min="2539" max="2539" width="17" style="670" customWidth="1"/>
    <col min="2540" max="2542" width="17.44140625" style="670" customWidth="1"/>
    <col min="2543" max="2543" width="14.77734375" style="670" customWidth="1"/>
    <col min="2544" max="2569" width="17.44140625" style="670" customWidth="1"/>
    <col min="2570" max="2570" width="17.109375" style="670" customWidth="1"/>
    <col min="2571" max="2571" width="16.44140625" style="670" customWidth="1"/>
    <col min="2572" max="2572" width="18.6640625" style="670" customWidth="1"/>
    <col min="2573" max="2573" width="20.21875" style="670" bestFit="1" customWidth="1"/>
    <col min="2574" max="2574" width="25.6640625" style="670" customWidth="1"/>
    <col min="2575" max="2575" width="19.44140625" style="670" bestFit="1" customWidth="1"/>
    <col min="2576" max="2576" width="21.109375" style="670" bestFit="1" customWidth="1"/>
    <col min="2577" max="2577" width="15.88671875" style="670" bestFit="1" customWidth="1"/>
    <col min="2578" max="2578" width="8.88671875" style="670"/>
    <col min="2579" max="2579" width="13.44140625" style="670" bestFit="1" customWidth="1"/>
    <col min="2580" max="2580" width="8.88671875" style="670"/>
    <col min="2581" max="2581" width="11.77734375" style="670" bestFit="1" customWidth="1"/>
    <col min="2582" max="2583" width="8.88671875" style="670"/>
    <col min="2584" max="2584" width="11.6640625" style="670" bestFit="1" customWidth="1"/>
    <col min="2585" max="2782" width="8.88671875" style="670"/>
    <col min="2783" max="2783" width="10" style="670" customWidth="1"/>
    <col min="2784" max="2784" width="64.44140625" style="670" customWidth="1"/>
    <col min="2785" max="2785" width="18.77734375" style="670" customWidth="1"/>
    <col min="2786" max="2786" width="11" style="670" customWidth="1"/>
    <col min="2787" max="2787" width="14.6640625" style="670" customWidth="1"/>
    <col min="2788" max="2788" width="18.6640625" style="670" customWidth="1"/>
    <col min="2789" max="2789" width="14.44140625" style="670" customWidth="1"/>
    <col min="2790" max="2790" width="18.21875" style="670" customWidth="1"/>
    <col min="2791" max="2791" width="15.6640625" style="670" customWidth="1"/>
    <col min="2792" max="2792" width="17.44140625" style="670" customWidth="1"/>
    <col min="2793" max="2793" width="15.6640625" style="670" customWidth="1"/>
    <col min="2794" max="2794" width="17.44140625" style="670" customWidth="1"/>
    <col min="2795" max="2795" width="17" style="670" customWidth="1"/>
    <col min="2796" max="2798" width="17.44140625" style="670" customWidth="1"/>
    <col min="2799" max="2799" width="14.77734375" style="670" customWidth="1"/>
    <col min="2800" max="2825" width="17.44140625" style="670" customWidth="1"/>
    <col min="2826" max="2826" width="17.109375" style="670" customWidth="1"/>
    <col min="2827" max="2827" width="16.44140625" style="670" customWidth="1"/>
    <col min="2828" max="2828" width="18.6640625" style="670" customWidth="1"/>
    <col min="2829" max="2829" width="20.21875" style="670" bestFit="1" customWidth="1"/>
    <col min="2830" max="2830" width="25.6640625" style="670" customWidth="1"/>
    <col min="2831" max="2831" width="19.44140625" style="670" bestFit="1" customWidth="1"/>
    <col min="2832" max="2832" width="21.109375" style="670" bestFit="1" customWidth="1"/>
    <col min="2833" max="2833" width="15.88671875" style="670" bestFit="1" customWidth="1"/>
    <col min="2834" max="2834" width="8.88671875" style="670"/>
    <col min="2835" max="2835" width="13.44140625" style="670" bestFit="1" customWidth="1"/>
    <col min="2836" max="2836" width="8.88671875" style="670"/>
    <col min="2837" max="2837" width="11.77734375" style="670" bestFit="1" customWidth="1"/>
    <col min="2838" max="2839" width="8.88671875" style="670"/>
    <col min="2840" max="2840" width="11.6640625" style="670" bestFit="1" customWidth="1"/>
    <col min="2841" max="3038" width="8.88671875" style="670"/>
    <col min="3039" max="3039" width="10" style="670" customWidth="1"/>
    <col min="3040" max="3040" width="64.44140625" style="670" customWidth="1"/>
    <col min="3041" max="3041" width="18.77734375" style="670" customWidth="1"/>
    <col min="3042" max="3042" width="11" style="670" customWidth="1"/>
    <col min="3043" max="3043" width="14.6640625" style="670" customWidth="1"/>
    <col min="3044" max="3044" width="18.6640625" style="670" customWidth="1"/>
    <col min="3045" max="3045" width="14.44140625" style="670" customWidth="1"/>
    <col min="3046" max="3046" width="18.21875" style="670" customWidth="1"/>
    <col min="3047" max="3047" width="15.6640625" style="670" customWidth="1"/>
    <col min="3048" max="3048" width="17.44140625" style="670" customWidth="1"/>
    <col min="3049" max="3049" width="15.6640625" style="670" customWidth="1"/>
    <col min="3050" max="3050" width="17.44140625" style="670" customWidth="1"/>
    <col min="3051" max="3051" width="17" style="670" customWidth="1"/>
    <col min="3052" max="3054" width="17.44140625" style="670" customWidth="1"/>
    <col min="3055" max="3055" width="14.77734375" style="670" customWidth="1"/>
    <col min="3056" max="3081" width="17.44140625" style="670" customWidth="1"/>
    <col min="3082" max="3082" width="17.109375" style="670" customWidth="1"/>
    <col min="3083" max="3083" width="16.44140625" style="670" customWidth="1"/>
    <col min="3084" max="3084" width="18.6640625" style="670" customWidth="1"/>
    <col min="3085" max="3085" width="20.21875" style="670" bestFit="1" customWidth="1"/>
    <col min="3086" max="3086" width="25.6640625" style="670" customWidth="1"/>
    <col min="3087" max="3087" width="19.44140625" style="670" bestFit="1" customWidth="1"/>
    <col min="3088" max="3088" width="21.109375" style="670" bestFit="1" customWidth="1"/>
    <col min="3089" max="3089" width="15.88671875" style="670" bestFit="1" customWidth="1"/>
    <col min="3090" max="3090" width="8.88671875" style="670"/>
    <col min="3091" max="3091" width="13.44140625" style="670" bestFit="1" customWidth="1"/>
    <col min="3092" max="3092" width="8.88671875" style="670"/>
    <col min="3093" max="3093" width="11.77734375" style="670" bestFit="1" customWidth="1"/>
    <col min="3094" max="3095" width="8.88671875" style="670"/>
    <col min="3096" max="3096" width="11.6640625" style="670" bestFit="1" customWidth="1"/>
    <col min="3097" max="3294" width="8.88671875" style="670"/>
    <col min="3295" max="3295" width="10" style="670" customWidth="1"/>
    <col min="3296" max="3296" width="64.44140625" style="670" customWidth="1"/>
    <col min="3297" max="3297" width="18.77734375" style="670" customWidth="1"/>
    <col min="3298" max="3298" width="11" style="670" customWidth="1"/>
    <col min="3299" max="3299" width="14.6640625" style="670" customWidth="1"/>
    <col min="3300" max="3300" width="18.6640625" style="670" customWidth="1"/>
    <col min="3301" max="3301" width="14.44140625" style="670" customWidth="1"/>
    <col min="3302" max="3302" width="18.21875" style="670" customWidth="1"/>
    <col min="3303" max="3303" width="15.6640625" style="670" customWidth="1"/>
    <col min="3304" max="3304" width="17.44140625" style="670" customWidth="1"/>
    <col min="3305" max="3305" width="15.6640625" style="670" customWidth="1"/>
    <col min="3306" max="3306" width="17.44140625" style="670" customWidth="1"/>
    <col min="3307" max="3307" width="17" style="670" customWidth="1"/>
    <col min="3308" max="3310" width="17.44140625" style="670" customWidth="1"/>
    <col min="3311" max="3311" width="14.77734375" style="670" customWidth="1"/>
    <col min="3312" max="3337" width="17.44140625" style="670" customWidth="1"/>
    <col min="3338" max="3338" width="17.109375" style="670" customWidth="1"/>
    <col min="3339" max="3339" width="16.44140625" style="670" customWidth="1"/>
    <col min="3340" max="3340" width="18.6640625" style="670" customWidth="1"/>
    <col min="3341" max="3341" width="20.21875" style="670" bestFit="1" customWidth="1"/>
    <col min="3342" max="3342" width="25.6640625" style="670" customWidth="1"/>
    <col min="3343" max="3343" width="19.44140625" style="670" bestFit="1" customWidth="1"/>
    <col min="3344" max="3344" width="21.109375" style="670" bestFit="1" customWidth="1"/>
    <col min="3345" max="3345" width="15.88671875" style="670" bestFit="1" customWidth="1"/>
    <col min="3346" max="3346" width="8.88671875" style="670"/>
    <col min="3347" max="3347" width="13.44140625" style="670" bestFit="1" customWidth="1"/>
    <col min="3348" max="3348" width="8.88671875" style="670"/>
    <col min="3349" max="3349" width="11.77734375" style="670" bestFit="1" customWidth="1"/>
    <col min="3350" max="3351" width="8.88671875" style="670"/>
    <col min="3352" max="3352" width="11.6640625" style="670" bestFit="1" customWidth="1"/>
    <col min="3353" max="3550" width="8.88671875" style="670"/>
    <col min="3551" max="3551" width="10" style="670" customWidth="1"/>
    <col min="3552" max="3552" width="64.44140625" style="670" customWidth="1"/>
    <col min="3553" max="3553" width="18.77734375" style="670" customWidth="1"/>
    <col min="3554" max="3554" width="11" style="670" customWidth="1"/>
    <col min="3555" max="3555" width="14.6640625" style="670" customWidth="1"/>
    <col min="3556" max="3556" width="18.6640625" style="670" customWidth="1"/>
    <col min="3557" max="3557" width="14.44140625" style="670" customWidth="1"/>
    <col min="3558" max="3558" width="18.21875" style="670" customWidth="1"/>
    <col min="3559" max="3559" width="15.6640625" style="670" customWidth="1"/>
    <col min="3560" max="3560" width="17.44140625" style="670" customWidth="1"/>
    <col min="3561" max="3561" width="15.6640625" style="670" customWidth="1"/>
    <col min="3562" max="3562" width="17.44140625" style="670" customWidth="1"/>
    <col min="3563" max="3563" width="17" style="670" customWidth="1"/>
    <col min="3564" max="3566" width="17.44140625" style="670" customWidth="1"/>
    <col min="3567" max="3567" width="14.77734375" style="670" customWidth="1"/>
    <col min="3568" max="3593" width="17.44140625" style="670" customWidth="1"/>
    <col min="3594" max="3594" width="17.109375" style="670" customWidth="1"/>
    <col min="3595" max="3595" width="16.44140625" style="670" customWidth="1"/>
    <col min="3596" max="3596" width="18.6640625" style="670" customWidth="1"/>
    <col min="3597" max="3597" width="20.21875" style="670" bestFit="1" customWidth="1"/>
    <col min="3598" max="3598" width="25.6640625" style="670" customWidth="1"/>
    <col min="3599" max="3599" width="19.44140625" style="670" bestFit="1" customWidth="1"/>
    <col min="3600" max="3600" width="21.109375" style="670" bestFit="1" customWidth="1"/>
    <col min="3601" max="3601" width="15.88671875" style="670" bestFit="1" customWidth="1"/>
    <col min="3602" max="3602" width="8.88671875" style="670"/>
    <col min="3603" max="3603" width="13.44140625" style="670" bestFit="1" customWidth="1"/>
    <col min="3604" max="3604" width="8.88671875" style="670"/>
    <col min="3605" max="3605" width="11.77734375" style="670" bestFit="1" customWidth="1"/>
    <col min="3606" max="3607" width="8.88671875" style="670"/>
    <col min="3608" max="3608" width="11.6640625" style="670" bestFit="1" customWidth="1"/>
    <col min="3609" max="3806" width="8.88671875" style="670"/>
    <col min="3807" max="3807" width="10" style="670" customWidth="1"/>
    <col min="3808" max="3808" width="64.44140625" style="670" customWidth="1"/>
    <col min="3809" max="3809" width="18.77734375" style="670" customWidth="1"/>
    <col min="3810" max="3810" width="11" style="670" customWidth="1"/>
    <col min="3811" max="3811" width="14.6640625" style="670" customWidth="1"/>
    <col min="3812" max="3812" width="18.6640625" style="670" customWidth="1"/>
    <col min="3813" max="3813" width="14.44140625" style="670" customWidth="1"/>
    <col min="3814" max="3814" width="18.21875" style="670" customWidth="1"/>
    <col min="3815" max="3815" width="15.6640625" style="670" customWidth="1"/>
    <col min="3816" max="3816" width="17.44140625" style="670" customWidth="1"/>
    <col min="3817" max="3817" width="15.6640625" style="670" customWidth="1"/>
    <col min="3818" max="3818" width="17.44140625" style="670" customWidth="1"/>
    <col min="3819" max="3819" width="17" style="670" customWidth="1"/>
    <col min="3820" max="3822" width="17.44140625" style="670" customWidth="1"/>
    <col min="3823" max="3823" width="14.77734375" style="670" customWidth="1"/>
    <col min="3824" max="3849" width="17.44140625" style="670" customWidth="1"/>
    <col min="3850" max="3850" width="17.109375" style="670" customWidth="1"/>
    <col min="3851" max="3851" width="16.44140625" style="670" customWidth="1"/>
    <col min="3852" max="3852" width="18.6640625" style="670" customWidth="1"/>
    <col min="3853" max="3853" width="20.21875" style="670" bestFit="1" customWidth="1"/>
    <col min="3854" max="3854" width="25.6640625" style="670" customWidth="1"/>
    <col min="3855" max="3855" width="19.44140625" style="670" bestFit="1" customWidth="1"/>
    <col min="3856" max="3856" width="21.109375" style="670" bestFit="1" customWidth="1"/>
    <col min="3857" max="3857" width="15.88671875" style="670" bestFit="1" customWidth="1"/>
    <col min="3858" max="3858" width="8.88671875" style="670"/>
    <col min="3859" max="3859" width="13.44140625" style="670" bestFit="1" customWidth="1"/>
    <col min="3860" max="3860" width="8.88671875" style="670"/>
    <col min="3861" max="3861" width="11.77734375" style="670" bestFit="1" customWidth="1"/>
    <col min="3862" max="3863" width="8.88671875" style="670"/>
    <col min="3864" max="3864" width="11.6640625" style="670" bestFit="1" customWidth="1"/>
    <col min="3865" max="4062" width="8.88671875" style="670"/>
    <col min="4063" max="4063" width="10" style="670" customWidth="1"/>
    <col min="4064" max="4064" width="64.44140625" style="670" customWidth="1"/>
    <col min="4065" max="4065" width="18.77734375" style="670" customWidth="1"/>
    <col min="4066" max="4066" width="11" style="670" customWidth="1"/>
    <col min="4067" max="4067" width="14.6640625" style="670" customWidth="1"/>
    <col min="4068" max="4068" width="18.6640625" style="670" customWidth="1"/>
    <col min="4069" max="4069" width="14.44140625" style="670" customWidth="1"/>
    <col min="4070" max="4070" width="18.21875" style="670" customWidth="1"/>
    <col min="4071" max="4071" width="15.6640625" style="670" customWidth="1"/>
    <col min="4072" max="4072" width="17.44140625" style="670" customWidth="1"/>
    <col min="4073" max="4073" width="15.6640625" style="670" customWidth="1"/>
    <col min="4074" max="4074" width="17.44140625" style="670" customWidth="1"/>
    <col min="4075" max="4075" width="17" style="670" customWidth="1"/>
    <col min="4076" max="4078" width="17.44140625" style="670" customWidth="1"/>
    <col min="4079" max="4079" width="14.77734375" style="670" customWidth="1"/>
    <col min="4080" max="4105" width="17.44140625" style="670" customWidth="1"/>
    <col min="4106" max="4106" width="17.109375" style="670" customWidth="1"/>
    <col min="4107" max="4107" width="16.44140625" style="670" customWidth="1"/>
    <col min="4108" max="4108" width="18.6640625" style="670" customWidth="1"/>
    <col min="4109" max="4109" width="20.21875" style="670" bestFit="1" customWidth="1"/>
    <col min="4110" max="4110" width="25.6640625" style="670" customWidth="1"/>
    <col min="4111" max="4111" width="19.44140625" style="670" bestFit="1" customWidth="1"/>
    <col min="4112" max="4112" width="21.109375" style="670" bestFit="1" customWidth="1"/>
    <col min="4113" max="4113" width="15.88671875" style="670" bestFit="1" customWidth="1"/>
    <col min="4114" max="4114" width="8.88671875" style="670"/>
    <col min="4115" max="4115" width="13.44140625" style="670" bestFit="1" customWidth="1"/>
    <col min="4116" max="4116" width="8.88671875" style="670"/>
    <col min="4117" max="4117" width="11.77734375" style="670" bestFit="1" customWidth="1"/>
    <col min="4118" max="4119" width="8.88671875" style="670"/>
    <col min="4120" max="4120" width="11.6640625" style="670" bestFit="1" customWidth="1"/>
    <col min="4121" max="4318" width="8.88671875" style="670"/>
    <col min="4319" max="4319" width="10" style="670" customWidth="1"/>
    <col min="4320" max="4320" width="64.44140625" style="670" customWidth="1"/>
    <col min="4321" max="4321" width="18.77734375" style="670" customWidth="1"/>
    <col min="4322" max="4322" width="11" style="670" customWidth="1"/>
    <col min="4323" max="4323" width="14.6640625" style="670" customWidth="1"/>
    <col min="4324" max="4324" width="18.6640625" style="670" customWidth="1"/>
    <col min="4325" max="4325" width="14.44140625" style="670" customWidth="1"/>
    <col min="4326" max="4326" width="18.21875" style="670" customWidth="1"/>
    <col min="4327" max="4327" width="15.6640625" style="670" customWidth="1"/>
    <col min="4328" max="4328" width="17.44140625" style="670" customWidth="1"/>
    <col min="4329" max="4329" width="15.6640625" style="670" customWidth="1"/>
    <col min="4330" max="4330" width="17.44140625" style="670" customWidth="1"/>
    <col min="4331" max="4331" width="17" style="670" customWidth="1"/>
    <col min="4332" max="4334" width="17.44140625" style="670" customWidth="1"/>
    <col min="4335" max="4335" width="14.77734375" style="670" customWidth="1"/>
    <col min="4336" max="4361" width="17.44140625" style="670" customWidth="1"/>
    <col min="4362" max="4362" width="17.109375" style="670" customWidth="1"/>
    <col min="4363" max="4363" width="16.44140625" style="670" customWidth="1"/>
    <col min="4364" max="4364" width="18.6640625" style="670" customWidth="1"/>
    <col min="4365" max="4365" width="20.21875" style="670" bestFit="1" customWidth="1"/>
    <col min="4366" max="4366" width="25.6640625" style="670" customWidth="1"/>
    <col min="4367" max="4367" width="19.44140625" style="670" bestFit="1" customWidth="1"/>
    <col min="4368" max="4368" width="21.109375" style="670" bestFit="1" customWidth="1"/>
    <col min="4369" max="4369" width="15.88671875" style="670" bestFit="1" customWidth="1"/>
    <col min="4370" max="4370" width="8.88671875" style="670"/>
    <col min="4371" max="4371" width="13.44140625" style="670" bestFit="1" customWidth="1"/>
    <col min="4372" max="4372" width="8.88671875" style="670"/>
    <col min="4373" max="4373" width="11.77734375" style="670" bestFit="1" customWidth="1"/>
    <col min="4374" max="4375" width="8.88671875" style="670"/>
    <col min="4376" max="4376" width="11.6640625" style="670" bestFit="1" customWidth="1"/>
    <col min="4377" max="4574" width="8.88671875" style="670"/>
    <col min="4575" max="4575" width="10" style="670" customWidth="1"/>
    <col min="4576" max="4576" width="64.44140625" style="670" customWidth="1"/>
    <col min="4577" max="4577" width="18.77734375" style="670" customWidth="1"/>
    <col min="4578" max="4578" width="11" style="670" customWidth="1"/>
    <col min="4579" max="4579" width="14.6640625" style="670" customWidth="1"/>
    <col min="4580" max="4580" width="18.6640625" style="670" customWidth="1"/>
    <col min="4581" max="4581" width="14.44140625" style="670" customWidth="1"/>
    <col min="4582" max="4582" width="18.21875" style="670" customWidth="1"/>
    <col min="4583" max="4583" width="15.6640625" style="670" customWidth="1"/>
    <col min="4584" max="4584" width="17.44140625" style="670" customWidth="1"/>
    <col min="4585" max="4585" width="15.6640625" style="670" customWidth="1"/>
    <col min="4586" max="4586" width="17.44140625" style="670" customWidth="1"/>
    <col min="4587" max="4587" width="17" style="670" customWidth="1"/>
    <col min="4588" max="4590" width="17.44140625" style="670" customWidth="1"/>
    <col min="4591" max="4591" width="14.77734375" style="670" customWidth="1"/>
    <col min="4592" max="4617" width="17.44140625" style="670" customWidth="1"/>
    <col min="4618" max="4618" width="17.109375" style="670" customWidth="1"/>
    <col min="4619" max="4619" width="16.44140625" style="670" customWidth="1"/>
    <col min="4620" max="4620" width="18.6640625" style="670" customWidth="1"/>
    <col min="4621" max="4621" width="20.21875" style="670" bestFit="1" customWidth="1"/>
    <col min="4622" max="4622" width="25.6640625" style="670" customWidth="1"/>
    <col min="4623" max="4623" width="19.44140625" style="670" bestFit="1" customWidth="1"/>
    <col min="4624" max="4624" width="21.109375" style="670" bestFit="1" customWidth="1"/>
    <col min="4625" max="4625" width="15.88671875" style="670" bestFit="1" customWidth="1"/>
    <col min="4626" max="4626" width="8.88671875" style="670"/>
    <col min="4627" max="4627" width="13.44140625" style="670" bestFit="1" customWidth="1"/>
    <col min="4628" max="4628" width="8.88671875" style="670"/>
    <col min="4629" max="4629" width="11.77734375" style="670" bestFit="1" customWidth="1"/>
    <col min="4630" max="4631" width="8.88671875" style="670"/>
    <col min="4632" max="4632" width="11.6640625" style="670" bestFit="1" customWidth="1"/>
    <col min="4633" max="4830" width="8.88671875" style="670"/>
    <col min="4831" max="4831" width="10" style="670" customWidth="1"/>
    <col min="4832" max="4832" width="64.44140625" style="670" customWidth="1"/>
    <col min="4833" max="4833" width="18.77734375" style="670" customWidth="1"/>
    <col min="4834" max="4834" width="11" style="670" customWidth="1"/>
    <col min="4835" max="4835" width="14.6640625" style="670" customWidth="1"/>
    <col min="4836" max="4836" width="18.6640625" style="670" customWidth="1"/>
    <col min="4837" max="4837" width="14.44140625" style="670" customWidth="1"/>
    <col min="4838" max="4838" width="18.21875" style="670" customWidth="1"/>
    <col min="4839" max="4839" width="15.6640625" style="670" customWidth="1"/>
    <col min="4840" max="4840" width="17.44140625" style="670" customWidth="1"/>
    <col min="4841" max="4841" width="15.6640625" style="670" customWidth="1"/>
    <col min="4842" max="4842" width="17.44140625" style="670" customWidth="1"/>
    <col min="4843" max="4843" width="17" style="670" customWidth="1"/>
    <col min="4844" max="4846" width="17.44140625" style="670" customWidth="1"/>
    <col min="4847" max="4847" width="14.77734375" style="670" customWidth="1"/>
    <col min="4848" max="4873" width="17.44140625" style="670" customWidth="1"/>
    <col min="4874" max="4874" width="17.109375" style="670" customWidth="1"/>
    <col min="4875" max="4875" width="16.44140625" style="670" customWidth="1"/>
    <col min="4876" max="4876" width="18.6640625" style="670" customWidth="1"/>
    <col min="4877" max="4877" width="20.21875" style="670" bestFit="1" customWidth="1"/>
    <col min="4878" max="4878" width="25.6640625" style="670" customWidth="1"/>
    <col min="4879" max="4879" width="19.44140625" style="670" bestFit="1" customWidth="1"/>
    <col min="4880" max="4880" width="21.109375" style="670" bestFit="1" customWidth="1"/>
    <col min="4881" max="4881" width="15.88671875" style="670" bestFit="1" customWidth="1"/>
    <col min="4882" max="4882" width="8.88671875" style="670"/>
    <col min="4883" max="4883" width="13.44140625" style="670" bestFit="1" customWidth="1"/>
    <col min="4884" max="4884" width="8.88671875" style="670"/>
    <col min="4885" max="4885" width="11.77734375" style="670" bestFit="1" customWidth="1"/>
    <col min="4886" max="4887" width="8.88671875" style="670"/>
    <col min="4888" max="4888" width="11.6640625" style="670" bestFit="1" customWidth="1"/>
    <col min="4889" max="5086" width="8.88671875" style="670"/>
    <col min="5087" max="5087" width="10" style="670" customWidth="1"/>
    <col min="5088" max="5088" width="64.44140625" style="670" customWidth="1"/>
    <col min="5089" max="5089" width="18.77734375" style="670" customWidth="1"/>
    <col min="5090" max="5090" width="11" style="670" customWidth="1"/>
    <col min="5091" max="5091" width="14.6640625" style="670" customWidth="1"/>
    <col min="5092" max="5092" width="18.6640625" style="670" customWidth="1"/>
    <col min="5093" max="5093" width="14.44140625" style="670" customWidth="1"/>
    <col min="5094" max="5094" width="18.21875" style="670" customWidth="1"/>
    <col min="5095" max="5095" width="15.6640625" style="670" customWidth="1"/>
    <col min="5096" max="5096" width="17.44140625" style="670" customWidth="1"/>
    <col min="5097" max="5097" width="15.6640625" style="670" customWidth="1"/>
    <col min="5098" max="5098" width="17.44140625" style="670" customWidth="1"/>
    <col min="5099" max="5099" width="17" style="670" customWidth="1"/>
    <col min="5100" max="5102" width="17.44140625" style="670" customWidth="1"/>
    <col min="5103" max="5103" width="14.77734375" style="670" customWidth="1"/>
    <col min="5104" max="5129" width="17.44140625" style="670" customWidth="1"/>
    <col min="5130" max="5130" width="17.109375" style="670" customWidth="1"/>
    <col min="5131" max="5131" width="16.44140625" style="670" customWidth="1"/>
    <col min="5132" max="5132" width="18.6640625" style="670" customWidth="1"/>
    <col min="5133" max="5133" width="20.21875" style="670" bestFit="1" customWidth="1"/>
    <col min="5134" max="5134" width="25.6640625" style="670" customWidth="1"/>
    <col min="5135" max="5135" width="19.44140625" style="670" bestFit="1" customWidth="1"/>
    <col min="5136" max="5136" width="21.109375" style="670" bestFit="1" customWidth="1"/>
    <col min="5137" max="5137" width="15.88671875" style="670" bestFit="1" customWidth="1"/>
    <col min="5138" max="5138" width="8.88671875" style="670"/>
    <col min="5139" max="5139" width="13.44140625" style="670" bestFit="1" customWidth="1"/>
    <col min="5140" max="5140" width="8.88671875" style="670"/>
    <col min="5141" max="5141" width="11.77734375" style="670" bestFit="1" customWidth="1"/>
    <col min="5142" max="5143" width="8.88671875" style="670"/>
    <col min="5144" max="5144" width="11.6640625" style="670" bestFit="1" customWidth="1"/>
    <col min="5145" max="5342" width="8.88671875" style="670"/>
    <col min="5343" max="5343" width="10" style="670" customWidth="1"/>
    <col min="5344" max="5344" width="64.44140625" style="670" customWidth="1"/>
    <col min="5345" max="5345" width="18.77734375" style="670" customWidth="1"/>
    <col min="5346" max="5346" width="11" style="670" customWidth="1"/>
    <col min="5347" max="5347" width="14.6640625" style="670" customWidth="1"/>
    <col min="5348" max="5348" width="18.6640625" style="670" customWidth="1"/>
    <col min="5349" max="5349" width="14.44140625" style="670" customWidth="1"/>
    <col min="5350" max="5350" width="18.21875" style="670" customWidth="1"/>
    <col min="5351" max="5351" width="15.6640625" style="670" customWidth="1"/>
    <col min="5352" max="5352" width="17.44140625" style="670" customWidth="1"/>
    <col min="5353" max="5353" width="15.6640625" style="670" customWidth="1"/>
    <col min="5354" max="5354" width="17.44140625" style="670" customWidth="1"/>
    <col min="5355" max="5355" width="17" style="670" customWidth="1"/>
    <col min="5356" max="5358" width="17.44140625" style="670" customWidth="1"/>
    <col min="5359" max="5359" width="14.77734375" style="670" customWidth="1"/>
    <col min="5360" max="5385" width="17.44140625" style="670" customWidth="1"/>
    <col min="5386" max="5386" width="17.109375" style="670" customWidth="1"/>
    <col min="5387" max="5387" width="16.44140625" style="670" customWidth="1"/>
    <col min="5388" max="5388" width="18.6640625" style="670" customWidth="1"/>
    <col min="5389" max="5389" width="20.21875" style="670" bestFit="1" customWidth="1"/>
    <col min="5390" max="5390" width="25.6640625" style="670" customWidth="1"/>
    <col min="5391" max="5391" width="19.44140625" style="670" bestFit="1" customWidth="1"/>
    <col min="5392" max="5392" width="21.109375" style="670" bestFit="1" customWidth="1"/>
    <col min="5393" max="5393" width="15.88671875" style="670" bestFit="1" customWidth="1"/>
    <col min="5394" max="5394" width="8.88671875" style="670"/>
    <col min="5395" max="5395" width="13.44140625" style="670" bestFit="1" customWidth="1"/>
    <col min="5396" max="5396" width="8.88671875" style="670"/>
    <col min="5397" max="5397" width="11.77734375" style="670" bestFit="1" customWidth="1"/>
    <col min="5398" max="5399" width="8.88671875" style="670"/>
    <col min="5400" max="5400" width="11.6640625" style="670" bestFit="1" customWidth="1"/>
    <col min="5401" max="5598" width="8.88671875" style="670"/>
    <col min="5599" max="5599" width="10" style="670" customWidth="1"/>
    <col min="5600" max="5600" width="64.44140625" style="670" customWidth="1"/>
    <col min="5601" max="5601" width="18.77734375" style="670" customWidth="1"/>
    <col min="5602" max="5602" width="11" style="670" customWidth="1"/>
    <col min="5603" max="5603" width="14.6640625" style="670" customWidth="1"/>
    <col min="5604" max="5604" width="18.6640625" style="670" customWidth="1"/>
    <col min="5605" max="5605" width="14.44140625" style="670" customWidth="1"/>
    <col min="5606" max="5606" width="18.21875" style="670" customWidth="1"/>
    <col min="5607" max="5607" width="15.6640625" style="670" customWidth="1"/>
    <col min="5608" max="5608" width="17.44140625" style="670" customWidth="1"/>
    <col min="5609" max="5609" width="15.6640625" style="670" customWidth="1"/>
    <col min="5610" max="5610" width="17.44140625" style="670" customWidth="1"/>
    <col min="5611" max="5611" width="17" style="670" customWidth="1"/>
    <col min="5612" max="5614" width="17.44140625" style="670" customWidth="1"/>
    <col min="5615" max="5615" width="14.77734375" style="670" customWidth="1"/>
    <col min="5616" max="5641" width="17.44140625" style="670" customWidth="1"/>
    <col min="5642" max="5642" width="17.109375" style="670" customWidth="1"/>
    <col min="5643" max="5643" width="16.44140625" style="670" customWidth="1"/>
    <col min="5644" max="5644" width="18.6640625" style="670" customWidth="1"/>
    <col min="5645" max="5645" width="20.21875" style="670" bestFit="1" customWidth="1"/>
    <col min="5646" max="5646" width="25.6640625" style="670" customWidth="1"/>
    <col min="5647" max="5647" width="19.44140625" style="670" bestFit="1" customWidth="1"/>
    <col min="5648" max="5648" width="21.109375" style="670" bestFit="1" customWidth="1"/>
    <col min="5649" max="5649" width="15.88671875" style="670" bestFit="1" customWidth="1"/>
    <col min="5650" max="5650" width="8.88671875" style="670"/>
    <col min="5651" max="5651" width="13.44140625" style="670" bestFit="1" customWidth="1"/>
    <col min="5652" max="5652" width="8.88671875" style="670"/>
    <col min="5653" max="5653" width="11.77734375" style="670" bestFit="1" customWidth="1"/>
    <col min="5654" max="5655" width="8.88671875" style="670"/>
    <col min="5656" max="5656" width="11.6640625" style="670" bestFit="1" customWidth="1"/>
    <col min="5657" max="5854" width="8.88671875" style="670"/>
    <col min="5855" max="5855" width="10" style="670" customWidth="1"/>
    <col min="5856" max="5856" width="64.44140625" style="670" customWidth="1"/>
    <col min="5857" max="5857" width="18.77734375" style="670" customWidth="1"/>
    <col min="5858" max="5858" width="11" style="670" customWidth="1"/>
    <col min="5859" max="5859" width="14.6640625" style="670" customWidth="1"/>
    <col min="5860" max="5860" width="18.6640625" style="670" customWidth="1"/>
    <col min="5861" max="5861" width="14.44140625" style="670" customWidth="1"/>
    <col min="5862" max="5862" width="18.21875" style="670" customWidth="1"/>
    <col min="5863" max="5863" width="15.6640625" style="670" customWidth="1"/>
    <col min="5864" max="5864" width="17.44140625" style="670" customWidth="1"/>
    <col min="5865" max="5865" width="15.6640625" style="670" customWidth="1"/>
    <col min="5866" max="5866" width="17.44140625" style="670" customWidth="1"/>
    <col min="5867" max="5867" width="17" style="670" customWidth="1"/>
    <col min="5868" max="5870" width="17.44140625" style="670" customWidth="1"/>
    <col min="5871" max="5871" width="14.77734375" style="670" customWidth="1"/>
    <col min="5872" max="5897" width="17.44140625" style="670" customWidth="1"/>
    <col min="5898" max="5898" width="17.109375" style="670" customWidth="1"/>
    <col min="5899" max="5899" width="16.44140625" style="670" customWidth="1"/>
    <col min="5900" max="5900" width="18.6640625" style="670" customWidth="1"/>
    <col min="5901" max="5901" width="20.21875" style="670" bestFit="1" customWidth="1"/>
    <col min="5902" max="5902" width="25.6640625" style="670" customWidth="1"/>
    <col min="5903" max="5903" width="19.44140625" style="670" bestFit="1" customWidth="1"/>
    <col min="5904" max="5904" width="21.109375" style="670" bestFit="1" customWidth="1"/>
    <col min="5905" max="5905" width="15.88671875" style="670" bestFit="1" customWidth="1"/>
    <col min="5906" max="5906" width="8.88671875" style="670"/>
    <col min="5907" max="5907" width="13.44140625" style="670" bestFit="1" customWidth="1"/>
    <col min="5908" max="5908" width="8.88671875" style="670"/>
    <col min="5909" max="5909" width="11.77734375" style="670" bestFit="1" customWidth="1"/>
    <col min="5910" max="5911" width="8.88671875" style="670"/>
    <col min="5912" max="5912" width="11.6640625" style="670" bestFit="1" customWidth="1"/>
    <col min="5913" max="6110" width="8.88671875" style="670"/>
    <col min="6111" max="6111" width="10" style="670" customWidth="1"/>
    <col min="6112" max="6112" width="64.44140625" style="670" customWidth="1"/>
    <col min="6113" max="6113" width="18.77734375" style="670" customWidth="1"/>
    <col min="6114" max="6114" width="11" style="670" customWidth="1"/>
    <col min="6115" max="6115" width="14.6640625" style="670" customWidth="1"/>
    <col min="6116" max="6116" width="18.6640625" style="670" customWidth="1"/>
    <col min="6117" max="6117" width="14.44140625" style="670" customWidth="1"/>
    <col min="6118" max="6118" width="18.21875" style="670" customWidth="1"/>
    <col min="6119" max="6119" width="15.6640625" style="670" customWidth="1"/>
    <col min="6120" max="6120" width="17.44140625" style="670" customWidth="1"/>
    <col min="6121" max="6121" width="15.6640625" style="670" customWidth="1"/>
    <col min="6122" max="6122" width="17.44140625" style="670" customWidth="1"/>
    <col min="6123" max="6123" width="17" style="670" customWidth="1"/>
    <col min="6124" max="6126" width="17.44140625" style="670" customWidth="1"/>
    <col min="6127" max="6127" width="14.77734375" style="670" customWidth="1"/>
    <col min="6128" max="6153" width="17.44140625" style="670" customWidth="1"/>
    <col min="6154" max="6154" width="17.109375" style="670" customWidth="1"/>
    <col min="6155" max="6155" width="16.44140625" style="670" customWidth="1"/>
    <col min="6156" max="6156" width="18.6640625" style="670" customWidth="1"/>
    <col min="6157" max="6157" width="20.21875" style="670" bestFit="1" customWidth="1"/>
    <col min="6158" max="6158" width="25.6640625" style="670" customWidth="1"/>
    <col min="6159" max="6159" width="19.44140625" style="670" bestFit="1" customWidth="1"/>
    <col min="6160" max="6160" width="21.109375" style="670" bestFit="1" customWidth="1"/>
    <col min="6161" max="6161" width="15.88671875" style="670" bestFit="1" customWidth="1"/>
    <col min="6162" max="6162" width="8.88671875" style="670"/>
    <col min="6163" max="6163" width="13.44140625" style="670" bestFit="1" customWidth="1"/>
    <col min="6164" max="6164" width="8.88671875" style="670"/>
    <col min="6165" max="6165" width="11.77734375" style="670" bestFit="1" customWidth="1"/>
    <col min="6166" max="6167" width="8.88671875" style="670"/>
    <col min="6168" max="6168" width="11.6640625" style="670" bestFit="1" customWidth="1"/>
    <col min="6169" max="6366" width="8.88671875" style="670"/>
    <col min="6367" max="6367" width="10" style="670" customWidth="1"/>
    <col min="6368" max="6368" width="64.44140625" style="670" customWidth="1"/>
    <col min="6369" max="6369" width="18.77734375" style="670" customWidth="1"/>
    <col min="6370" max="6370" width="11" style="670" customWidth="1"/>
    <col min="6371" max="6371" width="14.6640625" style="670" customWidth="1"/>
    <col min="6372" max="6372" width="18.6640625" style="670" customWidth="1"/>
    <col min="6373" max="6373" width="14.44140625" style="670" customWidth="1"/>
    <col min="6374" max="6374" width="18.21875" style="670" customWidth="1"/>
    <col min="6375" max="6375" width="15.6640625" style="670" customWidth="1"/>
    <col min="6376" max="6376" width="17.44140625" style="670" customWidth="1"/>
    <col min="6377" max="6377" width="15.6640625" style="670" customWidth="1"/>
    <col min="6378" max="6378" width="17.44140625" style="670" customWidth="1"/>
    <col min="6379" max="6379" width="17" style="670" customWidth="1"/>
    <col min="6380" max="6382" width="17.44140625" style="670" customWidth="1"/>
    <col min="6383" max="6383" width="14.77734375" style="670" customWidth="1"/>
    <col min="6384" max="6409" width="17.44140625" style="670" customWidth="1"/>
    <col min="6410" max="6410" width="17.109375" style="670" customWidth="1"/>
    <col min="6411" max="6411" width="16.44140625" style="670" customWidth="1"/>
    <col min="6412" max="6412" width="18.6640625" style="670" customWidth="1"/>
    <col min="6413" max="6413" width="20.21875" style="670" bestFit="1" customWidth="1"/>
    <col min="6414" max="6414" width="25.6640625" style="670" customWidth="1"/>
    <col min="6415" max="6415" width="19.44140625" style="670" bestFit="1" customWidth="1"/>
    <col min="6416" max="6416" width="21.109375" style="670" bestFit="1" customWidth="1"/>
    <col min="6417" max="6417" width="15.88671875" style="670" bestFit="1" customWidth="1"/>
    <col min="6418" max="6418" width="8.88671875" style="670"/>
    <col min="6419" max="6419" width="13.44140625" style="670" bestFit="1" customWidth="1"/>
    <col min="6420" max="6420" width="8.88671875" style="670"/>
    <col min="6421" max="6421" width="11.77734375" style="670" bestFit="1" customWidth="1"/>
    <col min="6422" max="6423" width="8.88671875" style="670"/>
    <col min="6424" max="6424" width="11.6640625" style="670" bestFit="1" customWidth="1"/>
    <col min="6425" max="6622" width="8.88671875" style="670"/>
    <col min="6623" max="6623" width="10" style="670" customWidth="1"/>
    <col min="6624" max="6624" width="64.44140625" style="670" customWidth="1"/>
    <col min="6625" max="6625" width="18.77734375" style="670" customWidth="1"/>
    <col min="6626" max="6626" width="11" style="670" customWidth="1"/>
    <col min="6627" max="6627" width="14.6640625" style="670" customWidth="1"/>
    <col min="6628" max="6628" width="18.6640625" style="670" customWidth="1"/>
    <col min="6629" max="6629" width="14.44140625" style="670" customWidth="1"/>
    <col min="6630" max="6630" width="18.21875" style="670" customWidth="1"/>
    <col min="6631" max="6631" width="15.6640625" style="670" customWidth="1"/>
    <col min="6632" max="6632" width="17.44140625" style="670" customWidth="1"/>
    <col min="6633" max="6633" width="15.6640625" style="670" customWidth="1"/>
    <col min="6634" max="6634" width="17.44140625" style="670" customWidth="1"/>
    <col min="6635" max="6635" width="17" style="670" customWidth="1"/>
    <col min="6636" max="6638" width="17.44140625" style="670" customWidth="1"/>
    <col min="6639" max="6639" width="14.77734375" style="670" customWidth="1"/>
    <col min="6640" max="6665" width="17.44140625" style="670" customWidth="1"/>
    <col min="6666" max="6666" width="17.109375" style="670" customWidth="1"/>
    <col min="6667" max="6667" width="16.44140625" style="670" customWidth="1"/>
    <col min="6668" max="6668" width="18.6640625" style="670" customWidth="1"/>
    <col min="6669" max="6669" width="20.21875" style="670" bestFit="1" customWidth="1"/>
    <col min="6670" max="6670" width="25.6640625" style="670" customWidth="1"/>
    <col min="6671" max="6671" width="19.44140625" style="670" bestFit="1" customWidth="1"/>
    <col min="6672" max="6672" width="21.109375" style="670" bestFit="1" customWidth="1"/>
    <col min="6673" max="6673" width="15.88671875" style="670" bestFit="1" customWidth="1"/>
    <col min="6674" max="6674" width="8.88671875" style="670"/>
    <col min="6675" max="6675" width="13.44140625" style="670" bestFit="1" customWidth="1"/>
    <col min="6676" max="6676" width="8.88671875" style="670"/>
    <col min="6677" max="6677" width="11.77734375" style="670" bestFit="1" customWidth="1"/>
    <col min="6678" max="6679" width="8.88671875" style="670"/>
    <col min="6680" max="6680" width="11.6640625" style="670" bestFit="1" customWidth="1"/>
    <col min="6681" max="6878" width="8.88671875" style="670"/>
    <col min="6879" max="6879" width="10" style="670" customWidth="1"/>
    <col min="6880" max="6880" width="64.44140625" style="670" customWidth="1"/>
    <col min="6881" max="6881" width="18.77734375" style="670" customWidth="1"/>
    <col min="6882" max="6882" width="11" style="670" customWidth="1"/>
    <col min="6883" max="6883" width="14.6640625" style="670" customWidth="1"/>
    <col min="6884" max="6884" width="18.6640625" style="670" customWidth="1"/>
    <col min="6885" max="6885" width="14.44140625" style="670" customWidth="1"/>
    <col min="6886" max="6886" width="18.21875" style="670" customWidth="1"/>
    <col min="6887" max="6887" width="15.6640625" style="670" customWidth="1"/>
    <col min="6888" max="6888" width="17.44140625" style="670" customWidth="1"/>
    <col min="6889" max="6889" width="15.6640625" style="670" customWidth="1"/>
    <col min="6890" max="6890" width="17.44140625" style="670" customWidth="1"/>
    <col min="6891" max="6891" width="17" style="670" customWidth="1"/>
    <col min="6892" max="6894" width="17.44140625" style="670" customWidth="1"/>
    <col min="6895" max="6895" width="14.77734375" style="670" customWidth="1"/>
    <col min="6896" max="6921" width="17.44140625" style="670" customWidth="1"/>
    <col min="6922" max="6922" width="17.109375" style="670" customWidth="1"/>
    <col min="6923" max="6923" width="16.44140625" style="670" customWidth="1"/>
    <col min="6924" max="6924" width="18.6640625" style="670" customWidth="1"/>
    <col min="6925" max="6925" width="20.21875" style="670" bestFit="1" customWidth="1"/>
    <col min="6926" max="6926" width="25.6640625" style="670" customWidth="1"/>
    <col min="6927" max="6927" width="19.44140625" style="670" bestFit="1" customWidth="1"/>
    <col min="6928" max="6928" width="21.109375" style="670" bestFit="1" customWidth="1"/>
    <col min="6929" max="6929" width="15.88671875" style="670" bestFit="1" customWidth="1"/>
    <col min="6930" max="6930" width="8.88671875" style="670"/>
    <col min="6931" max="6931" width="13.44140625" style="670" bestFit="1" customWidth="1"/>
    <col min="6932" max="6932" width="8.88671875" style="670"/>
    <col min="6933" max="6933" width="11.77734375" style="670" bestFit="1" customWidth="1"/>
    <col min="6934" max="6935" width="8.88671875" style="670"/>
    <col min="6936" max="6936" width="11.6640625" style="670" bestFit="1" customWidth="1"/>
    <col min="6937" max="7134" width="8.88671875" style="670"/>
    <col min="7135" max="7135" width="10" style="670" customWidth="1"/>
    <col min="7136" max="7136" width="64.44140625" style="670" customWidth="1"/>
    <col min="7137" max="7137" width="18.77734375" style="670" customWidth="1"/>
    <col min="7138" max="7138" width="11" style="670" customWidth="1"/>
    <col min="7139" max="7139" width="14.6640625" style="670" customWidth="1"/>
    <col min="7140" max="7140" width="18.6640625" style="670" customWidth="1"/>
    <col min="7141" max="7141" width="14.44140625" style="670" customWidth="1"/>
    <col min="7142" max="7142" width="18.21875" style="670" customWidth="1"/>
    <col min="7143" max="7143" width="15.6640625" style="670" customWidth="1"/>
    <col min="7144" max="7144" width="17.44140625" style="670" customWidth="1"/>
    <col min="7145" max="7145" width="15.6640625" style="670" customWidth="1"/>
    <col min="7146" max="7146" width="17.44140625" style="670" customWidth="1"/>
    <col min="7147" max="7147" width="17" style="670" customWidth="1"/>
    <col min="7148" max="7150" width="17.44140625" style="670" customWidth="1"/>
    <col min="7151" max="7151" width="14.77734375" style="670" customWidth="1"/>
    <col min="7152" max="7177" width="17.44140625" style="670" customWidth="1"/>
    <col min="7178" max="7178" width="17.109375" style="670" customWidth="1"/>
    <col min="7179" max="7179" width="16.44140625" style="670" customWidth="1"/>
    <col min="7180" max="7180" width="18.6640625" style="670" customWidth="1"/>
    <col min="7181" max="7181" width="20.21875" style="670" bestFit="1" customWidth="1"/>
    <col min="7182" max="7182" width="25.6640625" style="670" customWidth="1"/>
    <col min="7183" max="7183" width="19.44140625" style="670" bestFit="1" customWidth="1"/>
    <col min="7184" max="7184" width="21.109375" style="670" bestFit="1" customWidth="1"/>
    <col min="7185" max="7185" width="15.88671875" style="670" bestFit="1" customWidth="1"/>
    <col min="7186" max="7186" width="8.88671875" style="670"/>
    <col min="7187" max="7187" width="13.44140625" style="670" bestFit="1" customWidth="1"/>
    <col min="7188" max="7188" width="8.88671875" style="670"/>
    <col min="7189" max="7189" width="11.77734375" style="670" bestFit="1" customWidth="1"/>
    <col min="7190" max="7191" width="8.88671875" style="670"/>
    <col min="7192" max="7192" width="11.6640625" style="670" bestFit="1" customWidth="1"/>
    <col min="7193" max="7390" width="8.88671875" style="670"/>
    <col min="7391" max="7391" width="10" style="670" customWidth="1"/>
    <col min="7392" max="7392" width="64.44140625" style="670" customWidth="1"/>
    <col min="7393" max="7393" width="18.77734375" style="670" customWidth="1"/>
    <col min="7394" max="7394" width="11" style="670" customWidth="1"/>
    <col min="7395" max="7395" width="14.6640625" style="670" customWidth="1"/>
    <col min="7396" max="7396" width="18.6640625" style="670" customWidth="1"/>
    <col min="7397" max="7397" width="14.44140625" style="670" customWidth="1"/>
    <col min="7398" max="7398" width="18.21875" style="670" customWidth="1"/>
    <col min="7399" max="7399" width="15.6640625" style="670" customWidth="1"/>
    <col min="7400" max="7400" width="17.44140625" style="670" customWidth="1"/>
    <col min="7401" max="7401" width="15.6640625" style="670" customWidth="1"/>
    <col min="7402" max="7402" width="17.44140625" style="670" customWidth="1"/>
    <col min="7403" max="7403" width="17" style="670" customWidth="1"/>
    <col min="7404" max="7406" width="17.44140625" style="670" customWidth="1"/>
    <col min="7407" max="7407" width="14.77734375" style="670" customWidth="1"/>
    <col min="7408" max="7433" width="17.44140625" style="670" customWidth="1"/>
    <col min="7434" max="7434" width="17.109375" style="670" customWidth="1"/>
    <col min="7435" max="7435" width="16.44140625" style="670" customWidth="1"/>
    <col min="7436" max="7436" width="18.6640625" style="670" customWidth="1"/>
    <col min="7437" max="7437" width="20.21875" style="670" bestFit="1" customWidth="1"/>
    <col min="7438" max="7438" width="25.6640625" style="670" customWidth="1"/>
    <col min="7439" max="7439" width="19.44140625" style="670" bestFit="1" customWidth="1"/>
    <col min="7440" max="7440" width="21.109375" style="670" bestFit="1" customWidth="1"/>
    <col min="7441" max="7441" width="15.88671875" style="670" bestFit="1" customWidth="1"/>
    <col min="7442" max="7442" width="8.88671875" style="670"/>
    <col min="7443" max="7443" width="13.44140625" style="670" bestFit="1" customWidth="1"/>
    <col min="7444" max="7444" width="8.88671875" style="670"/>
    <col min="7445" max="7445" width="11.77734375" style="670" bestFit="1" customWidth="1"/>
    <col min="7446" max="7447" width="8.88671875" style="670"/>
    <col min="7448" max="7448" width="11.6640625" style="670" bestFit="1" customWidth="1"/>
    <col min="7449" max="7646" width="8.88671875" style="670"/>
    <col min="7647" max="7647" width="10" style="670" customWidth="1"/>
    <col min="7648" max="7648" width="64.44140625" style="670" customWidth="1"/>
    <col min="7649" max="7649" width="18.77734375" style="670" customWidth="1"/>
    <col min="7650" max="7650" width="11" style="670" customWidth="1"/>
    <col min="7651" max="7651" width="14.6640625" style="670" customWidth="1"/>
    <col min="7652" max="7652" width="18.6640625" style="670" customWidth="1"/>
    <col min="7653" max="7653" width="14.44140625" style="670" customWidth="1"/>
    <col min="7654" max="7654" width="18.21875" style="670" customWidth="1"/>
    <col min="7655" max="7655" width="15.6640625" style="670" customWidth="1"/>
    <col min="7656" max="7656" width="17.44140625" style="670" customWidth="1"/>
    <col min="7657" max="7657" width="15.6640625" style="670" customWidth="1"/>
    <col min="7658" max="7658" width="17.44140625" style="670" customWidth="1"/>
    <col min="7659" max="7659" width="17" style="670" customWidth="1"/>
    <col min="7660" max="7662" width="17.44140625" style="670" customWidth="1"/>
    <col min="7663" max="7663" width="14.77734375" style="670" customWidth="1"/>
    <col min="7664" max="7689" width="17.44140625" style="670" customWidth="1"/>
    <col min="7690" max="7690" width="17.109375" style="670" customWidth="1"/>
    <col min="7691" max="7691" width="16.44140625" style="670" customWidth="1"/>
    <col min="7692" max="7692" width="18.6640625" style="670" customWidth="1"/>
    <col min="7693" max="7693" width="20.21875" style="670" bestFit="1" customWidth="1"/>
    <col min="7694" max="7694" width="25.6640625" style="670" customWidth="1"/>
    <col min="7695" max="7695" width="19.44140625" style="670" bestFit="1" customWidth="1"/>
    <col min="7696" max="7696" width="21.109375" style="670" bestFit="1" customWidth="1"/>
    <col min="7697" max="7697" width="15.88671875" style="670" bestFit="1" customWidth="1"/>
    <col min="7698" max="7698" width="8.88671875" style="670"/>
    <col min="7699" max="7699" width="13.44140625" style="670" bestFit="1" customWidth="1"/>
    <col min="7700" max="7700" width="8.88671875" style="670"/>
    <col min="7701" max="7701" width="11.77734375" style="670" bestFit="1" customWidth="1"/>
    <col min="7702" max="7703" width="8.88671875" style="670"/>
    <col min="7704" max="7704" width="11.6640625" style="670" bestFit="1" customWidth="1"/>
    <col min="7705" max="7902" width="8.88671875" style="670"/>
    <col min="7903" max="7903" width="10" style="670" customWidth="1"/>
    <col min="7904" max="7904" width="64.44140625" style="670" customWidth="1"/>
    <col min="7905" max="7905" width="18.77734375" style="670" customWidth="1"/>
    <col min="7906" max="7906" width="11" style="670" customWidth="1"/>
    <col min="7907" max="7907" width="14.6640625" style="670" customWidth="1"/>
    <col min="7908" max="7908" width="18.6640625" style="670" customWidth="1"/>
    <col min="7909" max="7909" width="14.44140625" style="670" customWidth="1"/>
    <col min="7910" max="7910" width="18.21875" style="670" customWidth="1"/>
    <col min="7911" max="7911" width="15.6640625" style="670" customWidth="1"/>
    <col min="7912" max="7912" width="17.44140625" style="670" customWidth="1"/>
    <col min="7913" max="7913" width="15.6640625" style="670" customWidth="1"/>
    <col min="7914" max="7914" width="17.44140625" style="670" customWidth="1"/>
    <col min="7915" max="7915" width="17" style="670" customWidth="1"/>
    <col min="7916" max="7918" width="17.44140625" style="670" customWidth="1"/>
    <col min="7919" max="7919" width="14.77734375" style="670" customWidth="1"/>
    <col min="7920" max="7945" width="17.44140625" style="670" customWidth="1"/>
    <col min="7946" max="7946" width="17.109375" style="670" customWidth="1"/>
    <col min="7947" max="7947" width="16.44140625" style="670" customWidth="1"/>
    <col min="7948" max="7948" width="18.6640625" style="670" customWidth="1"/>
    <col min="7949" max="7949" width="20.21875" style="670" bestFit="1" customWidth="1"/>
    <col min="7950" max="7950" width="25.6640625" style="670" customWidth="1"/>
    <col min="7951" max="7951" width="19.44140625" style="670" bestFit="1" customWidth="1"/>
    <col min="7952" max="7952" width="21.109375" style="670" bestFit="1" customWidth="1"/>
    <col min="7953" max="7953" width="15.88671875" style="670" bestFit="1" customWidth="1"/>
    <col min="7954" max="7954" width="8.88671875" style="670"/>
    <col min="7955" max="7955" width="13.44140625" style="670" bestFit="1" customWidth="1"/>
    <col min="7956" max="7956" width="8.88671875" style="670"/>
    <col min="7957" max="7957" width="11.77734375" style="670" bestFit="1" customWidth="1"/>
    <col min="7958" max="7959" width="8.88671875" style="670"/>
    <col min="7960" max="7960" width="11.6640625" style="670" bestFit="1" customWidth="1"/>
    <col min="7961" max="8158" width="8.88671875" style="670"/>
    <col min="8159" max="8159" width="10" style="670" customWidth="1"/>
    <col min="8160" max="8160" width="64.44140625" style="670" customWidth="1"/>
    <col min="8161" max="8161" width="18.77734375" style="670" customWidth="1"/>
    <col min="8162" max="8162" width="11" style="670" customWidth="1"/>
    <col min="8163" max="8163" width="14.6640625" style="670" customWidth="1"/>
    <col min="8164" max="8164" width="18.6640625" style="670" customWidth="1"/>
    <col min="8165" max="8165" width="14.44140625" style="670" customWidth="1"/>
    <col min="8166" max="8166" width="18.21875" style="670" customWidth="1"/>
    <col min="8167" max="8167" width="15.6640625" style="670" customWidth="1"/>
    <col min="8168" max="8168" width="17.44140625" style="670" customWidth="1"/>
    <col min="8169" max="8169" width="15.6640625" style="670" customWidth="1"/>
    <col min="8170" max="8170" width="17.44140625" style="670" customWidth="1"/>
    <col min="8171" max="8171" width="17" style="670" customWidth="1"/>
    <col min="8172" max="8174" width="17.44140625" style="670" customWidth="1"/>
    <col min="8175" max="8175" width="14.77734375" style="670" customWidth="1"/>
    <col min="8176" max="8201" width="17.44140625" style="670" customWidth="1"/>
    <col min="8202" max="8202" width="17.109375" style="670" customWidth="1"/>
    <col min="8203" max="8203" width="16.44140625" style="670" customWidth="1"/>
    <col min="8204" max="8204" width="18.6640625" style="670" customWidth="1"/>
    <col min="8205" max="8205" width="20.21875" style="670" bestFit="1" customWidth="1"/>
    <col min="8206" max="8206" width="25.6640625" style="670" customWidth="1"/>
    <col min="8207" max="8207" width="19.44140625" style="670" bestFit="1" customWidth="1"/>
    <col min="8208" max="8208" width="21.109375" style="670" bestFit="1" customWidth="1"/>
    <col min="8209" max="8209" width="15.88671875" style="670" bestFit="1" customWidth="1"/>
    <col min="8210" max="8210" width="8.88671875" style="670"/>
    <col min="8211" max="8211" width="13.44140625" style="670" bestFit="1" customWidth="1"/>
    <col min="8212" max="8212" width="8.88671875" style="670"/>
    <col min="8213" max="8213" width="11.77734375" style="670" bestFit="1" customWidth="1"/>
    <col min="8214" max="8215" width="8.88671875" style="670"/>
    <col min="8216" max="8216" width="11.6640625" style="670" bestFit="1" customWidth="1"/>
    <col min="8217" max="8414" width="8.88671875" style="670"/>
    <col min="8415" max="8415" width="10" style="670" customWidth="1"/>
    <col min="8416" max="8416" width="64.44140625" style="670" customWidth="1"/>
    <col min="8417" max="8417" width="18.77734375" style="670" customWidth="1"/>
    <col min="8418" max="8418" width="11" style="670" customWidth="1"/>
    <col min="8419" max="8419" width="14.6640625" style="670" customWidth="1"/>
    <col min="8420" max="8420" width="18.6640625" style="670" customWidth="1"/>
    <col min="8421" max="8421" width="14.44140625" style="670" customWidth="1"/>
    <col min="8422" max="8422" width="18.21875" style="670" customWidth="1"/>
    <col min="8423" max="8423" width="15.6640625" style="670" customWidth="1"/>
    <col min="8424" max="8424" width="17.44140625" style="670" customWidth="1"/>
    <col min="8425" max="8425" width="15.6640625" style="670" customWidth="1"/>
    <col min="8426" max="8426" width="17.44140625" style="670" customWidth="1"/>
    <col min="8427" max="8427" width="17" style="670" customWidth="1"/>
    <col min="8428" max="8430" width="17.44140625" style="670" customWidth="1"/>
    <col min="8431" max="8431" width="14.77734375" style="670" customWidth="1"/>
    <col min="8432" max="8457" width="17.44140625" style="670" customWidth="1"/>
    <col min="8458" max="8458" width="17.109375" style="670" customWidth="1"/>
    <col min="8459" max="8459" width="16.44140625" style="670" customWidth="1"/>
    <col min="8460" max="8460" width="18.6640625" style="670" customWidth="1"/>
    <col min="8461" max="8461" width="20.21875" style="670" bestFit="1" customWidth="1"/>
    <col min="8462" max="8462" width="25.6640625" style="670" customWidth="1"/>
    <col min="8463" max="8463" width="19.44140625" style="670" bestFit="1" customWidth="1"/>
    <col min="8464" max="8464" width="21.109375" style="670" bestFit="1" customWidth="1"/>
    <col min="8465" max="8465" width="15.88671875" style="670" bestFit="1" customWidth="1"/>
    <col min="8466" max="8466" width="8.88671875" style="670"/>
    <col min="8467" max="8467" width="13.44140625" style="670" bestFit="1" customWidth="1"/>
    <col min="8468" max="8468" width="8.88671875" style="670"/>
    <col min="8469" max="8469" width="11.77734375" style="670" bestFit="1" customWidth="1"/>
    <col min="8470" max="8471" width="8.88671875" style="670"/>
    <col min="8472" max="8472" width="11.6640625" style="670" bestFit="1" customWidth="1"/>
    <col min="8473" max="8670" width="8.88671875" style="670"/>
    <col min="8671" max="8671" width="10" style="670" customWidth="1"/>
    <col min="8672" max="8672" width="64.44140625" style="670" customWidth="1"/>
    <col min="8673" max="8673" width="18.77734375" style="670" customWidth="1"/>
    <col min="8674" max="8674" width="11" style="670" customWidth="1"/>
    <col min="8675" max="8675" width="14.6640625" style="670" customWidth="1"/>
    <col min="8676" max="8676" width="18.6640625" style="670" customWidth="1"/>
    <col min="8677" max="8677" width="14.44140625" style="670" customWidth="1"/>
    <col min="8678" max="8678" width="18.21875" style="670" customWidth="1"/>
    <col min="8679" max="8679" width="15.6640625" style="670" customWidth="1"/>
    <col min="8680" max="8680" width="17.44140625" style="670" customWidth="1"/>
    <col min="8681" max="8681" width="15.6640625" style="670" customWidth="1"/>
    <col min="8682" max="8682" width="17.44140625" style="670" customWidth="1"/>
    <col min="8683" max="8683" width="17" style="670" customWidth="1"/>
    <col min="8684" max="8686" width="17.44140625" style="670" customWidth="1"/>
    <col min="8687" max="8687" width="14.77734375" style="670" customWidth="1"/>
    <col min="8688" max="8713" width="17.44140625" style="670" customWidth="1"/>
    <col min="8714" max="8714" width="17.109375" style="670" customWidth="1"/>
    <col min="8715" max="8715" width="16.44140625" style="670" customWidth="1"/>
    <col min="8716" max="8716" width="18.6640625" style="670" customWidth="1"/>
    <col min="8717" max="8717" width="20.21875" style="670" bestFit="1" customWidth="1"/>
    <col min="8718" max="8718" width="25.6640625" style="670" customWidth="1"/>
    <col min="8719" max="8719" width="19.44140625" style="670" bestFit="1" customWidth="1"/>
    <col min="8720" max="8720" width="21.109375" style="670" bestFit="1" customWidth="1"/>
    <col min="8721" max="8721" width="15.88671875" style="670" bestFit="1" customWidth="1"/>
    <col min="8722" max="8722" width="8.88671875" style="670"/>
    <col min="8723" max="8723" width="13.44140625" style="670" bestFit="1" customWidth="1"/>
    <col min="8724" max="8724" width="8.88671875" style="670"/>
    <col min="8725" max="8725" width="11.77734375" style="670" bestFit="1" customWidth="1"/>
    <col min="8726" max="8727" width="8.88671875" style="670"/>
    <col min="8728" max="8728" width="11.6640625" style="670" bestFit="1" customWidth="1"/>
    <col min="8729" max="8926" width="8.88671875" style="670"/>
    <col min="8927" max="8927" width="10" style="670" customWidth="1"/>
    <col min="8928" max="8928" width="64.44140625" style="670" customWidth="1"/>
    <col min="8929" max="8929" width="18.77734375" style="670" customWidth="1"/>
    <col min="8930" max="8930" width="11" style="670" customWidth="1"/>
    <col min="8931" max="8931" width="14.6640625" style="670" customWidth="1"/>
    <col min="8932" max="8932" width="18.6640625" style="670" customWidth="1"/>
    <col min="8933" max="8933" width="14.44140625" style="670" customWidth="1"/>
    <col min="8934" max="8934" width="18.21875" style="670" customWidth="1"/>
    <col min="8935" max="8935" width="15.6640625" style="670" customWidth="1"/>
    <col min="8936" max="8936" width="17.44140625" style="670" customWidth="1"/>
    <col min="8937" max="8937" width="15.6640625" style="670" customWidth="1"/>
    <col min="8938" max="8938" width="17.44140625" style="670" customWidth="1"/>
    <col min="8939" max="8939" width="17" style="670" customWidth="1"/>
    <col min="8940" max="8942" width="17.44140625" style="670" customWidth="1"/>
    <col min="8943" max="8943" width="14.77734375" style="670" customWidth="1"/>
    <col min="8944" max="8969" width="17.44140625" style="670" customWidth="1"/>
    <col min="8970" max="8970" width="17.109375" style="670" customWidth="1"/>
    <col min="8971" max="8971" width="16.44140625" style="670" customWidth="1"/>
    <col min="8972" max="8972" width="18.6640625" style="670" customWidth="1"/>
    <col min="8973" max="8973" width="20.21875" style="670" bestFit="1" customWidth="1"/>
    <col min="8974" max="8974" width="25.6640625" style="670" customWidth="1"/>
    <col min="8975" max="8975" width="19.44140625" style="670" bestFit="1" customWidth="1"/>
    <col min="8976" max="8976" width="21.109375" style="670" bestFit="1" customWidth="1"/>
    <col min="8977" max="8977" width="15.88671875" style="670" bestFit="1" customWidth="1"/>
    <col min="8978" max="8978" width="8.88671875" style="670"/>
    <col min="8979" max="8979" width="13.44140625" style="670" bestFit="1" customWidth="1"/>
    <col min="8980" max="8980" width="8.88671875" style="670"/>
    <col min="8981" max="8981" width="11.77734375" style="670" bestFit="1" customWidth="1"/>
    <col min="8982" max="8983" width="8.88671875" style="670"/>
    <col min="8984" max="8984" width="11.6640625" style="670" bestFit="1" customWidth="1"/>
    <col min="8985" max="9182" width="8.88671875" style="670"/>
    <col min="9183" max="9183" width="10" style="670" customWidth="1"/>
    <col min="9184" max="9184" width="64.44140625" style="670" customWidth="1"/>
    <col min="9185" max="9185" width="18.77734375" style="670" customWidth="1"/>
    <col min="9186" max="9186" width="11" style="670" customWidth="1"/>
    <col min="9187" max="9187" width="14.6640625" style="670" customWidth="1"/>
    <col min="9188" max="9188" width="18.6640625" style="670" customWidth="1"/>
    <col min="9189" max="9189" width="14.44140625" style="670" customWidth="1"/>
    <col min="9190" max="9190" width="18.21875" style="670" customWidth="1"/>
    <col min="9191" max="9191" width="15.6640625" style="670" customWidth="1"/>
    <col min="9192" max="9192" width="17.44140625" style="670" customWidth="1"/>
    <col min="9193" max="9193" width="15.6640625" style="670" customWidth="1"/>
    <col min="9194" max="9194" width="17.44140625" style="670" customWidth="1"/>
    <col min="9195" max="9195" width="17" style="670" customWidth="1"/>
    <col min="9196" max="9198" width="17.44140625" style="670" customWidth="1"/>
    <col min="9199" max="9199" width="14.77734375" style="670" customWidth="1"/>
    <col min="9200" max="9225" width="17.44140625" style="670" customWidth="1"/>
    <col min="9226" max="9226" width="17.109375" style="670" customWidth="1"/>
    <col min="9227" max="9227" width="16.44140625" style="670" customWidth="1"/>
    <col min="9228" max="9228" width="18.6640625" style="670" customWidth="1"/>
    <col min="9229" max="9229" width="20.21875" style="670" bestFit="1" customWidth="1"/>
    <col min="9230" max="9230" width="25.6640625" style="670" customWidth="1"/>
    <col min="9231" max="9231" width="19.44140625" style="670" bestFit="1" customWidth="1"/>
    <col min="9232" max="9232" width="21.109375" style="670" bestFit="1" customWidth="1"/>
    <col min="9233" max="9233" width="15.88671875" style="670" bestFit="1" customWidth="1"/>
    <col min="9234" max="9234" width="8.88671875" style="670"/>
    <col min="9235" max="9235" width="13.44140625" style="670" bestFit="1" customWidth="1"/>
    <col min="9236" max="9236" width="8.88671875" style="670"/>
    <col min="9237" max="9237" width="11.77734375" style="670" bestFit="1" customWidth="1"/>
    <col min="9238" max="9239" width="8.88671875" style="670"/>
    <col min="9240" max="9240" width="11.6640625" style="670" bestFit="1" customWidth="1"/>
    <col min="9241" max="9438" width="8.88671875" style="670"/>
    <col min="9439" max="9439" width="10" style="670" customWidth="1"/>
    <col min="9440" max="9440" width="64.44140625" style="670" customWidth="1"/>
    <col min="9441" max="9441" width="18.77734375" style="670" customWidth="1"/>
    <col min="9442" max="9442" width="11" style="670" customWidth="1"/>
    <col min="9443" max="9443" width="14.6640625" style="670" customWidth="1"/>
    <col min="9444" max="9444" width="18.6640625" style="670" customWidth="1"/>
    <col min="9445" max="9445" width="14.44140625" style="670" customWidth="1"/>
    <col min="9446" max="9446" width="18.21875" style="670" customWidth="1"/>
    <col min="9447" max="9447" width="15.6640625" style="670" customWidth="1"/>
    <col min="9448" max="9448" width="17.44140625" style="670" customWidth="1"/>
    <col min="9449" max="9449" width="15.6640625" style="670" customWidth="1"/>
    <col min="9450" max="9450" width="17.44140625" style="670" customWidth="1"/>
    <col min="9451" max="9451" width="17" style="670" customWidth="1"/>
    <col min="9452" max="9454" width="17.44140625" style="670" customWidth="1"/>
    <col min="9455" max="9455" width="14.77734375" style="670" customWidth="1"/>
    <col min="9456" max="9481" width="17.44140625" style="670" customWidth="1"/>
    <col min="9482" max="9482" width="17.109375" style="670" customWidth="1"/>
    <col min="9483" max="9483" width="16.44140625" style="670" customWidth="1"/>
    <col min="9484" max="9484" width="18.6640625" style="670" customWidth="1"/>
    <col min="9485" max="9485" width="20.21875" style="670" bestFit="1" customWidth="1"/>
    <col min="9486" max="9486" width="25.6640625" style="670" customWidth="1"/>
    <col min="9487" max="9487" width="19.44140625" style="670" bestFit="1" customWidth="1"/>
    <col min="9488" max="9488" width="21.109375" style="670" bestFit="1" customWidth="1"/>
    <col min="9489" max="9489" width="15.88671875" style="670" bestFit="1" customWidth="1"/>
    <col min="9490" max="9490" width="8.88671875" style="670"/>
    <col min="9491" max="9491" width="13.44140625" style="670" bestFit="1" customWidth="1"/>
    <col min="9492" max="9492" width="8.88671875" style="670"/>
    <col min="9493" max="9493" width="11.77734375" style="670" bestFit="1" customWidth="1"/>
    <col min="9494" max="9495" width="8.88671875" style="670"/>
    <col min="9496" max="9496" width="11.6640625" style="670" bestFit="1" customWidth="1"/>
    <col min="9497" max="9694" width="8.88671875" style="670"/>
    <col min="9695" max="9695" width="10" style="670" customWidth="1"/>
    <col min="9696" max="9696" width="64.44140625" style="670" customWidth="1"/>
    <col min="9697" max="9697" width="18.77734375" style="670" customWidth="1"/>
    <col min="9698" max="9698" width="11" style="670" customWidth="1"/>
    <col min="9699" max="9699" width="14.6640625" style="670" customWidth="1"/>
    <col min="9700" max="9700" width="18.6640625" style="670" customWidth="1"/>
    <col min="9701" max="9701" width="14.44140625" style="670" customWidth="1"/>
    <col min="9702" max="9702" width="18.21875" style="670" customWidth="1"/>
    <col min="9703" max="9703" width="15.6640625" style="670" customWidth="1"/>
    <col min="9704" max="9704" width="17.44140625" style="670" customWidth="1"/>
    <col min="9705" max="9705" width="15.6640625" style="670" customWidth="1"/>
    <col min="9706" max="9706" width="17.44140625" style="670" customWidth="1"/>
    <col min="9707" max="9707" width="17" style="670" customWidth="1"/>
    <col min="9708" max="9710" width="17.44140625" style="670" customWidth="1"/>
    <col min="9711" max="9711" width="14.77734375" style="670" customWidth="1"/>
    <col min="9712" max="9737" width="17.44140625" style="670" customWidth="1"/>
    <col min="9738" max="9738" width="17.109375" style="670" customWidth="1"/>
    <col min="9739" max="9739" width="16.44140625" style="670" customWidth="1"/>
    <col min="9740" max="9740" width="18.6640625" style="670" customWidth="1"/>
    <col min="9741" max="9741" width="20.21875" style="670" bestFit="1" customWidth="1"/>
    <col min="9742" max="9742" width="25.6640625" style="670" customWidth="1"/>
    <col min="9743" max="9743" width="19.44140625" style="670" bestFit="1" customWidth="1"/>
    <col min="9744" max="9744" width="21.109375" style="670" bestFit="1" customWidth="1"/>
    <col min="9745" max="9745" width="15.88671875" style="670" bestFit="1" customWidth="1"/>
    <col min="9746" max="9746" width="8.88671875" style="670"/>
    <col min="9747" max="9747" width="13.44140625" style="670" bestFit="1" customWidth="1"/>
    <col min="9748" max="9748" width="8.88671875" style="670"/>
    <col min="9749" max="9749" width="11.77734375" style="670" bestFit="1" customWidth="1"/>
    <col min="9750" max="9751" width="8.88671875" style="670"/>
    <col min="9752" max="9752" width="11.6640625" style="670" bestFit="1" customWidth="1"/>
    <col min="9753" max="9950" width="8.88671875" style="670"/>
    <col min="9951" max="9951" width="10" style="670" customWidth="1"/>
    <col min="9952" max="9952" width="64.44140625" style="670" customWidth="1"/>
    <col min="9953" max="9953" width="18.77734375" style="670" customWidth="1"/>
    <col min="9954" max="9954" width="11" style="670" customWidth="1"/>
    <col min="9955" max="9955" width="14.6640625" style="670" customWidth="1"/>
    <col min="9956" max="9956" width="18.6640625" style="670" customWidth="1"/>
    <col min="9957" max="9957" width="14.44140625" style="670" customWidth="1"/>
    <col min="9958" max="9958" width="18.21875" style="670" customWidth="1"/>
    <col min="9959" max="9959" width="15.6640625" style="670" customWidth="1"/>
    <col min="9960" max="9960" width="17.44140625" style="670" customWidth="1"/>
    <col min="9961" max="9961" width="15.6640625" style="670" customWidth="1"/>
    <col min="9962" max="9962" width="17.44140625" style="670" customWidth="1"/>
    <col min="9963" max="9963" width="17" style="670" customWidth="1"/>
    <col min="9964" max="9966" width="17.44140625" style="670" customWidth="1"/>
    <col min="9967" max="9967" width="14.77734375" style="670" customWidth="1"/>
    <col min="9968" max="9993" width="17.44140625" style="670" customWidth="1"/>
    <col min="9994" max="9994" width="17.109375" style="670" customWidth="1"/>
    <col min="9995" max="9995" width="16.44140625" style="670" customWidth="1"/>
    <col min="9996" max="9996" width="18.6640625" style="670" customWidth="1"/>
    <col min="9997" max="9997" width="20.21875" style="670" bestFit="1" customWidth="1"/>
    <col min="9998" max="9998" width="25.6640625" style="670" customWidth="1"/>
    <col min="9999" max="9999" width="19.44140625" style="670" bestFit="1" customWidth="1"/>
    <col min="10000" max="10000" width="21.109375" style="670" bestFit="1" customWidth="1"/>
    <col min="10001" max="10001" width="15.88671875" style="670" bestFit="1" customWidth="1"/>
    <col min="10002" max="10002" width="8.88671875" style="670"/>
    <col min="10003" max="10003" width="13.44140625" style="670" bestFit="1" customWidth="1"/>
    <col min="10004" max="10004" width="8.88671875" style="670"/>
    <col min="10005" max="10005" width="11.77734375" style="670" bestFit="1" customWidth="1"/>
    <col min="10006" max="10007" width="8.88671875" style="670"/>
    <col min="10008" max="10008" width="11.6640625" style="670" bestFit="1" customWidth="1"/>
    <col min="10009" max="10206" width="8.88671875" style="670"/>
    <col min="10207" max="10207" width="10" style="670" customWidth="1"/>
    <col min="10208" max="10208" width="64.44140625" style="670" customWidth="1"/>
    <col min="10209" max="10209" width="18.77734375" style="670" customWidth="1"/>
    <col min="10210" max="10210" width="11" style="670" customWidth="1"/>
    <col min="10211" max="10211" width="14.6640625" style="670" customWidth="1"/>
    <col min="10212" max="10212" width="18.6640625" style="670" customWidth="1"/>
    <col min="10213" max="10213" width="14.44140625" style="670" customWidth="1"/>
    <col min="10214" max="10214" width="18.21875" style="670" customWidth="1"/>
    <col min="10215" max="10215" width="15.6640625" style="670" customWidth="1"/>
    <col min="10216" max="10216" width="17.44140625" style="670" customWidth="1"/>
    <col min="10217" max="10217" width="15.6640625" style="670" customWidth="1"/>
    <col min="10218" max="10218" width="17.44140625" style="670" customWidth="1"/>
    <col min="10219" max="10219" width="17" style="670" customWidth="1"/>
    <col min="10220" max="10222" width="17.44140625" style="670" customWidth="1"/>
    <col min="10223" max="10223" width="14.77734375" style="670" customWidth="1"/>
    <col min="10224" max="10249" width="17.44140625" style="670" customWidth="1"/>
    <col min="10250" max="10250" width="17.109375" style="670" customWidth="1"/>
    <col min="10251" max="10251" width="16.44140625" style="670" customWidth="1"/>
    <col min="10252" max="10252" width="18.6640625" style="670" customWidth="1"/>
    <col min="10253" max="10253" width="20.21875" style="670" bestFit="1" customWidth="1"/>
    <col min="10254" max="10254" width="25.6640625" style="670" customWidth="1"/>
    <col min="10255" max="10255" width="19.44140625" style="670" bestFit="1" customWidth="1"/>
    <col min="10256" max="10256" width="21.109375" style="670" bestFit="1" customWidth="1"/>
    <col min="10257" max="10257" width="15.88671875" style="670" bestFit="1" customWidth="1"/>
    <col min="10258" max="10258" width="8.88671875" style="670"/>
    <col min="10259" max="10259" width="13.44140625" style="670" bestFit="1" customWidth="1"/>
    <col min="10260" max="10260" width="8.88671875" style="670"/>
    <col min="10261" max="10261" width="11.77734375" style="670" bestFit="1" customWidth="1"/>
    <col min="10262" max="10263" width="8.88671875" style="670"/>
    <col min="10264" max="10264" width="11.6640625" style="670" bestFit="1" customWidth="1"/>
    <col min="10265" max="10462" width="8.88671875" style="670"/>
    <col min="10463" max="10463" width="10" style="670" customWidth="1"/>
    <col min="10464" max="10464" width="64.44140625" style="670" customWidth="1"/>
    <col min="10465" max="10465" width="18.77734375" style="670" customWidth="1"/>
    <col min="10466" max="10466" width="11" style="670" customWidth="1"/>
    <col min="10467" max="10467" width="14.6640625" style="670" customWidth="1"/>
    <col min="10468" max="10468" width="18.6640625" style="670" customWidth="1"/>
    <col min="10469" max="10469" width="14.44140625" style="670" customWidth="1"/>
    <col min="10470" max="10470" width="18.21875" style="670" customWidth="1"/>
    <col min="10471" max="10471" width="15.6640625" style="670" customWidth="1"/>
    <col min="10472" max="10472" width="17.44140625" style="670" customWidth="1"/>
    <col min="10473" max="10473" width="15.6640625" style="670" customWidth="1"/>
    <col min="10474" max="10474" width="17.44140625" style="670" customWidth="1"/>
    <col min="10475" max="10475" width="17" style="670" customWidth="1"/>
    <col min="10476" max="10478" width="17.44140625" style="670" customWidth="1"/>
    <col min="10479" max="10479" width="14.77734375" style="670" customWidth="1"/>
    <col min="10480" max="10505" width="17.44140625" style="670" customWidth="1"/>
    <col min="10506" max="10506" width="17.109375" style="670" customWidth="1"/>
    <col min="10507" max="10507" width="16.44140625" style="670" customWidth="1"/>
    <col min="10508" max="10508" width="18.6640625" style="670" customWidth="1"/>
    <col min="10509" max="10509" width="20.21875" style="670" bestFit="1" customWidth="1"/>
    <col min="10510" max="10510" width="25.6640625" style="670" customWidth="1"/>
    <col min="10511" max="10511" width="19.44140625" style="670" bestFit="1" customWidth="1"/>
    <col min="10512" max="10512" width="21.109375" style="670" bestFit="1" customWidth="1"/>
    <col min="10513" max="10513" width="15.88671875" style="670" bestFit="1" customWidth="1"/>
    <col min="10514" max="10514" width="8.88671875" style="670"/>
    <col min="10515" max="10515" width="13.44140625" style="670" bestFit="1" customWidth="1"/>
    <col min="10516" max="10516" width="8.88671875" style="670"/>
    <col min="10517" max="10517" width="11.77734375" style="670" bestFit="1" customWidth="1"/>
    <col min="10518" max="10519" width="8.88671875" style="670"/>
    <col min="10520" max="10520" width="11.6640625" style="670" bestFit="1" customWidth="1"/>
    <col min="10521" max="10718" width="8.88671875" style="670"/>
    <col min="10719" max="10719" width="10" style="670" customWidth="1"/>
    <col min="10720" max="10720" width="64.44140625" style="670" customWidth="1"/>
    <col min="10721" max="10721" width="18.77734375" style="670" customWidth="1"/>
    <col min="10722" max="10722" width="11" style="670" customWidth="1"/>
    <col min="10723" max="10723" width="14.6640625" style="670" customWidth="1"/>
    <col min="10724" max="10724" width="18.6640625" style="670" customWidth="1"/>
    <col min="10725" max="10725" width="14.44140625" style="670" customWidth="1"/>
    <col min="10726" max="10726" width="18.21875" style="670" customWidth="1"/>
    <col min="10727" max="10727" width="15.6640625" style="670" customWidth="1"/>
    <col min="10728" max="10728" width="17.44140625" style="670" customWidth="1"/>
    <col min="10729" max="10729" width="15.6640625" style="670" customWidth="1"/>
    <col min="10730" max="10730" width="17.44140625" style="670" customWidth="1"/>
    <col min="10731" max="10731" width="17" style="670" customWidth="1"/>
    <col min="10732" max="10734" width="17.44140625" style="670" customWidth="1"/>
    <col min="10735" max="10735" width="14.77734375" style="670" customWidth="1"/>
    <col min="10736" max="10761" width="17.44140625" style="670" customWidth="1"/>
    <col min="10762" max="10762" width="17.109375" style="670" customWidth="1"/>
    <col min="10763" max="10763" width="16.44140625" style="670" customWidth="1"/>
    <col min="10764" max="10764" width="18.6640625" style="670" customWidth="1"/>
    <col min="10765" max="10765" width="20.21875" style="670" bestFit="1" customWidth="1"/>
    <col min="10766" max="10766" width="25.6640625" style="670" customWidth="1"/>
    <col min="10767" max="10767" width="19.44140625" style="670" bestFit="1" customWidth="1"/>
    <col min="10768" max="10768" width="21.109375" style="670" bestFit="1" customWidth="1"/>
    <col min="10769" max="10769" width="15.88671875" style="670" bestFit="1" customWidth="1"/>
    <col min="10770" max="10770" width="8.88671875" style="670"/>
    <col min="10771" max="10771" width="13.44140625" style="670" bestFit="1" customWidth="1"/>
    <col min="10772" max="10772" width="8.88671875" style="670"/>
    <col min="10773" max="10773" width="11.77734375" style="670" bestFit="1" customWidth="1"/>
    <col min="10774" max="10775" width="8.88671875" style="670"/>
    <col min="10776" max="10776" width="11.6640625" style="670" bestFit="1" customWidth="1"/>
    <col min="10777" max="10974" width="8.88671875" style="670"/>
    <col min="10975" max="10975" width="10" style="670" customWidth="1"/>
    <col min="10976" max="10976" width="64.44140625" style="670" customWidth="1"/>
    <col min="10977" max="10977" width="18.77734375" style="670" customWidth="1"/>
    <col min="10978" max="10978" width="11" style="670" customWidth="1"/>
    <col min="10979" max="10979" width="14.6640625" style="670" customWidth="1"/>
    <col min="10980" max="10980" width="18.6640625" style="670" customWidth="1"/>
    <col min="10981" max="10981" width="14.44140625" style="670" customWidth="1"/>
    <col min="10982" max="10982" width="18.21875" style="670" customWidth="1"/>
    <col min="10983" max="10983" width="15.6640625" style="670" customWidth="1"/>
    <col min="10984" max="10984" width="17.44140625" style="670" customWidth="1"/>
    <col min="10985" max="10985" width="15.6640625" style="670" customWidth="1"/>
    <col min="10986" max="10986" width="17.44140625" style="670" customWidth="1"/>
    <col min="10987" max="10987" width="17" style="670" customWidth="1"/>
    <col min="10988" max="10990" width="17.44140625" style="670" customWidth="1"/>
    <col min="10991" max="10991" width="14.77734375" style="670" customWidth="1"/>
    <col min="10992" max="11017" width="17.44140625" style="670" customWidth="1"/>
    <col min="11018" max="11018" width="17.109375" style="670" customWidth="1"/>
    <col min="11019" max="11019" width="16.44140625" style="670" customWidth="1"/>
    <col min="11020" max="11020" width="18.6640625" style="670" customWidth="1"/>
    <col min="11021" max="11021" width="20.21875" style="670" bestFit="1" customWidth="1"/>
    <col min="11022" max="11022" width="25.6640625" style="670" customWidth="1"/>
    <col min="11023" max="11023" width="19.44140625" style="670" bestFit="1" customWidth="1"/>
    <col min="11024" max="11024" width="21.109375" style="670" bestFit="1" customWidth="1"/>
    <col min="11025" max="11025" width="15.88671875" style="670" bestFit="1" customWidth="1"/>
    <col min="11026" max="11026" width="8.88671875" style="670"/>
    <col min="11027" max="11027" width="13.44140625" style="670" bestFit="1" customWidth="1"/>
    <col min="11028" max="11028" width="8.88671875" style="670"/>
    <col min="11029" max="11029" width="11.77734375" style="670" bestFit="1" customWidth="1"/>
    <col min="11030" max="11031" width="8.88671875" style="670"/>
    <col min="11032" max="11032" width="11.6640625" style="670" bestFit="1" customWidth="1"/>
    <col min="11033" max="11230" width="8.88671875" style="670"/>
    <col min="11231" max="11231" width="10" style="670" customWidth="1"/>
    <col min="11232" max="11232" width="64.44140625" style="670" customWidth="1"/>
    <col min="11233" max="11233" width="18.77734375" style="670" customWidth="1"/>
    <col min="11234" max="11234" width="11" style="670" customWidth="1"/>
    <col min="11235" max="11235" width="14.6640625" style="670" customWidth="1"/>
    <col min="11236" max="11236" width="18.6640625" style="670" customWidth="1"/>
    <col min="11237" max="11237" width="14.44140625" style="670" customWidth="1"/>
    <col min="11238" max="11238" width="18.21875" style="670" customWidth="1"/>
    <col min="11239" max="11239" width="15.6640625" style="670" customWidth="1"/>
    <col min="11240" max="11240" width="17.44140625" style="670" customWidth="1"/>
    <col min="11241" max="11241" width="15.6640625" style="670" customWidth="1"/>
    <col min="11242" max="11242" width="17.44140625" style="670" customWidth="1"/>
    <col min="11243" max="11243" width="17" style="670" customWidth="1"/>
    <col min="11244" max="11246" width="17.44140625" style="670" customWidth="1"/>
    <col min="11247" max="11247" width="14.77734375" style="670" customWidth="1"/>
    <col min="11248" max="11273" width="17.44140625" style="670" customWidth="1"/>
    <col min="11274" max="11274" width="17.109375" style="670" customWidth="1"/>
    <col min="11275" max="11275" width="16.44140625" style="670" customWidth="1"/>
    <col min="11276" max="11276" width="18.6640625" style="670" customWidth="1"/>
    <col min="11277" max="11277" width="20.21875" style="670" bestFit="1" customWidth="1"/>
    <col min="11278" max="11278" width="25.6640625" style="670" customWidth="1"/>
    <col min="11279" max="11279" width="19.44140625" style="670" bestFit="1" customWidth="1"/>
    <col min="11280" max="11280" width="21.109375" style="670" bestFit="1" customWidth="1"/>
    <col min="11281" max="11281" width="15.88671875" style="670" bestFit="1" customWidth="1"/>
    <col min="11282" max="11282" width="8.88671875" style="670"/>
    <col min="11283" max="11283" width="13.44140625" style="670" bestFit="1" customWidth="1"/>
    <col min="11284" max="11284" width="8.88671875" style="670"/>
    <col min="11285" max="11285" width="11.77734375" style="670" bestFit="1" customWidth="1"/>
    <col min="11286" max="11287" width="8.88671875" style="670"/>
    <col min="11288" max="11288" width="11.6640625" style="670" bestFit="1" customWidth="1"/>
    <col min="11289" max="11486" width="8.88671875" style="670"/>
    <col min="11487" max="11487" width="10" style="670" customWidth="1"/>
    <col min="11488" max="11488" width="64.44140625" style="670" customWidth="1"/>
    <col min="11489" max="11489" width="18.77734375" style="670" customWidth="1"/>
    <col min="11490" max="11490" width="11" style="670" customWidth="1"/>
    <col min="11491" max="11491" width="14.6640625" style="670" customWidth="1"/>
    <col min="11492" max="11492" width="18.6640625" style="670" customWidth="1"/>
    <col min="11493" max="11493" width="14.44140625" style="670" customWidth="1"/>
    <col min="11494" max="11494" width="18.21875" style="670" customWidth="1"/>
    <col min="11495" max="11495" width="15.6640625" style="670" customWidth="1"/>
    <col min="11496" max="11496" width="17.44140625" style="670" customWidth="1"/>
    <col min="11497" max="11497" width="15.6640625" style="670" customWidth="1"/>
    <col min="11498" max="11498" width="17.44140625" style="670" customWidth="1"/>
    <col min="11499" max="11499" width="17" style="670" customWidth="1"/>
    <col min="11500" max="11502" width="17.44140625" style="670" customWidth="1"/>
    <col min="11503" max="11503" width="14.77734375" style="670" customWidth="1"/>
    <col min="11504" max="11529" width="17.44140625" style="670" customWidth="1"/>
    <col min="11530" max="11530" width="17.109375" style="670" customWidth="1"/>
    <col min="11531" max="11531" width="16.44140625" style="670" customWidth="1"/>
    <col min="11532" max="11532" width="18.6640625" style="670" customWidth="1"/>
    <col min="11533" max="11533" width="20.21875" style="670" bestFit="1" customWidth="1"/>
    <col min="11534" max="11534" width="25.6640625" style="670" customWidth="1"/>
    <col min="11535" max="11535" width="19.44140625" style="670" bestFit="1" customWidth="1"/>
    <col min="11536" max="11536" width="21.109375" style="670" bestFit="1" customWidth="1"/>
    <col min="11537" max="11537" width="15.88671875" style="670" bestFit="1" customWidth="1"/>
    <col min="11538" max="11538" width="8.88671875" style="670"/>
    <col min="11539" max="11539" width="13.44140625" style="670" bestFit="1" customWidth="1"/>
    <col min="11540" max="11540" width="8.88671875" style="670"/>
    <col min="11541" max="11541" width="11.77734375" style="670" bestFit="1" customWidth="1"/>
    <col min="11542" max="11543" width="8.88671875" style="670"/>
    <col min="11544" max="11544" width="11.6640625" style="670" bestFit="1" customWidth="1"/>
    <col min="11545" max="11742" width="8.88671875" style="670"/>
    <col min="11743" max="11743" width="10" style="670" customWidth="1"/>
    <col min="11744" max="11744" width="64.44140625" style="670" customWidth="1"/>
    <col min="11745" max="11745" width="18.77734375" style="670" customWidth="1"/>
    <col min="11746" max="11746" width="11" style="670" customWidth="1"/>
    <col min="11747" max="11747" width="14.6640625" style="670" customWidth="1"/>
    <col min="11748" max="11748" width="18.6640625" style="670" customWidth="1"/>
    <col min="11749" max="11749" width="14.44140625" style="670" customWidth="1"/>
    <col min="11750" max="11750" width="18.21875" style="670" customWidth="1"/>
    <col min="11751" max="11751" width="15.6640625" style="670" customWidth="1"/>
    <col min="11752" max="11752" width="17.44140625" style="670" customWidth="1"/>
    <col min="11753" max="11753" width="15.6640625" style="670" customWidth="1"/>
    <col min="11754" max="11754" width="17.44140625" style="670" customWidth="1"/>
    <col min="11755" max="11755" width="17" style="670" customWidth="1"/>
    <col min="11756" max="11758" width="17.44140625" style="670" customWidth="1"/>
    <col min="11759" max="11759" width="14.77734375" style="670" customWidth="1"/>
    <col min="11760" max="11785" width="17.44140625" style="670" customWidth="1"/>
    <col min="11786" max="11786" width="17.109375" style="670" customWidth="1"/>
    <col min="11787" max="11787" width="16.44140625" style="670" customWidth="1"/>
    <col min="11788" max="11788" width="18.6640625" style="670" customWidth="1"/>
    <col min="11789" max="11789" width="20.21875" style="670" bestFit="1" customWidth="1"/>
    <col min="11790" max="11790" width="25.6640625" style="670" customWidth="1"/>
    <col min="11791" max="11791" width="19.44140625" style="670" bestFit="1" customWidth="1"/>
    <col min="11792" max="11792" width="21.109375" style="670" bestFit="1" customWidth="1"/>
    <col min="11793" max="11793" width="15.88671875" style="670" bestFit="1" customWidth="1"/>
    <col min="11794" max="11794" width="8.88671875" style="670"/>
    <col min="11795" max="11795" width="13.44140625" style="670" bestFit="1" customWidth="1"/>
    <col min="11796" max="11796" width="8.88671875" style="670"/>
    <col min="11797" max="11797" width="11.77734375" style="670" bestFit="1" customWidth="1"/>
    <col min="11798" max="11799" width="8.88671875" style="670"/>
    <col min="11800" max="11800" width="11.6640625" style="670" bestFit="1" customWidth="1"/>
    <col min="11801" max="11998" width="8.88671875" style="670"/>
    <col min="11999" max="11999" width="10" style="670" customWidth="1"/>
    <col min="12000" max="12000" width="64.44140625" style="670" customWidth="1"/>
    <col min="12001" max="12001" width="18.77734375" style="670" customWidth="1"/>
    <col min="12002" max="12002" width="11" style="670" customWidth="1"/>
    <col min="12003" max="12003" width="14.6640625" style="670" customWidth="1"/>
    <col min="12004" max="12004" width="18.6640625" style="670" customWidth="1"/>
    <col min="12005" max="12005" width="14.44140625" style="670" customWidth="1"/>
    <col min="12006" max="12006" width="18.21875" style="670" customWidth="1"/>
    <col min="12007" max="12007" width="15.6640625" style="670" customWidth="1"/>
    <col min="12008" max="12008" width="17.44140625" style="670" customWidth="1"/>
    <col min="12009" max="12009" width="15.6640625" style="670" customWidth="1"/>
    <col min="12010" max="12010" width="17.44140625" style="670" customWidth="1"/>
    <col min="12011" max="12011" width="17" style="670" customWidth="1"/>
    <col min="12012" max="12014" width="17.44140625" style="670" customWidth="1"/>
    <col min="12015" max="12015" width="14.77734375" style="670" customWidth="1"/>
    <col min="12016" max="12041" width="17.44140625" style="670" customWidth="1"/>
    <col min="12042" max="12042" width="17.109375" style="670" customWidth="1"/>
    <col min="12043" max="12043" width="16.44140625" style="670" customWidth="1"/>
    <col min="12044" max="12044" width="18.6640625" style="670" customWidth="1"/>
    <col min="12045" max="12045" width="20.21875" style="670" bestFit="1" customWidth="1"/>
    <col min="12046" max="12046" width="25.6640625" style="670" customWidth="1"/>
    <col min="12047" max="12047" width="19.44140625" style="670" bestFit="1" customWidth="1"/>
    <col min="12048" max="12048" width="21.109375" style="670" bestFit="1" customWidth="1"/>
    <col min="12049" max="12049" width="15.88671875" style="670" bestFit="1" customWidth="1"/>
    <col min="12050" max="12050" width="8.88671875" style="670"/>
    <col min="12051" max="12051" width="13.44140625" style="670" bestFit="1" customWidth="1"/>
    <col min="12052" max="12052" width="8.88671875" style="670"/>
    <col min="12053" max="12053" width="11.77734375" style="670" bestFit="1" customWidth="1"/>
    <col min="12054" max="12055" width="8.88671875" style="670"/>
    <col min="12056" max="12056" width="11.6640625" style="670" bestFit="1" customWidth="1"/>
    <col min="12057" max="12254" width="8.88671875" style="670"/>
    <col min="12255" max="12255" width="10" style="670" customWidth="1"/>
    <col min="12256" max="12256" width="64.44140625" style="670" customWidth="1"/>
    <col min="12257" max="12257" width="18.77734375" style="670" customWidth="1"/>
    <col min="12258" max="12258" width="11" style="670" customWidth="1"/>
    <col min="12259" max="12259" width="14.6640625" style="670" customWidth="1"/>
    <col min="12260" max="12260" width="18.6640625" style="670" customWidth="1"/>
    <col min="12261" max="12261" width="14.44140625" style="670" customWidth="1"/>
    <col min="12262" max="12262" width="18.21875" style="670" customWidth="1"/>
    <col min="12263" max="12263" width="15.6640625" style="670" customWidth="1"/>
    <col min="12264" max="12264" width="17.44140625" style="670" customWidth="1"/>
    <col min="12265" max="12265" width="15.6640625" style="670" customWidth="1"/>
    <col min="12266" max="12266" width="17.44140625" style="670" customWidth="1"/>
    <col min="12267" max="12267" width="17" style="670" customWidth="1"/>
    <col min="12268" max="12270" width="17.44140625" style="670" customWidth="1"/>
    <col min="12271" max="12271" width="14.77734375" style="670" customWidth="1"/>
    <col min="12272" max="12297" width="17.44140625" style="670" customWidth="1"/>
    <col min="12298" max="12298" width="17.109375" style="670" customWidth="1"/>
    <col min="12299" max="12299" width="16.44140625" style="670" customWidth="1"/>
    <col min="12300" max="12300" width="18.6640625" style="670" customWidth="1"/>
    <col min="12301" max="12301" width="20.21875" style="670" bestFit="1" customWidth="1"/>
    <col min="12302" max="12302" width="25.6640625" style="670" customWidth="1"/>
    <col min="12303" max="12303" width="19.44140625" style="670" bestFit="1" customWidth="1"/>
    <col min="12304" max="12304" width="21.109375" style="670" bestFit="1" customWidth="1"/>
    <col min="12305" max="12305" width="15.88671875" style="670" bestFit="1" customWidth="1"/>
    <col min="12306" max="12306" width="8.88671875" style="670"/>
    <col min="12307" max="12307" width="13.44140625" style="670" bestFit="1" customWidth="1"/>
    <col min="12308" max="12308" width="8.88671875" style="670"/>
    <col min="12309" max="12309" width="11.77734375" style="670" bestFit="1" customWidth="1"/>
    <col min="12310" max="12311" width="8.88671875" style="670"/>
    <col min="12312" max="12312" width="11.6640625" style="670" bestFit="1" customWidth="1"/>
    <col min="12313" max="12510" width="8.88671875" style="670"/>
    <col min="12511" max="12511" width="10" style="670" customWidth="1"/>
    <col min="12512" max="12512" width="64.44140625" style="670" customWidth="1"/>
    <col min="12513" max="12513" width="18.77734375" style="670" customWidth="1"/>
    <col min="12514" max="12514" width="11" style="670" customWidth="1"/>
    <col min="12515" max="12515" width="14.6640625" style="670" customWidth="1"/>
    <col min="12516" max="12516" width="18.6640625" style="670" customWidth="1"/>
    <col min="12517" max="12517" width="14.44140625" style="670" customWidth="1"/>
    <col min="12518" max="12518" width="18.21875" style="670" customWidth="1"/>
    <col min="12519" max="12519" width="15.6640625" style="670" customWidth="1"/>
    <col min="12520" max="12520" width="17.44140625" style="670" customWidth="1"/>
    <col min="12521" max="12521" width="15.6640625" style="670" customWidth="1"/>
    <col min="12522" max="12522" width="17.44140625" style="670" customWidth="1"/>
    <col min="12523" max="12523" width="17" style="670" customWidth="1"/>
    <col min="12524" max="12526" width="17.44140625" style="670" customWidth="1"/>
    <col min="12527" max="12527" width="14.77734375" style="670" customWidth="1"/>
    <col min="12528" max="12553" width="17.44140625" style="670" customWidth="1"/>
    <col min="12554" max="12554" width="17.109375" style="670" customWidth="1"/>
    <col min="12555" max="12555" width="16.44140625" style="670" customWidth="1"/>
    <col min="12556" max="12556" width="18.6640625" style="670" customWidth="1"/>
    <col min="12557" max="12557" width="20.21875" style="670" bestFit="1" customWidth="1"/>
    <col min="12558" max="12558" width="25.6640625" style="670" customWidth="1"/>
    <col min="12559" max="12559" width="19.44140625" style="670" bestFit="1" customWidth="1"/>
    <col min="12560" max="12560" width="21.109375" style="670" bestFit="1" customWidth="1"/>
    <col min="12561" max="12561" width="15.88671875" style="670" bestFit="1" customWidth="1"/>
    <col min="12562" max="12562" width="8.88671875" style="670"/>
    <col min="12563" max="12563" width="13.44140625" style="670" bestFit="1" customWidth="1"/>
    <col min="12564" max="12564" width="8.88671875" style="670"/>
    <col min="12565" max="12565" width="11.77734375" style="670" bestFit="1" customWidth="1"/>
    <col min="12566" max="12567" width="8.88671875" style="670"/>
    <col min="12568" max="12568" width="11.6640625" style="670" bestFit="1" customWidth="1"/>
    <col min="12569" max="12766" width="8.88671875" style="670"/>
    <col min="12767" max="12767" width="10" style="670" customWidth="1"/>
    <col min="12768" max="12768" width="64.44140625" style="670" customWidth="1"/>
    <col min="12769" max="12769" width="18.77734375" style="670" customWidth="1"/>
    <col min="12770" max="12770" width="11" style="670" customWidth="1"/>
    <col min="12771" max="12771" width="14.6640625" style="670" customWidth="1"/>
    <col min="12772" max="12772" width="18.6640625" style="670" customWidth="1"/>
    <col min="12773" max="12773" width="14.44140625" style="670" customWidth="1"/>
    <col min="12774" max="12774" width="18.21875" style="670" customWidth="1"/>
    <col min="12775" max="12775" width="15.6640625" style="670" customWidth="1"/>
    <col min="12776" max="12776" width="17.44140625" style="670" customWidth="1"/>
    <col min="12777" max="12777" width="15.6640625" style="670" customWidth="1"/>
    <col min="12778" max="12778" width="17.44140625" style="670" customWidth="1"/>
    <col min="12779" max="12779" width="17" style="670" customWidth="1"/>
    <col min="12780" max="12782" width="17.44140625" style="670" customWidth="1"/>
    <col min="12783" max="12783" width="14.77734375" style="670" customWidth="1"/>
    <col min="12784" max="12809" width="17.44140625" style="670" customWidth="1"/>
    <col min="12810" max="12810" width="17.109375" style="670" customWidth="1"/>
    <col min="12811" max="12811" width="16.44140625" style="670" customWidth="1"/>
    <col min="12812" max="12812" width="18.6640625" style="670" customWidth="1"/>
    <col min="12813" max="12813" width="20.21875" style="670" bestFit="1" customWidth="1"/>
    <col min="12814" max="12814" width="25.6640625" style="670" customWidth="1"/>
    <col min="12815" max="12815" width="19.44140625" style="670" bestFit="1" customWidth="1"/>
    <col min="12816" max="12816" width="21.109375" style="670" bestFit="1" customWidth="1"/>
    <col min="12817" max="12817" width="15.88671875" style="670" bestFit="1" customWidth="1"/>
    <col min="12818" max="12818" width="8.88671875" style="670"/>
    <col min="12819" max="12819" width="13.44140625" style="670" bestFit="1" customWidth="1"/>
    <col min="12820" max="12820" width="8.88671875" style="670"/>
    <col min="12821" max="12821" width="11.77734375" style="670" bestFit="1" customWidth="1"/>
    <col min="12822" max="12823" width="8.88671875" style="670"/>
    <col min="12824" max="12824" width="11.6640625" style="670" bestFit="1" customWidth="1"/>
    <col min="12825" max="13022" width="8.88671875" style="670"/>
    <col min="13023" max="13023" width="10" style="670" customWidth="1"/>
    <col min="13024" max="13024" width="64.44140625" style="670" customWidth="1"/>
    <col min="13025" max="13025" width="18.77734375" style="670" customWidth="1"/>
    <col min="13026" max="13026" width="11" style="670" customWidth="1"/>
    <col min="13027" max="13027" width="14.6640625" style="670" customWidth="1"/>
    <col min="13028" max="13028" width="18.6640625" style="670" customWidth="1"/>
    <col min="13029" max="13029" width="14.44140625" style="670" customWidth="1"/>
    <col min="13030" max="13030" width="18.21875" style="670" customWidth="1"/>
    <col min="13031" max="13031" width="15.6640625" style="670" customWidth="1"/>
    <col min="13032" max="13032" width="17.44140625" style="670" customWidth="1"/>
    <col min="13033" max="13033" width="15.6640625" style="670" customWidth="1"/>
    <col min="13034" max="13034" width="17.44140625" style="670" customWidth="1"/>
    <col min="13035" max="13035" width="17" style="670" customWidth="1"/>
    <col min="13036" max="13038" width="17.44140625" style="670" customWidth="1"/>
    <col min="13039" max="13039" width="14.77734375" style="670" customWidth="1"/>
    <col min="13040" max="13065" width="17.44140625" style="670" customWidth="1"/>
    <col min="13066" max="13066" width="17.109375" style="670" customWidth="1"/>
    <col min="13067" max="13067" width="16.44140625" style="670" customWidth="1"/>
    <col min="13068" max="13068" width="18.6640625" style="670" customWidth="1"/>
    <col min="13069" max="13069" width="20.21875" style="670" bestFit="1" customWidth="1"/>
    <col min="13070" max="13070" width="25.6640625" style="670" customWidth="1"/>
    <col min="13071" max="13071" width="19.44140625" style="670" bestFit="1" customWidth="1"/>
    <col min="13072" max="13072" width="21.109375" style="670" bestFit="1" customWidth="1"/>
    <col min="13073" max="13073" width="15.88671875" style="670" bestFit="1" customWidth="1"/>
    <col min="13074" max="13074" width="8.88671875" style="670"/>
    <col min="13075" max="13075" width="13.44140625" style="670" bestFit="1" customWidth="1"/>
    <col min="13076" max="13076" width="8.88671875" style="670"/>
    <col min="13077" max="13077" width="11.77734375" style="670" bestFit="1" customWidth="1"/>
    <col min="13078" max="13079" width="8.88671875" style="670"/>
    <col min="13080" max="13080" width="11.6640625" style="670" bestFit="1" customWidth="1"/>
    <col min="13081" max="13278" width="8.88671875" style="670"/>
    <col min="13279" max="13279" width="10" style="670" customWidth="1"/>
    <col min="13280" max="13280" width="64.44140625" style="670" customWidth="1"/>
    <col min="13281" max="13281" width="18.77734375" style="670" customWidth="1"/>
    <col min="13282" max="13282" width="11" style="670" customWidth="1"/>
    <col min="13283" max="13283" width="14.6640625" style="670" customWidth="1"/>
    <col min="13284" max="13284" width="18.6640625" style="670" customWidth="1"/>
    <col min="13285" max="13285" width="14.44140625" style="670" customWidth="1"/>
    <col min="13286" max="13286" width="18.21875" style="670" customWidth="1"/>
    <col min="13287" max="13287" width="15.6640625" style="670" customWidth="1"/>
    <col min="13288" max="13288" width="17.44140625" style="670" customWidth="1"/>
    <col min="13289" max="13289" width="15.6640625" style="670" customWidth="1"/>
    <col min="13290" max="13290" width="17.44140625" style="670" customWidth="1"/>
    <col min="13291" max="13291" width="17" style="670" customWidth="1"/>
    <col min="13292" max="13294" width="17.44140625" style="670" customWidth="1"/>
    <col min="13295" max="13295" width="14.77734375" style="670" customWidth="1"/>
    <col min="13296" max="13321" width="17.44140625" style="670" customWidth="1"/>
    <col min="13322" max="13322" width="17.109375" style="670" customWidth="1"/>
    <col min="13323" max="13323" width="16.44140625" style="670" customWidth="1"/>
    <col min="13324" max="13324" width="18.6640625" style="670" customWidth="1"/>
    <col min="13325" max="13325" width="20.21875" style="670" bestFit="1" customWidth="1"/>
    <col min="13326" max="13326" width="25.6640625" style="670" customWidth="1"/>
    <col min="13327" max="13327" width="19.44140625" style="670" bestFit="1" customWidth="1"/>
    <col min="13328" max="13328" width="21.109375" style="670" bestFit="1" customWidth="1"/>
    <col min="13329" max="13329" width="15.88671875" style="670" bestFit="1" customWidth="1"/>
    <col min="13330" max="13330" width="8.88671875" style="670"/>
    <col min="13331" max="13331" width="13.44140625" style="670" bestFit="1" customWidth="1"/>
    <col min="13332" max="13332" width="8.88671875" style="670"/>
    <col min="13333" max="13333" width="11.77734375" style="670" bestFit="1" customWidth="1"/>
    <col min="13334" max="13335" width="8.88671875" style="670"/>
    <col min="13336" max="13336" width="11.6640625" style="670" bestFit="1" customWidth="1"/>
    <col min="13337" max="13534" width="8.88671875" style="670"/>
    <col min="13535" max="13535" width="10" style="670" customWidth="1"/>
    <col min="13536" max="13536" width="64.44140625" style="670" customWidth="1"/>
    <col min="13537" max="13537" width="18.77734375" style="670" customWidth="1"/>
    <col min="13538" max="13538" width="11" style="670" customWidth="1"/>
    <col min="13539" max="13539" width="14.6640625" style="670" customWidth="1"/>
    <col min="13540" max="13540" width="18.6640625" style="670" customWidth="1"/>
    <col min="13541" max="13541" width="14.44140625" style="670" customWidth="1"/>
    <col min="13542" max="13542" width="18.21875" style="670" customWidth="1"/>
    <col min="13543" max="13543" width="15.6640625" style="670" customWidth="1"/>
    <col min="13544" max="13544" width="17.44140625" style="670" customWidth="1"/>
    <col min="13545" max="13545" width="15.6640625" style="670" customWidth="1"/>
    <col min="13546" max="13546" width="17.44140625" style="670" customWidth="1"/>
    <col min="13547" max="13547" width="17" style="670" customWidth="1"/>
    <col min="13548" max="13550" width="17.44140625" style="670" customWidth="1"/>
    <col min="13551" max="13551" width="14.77734375" style="670" customWidth="1"/>
    <col min="13552" max="13577" width="17.44140625" style="670" customWidth="1"/>
    <col min="13578" max="13578" width="17.109375" style="670" customWidth="1"/>
    <col min="13579" max="13579" width="16.44140625" style="670" customWidth="1"/>
    <col min="13580" max="13580" width="18.6640625" style="670" customWidth="1"/>
    <col min="13581" max="13581" width="20.21875" style="670" bestFit="1" customWidth="1"/>
    <col min="13582" max="13582" width="25.6640625" style="670" customWidth="1"/>
    <col min="13583" max="13583" width="19.44140625" style="670" bestFit="1" customWidth="1"/>
    <col min="13584" max="13584" width="21.109375" style="670" bestFit="1" customWidth="1"/>
    <col min="13585" max="13585" width="15.88671875" style="670" bestFit="1" customWidth="1"/>
    <col min="13586" max="13586" width="8.88671875" style="670"/>
    <col min="13587" max="13587" width="13.44140625" style="670" bestFit="1" customWidth="1"/>
    <col min="13588" max="13588" width="8.88671875" style="670"/>
    <col min="13589" max="13589" width="11.77734375" style="670" bestFit="1" customWidth="1"/>
    <col min="13590" max="13591" width="8.88671875" style="670"/>
    <col min="13592" max="13592" width="11.6640625" style="670" bestFit="1" customWidth="1"/>
    <col min="13593" max="13790" width="8.88671875" style="670"/>
    <col min="13791" max="13791" width="10" style="670" customWidth="1"/>
    <col min="13792" max="13792" width="64.44140625" style="670" customWidth="1"/>
    <col min="13793" max="13793" width="18.77734375" style="670" customWidth="1"/>
    <col min="13794" max="13794" width="11" style="670" customWidth="1"/>
    <col min="13795" max="13795" width="14.6640625" style="670" customWidth="1"/>
    <col min="13796" max="13796" width="18.6640625" style="670" customWidth="1"/>
    <col min="13797" max="13797" width="14.44140625" style="670" customWidth="1"/>
    <col min="13798" max="13798" width="18.21875" style="670" customWidth="1"/>
    <col min="13799" max="13799" width="15.6640625" style="670" customWidth="1"/>
    <col min="13800" max="13800" width="17.44140625" style="670" customWidth="1"/>
    <col min="13801" max="13801" width="15.6640625" style="670" customWidth="1"/>
    <col min="13802" max="13802" width="17.44140625" style="670" customWidth="1"/>
    <col min="13803" max="13803" width="17" style="670" customWidth="1"/>
    <col min="13804" max="13806" width="17.44140625" style="670" customWidth="1"/>
    <col min="13807" max="13807" width="14.77734375" style="670" customWidth="1"/>
    <col min="13808" max="13833" width="17.44140625" style="670" customWidth="1"/>
    <col min="13834" max="13834" width="17.109375" style="670" customWidth="1"/>
    <col min="13835" max="13835" width="16.44140625" style="670" customWidth="1"/>
    <col min="13836" max="13836" width="18.6640625" style="670" customWidth="1"/>
    <col min="13837" max="13837" width="20.21875" style="670" bestFit="1" customWidth="1"/>
    <col min="13838" max="13838" width="25.6640625" style="670" customWidth="1"/>
    <col min="13839" max="13839" width="19.44140625" style="670" bestFit="1" customWidth="1"/>
    <col min="13840" max="13840" width="21.109375" style="670" bestFit="1" customWidth="1"/>
    <col min="13841" max="13841" width="15.88671875" style="670" bestFit="1" customWidth="1"/>
    <col min="13842" max="13842" width="8.88671875" style="670"/>
    <col min="13843" max="13843" width="13.44140625" style="670" bestFit="1" customWidth="1"/>
    <col min="13844" max="13844" width="8.88671875" style="670"/>
    <col min="13845" max="13845" width="11.77734375" style="670" bestFit="1" customWidth="1"/>
    <col min="13846" max="13847" width="8.88671875" style="670"/>
    <col min="13848" max="13848" width="11.6640625" style="670" bestFit="1" customWidth="1"/>
    <col min="13849" max="14046" width="8.88671875" style="670"/>
    <col min="14047" max="14047" width="10" style="670" customWidth="1"/>
    <col min="14048" max="14048" width="64.44140625" style="670" customWidth="1"/>
    <col min="14049" max="14049" width="18.77734375" style="670" customWidth="1"/>
    <col min="14050" max="14050" width="11" style="670" customWidth="1"/>
    <col min="14051" max="14051" width="14.6640625" style="670" customWidth="1"/>
    <col min="14052" max="14052" width="18.6640625" style="670" customWidth="1"/>
    <col min="14053" max="14053" width="14.44140625" style="670" customWidth="1"/>
    <col min="14054" max="14054" width="18.21875" style="670" customWidth="1"/>
    <col min="14055" max="14055" width="15.6640625" style="670" customWidth="1"/>
    <col min="14056" max="14056" width="17.44140625" style="670" customWidth="1"/>
    <col min="14057" max="14057" width="15.6640625" style="670" customWidth="1"/>
    <col min="14058" max="14058" width="17.44140625" style="670" customWidth="1"/>
    <col min="14059" max="14059" width="17" style="670" customWidth="1"/>
    <col min="14060" max="14062" width="17.44140625" style="670" customWidth="1"/>
    <col min="14063" max="14063" width="14.77734375" style="670" customWidth="1"/>
    <col min="14064" max="14089" width="17.44140625" style="670" customWidth="1"/>
    <col min="14090" max="14090" width="17.109375" style="670" customWidth="1"/>
    <col min="14091" max="14091" width="16.44140625" style="670" customWidth="1"/>
    <col min="14092" max="14092" width="18.6640625" style="670" customWidth="1"/>
    <col min="14093" max="14093" width="20.21875" style="670" bestFit="1" customWidth="1"/>
    <col min="14094" max="14094" width="25.6640625" style="670" customWidth="1"/>
    <col min="14095" max="14095" width="19.44140625" style="670" bestFit="1" customWidth="1"/>
    <col min="14096" max="14096" width="21.109375" style="670" bestFit="1" customWidth="1"/>
    <col min="14097" max="14097" width="15.88671875" style="670" bestFit="1" customWidth="1"/>
    <col min="14098" max="14098" width="8.88671875" style="670"/>
    <col min="14099" max="14099" width="13.44140625" style="670" bestFit="1" customWidth="1"/>
    <col min="14100" max="14100" width="8.88671875" style="670"/>
    <col min="14101" max="14101" width="11.77734375" style="670" bestFit="1" customWidth="1"/>
    <col min="14102" max="14103" width="8.88671875" style="670"/>
    <col min="14104" max="14104" width="11.6640625" style="670" bestFit="1" customWidth="1"/>
    <col min="14105" max="14302" width="8.88671875" style="670"/>
    <col min="14303" max="14303" width="10" style="670" customWidth="1"/>
    <col min="14304" max="14304" width="64.44140625" style="670" customWidth="1"/>
    <col min="14305" max="14305" width="18.77734375" style="670" customWidth="1"/>
    <col min="14306" max="14306" width="11" style="670" customWidth="1"/>
    <col min="14307" max="14307" width="14.6640625" style="670" customWidth="1"/>
    <col min="14308" max="14308" width="18.6640625" style="670" customWidth="1"/>
    <col min="14309" max="14309" width="14.44140625" style="670" customWidth="1"/>
    <col min="14310" max="14310" width="18.21875" style="670" customWidth="1"/>
    <col min="14311" max="14311" width="15.6640625" style="670" customWidth="1"/>
    <col min="14312" max="14312" width="17.44140625" style="670" customWidth="1"/>
    <col min="14313" max="14313" width="15.6640625" style="670" customWidth="1"/>
    <col min="14314" max="14314" width="17.44140625" style="670" customWidth="1"/>
    <col min="14315" max="14315" width="17" style="670" customWidth="1"/>
    <col min="14316" max="14318" width="17.44140625" style="670" customWidth="1"/>
    <col min="14319" max="14319" width="14.77734375" style="670" customWidth="1"/>
    <col min="14320" max="14345" width="17.44140625" style="670" customWidth="1"/>
    <col min="14346" max="14346" width="17.109375" style="670" customWidth="1"/>
    <col min="14347" max="14347" width="16.44140625" style="670" customWidth="1"/>
    <col min="14348" max="14348" width="18.6640625" style="670" customWidth="1"/>
    <col min="14349" max="14349" width="20.21875" style="670" bestFit="1" customWidth="1"/>
    <col min="14350" max="14350" width="25.6640625" style="670" customWidth="1"/>
    <col min="14351" max="14351" width="19.44140625" style="670" bestFit="1" customWidth="1"/>
    <col min="14352" max="14352" width="21.109375" style="670" bestFit="1" customWidth="1"/>
    <col min="14353" max="14353" width="15.88671875" style="670" bestFit="1" customWidth="1"/>
    <col min="14354" max="14354" width="8.88671875" style="670"/>
    <col min="14355" max="14355" width="13.44140625" style="670" bestFit="1" customWidth="1"/>
    <col min="14356" max="14356" width="8.88671875" style="670"/>
    <col min="14357" max="14357" width="11.77734375" style="670" bestFit="1" customWidth="1"/>
    <col min="14358" max="14359" width="8.88671875" style="670"/>
    <col min="14360" max="14360" width="11.6640625" style="670" bestFit="1" customWidth="1"/>
    <col min="14361" max="14558" width="8.88671875" style="670"/>
    <col min="14559" max="14559" width="10" style="670" customWidth="1"/>
    <col min="14560" max="14560" width="64.44140625" style="670" customWidth="1"/>
    <col min="14561" max="14561" width="18.77734375" style="670" customWidth="1"/>
    <col min="14562" max="14562" width="11" style="670" customWidth="1"/>
    <col min="14563" max="14563" width="14.6640625" style="670" customWidth="1"/>
    <col min="14564" max="14564" width="18.6640625" style="670" customWidth="1"/>
    <col min="14565" max="14565" width="14.44140625" style="670" customWidth="1"/>
    <col min="14566" max="14566" width="18.21875" style="670" customWidth="1"/>
    <col min="14567" max="14567" width="15.6640625" style="670" customWidth="1"/>
    <col min="14568" max="14568" width="17.44140625" style="670" customWidth="1"/>
    <col min="14569" max="14569" width="15.6640625" style="670" customWidth="1"/>
    <col min="14570" max="14570" width="17.44140625" style="670" customWidth="1"/>
    <col min="14571" max="14571" width="17" style="670" customWidth="1"/>
    <col min="14572" max="14574" width="17.44140625" style="670" customWidth="1"/>
    <col min="14575" max="14575" width="14.77734375" style="670" customWidth="1"/>
    <col min="14576" max="14601" width="17.44140625" style="670" customWidth="1"/>
    <col min="14602" max="14602" width="17.109375" style="670" customWidth="1"/>
    <col min="14603" max="14603" width="16.44140625" style="670" customWidth="1"/>
    <col min="14604" max="14604" width="18.6640625" style="670" customWidth="1"/>
    <col min="14605" max="14605" width="20.21875" style="670" bestFit="1" customWidth="1"/>
    <col min="14606" max="14606" width="25.6640625" style="670" customWidth="1"/>
    <col min="14607" max="14607" width="19.44140625" style="670" bestFit="1" customWidth="1"/>
    <col min="14608" max="14608" width="21.109375" style="670" bestFit="1" customWidth="1"/>
    <col min="14609" max="14609" width="15.88671875" style="670" bestFit="1" customWidth="1"/>
    <col min="14610" max="14610" width="8.88671875" style="670"/>
    <col min="14611" max="14611" width="13.44140625" style="670" bestFit="1" customWidth="1"/>
    <col min="14612" max="14612" width="8.88671875" style="670"/>
    <col min="14613" max="14613" width="11.77734375" style="670" bestFit="1" customWidth="1"/>
    <col min="14614" max="14615" width="8.88671875" style="670"/>
    <col min="14616" max="14616" width="11.6640625" style="670" bestFit="1" customWidth="1"/>
    <col min="14617" max="14814" width="8.88671875" style="670"/>
    <col min="14815" max="14815" width="10" style="670" customWidth="1"/>
    <col min="14816" max="14816" width="64.44140625" style="670" customWidth="1"/>
    <col min="14817" max="14817" width="18.77734375" style="670" customWidth="1"/>
    <col min="14818" max="14818" width="11" style="670" customWidth="1"/>
    <col min="14819" max="14819" width="14.6640625" style="670" customWidth="1"/>
    <col min="14820" max="14820" width="18.6640625" style="670" customWidth="1"/>
    <col min="14821" max="14821" width="14.44140625" style="670" customWidth="1"/>
    <col min="14822" max="14822" width="18.21875" style="670" customWidth="1"/>
    <col min="14823" max="14823" width="15.6640625" style="670" customWidth="1"/>
    <col min="14824" max="14824" width="17.44140625" style="670" customWidth="1"/>
    <col min="14825" max="14825" width="15.6640625" style="670" customWidth="1"/>
    <col min="14826" max="14826" width="17.44140625" style="670" customWidth="1"/>
    <col min="14827" max="14827" width="17" style="670" customWidth="1"/>
    <col min="14828" max="14830" width="17.44140625" style="670" customWidth="1"/>
    <col min="14831" max="14831" width="14.77734375" style="670" customWidth="1"/>
    <col min="14832" max="14857" width="17.44140625" style="670" customWidth="1"/>
    <col min="14858" max="14858" width="17.109375" style="670" customWidth="1"/>
    <col min="14859" max="14859" width="16.44140625" style="670" customWidth="1"/>
    <col min="14860" max="14860" width="18.6640625" style="670" customWidth="1"/>
    <col min="14861" max="14861" width="20.21875" style="670" bestFit="1" customWidth="1"/>
    <col min="14862" max="14862" width="25.6640625" style="670" customWidth="1"/>
    <col min="14863" max="14863" width="19.44140625" style="670" bestFit="1" customWidth="1"/>
    <col min="14864" max="14864" width="21.109375" style="670" bestFit="1" customWidth="1"/>
    <col min="14865" max="14865" width="15.88671875" style="670" bestFit="1" customWidth="1"/>
    <col min="14866" max="14866" width="8.88671875" style="670"/>
    <col min="14867" max="14867" width="13.44140625" style="670" bestFit="1" customWidth="1"/>
    <col min="14868" max="14868" width="8.88671875" style="670"/>
    <col min="14869" max="14869" width="11.77734375" style="670" bestFit="1" customWidth="1"/>
    <col min="14870" max="14871" width="8.88671875" style="670"/>
    <col min="14872" max="14872" width="11.6640625" style="670" bestFit="1" customWidth="1"/>
    <col min="14873" max="15070" width="8.88671875" style="670"/>
    <col min="15071" max="15071" width="10" style="670" customWidth="1"/>
    <col min="15072" max="15072" width="64.44140625" style="670" customWidth="1"/>
    <col min="15073" max="15073" width="18.77734375" style="670" customWidth="1"/>
    <col min="15074" max="15074" width="11" style="670" customWidth="1"/>
    <col min="15075" max="15075" width="14.6640625" style="670" customWidth="1"/>
    <col min="15076" max="15076" width="18.6640625" style="670" customWidth="1"/>
    <col min="15077" max="15077" width="14.44140625" style="670" customWidth="1"/>
    <col min="15078" max="15078" width="18.21875" style="670" customWidth="1"/>
    <col min="15079" max="15079" width="15.6640625" style="670" customWidth="1"/>
    <col min="15080" max="15080" width="17.44140625" style="670" customWidth="1"/>
    <col min="15081" max="15081" width="15.6640625" style="670" customWidth="1"/>
    <col min="15082" max="15082" width="17.44140625" style="670" customWidth="1"/>
    <col min="15083" max="15083" width="17" style="670" customWidth="1"/>
    <col min="15084" max="15086" width="17.44140625" style="670" customWidth="1"/>
    <col min="15087" max="15087" width="14.77734375" style="670" customWidth="1"/>
    <col min="15088" max="15113" width="17.44140625" style="670" customWidth="1"/>
    <col min="15114" max="15114" width="17.109375" style="670" customWidth="1"/>
    <col min="15115" max="15115" width="16.44140625" style="670" customWidth="1"/>
    <col min="15116" max="15116" width="18.6640625" style="670" customWidth="1"/>
    <col min="15117" max="15117" width="20.21875" style="670" bestFit="1" customWidth="1"/>
    <col min="15118" max="15118" width="25.6640625" style="670" customWidth="1"/>
    <col min="15119" max="15119" width="19.44140625" style="670" bestFit="1" customWidth="1"/>
    <col min="15120" max="15120" width="21.109375" style="670" bestFit="1" customWidth="1"/>
    <col min="15121" max="15121" width="15.88671875" style="670" bestFit="1" customWidth="1"/>
    <col min="15122" max="15122" width="8.88671875" style="670"/>
    <col min="15123" max="15123" width="13.44140625" style="670" bestFit="1" customWidth="1"/>
    <col min="15124" max="15124" width="8.88671875" style="670"/>
    <col min="15125" max="15125" width="11.77734375" style="670" bestFit="1" customWidth="1"/>
    <col min="15126" max="15127" width="8.88671875" style="670"/>
    <col min="15128" max="15128" width="11.6640625" style="670" bestFit="1" customWidth="1"/>
    <col min="15129" max="15326" width="8.88671875" style="670"/>
    <col min="15327" max="15327" width="10" style="670" customWidth="1"/>
    <col min="15328" max="15328" width="64.44140625" style="670" customWidth="1"/>
    <col min="15329" max="15329" width="18.77734375" style="670" customWidth="1"/>
    <col min="15330" max="15330" width="11" style="670" customWidth="1"/>
    <col min="15331" max="15331" width="14.6640625" style="670" customWidth="1"/>
    <col min="15332" max="15332" width="18.6640625" style="670" customWidth="1"/>
    <col min="15333" max="15333" width="14.44140625" style="670" customWidth="1"/>
    <col min="15334" max="15334" width="18.21875" style="670" customWidth="1"/>
    <col min="15335" max="15335" width="15.6640625" style="670" customWidth="1"/>
    <col min="15336" max="15336" width="17.44140625" style="670" customWidth="1"/>
    <col min="15337" max="15337" width="15.6640625" style="670" customWidth="1"/>
    <col min="15338" max="15338" width="17.44140625" style="670" customWidth="1"/>
    <col min="15339" max="15339" width="17" style="670" customWidth="1"/>
    <col min="15340" max="15342" width="17.44140625" style="670" customWidth="1"/>
    <col min="15343" max="15343" width="14.77734375" style="670" customWidth="1"/>
    <col min="15344" max="15369" width="17.44140625" style="670" customWidth="1"/>
    <col min="15370" max="15370" width="17.109375" style="670" customWidth="1"/>
    <col min="15371" max="15371" width="16.44140625" style="670" customWidth="1"/>
    <col min="15372" max="15372" width="18.6640625" style="670" customWidth="1"/>
    <col min="15373" max="15373" width="20.21875" style="670" bestFit="1" customWidth="1"/>
    <col min="15374" max="15374" width="25.6640625" style="670" customWidth="1"/>
    <col min="15375" max="15375" width="19.44140625" style="670" bestFit="1" customWidth="1"/>
    <col min="15376" max="15376" width="21.109375" style="670" bestFit="1" customWidth="1"/>
    <col min="15377" max="15377" width="15.88671875" style="670" bestFit="1" customWidth="1"/>
    <col min="15378" max="15378" width="8.88671875" style="670"/>
    <col min="15379" max="15379" width="13.44140625" style="670" bestFit="1" customWidth="1"/>
    <col min="15380" max="15380" width="8.88671875" style="670"/>
    <col min="15381" max="15381" width="11.77734375" style="670" bestFit="1" customWidth="1"/>
    <col min="15382" max="15383" width="8.88671875" style="670"/>
    <col min="15384" max="15384" width="11.6640625" style="670" bestFit="1" customWidth="1"/>
    <col min="15385" max="15582" width="8.88671875" style="670"/>
    <col min="15583" max="15583" width="10" style="670" customWidth="1"/>
    <col min="15584" max="15584" width="64.44140625" style="670" customWidth="1"/>
    <col min="15585" max="15585" width="18.77734375" style="670" customWidth="1"/>
    <col min="15586" max="15586" width="11" style="670" customWidth="1"/>
    <col min="15587" max="15587" width="14.6640625" style="670" customWidth="1"/>
    <col min="15588" max="15588" width="18.6640625" style="670" customWidth="1"/>
    <col min="15589" max="15589" width="14.44140625" style="670" customWidth="1"/>
    <col min="15590" max="15590" width="18.21875" style="670" customWidth="1"/>
    <col min="15591" max="15591" width="15.6640625" style="670" customWidth="1"/>
    <col min="15592" max="15592" width="17.44140625" style="670" customWidth="1"/>
    <col min="15593" max="15593" width="15.6640625" style="670" customWidth="1"/>
    <col min="15594" max="15594" width="17.44140625" style="670" customWidth="1"/>
    <col min="15595" max="15595" width="17" style="670" customWidth="1"/>
    <col min="15596" max="15598" width="17.44140625" style="670" customWidth="1"/>
    <col min="15599" max="15599" width="14.77734375" style="670" customWidth="1"/>
    <col min="15600" max="15625" width="17.44140625" style="670" customWidth="1"/>
    <col min="15626" max="15626" width="17.109375" style="670" customWidth="1"/>
    <col min="15627" max="15627" width="16.44140625" style="670" customWidth="1"/>
    <col min="15628" max="15628" width="18.6640625" style="670" customWidth="1"/>
    <col min="15629" max="15629" width="20.21875" style="670" bestFit="1" customWidth="1"/>
    <col min="15630" max="15630" width="25.6640625" style="670" customWidth="1"/>
    <col min="15631" max="15631" width="19.44140625" style="670" bestFit="1" customWidth="1"/>
    <col min="15632" max="15632" width="21.109375" style="670" bestFit="1" customWidth="1"/>
    <col min="15633" max="15633" width="15.88671875" style="670" bestFit="1" customWidth="1"/>
    <col min="15634" max="15634" width="8.88671875" style="670"/>
    <col min="15635" max="15635" width="13.44140625" style="670" bestFit="1" customWidth="1"/>
    <col min="15636" max="15636" width="8.88671875" style="670"/>
    <col min="15637" max="15637" width="11.77734375" style="670" bestFit="1" customWidth="1"/>
    <col min="15638" max="15639" width="8.88671875" style="670"/>
    <col min="15640" max="15640" width="11.6640625" style="670" bestFit="1" customWidth="1"/>
    <col min="15641" max="15838" width="8.88671875" style="670"/>
    <col min="15839" max="15839" width="10" style="670" customWidth="1"/>
    <col min="15840" max="15840" width="64.44140625" style="670" customWidth="1"/>
    <col min="15841" max="15841" width="18.77734375" style="670" customWidth="1"/>
    <col min="15842" max="15842" width="11" style="670" customWidth="1"/>
    <col min="15843" max="15843" width="14.6640625" style="670" customWidth="1"/>
    <col min="15844" max="15844" width="18.6640625" style="670" customWidth="1"/>
    <col min="15845" max="15845" width="14.44140625" style="670" customWidth="1"/>
    <col min="15846" max="15846" width="18.21875" style="670" customWidth="1"/>
    <col min="15847" max="15847" width="15.6640625" style="670" customWidth="1"/>
    <col min="15848" max="15848" width="17.44140625" style="670" customWidth="1"/>
    <col min="15849" max="15849" width="15.6640625" style="670" customWidth="1"/>
    <col min="15850" max="15850" width="17.44140625" style="670" customWidth="1"/>
    <col min="15851" max="15851" width="17" style="670" customWidth="1"/>
    <col min="15852" max="15854" width="17.44140625" style="670" customWidth="1"/>
    <col min="15855" max="15855" width="14.77734375" style="670" customWidth="1"/>
    <col min="15856" max="15881" width="17.44140625" style="670" customWidth="1"/>
    <col min="15882" max="15882" width="17.109375" style="670" customWidth="1"/>
    <col min="15883" max="15883" width="16.44140625" style="670" customWidth="1"/>
    <col min="15884" max="15884" width="18.6640625" style="670" customWidth="1"/>
    <col min="15885" max="15885" width="20.21875" style="670" bestFit="1" customWidth="1"/>
    <col min="15886" max="15886" width="25.6640625" style="670" customWidth="1"/>
    <col min="15887" max="15887" width="19.44140625" style="670" bestFit="1" customWidth="1"/>
    <col min="15888" max="15888" width="21.109375" style="670" bestFit="1" customWidth="1"/>
    <col min="15889" max="15889" width="15.88671875" style="670" bestFit="1" customWidth="1"/>
    <col min="15890" max="15890" width="8.88671875" style="670"/>
    <col min="15891" max="15891" width="13.44140625" style="670" bestFit="1" customWidth="1"/>
    <col min="15892" max="15892" width="8.88671875" style="670"/>
    <col min="15893" max="15893" width="11.77734375" style="670" bestFit="1" customWidth="1"/>
    <col min="15894" max="15895" width="8.88671875" style="670"/>
    <col min="15896" max="15896" width="11.6640625" style="670" bestFit="1" customWidth="1"/>
    <col min="15897" max="16094" width="8.88671875" style="670"/>
    <col min="16095" max="16095" width="10" style="670" customWidth="1"/>
    <col min="16096" max="16096" width="64.44140625" style="670" customWidth="1"/>
    <col min="16097" max="16097" width="18.77734375" style="670" customWidth="1"/>
    <col min="16098" max="16098" width="11" style="670" customWidth="1"/>
    <col min="16099" max="16099" width="14.6640625" style="670" customWidth="1"/>
    <col min="16100" max="16100" width="18.6640625" style="670" customWidth="1"/>
    <col min="16101" max="16101" width="14.44140625" style="670" customWidth="1"/>
    <col min="16102" max="16102" width="18.21875" style="670" customWidth="1"/>
    <col min="16103" max="16103" width="15.6640625" style="670" customWidth="1"/>
    <col min="16104" max="16104" width="17.44140625" style="670" customWidth="1"/>
    <col min="16105" max="16105" width="15.6640625" style="670" customWidth="1"/>
    <col min="16106" max="16106" width="17.44140625" style="670" customWidth="1"/>
    <col min="16107" max="16107" width="17" style="670" customWidth="1"/>
    <col min="16108" max="16110" width="17.44140625" style="670" customWidth="1"/>
    <col min="16111" max="16111" width="14.77734375" style="670" customWidth="1"/>
    <col min="16112" max="16137" width="17.44140625" style="670" customWidth="1"/>
    <col min="16138" max="16138" width="17.109375" style="670" customWidth="1"/>
    <col min="16139" max="16139" width="16.44140625" style="670" customWidth="1"/>
    <col min="16140" max="16140" width="18.6640625" style="670" customWidth="1"/>
    <col min="16141" max="16141" width="20.21875" style="670" bestFit="1" customWidth="1"/>
    <col min="16142" max="16142" width="25.6640625" style="670" customWidth="1"/>
    <col min="16143" max="16143" width="19.44140625" style="670" bestFit="1" customWidth="1"/>
    <col min="16144" max="16144" width="21.109375" style="670" bestFit="1" customWidth="1"/>
    <col min="16145" max="16145" width="15.88671875" style="670" bestFit="1" customWidth="1"/>
    <col min="16146" max="16146" width="8.88671875" style="670"/>
    <col min="16147" max="16147" width="13.44140625" style="670" bestFit="1" customWidth="1"/>
    <col min="16148" max="16148" width="8.88671875" style="670"/>
    <col min="16149" max="16149" width="11.77734375" style="670" bestFit="1" customWidth="1"/>
    <col min="16150" max="16151" width="8.88671875" style="670"/>
    <col min="16152" max="16152" width="11.6640625" style="670" bestFit="1" customWidth="1"/>
    <col min="16153" max="16384" width="8.88671875" style="670"/>
  </cols>
  <sheetData>
    <row r="1" spans="1:16" s="651" customFormat="1" ht="72.75" customHeight="1">
      <c r="A1" s="1449" t="s">
        <v>2048</v>
      </c>
      <c r="B1" s="1450"/>
      <c r="C1" s="1450"/>
      <c r="D1" s="1450"/>
      <c r="E1" s="1450"/>
      <c r="F1" s="1450"/>
      <c r="G1" s="807"/>
      <c r="H1" s="807"/>
      <c r="I1" s="807"/>
      <c r="J1" s="807"/>
      <c r="K1" s="807"/>
      <c r="L1" s="807"/>
      <c r="M1" s="648"/>
      <c r="N1" s="649"/>
      <c r="O1" s="650"/>
      <c r="P1" s="650"/>
    </row>
    <row r="2" spans="1:16" s="651" customFormat="1" ht="72.75" customHeight="1">
      <c r="A2" s="804"/>
      <c r="B2" s="805"/>
      <c r="C2" s="805" t="s">
        <v>2051</v>
      </c>
      <c r="D2" s="805"/>
      <c r="E2" s="805"/>
      <c r="F2" s="805"/>
      <c r="G2" s="805"/>
      <c r="H2" s="805"/>
      <c r="I2" s="805"/>
      <c r="J2" s="805"/>
      <c r="K2" s="805"/>
      <c r="L2" s="805"/>
      <c r="M2" s="648"/>
      <c r="N2" s="649"/>
      <c r="O2" s="650"/>
      <c r="P2" s="650"/>
    </row>
    <row r="3" spans="1:16" s="653" customFormat="1" ht="75" customHeight="1">
      <c r="A3" s="1448" t="s">
        <v>544</v>
      </c>
      <c r="B3" s="1505" t="s">
        <v>8</v>
      </c>
      <c r="C3" s="1448" t="s">
        <v>1231</v>
      </c>
      <c r="D3" s="1448" t="s">
        <v>1339</v>
      </c>
      <c r="E3" s="1448" t="s">
        <v>215</v>
      </c>
      <c r="F3" s="1505" t="s">
        <v>1340</v>
      </c>
      <c r="G3" s="1507" t="s">
        <v>1357</v>
      </c>
      <c r="H3" s="1507"/>
      <c r="I3" s="1451" t="s">
        <v>1358</v>
      </c>
      <c r="J3" s="1452"/>
      <c r="K3" s="1451" t="s">
        <v>1359</v>
      </c>
      <c r="L3" s="1452"/>
      <c r="M3" s="1448" t="s">
        <v>1361</v>
      </c>
      <c r="N3" s="1448"/>
      <c r="O3" s="652"/>
      <c r="P3" s="652"/>
    </row>
    <row r="4" spans="1:16" s="653" customFormat="1" ht="57.75" customHeight="1">
      <c r="A4" s="1448"/>
      <c r="B4" s="1506"/>
      <c r="C4" s="1448"/>
      <c r="D4" s="1448"/>
      <c r="E4" s="1448"/>
      <c r="F4" s="1506"/>
      <c r="G4" s="655" t="s">
        <v>214</v>
      </c>
      <c r="H4" s="655" t="s">
        <v>1340</v>
      </c>
      <c r="I4" s="655" t="s">
        <v>214</v>
      </c>
      <c r="J4" s="655" t="s">
        <v>1340</v>
      </c>
      <c r="K4" s="656" t="s">
        <v>8</v>
      </c>
      <c r="L4" s="655" t="s">
        <v>1340</v>
      </c>
      <c r="M4" s="655" t="s">
        <v>8</v>
      </c>
      <c r="N4" s="655" t="s">
        <v>1340</v>
      </c>
      <c r="O4" s="652"/>
      <c r="P4" s="652"/>
    </row>
    <row r="5" spans="1:16" s="653" customFormat="1" ht="26.25">
      <c r="A5" s="657"/>
      <c r="B5" s="657"/>
      <c r="C5" s="658"/>
      <c r="D5" s="657"/>
      <c r="E5" s="658"/>
      <c r="F5" s="658"/>
      <c r="G5" s="657"/>
      <c r="H5" s="657"/>
      <c r="I5" s="657"/>
      <c r="J5" s="657"/>
      <c r="K5" s="657"/>
      <c r="L5" s="657"/>
      <c r="M5" s="661"/>
      <c r="N5" s="661"/>
      <c r="O5" s="652"/>
      <c r="P5" s="652"/>
    </row>
    <row r="6" spans="1:16" s="677" customFormat="1" ht="34.9" customHeight="1">
      <c r="A6" s="700"/>
      <c r="B6" s="666">
        <f t="shared" ref="B6:B18" si="0">K6</f>
        <v>0</v>
      </c>
      <c r="C6" s="785" t="s">
        <v>1955</v>
      </c>
      <c r="D6" s="666"/>
      <c r="E6" s="674"/>
      <c r="F6" s="663">
        <f t="shared" ref="F6:F18" si="1">L6</f>
        <v>0</v>
      </c>
      <c r="G6" s="660"/>
      <c r="H6" s="667"/>
      <c r="I6" s="675"/>
      <c r="J6" s="667"/>
      <c r="K6" s="667"/>
      <c r="L6" s="667"/>
      <c r="M6" s="672"/>
      <c r="N6" s="668"/>
      <c r="O6" s="676"/>
      <c r="P6" s="676"/>
    </row>
    <row r="7" spans="1:16" s="677" customFormat="1" ht="60" customHeight="1">
      <c r="A7" s="700">
        <f>'Ext. WS'!$A$7</f>
        <v>1</v>
      </c>
      <c r="B7" s="666">
        <f t="shared" si="0"/>
        <v>2</v>
      </c>
      <c r="C7" s="663" t="str">
        <f>'Ext. WS'!$B$7</f>
        <v xml:space="preserve">Supplying and delivery of single phase 2.0 HP submersible pumpset etc.,all complete </v>
      </c>
      <c r="D7" s="666">
        <v>22539</v>
      </c>
      <c r="E7" s="674" t="str">
        <f>'Ext. WS'!$H$11</f>
        <v>Nos.</v>
      </c>
      <c r="F7" s="663">
        <f t="shared" si="1"/>
        <v>45078</v>
      </c>
      <c r="G7" s="660"/>
      <c r="H7" s="667"/>
      <c r="I7" s="675"/>
      <c r="J7" s="667"/>
      <c r="K7" s="667">
        <f>'Ext. WS'!$G$11</f>
        <v>2</v>
      </c>
      <c r="L7" s="667">
        <f t="shared" ref="L7:L18" si="2">K7*D7</f>
        <v>45078</v>
      </c>
      <c r="M7" s="672"/>
      <c r="N7" s="668"/>
      <c r="O7" s="676"/>
      <c r="P7" s="676"/>
    </row>
    <row r="8" spans="1:16" s="677" customFormat="1" ht="83.25" customHeight="1">
      <c r="A8" s="700">
        <f>'Ext. WS'!$A$12</f>
        <v>2</v>
      </c>
      <c r="B8" s="666">
        <f t="shared" si="0"/>
        <v>2</v>
      </c>
      <c r="C8" s="663" t="str">
        <f>'Ext. WS'!$B$12</f>
        <v>Supplying and delivery of wall mount type Control panel board for single phase 2.0 HP openwell submersible pumpset etc.,all complete</v>
      </c>
      <c r="D8" s="666">
        <v>7105</v>
      </c>
      <c r="E8" s="674" t="str">
        <f>'Ext. WS'!$H$14</f>
        <v>Nos.</v>
      </c>
      <c r="F8" s="663">
        <f t="shared" si="1"/>
        <v>14210</v>
      </c>
      <c r="G8" s="660"/>
      <c r="H8" s="667"/>
      <c r="I8" s="675"/>
      <c r="J8" s="667"/>
      <c r="K8" s="667">
        <f>'Ext. WS'!$G$14</f>
        <v>2</v>
      </c>
      <c r="L8" s="667">
        <f t="shared" si="2"/>
        <v>14210</v>
      </c>
      <c r="M8" s="672"/>
      <c r="N8" s="668"/>
      <c r="O8" s="676"/>
      <c r="P8" s="676"/>
    </row>
    <row r="9" spans="1:16" s="677" customFormat="1" ht="83.25" customHeight="1">
      <c r="A9" s="700">
        <f>'Ext. WS'!$A$15</f>
        <v>3</v>
      </c>
      <c r="B9" s="666">
        <f t="shared" si="0"/>
        <v>1</v>
      </c>
      <c r="C9" s="663" t="str">
        <f>'Ext. WS'!$B$15</f>
        <v>Supplying and delivery of wall mount type Control panel board for single phase 2.0 HP submersible pumpset etc.,all complete</v>
      </c>
      <c r="D9" s="666">
        <v>7105</v>
      </c>
      <c r="E9" s="674" t="str">
        <f>'Ext. WS'!$H$17</f>
        <v>Nos.</v>
      </c>
      <c r="F9" s="663">
        <f t="shared" si="1"/>
        <v>7105</v>
      </c>
      <c r="G9" s="660"/>
      <c r="H9" s="667"/>
      <c r="I9" s="675"/>
      <c r="J9" s="667"/>
      <c r="K9" s="667">
        <f>'Ext. WS'!$G$17</f>
        <v>1</v>
      </c>
      <c r="L9" s="667">
        <f t="shared" si="2"/>
        <v>7105</v>
      </c>
      <c r="M9" s="672"/>
      <c r="N9" s="668"/>
      <c r="O9" s="676"/>
      <c r="P9" s="676"/>
    </row>
    <row r="10" spans="1:16" s="677" customFormat="1" ht="60" customHeight="1">
      <c r="A10" s="700">
        <f>'Ext. WS'!$A$18</f>
        <v>4</v>
      </c>
      <c r="B10" s="666">
        <f t="shared" si="0"/>
        <v>1</v>
      </c>
      <c r="C10" s="663" t="str">
        <f>'Ext. WS'!$B$18</f>
        <v>Labour charges for erection of submersible pumpset etc., all complete</v>
      </c>
      <c r="D10" s="666">
        <v>10051.1</v>
      </c>
      <c r="E10" s="674" t="str">
        <f>'Ext. WS'!$H$20</f>
        <v>No.</v>
      </c>
      <c r="F10" s="663">
        <f t="shared" si="1"/>
        <v>10051.1</v>
      </c>
      <c r="G10" s="660"/>
      <c r="H10" s="667"/>
      <c r="I10" s="675"/>
      <c r="J10" s="667"/>
      <c r="K10" s="667">
        <f>'Ext. WS'!$G$20</f>
        <v>1</v>
      </c>
      <c r="L10" s="667">
        <f t="shared" si="2"/>
        <v>10051.1</v>
      </c>
      <c r="M10" s="672"/>
      <c r="N10" s="668"/>
      <c r="O10" s="676"/>
      <c r="P10" s="676"/>
    </row>
    <row r="11" spans="1:16" s="677" customFormat="1" ht="60" customHeight="1">
      <c r="A11" s="700">
        <f>'Ext. WS'!$A$21</f>
        <v>5</v>
      </c>
      <c r="B11" s="666">
        <f t="shared" si="0"/>
        <v>190</v>
      </c>
      <c r="C11" s="663" t="str">
        <f>'Ext. WS'!$B$21</f>
        <v>Supply of 3 core 4 sqmm PVC insulated flat cable for submersible pumpset etc.,all complete</v>
      </c>
      <c r="D11" s="666">
        <v>161</v>
      </c>
      <c r="E11" s="674" t="str">
        <f>'Ext. WS'!$H$24</f>
        <v>Rmt</v>
      </c>
      <c r="F11" s="663">
        <f t="shared" si="1"/>
        <v>30590</v>
      </c>
      <c r="G11" s="660"/>
      <c r="H11" s="667"/>
      <c r="I11" s="675"/>
      <c r="J11" s="667"/>
      <c r="K11" s="667">
        <f>'Ext. WS'!$G$24</f>
        <v>190</v>
      </c>
      <c r="L11" s="667">
        <f t="shared" si="2"/>
        <v>30590</v>
      </c>
      <c r="M11" s="672"/>
      <c r="N11" s="668"/>
      <c r="O11" s="676"/>
      <c r="P11" s="676"/>
    </row>
    <row r="12" spans="1:16" s="677" customFormat="1" ht="60" customHeight="1">
      <c r="A12" s="700">
        <f>'Ext. WS'!$A$25</f>
        <v>8</v>
      </c>
      <c r="B12" s="666">
        <f t="shared" si="0"/>
        <v>180</v>
      </c>
      <c r="C12" s="663" t="str">
        <f>'Ext. WS'!$B$25</f>
        <v>Supplying of 14mm dia. of Nylon rope etc., all complete.</v>
      </c>
      <c r="D12" s="666">
        <v>60</v>
      </c>
      <c r="E12" s="674" t="str">
        <f>'Ext. WS'!$H$27</f>
        <v>Rmt</v>
      </c>
      <c r="F12" s="663">
        <f t="shared" si="1"/>
        <v>10800</v>
      </c>
      <c r="G12" s="660"/>
      <c r="H12" s="667"/>
      <c r="I12" s="675"/>
      <c r="J12" s="667"/>
      <c r="K12" s="667">
        <f>'Ext. WS'!$G$27</f>
        <v>180</v>
      </c>
      <c r="L12" s="667">
        <f t="shared" si="2"/>
        <v>10800</v>
      </c>
      <c r="M12" s="672"/>
      <c r="N12" s="668"/>
      <c r="O12" s="676"/>
      <c r="P12" s="676"/>
    </row>
    <row r="13" spans="1:16" s="677" customFormat="1" ht="60" customHeight="1">
      <c r="A13" s="700">
        <f>'Ext. WS'!$A$28</f>
        <v>9</v>
      </c>
      <c r="B13" s="666">
        <f t="shared" si="0"/>
        <v>170</v>
      </c>
      <c r="C13" s="663" t="str">
        <f>'Ext. WS'!$B$28</f>
        <v>Supplying and laying of the 32mm UPVC pipe etc., all complete. (Below Ground Level)</v>
      </c>
      <c r="D13" s="666">
        <f>114.8+26.41+190.79+17.4</f>
        <v>349.4</v>
      </c>
      <c r="E13" s="674" t="str">
        <f>'Ext. WS'!$H$30</f>
        <v>Rmt</v>
      </c>
      <c r="F13" s="663">
        <f t="shared" si="1"/>
        <v>59397.999999999993</v>
      </c>
      <c r="G13" s="660"/>
      <c r="H13" s="667"/>
      <c r="I13" s="675"/>
      <c r="J13" s="667"/>
      <c r="K13" s="667">
        <f>'Ext. WS'!$G$30</f>
        <v>170</v>
      </c>
      <c r="L13" s="667">
        <f t="shared" si="2"/>
        <v>59397.999999999993</v>
      </c>
      <c r="M13" s="672"/>
      <c r="N13" s="668"/>
      <c r="O13" s="676"/>
      <c r="P13" s="676"/>
    </row>
    <row r="14" spans="1:16" s="677" customFormat="1" ht="45" customHeight="1">
      <c r="A14" s="700">
        <f>'Ext. WS'!$A$31</f>
        <v>10</v>
      </c>
      <c r="B14" s="666">
        <f t="shared" si="0"/>
        <v>1</v>
      </c>
      <c r="C14" s="663" t="str">
        <f>'Ext. WS'!$B$31</f>
        <v>Supplying of 32mm dia. Cast Iron Adopter</v>
      </c>
      <c r="D14" s="666">
        <v>600</v>
      </c>
      <c r="E14" s="674" t="str">
        <f>'Ext. WS'!$H$33</f>
        <v>No.</v>
      </c>
      <c r="F14" s="663">
        <f t="shared" si="1"/>
        <v>600</v>
      </c>
      <c r="G14" s="660"/>
      <c r="H14" s="667"/>
      <c r="I14" s="675"/>
      <c r="J14" s="667"/>
      <c r="K14" s="667">
        <f>'Ext. WS'!$G$33</f>
        <v>1</v>
      </c>
      <c r="L14" s="667">
        <f t="shared" si="2"/>
        <v>600</v>
      </c>
      <c r="M14" s="672"/>
      <c r="N14" s="668"/>
      <c r="O14" s="676"/>
      <c r="P14" s="676"/>
    </row>
    <row r="15" spans="1:16" s="677" customFormat="1" ht="60" customHeight="1">
      <c r="A15" s="700">
        <f>'Ext. WS'!$A$34</f>
        <v>11</v>
      </c>
      <c r="B15" s="666">
        <f t="shared" si="0"/>
        <v>0</v>
      </c>
      <c r="C15" s="663" t="str">
        <f>'Ext. WS'!$B$34</f>
        <v>Supplying and delivery of following dia. PVC and GI Pipes</v>
      </c>
      <c r="D15" s="666"/>
      <c r="E15" s="674"/>
      <c r="F15" s="663">
        <f t="shared" si="1"/>
        <v>0</v>
      </c>
      <c r="G15" s="660"/>
      <c r="H15" s="667"/>
      <c r="I15" s="675"/>
      <c r="J15" s="667"/>
      <c r="K15" s="667"/>
      <c r="L15" s="667">
        <f t="shared" si="2"/>
        <v>0</v>
      </c>
      <c r="M15" s="672"/>
      <c r="N15" s="668"/>
      <c r="O15" s="676"/>
      <c r="P15" s="676"/>
    </row>
    <row r="16" spans="1:16" s="677" customFormat="1" ht="45" customHeight="1">
      <c r="A16" s="700"/>
      <c r="B16" s="666">
        <f t="shared" si="0"/>
        <v>3</v>
      </c>
      <c r="C16" s="663" t="str">
        <f>'Ext. WS'!$B$35</f>
        <v>b) 32mm dia. G.I pipe (B class)</v>
      </c>
      <c r="D16" s="666">
        <v>151.4</v>
      </c>
      <c r="E16" s="674" t="str">
        <f>'Ext. WS'!$H$37</f>
        <v>Rmt</v>
      </c>
      <c r="F16" s="663">
        <f t="shared" si="1"/>
        <v>454.20000000000005</v>
      </c>
      <c r="G16" s="660"/>
      <c r="H16" s="667"/>
      <c r="I16" s="675"/>
      <c r="J16" s="667"/>
      <c r="K16" s="667">
        <f>'Ext. WS'!$G$37</f>
        <v>3</v>
      </c>
      <c r="L16" s="667">
        <f t="shared" si="2"/>
        <v>454.20000000000005</v>
      </c>
      <c r="M16" s="672"/>
      <c r="N16" s="668"/>
      <c r="O16" s="676"/>
      <c r="P16" s="676"/>
    </row>
    <row r="17" spans="1:16" s="677" customFormat="1" ht="60" customHeight="1">
      <c r="A17" s="700">
        <f>'Ext. WS'!$A$38</f>
        <v>12</v>
      </c>
      <c r="B17" s="666">
        <f t="shared" si="0"/>
        <v>0</v>
      </c>
      <c r="C17" s="663" t="str">
        <f>'Ext. WS'!$B$38</f>
        <v>Labour charges for following dia. of PVC/GI pipes (Below Ground level)</v>
      </c>
      <c r="D17" s="666"/>
      <c r="E17" s="674"/>
      <c r="F17" s="663">
        <f t="shared" si="1"/>
        <v>0</v>
      </c>
      <c r="G17" s="660"/>
      <c r="H17" s="667"/>
      <c r="I17" s="675"/>
      <c r="J17" s="667"/>
      <c r="K17" s="667"/>
      <c r="L17" s="667">
        <f t="shared" si="2"/>
        <v>0</v>
      </c>
      <c r="M17" s="672"/>
      <c r="N17" s="668"/>
      <c r="O17" s="676"/>
      <c r="P17" s="676"/>
    </row>
    <row r="18" spans="1:16" s="677" customFormat="1" ht="45" customHeight="1">
      <c r="A18" s="700"/>
      <c r="B18" s="666">
        <f t="shared" si="0"/>
        <v>5.5</v>
      </c>
      <c r="C18" s="663" t="str">
        <f>'Ext. WS'!$B$39</f>
        <v xml:space="preserve">b) 32mm dia. G.I pipe </v>
      </c>
      <c r="D18" s="666">
        <f>17.4+190.79+26.41</f>
        <v>234.6</v>
      </c>
      <c r="E18" s="674" t="str">
        <f>'Ext. WS'!$H$40</f>
        <v>Rmt</v>
      </c>
      <c r="F18" s="663">
        <f t="shared" si="1"/>
        <v>1290.3</v>
      </c>
      <c r="G18" s="660"/>
      <c r="H18" s="667"/>
      <c r="I18" s="675"/>
      <c r="J18" s="667"/>
      <c r="K18" s="667">
        <f>'Ext. WS'!$G$40</f>
        <v>5.5</v>
      </c>
      <c r="L18" s="667">
        <f t="shared" si="2"/>
        <v>1290.3</v>
      </c>
      <c r="M18" s="672"/>
      <c r="N18" s="668"/>
      <c r="O18" s="676"/>
      <c r="P18" s="676"/>
    </row>
    <row r="19" spans="1:16" ht="75" customHeight="1">
      <c r="A19" s="690"/>
      <c r="B19" s="666">
        <f t="shared" ref="B19" si="3">K19</f>
        <v>0</v>
      </c>
      <c r="C19" s="685" t="s">
        <v>57</v>
      </c>
      <c r="D19" s="675">
        <f>ROUND([14]Data!K1206,2)</f>
        <v>0</v>
      </c>
      <c r="E19" s="674"/>
      <c r="F19" s="685">
        <f t="shared" ref="F19" si="4">L19</f>
        <v>179576.6</v>
      </c>
      <c r="G19" s="786"/>
      <c r="H19" s="736">
        <f>SUM(H6:H18)</f>
        <v>0</v>
      </c>
      <c r="I19" s="786"/>
      <c r="J19" s="736">
        <f>SUM(J6:J18)</f>
        <v>0</v>
      </c>
      <c r="K19" s="736"/>
      <c r="L19" s="736">
        <f>SUM(L6:L18)</f>
        <v>179576.6</v>
      </c>
      <c r="M19" s="672" t="e">
        <f>'[14]G. Abstractfinal'!F22</f>
        <v>#REF!</v>
      </c>
      <c r="N19" s="786" t="e">
        <f>#REF!-M19</f>
        <v>#REF!</v>
      </c>
    </row>
    <row r="20" spans="1:16">
      <c r="M20" s="670"/>
      <c r="N20" s="670"/>
      <c r="O20" s="670"/>
      <c r="P20" s="670"/>
    </row>
    <row r="21" spans="1:16">
      <c r="M21" s="670"/>
      <c r="N21" s="670"/>
      <c r="O21" s="670"/>
      <c r="P21" s="670"/>
    </row>
    <row r="22" spans="1:16">
      <c r="M22" s="670"/>
      <c r="N22" s="670"/>
      <c r="O22" s="670"/>
      <c r="P22" s="670"/>
    </row>
    <row r="23" spans="1:16">
      <c r="M23" s="670"/>
      <c r="N23" s="670"/>
      <c r="O23" s="670"/>
      <c r="P23" s="670"/>
    </row>
    <row r="24" spans="1:16">
      <c r="M24" s="670"/>
      <c r="N24" s="670"/>
      <c r="O24" s="670"/>
      <c r="P24" s="670"/>
    </row>
    <row r="25" spans="1:16">
      <c r="M25" s="670"/>
      <c r="N25" s="670"/>
      <c r="O25" s="670"/>
      <c r="P25" s="670"/>
    </row>
  </sheetData>
  <autoFilter ref="A5:X19">
    <filterColumn colId="1"/>
    <filterColumn colId="5"/>
  </autoFilter>
  <mergeCells count="11">
    <mergeCell ref="M3:N3"/>
    <mergeCell ref="A1:F1"/>
    <mergeCell ref="A3:A4"/>
    <mergeCell ref="B3:B4"/>
    <mergeCell ref="C3:C4"/>
    <mergeCell ref="D3:D4"/>
    <mergeCell ref="E3:E4"/>
    <mergeCell ref="F3:F4"/>
    <mergeCell ref="G3:H3"/>
    <mergeCell ref="I3:J3"/>
    <mergeCell ref="K3:L3"/>
  </mergeCells>
  <printOptions horizontalCentered="1"/>
  <pageMargins left="0.1" right="0.1" top="0.55118110236220497" bottom="0.55118110236220497" header="0.27559055118110198" footer="0.43307086614173201"/>
  <pageSetup paperSize="9" scale="56" orientation="portrait" r:id="rId1"/>
  <headerFooter alignWithMargins="0">
    <oddHeader>&amp;R&amp;P</oddHeader>
  </headerFooter>
</worksheet>
</file>

<file path=xl/worksheets/sheet11.xml><?xml version="1.0" encoding="utf-8"?>
<worksheet xmlns="http://schemas.openxmlformats.org/spreadsheetml/2006/main" xmlns:r="http://schemas.openxmlformats.org/officeDocument/2006/relationships">
  <sheetPr>
    <tabColor rgb="FF00B050"/>
  </sheetPr>
  <dimension ref="A1:Y1148"/>
  <sheetViews>
    <sheetView showZeros="0" view="pageBreakPreview" zoomScale="50" zoomScaleNormal="40" zoomScaleSheetLayoutView="50" workbookViewId="0">
      <pane xSplit="5" ySplit="5" topLeftCell="F6" activePane="bottomRight" state="frozen"/>
      <selection pane="topRight" activeCell="E1" sqref="E1"/>
      <selection pane="bottomLeft" activeCell="A5" sqref="A5"/>
      <selection pane="bottomRight" activeCell="F1009" sqref="F1009"/>
    </sheetView>
  </sheetViews>
  <sheetFormatPr defaultRowHeight="25.5"/>
  <cols>
    <col min="1" max="1" width="10" style="794" customWidth="1"/>
    <col min="2" max="2" width="12.88671875" style="794" customWidth="1"/>
    <col min="3" max="3" width="64.44140625" style="795" customWidth="1"/>
    <col min="4" max="4" width="18.77734375" style="794" customWidth="1"/>
    <col min="5" max="5" width="11" style="795" customWidth="1"/>
    <col min="6" max="6" width="14.109375" style="795" customWidth="1"/>
    <col min="7" max="7" width="14.44140625" style="794" hidden="1" customWidth="1"/>
    <col min="8" max="8" width="18.21875" style="794" hidden="1" customWidth="1"/>
    <col min="9" max="13" width="17.44140625" style="794" hidden="1" customWidth="1"/>
    <col min="14" max="14" width="17.109375" style="794" hidden="1" customWidth="1"/>
    <col min="15" max="15" width="16.44140625" style="797" hidden="1" customWidth="1"/>
    <col min="16" max="16" width="18.6640625" style="798" hidden="1" customWidth="1"/>
    <col min="17" max="17" width="20.21875" style="669" hidden="1" customWidth="1"/>
    <col min="18" max="18" width="25.6640625" style="669" hidden="1" customWidth="1"/>
    <col min="19" max="19" width="19.44140625" style="669" hidden="1" customWidth="1"/>
    <col min="20" max="20" width="21.109375" style="669" hidden="1" customWidth="1"/>
    <col min="21" max="21" width="15.88671875" style="670" hidden="1" customWidth="1"/>
    <col min="22" max="22" width="0" style="670" hidden="1" customWidth="1"/>
    <col min="23" max="23" width="13.44140625" style="670" hidden="1" customWidth="1"/>
    <col min="24" max="24" width="0" style="670" hidden="1" customWidth="1"/>
    <col min="25" max="25" width="11.77734375" style="670" bestFit="1" customWidth="1"/>
    <col min="26" max="27" width="8.88671875" style="670"/>
    <col min="28" max="28" width="11.6640625" style="670" bestFit="1" customWidth="1"/>
    <col min="29" max="226" width="8.88671875" style="670"/>
    <col min="227" max="227" width="10" style="670" customWidth="1"/>
    <col min="228" max="228" width="64.44140625" style="670" customWidth="1"/>
    <col min="229" max="229" width="18.77734375" style="670" customWidth="1"/>
    <col min="230" max="230" width="11" style="670" customWidth="1"/>
    <col min="231" max="231" width="14.6640625" style="670" customWidth="1"/>
    <col min="232" max="232" width="18.6640625" style="670" customWidth="1"/>
    <col min="233" max="233" width="14.44140625" style="670" customWidth="1"/>
    <col min="234" max="234" width="18.21875" style="670" customWidth="1"/>
    <col min="235" max="235" width="15.6640625" style="670" customWidth="1"/>
    <col min="236" max="236" width="17.44140625" style="670" customWidth="1"/>
    <col min="237" max="237" width="15.6640625" style="670" customWidth="1"/>
    <col min="238" max="238" width="17.44140625" style="670" customWidth="1"/>
    <col min="239" max="239" width="17" style="670" customWidth="1"/>
    <col min="240" max="242" width="17.44140625" style="670" customWidth="1"/>
    <col min="243" max="243" width="14.77734375" style="670" customWidth="1"/>
    <col min="244" max="269" width="17.44140625" style="670" customWidth="1"/>
    <col min="270" max="270" width="17.109375" style="670" customWidth="1"/>
    <col min="271" max="271" width="16.44140625" style="670" customWidth="1"/>
    <col min="272" max="272" width="18.6640625" style="670" customWidth="1"/>
    <col min="273" max="273" width="20.21875" style="670" bestFit="1" customWidth="1"/>
    <col min="274" max="274" width="25.6640625" style="670" customWidth="1"/>
    <col min="275" max="275" width="19.44140625" style="670" bestFit="1" customWidth="1"/>
    <col min="276" max="276" width="21.109375" style="670" bestFit="1" customWidth="1"/>
    <col min="277" max="277" width="15.88671875" style="670" bestFit="1" customWidth="1"/>
    <col min="278" max="278" width="8.88671875" style="670"/>
    <col min="279" max="279" width="13.44140625" style="670" bestFit="1" customWidth="1"/>
    <col min="280" max="280" width="8.88671875" style="670"/>
    <col min="281" max="281" width="11.77734375" style="670" bestFit="1" customWidth="1"/>
    <col min="282" max="283" width="8.88671875" style="670"/>
    <col min="284" max="284" width="11.6640625" style="670" bestFit="1" customWidth="1"/>
    <col min="285" max="482" width="8.88671875" style="670"/>
    <col min="483" max="483" width="10" style="670" customWidth="1"/>
    <col min="484" max="484" width="64.44140625" style="670" customWidth="1"/>
    <col min="485" max="485" width="18.77734375" style="670" customWidth="1"/>
    <col min="486" max="486" width="11" style="670" customWidth="1"/>
    <col min="487" max="487" width="14.6640625" style="670" customWidth="1"/>
    <col min="488" max="488" width="18.6640625" style="670" customWidth="1"/>
    <col min="489" max="489" width="14.44140625" style="670" customWidth="1"/>
    <col min="490" max="490" width="18.21875" style="670" customWidth="1"/>
    <col min="491" max="491" width="15.6640625" style="670" customWidth="1"/>
    <col min="492" max="492" width="17.44140625" style="670" customWidth="1"/>
    <col min="493" max="493" width="15.6640625" style="670" customWidth="1"/>
    <col min="494" max="494" width="17.44140625" style="670" customWidth="1"/>
    <col min="495" max="495" width="17" style="670" customWidth="1"/>
    <col min="496" max="498" width="17.44140625" style="670" customWidth="1"/>
    <col min="499" max="499" width="14.77734375" style="670" customWidth="1"/>
    <col min="500" max="525" width="17.44140625" style="670" customWidth="1"/>
    <col min="526" max="526" width="17.109375" style="670" customWidth="1"/>
    <col min="527" max="527" width="16.44140625" style="670" customWidth="1"/>
    <col min="528" max="528" width="18.6640625" style="670" customWidth="1"/>
    <col min="529" max="529" width="20.21875" style="670" bestFit="1" customWidth="1"/>
    <col min="530" max="530" width="25.6640625" style="670" customWidth="1"/>
    <col min="531" max="531" width="19.44140625" style="670" bestFit="1" customWidth="1"/>
    <col min="532" max="532" width="21.109375" style="670" bestFit="1" customWidth="1"/>
    <col min="533" max="533" width="15.88671875" style="670" bestFit="1" customWidth="1"/>
    <col min="534" max="534" width="8.88671875" style="670"/>
    <col min="535" max="535" width="13.44140625" style="670" bestFit="1" customWidth="1"/>
    <col min="536" max="536" width="8.88671875" style="670"/>
    <col min="537" max="537" width="11.77734375" style="670" bestFit="1" customWidth="1"/>
    <col min="538" max="539" width="8.88671875" style="670"/>
    <col min="540" max="540" width="11.6640625" style="670" bestFit="1" customWidth="1"/>
    <col min="541" max="738" width="8.88671875" style="670"/>
    <col min="739" max="739" width="10" style="670" customWidth="1"/>
    <col min="740" max="740" width="64.44140625" style="670" customWidth="1"/>
    <col min="741" max="741" width="18.77734375" style="670" customWidth="1"/>
    <col min="742" max="742" width="11" style="670" customWidth="1"/>
    <col min="743" max="743" width="14.6640625" style="670" customWidth="1"/>
    <col min="744" max="744" width="18.6640625" style="670" customWidth="1"/>
    <col min="745" max="745" width="14.44140625" style="670" customWidth="1"/>
    <col min="746" max="746" width="18.21875" style="670" customWidth="1"/>
    <col min="747" max="747" width="15.6640625" style="670" customWidth="1"/>
    <col min="748" max="748" width="17.44140625" style="670" customWidth="1"/>
    <col min="749" max="749" width="15.6640625" style="670" customWidth="1"/>
    <col min="750" max="750" width="17.44140625" style="670" customWidth="1"/>
    <col min="751" max="751" width="17" style="670" customWidth="1"/>
    <col min="752" max="754" width="17.44140625" style="670" customWidth="1"/>
    <col min="755" max="755" width="14.77734375" style="670" customWidth="1"/>
    <col min="756" max="781" width="17.44140625" style="670" customWidth="1"/>
    <col min="782" max="782" width="17.109375" style="670" customWidth="1"/>
    <col min="783" max="783" width="16.44140625" style="670" customWidth="1"/>
    <col min="784" max="784" width="18.6640625" style="670" customWidth="1"/>
    <col min="785" max="785" width="20.21875" style="670" bestFit="1" customWidth="1"/>
    <col min="786" max="786" width="25.6640625" style="670" customWidth="1"/>
    <col min="787" max="787" width="19.44140625" style="670" bestFit="1" customWidth="1"/>
    <col min="788" max="788" width="21.109375" style="670" bestFit="1" customWidth="1"/>
    <col min="789" max="789" width="15.88671875" style="670" bestFit="1" customWidth="1"/>
    <col min="790" max="790" width="8.88671875" style="670"/>
    <col min="791" max="791" width="13.44140625" style="670" bestFit="1" customWidth="1"/>
    <col min="792" max="792" width="8.88671875" style="670"/>
    <col min="793" max="793" width="11.77734375" style="670" bestFit="1" customWidth="1"/>
    <col min="794" max="795" width="8.88671875" style="670"/>
    <col min="796" max="796" width="11.6640625" style="670" bestFit="1" customWidth="1"/>
    <col min="797" max="994" width="8.88671875" style="670"/>
    <col min="995" max="995" width="10" style="670" customWidth="1"/>
    <col min="996" max="996" width="64.44140625" style="670" customWidth="1"/>
    <col min="997" max="997" width="18.77734375" style="670" customWidth="1"/>
    <col min="998" max="998" width="11" style="670" customWidth="1"/>
    <col min="999" max="999" width="14.6640625" style="670" customWidth="1"/>
    <col min="1000" max="1000" width="18.6640625" style="670" customWidth="1"/>
    <col min="1001" max="1001" width="14.44140625" style="670" customWidth="1"/>
    <col min="1002" max="1002" width="18.21875" style="670" customWidth="1"/>
    <col min="1003" max="1003" width="15.6640625" style="670" customWidth="1"/>
    <col min="1004" max="1004" width="17.44140625" style="670" customWidth="1"/>
    <col min="1005" max="1005" width="15.6640625" style="670" customWidth="1"/>
    <col min="1006" max="1006" width="17.44140625" style="670" customWidth="1"/>
    <col min="1007" max="1007" width="17" style="670" customWidth="1"/>
    <col min="1008" max="1010" width="17.44140625" style="670" customWidth="1"/>
    <col min="1011" max="1011" width="14.77734375" style="670" customWidth="1"/>
    <col min="1012" max="1037" width="17.44140625" style="670" customWidth="1"/>
    <col min="1038" max="1038" width="17.109375" style="670" customWidth="1"/>
    <col min="1039" max="1039" width="16.44140625" style="670" customWidth="1"/>
    <col min="1040" max="1040" width="18.6640625" style="670" customWidth="1"/>
    <col min="1041" max="1041" width="20.21875" style="670" bestFit="1" customWidth="1"/>
    <col min="1042" max="1042" width="25.6640625" style="670" customWidth="1"/>
    <col min="1043" max="1043" width="19.44140625" style="670" bestFit="1" customWidth="1"/>
    <col min="1044" max="1044" width="21.109375" style="670" bestFit="1" customWidth="1"/>
    <col min="1045" max="1045" width="15.88671875" style="670" bestFit="1" customWidth="1"/>
    <col min="1046" max="1046" width="8.88671875" style="670"/>
    <col min="1047" max="1047" width="13.44140625" style="670" bestFit="1" customWidth="1"/>
    <col min="1048" max="1048" width="8.88671875" style="670"/>
    <col min="1049" max="1049" width="11.77734375" style="670" bestFit="1" customWidth="1"/>
    <col min="1050" max="1051" width="8.88671875" style="670"/>
    <col min="1052" max="1052" width="11.6640625" style="670" bestFit="1" customWidth="1"/>
    <col min="1053" max="1250" width="8.88671875" style="670"/>
    <col min="1251" max="1251" width="10" style="670" customWidth="1"/>
    <col min="1252" max="1252" width="64.44140625" style="670" customWidth="1"/>
    <col min="1253" max="1253" width="18.77734375" style="670" customWidth="1"/>
    <col min="1254" max="1254" width="11" style="670" customWidth="1"/>
    <col min="1255" max="1255" width="14.6640625" style="670" customWidth="1"/>
    <col min="1256" max="1256" width="18.6640625" style="670" customWidth="1"/>
    <col min="1257" max="1257" width="14.44140625" style="670" customWidth="1"/>
    <col min="1258" max="1258" width="18.21875" style="670" customWidth="1"/>
    <col min="1259" max="1259" width="15.6640625" style="670" customWidth="1"/>
    <col min="1260" max="1260" width="17.44140625" style="670" customWidth="1"/>
    <col min="1261" max="1261" width="15.6640625" style="670" customWidth="1"/>
    <col min="1262" max="1262" width="17.44140625" style="670" customWidth="1"/>
    <col min="1263" max="1263" width="17" style="670" customWidth="1"/>
    <col min="1264" max="1266" width="17.44140625" style="670" customWidth="1"/>
    <col min="1267" max="1267" width="14.77734375" style="670" customWidth="1"/>
    <col min="1268" max="1293" width="17.44140625" style="670" customWidth="1"/>
    <col min="1294" max="1294" width="17.109375" style="670" customWidth="1"/>
    <col min="1295" max="1295" width="16.44140625" style="670" customWidth="1"/>
    <col min="1296" max="1296" width="18.6640625" style="670" customWidth="1"/>
    <col min="1297" max="1297" width="20.21875" style="670" bestFit="1" customWidth="1"/>
    <col min="1298" max="1298" width="25.6640625" style="670" customWidth="1"/>
    <col min="1299" max="1299" width="19.44140625" style="670" bestFit="1" customWidth="1"/>
    <col min="1300" max="1300" width="21.109375" style="670" bestFit="1" customWidth="1"/>
    <col min="1301" max="1301" width="15.88671875" style="670" bestFit="1" customWidth="1"/>
    <col min="1302" max="1302" width="8.88671875" style="670"/>
    <col min="1303" max="1303" width="13.44140625" style="670" bestFit="1" customWidth="1"/>
    <col min="1304" max="1304" width="8.88671875" style="670"/>
    <col min="1305" max="1305" width="11.77734375" style="670" bestFit="1" customWidth="1"/>
    <col min="1306" max="1307" width="8.88671875" style="670"/>
    <col min="1308" max="1308" width="11.6640625" style="670" bestFit="1" customWidth="1"/>
    <col min="1309" max="1506" width="8.88671875" style="670"/>
    <col min="1507" max="1507" width="10" style="670" customWidth="1"/>
    <col min="1508" max="1508" width="64.44140625" style="670" customWidth="1"/>
    <col min="1509" max="1509" width="18.77734375" style="670" customWidth="1"/>
    <col min="1510" max="1510" width="11" style="670" customWidth="1"/>
    <col min="1511" max="1511" width="14.6640625" style="670" customWidth="1"/>
    <col min="1512" max="1512" width="18.6640625" style="670" customWidth="1"/>
    <col min="1513" max="1513" width="14.44140625" style="670" customWidth="1"/>
    <col min="1514" max="1514" width="18.21875" style="670" customWidth="1"/>
    <col min="1515" max="1515" width="15.6640625" style="670" customWidth="1"/>
    <col min="1516" max="1516" width="17.44140625" style="670" customWidth="1"/>
    <col min="1517" max="1517" width="15.6640625" style="670" customWidth="1"/>
    <col min="1518" max="1518" width="17.44140625" style="670" customWidth="1"/>
    <col min="1519" max="1519" width="17" style="670" customWidth="1"/>
    <col min="1520" max="1522" width="17.44140625" style="670" customWidth="1"/>
    <col min="1523" max="1523" width="14.77734375" style="670" customWidth="1"/>
    <col min="1524" max="1549" width="17.44140625" style="670" customWidth="1"/>
    <col min="1550" max="1550" width="17.109375" style="670" customWidth="1"/>
    <col min="1551" max="1551" width="16.44140625" style="670" customWidth="1"/>
    <col min="1552" max="1552" width="18.6640625" style="670" customWidth="1"/>
    <col min="1553" max="1553" width="20.21875" style="670" bestFit="1" customWidth="1"/>
    <col min="1554" max="1554" width="25.6640625" style="670" customWidth="1"/>
    <col min="1555" max="1555" width="19.44140625" style="670" bestFit="1" customWidth="1"/>
    <col min="1556" max="1556" width="21.109375" style="670" bestFit="1" customWidth="1"/>
    <col min="1557" max="1557" width="15.88671875" style="670" bestFit="1" customWidth="1"/>
    <col min="1558" max="1558" width="8.88671875" style="670"/>
    <col min="1559" max="1559" width="13.44140625" style="670" bestFit="1" customWidth="1"/>
    <col min="1560" max="1560" width="8.88671875" style="670"/>
    <col min="1561" max="1561" width="11.77734375" style="670" bestFit="1" customWidth="1"/>
    <col min="1562" max="1563" width="8.88671875" style="670"/>
    <col min="1564" max="1564" width="11.6640625" style="670" bestFit="1" customWidth="1"/>
    <col min="1565" max="1762" width="8.88671875" style="670"/>
    <col min="1763" max="1763" width="10" style="670" customWidth="1"/>
    <col min="1764" max="1764" width="64.44140625" style="670" customWidth="1"/>
    <col min="1765" max="1765" width="18.77734375" style="670" customWidth="1"/>
    <col min="1766" max="1766" width="11" style="670" customWidth="1"/>
    <col min="1767" max="1767" width="14.6640625" style="670" customWidth="1"/>
    <col min="1768" max="1768" width="18.6640625" style="670" customWidth="1"/>
    <col min="1769" max="1769" width="14.44140625" style="670" customWidth="1"/>
    <col min="1770" max="1770" width="18.21875" style="670" customWidth="1"/>
    <col min="1771" max="1771" width="15.6640625" style="670" customWidth="1"/>
    <col min="1772" max="1772" width="17.44140625" style="670" customWidth="1"/>
    <col min="1773" max="1773" width="15.6640625" style="670" customWidth="1"/>
    <col min="1774" max="1774" width="17.44140625" style="670" customWidth="1"/>
    <col min="1775" max="1775" width="17" style="670" customWidth="1"/>
    <col min="1776" max="1778" width="17.44140625" style="670" customWidth="1"/>
    <col min="1779" max="1779" width="14.77734375" style="670" customWidth="1"/>
    <col min="1780" max="1805" width="17.44140625" style="670" customWidth="1"/>
    <col min="1806" max="1806" width="17.109375" style="670" customWidth="1"/>
    <col min="1807" max="1807" width="16.44140625" style="670" customWidth="1"/>
    <col min="1808" max="1808" width="18.6640625" style="670" customWidth="1"/>
    <col min="1809" max="1809" width="20.21875" style="670" bestFit="1" customWidth="1"/>
    <col min="1810" max="1810" width="25.6640625" style="670" customWidth="1"/>
    <col min="1811" max="1811" width="19.44140625" style="670" bestFit="1" customWidth="1"/>
    <col min="1812" max="1812" width="21.109375" style="670" bestFit="1" customWidth="1"/>
    <col min="1813" max="1813" width="15.88671875" style="670" bestFit="1" customWidth="1"/>
    <col min="1814" max="1814" width="8.88671875" style="670"/>
    <col min="1815" max="1815" width="13.44140625" style="670" bestFit="1" customWidth="1"/>
    <col min="1816" max="1816" width="8.88671875" style="670"/>
    <col min="1817" max="1817" width="11.77734375" style="670" bestFit="1" customWidth="1"/>
    <col min="1818" max="1819" width="8.88671875" style="670"/>
    <col min="1820" max="1820" width="11.6640625" style="670" bestFit="1" customWidth="1"/>
    <col min="1821" max="2018" width="8.88671875" style="670"/>
    <col min="2019" max="2019" width="10" style="670" customWidth="1"/>
    <col min="2020" max="2020" width="64.44140625" style="670" customWidth="1"/>
    <col min="2021" max="2021" width="18.77734375" style="670" customWidth="1"/>
    <col min="2022" max="2022" width="11" style="670" customWidth="1"/>
    <col min="2023" max="2023" width="14.6640625" style="670" customWidth="1"/>
    <col min="2024" max="2024" width="18.6640625" style="670" customWidth="1"/>
    <col min="2025" max="2025" width="14.44140625" style="670" customWidth="1"/>
    <col min="2026" max="2026" width="18.21875" style="670" customWidth="1"/>
    <col min="2027" max="2027" width="15.6640625" style="670" customWidth="1"/>
    <col min="2028" max="2028" width="17.44140625" style="670" customWidth="1"/>
    <col min="2029" max="2029" width="15.6640625" style="670" customWidth="1"/>
    <col min="2030" max="2030" width="17.44140625" style="670" customWidth="1"/>
    <col min="2031" max="2031" width="17" style="670" customWidth="1"/>
    <col min="2032" max="2034" width="17.44140625" style="670" customWidth="1"/>
    <col min="2035" max="2035" width="14.77734375" style="670" customWidth="1"/>
    <col min="2036" max="2061" width="17.44140625" style="670" customWidth="1"/>
    <col min="2062" max="2062" width="17.109375" style="670" customWidth="1"/>
    <col min="2063" max="2063" width="16.44140625" style="670" customWidth="1"/>
    <col min="2064" max="2064" width="18.6640625" style="670" customWidth="1"/>
    <col min="2065" max="2065" width="20.21875" style="670" bestFit="1" customWidth="1"/>
    <col min="2066" max="2066" width="25.6640625" style="670" customWidth="1"/>
    <col min="2067" max="2067" width="19.44140625" style="670" bestFit="1" customWidth="1"/>
    <col min="2068" max="2068" width="21.109375" style="670" bestFit="1" customWidth="1"/>
    <col min="2069" max="2069" width="15.88671875" style="670" bestFit="1" customWidth="1"/>
    <col min="2070" max="2070" width="8.88671875" style="670"/>
    <col min="2071" max="2071" width="13.44140625" style="670" bestFit="1" customWidth="1"/>
    <col min="2072" max="2072" width="8.88671875" style="670"/>
    <col min="2073" max="2073" width="11.77734375" style="670" bestFit="1" customWidth="1"/>
    <col min="2074" max="2075" width="8.88671875" style="670"/>
    <col min="2076" max="2076" width="11.6640625" style="670" bestFit="1" customWidth="1"/>
    <col min="2077" max="2274" width="8.88671875" style="670"/>
    <col min="2275" max="2275" width="10" style="670" customWidth="1"/>
    <col min="2276" max="2276" width="64.44140625" style="670" customWidth="1"/>
    <col min="2277" max="2277" width="18.77734375" style="670" customWidth="1"/>
    <col min="2278" max="2278" width="11" style="670" customWidth="1"/>
    <col min="2279" max="2279" width="14.6640625" style="670" customWidth="1"/>
    <col min="2280" max="2280" width="18.6640625" style="670" customWidth="1"/>
    <col min="2281" max="2281" width="14.44140625" style="670" customWidth="1"/>
    <col min="2282" max="2282" width="18.21875" style="670" customWidth="1"/>
    <col min="2283" max="2283" width="15.6640625" style="670" customWidth="1"/>
    <col min="2284" max="2284" width="17.44140625" style="670" customWidth="1"/>
    <col min="2285" max="2285" width="15.6640625" style="670" customWidth="1"/>
    <col min="2286" max="2286" width="17.44140625" style="670" customWidth="1"/>
    <col min="2287" max="2287" width="17" style="670" customWidth="1"/>
    <col min="2288" max="2290" width="17.44140625" style="670" customWidth="1"/>
    <col min="2291" max="2291" width="14.77734375" style="670" customWidth="1"/>
    <col min="2292" max="2317" width="17.44140625" style="670" customWidth="1"/>
    <col min="2318" max="2318" width="17.109375" style="670" customWidth="1"/>
    <col min="2319" max="2319" width="16.44140625" style="670" customWidth="1"/>
    <col min="2320" max="2320" width="18.6640625" style="670" customWidth="1"/>
    <col min="2321" max="2321" width="20.21875" style="670" bestFit="1" customWidth="1"/>
    <col min="2322" max="2322" width="25.6640625" style="670" customWidth="1"/>
    <col min="2323" max="2323" width="19.44140625" style="670" bestFit="1" customWidth="1"/>
    <col min="2324" max="2324" width="21.109375" style="670" bestFit="1" customWidth="1"/>
    <col min="2325" max="2325" width="15.88671875" style="670" bestFit="1" customWidth="1"/>
    <col min="2326" max="2326" width="8.88671875" style="670"/>
    <col min="2327" max="2327" width="13.44140625" style="670" bestFit="1" customWidth="1"/>
    <col min="2328" max="2328" width="8.88671875" style="670"/>
    <col min="2329" max="2329" width="11.77734375" style="670" bestFit="1" customWidth="1"/>
    <col min="2330" max="2331" width="8.88671875" style="670"/>
    <col min="2332" max="2332" width="11.6640625" style="670" bestFit="1" customWidth="1"/>
    <col min="2333" max="2530" width="8.88671875" style="670"/>
    <col min="2531" max="2531" width="10" style="670" customWidth="1"/>
    <col min="2532" max="2532" width="64.44140625" style="670" customWidth="1"/>
    <col min="2533" max="2533" width="18.77734375" style="670" customWidth="1"/>
    <col min="2534" max="2534" width="11" style="670" customWidth="1"/>
    <col min="2535" max="2535" width="14.6640625" style="670" customWidth="1"/>
    <col min="2536" max="2536" width="18.6640625" style="670" customWidth="1"/>
    <col min="2537" max="2537" width="14.44140625" style="670" customWidth="1"/>
    <col min="2538" max="2538" width="18.21875" style="670" customWidth="1"/>
    <col min="2539" max="2539" width="15.6640625" style="670" customWidth="1"/>
    <col min="2540" max="2540" width="17.44140625" style="670" customWidth="1"/>
    <col min="2541" max="2541" width="15.6640625" style="670" customWidth="1"/>
    <col min="2542" max="2542" width="17.44140625" style="670" customWidth="1"/>
    <col min="2543" max="2543" width="17" style="670" customWidth="1"/>
    <col min="2544" max="2546" width="17.44140625" style="670" customWidth="1"/>
    <col min="2547" max="2547" width="14.77734375" style="670" customWidth="1"/>
    <col min="2548" max="2573" width="17.44140625" style="670" customWidth="1"/>
    <col min="2574" max="2574" width="17.109375" style="670" customWidth="1"/>
    <col min="2575" max="2575" width="16.44140625" style="670" customWidth="1"/>
    <col min="2576" max="2576" width="18.6640625" style="670" customWidth="1"/>
    <col min="2577" max="2577" width="20.21875" style="670" bestFit="1" customWidth="1"/>
    <col min="2578" max="2578" width="25.6640625" style="670" customWidth="1"/>
    <col min="2579" max="2579" width="19.44140625" style="670" bestFit="1" customWidth="1"/>
    <col min="2580" max="2580" width="21.109375" style="670" bestFit="1" customWidth="1"/>
    <col min="2581" max="2581" width="15.88671875" style="670" bestFit="1" customWidth="1"/>
    <col min="2582" max="2582" width="8.88671875" style="670"/>
    <col min="2583" max="2583" width="13.44140625" style="670" bestFit="1" customWidth="1"/>
    <col min="2584" max="2584" width="8.88671875" style="670"/>
    <col min="2585" max="2585" width="11.77734375" style="670" bestFit="1" customWidth="1"/>
    <col min="2586" max="2587" width="8.88671875" style="670"/>
    <col min="2588" max="2588" width="11.6640625" style="670" bestFit="1" customWidth="1"/>
    <col min="2589" max="2786" width="8.88671875" style="670"/>
    <col min="2787" max="2787" width="10" style="670" customWidth="1"/>
    <col min="2788" max="2788" width="64.44140625" style="670" customWidth="1"/>
    <col min="2789" max="2789" width="18.77734375" style="670" customWidth="1"/>
    <col min="2790" max="2790" width="11" style="670" customWidth="1"/>
    <col min="2791" max="2791" width="14.6640625" style="670" customWidth="1"/>
    <col min="2792" max="2792" width="18.6640625" style="670" customWidth="1"/>
    <col min="2793" max="2793" width="14.44140625" style="670" customWidth="1"/>
    <col min="2794" max="2794" width="18.21875" style="670" customWidth="1"/>
    <col min="2795" max="2795" width="15.6640625" style="670" customWidth="1"/>
    <col min="2796" max="2796" width="17.44140625" style="670" customWidth="1"/>
    <col min="2797" max="2797" width="15.6640625" style="670" customWidth="1"/>
    <col min="2798" max="2798" width="17.44140625" style="670" customWidth="1"/>
    <col min="2799" max="2799" width="17" style="670" customWidth="1"/>
    <col min="2800" max="2802" width="17.44140625" style="670" customWidth="1"/>
    <col min="2803" max="2803" width="14.77734375" style="670" customWidth="1"/>
    <col min="2804" max="2829" width="17.44140625" style="670" customWidth="1"/>
    <col min="2830" max="2830" width="17.109375" style="670" customWidth="1"/>
    <col min="2831" max="2831" width="16.44140625" style="670" customWidth="1"/>
    <col min="2832" max="2832" width="18.6640625" style="670" customWidth="1"/>
    <col min="2833" max="2833" width="20.21875" style="670" bestFit="1" customWidth="1"/>
    <col min="2834" max="2834" width="25.6640625" style="670" customWidth="1"/>
    <col min="2835" max="2835" width="19.44140625" style="670" bestFit="1" customWidth="1"/>
    <col min="2836" max="2836" width="21.109375" style="670" bestFit="1" customWidth="1"/>
    <col min="2837" max="2837" width="15.88671875" style="670" bestFit="1" customWidth="1"/>
    <col min="2838" max="2838" width="8.88671875" style="670"/>
    <col min="2839" max="2839" width="13.44140625" style="670" bestFit="1" customWidth="1"/>
    <col min="2840" max="2840" width="8.88671875" style="670"/>
    <col min="2841" max="2841" width="11.77734375" style="670" bestFit="1" customWidth="1"/>
    <col min="2842" max="2843" width="8.88671875" style="670"/>
    <col min="2844" max="2844" width="11.6640625" style="670" bestFit="1" customWidth="1"/>
    <col min="2845" max="3042" width="8.88671875" style="670"/>
    <col min="3043" max="3043" width="10" style="670" customWidth="1"/>
    <col min="3044" max="3044" width="64.44140625" style="670" customWidth="1"/>
    <col min="3045" max="3045" width="18.77734375" style="670" customWidth="1"/>
    <col min="3046" max="3046" width="11" style="670" customWidth="1"/>
    <col min="3047" max="3047" width="14.6640625" style="670" customWidth="1"/>
    <col min="3048" max="3048" width="18.6640625" style="670" customWidth="1"/>
    <col min="3049" max="3049" width="14.44140625" style="670" customWidth="1"/>
    <col min="3050" max="3050" width="18.21875" style="670" customWidth="1"/>
    <col min="3051" max="3051" width="15.6640625" style="670" customWidth="1"/>
    <col min="3052" max="3052" width="17.44140625" style="670" customWidth="1"/>
    <col min="3053" max="3053" width="15.6640625" style="670" customWidth="1"/>
    <col min="3054" max="3054" width="17.44140625" style="670" customWidth="1"/>
    <col min="3055" max="3055" width="17" style="670" customWidth="1"/>
    <col min="3056" max="3058" width="17.44140625" style="670" customWidth="1"/>
    <col min="3059" max="3059" width="14.77734375" style="670" customWidth="1"/>
    <col min="3060" max="3085" width="17.44140625" style="670" customWidth="1"/>
    <col min="3086" max="3086" width="17.109375" style="670" customWidth="1"/>
    <col min="3087" max="3087" width="16.44140625" style="670" customWidth="1"/>
    <col min="3088" max="3088" width="18.6640625" style="670" customWidth="1"/>
    <col min="3089" max="3089" width="20.21875" style="670" bestFit="1" customWidth="1"/>
    <col min="3090" max="3090" width="25.6640625" style="670" customWidth="1"/>
    <col min="3091" max="3091" width="19.44140625" style="670" bestFit="1" customWidth="1"/>
    <col min="3092" max="3092" width="21.109375" style="670" bestFit="1" customWidth="1"/>
    <col min="3093" max="3093" width="15.88671875" style="670" bestFit="1" customWidth="1"/>
    <col min="3094" max="3094" width="8.88671875" style="670"/>
    <col min="3095" max="3095" width="13.44140625" style="670" bestFit="1" customWidth="1"/>
    <col min="3096" max="3096" width="8.88671875" style="670"/>
    <col min="3097" max="3097" width="11.77734375" style="670" bestFit="1" customWidth="1"/>
    <col min="3098" max="3099" width="8.88671875" style="670"/>
    <col min="3100" max="3100" width="11.6640625" style="670" bestFit="1" customWidth="1"/>
    <col min="3101" max="3298" width="8.88671875" style="670"/>
    <col min="3299" max="3299" width="10" style="670" customWidth="1"/>
    <col min="3300" max="3300" width="64.44140625" style="670" customWidth="1"/>
    <col min="3301" max="3301" width="18.77734375" style="670" customWidth="1"/>
    <col min="3302" max="3302" width="11" style="670" customWidth="1"/>
    <col min="3303" max="3303" width="14.6640625" style="670" customWidth="1"/>
    <col min="3304" max="3304" width="18.6640625" style="670" customWidth="1"/>
    <col min="3305" max="3305" width="14.44140625" style="670" customWidth="1"/>
    <col min="3306" max="3306" width="18.21875" style="670" customWidth="1"/>
    <col min="3307" max="3307" width="15.6640625" style="670" customWidth="1"/>
    <col min="3308" max="3308" width="17.44140625" style="670" customWidth="1"/>
    <col min="3309" max="3309" width="15.6640625" style="670" customWidth="1"/>
    <col min="3310" max="3310" width="17.44140625" style="670" customWidth="1"/>
    <col min="3311" max="3311" width="17" style="670" customWidth="1"/>
    <col min="3312" max="3314" width="17.44140625" style="670" customWidth="1"/>
    <col min="3315" max="3315" width="14.77734375" style="670" customWidth="1"/>
    <col min="3316" max="3341" width="17.44140625" style="670" customWidth="1"/>
    <col min="3342" max="3342" width="17.109375" style="670" customWidth="1"/>
    <col min="3343" max="3343" width="16.44140625" style="670" customWidth="1"/>
    <col min="3344" max="3344" width="18.6640625" style="670" customWidth="1"/>
    <col min="3345" max="3345" width="20.21875" style="670" bestFit="1" customWidth="1"/>
    <col min="3346" max="3346" width="25.6640625" style="670" customWidth="1"/>
    <col min="3347" max="3347" width="19.44140625" style="670" bestFit="1" customWidth="1"/>
    <col min="3348" max="3348" width="21.109375" style="670" bestFit="1" customWidth="1"/>
    <col min="3349" max="3349" width="15.88671875" style="670" bestFit="1" customWidth="1"/>
    <col min="3350" max="3350" width="8.88671875" style="670"/>
    <col min="3351" max="3351" width="13.44140625" style="670" bestFit="1" customWidth="1"/>
    <col min="3352" max="3352" width="8.88671875" style="670"/>
    <col min="3353" max="3353" width="11.77734375" style="670" bestFit="1" customWidth="1"/>
    <col min="3354" max="3355" width="8.88671875" style="670"/>
    <col min="3356" max="3356" width="11.6640625" style="670" bestFit="1" customWidth="1"/>
    <col min="3357" max="3554" width="8.88671875" style="670"/>
    <col min="3555" max="3555" width="10" style="670" customWidth="1"/>
    <col min="3556" max="3556" width="64.44140625" style="670" customWidth="1"/>
    <col min="3557" max="3557" width="18.77734375" style="670" customWidth="1"/>
    <col min="3558" max="3558" width="11" style="670" customWidth="1"/>
    <col min="3559" max="3559" width="14.6640625" style="670" customWidth="1"/>
    <col min="3560" max="3560" width="18.6640625" style="670" customWidth="1"/>
    <col min="3561" max="3561" width="14.44140625" style="670" customWidth="1"/>
    <col min="3562" max="3562" width="18.21875" style="670" customWidth="1"/>
    <col min="3563" max="3563" width="15.6640625" style="670" customWidth="1"/>
    <col min="3564" max="3564" width="17.44140625" style="670" customWidth="1"/>
    <col min="3565" max="3565" width="15.6640625" style="670" customWidth="1"/>
    <col min="3566" max="3566" width="17.44140625" style="670" customWidth="1"/>
    <col min="3567" max="3567" width="17" style="670" customWidth="1"/>
    <col min="3568" max="3570" width="17.44140625" style="670" customWidth="1"/>
    <col min="3571" max="3571" width="14.77734375" style="670" customWidth="1"/>
    <col min="3572" max="3597" width="17.44140625" style="670" customWidth="1"/>
    <col min="3598" max="3598" width="17.109375" style="670" customWidth="1"/>
    <col min="3599" max="3599" width="16.44140625" style="670" customWidth="1"/>
    <col min="3600" max="3600" width="18.6640625" style="670" customWidth="1"/>
    <col min="3601" max="3601" width="20.21875" style="670" bestFit="1" customWidth="1"/>
    <col min="3602" max="3602" width="25.6640625" style="670" customWidth="1"/>
    <col min="3603" max="3603" width="19.44140625" style="670" bestFit="1" customWidth="1"/>
    <col min="3604" max="3604" width="21.109375" style="670" bestFit="1" customWidth="1"/>
    <col min="3605" max="3605" width="15.88671875" style="670" bestFit="1" customWidth="1"/>
    <col min="3606" max="3606" width="8.88671875" style="670"/>
    <col min="3607" max="3607" width="13.44140625" style="670" bestFit="1" customWidth="1"/>
    <col min="3608" max="3608" width="8.88671875" style="670"/>
    <col min="3609" max="3609" width="11.77734375" style="670" bestFit="1" customWidth="1"/>
    <col min="3610" max="3611" width="8.88671875" style="670"/>
    <col min="3612" max="3612" width="11.6640625" style="670" bestFit="1" customWidth="1"/>
    <col min="3613" max="3810" width="8.88671875" style="670"/>
    <col min="3811" max="3811" width="10" style="670" customWidth="1"/>
    <col min="3812" max="3812" width="64.44140625" style="670" customWidth="1"/>
    <col min="3813" max="3813" width="18.77734375" style="670" customWidth="1"/>
    <col min="3814" max="3814" width="11" style="670" customWidth="1"/>
    <col min="3815" max="3815" width="14.6640625" style="670" customWidth="1"/>
    <col min="3816" max="3816" width="18.6640625" style="670" customWidth="1"/>
    <col min="3817" max="3817" width="14.44140625" style="670" customWidth="1"/>
    <col min="3818" max="3818" width="18.21875" style="670" customWidth="1"/>
    <col min="3819" max="3819" width="15.6640625" style="670" customWidth="1"/>
    <col min="3820" max="3820" width="17.44140625" style="670" customWidth="1"/>
    <col min="3821" max="3821" width="15.6640625" style="670" customWidth="1"/>
    <col min="3822" max="3822" width="17.44140625" style="670" customWidth="1"/>
    <col min="3823" max="3823" width="17" style="670" customWidth="1"/>
    <col min="3824" max="3826" width="17.44140625" style="670" customWidth="1"/>
    <col min="3827" max="3827" width="14.77734375" style="670" customWidth="1"/>
    <col min="3828" max="3853" width="17.44140625" style="670" customWidth="1"/>
    <col min="3854" max="3854" width="17.109375" style="670" customWidth="1"/>
    <col min="3855" max="3855" width="16.44140625" style="670" customWidth="1"/>
    <col min="3856" max="3856" width="18.6640625" style="670" customWidth="1"/>
    <col min="3857" max="3857" width="20.21875" style="670" bestFit="1" customWidth="1"/>
    <col min="3858" max="3858" width="25.6640625" style="670" customWidth="1"/>
    <col min="3859" max="3859" width="19.44140625" style="670" bestFit="1" customWidth="1"/>
    <col min="3860" max="3860" width="21.109375" style="670" bestFit="1" customWidth="1"/>
    <col min="3861" max="3861" width="15.88671875" style="670" bestFit="1" customWidth="1"/>
    <col min="3862" max="3862" width="8.88671875" style="670"/>
    <col min="3863" max="3863" width="13.44140625" style="670" bestFit="1" customWidth="1"/>
    <col min="3864" max="3864" width="8.88671875" style="670"/>
    <col min="3865" max="3865" width="11.77734375" style="670" bestFit="1" customWidth="1"/>
    <col min="3866" max="3867" width="8.88671875" style="670"/>
    <col min="3868" max="3868" width="11.6640625" style="670" bestFit="1" customWidth="1"/>
    <col min="3869" max="4066" width="8.88671875" style="670"/>
    <col min="4067" max="4067" width="10" style="670" customWidth="1"/>
    <col min="4068" max="4068" width="64.44140625" style="670" customWidth="1"/>
    <col min="4069" max="4069" width="18.77734375" style="670" customWidth="1"/>
    <col min="4070" max="4070" width="11" style="670" customWidth="1"/>
    <col min="4071" max="4071" width="14.6640625" style="670" customWidth="1"/>
    <col min="4072" max="4072" width="18.6640625" style="670" customWidth="1"/>
    <col min="4073" max="4073" width="14.44140625" style="670" customWidth="1"/>
    <col min="4074" max="4074" width="18.21875" style="670" customWidth="1"/>
    <col min="4075" max="4075" width="15.6640625" style="670" customWidth="1"/>
    <col min="4076" max="4076" width="17.44140625" style="670" customWidth="1"/>
    <col min="4077" max="4077" width="15.6640625" style="670" customWidth="1"/>
    <col min="4078" max="4078" width="17.44140625" style="670" customWidth="1"/>
    <col min="4079" max="4079" width="17" style="670" customWidth="1"/>
    <col min="4080" max="4082" width="17.44140625" style="670" customWidth="1"/>
    <col min="4083" max="4083" width="14.77734375" style="670" customWidth="1"/>
    <col min="4084" max="4109" width="17.44140625" style="670" customWidth="1"/>
    <col min="4110" max="4110" width="17.109375" style="670" customWidth="1"/>
    <col min="4111" max="4111" width="16.44140625" style="670" customWidth="1"/>
    <col min="4112" max="4112" width="18.6640625" style="670" customWidth="1"/>
    <col min="4113" max="4113" width="20.21875" style="670" bestFit="1" customWidth="1"/>
    <col min="4114" max="4114" width="25.6640625" style="670" customWidth="1"/>
    <col min="4115" max="4115" width="19.44140625" style="670" bestFit="1" customWidth="1"/>
    <col min="4116" max="4116" width="21.109375" style="670" bestFit="1" customWidth="1"/>
    <col min="4117" max="4117" width="15.88671875" style="670" bestFit="1" customWidth="1"/>
    <col min="4118" max="4118" width="8.88671875" style="670"/>
    <col min="4119" max="4119" width="13.44140625" style="670" bestFit="1" customWidth="1"/>
    <col min="4120" max="4120" width="8.88671875" style="670"/>
    <col min="4121" max="4121" width="11.77734375" style="670" bestFit="1" customWidth="1"/>
    <col min="4122" max="4123" width="8.88671875" style="670"/>
    <col min="4124" max="4124" width="11.6640625" style="670" bestFit="1" customWidth="1"/>
    <col min="4125" max="4322" width="8.88671875" style="670"/>
    <col min="4323" max="4323" width="10" style="670" customWidth="1"/>
    <col min="4324" max="4324" width="64.44140625" style="670" customWidth="1"/>
    <col min="4325" max="4325" width="18.77734375" style="670" customWidth="1"/>
    <col min="4326" max="4326" width="11" style="670" customWidth="1"/>
    <col min="4327" max="4327" width="14.6640625" style="670" customWidth="1"/>
    <col min="4328" max="4328" width="18.6640625" style="670" customWidth="1"/>
    <col min="4329" max="4329" width="14.44140625" style="670" customWidth="1"/>
    <col min="4330" max="4330" width="18.21875" style="670" customWidth="1"/>
    <col min="4331" max="4331" width="15.6640625" style="670" customWidth="1"/>
    <col min="4332" max="4332" width="17.44140625" style="670" customWidth="1"/>
    <col min="4333" max="4333" width="15.6640625" style="670" customWidth="1"/>
    <col min="4334" max="4334" width="17.44140625" style="670" customWidth="1"/>
    <col min="4335" max="4335" width="17" style="670" customWidth="1"/>
    <col min="4336" max="4338" width="17.44140625" style="670" customWidth="1"/>
    <col min="4339" max="4339" width="14.77734375" style="670" customWidth="1"/>
    <col min="4340" max="4365" width="17.44140625" style="670" customWidth="1"/>
    <col min="4366" max="4366" width="17.109375" style="670" customWidth="1"/>
    <col min="4367" max="4367" width="16.44140625" style="670" customWidth="1"/>
    <col min="4368" max="4368" width="18.6640625" style="670" customWidth="1"/>
    <col min="4369" max="4369" width="20.21875" style="670" bestFit="1" customWidth="1"/>
    <col min="4370" max="4370" width="25.6640625" style="670" customWidth="1"/>
    <col min="4371" max="4371" width="19.44140625" style="670" bestFit="1" customWidth="1"/>
    <col min="4372" max="4372" width="21.109375" style="670" bestFit="1" customWidth="1"/>
    <col min="4373" max="4373" width="15.88671875" style="670" bestFit="1" customWidth="1"/>
    <col min="4374" max="4374" width="8.88671875" style="670"/>
    <col min="4375" max="4375" width="13.44140625" style="670" bestFit="1" customWidth="1"/>
    <col min="4376" max="4376" width="8.88671875" style="670"/>
    <col min="4377" max="4377" width="11.77734375" style="670" bestFit="1" customWidth="1"/>
    <col min="4378" max="4379" width="8.88671875" style="670"/>
    <col min="4380" max="4380" width="11.6640625" style="670" bestFit="1" customWidth="1"/>
    <col min="4381" max="4578" width="8.88671875" style="670"/>
    <col min="4579" max="4579" width="10" style="670" customWidth="1"/>
    <col min="4580" max="4580" width="64.44140625" style="670" customWidth="1"/>
    <col min="4581" max="4581" width="18.77734375" style="670" customWidth="1"/>
    <col min="4582" max="4582" width="11" style="670" customWidth="1"/>
    <col min="4583" max="4583" width="14.6640625" style="670" customWidth="1"/>
    <col min="4584" max="4584" width="18.6640625" style="670" customWidth="1"/>
    <col min="4585" max="4585" width="14.44140625" style="670" customWidth="1"/>
    <col min="4586" max="4586" width="18.21875" style="670" customWidth="1"/>
    <col min="4587" max="4587" width="15.6640625" style="670" customWidth="1"/>
    <col min="4588" max="4588" width="17.44140625" style="670" customWidth="1"/>
    <col min="4589" max="4589" width="15.6640625" style="670" customWidth="1"/>
    <col min="4590" max="4590" width="17.44140625" style="670" customWidth="1"/>
    <col min="4591" max="4591" width="17" style="670" customWidth="1"/>
    <col min="4592" max="4594" width="17.44140625" style="670" customWidth="1"/>
    <col min="4595" max="4595" width="14.77734375" style="670" customWidth="1"/>
    <col min="4596" max="4621" width="17.44140625" style="670" customWidth="1"/>
    <col min="4622" max="4622" width="17.109375" style="670" customWidth="1"/>
    <col min="4623" max="4623" width="16.44140625" style="670" customWidth="1"/>
    <col min="4624" max="4624" width="18.6640625" style="670" customWidth="1"/>
    <col min="4625" max="4625" width="20.21875" style="670" bestFit="1" customWidth="1"/>
    <col min="4626" max="4626" width="25.6640625" style="670" customWidth="1"/>
    <col min="4627" max="4627" width="19.44140625" style="670" bestFit="1" customWidth="1"/>
    <col min="4628" max="4628" width="21.109375" style="670" bestFit="1" customWidth="1"/>
    <col min="4629" max="4629" width="15.88671875" style="670" bestFit="1" customWidth="1"/>
    <col min="4630" max="4630" width="8.88671875" style="670"/>
    <col min="4631" max="4631" width="13.44140625" style="670" bestFit="1" customWidth="1"/>
    <col min="4632" max="4632" width="8.88671875" style="670"/>
    <col min="4633" max="4633" width="11.77734375" style="670" bestFit="1" customWidth="1"/>
    <col min="4634" max="4635" width="8.88671875" style="670"/>
    <col min="4636" max="4636" width="11.6640625" style="670" bestFit="1" customWidth="1"/>
    <col min="4637" max="4834" width="8.88671875" style="670"/>
    <col min="4835" max="4835" width="10" style="670" customWidth="1"/>
    <col min="4836" max="4836" width="64.44140625" style="670" customWidth="1"/>
    <col min="4837" max="4837" width="18.77734375" style="670" customWidth="1"/>
    <col min="4838" max="4838" width="11" style="670" customWidth="1"/>
    <col min="4839" max="4839" width="14.6640625" style="670" customWidth="1"/>
    <col min="4840" max="4840" width="18.6640625" style="670" customWidth="1"/>
    <col min="4841" max="4841" width="14.44140625" style="670" customWidth="1"/>
    <col min="4842" max="4842" width="18.21875" style="670" customWidth="1"/>
    <col min="4843" max="4843" width="15.6640625" style="670" customWidth="1"/>
    <col min="4844" max="4844" width="17.44140625" style="670" customWidth="1"/>
    <col min="4845" max="4845" width="15.6640625" style="670" customWidth="1"/>
    <col min="4846" max="4846" width="17.44140625" style="670" customWidth="1"/>
    <col min="4847" max="4847" width="17" style="670" customWidth="1"/>
    <col min="4848" max="4850" width="17.44140625" style="670" customWidth="1"/>
    <col min="4851" max="4851" width="14.77734375" style="670" customWidth="1"/>
    <col min="4852" max="4877" width="17.44140625" style="670" customWidth="1"/>
    <col min="4878" max="4878" width="17.109375" style="670" customWidth="1"/>
    <col min="4879" max="4879" width="16.44140625" style="670" customWidth="1"/>
    <col min="4880" max="4880" width="18.6640625" style="670" customWidth="1"/>
    <col min="4881" max="4881" width="20.21875" style="670" bestFit="1" customWidth="1"/>
    <col min="4882" max="4882" width="25.6640625" style="670" customWidth="1"/>
    <col min="4883" max="4883" width="19.44140625" style="670" bestFit="1" customWidth="1"/>
    <col min="4884" max="4884" width="21.109375" style="670" bestFit="1" customWidth="1"/>
    <col min="4885" max="4885" width="15.88671875" style="670" bestFit="1" customWidth="1"/>
    <col min="4886" max="4886" width="8.88671875" style="670"/>
    <col min="4887" max="4887" width="13.44140625" style="670" bestFit="1" customWidth="1"/>
    <col min="4888" max="4888" width="8.88671875" style="670"/>
    <col min="4889" max="4889" width="11.77734375" style="670" bestFit="1" customWidth="1"/>
    <col min="4890" max="4891" width="8.88671875" style="670"/>
    <col min="4892" max="4892" width="11.6640625" style="670" bestFit="1" customWidth="1"/>
    <col min="4893" max="5090" width="8.88671875" style="670"/>
    <col min="5091" max="5091" width="10" style="670" customWidth="1"/>
    <col min="5092" max="5092" width="64.44140625" style="670" customWidth="1"/>
    <col min="5093" max="5093" width="18.77734375" style="670" customWidth="1"/>
    <col min="5094" max="5094" width="11" style="670" customWidth="1"/>
    <col min="5095" max="5095" width="14.6640625" style="670" customWidth="1"/>
    <col min="5096" max="5096" width="18.6640625" style="670" customWidth="1"/>
    <col min="5097" max="5097" width="14.44140625" style="670" customWidth="1"/>
    <col min="5098" max="5098" width="18.21875" style="670" customWidth="1"/>
    <col min="5099" max="5099" width="15.6640625" style="670" customWidth="1"/>
    <col min="5100" max="5100" width="17.44140625" style="670" customWidth="1"/>
    <col min="5101" max="5101" width="15.6640625" style="670" customWidth="1"/>
    <col min="5102" max="5102" width="17.44140625" style="670" customWidth="1"/>
    <col min="5103" max="5103" width="17" style="670" customWidth="1"/>
    <col min="5104" max="5106" width="17.44140625" style="670" customWidth="1"/>
    <col min="5107" max="5107" width="14.77734375" style="670" customWidth="1"/>
    <col min="5108" max="5133" width="17.44140625" style="670" customWidth="1"/>
    <col min="5134" max="5134" width="17.109375" style="670" customWidth="1"/>
    <col min="5135" max="5135" width="16.44140625" style="670" customWidth="1"/>
    <col min="5136" max="5136" width="18.6640625" style="670" customWidth="1"/>
    <col min="5137" max="5137" width="20.21875" style="670" bestFit="1" customWidth="1"/>
    <col min="5138" max="5138" width="25.6640625" style="670" customWidth="1"/>
    <col min="5139" max="5139" width="19.44140625" style="670" bestFit="1" customWidth="1"/>
    <col min="5140" max="5140" width="21.109375" style="670" bestFit="1" customWidth="1"/>
    <col min="5141" max="5141" width="15.88671875" style="670" bestFit="1" customWidth="1"/>
    <col min="5142" max="5142" width="8.88671875" style="670"/>
    <col min="5143" max="5143" width="13.44140625" style="670" bestFit="1" customWidth="1"/>
    <col min="5144" max="5144" width="8.88671875" style="670"/>
    <col min="5145" max="5145" width="11.77734375" style="670" bestFit="1" customWidth="1"/>
    <col min="5146" max="5147" width="8.88671875" style="670"/>
    <col min="5148" max="5148" width="11.6640625" style="670" bestFit="1" customWidth="1"/>
    <col min="5149" max="5346" width="8.88671875" style="670"/>
    <col min="5347" max="5347" width="10" style="670" customWidth="1"/>
    <col min="5348" max="5348" width="64.44140625" style="670" customWidth="1"/>
    <col min="5349" max="5349" width="18.77734375" style="670" customWidth="1"/>
    <col min="5350" max="5350" width="11" style="670" customWidth="1"/>
    <col min="5351" max="5351" width="14.6640625" style="670" customWidth="1"/>
    <col min="5352" max="5352" width="18.6640625" style="670" customWidth="1"/>
    <col min="5353" max="5353" width="14.44140625" style="670" customWidth="1"/>
    <col min="5354" max="5354" width="18.21875" style="670" customWidth="1"/>
    <col min="5355" max="5355" width="15.6640625" style="670" customWidth="1"/>
    <col min="5356" max="5356" width="17.44140625" style="670" customWidth="1"/>
    <col min="5357" max="5357" width="15.6640625" style="670" customWidth="1"/>
    <col min="5358" max="5358" width="17.44140625" style="670" customWidth="1"/>
    <col min="5359" max="5359" width="17" style="670" customWidth="1"/>
    <col min="5360" max="5362" width="17.44140625" style="670" customWidth="1"/>
    <col min="5363" max="5363" width="14.77734375" style="670" customWidth="1"/>
    <col min="5364" max="5389" width="17.44140625" style="670" customWidth="1"/>
    <col min="5390" max="5390" width="17.109375" style="670" customWidth="1"/>
    <col min="5391" max="5391" width="16.44140625" style="670" customWidth="1"/>
    <col min="5392" max="5392" width="18.6640625" style="670" customWidth="1"/>
    <col min="5393" max="5393" width="20.21875" style="670" bestFit="1" customWidth="1"/>
    <col min="5394" max="5394" width="25.6640625" style="670" customWidth="1"/>
    <col min="5395" max="5395" width="19.44140625" style="670" bestFit="1" customWidth="1"/>
    <col min="5396" max="5396" width="21.109375" style="670" bestFit="1" customWidth="1"/>
    <col min="5397" max="5397" width="15.88671875" style="670" bestFit="1" customWidth="1"/>
    <col min="5398" max="5398" width="8.88671875" style="670"/>
    <col min="5399" max="5399" width="13.44140625" style="670" bestFit="1" customWidth="1"/>
    <col min="5400" max="5400" width="8.88671875" style="670"/>
    <col min="5401" max="5401" width="11.77734375" style="670" bestFit="1" customWidth="1"/>
    <col min="5402" max="5403" width="8.88671875" style="670"/>
    <col min="5404" max="5404" width="11.6640625" style="670" bestFit="1" customWidth="1"/>
    <col min="5405" max="5602" width="8.88671875" style="670"/>
    <col min="5603" max="5603" width="10" style="670" customWidth="1"/>
    <col min="5604" max="5604" width="64.44140625" style="670" customWidth="1"/>
    <col min="5605" max="5605" width="18.77734375" style="670" customWidth="1"/>
    <col min="5606" max="5606" width="11" style="670" customWidth="1"/>
    <col min="5607" max="5607" width="14.6640625" style="670" customWidth="1"/>
    <col min="5608" max="5608" width="18.6640625" style="670" customWidth="1"/>
    <col min="5609" max="5609" width="14.44140625" style="670" customWidth="1"/>
    <col min="5610" max="5610" width="18.21875" style="670" customWidth="1"/>
    <col min="5611" max="5611" width="15.6640625" style="670" customWidth="1"/>
    <col min="5612" max="5612" width="17.44140625" style="670" customWidth="1"/>
    <col min="5613" max="5613" width="15.6640625" style="670" customWidth="1"/>
    <col min="5614" max="5614" width="17.44140625" style="670" customWidth="1"/>
    <col min="5615" max="5615" width="17" style="670" customWidth="1"/>
    <col min="5616" max="5618" width="17.44140625" style="670" customWidth="1"/>
    <col min="5619" max="5619" width="14.77734375" style="670" customWidth="1"/>
    <col min="5620" max="5645" width="17.44140625" style="670" customWidth="1"/>
    <col min="5646" max="5646" width="17.109375" style="670" customWidth="1"/>
    <col min="5647" max="5647" width="16.44140625" style="670" customWidth="1"/>
    <col min="5648" max="5648" width="18.6640625" style="670" customWidth="1"/>
    <col min="5649" max="5649" width="20.21875" style="670" bestFit="1" customWidth="1"/>
    <col min="5650" max="5650" width="25.6640625" style="670" customWidth="1"/>
    <col min="5651" max="5651" width="19.44140625" style="670" bestFit="1" customWidth="1"/>
    <col min="5652" max="5652" width="21.109375" style="670" bestFit="1" customWidth="1"/>
    <col min="5653" max="5653" width="15.88671875" style="670" bestFit="1" customWidth="1"/>
    <col min="5654" max="5654" width="8.88671875" style="670"/>
    <col min="5655" max="5655" width="13.44140625" style="670" bestFit="1" customWidth="1"/>
    <col min="5656" max="5656" width="8.88671875" style="670"/>
    <col min="5657" max="5657" width="11.77734375" style="670" bestFit="1" customWidth="1"/>
    <col min="5658" max="5659" width="8.88671875" style="670"/>
    <col min="5660" max="5660" width="11.6640625" style="670" bestFit="1" customWidth="1"/>
    <col min="5661" max="5858" width="8.88671875" style="670"/>
    <col min="5859" max="5859" width="10" style="670" customWidth="1"/>
    <col min="5860" max="5860" width="64.44140625" style="670" customWidth="1"/>
    <col min="5861" max="5861" width="18.77734375" style="670" customWidth="1"/>
    <col min="5862" max="5862" width="11" style="670" customWidth="1"/>
    <col min="5863" max="5863" width="14.6640625" style="670" customWidth="1"/>
    <col min="5864" max="5864" width="18.6640625" style="670" customWidth="1"/>
    <col min="5865" max="5865" width="14.44140625" style="670" customWidth="1"/>
    <col min="5866" max="5866" width="18.21875" style="670" customWidth="1"/>
    <col min="5867" max="5867" width="15.6640625" style="670" customWidth="1"/>
    <col min="5868" max="5868" width="17.44140625" style="670" customWidth="1"/>
    <col min="5869" max="5869" width="15.6640625" style="670" customWidth="1"/>
    <col min="5870" max="5870" width="17.44140625" style="670" customWidth="1"/>
    <col min="5871" max="5871" width="17" style="670" customWidth="1"/>
    <col min="5872" max="5874" width="17.44140625" style="670" customWidth="1"/>
    <col min="5875" max="5875" width="14.77734375" style="670" customWidth="1"/>
    <col min="5876" max="5901" width="17.44140625" style="670" customWidth="1"/>
    <col min="5902" max="5902" width="17.109375" style="670" customWidth="1"/>
    <col min="5903" max="5903" width="16.44140625" style="670" customWidth="1"/>
    <col min="5904" max="5904" width="18.6640625" style="670" customWidth="1"/>
    <col min="5905" max="5905" width="20.21875" style="670" bestFit="1" customWidth="1"/>
    <col min="5906" max="5906" width="25.6640625" style="670" customWidth="1"/>
    <col min="5907" max="5907" width="19.44140625" style="670" bestFit="1" customWidth="1"/>
    <col min="5908" max="5908" width="21.109375" style="670" bestFit="1" customWidth="1"/>
    <col min="5909" max="5909" width="15.88671875" style="670" bestFit="1" customWidth="1"/>
    <col min="5910" max="5910" width="8.88671875" style="670"/>
    <col min="5911" max="5911" width="13.44140625" style="670" bestFit="1" customWidth="1"/>
    <col min="5912" max="5912" width="8.88671875" style="670"/>
    <col min="5913" max="5913" width="11.77734375" style="670" bestFit="1" customWidth="1"/>
    <col min="5914" max="5915" width="8.88671875" style="670"/>
    <col min="5916" max="5916" width="11.6640625" style="670" bestFit="1" customWidth="1"/>
    <col min="5917" max="6114" width="8.88671875" style="670"/>
    <col min="6115" max="6115" width="10" style="670" customWidth="1"/>
    <col min="6116" max="6116" width="64.44140625" style="670" customWidth="1"/>
    <col min="6117" max="6117" width="18.77734375" style="670" customWidth="1"/>
    <col min="6118" max="6118" width="11" style="670" customWidth="1"/>
    <col min="6119" max="6119" width="14.6640625" style="670" customWidth="1"/>
    <col min="6120" max="6120" width="18.6640625" style="670" customWidth="1"/>
    <col min="6121" max="6121" width="14.44140625" style="670" customWidth="1"/>
    <col min="6122" max="6122" width="18.21875" style="670" customWidth="1"/>
    <col min="6123" max="6123" width="15.6640625" style="670" customWidth="1"/>
    <col min="6124" max="6124" width="17.44140625" style="670" customWidth="1"/>
    <col min="6125" max="6125" width="15.6640625" style="670" customWidth="1"/>
    <col min="6126" max="6126" width="17.44140625" style="670" customWidth="1"/>
    <col min="6127" max="6127" width="17" style="670" customWidth="1"/>
    <col min="6128" max="6130" width="17.44140625" style="670" customWidth="1"/>
    <col min="6131" max="6131" width="14.77734375" style="670" customWidth="1"/>
    <col min="6132" max="6157" width="17.44140625" style="670" customWidth="1"/>
    <col min="6158" max="6158" width="17.109375" style="670" customWidth="1"/>
    <col min="6159" max="6159" width="16.44140625" style="670" customWidth="1"/>
    <col min="6160" max="6160" width="18.6640625" style="670" customWidth="1"/>
    <col min="6161" max="6161" width="20.21875" style="670" bestFit="1" customWidth="1"/>
    <col min="6162" max="6162" width="25.6640625" style="670" customWidth="1"/>
    <col min="6163" max="6163" width="19.44140625" style="670" bestFit="1" customWidth="1"/>
    <col min="6164" max="6164" width="21.109375" style="670" bestFit="1" customWidth="1"/>
    <col min="6165" max="6165" width="15.88671875" style="670" bestFit="1" customWidth="1"/>
    <col min="6166" max="6166" width="8.88671875" style="670"/>
    <col min="6167" max="6167" width="13.44140625" style="670" bestFit="1" customWidth="1"/>
    <col min="6168" max="6168" width="8.88671875" style="670"/>
    <col min="6169" max="6169" width="11.77734375" style="670" bestFit="1" customWidth="1"/>
    <col min="6170" max="6171" width="8.88671875" style="670"/>
    <col min="6172" max="6172" width="11.6640625" style="670" bestFit="1" customWidth="1"/>
    <col min="6173" max="6370" width="8.88671875" style="670"/>
    <col min="6371" max="6371" width="10" style="670" customWidth="1"/>
    <col min="6372" max="6372" width="64.44140625" style="670" customWidth="1"/>
    <col min="6373" max="6373" width="18.77734375" style="670" customWidth="1"/>
    <col min="6374" max="6374" width="11" style="670" customWidth="1"/>
    <col min="6375" max="6375" width="14.6640625" style="670" customWidth="1"/>
    <col min="6376" max="6376" width="18.6640625" style="670" customWidth="1"/>
    <col min="6377" max="6377" width="14.44140625" style="670" customWidth="1"/>
    <col min="6378" max="6378" width="18.21875" style="670" customWidth="1"/>
    <col min="6379" max="6379" width="15.6640625" style="670" customWidth="1"/>
    <col min="6380" max="6380" width="17.44140625" style="670" customWidth="1"/>
    <col min="6381" max="6381" width="15.6640625" style="670" customWidth="1"/>
    <col min="6382" max="6382" width="17.44140625" style="670" customWidth="1"/>
    <col min="6383" max="6383" width="17" style="670" customWidth="1"/>
    <col min="6384" max="6386" width="17.44140625" style="670" customWidth="1"/>
    <col min="6387" max="6387" width="14.77734375" style="670" customWidth="1"/>
    <col min="6388" max="6413" width="17.44140625" style="670" customWidth="1"/>
    <col min="6414" max="6414" width="17.109375" style="670" customWidth="1"/>
    <col min="6415" max="6415" width="16.44140625" style="670" customWidth="1"/>
    <col min="6416" max="6416" width="18.6640625" style="670" customWidth="1"/>
    <col min="6417" max="6417" width="20.21875" style="670" bestFit="1" customWidth="1"/>
    <col min="6418" max="6418" width="25.6640625" style="670" customWidth="1"/>
    <col min="6419" max="6419" width="19.44140625" style="670" bestFit="1" customWidth="1"/>
    <col min="6420" max="6420" width="21.109375" style="670" bestFit="1" customWidth="1"/>
    <col min="6421" max="6421" width="15.88671875" style="670" bestFit="1" customWidth="1"/>
    <col min="6422" max="6422" width="8.88671875" style="670"/>
    <col min="6423" max="6423" width="13.44140625" style="670" bestFit="1" customWidth="1"/>
    <col min="6424" max="6424" width="8.88671875" style="670"/>
    <col min="6425" max="6425" width="11.77734375" style="670" bestFit="1" customWidth="1"/>
    <col min="6426" max="6427" width="8.88671875" style="670"/>
    <col min="6428" max="6428" width="11.6640625" style="670" bestFit="1" customWidth="1"/>
    <col min="6429" max="6626" width="8.88671875" style="670"/>
    <col min="6627" max="6627" width="10" style="670" customWidth="1"/>
    <col min="6628" max="6628" width="64.44140625" style="670" customWidth="1"/>
    <col min="6629" max="6629" width="18.77734375" style="670" customWidth="1"/>
    <col min="6630" max="6630" width="11" style="670" customWidth="1"/>
    <col min="6631" max="6631" width="14.6640625" style="670" customWidth="1"/>
    <col min="6632" max="6632" width="18.6640625" style="670" customWidth="1"/>
    <col min="6633" max="6633" width="14.44140625" style="670" customWidth="1"/>
    <col min="6634" max="6634" width="18.21875" style="670" customWidth="1"/>
    <col min="6635" max="6635" width="15.6640625" style="670" customWidth="1"/>
    <col min="6636" max="6636" width="17.44140625" style="670" customWidth="1"/>
    <col min="6637" max="6637" width="15.6640625" style="670" customWidth="1"/>
    <col min="6638" max="6638" width="17.44140625" style="670" customWidth="1"/>
    <col min="6639" max="6639" width="17" style="670" customWidth="1"/>
    <col min="6640" max="6642" width="17.44140625" style="670" customWidth="1"/>
    <col min="6643" max="6643" width="14.77734375" style="670" customWidth="1"/>
    <col min="6644" max="6669" width="17.44140625" style="670" customWidth="1"/>
    <col min="6670" max="6670" width="17.109375" style="670" customWidth="1"/>
    <col min="6671" max="6671" width="16.44140625" style="670" customWidth="1"/>
    <col min="6672" max="6672" width="18.6640625" style="670" customWidth="1"/>
    <col min="6673" max="6673" width="20.21875" style="670" bestFit="1" customWidth="1"/>
    <col min="6674" max="6674" width="25.6640625" style="670" customWidth="1"/>
    <col min="6675" max="6675" width="19.44140625" style="670" bestFit="1" customWidth="1"/>
    <col min="6676" max="6676" width="21.109375" style="670" bestFit="1" customWidth="1"/>
    <col min="6677" max="6677" width="15.88671875" style="670" bestFit="1" customWidth="1"/>
    <col min="6678" max="6678" width="8.88671875" style="670"/>
    <col min="6679" max="6679" width="13.44140625" style="670" bestFit="1" customWidth="1"/>
    <col min="6680" max="6680" width="8.88671875" style="670"/>
    <col min="6681" max="6681" width="11.77734375" style="670" bestFit="1" customWidth="1"/>
    <col min="6682" max="6683" width="8.88671875" style="670"/>
    <col min="6684" max="6684" width="11.6640625" style="670" bestFit="1" customWidth="1"/>
    <col min="6685" max="6882" width="8.88671875" style="670"/>
    <col min="6883" max="6883" width="10" style="670" customWidth="1"/>
    <col min="6884" max="6884" width="64.44140625" style="670" customWidth="1"/>
    <col min="6885" max="6885" width="18.77734375" style="670" customWidth="1"/>
    <col min="6886" max="6886" width="11" style="670" customWidth="1"/>
    <col min="6887" max="6887" width="14.6640625" style="670" customWidth="1"/>
    <col min="6888" max="6888" width="18.6640625" style="670" customWidth="1"/>
    <col min="6889" max="6889" width="14.44140625" style="670" customWidth="1"/>
    <col min="6890" max="6890" width="18.21875" style="670" customWidth="1"/>
    <col min="6891" max="6891" width="15.6640625" style="670" customWidth="1"/>
    <col min="6892" max="6892" width="17.44140625" style="670" customWidth="1"/>
    <col min="6893" max="6893" width="15.6640625" style="670" customWidth="1"/>
    <col min="6894" max="6894" width="17.44140625" style="670" customWidth="1"/>
    <col min="6895" max="6895" width="17" style="670" customWidth="1"/>
    <col min="6896" max="6898" width="17.44140625" style="670" customWidth="1"/>
    <col min="6899" max="6899" width="14.77734375" style="670" customWidth="1"/>
    <col min="6900" max="6925" width="17.44140625" style="670" customWidth="1"/>
    <col min="6926" max="6926" width="17.109375" style="670" customWidth="1"/>
    <col min="6927" max="6927" width="16.44140625" style="670" customWidth="1"/>
    <col min="6928" max="6928" width="18.6640625" style="670" customWidth="1"/>
    <col min="6929" max="6929" width="20.21875" style="670" bestFit="1" customWidth="1"/>
    <col min="6930" max="6930" width="25.6640625" style="670" customWidth="1"/>
    <col min="6931" max="6931" width="19.44140625" style="670" bestFit="1" customWidth="1"/>
    <col min="6932" max="6932" width="21.109375" style="670" bestFit="1" customWidth="1"/>
    <col min="6933" max="6933" width="15.88671875" style="670" bestFit="1" customWidth="1"/>
    <col min="6934" max="6934" width="8.88671875" style="670"/>
    <col min="6935" max="6935" width="13.44140625" style="670" bestFit="1" customWidth="1"/>
    <col min="6936" max="6936" width="8.88671875" style="670"/>
    <col min="6937" max="6937" width="11.77734375" style="670" bestFit="1" customWidth="1"/>
    <col min="6938" max="6939" width="8.88671875" style="670"/>
    <col min="6940" max="6940" width="11.6640625" style="670" bestFit="1" customWidth="1"/>
    <col min="6941" max="7138" width="8.88671875" style="670"/>
    <col min="7139" max="7139" width="10" style="670" customWidth="1"/>
    <col min="7140" max="7140" width="64.44140625" style="670" customWidth="1"/>
    <col min="7141" max="7141" width="18.77734375" style="670" customWidth="1"/>
    <col min="7142" max="7142" width="11" style="670" customWidth="1"/>
    <col min="7143" max="7143" width="14.6640625" style="670" customWidth="1"/>
    <col min="7144" max="7144" width="18.6640625" style="670" customWidth="1"/>
    <col min="7145" max="7145" width="14.44140625" style="670" customWidth="1"/>
    <col min="7146" max="7146" width="18.21875" style="670" customWidth="1"/>
    <col min="7147" max="7147" width="15.6640625" style="670" customWidth="1"/>
    <col min="7148" max="7148" width="17.44140625" style="670" customWidth="1"/>
    <col min="7149" max="7149" width="15.6640625" style="670" customWidth="1"/>
    <col min="7150" max="7150" width="17.44140625" style="670" customWidth="1"/>
    <col min="7151" max="7151" width="17" style="670" customWidth="1"/>
    <col min="7152" max="7154" width="17.44140625" style="670" customWidth="1"/>
    <col min="7155" max="7155" width="14.77734375" style="670" customWidth="1"/>
    <col min="7156" max="7181" width="17.44140625" style="670" customWidth="1"/>
    <col min="7182" max="7182" width="17.109375" style="670" customWidth="1"/>
    <col min="7183" max="7183" width="16.44140625" style="670" customWidth="1"/>
    <col min="7184" max="7184" width="18.6640625" style="670" customWidth="1"/>
    <col min="7185" max="7185" width="20.21875" style="670" bestFit="1" customWidth="1"/>
    <col min="7186" max="7186" width="25.6640625" style="670" customWidth="1"/>
    <col min="7187" max="7187" width="19.44140625" style="670" bestFit="1" customWidth="1"/>
    <col min="7188" max="7188" width="21.109375" style="670" bestFit="1" customWidth="1"/>
    <col min="7189" max="7189" width="15.88671875" style="670" bestFit="1" customWidth="1"/>
    <col min="7190" max="7190" width="8.88671875" style="670"/>
    <col min="7191" max="7191" width="13.44140625" style="670" bestFit="1" customWidth="1"/>
    <col min="7192" max="7192" width="8.88671875" style="670"/>
    <col min="7193" max="7193" width="11.77734375" style="670" bestFit="1" customWidth="1"/>
    <col min="7194" max="7195" width="8.88671875" style="670"/>
    <col min="7196" max="7196" width="11.6640625" style="670" bestFit="1" customWidth="1"/>
    <col min="7197" max="7394" width="8.88671875" style="670"/>
    <col min="7395" max="7395" width="10" style="670" customWidth="1"/>
    <col min="7396" max="7396" width="64.44140625" style="670" customWidth="1"/>
    <col min="7397" max="7397" width="18.77734375" style="670" customWidth="1"/>
    <col min="7398" max="7398" width="11" style="670" customWidth="1"/>
    <col min="7399" max="7399" width="14.6640625" style="670" customWidth="1"/>
    <col min="7400" max="7400" width="18.6640625" style="670" customWidth="1"/>
    <col min="7401" max="7401" width="14.44140625" style="670" customWidth="1"/>
    <col min="7402" max="7402" width="18.21875" style="670" customWidth="1"/>
    <col min="7403" max="7403" width="15.6640625" style="670" customWidth="1"/>
    <col min="7404" max="7404" width="17.44140625" style="670" customWidth="1"/>
    <col min="7405" max="7405" width="15.6640625" style="670" customWidth="1"/>
    <col min="7406" max="7406" width="17.44140625" style="670" customWidth="1"/>
    <col min="7407" max="7407" width="17" style="670" customWidth="1"/>
    <col min="7408" max="7410" width="17.44140625" style="670" customWidth="1"/>
    <col min="7411" max="7411" width="14.77734375" style="670" customWidth="1"/>
    <col min="7412" max="7437" width="17.44140625" style="670" customWidth="1"/>
    <col min="7438" max="7438" width="17.109375" style="670" customWidth="1"/>
    <col min="7439" max="7439" width="16.44140625" style="670" customWidth="1"/>
    <col min="7440" max="7440" width="18.6640625" style="670" customWidth="1"/>
    <col min="7441" max="7441" width="20.21875" style="670" bestFit="1" customWidth="1"/>
    <col min="7442" max="7442" width="25.6640625" style="670" customWidth="1"/>
    <col min="7443" max="7443" width="19.44140625" style="670" bestFit="1" customWidth="1"/>
    <col min="7444" max="7444" width="21.109375" style="670" bestFit="1" customWidth="1"/>
    <col min="7445" max="7445" width="15.88671875" style="670" bestFit="1" customWidth="1"/>
    <col min="7446" max="7446" width="8.88671875" style="670"/>
    <col min="7447" max="7447" width="13.44140625" style="670" bestFit="1" customWidth="1"/>
    <col min="7448" max="7448" width="8.88671875" style="670"/>
    <col min="7449" max="7449" width="11.77734375" style="670" bestFit="1" customWidth="1"/>
    <col min="7450" max="7451" width="8.88671875" style="670"/>
    <col min="7452" max="7452" width="11.6640625" style="670" bestFit="1" customWidth="1"/>
    <col min="7453" max="7650" width="8.88671875" style="670"/>
    <col min="7651" max="7651" width="10" style="670" customWidth="1"/>
    <col min="7652" max="7652" width="64.44140625" style="670" customWidth="1"/>
    <col min="7653" max="7653" width="18.77734375" style="670" customWidth="1"/>
    <col min="7654" max="7654" width="11" style="670" customWidth="1"/>
    <col min="7655" max="7655" width="14.6640625" style="670" customWidth="1"/>
    <col min="7656" max="7656" width="18.6640625" style="670" customWidth="1"/>
    <col min="7657" max="7657" width="14.44140625" style="670" customWidth="1"/>
    <col min="7658" max="7658" width="18.21875" style="670" customWidth="1"/>
    <col min="7659" max="7659" width="15.6640625" style="670" customWidth="1"/>
    <col min="7660" max="7660" width="17.44140625" style="670" customWidth="1"/>
    <col min="7661" max="7661" width="15.6640625" style="670" customWidth="1"/>
    <col min="7662" max="7662" width="17.44140625" style="670" customWidth="1"/>
    <col min="7663" max="7663" width="17" style="670" customWidth="1"/>
    <col min="7664" max="7666" width="17.44140625" style="670" customWidth="1"/>
    <col min="7667" max="7667" width="14.77734375" style="670" customWidth="1"/>
    <col min="7668" max="7693" width="17.44140625" style="670" customWidth="1"/>
    <col min="7694" max="7694" width="17.109375" style="670" customWidth="1"/>
    <col min="7695" max="7695" width="16.44140625" style="670" customWidth="1"/>
    <col min="7696" max="7696" width="18.6640625" style="670" customWidth="1"/>
    <col min="7697" max="7697" width="20.21875" style="670" bestFit="1" customWidth="1"/>
    <col min="7698" max="7698" width="25.6640625" style="670" customWidth="1"/>
    <col min="7699" max="7699" width="19.44140625" style="670" bestFit="1" customWidth="1"/>
    <col min="7700" max="7700" width="21.109375" style="670" bestFit="1" customWidth="1"/>
    <col min="7701" max="7701" width="15.88671875" style="670" bestFit="1" customWidth="1"/>
    <col min="7702" max="7702" width="8.88671875" style="670"/>
    <col min="7703" max="7703" width="13.44140625" style="670" bestFit="1" customWidth="1"/>
    <col min="7704" max="7704" width="8.88671875" style="670"/>
    <col min="7705" max="7705" width="11.77734375" style="670" bestFit="1" customWidth="1"/>
    <col min="7706" max="7707" width="8.88671875" style="670"/>
    <col min="7708" max="7708" width="11.6640625" style="670" bestFit="1" customWidth="1"/>
    <col min="7709" max="7906" width="8.88671875" style="670"/>
    <col min="7907" max="7907" width="10" style="670" customWidth="1"/>
    <col min="7908" max="7908" width="64.44140625" style="670" customWidth="1"/>
    <col min="7909" max="7909" width="18.77734375" style="670" customWidth="1"/>
    <col min="7910" max="7910" width="11" style="670" customWidth="1"/>
    <col min="7911" max="7911" width="14.6640625" style="670" customWidth="1"/>
    <col min="7912" max="7912" width="18.6640625" style="670" customWidth="1"/>
    <col min="7913" max="7913" width="14.44140625" style="670" customWidth="1"/>
    <col min="7914" max="7914" width="18.21875" style="670" customWidth="1"/>
    <col min="7915" max="7915" width="15.6640625" style="670" customWidth="1"/>
    <col min="7916" max="7916" width="17.44140625" style="670" customWidth="1"/>
    <col min="7917" max="7917" width="15.6640625" style="670" customWidth="1"/>
    <col min="7918" max="7918" width="17.44140625" style="670" customWidth="1"/>
    <col min="7919" max="7919" width="17" style="670" customWidth="1"/>
    <col min="7920" max="7922" width="17.44140625" style="670" customWidth="1"/>
    <col min="7923" max="7923" width="14.77734375" style="670" customWidth="1"/>
    <col min="7924" max="7949" width="17.44140625" style="670" customWidth="1"/>
    <col min="7950" max="7950" width="17.109375" style="670" customWidth="1"/>
    <col min="7951" max="7951" width="16.44140625" style="670" customWidth="1"/>
    <col min="7952" max="7952" width="18.6640625" style="670" customWidth="1"/>
    <col min="7953" max="7953" width="20.21875" style="670" bestFit="1" customWidth="1"/>
    <col min="7954" max="7954" width="25.6640625" style="670" customWidth="1"/>
    <col min="7955" max="7955" width="19.44140625" style="670" bestFit="1" customWidth="1"/>
    <col min="7956" max="7956" width="21.109375" style="670" bestFit="1" customWidth="1"/>
    <col min="7957" max="7957" width="15.88671875" style="670" bestFit="1" customWidth="1"/>
    <col min="7958" max="7958" width="8.88671875" style="670"/>
    <col min="7959" max="7959" width="13.44140625" style="670" bestFit="1" customWidth="1"/>
    <col min="7960" max="7960" width="8.88671875" style="670"/>
    <col min="7961" max="7961" width="11.77734375" style="670" bestFit="1" customWidth="1"/>
    <col min="7962" max="7963" width="8.88671875" style="670"/>
    <col min="7964" max="7964" width="11.6640625" style="670" bestFit="1" customWidth="1"/>
    <col min="7965" max="8162" width="8.88671875" style="670"/>
    <col min="8163" max="8163" width="10" style="670" customWidth="1"/>
    <col min="8164" max="8164" width="64.44140625" style="670" customWidth="1"/>
    <col min="8165" max="8165" width="18.77734375" style="670" customWidth="1"/>
    <col min="8166" max="8166" width="11" style="670" customWidth="1"/>
    <col min="8167" max="8167" width="14.6640625" style="670" customWidth="1"/>
    <col min="8168" max="8168" width="18.6640625" style="670" customWidth="1"/>
    <col min="8169" max="8169" width="14.44140625" style="670" customWidth="1"/>
    <col min="8170" max="8170" width="18.21875" style="670" customWidth="1"/>
    <col min="8171" max="8171" width="15.6640625" style="670" customWidth="1"/>
    <col min="8172" max="8172" width="17.44140625" style="670" customWidth="1"/>
    <col min="8173" max="8173" width="15.6640625" style="670" customWidth="1"/>
    <col min="8174" max="8174" width="17.44140625" style="670" customWidth="1"/>
    <col min="8175" max="8175" width="17" style="670" customWidth="1"/>
    <col min="8176" max="8178" width="17.44140625" style="670" customWidth="1"/>
    <col min="8179" max="8179" width="14.77734375" style="670" customWidth="1"/>
    <col min="8180" max="8205" width="17.44140625" style="670" customWidth="1"/>
    <col min="8206" max="8206" width="17.109375" style="670" customWidth="1"/>
    <col min="8207" max="8207" width="16.44140625" style="670" customWidth="1"/>
    <col min="8208" max="8208" width="18.6640625" style="670" customWidth="1"/>
    <col min="8209" max="8209" width="20.21875" style="670" bestFit="1" customWidth="1"/>
    <col min="8210" max="8210" width="25.6640625" style="670" customWidth="1"/>
    <col min="8211" max="8211" width="19.44140625" style="670" bestFit="1" customWidth="1"/>
    <col min="8212" max="8212" width="21.109375" style="670" bestFit="1" customWidth="1"/>
    <col min="8213" max="8213" width="15.88671875" style="670" bestFit="1" customWidth="1"/>
    <col min="8214" max="8214" width="8.88671875" style="670"/>
    <col min="8215" max="8215" width="13.44140625" style="670" bestFit="1" customWidth="1"/>
    <col min="8216" max="8216" width="8.88671875" style="670"/>
    <col min="8217" max="8217" width="11.77734375" style="670" bestFit="1" customWidth="1"/>
    <col min="8218" max="8219" width="8.88671875" style="670"/>
    <col min="8220" max="8220" width="11.6640625" style="670" bestFit="1" customWidth="1"/>
    <col min="8221" max="8418" width="8.88671875" style="670"/>
    <col min="8419" max="8419" width="10" style="670" customWidth="1"/>
    <col min="8420" max="8420" width="64.44140625" style="670" customWidth="1"/>
    <col min="8421" max="8421" width="18.77734375" style="670" customWidth="1"/>
    <col min="8422" max="8422" width="11" style="670" customWidth="1"/>
    <col min="8423" max="8423" width="14.6640625" style="670" customWidth="1"/>
    <col min="8424" max="8424" width="18.6640625" style="670" customWidth="1"/>
    <col min="8425" max="8425" width="14.44140625" style="670" customWidth="1"/>
    <col min="8426" max="8426" width="18.21875" style="670" customWidth="1"/>
    <col min="8427" max="8427" width="15.6640625" style="670" customWidth="1"/>
    <col min="8428" max="8428" width="17.44140625" style="670" customWidth="1"/>
    <col min="8429" max="8429" width="15.6640625" style="670" customWidth="1"/>
    <col min="8430" max="8430" width="17.44140625" style="670" customWidth="1"/>
    <col min="8431" max="8431" width="17" style="670" customWidth="1"/>
    <col min="8432" max="8434" width="17.44140625" style="670" customWidth="1"/>
    <col min="8435" max="8435" width="14.77734375" style="670" customWidth="1"/>
    <col min="8436" max="8461" width="17.44140625" style="670" customWidth="1"/>
    <col min="8462" max="8462" width="17.109375" style="670" customWidth="1"/>
    <col min="8463" max="8463" width="16.44140625" style="670" customWidth="1"/>
    <col min="8464" max="8464" width="18.6640625" style="670" customWidth="1"/>
    <col min="8465" max="8465" width="20.21875" style="670" bestFit="1" customWidth="1"/>
    <col min="8466" max="8466" width="25.6640625" style="670" customWidth="1"/>
    <col min="8467" max="8467" width="19.44140625" style="670" bestFit="1" customWidth="1"/>
    <col min="8468" max="8468" width="21.109375" style="670" bestFit="1" customWidth="1"/>
    <col min="8469" max="8469" width="15.88671875" style="670" bestFit="1" customWidth="1"/>
    <col min="8470" max="8470" width="8.88671875" style="670"/>
    <col min="8471" max="8471" width="13.44140625" style="670" bestFit="1" customWidth="1"/>
    <col min="8472" max="8472" width="8.88671875" style="670"/>
    <col min="8473" max="8473" width="11.77734375" style="670" bestFit="1" customWidth="1"/>
    <col min="8474" max="8475" width="8.88671875" style="670"/>
    <col min="8476" max="8476" width="11.6640625" style="670" bestFit="1" customWidth="1"/>
    <col min="8477" max="8674" width="8.88671875" style="670"/>
    <col min="8675" max="8675" width="10" style="670" customWidth="1"/>
    <col min="8676" max="8676" width="64.44140625" style="670" customWidth="1"/>
    <col min="8677" max="8677" width="18.77734375" style="670" customWidth="1"/>
    <col min="8678" max="8678" width="11" style="670" customWidth="1"/>
    <col min="8679" max="8679" width="14.6640625" style="670" customWidth="1"/>
    <col min="8680" max="8680" width="18.6640625" style="670" customWidth="1"/>
    <col min="8681" max="8681" width="14.44140625" style="670" customWidth="1"/>
    <col min="8682" max="8682" width="18.21875" style="670" customWidth="1"/>
    <col min="8683" max="8683" width="15.6640625" style="670" customWidth="1"/>
    <col min="8684" max="8684" width="17.44140625" style="670" customWidth="1"/>
    <col min="8685" max="8685" width="15.6640625" style="670" customWidth="1"/>
    <col min="8686" max="8686" width="17.44140625" style="670" customWidth="1"/>
    <col min="8687" max="8687" width="17" style="670" customWidth="1"/>
    <col min="8688" max="8690" width="17.44140625" style="670" customWidth="1"/>
    <col min="8691" max="8691" width="14.77734375" style="670" customWidth="1"/>
    <col min="8692" max="8717" width="17.44140625" style="670" customWidth="1"/>
    <col min="8718" max="8718" width="17.109375" style="670" customWidth="1"/>
    <col min="8719" max="8719" width="16.44140625" style="670" customWidth="1"/>
    <col min="8720" max="8720" width="18.6640625" style="670" customWidth="1"/>
    <col min="8721" max="8721" width="20.21875" style="670" bestFit="1" customWidth="1"/>
    <col min="8722" max="8722" width="25.6640625" style="670" customWidth="1"/>
    <col min="8723" max="8723" width="19.44140625" style="670" bestFit="1" customWidth="1"/>
    <col min="8724" max="8724" width="21.109375" style="670" bestFit="1" customWidth="1"/>
    <col min="8725" max="8725" width="15.88671875" style="670" bestFit="1" customWidth="1"/>
    <col min="8726" max="8726" width="8.88671875" style="670"/>
    <col min="8727" max="8727" width="13.44140625" style="670" bestFit="1" customWidth="1"/>
    <col min="8728" max="8728" width="8.88671875" style="670"/>
    <col min="8729" max="8729" width="11.77734375" style="670" bestFit="1" customWidth="1"/>
    <col min="8730" max="8731" width="8.88671875" style="670"/>
    <col min="8732" max="8732" width="11.6640625" style="670" bestFit="1" customWidth="1"/>
    <col min="8733" max="8930" width="8.88671875" style="670"/>
    <col min="8931" max="8931" width="10" style="670" customWidth="1"/>
    <col min="8932" max="8932" width="64.44140625" style="670" customWidth="1"/>
    <col min="8933" max="8933" width="18.77734375" style="670" customWidth="1"/>
    <col min="8934" max="8934" width="11" style="670" customWidth="1"/>
    <col min="8935" max="8935" width="14.6640625" style="670" customWidth="1"/>
    <col min="8936" max="8936" width="18.6640625" style="670" customWidth="1"/>
    <col min="8937" max="8937" width="14.44140625" style="670" customWidth="1"/>
    <col min="8938" max="8938" width="18.21875" style="670" customWidth="1"/>
    <col min="8939" max="8939" width="15.6640625" style="670" customWidth="1"/>
    <col min="8940" max="8940" width="17.44140625" style="670" customWidth="1"/>
    <col min="8941" max="8941" width="15.6640625" style="670" customWidth="1"/>
    <col min="8942" max="8942" width="17.44140625" style="670" customWidth="1"/>
    <col min="8943" max="8943" width="17" style="670" customWidth="1"/>
    <col min="8944" max="8946" width="17.44140625" style="670" customWidth="1"/>
    <col min="8947" max="8947" width="14.77734375" style="670" customWidth="1"/>
    <col min="8948" max="8973" width="17.44140625" style="670" customWidth="1"/>
    <col min="8974" max="8974" width="17.109375" style="670" customWidth="1"/>
    <col min="8975" max="8975" width="16.44140625" style="670" customWidth="1"/>
    <col min="8976" max="8976" width="18.6640625" style="670" customWidth="1"/>
    <col min="8977" max="8977" width="20.21875" style="670" bestFit="1" customWidth="1"/>
    <col min="8978" max="8978" width="25.6640625" style="670" customWidth="1"/>
    <col min="8979" max="8979" width="19.44140625" style="670" bestFit="1" customWidth="1"/>
    <col min="8980" max="8980" width="21.109375" style="670" bestFit="1" customWidth="1"/>
    <col min="8981" max="8981" width="15.88671875" style="670" bestFit="1" customWidth="1"/>
    <col min="8982" max="8982" width="8.88671875" style="670"/>
    <col min="8983" max="8983" width="13.44140625" style="670" bestFit="1" customWidth="1"/>
    <col min="8984" max="8984" width="8.88671875" style="670"/>
    <col min="8985" max="8985" width="11.77734375" style="670" bestFit="1" customWidth="1"/>
    <col min="8986" max="8987" width="8.88671875" style="670"/>
    <col min="8988" max="8988" width="11.6640625" style="670" bestFit="1" customWidth="1"/>
    <col min="8989" max="9186" width="8.88671875" style="670"/>
    <col min="9187" max="9187" width="10" style="670" customWidth="1"/>
    <col min="9188" max="9188" width="64.44140625" style="670" customWidth="1"/>
    <col min="9189" max="9189" width="18.77734375" style="670" customWidth="1"/>
    <col min="9190" max="9190" width="11" style="670" customWidth="1"/>
    <col min="9191" max="9191" width="14.6640625" style="670" customWidth="1"/>
    <col min="9192" max="9192" width="18.6640625" style="670" customWidth="1"/>
    <col min="9193" max="9193" width="14.44140625" style="670" customWidth="1"/>
    <col min="9194" max="9194" width="18.21875" style="670" customWidth="1"/>
    <col min="9195" max="9195" width="15.6640625" style="670" customWidth="1"/>
    <col min="9196" max="9196" width="17.44140625" style="670" customWidth="1"/>
    <col min="9197" max="9197" width="15.6640625" style="670" customWidth="1"/>
    <col min="9198" max="9198" width="17.44140625" style="670" customWidth="1"/>
    <col min="9199" max="9199" width="17" style="670" customWidth="1"/>
    <col min="9200" max="9202" width="17.44140625" style="670" customWidth="1"/>
    <col min="9203" max="9203" width="14.77734375" style="670" customWidth="1"/>
    <col min="9204" max="9229" width="17.44140625" style="670" customWidth="1"/>
    <col min="9230" max="9230" width="17.109375" style="670" customWidth="1"/>
    <col min="9231" max="9231" width="16.44140625" style="670" customWidth="1"/>
    <col min="9232" max="9232" width="18.6640625" style="670" customWidth="1"/>
    <col min="9233" max="9233" width="20.21875" style="670" bestFit="1" customWidth="1"/>
    <col min="9234" max="9234" width="25.6640625" style="670" customWidth="1"/>
    <col min="9235" max="9235" width="19.44140625" style="670" bestFit="1" customWidth="1"/>
    <col min="9236" max="9236" width="21.109375" style="670" bestFit="1" customWidth="1"/>
    <col min="9237" max="9237" width="15.88671875" style="670" bestFit="1" customWidth="1"/>
    <col min="9238" max="9238" width="8.88671875" style="670"/>
    <col min="9239" max="9239" width="13.44140625" style="670" bestFit="1" customWidth="1"/>
    <col min="9240" max="9240" width="8.88671875" style="670"/>
    <col min="9241" max="9241" width="11.77734375" style="670" bestFit="1" customWidth="1"/>
    <col min="9242" max="9243" width="8.88671875" style="670"/>
    <col min="9244" max="9244" width="11.6640625" style="670" bestFit="1" customWidth="1"/>
    <col min="9245" max="9442" width="8.88671875" style="670"/>
    <col min="9443" max="9443" width="10" style="670" customWidth="1"/>
    <col min="9444" max="9444" width="64.44140625" style="670" customWidth="1"/>
    <col min="9445" max="9445" width="18.77734375" style="670" customWidth="1"/>
    <col min="9446" max="9446" width="11" style="670" customWidth="1"/>
    <col min="9447" max="9447" width="14.6640625" style="670" customWidth="1"/>
    <col min="9448" max="9448" width="18.6640625" style="670" customWidth="1"/>
    <col min="9449" max="9449" width="14.44140625" style="670" customWidth="1"/>
    <col min="9450" max="9450" width="18.21875" style="670" customWidth="1"/>
    <col min="9451" max="9451" width="15.6640625" style="670" customWidth="1"/>
    <col min="9452" max="9452" width="17.44140625" style="670" customWidth="1"/>
    <col min="9453" max="9453" width="15.6640625" style="670" customWidth="1"/>
    <col min="9454" max="9454" width="17.44140625" style="670" customWidth="1"/>
    <col min="9455" max="9455" width="17" style="670" customWidth="1"/>
    <col min="9456" max="9458" width="17.44140625" style="670" customWidth="1"/>
    <col min="9459" max="9459" width="14.77734375" style="670" customWidth="1"/>
    <col min="9460" max="9485" width="17.44140625" style="670" customWidth="1"/>
    <col min="9486" max="9486" width="17.109375" style="670" customWidth="1"/>
    <col min="9487" max="9487" width="16.44140625" style="670" customWidth="1"/>
    <col min="9488" max="9488" width="18.6640625" style="670" customWidth="1"/>
    <col min="9489" max="9489" width="20.21875" style="670" bestFit="1" customWidth="1"/>
    <col min="9490" max="9490" width="25.6640625" style="670" customWidth="1"/>
    <col min="9491" max="9491" width="19.44140625" style="670" bestFit="1" customWidth="1"/>
    <col min="9492" max="9492" width="21.109375" style="670" bestFit="1" customWidth="1"/>
    <col min="9493" max="9493" width="15.88671875" style="670" bestFit="1" customWidth="1"/>
    <col min="9494" max="9494" width="8.88671875" style="670"/>
    <col min="9495" max="9495" width="13.44140625" style="670" bestFit="1" customWidth="1"/>
    <col min="9496" max="9496" width="8.88671875" style="670"/>
    <col min="9497" max="9497" width="11.77734375" style="670" bestFit="1" customWidth="1"/>
    <col min="9498" max="9499" width="8.88671875" style="670"/>
    <col min="9500" max="9500" width="11.6640625" style="670" bestFit="1" customWidth="1"/>
    <col min="9501" max="9698" width="8.88671875" style="670"/>
    <col min="9699" max="9699" width="10" style="670" customWidth="1"/>
    <col min="9700" max="9700" width="64.44140625" style="670" customWidth="1"/>
    <col min="9701" max="9701" width="18.77734375" style="670" customWidth="1"/>
    <col min="9702" max="9702" width="11" style="670" customWidth="1"/>
    <col min="9703" max="9703" width="14.6640625" style="670" customWidth="1"/>
    <col min="9704" max="9704" width="18.6640625" style="670" customWidth="1"/>
    <col min="9705" max="9705" width="14.44140625" style="670" customWidth="1"/>
    <col min="9706" max="9706" width="18.21875" style="670" customWidth="1"/>
    <col min="9707" max="9707" width="15.6640625" style="670" customWidth="1"/>
    <col min="9708" max="9708" width="17.44140625" style="670" customWidth="1"/>
    <col min="9709" max="9709" width="15.6640625" style="670" customWidth="1"/>
    <col min="9710" max="9710" width="17.44140625" style="670" customWidth="1"/>
    <col min="9711" max="9711" width="17" style="670" customWidth="1"/>
    <col min="9712" max="9714" width="17.44140625" style="670" customWidth="1"/>
    <col min="9715" max="9715" width="14.77734375" style="670" customWidth="1"/>
    <col min="9716" max="9741" width="17.44140625" style="670" customWidth="1"/>
    <col min="9742" max="9742" width="17.109375" style="670" customWidth="1"/>
    <col min="9743" max="9743" width="16.44140625" style="670" customWidth="1"/>
    <col min="9744" max="9744" width="18.6640625" style="670" customWidth="1"/>
    <col min="9745" max="9745" width="20.21875" style="670" bestFit="1" customWidth="1"/>
    <col min="9746" max="9746" width="25.6640625" style="670" customWidth="1"/>
    <col min="9747" max="9747" width="19.44140625" style="670" bestFit="1" customWidth="1"/>
    <col min="9748" max="9748" width="21.109375" style="670" bestFit="1" customWidth="1"/>
    <col min="9749" max="9749" width="15.88671875" style="670" bestFit="1" customWidth="1"/>
    <col min="9750" max="9750" width="8.88671875" style="670"/>
    <col min="9751" max="9751" width="13.44140625" style="670" bestFit="1" customWidth="1"/>
    <col min="9752" max="9752" width="8.88671875" style="670"/>
    <col min="9753" max="9753" width="11.77734375" style="670" bestFit="1" customWidth="1"/>
    <col min="9754" max="9755" width="8.88671875" style="670"/>
    <col min="9756" max="9756" width="11.6640625" style="670" bestFit="1" customWidth="1"/>
    <col min="9757" max="9954" width="8.88671875" style="670"/>
    <col min="9955" max="9955" width="10" style="670" customWidth="1"/>
    <col min="9956" max="9956" width="64.44140625" style="670" customWidth="1"/>
    <col min="9957" max="9957" width="18.77734375" style="670" customWidth="1"/>
    <col min="9958" max="9958" width="11" style="670" customWidth="1"/>
    <col min="9959" max="9959" width="14.6640625" style="670" customWidth="1"/>
    <col min="9960" max="9960" width="18.6640625" style="670" customWidth="1"/>
    <col min="9961" max="9961" width="14.44140625" style="670" customWidth="1"/>
    <col min="9962" max="9962" width="18.21875" style="670" customWidth="1"/>
    <col min="9963" max="9963" width="15.6640625" style="670" customWidth="1"/>
    <col min="9964" max="9964" width="17.44140625" style="670" customWidth="1"/>
    <col min="9965" max="9965" width="15.6640625" style="670" customWidth="1"/>
    <col min="9966" max="9966" width="17.44140625" style="670" customWidth="1"/>
    <col min="9967" max="9967" width="17" style="670" customWidth="1"/>
    <col min="9968" max="9970" width="17.44140625" style="670" customWidth="1"/>
    <col min="9971" max="9971" width="14.77734375" style="670" customWidth="1"/>
    <col min="9972" max="9997" width="17.44140625" style="670" customWidth="1"/>
    <col min="9998" max="9998" width="17.109375" style="670" customWidth="1"/>
    <col min="9999" max="9999" width="16.44140625" style="670" customWidth="1"/>
    <col min="10000" max="10000" width="18.6640625" style="670" customWidth="1"/>
    <col min="10001" max="10001" width="20.21875" style="670" bestFit="1" customWidth="1"/>
    <col min="10002" max="10002" width="25.6640625" style="670" customWidth="1"/>
    <col min="10003" max="10003" width="19.44140625" style="670" bestFit="1" customWidth="1"/>
    <col min="10004" max="10004" width="21.109375" style="670" bestFit="1" customWidth="1"/>
    <col min="10005" max="10005" width="15.88671875" style="670" bestFit="1" customWidth="1"/>
    <col min="10006" max="10006" width="8.88671875" style="670"/>
    <col min="10007" max="10007" width="13.44140625" style="670" bestFit="1" customWidth="1"/>
    <col min="10008" max="10008" width="8.88671875" style="670"/>
    <col min="10009" max="10009" width="11.77734375" style="670" bestFit="1" customWidth="1"/>
    <col min="10010" max="10011" width="8.88671875" style="670"/>
    <col min="10012" max="10012" width="11.6640625" style="670" bestFit="1" customWidth="1"/>
    <col min="10013" max="10210" width="8.88671875" style="670"/>
    <col min="10211" max="10211" width="10" style="670" customWidth="1"/>
    <col min="10212" max="10212" width="64.44140625" style="670" customWidth="1"/>
    <col min="10213" max="10213" width="18.77734375" style="670" customWidth="1"/>
    <col min="10214" max="10214" width="11" style="670" customWidth="1"/>
    <col min="10215" max="10215" width="14.6640625" style="670" customWidth="1"/>
    <col min="10216" max="10216" width="18.6640625" style="670" customWidth="1"/>
    <col min="10217" max="10217" width="14.44140625" style="670" customWidth="1"/>
    <col min="10218" max="10218" width="18.21875" style="670" customWidth="1"/>
    <col min="10219" max="10219" width="15.6640625" style="670" customWidth="1"/>
    <col min="10220" max="10220" width="17.44140625" style="670" customWidth="1"/>
    <col min="10221" max="10221" width="15.6640625" style="670" customWidth="1"/>
    <col min="10222" max="10222" width="17.44140625" style="670" customWidth="1"/>
    <col min="10223" max="10223" width="17" style="670" customWidth="1"/>
    <col min="10224" max="10226" width="17.44140625" style="670" customWidth="1"/>
    <col min="10227" max="10227" width="14.77734375" style="670" customWidth="1"/>
    <col min="10228" max="10253" width="17.44140625" style="670" customWidth="1"/>
    <col min="10254" max="10254" width="17.109375" style="670" customWidth="1"/>
    <col min="10255" max="10255" width="16.44140625" style="670" customWidth="1"/>
    <col min="10256" max="10256" width="18.6640625" style="670" customWidth="1"/>
    <col min="10257" max="10257" width="20.21875" style="670" bestFit="1" customWidth="1"/>
    <col min="10258" max="10258" width="25.6640625" style="670" customWidth="1"/>
    <col min="10259" max="10259" width="19.44140625" style="670" bestFit="1" customWidth="1"/>
    <col min="10260" max="10260" width="21.109375" style="670" bestFit="1" customWidth="1"/>
    <col min="10261" max="10261" width="15.88671875" style="670" bestFit="1" customWidth="1"/>
    <col min="10262" max="10262" width="8.88671875" style="670"/>
    <col min="10263" max="10263" width="13.44140625" style="670" bestFit="1" customWidth="1"/>
    <col min="10264" max="10264" width="8.88671875" style="670"/>
    <col min="10265" max="10265" width="11.77734375" style="670" bestFit="1" customWidth="1"/>
    <col min="10266" max="10267" width="8.88671875" style="670"/>
    <col min="10268" max="10268" width="11.6640625" style="670" bestFit="1" customWidth="1"/>
    <col min="10269" max="10466" width="8.88671875" style="670"/>
    <col min="10467" max="10467" width="10" style="670" customWidth="1"/>
    <col min="10468" max="10468" width="64.44140625" style="670" customWidth="1"/>
    <col min="10469" max="10469" width="18.77734375" style="670" customWidth="1"/>
    <col min="10470" max="10470" width="11" style="670" customWidth="1"/>
    <col min="10471" max="10471" width="14.6640625" style="670" customWidth="1"/>
    <col min="10472" max="10472" width="18.6640625" style="670" customWidth="1"/>
    <col min="10473" max="10473" width="14.44140625" style="670" customWidth="1"/>
    <col min="10474" max="10474" width="18.21875" style="670" customWidth="1"/>
    <col min="10475" max="10475" width="15.6640625" style="670" customWidth="1"/>
    <col min="10476" max="10476" width="17.44140625" style="670" customWidth="1"/>
    <col min="10477" max="10477" width="15.6640625" style="670" customWidth="1"/>
    <col min="10478" max="10478" width="17.44140625" style="670" customWidth="1"/>
    <col min="10479" max="10479" width="17" style="670" customWidth="1"/>
    <col min="10480" max="10482" width="17.44140625" style="670" customWidth="1"/>
    <col min="10483" max="10483" width="14.77734375" style="670" customWidth="1"/>
    <col min="10484" max="10509" width="17.44140625" style="670" customWidth="1"/>
    <col min="10510" max="10510" width="17.109375" style="670" customWidth="1"/>
    <col min="10511" max="10511" width="16.44140625" style="670" customWidth="1"/>
    <col min="10512" max="10512" width="18.6640625" style="670" customWidth="1"/>
    <col min="10513" max="10513" width="20.21875" style="670" bestFit="1" customWidth="1"/>
    <col min="10514" max="10514" width="25.6640625" style="670" customWidth="1"/>
    <col min="10515" max="10515" width="19.44140625" style="670" bestFit="1" customWidth="1"/>
    <col min="10516" max="10516" width="21.109375" style="670" bestFit="1" customWidth="1"/>
    <col min="10517" max="10517" width="15.88671875" style="670" bestFit="1" customWidth="1"/>
    <col min="10518" max="10518" width="8.88671875" style="670"/>
    <col min="10519" max="10519" width="13.44140625" style="670" bestFit="1" customWidth="1"/>
    <col min="10520" max="10520" width="8.88671875" style="670"/>
    <col min="10521" max="10521" width="11.77734375" style="670" bestFit="1" customWidth="1"/>
    <col min="10522" max="10523" width="8.88671875" style="670"/>
    <col min="10524" max="10524" width="11.6640625" style="670" bestFit="1" customWidth="1"/>
    <col min="10525" max="10722" width="8.88671875" style="670"/>
    <col min="10723" max="10723" width="10" style="670" customWidth="1"/>
    <col min="10724" max="10724" width="64.44140625" style="670" customWidth="1"/>
    <col min="10725" max="10725" width="18.77734375" style="670" customWidth="1"/>
    <col min="10726" max="10726" width="11" style="670" customWidth="1"/>
    <col min="10727" max="10727" width="14.6640625" style="670" customWidth="1"/>
    <col min="10728" max="10728" width="18.6640625" style="670" customWidth="1"/>
    <col min="10729" max="10729" width="14.44140625" style="670" customWidth="1"/>
    <col min="10730" max="10730" width="18.21875" style="670" customWidth="1"/>
    <col min="10731" max="10731" width="15.6640625" style="670" customWidth="1"/>
    <col min="10732" max="10732" width="17.44140625" style="670" customWidth="1"/>
    <col min="10733" max="10733" width="15.6640625" style="670" customWidth="1"/>
    <col min="10734" max="10734" width="17.44140625" style="670" customWidth="1"/>
    <col min="10735" max="10735" width="17" style="670" customWidth="1"/>
    <col min="10736" max="10738" width="17.44140625" style="670" customWidth="1"/>
    <col min="10739" max="10739" width="14.77734375" style="670" customWidth="1"/>
    <col min="10740" max="10765" width="17.44140625" style="670" customWidth="1"/>
    <col min="10766" max="10766" width="17.109375" style="670" customWidth="1"/>
    <col min="10767" max="10767" width="16.44140625" style="670" customWidth="1"/>
    <col min="10768" max="10768" width="18.6640625" style="670" customWidth="1"/>
    <col min="10769" max="10769" width="20.21875" style="670" bestFit="1" customWidth="1"/>
    <col min="10770" max="10770" width="25.6640625" style="670" customWidth="1"/>
    <col min="10771" max="10771" width="19.44140625" style="670" bestFit="1" customWidth="1"/>
    <col min="10772" max="10772" width="21.109375" style="670" bestFit="1" customWidth="1"/>
    <col min="10773" max="10773" width="15.88671875" style="670" bestFit="1" customWidth="1"/>
    <col min="10774" max="10774" width="8.88671875" style="670"/>
    <col min="10775" max="10775" width="13.44140625" style="670" bestFit="1" customWidth="1"/>
    <col min="10776" max="10776" width="8.88671875" style="670"/>
    <col min="10777" max="10777" width="11.77734375" style="670" bestFit="1" customWidth="1"/>
    <col min="10778" max="10779" width="8.88671875" style="670"/>
    <col min="10780" max="10780" width="11.6640625" style="670" bestFit="1" customWidth="1"/>
    <col min="10781" max="10978" width="8.88671875" style="670"/>
    <col min="10979" max="10979" width="10" style="670" customWidth="1"/>
    <col min="10980" max="10980" width="64.44140625" style="670" customWidth="1"/>
    <col min="10981" max="10981" width="18.77734375" style="670" customWidth="1"/>
    <col min="10982" max="10982" width="11" style="670" customWidth="1"/>
    <col min="10983" max="10983" width="14.6640625" style="670" customWidth="1"/>
    <col min="10984" max="10984" width="18.6640625" style="670" customWidth="1"/>
    <col min="10985" max="10985" width="14.44140625" style="670" customWidth="1"/>
    <col min="10986" max="10986" width="18.21875" style="670" customWidth="1"/>
    <col min="10987" max="10987" width="15.6640625" style="670" customWidth="1"/>
    <col min="10988" max="10988" width="17.44140625" style="670" customWidth="1"/>
    <col min="10989" max="10989" width="15.6640625" style="670" customWidth="1"/>
    <col min="10990" max="10990" width="17.44140625" style="670" customWidth="1"/>
    <col min="10991" max="10991" width="17" style="670" customWidth="1"/>
    <col min="10992" max="10994" width="17.44140625" style="670" customWidth="1"/>
    <col min="10995" max="10995" width="14.77734375" style="670" customWidth="1"/>
    <col min="10996" max="11021" width="17.44140625" style="670" customWidth="1"/>
    <col min="11022" max="11022" width="17.109375" style="670" customWidth="1"/>
    <col min="11023" max="11023" width="16.44140625" style="670" customWidth="1"/>
    <col min="11024" max="11024" width="18.6640625" style="670" customWidth="1"/>
    <col min="11025" max="11025" width="20.21875" style="670" bestFit="1" customWidth="1"/>
    <col min="11026" max="11026" width="25.6640625" style="670" customWidth="1"/>
    <col min="11027" max="11027" width="19.44140625" style="670" bestFit="1" customWidth="1"/>
    <col min="11028" max="11028" width="21.109375" style="670" bestFit="1" customWidth="1"/>
    <col min="11029" max="11029" width="15.88671875" style="670" bestFit="1" customWidth="1"/>
    <col min="11030" max="11030" width="8.88671875" style="670"/>
    <col min="11031" max="11031" width="13.44140625" style="670" bestFit="1" customWidth="1"/>
    <col min="11032" max="11032" width="8.88671875" style="670"/>
    <col min="11033" max="11033" width="11.77734375" style="670" bestFit="1" customWidth="1"/>
    <col min="11034" max="11035" width="8.88671875" style="670"/>
    <col min="11036" max="11036" width="11.6640625" style="670" bestFit="1" customWidth="1"/>
    <col min="11037" max="11234" width="8.88671875" style="670"/>
    <col min="11235" max="11235" width="10" style="670" customWidth="1"/>
    <col min="11236" max="11236" width="64.44140625" style="670" customWidth="1"/>
    <col min="11237" max="11237" width="18.77734375" style="670" customWidth="1"/>
    <col min="11238" max="11238" width="11" style="670" customWidth="1"/>
    <col min="11239" max="11239" width="14.6640625" style="670" customWidth="1"/>
    <col min="11240" max="11240" width="18.6640625" style="670" customWidth="1"/>
    <col min="11241" max="11241" width="14.44140625" style="670" customWidth="1"/>
    <col min="11242" max="11242" width="18.21875" style="670" customWidth="1"/>
    <col min="11243" max="11243" width="15.6640625" style="670" customWidth="1"/>
    <col min="11244" max="11244" width="17.44140625" style="670" customWidth="1"/>
    <col min="11245" max="11245" width="15.6640625" style="670" customWidth="1"/>
    <col min="11246" max="11246" width="17.44140625" style="670" customWidth="1"/>
    <col min="11247" max="11247" width="17" style="670" customWidth="1"/>
    <col min="11248" max="11250" width="17.44140625" style="670" customWidth="1"/>
    <col min="11251" max="11251" width="14.77734375" style="670" customWidth="1"/>
    <col min="11252" max="11277" width="17.44140625" style="670" customWidth="1"/>
    <col min="11278" max="11278" width="17.109375" style="670" customWidth="1"/>
    <col min="11279" max="11279" width="16.44140625" style="670" customWidth="1"/>
    <col min="11280" max="11280" width="18.6640625" style="670" customWidth="1"/>
    <col min="11281" max="11281" width="20.21875" style="670" bestFit="1" customWidth="1"/>
    <col min="11282" max="11282" width="25.6640625" style="670" customWidth="1"/>
    <col min="11283" max="11283" width="19.44140625" style="670" bestFit="1" customWidth="1"/>
    <col min="11284" max="11284" width="21.109375" style="670" bestFit="1" customWidth="1"/>
    <col min="11285" max="11285" width="15.88671875" style="670" bestFit="1" customWidth="1"/>
    <col min="11286" max="11286" width="8.88671875" style="670"/>
    <col min="11287" max="11287" width="13.44140625" style="670" bestFit="1" customWidth="1"/>
    <col min="11288" max="11288" width="8.88671875" style="670"/>
    <col min="11289" max="11289" width="11.77734375" style="670" bestFit="1" customWidth="1"/>
    <col min="11290" max="11291" width="8.88671875" style="670"/>
    <col min="11292" max="11292" width="11.6640625" style="670" bestFit="1" customWidth="1"/>
    <col min="11293" max="11490" width="8.88671875" style="670"/>
    <col min="11491" max="11491" width="10" style="670" customWidth="1"/>
    <col min="11492" max="11492" width="64.44140625" style="670" customWidth="1"/>
    <col min="11493" max="11493" width="18.77734375" style="670" customWidth="1"/>
    <col min="11494" max="11494" width="11" style="670" customWidth="1"/>
    <col min="11495" max="11495" width="14.6640625" style="670" customWidth="1"/>
    <col min="11496" max="11496" width="18.6640625" style="670" customWidth="1"/>
    <col min="11497" max="11497" width="14.44140625" style="670" customWidth="1"/>
    <col min="11498" max="11498" width="18.21875" style="670" customWidth="1"/>
    <col min="11499" max="11499" width="15.6640625" style="670" customWidth="1"/>
    <col min="11500" max="11500" width="17.44140625" style="670" customWidth="1"/>
    <col min="11501" max="11501" width="15.6640625" style="670" customWidth="1"/>
    <col min="11502" max="11502" width="17.44140625" style="670" customWidth="1"/>
    <col min="11503" max="11503" width="17" style="670" customWidth="1"/>
    <col min="11504" max="11506" width="17.44140625" style="670" customWidth="1"/>
    <col min="11507" max="11507" width="14.77734375" style="670" customWidth="1"/>
    <col min="11508" max="11533" width="17.44140625" style="670" customWidth="1"/>
    <col min="11534" max="11534" width="17.109375" style="670" customWidth="1"/>
    <col min="11535" max="11535" width="16.44140625" style="670" customWidth="1"/>
    <col min="11536" max="11536" width="18.6640625" style="670" customWidth="1"/>
    <col min="11537" max="11537" width="20.21875" style="670" bestFit="1" customWidth="1"/>
    <col min="11538" max="11538" width="25.6640625" style="670" customWidth="1"/>
    <col min="11539" max="11539" width="19.44140625" style="670" bestFit="1" customWidth="1"/>
    <col min="11540" max="11540" width="21.109375" style="670" bestFit="1" customWidth="1"/>
    <col min="11541" max="11541" width="15.88671875" style="670" bestFit="1" customWidth="1"/>
    <col min="11542" max="11542" width="8.88671875" style="670"/>
    <col min="11543" max="11543" width="13.44140625" style="670" bestFit="1" customWidth="1"/>
    <col min="11544" max="11544" width="8.88671875" style="670"/>
    <col min="11545" max="11545" width="11.77734375" style="670" bestFit="1" customWidth="1"/>
    <col min="11546" max="11547" width="8.88671875" style="670"/>
    <col min="11548" max="11548" width="11.6640625" style="670" bestFit="1" customWidth="1"/>
    <col min="11549" max="11746" width="8.88671875" style="670"/>
    <col min="11747" max="11747" width="10" style="670" customWidth="1"/>
    <col min="11748" max="11748" width="64.44140625" style="670" customWidth="1"/>
    <col min="11749" max="11749" width="18.77734375" style="670" customWidth="1"/>
    <col min="11750" max="11750" width="11" style="670" customWidth="1"/>
    <col min="11751" max="11751" width="14.6640625" style="670" customWidth="1"/>
    <col min="11752" max="11752" width="18.6640625" style="670" customWidth="1"/>
    <col min="11753" max="11753" width="14.44140625" style="670" customWidth="1"/>
    <col min="11754" max="11754" width="18.21875" style="670" customWidth="1"/>
    <col min="11755" max="11755" width="15.6640625" style="670" customWidth="1"/>
    <col min="11756" max="11756" width="17.44140625" style="670" customWidth="1"/>
    <col min="11757" max="11757" width="15.6640625" style="670" customWidth="1"/>
    <col min="11758" max="11758" width="17.44140625" style="670" customWidth="1"/>
    <col min="11759" max="11759" width="17" style="670" customWidth="1"/>
    <col min="11760" max="11762" width="17.44140625" style="670" customWidth="1"/>
    <col min="11763" max="11763" width="14.77734375" style="670" customWidth="1"/>
    <col min="11764" max="11789" width="17.44140625" style="670" customWidth="1"/>
    <col min="11790" max="11790" width="17.109375" style="670" customWidth="1"/>
    <col min="11791" max="11791" width="16.44140625" style="670" customWidth="1"/>
    <col min="11792" max="11792" width="18.6640625" style="670" customWidth="1"/>
    <col min="11793" max="11793" width="20.21875" style="670" bestFit="1" customWidth="1"/>
    <col min="11794" max="11794" width="25.6640625" style="670" customWidth="1"/>
    <col min="11795" max="11795" width="19.44140625" style="670" bestFit="1" customWidth="1"/>
    <col min="11796" max="11796" width="21.109375" style="670" bestFit="1" customWidth="1"/>
    <col min="11797" max="11797" width="15.88671875" style="670" bestFit="1" customWidth="1"/>
    <col min="11798" max="11798" width="8.88671875" style="670"/>
    <col min="11799" max="11799" width="13.44140625" style="670" bestFit="1" customWidth="1"/>
    <col min="11800" max="11800" width="8.88671875" style="670"/>
    <col min="11801" max="11801" width="11.77734375" style="670" bestFit="1" customWidth="1"/>
    <col min="11802" max="11803" width="8.88671875" style="670"/>
    <col min="11804" max="11804" width="11.6640625" style="670" bestFit="1" customWidth="1"/>
    <col min="11805" max="12002" width="8.88671875" style="670"/>
    <col min="12003" max="12003" width="10" style="670" customWidth="1"/>
    <col min="12004" max="12004" width="64.44140625" style="670" customWidth="1"/>
    <col min="12005" max="12005" width="18.77734375" style="670" customWidth="1"/>
    <col min="12006" max="12006" width="11" style="670" customWidth="1"/>
    <col min="12007" max="12007" width="14.6640625" style="670" customWidth="1"/>
    <col min="12008" max="12008" width="18.6640625" style="670" customWidth="1"/>
    <col min="12009" max="12009" width="14.44140625" style="670" customWidth="1"/>
    <col min="12010" max="12010" width="18.21875" style="670" customWidth="1"/>
    <col min="12011" max="12011" width="15.6640625" style="670" customWidth="1"/>
    <col min="12012" max="12012" width="17.44140625" style="670" customWidth="1"/>
    <col min="12013" max="12013" width="15.6640625" style="670" customWidth="1"/>
    <col min="12014" max="12014" width="17.44140625" style="670" customWidth="1"/>
    <col min="12015" max="12015" width="17" style="670" customWidth="1"/>
    <col min="12016" max="12018" width="17.44140625" style="670" customWidth="1"/>
    <col min="12019" max="12019" width="14.77734375" style="670" customWidth="1"/>
    <col min="12020" max="12045" width="17.44140625" style="670" customWidth="1"/>
    <col min="12046" max="12046" width="17.109375" style="670" customWidth="1"/>
    <col min="12047" max="12047" width="16.44140625" style="670" customWidth="1"/>
    <col min="12048" max="12048" width="18.6640625" style="670" customWidth="1"/>
    <col min="12049" max="12049" width="20.21875" style="670" bestFit="1" customWidth="1"/>
    <col min="12050" max="12050" width="25.6640625" style="670" customWidth="1"/>
    <col min="12051" max="12051" width="19.44140625" style="670" bestFit="1" customWidth="1"/>
    <col min="12052" max="12052" width="21.109375" style="670" bestFit="1" customWidth="1"/>
    <col min="12053" max="12053" width="15.88671875" style="670" bestFit="1" customWidth="1"/>
    <col min="12054" max="12054" width="8.88671875" style="670"/>
    <col min="12055" max="12055" width="13.44140625" style="670" bestFit="1" customWidth="1"/>
    <col min="12056" max="12056" width="8.88671875" style="670"/>
    <col min="12057" max="12057" width="11.77734375" style="670" bestFit="1" customWidth="1"/>
    <col min="12058" max="12059" width="8.88671875" style="670"/>
    <col min="12060" max="12060" width="11.6640625" style="670" bestFit="1" customWidth="1"/>
    <col min="12061" max="12258" width="8.88671875" style="670"/>
    <col min="12259" max="12259" width="10" style="670" customWidth="1"/>
    <col min="12260" max="12260" width="64.44140625" style="670" customWidth="1"/>
    <col min="12261" max="12261" width="18.77734375" style="670" customWidth="1"/>
    <col min="12262" max="12262" width="11" style="670" customWidth="1"/>
    <col min="12263" max="12263" width="14.6640625" style="670" customWidth="1"/>
    <col min="12264" max="12264" width="18.6640625" style="670" customWidth="1"/>
    <col min="12265" max="12265" width="14.44140625" style="670" customWidth="1"/>
    <col min="12266" max="12266" width="18.21875" style="670" customWidth="1"/>
    <col min="12267" max="12267" width="15.6640625" style="670" customWidth="1"/>
    <col min="12268" max="12268" width="17.44140625" style="670" customWidth="1"/>
    <col min="12269" max="12269" width="15.6640625" style="670" customWidth="1"/>
    <col min="12270" max="12270" width="17.44140625" style="670" customWidth="1"/>
    <col min="12271" max="12271" width="17" style="670" customWidth="1"/>
    <col min="12272" max="12274" width="17.44140625" style="670" customWidth="1"/>
    <col min="12275" max="12275" width="14.77734375" style="670" customWidth="1"/>
    <col min="12276" max="12301" width="17.44140625" style="670" customWidth="1"/>
    <col min="12302" max="12302" width="17.109375" style="670" customWidth="1"/>
    <col min="12303" max="12303" width="16.44140625" style="670" customWidth="1"/>
    <col min="12304" max="12304" width="18.6640625" style="670" customWidth="1"/>
    <col min="12305" max="12305" width="20.21875" style="670" bestFit="1" customWidth="1"/>
    <col min="12306" max="12306" width="25.6640625" style="670" customWidth="1"/>
    <col min="12307" max="12307" width="19.44140625" style="670" bestFit="1" customWidth="1"/>
    <col min="12308" max="12308" width="21.109375" style="670" bestFit="1" customWidth="1"/>
    <col min="12309" max="12309" width="15.88671875" style="670" bestFit="1" customWidth="1"/>
    <col min="12310" max="12310" width="8.88671875" style="670"/>
    <col min="12311" max="12311" width="13.44140625" style="670" bestFit="1" customWidth="1"/>
    <col min="12312" max="12312" width="8.88671875" style="670"/>
    <col min="12313" max="12313" width="11.77734375" style="670" bestFit="1" customWidth="1"/>
    <col min="12314" max="12315" width="8.88671875" style="670"/>
    <col min="12316" max="12316" width="11.6640625" style="670" bestFit="1" customWidth="1"/>
    <col min="12317" max="12514" width="8.88671875" style="670"/>
    <col min="12515" max="12515" width="10" style="670" customWidth="1"/>
    <col min="12516" max="12516" width="64.44140625" style="670" customWidth="1"/>
    <col min="12517" max="12517" width="18.77734375" style="670" customWidth="1"/>
    <col min="12518" max="12518" width="11" style="670" customWidth="1"/>
    <col min="12519" max="12519" width="14.6640625" style="670" customWidth="1"/>
    <col min="12520" max="12520" width="18.6640625" style="670" customWidth="1"/>
    <col min="12521" max="12521" width="14.44140625" style="670" customWidth="1"/>
    <col min="12522" max="12522" width="18.21875" style="670" customWidth="1"/>
    <col min="12523" max="12523" width="15.6640625" style="670" customWidth="1"/>
    <col min="12524" max="12524" width="17.44140625" style="670" customWidth="1"/>
    <col min="12525" max="12525" width="15.6640625" style="670" customWidth="1"/>
    <col min="12526" max="12526" width="17.44140625" style="670" customWidth="1"/>
    <col min="12527" max="12527" width="17" style="670" customWidth="1"/>
    <col min="12528" max="12530" width="17.44140625" style="670" customWidth="1"/>
    <col min="12531" max="12531" width="14.77734375" style="670" customWidth="1"/>
    <col min="12532" max="12557" width="17.44140625" style="670" customWidth="1"/>
    <col min="12558" max="12558" width="17.109375" style="670" customWidth="1"/>
    <col min="12559" max="12559" width="16.44140625" style="670" customWidth="1"/>
    <col min="12560" max="12560" width="18.6640625" style="670" customWidth="1"/>
    <col min="12561" max="12561" width="20.21875" style="670" bestFit="1" customWidth="1"/>
    <col min="12562" max="12562" width="25.6640625" style="670" customWidth="1"/>
    <col min="12563" max="12563" width="19.44140625" style="670" bestFit="1" customWidth="1"/>
    <col min="12564" max="12564" width="21.109375" style="670" bestFit="1" customWidth="1"/>
    <col min="12565" max="12565" width="15.88671875" style="670" bestFit="1" customWidth="1"/>
    <col min="12566" max="12566" width="8.88671875" style="670"/>
    <col min="12567" max="12567" width="13.44140625" style="670" bestFit="1" customWidth="1"/>
    <col min="12568" max="12568" width="8.88671875" style="670"/>
    <col min="12569" max="12569" width="11.77734375" style="670" bestFit="1" customWidth="1"/>
    <col min="12570" max="12571" width="8.88671875" style="670"/>
    <col min="12572" max="12572" width="11.6640625" style="670" bestFit="1" customWidth="1"/>
    <col min="12573" max="12770" width="8.88671875" style="670"/>
    <col min="12771" max="12771" width="10" style="670" customWidth="1"/>
    <col min="12772" max="12772" width="64.44140625" style="670" customWidth="1"/>
    <col min="12773" max="12773" width="18.77734375" style="670" customWidth="1"/>
    <col min="12774" max="12774" width="11" style="670" customWidth="1"/>
    <col min="12775" max="12775" width="14.6640625" style="670" customWidth="1"/>
    <col min="12776" max="12776" width="18.6640625" style="670" customWidth="1"/>
    <col min="12777" max="12777" width="14.44140625" style="670" customWidth="1"/>
    <col min="12778" max="12778" width="18.21875" style="670" customWidth="1"/>
    <col min="12779" max="12779" width="15.6640625" style="670" customWidth="1"/>
    <col min="12780" max="12780" width="17.44140625" style="670" customWidth="1"/>
    <col min="12781" max="12781" width="15.6640625" style="670" customWidth="1"/>
    <col min="12782" max="12782" width="17.44140625" style="670" customWidth="1"/>
    <col min="12783" max="12783" width="17" style="670" customWidth="1"/>
    <col min="12784" max="12786" width="17.44140625" style="670" customWidth="1"/>
    <col min="12787" max="12787" width="14.77734375" style="670" customWidth="1"/>
    <col min="12788" max="12813" width="17.44140625" style="670" customWidth="1"/>
    <col min="12814" max="12814" width="17.109375" style="670" customWidth="1"/>
    <col min="12815" max="12815" width="16.44140625" style="670" customWidth="1"/>
    <col min="12816" max="12816" width="18.6640625" style="670" customWidth="1"/>
    <col min="12817" max="12817" width="20.21875" style="670" bestFit="1" customWidth="1"/>
    <col min="12818" max="12818" width="25.6640625" style="670" customWidth="1"/>
    <col min="12819" max="12819" width="19.44140625" style="670" bestFit="1" customWidth="1"/>
    <col min="12820" max="12820" width="21.109375" style="670" bestFit="1" customWidth="1"/>
    <col min="12821" max="12821" width="15.88671875" style="670" bestFit="1" customWidth="1"/>
    <col min="12822" max="12822" width="8.88671875" style="670"/>
    <col min="12823" max="12823" width="13.44140625" style="670" bestFit="1" customWidth="1"/>
    <col min="12824" max="12824" width="8.88671875" style="670"/>
    <col min="12825" max="12825" width="11.77734375" style="670" bestFit="1" customWidth="1"/>
    <col min="12826" max="12827" width="8.88671875" style="670"/>
    <col min="12828" max="12828" width="11.6640625" style="670" bestFit="1" customWidth="1"/>
    <col min="12829" max="13026" width="8.88671875" style="670"/>
    <col min="13027" max="13027" width="10" style="670" customWidth="1"/>
    <col min="13028" max="13028" width="64.44140625" style="670" customWidth="1"/>
    <col min="13029" max="13029" width="18.77734375" style="670" customWidth="1"/>
    <col min="13030" max="13030" width="11" style="670" customWidth="1"/>
    <col min="13031" max="13031" width="14.6640625" style="670" customWidth="1"/>
    <col min="13032" max="13032" width="18.6640625" style="670" customWidth="1"/>
    <col min="13033" max="13033" width="14.44140625" style="670" customWidth="1"/>
    <col min="13034" max="13034" width="18.21875" style="670" customWidth="1"/>
    <col min="13035" max="13035" width="15.6640625" style="670" customWidth="1"/>
    <col min="13036" max="13036" width="17.44140625" style="670" customWidth="1"/>
    <col min="13037" max="13037" width="15.6640625" style="670" customWidth="1"/>
    <col min="13038" max="13038" width="17.44140625" style="670" customWidth="1"/>
    <col min="13039" max="13039" width="17" style="670" customWidth="1"/>
    <col min="13040" max="13042" width="17.44140625" style="670" customWidth="1"/>
    <col min="13043" max="13043" width="14.77734375" style="670" customWidth="1"/>
    <col min="13044" max="13069" width="17.44140625" style="670" customWidth="1"/>
    <col min="13070" max="13070" width="17.109375" style="670" customWidth="1"/>
    <col min="13071" max="13071" width="16.44140625" style="670" customWidth="1"/>
    <col min="13072" max="13072" width="18.6640625" style="670" customWidth="1"/>
    <col min="13073" max="13073" width="20.21875" style="670" bestFit="1" customWidth="1"/>
    <col min="13074" max="13074" width="25.6640625" style="670" customWidth="1"/>
    <col min="13075" max="13075" width="19.44140625" style="670" bestFit="1" customWidth="1"/>
    <col min="13076" max="13076" width="21.109375" style="670" bestFit="1" customWidth="1"/>
    <col min="13077" max="13077" width="15.88671875" style="670" bestFit="1" customWidth="1"/>
    <col min="13078" max="13078" width="8.88671875" style="670"/>
    <col min="13079" max="13079" width="13.44140625" style="670" bestFit="1" customWidth="1"/>
    <col min="13080" max="13080" width="8.88671875" style="670"/>
    <col min="13081" max="13081" width="11.77734375" style="670" bestFit="1" customWidth="1"/>
    <col min="13082" max="13083" width="8.88671875" style="670"/>
    <col min="13084" max="13084" width="11.6640625" style="670" bestFit="1" customWidth="1"/>
    <col min="13085" max="13282" width="8.88671875" style="670"/>
    <col min="13283" max="13283" width="10" style="670" customWidth="1"/>
    <col min="13284" max="13284" width="64.44140625" style="670" customWidth="1"/>
    <col min="13285" max="13285" width="18.77734375" style="670" customWidth="1"/>
    <col min="13286" max="13286" width="11" style="670" customWidth="1"/>
    <col min="13287" max="13287" width="14.6640625" style="670" customWidth="1"/>
    <col min="13288" max="13288" width="18.6640625" style="670" customWidth="1"/>
    <col min="13289" max="13289" width="14.44140625" style="670" customWidth="1"/>
    <col min="13290" max="13290" width="18.21875" style="670" customWidth="1"/>
    <col min="13291" max="13291" width="15.6640625" style="670" customWidth="1"/>
    <col min="13292" max="13292" width="17.44140625" style="670" customWidth="1"/>
    <col min="13293" max="13293" width="15.6640625" style="670" customWidth="1"/>
    <col min="13294" max="13294" width="17.44140625" style="670" customWidth="1"/>
    <col min="13295" max="13295" width="17" style="670" customWidth="1"/>
    <col min="13296" max="13298" width="17.44140625" style="670" customWidth="1"/>
    <col min="13299" max="13299" width="14.77734375" style="670" customWidth="1"/>
    <col min="13300" max="13325" width="17.44140625" style="670" customWidth="1"/>
    <col min="13326" max="13326" width="17.109375" style="670" customWidth="1"/>
    <col min="13327" max="13327" width="16.44140625" style="670" customWidth="1"/>
    <col min="13328" max="13328" width="18.6640625" style="670" customWidth="1"/>
    <col min="13329" max="13329" width="20.21875" style="670" bestFit="1" customWidth="1"/>
    <col min="13330" max="13330" width="25.6640625" style="670" customWidth="1"/>
    <col min="13331" max="13331" width="19.44140625" style="670" bestFit="1" customWidth="1"/>
    <col min="13332" max="13332" width="21.109375" style="670" bestFit="1" customWidth="1"/>
    <col min="13333" max="13333" width="15.88671875" style="670" bestFit="1" customWidth="1"/>
    <col min="13334" max="13334" width="8.88671875" style="670"/>
    <col min="13335" max="13335" width="13.44140625" style="670" bestFit="1" customWidth="1"/>
    <col min="13336" max="13336" width="8.88671875" style="670"/>
    <col min="13337" max="13337" width="11.77734375" style="670" bestFit="1" customWidth="1"/>
    <col min="13338" max="13339" width="8.88671875" style="670"/>
    <col min="13340" max="13340" width="11.6640625" style="670" bestFit="1" customWidth="1"/>
    <col min="13341" max="13538" width="8.88671875" style="670"/>
    <col min="13539" max="13539" width="10" style="670" customWidth="1"/>
    <col min="13540" max="13540" width="64.44140625" style="670" customWidth="1"/>
    <col min="13541" max="13541" width="18.77734375" style="670" customWidth="1"/>
    <col min="13542" max="13542" width="11" style="670" customWidth="1"/>
    <col min="13543" max="13543" width="14.6640625" style="670" customWidth="1"/>
    <col min="13544" max="13544" width="18.6640625" style="670" customWidth="1"/>
    <col min="13545" max="13545" width="14.44140625" style="670" customWidth="1"/>
    <col min="13546" max="13546" width="18.21875" style="670" customWidth="1"/>
    <col min="13547" max="13547" width="15.6640625" style="670" customWidth="1"/>
    <col min="13548" max="13548" width="17.44140625" style="670" customWidth="1"/>
    <col min="13549" max="13549" width="15.6640625" style="670" customWidth="1"/>
    <col min="13550" max="13550" width="17.44140625" style="670" customWidth="1"/>
    <col min="13551" max="13551" width="17" style="670" customWidth="1"/>
    <col min="13552" max="13554" width="17.44140625" style="670" customWidth="1"/>
    <col min="13555" max="13555" width="14.77734375" style="670" customWidth="1"/>
    <col min="13556" max="13581" width="17.44140625" style="670" customWidth="1"/>
    <col min="13582" max="13582" width="17.109375" style="670" customWidth="1"/>
    <col min="13583" max="13583" width="16.44140625" style="670" customWidth="1"/>
    <col min="13584" max="13584" width="18.6640625" style="670" customWidth="1"/>
    <col min="13585" max="13585" width="20.21875" style="670" bestFit="1" customWidth="1"/>
    <col min="13586" max="13586" width="25.6640625" style="670" customWidth="1"/>
    <col min="13587" max="13587" width="19.44140625" style="670" bestFit="1" customWidth="1"/>
    <col min="13588" max="13588" width="21.109375" style="670" bestFit="1" customWidth="1"/>
    <col min="13589" max="13589" width="15.88671875" style="670" bestFit="1" customWidth="1"/>
    <col min="13590" max="13590" width="8.88671875" style="670"/>
    <col min="13591" max="13591" width="13.44140625" style="670" bestFit="1" customWidth="1"/>
    <col min="13592" max="13592" width="8.88671875" style="670"/>
    <col min="13593" max="13593" width="11.77734375" style="670" bestFit="1" customWidth="1"/>
    <col min="13594" max="13595" width="8.88671875" style="670"/>
    <col min="13596" max="13596" width="11.6640625" style="670" bestFit="1" customWidth="1"/>
    <col min="13597" max="13794" width="8.88671875" style="670"/>
    <col min="13795" max="13795" width="10" style="670" customWidth="1"/>
    <col min="13796" max="13796" width="64.44140625" style="670" customWidth="1"/>
    <col min="13797" max="13797" width="18.77734375" style="670" customWidth="1"/>
    <col min="13798" max="13798" width="11" style="670" customWidth="1"/>
    <col min="13799" max="13799" width="14.6640625" style="670" customWidth="1"/>
    <col min="13800" max="13800" width="18.6640625" style="670" customWidth="1"/>
    <col min="13801" max="13801" width="14.44140625" style="670" customWidth="1"/>
    <col min="13802" max="13802" width="18.21875" style="670" customWidth="1"/>
    <col min="13803" max="13803" width="15.6640625" style="670" customWidth="1"/>
    <col min="13804" max="13804" width="17.44140625" style="670" customWidth="1"/>
    <col min="13805" max="13805" width="15.6640625" style="670" customWidth="1"/>
    <col min="13806" max="13806" width="17.44140625" style="670" customWidth="1"/>
    <col min="13807" max="13807" width="17" style="670" customWidth="1"/>
    <col min="13808" max="13810" width="17.44140625" style="670" customWidth="1"/>
    <col min="13811" max="13811" width="14.77734375" style="670" customWidth="1"/>
    <col min="13812" max="13837" width="17.44140625" style="670" customWidth="1"/>
    <col min="13838" max="13838" width="17.109375" style="670" customWidth="1"/>
    <col min="13839" max="13839" width="16.44140625" style="670" customWidth="1"/>
    <col min="13840" max="13840" width="18.6640625" style="670" customWidth="1"/>
    <col min="13841" max="13841" width="20.21875" style="670" bestFit="1" customWidth="1"/>
    <col min="13842" max="13842" width="25.6640625" style="670" customWidth="1"/>
    <col min="13843" max="13843" width="19.44140625" style="670" bestFit="1" customWidth="1"/>
    <col min="13844" max="13844" width="21.109375" style="670" bestFit="1" customWidth="1"/>
    <col min="13845" max="13845" width="15.88671875" style="670" bestFit="1" customWidth="1"/>
    <col min="13846" max="13846" width="8.88671875" style="670"/>
    <col min="13847" max="13847" width="13.44140625" style="670" bestFit="1" customWidth="1"/>
    <col min="13848" max="13848" width="8.88671875" style="670"/>
    <col min="13849" max="13849" width="11.77734375" style="670" bestFit="1" customWidth="1"/>
    <col min="13850" max="13851" width="8.88671875" style="670"/>
    <col min="13852" max="13852" width="11.6640625" style="670" bestFit="1" customWidth="1"/>
    <col min="13853" max="14050" width="8.88671875" style="670"/>
    <col min="14051" max="14051" width="10" style="670" customWidth="1"/>
    <col min="14052" max="14052" width="64.44140625" style="670" customWidth="1"/>
    <col min="14053" max="14053" width="18.77734375" style="670" customWidth="1"/>
    <col min="14054" max="14054" width="11" style="670" customWidth="1"/>
    <col min="14055" max="14055" width="14.6640625" style="670" customWidth="1"/>
    <col min="14056" max="14056" width="18.6640625" style="670" customWidth="1"/>
    <col min="14057" max="14057" width="14.44140625" style="670" customWidth="1"/>
    <col min="14058" max="14058" width="18.21875" style="670" customWidth="1"/>
    <col min="14059" max="14059" width="15.6640625" style="670" customWidth="1"/>
    <col min="14060" max="14060" width="17.44140625" style="670" customWidth="1"/>
    <col min="14061" max="14061" width="15.6640625" style="670" customWidth="1"/>
    <col min="14062" max="14062" width="17.44140625" style="670" customWidth="1"/>
    <col min="14063" max="14063" width="17" style="670" customWidth="1"/>
    <col min="14064" max="14066" width="17.44140625" style="670" customWidth="1"/>
    <col min="14067" max="14067" width="14.77734375" style="670" customWidth="1"/>
    <col min="14068" max="14093" width="17.44140625" style="670" customWidth="1"/>
    <col min="14094" max="14094" width="17.109375" style="670" customWidth="1"/>
    <col min="14095" max="14095" width="16.44140625" style="670" customWidth="1"/>
    <col min="14096" max="14096" width="18.6640625" style="670" customWidth="1"/>
    <col min="14097" max="14097" width="20.21875" style="670" bestFit="1" customWidth="1"/>
    <col min="14098" max="14098" width="25.6640625" style="670" customWidth="1"/>
    <col min="14099" max="14099" width="19.44140625" style="670" bestFit="1" customWidth="1"/>
    <col min="14100" max="14100" width="21.109375" style="670" bestFit="1" customWidth="1"/>
    <col min="14101" max="14101" width="15.88671875" style="670" bestFit="1" customWidth="1"/>
    <col min="14102" max="14102" width="8.88671875" style="670"/>
    <col min="14103" max="14103" width="13.44140625" style="670" bestFit="1" customWidth="1"/>
    <col min="14104" max="14104" width="8.88671875" style="670"/>
    <col min="14105" max="14105" width="11.77734375" style="670" bestFit="1" customWidth="1"/>
    <col min="14106" max="14107" width="8.88671875" style="670"/>
    <col min="14108" max="14108" width="11.6640625" style="670" bestFit="1" customWidth="1"/>
    <col min="14109" max="14306" width="8.88671875" style="670"/>
    <col min="14307" max="14307" width="10" style="670" customWidth="1"/>
    <col min="14308" max="14308" width="64.44140625" style="670" customWidth="1"/>
    <col min="14309" max="14309" width="18.77734375" style="670" customWidth="1"/>
    <col min="14310" max="14310" width="11" style="670" customWidth="1"/>
    <col min="14311" max="14311" width="14.6640625" style="670" customWidth="1"/>
    <col min="14312" max="14312" width="18.6640625" style="670" customWidth="1"/>
    <col min="14313" max="14313" width="14.44140625" style="670" customWidth="1"/>
    <col min="14314" max="14314" width="18.21875" style="670" customWidth="1"/>
    <col min="14315" max="14315" width="15.6640625" style="670" customWidth="1"/>
    <col min="14316" max="14316" width="17.44140625" style="670" customWidth="1"/>
    <col min="14317" max="14317" width="15.6640625" style="670" customWidth="1"/>
    <col min="14318" max="14318" width="17.44140625" style="670" customWidth="1"/>
    <col min="14319" max="14319" width="17" style="670" customWidth="1"/>
    <col min="14320" max="14322" width="17.44140625" style="670" customWidth="1"/>
    <col min="14323" max="14323" width="14.77734375" style="670" customWidth="1"/>
    <col min="14324" max="14349" width="17.44140625" style="670" customWidth="1"/>
    <col min="14350" max="14350" width="17.109375" style="670" customWidth="1"/>
    <col min="14351" max="14351" width="16.44140625" style="670" customWidth="1"/>
    <col min="14352" max="14352" width="18.6640625" style="670" customWidth="1"/>
    <col min="14353" max="14353" width="20.21875" style="670" bestFit="1" customWidth="1"/>
    <col min="14354" max="14354" width="25.6640625" style="670" customWidth="1"/>
    <col min="14355" max="14355" width="19.44140625" style="670" bestFit="1" customWidth="1"/>
    <col min="14356" max="14356" width="21.109375" style="670" bestFit="1" customWidth="1"/>
    <col min="14357" max="14357" width="15.88671875" style="670" bestFit="1" customWidth="1"/>
    <col min="14358" max="14358" width="8.88671875" style="670"/>
    <col min="14359" max="14359" width="13.44140625" style="670" bestFit="1" customWidth="1"/>
    <col min="14360" max="14360" width="8.88671875" style="670"/>
    <col min="14361" max="14361" width="11.77734375" style="670" bestFit="1" customWidth="1"/>
    <col min="14362" max="14363" width="8.88671875" style="670"/>
    <col min="14364" max="14364" width="11.6640625" style="670" bestFit="1" customWidth="1"/>
    <col min="14365" max="14562" width="8.88671875" style="670"/>
    <col min="14563" max="14563" width="10" style="670" customWidth="1"/>
    <col min="14564" max="14564" width="64.44140625" style="670" customWidth="1"/>
    <col min="14565" max="14565" width="18.77734375" style="670" customWidth="1"/>
    <col min="14566" max="14566" width="11" style="670" customWidth="1"/>
    <col min="14567" max="14567" width="14.6640625" style="670" customWidth="1"/>
    <col min="14568" max="14568" width="18.6640625" style="670" customWidth="1"/>
    <col min="14569" max="14569" width="14.44140625" style="670" customWidth="1"/>
    <col min="14570" max="14570" width="18.21875" style="670" customWidth="1"/>
    <col min="14571" max="14571" width="15.6640625" style="670" customWidth="1"/>
    <col min="14572" max="14572" width="17.44140625" style="670" customWidth="1"/>
    <col min="14573" max="14573" width="15.6640625" style="670" customWidth="1"/>
    <col min="14574" max="14574" width="17.44140625" style="670" customWidth="1"/>
    <col min="14575" max="14575" width="17" style="670" customWidth="1"/>
    <col min="14576" max="14578" width="17.44140625" style="670" customWidth="1"/>
    <col min="14579" max="14579" width="14.77734375" style="670" customWidth="1"/>
    <col min="14580" max="14605" width="17.44140625" style="670" customWidth="1"/>
    <col min="14606" max="14606" width="17.109375" style="670" customWidth="1"/>
    <col min="14607" max="14607" width="16.44140625" style="670" customWidth="1"/>
    <col min="14608" max="14608" width="18.6640625" style="670" customWidth="1"/>
    <col min="14609" max="14609" width="20.21875" style="670" bestFit="1" customWidth="1"/>
    <col min="14610" max="14610" width="25.6640625" style="670" customWidth="1"/>
    <col min="14611" max="14611" width="19.44140625" style="670" bestFit="1" customWidth="1"/>
    <col min="14612" max="14612" width="21.109375" style="670" bestFit="1" customWidth="1"/>
    <col min="14613" max="14613" width="15.88671875" style="670" bestFit="1" customWidth="1"/>
    <col min="14614" max="14614" width="8.88671875" style="670"/>
    <col min="14615" max="14615" width="13.44140625" style="670" bestFit="1" customWidth="1"/>
    <col min="14616" max="14616" width="8.88671875" style="670"/>
    <col min="14617" max="14617" width="11.77734375" style="670" bestFit="1" customWidth="1"/>
    <col min="14618" max="14619" width="8.88671875" style="670"/>
    <col min="14620" max="14620" width="11.6640625" style="670" bestFit="1" customWidth="1"/>
    <col min="14621" max="14818" width="8.88671875" style="670"/>
    <col min="14819" max="14819" width="10" style="670" customWidth="1"/>
    <col min="14820" max="14820" width="64.44140625" style="670" customWidth="1"/>
    <col min="14821" max="14821" width="18.77734375" style="670" customWidth="1"/>
    <col min="14822" max="14822" width="11" style="670" customWidth="1"/>
    <col min="14823" max="14823" width="14.6640625" style="670" customWidth="1"/>
    <col min="14824" max="14824" width="18.6640625" style="670" customWidth="1"/>
    <col min="14825" max="14825" width="14.44140625" style="670" customWidth="1"/>
    <col min="14826" max="14826" width="18.21875" style="670" customWidth="1"/>
    <col min="14827" max="14827" width="15.6640625" style="670" customWidth="1"/>
    <col min="14828" max="14828" width="17.44140625" style="670" customWidth="1"/>
    <col min="14829" max="14829" width="15.6640625" style="670" customWidth="1"/>
    <col min="14830" max="14830" width="17.44140625" style="670" customWidth="1"/>
    <col min="14831" max="14831" width="17" style="670" customWidth="1"/>
    <col min="14832" max="14834" width="17.44140625" style="670" customWidth="1"/>
    <col min="14835" max="14835" width="14.77734375" style="670" customWidth="1"/>
    <col min="14836" max="14861" width="17.44140625" style="670" customWidth="1"/>
    <col min="14862" max="14862" width="17.109375" style="670" customWidth="1"/>
    <col min="14863" max="14863" width="16.44140625" style="670" customWidth="1"/>
    <col min="14864" max="14864" width="18.6640625" style="670" customWidth="1"/>
    <col min="14865" max="14865" width="20.21875" style="670" bestFit="1" customWidth="1"/>
    <col min="14866" max="14866" width="25.6640625" style="670" customWidth="1"/>
    <col min="14867" max="14867" width="19.44140625" style="670" bestFit="1" customWidth="1"/>
    <col min="14868" max="14868" width="21.109375" style="670" bestFit="1" customWidth="1"/>
    <col min="14869" max="14869" width="15.88671875" style="670" bestFit="1" customWidth="1"/>
    <col min="14870" max="14870" width="8.88671875" style="670"/>
    <col min="14871" max="14871" width="13.44140625" style="670" bestFit="1" customWidth="1"/>
    <col min="14872" max="14872" width="8.88671875" style="670"/>
    <col min="14873" max="14873" width="11.77734375" style="670" bestFit="1" customWidth="1"/>
    <col min="14874" max="14875" width="8.88671875" style="670"/>
    <col min="14876" max="14876" width="11.6640625" style="670" bestFit="1" customWidth="1"/>
    <col min="14877" max="15074" width="8.88671875" style="670"/>
    <col min="15075" max="15075" width="10" style="670" customWidth="1"/>
    <col min="15076" max="15076" width="64.44140625" style="670" customWidth="1"/>
    <col min="15077" max="15077" width="18.77734375" style="670" customWidth="1"/>
    <col min="15078" max="15078" width="11" style="670" customWidth="1"/>
    <col min="15079" max="15079" width="14.6640625" style="670" customWidth="1"/>
    <col min="15080" max="15080" width="18.6640625" style="670" customWidth="1"/>
    <col min="15081" max="15081" width="14.44140625" style="670" customWidth="1"/>
    <col min="15082" max="15082" width="18.21875" style="670" customWidth="1"/>
    <col min="15083" max="15083" width="15.6640625" style="670" customWidth="1"/>
    <col min="15084" max="15084" width="17.44140625" style="670" customWidth="1"/>
    <col min="15085" max="15085" width="15.6640625" style="670" customWidth="1"/>
    <col min="15086" max="15086" width="17.44140625" style="670" customWidth="1"/>
    <col min="15087" max="15087" width="17" style="670" customWidth="1"/>
    <col min="15088" max="15090" width="17.44140625" style="670" customWidth="1"/>
    <col min="15091" max="15091" width="14.77734375" style="670" customWidth="1"/>
    <col min="15092" max="15117" width="17.44140625" style="670" customWidth="1"/>
    <col min="15118" max="15118" width="17.109375" style="670" customWidth="1"/>
    <col min="15119" max="15119" width="16.44140625" style="670" customWidth="1"/>
    <col min="15120" max="15120" width="18.6640625" style="670" customWidth="1"/>
    <col min="15121" max="15121" width="20.21875" style="670" bestFit="1" customWidth="1"/>
    <col min="15122" max="15122" width="25.6640625" style="670" customWidth="1"/>
    <col min="15123" max="15123" width="19.44140625" style="670" bestFit="1" customWidth="1"/>
    <col min="15124" max="15124" width="21.109375" style="670" bestFit="1" customWidth="1"/>
    <col min="15125" max="15125" width="15.88671875" style="670" bestFit="1" customWidth="1"/>
    <col min="15126" max="15126" width="8.88671875" style="670"/>
    <col min="15127" max="15127" width="13.44140625" style="670" bestFit="1" customWidth="1"/>
    <col min="15128" max="15128" width="8.88671875" style="670"/>
    <col min="15129" max="15129" width="11.77734375" style="670" bestFit="1" customWidth="1"/>
    <col min="15130" max="15131" width="8.88671875" style="670"/>
    <col min="15132" max="15132" width="11.6640625" style="670" bestFit="1" customWidth="1"/>
    <col min="15133" max="15330" width="8.88671875" style="670"/>
    <col min="15331" max="15331" width="10" style="670" customWidth="1"/>
    <col min="15332" max="15332" width="64.44140625" style="670" customWidth="1"/>
    <col min="15333" max="15333" width="18.77734375" style="670" customWidth="1"/>
    <col min="15334" max="15334" width="11" style="670" customWidth="1"/>
    <col min="15335" max="15335" width="14.6640625" style="670" customWidth="1"/>
    <col min="15336" max="15336" width="18.6640625" style="670" customWidth="1"/>
    <col min="15337" max="15337" width="14.44140625" style="670" customWidth="1"/>
    <col min="15338" max="15338" width="18.21875" style="670" customWidth="1"/>
    <col min="15339" max="15339" width="15.6640625" style="670" customWidth="1"/>
    <col min="15340" max="15340" width="17.44140625" style="670" customWidth="1"/>
    <col min="15341" max="15341" width="15.6640625" style="670" customWidth="1"/>
    <col min="15342" max="15342" width="17.44140625" style="670" customWidth="1"/>
    <col min="15343" max="15343" width="17" style="670" customWidth="1"/>
    <col min="15344" max="15346" width="17.44140625" style="670" customWidth="1"/>
    <col min="15347" max="15347" width="14.77734375" style="670" customWidth="1"/>
    <col min="15348" max="15373" width="17.44140625" style="670" customWidth="1"/>
    <col min="15374" max="15374" width="17.109375" style="670" customWidth="1"/>
    <col min="15375" max="15375" width="16.44140625" style="670" customWidth="1"/>
    <col min="15376" max="15376" width="18.6640625" style="670" customWidth="1"/>
    <col min="15377" max="15377" width="20.21875" style="670" bestFit="1" customWidth="1"/>
    <col min="15378" max="15378" width="25.6640625" style="670" customWidth="1"/>
    <col min="15379" max="15379" width="19.44140625" style="670" bestFit="1" customWidth="1"/>
    <col min="15380" max="15380" width="21.109375" style="670" bestFit="1" customWidth="1"/>
    <col min="15381" max="15381" width="15.88671875" style="670" bestFit="1" customWidth="1"/>
    <col min="15382" max="15382" width="8.88671875" style="670"/>
    <col min="15383" max="15383" width="13.44140625" style="670" bestFit="1" customWidth="1"/>
    <col min="15384" max="15384" width="8.88671875" style="670"/>
    <col min="15385" max="15385" width="11.77734375" style="670" bestFit="1" customWidth="1"/>
    <col min="15386" max="15387" width="8.88671875" style="670"/>
    <col min="15388" max="15388" width="11.6640625" style="670" bestFit="1" customWidth="1"/>
    <col min="15389" max="15586" width="8.88671875" style="670"/>
    <col min="15587" max="15587" width="10" style="670" customWidth="1"/>
    <col min="15588" max="15588" width="64.44140625" style="670" customWidth="1"/>
    <col min="15589" max="15589" width="18.77734375" style="670" customWidth="1"/>
    <col min="15590" max="15590" width="11" style="670" customWidth="1"/>
    <col min="15591" max="15591" width="14.6640625" style="670" customWidth="1"/>
    <col min="15592" max="15592" width="18.6640625" style="670" customWidth="1"/>
    <col min="15593" max="15593" width="14.44140625" style="670" customWidth="1"/>
    <col min="15594" max="15594" width="18.21875" style="670" customWidth="1"/>
    <col min="15595" max="15595" width="15.6640625" style="670" customWidth="1"/>
    <col min="15596" max="15596" width="17.44140625" style="670" customWidth="1"/>
    <col min="15597" max="15597" width="15.6640625" style="670" customWidth="1"/>
    <col min="15598" max="15598" width="17.44140625" style="670" customWidth="1"/>
    <col min="15599" max="15599" width="17" style="670" customWidth="1"/>
    <col min="15600" max="15602" width="17.44140625" style="670" customWidth="1"/>
    <col min="15603" max="15603" width="14.77734375" style="670" customWidth="1"/>
    <col min="15604" max="15629" width="17.44140625" style="670" customWidth="1"/>
    <col min="15630" max="15630" width="17.109375" style="670" customWidth="1"/>
    <col min="15631" max="15631" width="16.44140625" style="670" customWidth="1"/>
    <col min="15632" max="15632" width="18.6640625" style="670" customWidth="1"/>
    <col min="15633" max="15633" width="20.21875" style="670" bestFit="1" customWidth="1"/>
    <col min="15634" max="15634" width="25.6640625" style="670" customWidth="1"/>
    <col min="15635" max="15635" width="19.44140625" style="670" bestFit="1" customWidth="1"/>
    <col min="15636" max="15636" width="21.109375" style="670" bestFit="1" customWidth="1"/>
    <col min="15637" max="15637" width="15.88671875" style="670" bestFit="1" customWidth="1"/>
    <col min="15638" max="15638" width="8.88671875" style="670"/>
    <col min="15639" max="15639" width="13.44140625" style="670" bestFit="1" customWidth="1"/>
    <col min="15640" max="15640" width="8.88671875" style="670"/>
    <col min="15641" max="15641" width="11.77734375" style="670" bestFit="1" customWidth="1"/>
    <col min="15642" max="15643" width="8.88671875" style="670"/>
    <col min="15644" max="15644" width="11.6640625" style="670" bestFit="1" customWidth="1"/>
    <col min="15645" max="15842" width="8.88671875" style="670"/>
    <col min="15843" max="15843" width="10" style="670" customWidth="1"/>
    <col min="15844" max="15844" width="64.44140625" style="670" customWidth="1"/>
    <col min="15845" max="15845" width="18.77734375" style="670" customWidth="1"/>
    <col min="15846" max="15846" width="11" style="670" customWidth="1"/>
    <col min="15847" max="15847" width="14.6640625" style="670" customWidth="1"/>
    <col min="15848" max="15848" width="18.6640625" style="670" customWidth="1"/>
    <col min="15849" max="15849" width="14.44140625" style="670" customWidth="1"/>
    <col min="15850" max="15850" width="18.21875" style="670" customWidth="1"/>
    <col min="15851" max="15851" width="15.6640625" style="670" customWidth="1"/>
    <col min="15852" max="15852" width="17.44140625" style="670" customWidth="1"/>
    <col min="15853" max="15853" width="15.6640625" style="670" customWidth="1"/>
    <col min="15854" max="15854" width="17.44140625" style="670" customWidth="1"/>
    <col min="15855" max="15855" width="17" style="670" customWidth="1"/>
    <col min="15856" max="15858" width="17.44140625" style="670" customWidth="1"/>
    <col min="15859" max="15859" width="14.77734375" style="670" customWidth="1"/>
    <col min="15860" max="15885" width="17.44140625" style="670" customWidth="1"/>
    <col min="15886" max="15886" width="17.109375" style="670" customWidth="1"/>
    <col min="15887" max="15887" width="16.44140625" style="670" customWidth="1"/>
    <col min="15888" max="15888" width="18.6640625" style="670" customWidth="1"/>
    <col min="15889" max="15889" width="20.21875" style="670" bestFit="1" customWidth="1"/>
    <col min="15890" max="15890" width="25.6640625" style="670" customWidth="1"/>
    <col min="15891" max="15891" width="19.44140625" style="670" bestFit="1" customWidth="1"/>
    <col min="15892" max="15892" width="21.109375" style="670" bestFit="1" customWidth="1"/>
    <col min="15893" max="15893" width="15.88671875" style="670" bestFit="1" customWidth="1"/>
    <col min="15894" max="15894" width="8.88671875" style="670"/>
    <col min="15895" max="15895" width="13.44140625" style="670" bestFit="1" customWidth="1"/>
    <col min="15896" max="15896" width="8.88671875" style="670"/>
    <col min="15897" max="15897" width="11.77734375" style="670" bestFit="1" customWidth="1"/>
    <col min="15898" max="15899" width="8.88671875" style="670"/>
    <col min="15900" max="15900" width="11.6640625" style="670" bestFit="1" customWidth="1"/>
    <col min="15901" max="16098" width="8.88671875" style="670"/>
    <col min="16099" max="16099" width="10" style="670" customWidth="1"/>
    <col min="16100" max="16100" width="64.44140625" style="670" customWidth="1"/>
    <col min="16101" max="16101" width="18.77734375" style="670" customWidth="1"/>
    <col min="16102" max="16102" width="11" style="670" customWidth="1"/>
    <col min="16103" max="16103" width="14.6640625" style="670" customWidth="1"/>
    <col min="16104" max="16104" width="18.6640625" style="670" customWidth="1"/>
    <col min="16105" max="16105" width="14.44140625" style="670" customWidth="1"/>
    <col min="16106" max="16106" width="18.21875" style="670" customWidth="1"/>
    <col min="16107" max="16107" width="15.6640625" style="670" customWidth="1"/>
    <col min="16108" max="16108" width="17.44140625" style="670" customWidth="1"/>
    <col min="16109" max="16109" width="15.6640625" style="670" customWidth="1"/>
    <col min="16110" max="16110" width="17.44140625" style="670" customWidth="1"/>
    <col min="16111" max="16111" width="17" style="670" customWidth="1"/>
    <col min="16112" max="16114" width="17.44140625" style="670" customWidth="1"/>
    <col min="16115" max="16115" width="14.77734375" style="670" customWidth="1"/>
    <col min="16116" max="16141" width="17.44140625" style="670" customWidth="1"/>
    <col min="16142" max="16142" width="17.109375" style="670" customWidth="1"/>
    <col min="16143" max="16143" width="16.44140625" style="670" customWidth="1"/>
    <col min="16144" max="16144" width="18.6640625" style="670" customWidth="1"/>
    <col min="16145" max="16145" width="20.21875" style="670" bestFit="1" customWidth="1"/>
    <col min="16146" max="16146" width="25.6640625" style="670" customWidth="1"/>
    <col min="16147" max="16147" width="19.44140625" style="670" bestFit="1" customWidth="1"/>
    <col min="16148" max="16148" width="21.109375" style="670" bestFit="1" customWidth="1"/>
    <col min="16149" max="16149" width="15.88671875" style="670" bestFit="1" customWidth="1"/>
    <col min="16150" max="16150" width="8.88671875" style="670"/>
    <col min="16151" max="16151" width="13.44140625" style="670" bestFit="1" customWidth="1"/>
    <col min="16152" max="16152" width="8.88671875" style="670"/>
    <col min="16153" max="16153" width="11.77734375" style="670" bestFit="1" customWidth="1"/>
    <col min="16154" max="16155" width="8.88671875" style="670"/>
    <col min="16156" max="16156" width="11.6640625" style="670" bestFit="1" customWidth="1"/>
    <col min="16157" max="16384" width="8.88671875" style="670"/>
  </cols>
  <sheetData>
    <row r="1" spans="1:21" s="651" customFormat="1" ht="72.75" customHeight="1">
      <c r="A1" s="1449" t="s">
        <v>2049</v>
      </c>
      <c r="B1" s="1450"/>
      <c r="C1" s="1450"/>
      <c r="D1" s="1450"/>
      <c r="E1" s="1450"/>
      <c r="F1" s="1450"/>
      <c r="G1" s="807"/>
      <c r="H1" s="807"/>
      <c r="I1" s="807"/>
      <c r="J1" s="807"/>
      <c r="K1" s="807"/>
      <c r="L1" s="807"/>
      <c r="M1" s="807"/>
      <c r="N1" s="807"/>
      <c r="O1" s="807"/>
      <c r="P1" s="807"/>
      <c r="Q1" s="648"/>
      <c r="R1" s="649"/>
      <c r="S1" s="650"/>
      <c r="T1" s="650"/>
    </row>
    <row r="2" spans="1:21" s="651" customFormat="1" ht="45.75" customHeight="1">
      <c r="A2" s="804"/>
      <c r="B2" s="805"/>
      <c r="C2" s="805" t="s">
        <v>2050</v>
      </c>
      <c r="D2" s="805"/>
      <c r="E2" s="805"/>
      <c r="F2" s="805"/>
      <c r="G2" s="805"/>
      <c r="H2" s="805"/>
      <c r="I2" s="805"/>
      <c r="J2" s="805"/>
      <c r="K2" s="805"/>
      <c r="L2" s="805"/>
      <c r="M2" s="805"/>
      <c r="N2" s="805"/>
      <c r="O2" s="805"/>
      <c r="P2" s="805"/>
      <c r="Q2" s="648"/>
      <c r="R2" s="649"/>
      <c r="S2" s="650"/>
      <c r="T2" s="650"/>
    </row>
    <row r="3" spans="1:21" s="653" customFormat="1" ht="75" customHeight="1">
      <c r="A3" s="1448" t="s">
        <v>544</v>
      </c>
      <c r="B3" s="1505" t="s">
        <v>8</v>
      </c>
      <c r="C3" s="1448" t="s">
        <v>1231</v>
      </c>
      <c r="D3" s="1448" t="s">
        <v>1339</v>
      </c>
      <c r="E3" s="1448" t="s">
        <v>215</v>
      </c>
      <c r="F3" s="1505" t="s">
        <v>1340</v>
      </c>
      <c r="G3" s="1507" t="s">
        <v>1357</v>
      </c>
      <c r="H3" s="1507"/>
      <c r="I3" s="1451" t="s">
        <v>1358</v>
      </c>
      <c r="J3" s="1452"/>
      <c r="K3" s="1451" t="s">
        <v>1359</v>
      </c>
      <c r="L3" s="1452"/>
      <c r="M3" s="1451" t="s">
        <v>1360</v>
      </c>
      <c r="N3" s="1452"/>
      <c r="O3" s="1454" t="s">
        <v>1361</v>
      </c>
      <c r="P3" s="1452"/>
      <c r="Q3" s="1448" t="s">
        <v>1361</v>
      </c>
      <c r="R3" s="1448"/>
      <c r="S3" s="652"/>
      <c r="T3" s="652"/>
    </row>
    <row r="4" spans="1:21" s="653" customFormat="1" ht="0.75" customHeight="1">
      <c r="A4" s="1448"/>
      <c r="B4" s="1506"/>
      <c r="C4" s="1448"/>
      <c r="D4" s="1448"/>
      <c r="E4" s="1448"/>
      <c r="F4" s="1506"/>
      <c r="G4" s="655" t="s">
        <v>214</v>
      </c>
      <c r="H4" s="655" t="s">
        <v>1340</v>
      </c>
      <c r="I4" s="655" t="s">
        <v>214</v>
      </c>
      <c r="J4" s="655" t="s">
        <v>1340</v>
      </c>
      <c r="K4" s="656" t="s">
        <v>8</v>
      </c>
      <c r="L4" s="655" t="s">
        <v>1340</v>
      </c>
      <c r="M4" s="656" t="s">
        <v>8</v>
      </c>
      <c r="N4" s="655" t="s">
        <v>1340</v>
      </c>
      <c r="O4" s="654" t="s">
        <v>8</v>
      </c>
      <c r="P4" s="655" t="s">
        <v>1340</v>
      </c>
      <c r="Q4" s="655" t="s">
        <v>8</v>
      </c>
      <c r="R4" s="655" t="s">
        <v>1340</v>
      </c>
      <c r="S4" s="652"/>
      <c r="T4" s="652"/>
    </row>
    <row r="5" spans="1:21" s="653" customFormat="1" ht="26.25">
      <c r="A5" s="657"/>
      <c r="B5" s="657"/>
      <c r="C5" s="658"/>
      <c r="D5" s="657"/>
      <c r="E5" s="658"/>
      <c r="F5" s="658"/>
      <c r="G5" s="657"/>
      <c r="H5" s="657"/>
      <c r="I5" s="657"/>
      <c r="J5" s="657"/>
      <c r="K5" s="657"/>
      <c r="L5" s="657"/>
      <c r="M5" s="657"/>
      <c r="N5" s="657"/>
      <c r="O5" s="659"/>
      <c r="P5" s="660"/>
      <c r="Q5" s="661"/>
      <c r="R5" s="661"/>
      <c r="S5" s="652"/>
      <c r="T5" s="652"/>
    </row>
    <row r="6" spans="1:21" s="677" customFormat="1" ht="46.5" hidden="1" customHeight="1">
      <c r="A6" s="662">
        <v>1.2</v>
      </c>
      <c r="B6" s="666">
        <f t="shared" ref="B6:B67" si="0">G6</f>
        <v>0</v>
      </c>
      <c r="C6" s="663" t="s">
        <v>1365</v>
      </c>
      <c r="D6" s="675"/>
      <c r="E6" s="674"/>
      <c r="F6" s="663">
        <f t="shared" ref="F6:F15" si="1">H6</f>
        <v>0</v>
      </c>
      <c r="G6" s="660"/>
      <c r="H6" s="667"/>
      <c r="I6" s="675"/>
      <c r="J6" s="667">
        <f t="shared" ref="J6:J69" si="2">I6*D6</f>
        <v>0</v>
      </c>
      <c r="K6" s="667"/>
      <c r="L6" s="667"/>
      <c r="M6" s="667" t="e">
        <f>G6+#REF!+#REF!+#REF!+I6+#REF!+#REF!+#REF!+#REF!+#REF!+#REF!+K6+#REF!+#REF!+#REF!</f>
        <v>#REF!</v>
      </c>
      <c r="N6" s="667" t="e">
        <f t="shared" ref="N6:N69" si="3">M6*D6</f>
        <v>#REF!</v>
      </c>
      <c r="O6" s="665" t="e">
        <f>#REF!+M6</f>
        <v>#REF!</v>
      </c>
      <c r="P6" s="666" t="e">
        <f t="shared" ref="P6:P69" si="4">O6*D6</f>
        <v>#REF!</v>
      </c>
      <c r="Q6" s="672"/>
      <c r="R6" s="668"/>
      <c r="S6" s="676"/>
      <c r="T6" s="676"/>
    </row>
    <row r="7" spans="1:21" s="677" customFormat="1" ht="25.5" hidden="1" customHeight="1">
      <c r="A7" s="662"/>
      <c r="B7" s="666">
        <f t="shared" si="0"/>
        <v>0</v>
      </c>
      <c r="C7" s="663" t="s">
        <v>63</v>
      </c>
      <c r="D7" s="675">
        <f>ROUND([14]Data!K90,2)</f>
        <v>193.2</v>
      </c>
      <c r="E7" s="674" t="s">
        <v>235</v>
      </c>
      <c r="F7" s="663">
        <f t="shared" si="1"/>
        <v>0</v>
      </c>
      <c r="G7" s="660"/>
      <c r="H7" s="667"/>
      <c r="I7" s="675"/>
      <c r="J7" s="667">
        <f t="shared" si="2"/>
        <v>0</v>
      </c>
      <c r="K7" s="667"/>
      <c r="L7" s="667"/>
      <c r="M7" s="667" t="e">
        <f>G7+#REF!+#REF!+#REF!+I7+#REF!+#REF!+#REF!+#REF!+#REF!+#REF!+K7+#REF!+#REF!+#REF!</f>
        <v>#REF!</v>
      </c>
      <c r="N7" s="667" t="e">
        <f t="shared" si="3"/>
        <v>#REF!</v>
      </c>
      <c r="O7" s="665" t="e">
        <f>#REF!+M7</f>
        <v>#REF!</v>
      </c>
      <c r="P7" s="666" t="e">
        <f t="shared" si="4"/>
        <v>#REF!</v>
      </c>
      <c r="Q7" s="672"/>
      <c r="R7" s="668"/>
      <c r="S7" s="676"/>
      <c r="T7" s="676"/>
    </row>
    <row r="8" spans="1:21" s="677" customFormat="1" ht="25.5" hidden="1" customHeight="1">
      <c r="A8" s="662"/>
      <c r="B8" s="666">
        <f t="shared" si="0"/>
        <v>0</v>
      </c>
      <c r="C8" s="663" t="s">
        <v>1364</v>
      </c>
      <c r="D8" s="675">
        <f>ROUND([14]Data!K91,2)</f>
        <v>202.5</v>
      </c>
      <c r="E8" s="674" t="s">
        <v>235</v>
      </c>
      <c r="F8" s="663">
        <f t="shared" si="1"/>
        <v>0</v>
      </c>
      <c r="G8" s="660"/>
      <c r="H8" s="667"/>
      <c r="I8" s="675"/>
      <c r="J8" s="667">
        <f t="shared" si="2"/>
        <v>0</v>
      </c>
      <c r="K8" s="667"/>
      <c r="L8" s="667"/>
      <c r="M8" s="667" t="e">
        <f>G8+#REF!+#REF!+#REF!+I8+#REF!+#REF!+#REF!+#REF!+#REF!+#REF!+K8+#REF!+#REF!+#REF!</f>
        <v>#REF!</v>
      </c>
      <c r="N8" s="667" t="e">
        <f t="shared" si="3"/>
        <v>#REF!</v>
      </c>
      <c r="O8" s="665" t="e">
        <f>#REF!+M8</f>
        <v>#REF!</v>
      </c>
      <c r="P8" s="666" t="e">
        <f t="shared" si="4"/>
        <v>#REF!</v>
      </c>
      <c r="Q8" s="672"/>
      <c r="R8" s="668"/>
      <c r="S8" s="676"/>
      <c r="T8" s="676"/>
    </row>
    <row r="9" spans="1:21" ht="60" hidden="1" customHeight="1">
      <c r="A9" s="673">
        <v>1.3</v>
      </c>
      <c r="B9" s="666">
        <f t="shared" si="0"/>
        <v>0</v>
      </c>
      <c r="C9" s="674" t="s">
        <v>1366</v>
      </c>
      <c r="D9" s="675"/>
      <c r="E9" s="674" t="s">
        <v>220</v>
      </c>
      <c r="F9" s="663">
        <f t="shared" si="1"/>
        <v>0</v>
      </c>
      <c r="G9" s="660"/>
      <c r="H9" s="667"/>
      <c r="I9" s="675"/>
      <c r="J9" s="667">
        <f t="shared" si="2"/>
        <v>0</v>
      </c>
      <c r="K9" s="667"/>
      <c r="L9" s="667"/>
      <c r="M9" s="667" t="e">
        <f>G9+#REF!+#REF!+#REF!+I9+#REF!+#REF!+#REF!+#REF!+#REF!+#REF!+K9+#REF!+#REF!+#REF!</f>
        <v>#REF!</v>
      </c>
      <c r="N9" s="667" t="e">
        <f t="shared" si="3"/>
        <v>#REF!</v>
      </c>
      <c r="O9" s="665" t="e">
        <f>#REF!+M9</f>
        <v>#REF!</v>
      </c>
      <c r="P9" s="666" t="e">
        <f t="shared" si="4"/>
        <v>#REF!</v>
      </c>
      <c r="Q9" s="672"/>
      <c r="R9" s="668"/>
    </row>
    <row r="10" spans="1:21" ht="41.25" hidden="1" customHeight="1">
      <c r="A10" s="673"/>
      <c r="B10" s="666">
        <f t="shared" si="0"/>
        <v>0</v>
      </c>
      <c r="C10" s="674" t="s">
        <v>63</v>
      </c>
      <c r="D10" s="675">
        <f>ROUND([14]Data!K101,2)</f>
        <v>299</v>
      </c>
      <c r="E10" s="674" t="s">
        <v>235</v>
      </c>
      <c r="F10" s="663">
        <f t="shared" si="1"/>
        <v>0</v>
      </c>
      <c r="G10" s="660"/>
      <c r="H10" s="667"/>
      <c r="I10" s="675"/>
      <c r="J10" s="667">
        <f t="shared" si="2"/>
        <v>0</v>
      </c>
      <c r="K10" s="667"/>
      <c r="L10" s="667"/>
      <c r="M10" s="667" t="e">
        <f>G10+#REF!+#REF!+#REF!+I10+#REF!+#REF!+#REF!+#REF!+#REF!+#REF!+K10+#REF!+#REF!+#REF!</f>
        <v>#REF!</v>
      </c>
      <c r="N10" s="667" t="e">
        <f t="shared" si="3"/>
        <v>#REF!</v>
      </c>
      <c r="O10" s="665" t="e">
        <f>#REF!+M10</f>
        <v>#REF!</v>
      </c>
      <c r="P10" s="666" t="e">
        <f t="shared" si="4"/>
        <v>#REF!</v>
      </c>
      <c r="Q10" s="672"/>
      <c r="R10" s="668"/>
    </row>
    <row r="11" spans="1:21" s="677" customFormat="1" ht="25.5" hidden="1" customHeight="1">
      <c r="A11" s="662"/>
      <c r="B11" s="666">
        <f t="shared" si="0"/>
        <v>0</v>
      </c>
      <c r="C11" s="663" t="s">
        <v>1364</v>
      </c>
      <c r="D11" s="675">
        <f>ROUND([14]Data!K102,2)</f>
        <v>308.3</v>
      </c>
      <c r="E11" s="674" t="s">
        <v>235</v>
      </c>
      <c r="F11" s="663">
        <f t="shared" si="1"/>
        <v>0</v>
      </c>
      <c r="G11" s="660"/>
      <c r="H11" s="667"/>
      <c r="I11" s="675"/>
      <c r="J11" s="667">
        <f t="shared" si="2"/>
        <v>0</v>
      </c>
      <c r="K11" s="667"/>
      <c r="L11" s="667"/>
      <c r="M11" s="667" t="e">
        <f>G11+#REF!+#REF!+#REF!+I11+#REF!+#REF!+#REF!+#REF!+#REF!+#REF!+K11+#REF!+#REF!+#REF!</f>
        <v>#REF!</v>
      </c>
      <c r="N11" s="667" t="e">
        <f t="shared" si="3"/>
        <v>#REF!</v>
      </c>
      <c r="O11" s="665" t="e">
        <f>#REF!+M11</f>
        <v>#REF!</v>
      </c>
      <c r="P11" s="666" t="e">
        <f t="shared" si="4"/>
        <v>#REF!</v>
      </c>
      <c r="Q11" s="672"/>
      <c r="R11" s="668"/>
      <c r="S11" s="676"/>
      <c r="T11" s="676"/>
    </row>
    <row r="12" spans="1:21" s="677" customFormat="1" ht="46.5" hidden="1" customHeight="1">
      <c r="A12" s="662">
        <v>1.4</v>
      </c>
      <c r="B12" s="666">
        <f t="shared" si="0"/>
        <v>0</v>
      </c>
      <c r="C12" s="663" t="s">
        <v>1367</v>
      </c>
      <c r="D12" s="675"/>
      <c r="E12" s="674"/>
      <c r="F12" s="663">
        <f t="shared" si="1"/>
        <v>0</v>
      </c>
      <c r="G12" s="660"/>
      <c r="H12" s="667"/>
      <c r="I12" s="675"/>
      <c r="J12" s="667">
        <f t="shared" si="2"/>
        <v>0</v>
      </c>
      <c r="K12" s="667"/>
      <c r="L12" s="667"/>
      <c r="M12" s="667" t="e">
        <f>G12+#REF!+#REF!+#REF!+I12+#REF!+#REF!+#REF!+#REF!+#REF!+#REF!+K12+#REF!+#REF!+#REF!</f>
        <v>#REF!</v>
      </c>
      <c r="N12" s="667" t="e">
        <f t="shared" si="3"/>
        <v>#REF!</v>
      </c>
      <c r="O12" s="665" t="e">
        <f>#REF!+M12</f>
        <v>#REF!</v>
      </c>
      <c r="P12" s="666" t="e">
        <f t="shared" si="4"/>
        <v>#REF!</v>
      </c>
      <c r="Q12" s="672"/>
      <c r="R12" s="668"/>
      <c r="S12" s="676"/>
      <c r="T12" s="676"/>
    </row>
    <row r="13" spans="1:21" s="677" customFormat="1" ht="25.5" hidden="1" customHeight="1">
      <c r="A13" s="662"/>
      <c r="B13" s="666">
        <f t="shared" si="0"/>
        <v>0</v>
      </c>
      <c r="C13" s="663" t="s">
        <v>63</v>
      </c>
      <c r="D13" s="675">
        <f>ROUND([14]Data!K116,2)</f>
        <v>107.8</v>
      </c>
      <c r="E13" s="674" t="s">
        <v>235</v>
      </c>
      <c r="F13" s="663">
        <f t="shared" si="1"/>
        <v>0</v>
      </c>
      <c r="G13" s="660"/>
      <c r="H13" s="667"/>
      <c r="I13" s="675"/>
      <c r="J13" s="667">
        <f t="shared" si="2"/>
        <v>0</v>
      </c>
      <c r="K13" s="667"/>
      <c r="L13" s="667"/>
      <c r="M13" s="667" t="e">
        <f>G13+#REF!+#REF!+#REF!+I13+#REF!+#REF!+#REF!+#REF!+#REF!+#REF!+K13+#REF!+#REF!+#REF!</f>
        <v>#REF!</v>
      </c>
      <c r="N13" s="667" t="e">
        <f t="shared" si="3"/>
        <v>#REF!</v>
      </c>
      <c r="O13" s="665" t="e">
        <f>#REF!+M13</f>
        <v>#REF!</v>
      </c>
      <c r="P13" s="666" t="e">
        <f t="shared" si="4"/>
        <v>#REF!</v>
      </c>
      <c r="Q13" s="672"/>
      <c r="R13" s="668"/>
      <c r="S13" s="676"/>
      <c r="T13" s="676"/>
    </row>
    <row r="14" spans="1:21" s="677" customFormat="1" ht="25.5" hidden="1" customHeight="1">
      <c r="A14" s="662"/>
      <c r="B14" s="666">
        <f t="shared" si="0"/>
        <v>0</v>
      </c>
      <c r="C14" s="663" t="s">
        <v>1364</v>
      </c>
      <c r="D14" s="675">
        <f>ROUND([14]Data!L116,2)</f>
        <v>117.1</v>
      </c>
      <c r="E14" s="674" t="s">
        <v>235</v>
      </c>
      <c r="F14" s="663">
        <f t="shared" si="1"/>
        <v>0</v>
      </c>
      <c r="G14" s="660"/>
      <c r="H14" s="667"/>
      <c r="I14" s="675"/>
      <c r="J14" s="667">
        <f t="shared" si="2"/>
        <v>0</v>
      </c>
      <c r="K14" s="667"/>
      <c r="L14" s="667"/>
      <c r="M14" s="667" t="e">
        <f>G14+#REF!+#REF!+#REF!+I14+#REF!+#REF!+#REF!+#REF!+#REF!+#REF!+K14+#REF!+#REF!+#REF!</f>
        <v>#REF!</v>
      </c>
      <c r="N14" s="667" t="e">
        <f t="shared" si="3"/>
        <v>#REF!</v>
      </c>
      <c r="O14" s="665" t="e">
        <f>#REF!+M14</f>
        <v>#REF!</v>
      </c>
      <c r="P14" s="666" t="e">
        <f t="shared" si="4"/>
        <v>#REF!</v>
      </c>
      <c r="Q14" s="672"/>
      <c r="R14" s="668"/>
      <c r="S14" s="676"/>
      <c r="T14" s="676"/>
    </row>
    <row r="15" spans="1:21" ht="56.25" customHeight="1">
      <c r="A15" s="662">
        <v>1.5</v>
      </c>
      <c r="B15" s="666">
        <f t="shared" si="0"/>
        <v>0</v>
      </c>
      <c r="C15" s="663" t="s">
        <v>1368</v>
      </c>
      <c r="D15" s="667"/>
      <c r="E15" s="663" t="s">
        <v>220</v>
      </c>
      <c r="F15" s="663">
        <f t="shared" si="1"/>
        <v>0</v>
      </c>
      <c r="G15" s="666"/>
      <c r="H15" s="667"/>
      <c r="I15" s="667"/>
      <c r="J15" s="667">
        <f t="shared" si="2"/>
        <v>0</v>
      </c>
      <c r="K15" s="667"/>
      <c r="L15" s="667"/>
      <c r="M15" s="667" t="e">
        <f>G15+#REF!+#REF!+#REF!+I15+#REF!+#REF!+#REF!+#REF!+#REF!+#REF!+K15+#REF!+#REF!+#REF!</f>
        <v>#REF!</v>
      </c>
      <c r="N15" s="667" t="e">
        <f t="shared" si="3"/>
        <v>#REF!</v>
      </c>
      <c r="O15" s="665" t="e">
        <f>#REF!+M15</f>
        <v>#REF!</v>
      </c>
      <c r="P15" s="666" t="e">
        <f t="shared" si="4"/>
        <v>#REF!</v>
      </c>
      <c r="Q15" s="668"/>
      <c r="R15" s="668"/>
      <c r="S15" s="678"/>
      <c r="U15" s="679"/>
    </row>
    <row r="16" spans="1:21" ht="45.75" customHeight="1">
      <c r="A16" s="662"/>
      <c r="B16" s="666">
        <f t="shared" si="0"/>
        <v>18.50226</v>
      </c>
      <c r="C16" s="663" t="s">
        <v>63</v>
      </c>
      <c r="D16" s="667">
        <f>ROUND([14]Data!K118,2)</f>
        <v>96.6</v>
      </c>
      <c r="E16" s="663" t="s">
        <v>235</v>
      </c>
      <c r="F16" s="663">
        <f>B16*D16</f>
        <v>1787.3183159999999</v>
      </c>
      <c r="G16" s="666">
        <f>'Septic Tank'!$H$14</f>
        <v>18.50226</v>
      </c>
      <c r="H16" s="667">
        <f t="shared" ref="H16:H79" si="5">G16*D16</f>
        <v>1787.3183159999999</v>
      </c>
      <c r="I16" s="667">
        <f>'PAVER ROAD'!$G$11</f>
        <v>4.1500000000000004</v>
      </c>
      <c r="J16" s="667">
        <f t="shared" si="2"/>
        <v>400.89</v>
      </c>
      <c r="K16" s="667"/>
      <c r="L16" s="667"/>
      <c r="M16" s="667" t="e">
        <f>G16+#REF!+#REF!+#REF!+I16+#REF!+#REF!+#REF!+#REF!+#REF!+#REF!+K16+#REF!+#REF!+#REF!</f>
        <v>#REF!</v>
      </c>
      <c r="N16" s="667" t="e">
        <f t="shared" si="3"/>
        <v>#REF!</v>
      </c>
      <c r="O16" s="665" t="e">
        <f>#REF!+M16</f>
        <v>#REF!</v>
      </c>
      <c r="P16" s="666" t="e">
        <f t="shared" si="4"/>
        <v>#REF!</v>
      </c>
      <c r="Q16" s="672"/>
      <c r="R16" s="668"/>
    </row>
    <row r="17" spans="1:20" ht="38.25" hidden="1" customHeight="1">
      <c r="A17" s="673"/>
      <c r="B17" s="666">
        <f t="shared" si="0"/>
        <v>0</v>
      </c>
      <c r="C17" s="674" t="s">
        <v>1364</v>
      </c>
      <c r="D17" s="675">
        <f>ROUND([14]Data!K119,2)</f>
        <v>105.9</v>
      </c>
      <c r="E17" s="674" t="s">
        <v>235</v>
      </c>
      <c r="F17" s="663">
        <f t="shared" ref="F17:F80" si="6">B17*D17</f>
        <v>0</v>
      </c>
      <c r="G17" s="660"/>
      <c r="H17" s="667">
        <f t="shared" si="5"/>
        <v>0</v>
      </c>
      <c r="I17" s="675"/>
      <c r="J17" s="667">
        <f t="shared" si="2"/>
        <v>0</v>
      </c>
      <c r="K17" s="667"/>
      <c r="L17" s="667"/>
      <c r="M17" s="667" t="e">
        <f>G17+#REF!+#REF!+#REF!+I17+#REF!+#REF!+#REF!+#REF!+#REF!+#REF!+K17+#REF!+#REF!+#REF!</f>
        <v>#REF!</v>
      </c>
      <c r="N17" s="667" t="e">
        <f t="shared" si="3"/>
        <v>#REF!</v>
      </c>
      <c r="O17" s="665" t="e">
        <f>#REF!+M17</f>
        <v>#REF!</v>
      </c>
      <c r="P17" s="666" t="e">
        <f t="shared" si="4"/>
        <v>#REF!</v>
      </c>
      <c r="Q17" s="672"/>
      <c r="R17" s="668"/>
    </row>
    <row r="18" spans="1:20" s="677" customFormat="1" ht="25.5" hidden="1" customHeight="1">
      <c r="A18" s="662"/>
      <c r="B18" s="666">
        <f t="shared" si="0"/>
        <v>0</v>
      </c>
      <c r="C18" s="663" t="s">
        <v>1369</v>
      </c>
      <c r="D18" s="675">
        <f>ROUND([14]Data!K120,2)</f>
        <v>115.2</v>
      </c>
      <c r="E18" s="674" t="s">
        <v>235</v>
      </c>
      <c r="F18" s="663">
        <f t="shared" si="6"/>
        <v>0</v>
      </c>
      <c r="G18" s="660"/>
      <c r="H18" s="667">
        <f t="shared" si="5"/>
        <v>0</v>
      </c>
      <c r="I18" s="675"/>
      <c r="J18" s="667">
        <f t="shared" si="2"/>
        <v>0</v>
      </c>
      <c r="K18" s="667"/>
      <c r="L18" s="667"/>
      <c r="M18" s="667" t="e">
        <f>G18+#REF!+#REF!+#REF!+I18+#REF!+#REF!+#REF!+#REF!+#REF!+#REF!+K18+#REF!+#REF!+#REF!</f>
        <v>#REF!</v>
      </c>
      <c r="N18" s="667" t="e">
        <f t="shared" si="3"/>
        <v>#REF!</v>
      </c>
      <c r="O18" s="665" t="e">
        <f>#REF!+M18</f>
        <v>#REF!</v>
      </c>
      <c r="P18" s="666" t="e">
        <f t="shared" si="4"/>
        <v>#REF!</v>
      </c>
      <c r="Q18" s="672"/>
      <c r="R18" s="668"/>
      <c r="S18" s="676"/>
      <c r="T18" s="676"/>
    </row>
    <row r="19" spans="1:20" s="677" customFormat="1" ht="25.5" hidden="1" customHeight="1">
      <c r="A19" s="662"/>
      <c r="B19" s="666">
        <f t="shared" si="0"/>
        <v>0</v>
      </c>
      <c r="C19" s="663" t="s">
        <v>1370</v>
      </c>
      <c r="D19" s="675">
        <f>ROUND([14]Data!K121,2)</f>
        <v>124.5</v>
      </c>
      <c r="E19" s="674" t="s">
        <v>235</v>
      </c>
      <c r="F19" s="663">
        <f t="shared" si="6"/>
        <v>0</v>
      </c>
      <c r="G19" s="660"/>
      <c r="H19" s="667">
        <f t="shared" si="5"/>
        <v>0</v>
      </c>
      <c r="I19" s="675"/>
      <c r="J19" s="667">
        <f t="shared" si="2"/>
        <v>0</v>
      </c>
      <c r="K19" s="667"/>
      <c r="L19" s="667"/>
      <c r="M19" s="667" t="e">
        <f>G19+#REF!+#REF!+#REF!+I19+#REF!+#REF!+#REF!+#REF!+#REF!+#REF!+K19+#REF!+#REF!+#REF!</f>
        <v>#REF!</v>
      </c>
      <c r="N19" s="667" t="e">
        <f t="shared" si="3"/>
        <v>#REF!</v>
      </c>
      <c r="O19" s="665" t="e">
        <f>#REF!+M19</f>
        <v>#REF!</v>
      </c>
      <c r="P19" s="666" t="e">
        <f t="shared" si="4"/>
        <v>#REF!</v>
      </c>
      <c r="Q19" s="672"/>
      <c r="R19" s="668"/>
      <c r="S19" s="676"/>
      <c r="T19" s="676"/>
    </row>
    <row r="20" spans="1:20" s="677" customFormat="1" ht="51" hidden="1" customHeight="1">
      <c r="A20" s="662">
        <v>1.6</v>
      </c>
      <c r="B20" s="666">
        <f t="shared" si="0"/>
        <v>0</v>
      </c>
      <c r="C20" s="663" t="s">
        <v>1371</v>
      </c>
      <c r="D20" s="667"/>
      <c r="E20" s="663"/>
      <c r="F20" s="663">
        <f t="shared" si="6"/>
        <v>0</v>
      </c>
      <c r="G20" s="666"/>
      <c r="H20" s="667">
        <f t="shared" si="5"/>
        <v>0</v>
      </c>
      <c r="I20" s="667"/>
      <c r="J20" s="667">
        <f t="shared" si="2"/>
        <v>0</v>
      </c>
      <c r="K20" s="667"/>
      <c r="L20" s="667"/>
      <c r="M20" s="667" t="e">
        <f>G20+#REF!+#REF!+#REF!+I20+#REF!+#REF!+#REF!+#REF!+#REF!+#REF!+K20+#REF!+#REF!+#REF!</f>
        <v>#REF!</v>
      </c>
      <c r="N20" s="667" t="e">
        <f t="shared" si="3"/>
        <v>#REF!</v>
      </c>
      <c r="O20" s="665" t="e">
        <f>#REF!+M20</f>
        <v>#REF!</v>
      </c>
      <c r="P20" s="666" t="e">
        <f t="shared" si="4"/>
        <v>#REF!</v>
      </c>
      <c r="Q20" s="672"/>
      <c r="R20" s="668"/>
      <c r="S20" s="676"/>
      <c r="T20" s="676"/>
    </row>
    <row r="21" spans="1:20" s="677" customFormat="1" ht="43.5" hidden="1" customHeight="1">
      <c r="A21" s="662"/>
      <c r="B21" s="666">
        <f t="shared" si="0"/>
        <v>0</v>
      </c>
      <c r="C21" s="663" t="s">
        <v>63</v>
      </c>
      <c r="D21" s="675">
        <f>ROUND([14]Data!K133,2)</f>
        <v>144.9</v>
      </c>
      <c r="E21" s="674" t="s">
        <v>235</v>
      </c>
      <c r="F21" s="663">
        <f t="shared" si="6"/>
        <v>0</v>
      </c>
      <c r="G21" s="660"/>
      <c r="H21" s="667">
        <f t="shared" si="5"/>
        <v>0</v>
      </c>
      <c r="I21" s="675"/>
      <c r="J21" s="667">
        <f t="shared" si="2"/>
        <v>0</v>
      </c>
      <c r="K21" s="667"/>
      <c r="L21" s="667"/>
      <c r="M21" s="667" t="e">
        <f>G21+#REF!+#REF!+#REF!+I21+#REF!+#REF!+#REF!+#REF!+#REF!+#REF!+K21+#REF!+#REF!+#REF!</f>
        <v>#REF!</v>
      </c>
      <c r="N21" s="667" t="e">
        <f t="shared" si="3"/>
        <v>#REF!</v>
      </c>
      <c r="O21" s="665" t="e">
        <f>#REF!+M21</f>
        <v>#REF!</v>
      </c>
      <c r="P21" s="666" t="e">
        <f t="shared" si="4"/>
        <v>#REF!</v>
      </c>
      <c r="Q21" s="672"/>
      <c r="R21" s="668"/>
      <c r="S21" s="676"/>
      <c r="T21" s="676"/>
    </row>
    <row r="22" spans="1:20" s="677" customFormat="1" ht="25.5" hidden="1" customHeight="1">
      <c r="A22" s="662"/>
      <c r="B22" s="666">
        <f t="shared" si="0"/>
        <v>0</v>
      </c>
      <c r="C22" s="663" t="s">
        <v>1364</v>
      </c>
      <c r="D22" s="675">
        <f>ROUND([14]Data!K134,2)</f>
        <v>154.19999999999999</v>
      </c>
      <c r="E22" s="674" t="s">
        <v>235</v>
      </c>
      <c r="F22" s="663">
        <f t="shared" si="6"/>
        <v>0</v>
      </c>
      <c r="G22" s="660"/>
      <c r="H22" s="667">
        <f t="shared" si="5"/>
        <v>0</v>
      </c>
      <c r="I22" s="675"/>
      <c r="J22" s="667">
        <f t="shared" si="2"/>
        <v>0</v>
      </c>
      <c r="K22" s="667"/>
      <c r="L22" s="667"/>
      <c r="M22" s="667" t="e">
        <f>G22+#REF!+#REF!+#REF!+I22+#REF!+#REF!+#REF!+#REF!+#REF!+#REF!+K22+#REF!+#REF!+#REF!</f>
        <v>#REF!</v>
      </c>
      <c r="N22" s="667" t="e">
        <f t="shared" si="3"/>
        <v>#REF!</v>
      </c>
      <c r="O22" s="665" t="e">
        <f>#REF!+M22</f>
        <v>#REF!</v>
      </c>
      <c r="P22" s="666" t="e">
        <f t="shared" si="4"/>
        <v>#REF!</v>
      </c>
      <c r="Q22" s="672"/>
      <c r="R22" s="668"/>
      <c r="S22" s="676"/>
      <c r="T22" s="676"/>
    </row>
    <row r="23" spans="1:20" s="677" customFormat="1" ht="46.5" hidden="1" customHeight="1">
      <c r="A23" s="662">
        <v>1.7</v>
      </c>
      <c r="B23" s="666">
        <f t="shared" si="0"/>
        <v>0</v>
      </c>
      <c r="C23" s="663" t="s">
        <v>1372</v>
      </c>
      <c r="D23" s="675"/>
      <c r="E23" s="674" t="s">
        <v>220</v>
      </c>
      <c r="F23" s="663">
        <f t="shared" si="6"/>
        <v>0</v>
      </c>
      <c r="G23" s="660"/>
      <c r="H23" s="667">
        <f t="shared" si="5"/>
        <v>0</v>
      </c>
      <c r="I23" s="675"/>
      <c r="J23" s="667">
        <f t="shared" si="2"/>
        <v>0</v>
      </c>
      <c r="K23" s="667"/>
      <c r="L23" s="667"/>
      <c r="M23" s="667" t="e">
        <f>G23+#REF!+#REF!+#REF!+I23+#REF!+#REF!+#REF!+#REF!+#REF!+#REF!+K23+#REF!+#REF!+#REF!</f>
        <v>#REF!</v>
      </c>
      <c r="N23" s="667" t="e">
        <f t="shared" si="3"/>
        <v>#REF!</v>
      </c>
      <c r="O23" s="665" t="e">
        <f>#REF!+M23</f>
        <v>#REF!</v>
      </c>
      <c r="P23" s="666" t="e">
        <f t="shared" si="4"/>
        <v>#REF!</v>
      </c>
      <c r="Q23" s="672"/>
      <c r="R23" s="668"/>
      <c r="S23" s="676"/>
      <c r="T23" s="676"/>
    </row>
    <row r="24" spans="1:20" s="677" customFormat="1" ht="25.5" hidden="1" customHeight="1">
      <c r="A24" s="662"/>
      <c r="B24" s="666">
        <f t="shared" si="0"/>
        <v>0</v>
      </c>
      <c r="C24" s="663" t="s">
        <v>63</v>
      </c>
      <c r="D24" s="675">
        <f>ROUND([14]Data!K104,2)</f>
        <v>287.8</v>
      </c>
      <c r="E24" s="674" t="s">
        <v>235</v>
      </c>
      <c r="F24" s="663">
        <f t="shared" si="6"/>
        <v>0</v>
      </c>
      <c r="G24" s="660"/>
      <c r="H24" s="667">
        <f t="shared" si="5"/>
        <v>0</v>
      </c>
      <c r="I24" s="675"/>
      <c r="J24" s="667">
        <f t="shared" si="2"/>
        <v>0</v>
      </c>
      <c r="K24" s="667"/>
      <c r="L24" s="667"/>
      <c r="M24" s="667" t="e">
        <f>G24+#REF!+#REF!+#REF!+I24+#REF!+#REF!+#REF!+#REF!+#REF!+#REF!+K24+#REF!+#REF!+#REF!</f>
        <v>#REF!</v>
      </c>
      <c r="N24" s="667" t="e">
        <f t="shared" si="3"/>
        <v>#REF!</v>
      </c>
      <c r="O24" s="665" t="e">
        <f>#REF!+M24</f>
        <v>#REF!</v>
      </c>
      <c r="P24" s="666" t="e">
        <f t="shared" si="4"/>
        <v>#REF!</v>
      </c>
      <c r="Q24" s="672"/>
      <c r="R24" s="668"/>
      <c r="S24" s="676"/>
      <c r="T24" s="676"/>
    </row>
    <row r="25" spans="1:20" s="677" customFormat="1" ht="25.5" hidden="1" customHeight="1">
      <c r="A25" s="662"/>
      <c r="B25" s="666">
        <f t="shared" si="0"/>
        <v>0</v>
      </c>
      <c r="C25" s="663" t="s">
        <v>1364</v>
      </c>
      <c r="D25" s="675">
        <f>ROUND([14]Data!K105,2)</f>
        <v>297.10000000000002</v>
      </c>
      <c r="E25" s="674" t="s">
        <v>235</v>
      </c>
      <c r="F25" s="663">
        <f t="shared" si="6"/>
        <v>0</v>
      </c>
      <c r="G25" s="660"/>
      <c r="H25" s="667">
        <f t="shared" si="5"/>
        <v>0</v>
      </c>
      <c r="I25" s="675"/>
      <c r="J25" s="667">
        <f t="shared" si="2"/>
        <v>0</v>
      </c>
      <c r="K25" s="667"/>
      <c r="L25" s="667"/>
      <c r="M25" s="667" t="e">
        <f>G25+#REF!+#REF!+#REF!+I25+#REF!+#REF!+#REF!+#REF!+#REF!+#REF!+K25+#REF!+#REF!+#REF!</f>
        <v>#REF!</v>
      </c>
      <c r="N25" s="667" t="e">
        <f t="shared" si="3"/>
        <v>#REF!</v>
      </c>
      <c r="O25" s="665" t="e">
        <f>#REF!+M25</f>
        <v>#REF!</v>
      </c>
      <c r="P25" s="666" t="e">
        <f t="shared" si="4"/>
        <v>#REF!</v>
      </c>
      <c r="Q25" s="672"/>
      <c r="R25" s="668"/>
      <c r="S25" s="676"/>
      <c r="T25" s="676"/>
    </row>
    <row r="26" spans="1:20" s="677" customFormat="1" ht="46.5" hidden="1" customHeight="1">
      <c r="A26" s="662">
        <v>1.8</v>
      </c>
      <c r="B26" s="666">
        <f t="shared" si="0"/>
        <v>0</v>
      </c>
      <c r="C26" s="663" t="s">
        <v>1373</v>
      </c>
      <c r="D26" s="675"/>
      <c r="E26" s="674" t="s">
        <v>220</v>
      </c>
      <c r="F26" s="663">
        <f t="shared" si="6"/>
        <v>0</v>
      </c>
      <c r="G26" s="660"/>
      <c r="H26" s="667">
        <f t="shared" si="5"/>
        <v>0</v>
      </c>
      <c r="I26" s="675"/>
      <c r="J26" s="667">
        <f t="shared" si="2"/>
        <v>0</v>
      </c>
      <c r="K26" s="667"/>
      <c r="L26" s="667"/>
      <c r="M26" s="667" t="e">
        <f>G26+#REF!+#REF!+#REF!+I26+#REF!+#REF!+#REF!+#REF!+#REF!+#REF!+K26+#REF!+#REF!+#REF!</f>
        <v>#REF!</v>
      </c>
      <c r="N26" s="667" t="e">
        <f t="shared" si="3"/>
        <v>#REF!</v>
      </c>
      <c r="O26" s="665" t="e">
        <f>#REF!+M26</f>
        <v>#REF!</v>
      </c>
      <c r="P26" s="666" t="e">
        <f t="shared" si="4"/>
        <v>#REF!</v>
      </c>
      <c r="Q26" s="672"/>
      <c r="R26" s="668"/>
      <c r="S26" s="676"/>
      <c r="T26" s="676"/>
    </row>
    <row r="27" spans="1:20" s="682" customFormat="1" ht="25.5" hidden="1" customHeight="1">
      <c r="A27" s="662"/>
      <c r="B27" s="666">
        <f t="shared" si="0"/>
        <v>0</v>
      </c>
      <c r="C27" s="663" t="s">
        <v>63</v>
      </c>
      <c r="D27" s="675">
        <f>ROUND([14]Data!K129,2)</f>
        <v>143.9</v>
      </c>
      <c r="E27" s="674" t="s">
        <v>235</v>
      </c>
      <c r="F27" s="663">
        <f t="shared" si="6"/>
        <v>0</v>
      </c>
      <c r="G27" s="660"/>
      <c r="H27" s="667">
        <f t="shared" si="5"/>
        <v>0</v>
      </c>
      <c r="I27" s="675"/>
      <c r="J27" s="667">
        <f t="shared" si="2"/>
        <v>0</v>
      </c>
      <c r="K27" s="667"/>
      <c r="L27" s="667"/>
      <c r="M27" s="667" t="e">
        <f>G27+#REF!+#REF!+#REF!+I27+#REF!+#REF!+#REF!+#REF!+#REF!+#REF!+K27+#REF!+#REF!+#REF!</f>
        <v>#REF!</v>
      </c>
      <c r="N27" s="667" t="e">
        <f t="shared" si="3"/>
        <v>#REF!</v>
      </c>
      <c r="O27" s="665" t="e">
        <f>#REF!+M27</f>
        <v>#REF!</v>
      </c>
      <c r="P27" s="666" t="e">
        <f t="shared" si="4"/>
        <v>#REF!</v>
      </c>
      <c r="Q27" s="672"/>
      <c r="R27" s="668"/>
      <c r="S27" s="680"/>
      <c r="T27" s="681"/>
    </row>
    <row r="28" spans="1:20" s="677" customFormat="1" ht="25.5" hidden="1" customHeight="1">
      <c r="A28" s="662"/>
      <c r="B28" s="666">
        <f t="shared" si="0"/>
        <v>0</v>
      </c>
      <c r="C28" s="663" t="s">
        <v>1364</v>
      </c>
      <c r="D28" s="675">
        <f>ROUND([14]Data!K130,2)</f>
        <v>153.19999999999999</v>
      </c>
      <c r="E28" s="674" t="s">
        <v>235</v>
      </c>
      <c r="F28" s="663">
        <f t="shared" si="6"/>
        <v>0</v>
      </c>
      <c r="G28" s="660"/>
      <c r="H28" s="667">
        <f t="shared" si="5"/>
        <v>0</v>
      </c>
      <c r="I28" s="675"/>
      <c r="J28" s="667">
        <f t="shared" si="2"/>
        <v>0</v>
      </c>
      <c r="K28" s="667"/>
      <c r="L28" s="667"/>
      <c r="M28" s="667" t="e">
        <f>G28+#REF!+#REF!+#REF!+I28+#REF!+#REF!+#REF!+#REF!+#REF!+#REF!+K28+#REF!+#REF!+#REF!</f>
        <v>#REF!</v>
      </c>
      <c r="N28" s="667" t="e">
        <f t="shared" si="3"/>
        <v>#REF!</v>
      </c>
      <c r="O28" s="665" t="e">
        <f>#REF!+M28</f>
        <v>#REF!</v>
      </c>
      <c r="P28" s="666" t="e">
        <f t="shared" si="4"/>
        <v>#REF!</v>
      </c>
      <c r="Q28" s="672"/>
      <c r="R28" s="668"/>
      <c r="S28" s="676"/>
      <c r="T28" s="676"/>
    </row>
    <row r="29" spans="1:20" s="677" customFormat="1" ht="25.5" hidden="1" customHeight="1">
      <c r="A29" s="662">
        <v>1.9</v>
      </c>
      <c r="B29" s="666">
        <f t="shared" si="0"/>
        <v>0</v>
      </c>
      <c r="C29" s="663" t="s">
        <v>1374</v>
      </c>
      <c r="D29" s="675"/>
      <c r="E29" s="674"/>
      <c r="F29" s="663">
        <f t="shared" si="6"/>
        <v>0</v>
      </c>
      <c r="G29" s="660"/>
      <c r="H29" s="667">
        <f t="shared" si="5"/>
        <v>0</v>
      </c>
      <c r="I29" s="675"/>
      <c r="J29" s="667">
        <f t="shared" si="2"/>
        <v>0</v>
      </c>
      <c r="K29" s="667"/>
      <c r="L29" s="667"/>
      <c r="M29" s="667" t="e">
        <f>G29+#REF!+#REF!+#REF!+I29+#REF!+#REF!+#REF!+#REF!+#REF!+#REF!+K29+#REF!+#REF!+#REF!</f>
        <v>#REF!</v>
      </c>
      <c r="N29" s="667" t="e">
        <f t="shared" si="3"/>
        <v>#REF!</v>
      </c>
      <c r="O29" s="665" t="e">
        <f>#REF!+M29</f>
        <v>#REF!</v>
      </c>
      <c r="P29" s="666" t="e">
        <f t="shared" si="4"/>
        <v>#REF!</v>
      </c>
      <c r="Q29" s="672"/>
      <c r="R29" s="668"/>
      <c r="S29" s="676"/>
      <c r="T29" s="676"/>
    </row>
    <row r="30" spans="1:20" s="677" customFormat="1" ht="26.25" hidden="1" customHeight="1">
      <c r="A30" s="662"/>
      <c r="B30" s="666">
        <f t="shared" si="0"/>
        <v>0</v>
      </c>
      <c r="C30" s="663" t="s">
        <v>1375</v>
      </c>
      <c r="D30" s="675"/>
      <c r="E30" s="674" t="s">
        <v>61</v>
      </c>
      <c r="F30" s="663">
        <f t="shared" si="6"/>
        <v>0</v>
      </c>
      <c r="G30" s="660"/>
      <c r="H30" s="667">
        <f t="shared" si="5"/>
        <v>0</v>
      </c>
      <c r="I30" s="675"/>
      <c r="J30" s="667">
        <f t="shared" si="2"/>
        <v>0</v>
      </c>
      <c r="K30" s="667"/>
      <c r="L30" s="667"/>
      <c r="M30" s="667" t="e">
        <f>G30+#REF!+#REF!+#REF!+I30+#REF!+#REF!+#REF!+#REF!+#REF!+#REF!+K30+#REF!+#REF!+#REF!</f>
        <v>#REF!</v>
      </c>
      <c r="N30" s="667" t="e">
        <f t="shared" si="3"/>
        <v>#REF!</v>
      </c>
      <c r="O30" s="665" t="e">
        <f>#REF!+M30</f>
        <v>#REF!</v>
      </c>
      <c r="P30" s="666" t="e">
        <f t="shared" si="4"/>
        <v>#REF!</v>
      </c>
      <c r="Q30" s="672"/>
      <c r="R30" s="668"/>
      <c r="S30" s="676"/>
      <c r="T30" s="676"/>
    </row>
    <row r="31" spans="1:20" s="677" customFormat="1" ht="25.5" hidden="1" customHeight="1">
      <c r="A31" s="662"/>
      <c r="B31" s="666">
        <f t="shared" si="0"/>
        <v>0</v>
      </c>
      <c r="C31" s="663" t="s">
        <v>1376</v>
      </c>
      <c r="D31" s="675"/>
      <c r="E31" s="674" t="s">
        <v>61</v>
      </c>
      <c r="F31" s="663">
        <f t="shared" si="6"/>
        <v>0</v>
      </c>
      <c r="G31" s="660"/>
      <c r="H31" s="667">
        <f t="shared" si="5"/>
        <v>0</v>
      </c>
      <c r="I31" s="675"/>
      <c r="J31" s="667">
        <f t="shared" si="2"/>
        <v>0</v>
      </c>
      <c r="K31" s="667"/>
      <c r="L31" s="667"/>
      <c r="M31" s="667" t="e">
        <f>G31+#REF!+#REF!+#REF!+I31+#REF!+#REF!+#REF!+#REF!+#REF!+#REF!+K31+#REF!+#REF!+#REF!</f>
        <v>#REF!</v>
      </c>
      <c r="N31" s="667" t="e">
        <f t="shared" si="3"/>
        <v>#REF!</v>
      </c>
      <c r="O31" s="665" t="e">
        <f>#REF!+M31</f>
        <v>#REF!</v>
      </c>
      <c r="P31" s="666" t="e">
        <f t="shared" si="4"/>
        <v>#REF!</v>
      </c>
      <c r="Q31" s="672"/>
      <c r="R31" s="668"/>
      <c r="S31" s="676"/>
      <c r="T31" s="676"/>
    </row>
    <row r="32" spans="1:20" s="677" customFormat="1" ht="25.5" hidden="1" customHeight="1">
      <c r="A32" s="662"/>
      <c r="B32" s="666">
        <f t="shared" si="0"/>
        <v>0</v>
      </c>
      <c r="C32" s="663" t="s">
        <v>1377</v>
      </c>
      <c r="D32" s="675"/>
      <c r="E32" s="674" t="s">
        <v>61</v>
      </c>
      <c r="F32" s="663">
        <f t="shared" si="6"/>
        <v>0</v>
      </c>
      <c r="G32" s="660"/>
      <c r="H32" s="667">
        <f t="shared" si="5"/>
        <v>0</v>
      </c>
      <c r="I32" s="675"/>
      <c r="J32" s="667">
        <f t="shared" si="2"/>
        <v>0</v>
      </c>
      <c r="K32" s="667"/>
      <c r="L32" s="667"/>
      <c r="M32" s="667" t="e">
        <f>G32+#REF!+#REF!+#REF!+I32+#REF!+#REF!+#REF!+#REF!+#REF!+#REF!+K32+#REF!+#REF!+#REF!</f>
        <v>#REF!</v>
      </c>
      <c r="N32" s="667" t="e">
        <f t="shared" si="3"/>
        <v>#REF!</v>
      </c>
      <c r="O32" s="665" t="e">
        <f>#REF!+M32</f>
        <v>#REF!</v>
      </c>
      <c r="P32" s="666" t="e">
        <f t="shared" si="4"/>
        <v>#REF!</v>
      </c>
      <c r="Q32" s="672"/>
      <c r="R32" s="668"/>
      <c r="S32" s="676"/>
      <c r="T32" s="676"/>
    </row>
    <row r="33" spans="1:25" s="677" customFormat="1" ht="25.5" hidden="1" customHeight="1">
      <c r="A33" s="662"/>
      <c r="B33" s="666">
        <f t="shared" si="0"/>
        <v>0</v>
      </c>
      <c r="C33" s="663" t="s">
        <v>1378</v>
      </c>
      <c r="D33" s="675"/>
      <c r="E33" s="674" t="s">
        <v>61</v>
      </c>
      <c r="F33" s="663">
        <f t="shared" si="6"/>
        <v>0</v>
      </c>
      <c r="G33" s="660"/>
      <c r="H33" s="667">
        <f t="shared" si="5"/>
        <v>0</v>
      </c>
      <c r="I33" s="675"/>
      <c r="J33" s="667">
        <f t="shared" si="2"/>
        <v>0</v>
      </c>
      <c r="K33" s="667"/>
      <c r="L33" s="667"/>
      <c r="M33" s="667" t="e">
        <f>G33+#REF!+#REF!+#REF!+I33+#REF!+#REF!+#REF!+#REF!+#REF!+#REF!+K33+#REF!+#REF!+#REF!</f>
        <v>#REF!</v>
      </c>
      <c r="N33" s="667" t="e">
        <f t="shared" si="3"/>
        <v>#REF!</v>
      </c>
      <c r="O33" s="665" t="e">
        <f>#REF!+M33</f>
        <v>#REF!</v>
      </c>
      <c r="P33" s="666" t="e">
        <f t="shared" si="4"/>
        <v>#REF!</v>
      </c>
      <c r="Q33" s="672"/>
      <c r="R33" s="668"/>
      <c r="S33" s="676"/>
      <c r="T33" s="676"/>
    </row>
    <row r="34" spans="1:25" s="677" customFormat="1" ht="25.5" hidden="1" customHeight="1">
      <c r="A34" s="662"/>
      <c r="B34" s="666">
        <f t="shared" si="0"/>
        <v>0</v>
      </c>
      <c r="C34" s="663" t="s">
        <v>1379</v>
      </c>
      <c r="D34" s="675"/>
      <c r="E34" s="674" t="s">
        <v>61</v>
      </c>
      <c r="F34" s="663">
        <f t="shared" si="6"/>
        <v>0</v>
      </c>
      <c r="G34" s="660"/>
      <c r="H34" s="667">
        <f t="shared" si="5"/>
        <v>0</v>
      </c>
      <c r="I34" s="675"/>
      <c r="J34" s="667">
        <f t="shared" si="2"/>
        <v>0</v>
      </c>
      <c r="K34" s="667"/>
      <c r="L34" s="667"/>
      <c r="M34" s="667" t="e">
        <f>G34+#REF!+#REF!+#REF!+I34+#REF!+#REF!+#REF!+#REF!+#REF!+#REF!+K34+#REF!+#REF!+#REF!</f>
        <v>#REF!</v>
      </c>
      <c r="N34" s="667" t="e">
        <f t="shared" si="3"/>
        <v>#REF!</v>
      </c>
      <c r="O34" s="665" t="e">
        <f>#REF!+M34</f>
        <v>#REF!</v>
      </c>
      <c r="P34" s="666" t="e">
        <f t="shared" si="4"/>
        <v>#REF!</v>
      </c>
      <c r="Q34" s="672"/>
      <c r="R34" s="668"/>
      <c r="S34" s="676"/>
      <c r="T34" s="676"/>
    </row>
    <row r="35" spans="1:25" s="677" customFormat="1" ht="18.75" hidden="1" customHeight="1">
      <c r="A35" s="662"/>
      <c r="B35" s="666">
        <f t="shared" si="0"/>
        <v>0</v>
      </c>
      <c r="C35" s="663" t="s">
        <v>1380</v>
      </c>
      <c r="D35" s="675"/>
      <c r="E35" s="674" t="s">
        <v>61</v>
      </c>
      <c r="F35" s="663">
        <f t="shared" si="6"/>
        <v>0</v>
      </c>
      <c r="G35" s="660"/>
      <c r="H35" s="667">
        <f t="shared" si="5"/>
        <v>0</v>
      </c>
      <c r="I35" s="675"/>
      <c r="J35" s="667">
        <f t="shared" si="2"/>
        <v>0</v>
      </c>
      <c r="K35" s="667"/>
      <c r="L35" s="667"/>
      <c r="M35" s="667" t="e">
        <f>G35+#REF!+#REF!+#REF!+I35+#REF!+#REF!+#REF!+#REF!+#REF!+#REF!+K35+#REF!+#REF!+#REF!</f>
        <v>#REF!</v>
      </c>
      <c r="N35" s="667" t="e">
        <f t="shared" si="3"/>
        <v>#REF!</v>
      </c>
      <c r="O35" s="665" t="e">
        <f>#REF!+M35</f>
        <v>#REF!</v>
      </c>
      <c r="P35" s="666" t="e">
        <f t="shared" si="4"/>
        <v>#REF!</v>
      </c>
      <c r="Q35" s="672"/>
      <c r="R35" s="668"/>
      <c r="S35" s="676"/>
      <c r="T35" s="676"/>
    </row>
    <row r="36" spans="1:25" s="683" customFormat="1" ht="43.5" customHeight="1">
      <c r="A36" s="662">
        <v>2.1</v>
      </c>
      <c r="B36" s="666">
        <f t="shared" si="0"/>
        <v>1.8</v>
      </c>
      <c r="C36" s="663" t="s">
        <v>509</v>
      </c>
      <c r="D36" s="667">
        <v>1864.56</v>
      </c>
      <c r="E36" s="663" t="s">
        <v>235</v>
      </c>
      <c r="F36" s="663">
        <f t="shared" si="6"/>
        <v>3356.2080000000001</v>
      </c>
      <c r="G36" s="667">
        <f>'Septic Tank'!$H$17</f>
        <v>1.8</v>
      </c>
      <c r="H36" s="667">
        <f t="shared" si="5"/>
        <v>3356.2080000000001</v>
      </c>
      <c r="I36" s="667">
        <f>'PAVER ROAD'!$G$41</f>
        <v>6</v>
      </c>
      <c r="J36" s="667">
        <f t="shared" si="2"/>
        <v>11187.36</v>
      </c>
      <c r="K36" s="667"/>
      <c r="L36" s="667"/>
      <c r="M36" s="667" t="e">
        <f>G36+#REF!+#REF!+#REF!+I36+#REF!+#REF!+#REF!+#REF!+#REF!+#REF!+K36+#REF!+#REF!+#REF!</f>
        <v>#REF!</v>
      </c>
      <c r="N36" s="667" t="e">
        <f t="shared" si="3"/>
        <v>#REF!</v>
      </c>
      <c r="O36" s="665" t="e">
        <f>#REF!+M36</f>
        <v>#REF!</v>
      </c>
      <c r="P36" s="666" t="e">
        <f t="shared" si="4"/>
        <v>#REF!</v>
      </c>
      <c r="Q36" s="672"/>
      <c r="R36" s="668"/>
      <c r="S36" s="669"/>
      <c r="T36" s="669"/>
    </row>
    <row r="37" spans="1:25" s="677" customFormat="1" ht="24" hidden="1" customHeight="1">
      <c r="A37" s="662">
        <v>2.2000000000000002</v>
      </c>
      <c r="B37" s="666">
        <f t="shared" si="0"/>
        <v>0</v>
      </c>
      <c r="C37" s="663" t="s">
        <v>1381</v>
      </c>
      <c r="D37" s="675">
        <f>ROUND([14]Data!K161,2)</f>
        <v>1556.79</v>
      </c>
      <c r="E37" s="674" t="s">
        <v>235</v>
      </c>
      <c r="F37" s="663">
        <f t="shared" si="6"/>
        <v>0</v>
      </c>
      <c r="G37" s="684"/>
      <c r="H37" s="667">
        <f t="shared" si="5"/>
        <v>0</v>
      </c>
      <c r="I37" s="675"/>
      <c r="J37" s="667">
        <f t="shared" si="2"/>
        <v>0</v>
      </c>
      <c r="K37" s="667"/>
      <c r="L37" s="667"/>
      <c r="M37" s="667" t="e">
        <f>G37+#REF!+#REF!+#REF!+I37+#REF!+#REF!+#REF!+#REF!+#REF!+#REF!+K37+#REF!+#REF!+#REF!</f>
        <v>#REF!</v>
      </c>
      <c r="N37" s="667" t="e">
        <f t="shared" si="3"/>
        <v>#REF!</v>
      </c>
      <c r="O37" s="665" t="e">
        <f>#REF!+M37</f>
        <v>#REF!</v>
      </c>
      <c r="P37" s="666" t="e">
        <f t="shared" si="4"/>
        <v>#REF!</v>
      </c>
      <c r="Q37" s="672"/>
      <c r="R37" s="668"/>
      <c r="S37" s="676"/>
      <c r="T37" s="676"/>
    </row>
    <row r="38" spans="1:25" ht="46.5" hidden="1" customHeight="1">
      <c r="A38" s="673">
        <v>2.2999999999999998</v>
      </c>
      <c r="B38" s="666">
        <f t="shared" si="0"/>
        <v>0</v>
      </c>
      <c r="C38" s="674" t="s">
        <v>19</v>
      </c>
      <c r="D38" s="675">
        <f>ROUND([14]Data!C165,2)</f>
        <v>837.3</v>
      </c>
      <c r="E38" s="674" t="s">
        <v>235</v>
      </c>
      <c r="F38" s="663">
        <f t="shared" si="6"/>
        <v>0</v>
      </c>
      <c r="G38" s="684"/>
      <c r="H38" s="667">
        <f t="shared" si="5"/>
        <v>0</v>
      </c>
      <c r="I38" s="675"/>
      <c r="J38" s="667">
        <f t="shared" si="2"/>
        <v>0</v>
      </c>
      <c r="K38" s="667"/>
      <c r="L38" s="667"/>
      <c r="M38" s="667" t="e">
        <f>G38+#REF!+#REF!+#REF!+I38+#REF!+#REF!+#REF!+#REF!+#REF!+#REF!+K38+#REF!+#REF!+#REF!</f>
        <v>#REF!</v>
      </c>
      <c r="N38" s="667" t="e">
        <f t="shared" si="3"/>
        <v>#REF!</v>
      </c>
      <c r="O38" s="665" t="e">
        <f>#REF!+M38</f>
        <v>#REF!</v>
      </c>
      <c r="P38" s="666" t="e">
        <f t="shared" si="4"/>
        <v>#REF!</v>
      </c>
      <c r="Q38" s="672"/>
      <c r="R38" s="668"/>
    </row>
    <row r="39" spans="1:25" ht="46.5" hidden="1" customHeight="1">
      <c r="A39" s="673">
        <v>2.4</v>
      </c>
      <c r="B39" s="666">
        <f t="shared" si="0"/>
        <v>0</v>
      </c>
      <c r="C39" s="674" t="s">
        <v>20</v>
      </c>
      <c r="D39" s="675">
        <f>ROUND([14]Data!C166,2)</f>
        <v>916.3</v>
      </c>
      <c r="E39" s="674" t="s">
        <v>235</v>
      </c>
      <c r="F39" s="663">
        <f t="shared" si="6"/>
        <v>0</v>
      </c>
      <c r="G39" s="684"/>
      <c r="H39" s="667">
        <f t="shared" si="5"/>
        <v>0</v>
      </c>
      <c r="I39" s="675"/>
      <c r="J39" s="667">
        <f t="shared" si="2"/>
        <v>0</v>
      </c>
      <c r="K39" s="667"/>
      <c r="L39" s="667"/>
      <c r="M39" s="667" t="e">
        <f>G39+#REF!+#REF!+#REF!+I39+#REF!+#REF!+#REF!+#REF!+#REF!+#REF!+K39+#REF!+#REF!+#REF!</f>
        <v>#REF!</v>
      </c>
      <c r="N39" s="667" t="e">
        <f t="shared" si="3"/>
        <v>#REF!</v>
      </c>
      <c r="O39" s="665" t="e">
        <f>#REF!+M39</f>
        <v>#REF!</v>
      </c>
      <c r="P39" s="666" t="e">
        <f t="shared" si="4"/>
        <v>#REF!</v>
      </c>
      <c r="Q39" s="672"/>
      <c r="R39" s="668"/>
    </row>
    <row r="40" spans="1:25" s="677" customFormat="1" ht="22.5" hidden="1" customHeight="1">
      <c r="A40" s="662">
        <v>2.5</v>
      </c>
      <c r="B40" s="666">
        <f t="shared" si="0"/>
        <v>0</v>
      </c>
      <c r="C40" s="663" t="s">
        <v>1382</v>
      </c>
      <c r="D40" s="675">
        <f>ROUND([14]Data!K189,2)</f>
        <v>441.45</v>
      </c>
      <c r="E40" s="674" t="s">
        <v>235</v>
      </c>
      <c r="F40" s="663">
        <f t="shared" si="6"/>
        <v>0</v>
      </c>
      <c r="G40" s="684"/>
      <c r="H40" s="667">
        <f t="shared" si="5"/>
        <v>0</v>
      </c>
      <c r="I40" s="675"/>
      <c r="J40" s="667">
        <f t="shared" si="2"/>
        <v>0</v>
      </c>
      <c r="K40" s="667"/>
      <c r="L40" s="667"/>
      <c r="M40" s="667" t="e">
        <f>G40+#REF!+#REF!+#REF!+I40+#REF!+#REF!+#REF!+#REF!+#REF!+#REF!+K40+#REF!+#REF!+#REF!</f>
        <v>#REF!</v>
      </c>
      <c r="N40" s="667" t="e">
        <f t="shared" si="3"/>
        <v>#REF!</v>
      </c>
      <c r="O40" s="665" t="e">
        <f>#REF!+M40</f>
        <v>#REF!</v>
      </c>
      <c r="P40" s="666" t="e">
        <f t="shared" si="4"/>
        <v>#REF!</v>
      </c>
      <c r="Q40" s="672"/>
      <c r="R40" s="668"/>
      <c r="S40" s="676"/>
      <c r="T40" s="676"/>
    </row>
    <row r="41" spans="1:25" s="677" customFormat="1" ht="48" customHeight="1">
      <c r="A41" s="662">
        <v>2.6</v>
      </c>
      <c r="B41" s="666">
        <f t="shared" si="0"/>
        <v>3</v>
      </c>
      <c r="C41" s="663" t="s">
        <v>1383</v>
      </c>
      <c r="D41" s="667">
        <v>1617.66</v>
      </c>
      <c r="E41" s="663" t="s">
        <v>235</v>
      </c>
      <c r="F41" s="663">
        <f t="shared" si="6"/>
        <v>4852.9800000000005</v>
      </c>
      <c r="G41" s="667">
        <f>'Septic Tank'!$G$20</f>
        <v>3</v>
      </c>
      <c r="H41" s="667">
        <f t="shared" si="5"/>
        <v>4852.9800000000005</v>
      </c>
      <c r="I41" s="667"/>
      <c r="J41" s="667">
        <f t="shared" si="2"/>
        <v>0</v>
      </c>
      <c r="K41" s="667"/>
      <c r="L41" s="667"/>
      <c r="M41" s="667" t="e">
        <f>G41+#REF!+#REF!+#REF!+I41+#REF!+#REF!+#REF!+#REF!+#REF!+#REF!+K41+#REF!+#REF!+#REF!</f>
        <v>#REF!</v>
      </c>
      <c r="N41" s="667" t="e">
        <f t="shared" si="3"/>
        <v>#REF!</v>
      </c>
      <c r="O41" s="665" t="e">
        <f>#REF!+M41</f>
        <v>#REF!</v>
      </c>
      <c r="P41" s="666" t="e">
        <f t="shared" si="4"/>
        <v>#REF!</v>
      </c>
      <c r="Q41" s="672"/>
      <c r="R41" s="668"/>
      <c r="S41" s="676"/>
      <c r="T41" s="676"/>
    </row>
    <row r="42" spans="1:25" s="677" customFormat="1" ht="48" customHeight="1">
      <c r="A42" s="662">
        <v>2.7</v>
      </c>
      <c r="B42" s="666">
        <f t="shared" si="0"/>
        <v>2</v>
      </c>
      <c r="C42" s="663" t="s">
        <v>1384</v>
      </c>
      <c r="D42" s="667">
        <v>2020.66</v>
      </c>
      <c r="E42" s="663" t="s">
        <v>235</v>
      </c>
      <c r="F42" s="663">
        <f t="shared" si="6"/>
        <v>4041.32</v>
      </c>
      <c r="G42" s="667">
        <f>'Septic Tank'!$G$23</f>
        <v>2</v>
      </c>
      <c r="H42" s="667">
        <f t="shared" si="5"/>
        <v>4041.32</v>
      </c>
      <c r="I42" s="667"/>
      <c r="J42" s="667">
        <f t="shared" si="2"/>
        <v>0</v>
      </c>
      <c r="K42" s="667"/>
      <c r="L42" s="667"/>
      <c r="M42" s="667" t="e">
        <f>G42+#REF!+#REF!+#REF!+I42+#REF!+#REF!+#REF!+#REF!+#REF!+#REF!+K42+#REF!+#REF!+#REF!</f>
        <v>#REF!</v>
      </c>
      <c r="N42" s="667" t="e">
        <f t="shared" si="3"/>
        <v>#REF!</v>
      </c>
      <c r="O42" s="665" t="e">
        <f>#REF!+M42</f>
        <v>#REF!</v>
      </c>
      <c r="P42" s="666" t="e">
        <f t="shared" si="4"/>
        <v>#REF!</v>
      </c>
      <c r="Q42" s="672"/>
      <c r="R42" s="668"/>
      <c r="S42" s="676"/>
      <c r="T42" s="676"/>
    </row>
    <row r="43" spans="1:25" s="683" customFormat="1" ht="48" customHeight="1">
      <c r="A43" s="662">
        <v>3.1</v>
      </c>
      <c r="B43" s="666">
        <f t="shared" si="0"/>
        <v>1.8974200000000001</v>
      </c>
      <c r="C43" s="663" t="s">
        <v>1385</v>
      </c>
      <c r="D43" s="667">
        <v>4858.32</v>
      </c>
      <c r="E43" s="663" t="s">
        <v>235</v>
      </c>
      <c r="F43" s="663">
        <f t="shared" si="6"/>
        <v>9218.2735343999993</v>
      </c>
      <c r="G43" s="667">
        <f>'Septic Tank'!$H$28</f>
        <v>1.8974200000000001</v>
      </c>
      <c r="H43" s="667">
        <f t="shared" si="5"/>
        <v>9218.2735343999993</v>
      </c>
      <c r="I43" s="667">
        <f>'PAVER ROAD'!$G$18</f>
        <v>1.38025</v>
      </c>
      <c r="J43" s="667">
        <f t="shared" si="2"/>
        <v>6705.6961799999999</v>
      </c>
      <c r="K43" s="667"/>
      <c r="L43" s="667"/>
      <c r="M43" s="667" t="e">
        <f>G43+#REF!+#REF!+#REF!+I43+#REF!+#REF!+#REF!+#REF!+#REF!+#REF!+K43+#REF!+#REF!+#REF!</f>
        <v>#REF!</v>
      </c>
      <c r="N43" s="667" t="e">
        <f t="shared" si="3"/>
        <v>#REF!</v>
      </c>
      <c r="O43" s="665" t="e">
        <f>#REF!+M43</f>
        <v>#REF!</v>
      </c>
      <c r="P43" s="666" t="e">
        <f t="shared" si="4"/>
        <v>#REF!</v>
      </c>
      <c r="Q43" s="672"/>
      <c r="R43" s="668"/>
      <c r="S43" s="669"/>
      <c r="T43" s="669"/>
    </row>
    <row r="44" spans="1:25" ht="60" customHeight="1">
      <c r="A44" s="662">
        <v>3.2</v>
      </c>
      <c r="B44" s="666">
        <f t="shared" si="0"/>
        <v>0</v>
      </c>
      <c r="C44" s="663" t="s">
        <v>1386</v>
      </c>
      <c r="D44" s="667"/>
      <c r="E44" s="663" t="s">
        <v>235</v>
      </c>
      <c r="F44" s="663">
        <f t="shared" si="6"/>
        <v>0</v>
      </c>
      <c r="G44" s="667"/>
      <c r="H44" s="667">
        <f t="shared" si="5"/>
        <v>0</v>
      </c>
      <c r="I44" s="667"/>
      <c r="J44" s="667">
        <f t="shared" si="2"/>
        <v>0</v>
      </c>
      <c r="K44" s="667"/>
      <c r="L44" s="667"/>
      <c r="M44" s="667" t="e">
        <f>G44+#REF!+#REF!+#REF!+I44+#REF!+#REF!+#REF!+#REF!+#REF!+#REF!+K44+#REF!+#REF!+#REF!</f>
        <v>#REF!</v>
      </c>
      <c r="N44" s="667" t="e">
        <f t="shared" si="3"/>
        <v>#REF!</v>
      </c>
      <c r="O44" s="665" t="e">
        <f>#REF!+M44</f>
        <v>#REF!</v>
      </c>
      <c r="P44" s="666" t="e">
        <f t="shared" si="4"/>
        <v>#REF!</v>
      </c>
      <c r="Q44" s="672"/>
      <c r="R44" s="668"/>
    </row>
    <row r="45" spans="1:25" s="677" customFormat="1" ht="56.25" hidden="1" customHeight="1">
      <c r="A45" s="662">
        <v>3.3</v>
      </c>
      <c r="B45" s="666">
        <f t="shared" si="0"/>
        <v>0</v>
      </c>
      <c r="C45" s="663" t="s">
        <v>1387</v>
      </c>
      <c r="D45" s="675">
        <f>ROUND([14]Data!K234,2)</f>
        <v>3839.63</v>
      </c>
      <c r="E45" s="674" t="s">
        <v>235</v>
      </c>
      <c r="F45" s="663">
        <f t="shared" si="6"/>
        <v>0</v>
      </c>
      <c r="G45" s="684"/>
      <c r="H45" s="667">
        <f t="shared" si="5"/>
        <v>0</v>
      </c>
      <c r="I45" s="675"/>
      <c r="J45" s="667">
        <f t="shared" si="2"/>
        <v>0</v>
      </c>
      <c r="K45" s="667"/>
      <c r="L45" s="667"/>
      <c r="M45" s="667" t="e">
        <f>G45+#REF!+#REF!+#REF!+I45+#REF!+#REF!+#REF!+#REF!+#REF!+#REF!+K45+#REF!+#REF!+#REF!</f>
        <v>#REF!</v>
      </c>
      <c r="N45" s="667" t="e">
        <f t="shared" si="3"/>
        <v>#REF!</v>
      </c>
      <c r="O45" s="665" t="e">
        <f>#REF!+M45</f>
        <v>#REF!</v>
      </c>
      <c r="P45" s="666" t="e">
        <f t="shared" si="4"/>
        <v>#REF!</v>
      </c>
      <c r="Q45" s="672"/>
      <c r="R45" s="668"/>
      <c r="S45" s="676"/>
      <c r="T45" s="676"/>
      <c r="Y45" s="677">
        <f>4360-145</f>
        <v>4215</v>
      </c>
    </row>
    <row r="46" spans="1:25" s="677" customFormat="1" ht="46.5" hidden="1" customHeight="1">
      <c r="A46" s="662">
        <v>3.4</v>
      </c>
      <c r="B46" s="666">
        <f t="shared" si="0"/>
        <v>0</v>
      </c>
      <c r="C46" s="663" t="s">
        <v>1388</v>
      </c>
      <c r="D46" s="675"/>
      <c r="E46" s="674" t="s">
        <v>264</v>
      </c>
      <c r="F46" s="663">
        <f t="shared" si="6"/>
        <v>0</v>
      </c>
      <c r="G46" s="684"/>
      <c r="H46" s="667">
        <f t="shared" si="5"/>
        <v>0</v>
      </c>
      <c r="I46" s="675"/>
      <c r="J46" s="667">
        <f t="shared" si="2"/>
        <v>0</v>
      </c>
      <c r="K46" s="667"/>
      <c r="L46" s="667"/>
      <c r="M46" s="667" t="e">
        <f>G46+#REF!+#REF!+#REF!+I46+#REF!+#REF!+#REF!+#REF!+#REF!+#REF!+K46+#REF!+#REF!+#REF!</f>
        <v>#REF!</v>
      </c>
      <c r="N46" s="667" t="e">
        <f t="shared" si="3"/>
        <v>#REF!</v>
      </c>
      <c r="O46" s="665" t="e">
        <f>#REF!+M46</f>
        <v>#REF!</v>
      </c>
      <c r="P46" s="666" t="e">
        <f t="shared" si="4"/>
        <v>#REF!</v>
      </c>
      <c r="Q46" s="672"/>
      <c r="R46" s="668"/>
      <c r="S46" s="676"/>
      <c r="T46" s="676"/>
    </row>
    <row r="47" spans="1:25" s="677" customFormat="1" ht="25.5" hidden="1" customHeight="1">
      <c r="A47" s="662">
        <v>3.5</v>
      </c>
      <c r="B47" s="666">
        <f t="shared" si="0"/>
        <v>0</v>
      </c>
      <c r="C47" s="663" t="s">
        <v>1389</v>
      </c>
      <c r="D47" s="675"/>
      <c r="E47" s="674" t="s">
        <v>264</v>
      </c>
      <c r="F47" s="663">
        <f t="shared" si="6"/>
        <v>0</v>
      </c>
      <c r="G47" s="684"/>
      <c r="H47" s="667">
        <f t="shared" si="5"/>
        <v>0</v>
      </c>
      <c r="I47" s="675"/>
      <c r="J47" s="667">
        <f t="shared" si="2"/>
        <v>0</v>
      </c>
      <c r="K47" s="667"/>
      <c r="L47" s="667"/>
      <c r="M47" s="667" t="e">
        <f>G47+#REF!+#REF!+#REF!+I47+#REF!+#REF!+#REF!+#REF!+#REF!+#REF!+K47+#REF!+#REF!+#REF!</f>
        <v>#REF!</v>
      </c>
      <c r="N47" s="667" t="e">
        <f t="shared" si="3"/>
        <v>#REF!</v>
      </c>
      <c r="O47" s="665" t="e">
        <f>#REF!+M47</f>
        <v>#REF!</v>
      </c>
      <c r="P47" s="666" t="e">
        <f t="shared" si="4"/>
        <v>#REF!</v>
      </c>
      <c r="Q47" s="672"/>
      <c r="R47" s="668"/>
      <c r="S47" s="676"/>
      <c r="T47" s="676"/>
    </row>
    <row r="48" spans="1:25" s="677" customFormat="1" ht="93" hidden="1" customHeight="1">
      <c r="A48" s="662">
        <v>3.6</v>
      </c>
      <c r="B48" s="666">
        <f t="shared" si="0"/>
        <v>0</v>
      </c>
      <c r="C48" s="663" t="s">
        <v>1390</v>
      </c>
      <c r="D48" s="675">
        <f>ROUND([14]Data!K249,2)</f>
        <v>215.1</v>
      </c>
      <c r="E48" s="674" t="s">
        <v>264</v>
      </c>
      <c r="F48" s="663">
        <f t="shared" si="6"/>
        <v>0</v>
      </c>
      <c r="G48" s="684"/>
      <c r="H48" s="667">
        <f t="shared" si="5"/>
        <v>0</v>
      </c>
      <c r="I48" s="675"/>
      <c r="J48" s="667">
        <f t="shared" si="2"/>
        <v>0</v>
      </c>
      <c r="K48" s="667"/>
      <c r="L48" s="667"/>
      <c r="M48" s="667" t="e">
        <f>G48+#REF!+#REF!+#REF!+I48+#REF!+#REF!+#REF!+#REF!+#REF!+#REF!+K48+#REF!+#REF!+#REF!</f>
        <v>#REF!</v>
      </c>
      <c r="N48" s="667" t="e">
        <f t="shared" si="3"/>
        <v>#REF!</v>
      </c>
      <c r="O48" s="665" t="e">
        <f>#REF!+M48</f>
        <v>#REF!</v>
      </c>
      <c r="P48" s="666" t="e">
        <f t="shared" si="4"/>
        <v>#REF!</v>
      </c>
      <c r="Q48" s="672"/>
      <c r="R48" s="668"/>
      <c r="S48" s="676"/>
      <c r="T48" s="676"/>
    </row>
    <row r="49" spans="1:20" s="677" customFormat="1" ht="46.5" hidden="1" customHeight="1">
      <c r="A49" s="662">
        <v>3.7</v>
      </c>
      <c r="B49" s="666">
        <f t="shared" si="0"/>
        <v>0</v>
      </c>
      <c r="C49" s="663" t="s">
        <v>1391</v>
      </c>
      <c r="D49" s="675">
        <f>ROUND([14]Data!K261,2)</f>
        <v>149.82</v>
      </c>
      <c r="E49" s="674" t="s">
        <v>264</v>
      </c>
      <c r="F49" s="663">
        <f t="shared" si="6"/>
        <v>0</v>
      </c>
      <c r="G49" s="684"/>
      <c r="H49" s="667">
        <f t="shared" si="5"/>
        <v>0</v>
      </c>
      <c r="I49" s="675"/>
      <c r="J49" s="667">
        <f t="shared" si="2"/>
        <v>0</v>
      </c>
      <c r="K49" s="667"/>
      <c r="L49" s="667"/>
      <c r="M49" s="667" t="e">
        <f>G49+#REF!+#REF!+#REF!+I49+#REF!+#REF!+#REF!+#REF!+#REF!+#REF!+K49+#REF!+#REF!+#REF!</f>
        <v>#REF!</v>
      </c>
      <c r="N49" s="667" t="e">
        <f t="shared" si="3"/>
        <v>#REF!</v>
      </c>
      <c r="O49" s="665" t="e">
        <f>#REF!+M49</f>
        <v>#REF!</v>
      </c>
      <c r="P49" s="666" t="e">
        <f t="shared" si="4"/>
        <v>#REF!</v>
      </c>
      <c r="Q49" s="672"/>
      <c r="R49" s="668"/>
      <c r="S49" s="676"/>
      <c r="T49" s="676"/>
    </row>
    <row r="50" spans="1:20" s="677" customFormat="1" ht="25.5" hidden="1" customHeight="1">
      <c r="A50" s="662">
        <v>4.0999999999999996</v>
      </c>
      <c r="B50" s="666">
        <f t="shared" si="0"/>
        <v>0</v>
      </c>
      <c r="C50" s="685" t="s">
        <v>1392</v>
      </c>
      <c r="D50" s="675">
        <f>ROUND([14]Data!K285,2)</f>
        <v>7554.26</v>
      </c>
      <c r="E50" s="674" t="s">
        <v>235</v>
      </c>
      <c r="F50" s="663">
        <f t="shared" si="6"/>
        <v>0</v>
      </c>
      <c r="G50" s="675"/>
      <c r="H50" s="667">
        <f t="shared" si="5"/>
        <v>0</v>
      </c>
      <c r="I50" s="675"/>
      <c r="J50" s="667">
        <f t="shared" si="2"/>
        <v>0</v>
      </c>
      <c r="K50" s="667"/>
      <c r="L50" s="667"/>
      <c r="M50" s="667" t="e">
        <f>G50+#REF!+#REF!+#REF!+I50+#REF!+#REF!+#REF!+#REF!+#REF!+#REF!+K50+#REF!+#REF!+#REF!</f>
        <v>#REF!</v>
      </c>
      <c r="N50" s="667" t="e">
        <f t="shared" si="3"/>
        <v>#REF!</v>
      </c>
      <c r="O50" s="665" t="e">
        <f>#REF!+M50</f>
        <v>#REF!</v>
      </c>
      <c r="P50" s="666" t="e">
        <f t="shared" si="4"/>
        <v>#REF!</v>
      </c>
      <c r="Q50" s="672"/>
      <c r="R50" s="668"/>
      <c r="S50" s="676"/>
      <c r="T50" s="676"/>
    </row>
    <row r="51" spans="1:20" s="677" customFormat="1" ht="18.75" hidden="1" customHeight="1">
      <c r="A51" s="662">
        <v>4.2</v>
      </c>
      <c r="B51" s="666">
        <f t="shared" si="0"/>
        <v>0</v>
      </c>
      <c r="C51" s="685" t="s">
        <v>1393</v>
      </c>
      <c r="D51" s="675">
        <f>[14]Data!K821</f>
        <v>8196.15</v>
      </c>
      <c r="E51" s="674" t="s">
        <v>235</v>
      </c>
      <c r="F51" s="663">
        <f t="shared" si="6"/>
        <v>0</v>
      </c>
      <c r="G51" s="675"/>
      <c r="H51" s="667">
        <f t="shared" si="5"/>
        <v>0</v>
      </c>
      <c r="I51" s="675"/>
      <c r="J51" s="667">
        <f t="shared" si="2"/>
        <v>0</v>
      </c>
      <c r="K51" s="667"/>
      <c r="L51" s="667"/>
      <c r="M51" s="667" t="e">
        <f>G51+#REF!+#REF!+#REF!+I51+#REF!+#REF!+#REF!+#REF!+#REF!+#REF!+K51+#REF!+#REF!+#REF!</f>
        <v>#REF!</v>
      </c>
      <c r="N51" s="667" t="e">
        <f t="shared" si="3"/>
        <v>#REF!</v>
      </c>
      <c r="O51" s="665" t="e">
        <f>#REF!+M51</f>
        <v>#REF!</v>
      </c>
      <c r="P51" s="666" t="e">
        <f t="shared" si="4"/>
        <v>#REF!</v>
      </c>
      <c r="Q51" s="672"/>
      <c r="R51" s="668"/>
      <c r="S51" s="676"/>
      <c r="T51" s="676"/>
    </row>
    <row r="52" spans="1:20" ht="71.25" hidden="1" customHeight="1">
      <c r="A52" s="673">
        <v>5</v>
      </c>
      <c r="B52" s="666">
        <f t="shared" si="0"/>
        <v>0</v>
      </c>
      <c r="C52" s="674" t="s">
        <v>1394</v>
      </c>
      <c r="D52" s="675">
        <f>ROUND([14]Data!K306,2)</f>
        <v>5108.78</v>
      </c>
      <c r="E52" s="674" t="s">
        <v>235</v>
      </c>
      <c r="F52" s="663">
        <f t="shared" si="6"/>
        <v>0</v>
      </c>
      <c r="G52" s="660"/>
      <c r="H52" s="667">
        <f t="shared" si="5"/>
        <v>0</v>
      </c>
      <c r="I52" s="675"/>
      <c r="J52" s="667">
        <f t="shared" si="2"/>
        <v>0</v>
      </c>
      <c r="K52" s="667"/>
      <c r="L52" s="667"/>
      <c r="M52" s="667" t="e">
        <f>G52+#REF!+#REF!+#REF!+I52+#REF!+#REF!+#REF!+#REF!+#REF!+#REF!+K52+#REF!+#REF!+#REF!</f>
        <v>#REF!</v>
      </c>
      <c r="N52" s="667" t="e">
        <f t="shared" si="3"/>
        <v>#REF!</v>
      </c>
      <c r="O52" s="665" t="e">
        <f>#REF!+M52</f>
        <v>#REF!</v>
      </c>
      <c r="P52" s="666" t="e">
        <f t="shared" si="4"/>
        <v>#REF!</v>
      </c>
      <c r="Q52" s="672"/>
      <c r="R52" s="668"/>
    </row>
    <row r="53" spans="1:20" s="677" customFormat="1" ht="69.75" hidden="1" customHeight="1">
      <c r="A53" s="662">
        <v>6.1</v>
      </c>
      <c r="B53" s="666">
        <f t="shared" si="0"/>
        <v>0</v>
      </c>
      <c r="C53" s="685" t="s">
        <v>1395</v>
      </c>
      <c r="D53" s="675">
        <f>[14]Data!X321</f>
        <v>6348.58</v>
      </c>
      <c r="E53" s="674" t="s">
        <v>235</v>
      </c>
      <c r="F53" s="663">
        <f t="shared" si="6"/>
        <v>0</v>
      </c>
      <c r="G53" s="660"/>
      <c r="H53" s="667">
        <f t="shared" si="5"/>
        <v>0</v>
      </c>
      <c r="I53" s="675"/>
      <c r="J53" s="667">
        <f t="shared" si="2"/>
        <v>0</v>
      </c>
      <c r="K53" s="667"/>
      <c r="L53" s="667"/>
      <c r="M53" s="667" t="e">
        <f>G53+#REF!+#REF!+#REF!+I53+#REF!+#REF!+#REF!+#REF!+#REF!+#REF!+K53+#REF!+#REF!+#REF!</f>
        <v>#REF!</v>
      </c>
      <c r="N53" s="667" t="e">
        <f t="shared" si="3"/>
        <v>#REF!</v>
      </c>
      <c r="O53" s="665" t="e">
        <f>#REF!+M53</f>
        <v>#REF!</v>
      </c>
      <c r="P53" s="666" t="e">
        <f t="shared" si="4"/>
        <v>#REF!</v>
      </c>
      <c r="Q53" s="672"/>
      <c r="R53" s="668"/>
      <c r="S53" s="676"/>
      <c r="T53" s="676"/>
    </row>
    <row r="54" spans="1:20" s="677" customFormat="1" ht="69.75" hidden="1" customHeight="1">
      <c r="A54" s="662">
        <v>6.2</v>
      </c>
      <c r="B54" s="666">
        <f t="shared" si="0"/>
        <v>0</v>
      </c>
      <c r="C54" s="685" t="s">
        <v>1396</v>
      </c>
      <c r="D54" s="675">
        <f>ROUND([14]Data!AG321,2)</f>
        <v>6027.89</v>
      </c>
      <c r="E54" s="674" t="s">
        <v>235</v>
      </c>
      <c r="F54" s="663">
        <f t="shared" si="6"/>
        <v>0</v>
      </c>
      <c r="G54" s="660"/>
      <c r="H54" s="667">
        <f t="shared" si="5"/>
        <v>0</v>
      </c>
      <c r="I54" s="675"/>
      <c r="J54" s="667">
        <f t="shared" si="2"/>
        <v>0</v>
      </c>
      <c r="K54" s="667"/>
      <c r="L54" s="667"/>
      <c r="M54" s="667" t="e">
        <f>G54+#REF!+#REF!+#REF!+I54+#REF!+#REF!+#REF!+#REF!+#REF!+#REF!+K54+#REF!+#REF!+#REF!</f>
        <v>#REF!</v>
      </c>
      <c r="N54" s="667" t="e">
        <f t="shared" si="3"/>
        <v>#REF!</v>
      </c>
      <c r="O54" s="665" t="e">
        <f>#REF!+M54</f>
        <v>#REF!</v>
      </c>
      <c r="P54" s="666" t="e">
        <f t="shared" si="4"/>
        <v>#REF!</v>
      </c>
      <c r="Q54" s="672"/>
      <c r="R54" s="668"/>
      <c r="S54" s="676"/>
      <c r="T54" s="676"/>
    </row>
    <row r="55" spans="1:20" s="677" customFormat="1" ht="69.75" hidden="1" customHeight="1">
      <c r="A55" s="662">
        <v>6.3</v>
      </c>
      <c r="B55" s="666">
        <f t="shared" si="0"/>
        <v>0</v>
      </c>
      <c r="C55" s="685" t="s">
        <v>1397</v>
      </c>
      <c r="D55" s="675"/>
      <c r="E55" s="674" t="s">
        <v>235</v>
      </c>
      <c r="F55" s="663">
        <f t="shared" si="6"/>
        <v>0</v>
      </c>
      <c r="G55" s="660"/>
      <c r="H55" s="667">
        <f t="shared" si="5"/>
        <v>0</v>
      </c>
      <c r="I55" s="675"/>
      <c r="J55" s="667">
        <f t="shared" si="2"/>
        <v>0</v>
      </c>
      <c r="K55" s="667"/>
      <c r="L55" s="667"/>
      <c r="M55" s="667" t="e">
        <f>G55+#REF!+#REF!+#REF!+I55+#REF!+#REF!+#REF!+#REF!+#REF!+#REF!+K55+#REF!+#REF!+#REF!</f>
        <v>#REF!</v>
      </c>
      <c r="N55" s="667" t="e">
        <f t="shared" si="3"/>
        <v>#REF!</v>
      </c>
      <c r="O55" s="665" t="e">
        <f>#REF!+M55</f>
        <v>#REF!</v>
      </c>
      <c r="P55" s="666" t="e">
        <f t="shared" si="4"/>
        <v>#REF!</v>
      </c>
      <c r="Q55" s="672"/>
      <c r="R55" s="668"/>
      <c r="S55" s="676"/>
      <c r="T55" s="676"/>
    </row>
    <row r="56" spans="1:20" s="677" customFormat="1" ht="13.5" hidden="1" customHeight="1">
      <c r="A56" s="662">
        <v>6.4</v>
      </c>
      <c r="B56" s="666">
        <f t="shared" si="0"/>
        <v>0</v>
      </c>
      <c r="C56" s="685" t="s">
        <v>1398</v>
      </c>
      <c r="D56" s="675"/>
      <c r="E56" s="674" t="s">
        <v>235</v>
      </c>
      <c r="F56" s="663">
        <f t="shared" si="6"/>
        <v>0</v>
      </c>
      <c r="G56" s="660"/>
      <c r="H56" s="667">
        <f t="shared" si="5"/>
        <v>0</v>
      </c>
      <c r="I56" s="675"/>
      <c r="J56" s="667">
        <f t="shared" si="2"/>
        <v>0</v>
      </c>
      <c r="K56" s="667"/>
      <c r="L56" s="667"/>
      <c r="M56" s="667" t="e">
        <f>G56+#REF!+#REF!+#REF!+I56+#REF!+#REF!+#REF!+#REF!+#REF!+#REF!+K56+#REF!+#REF!+#REF!</f>
        <v>#REF!</v>
      </c>
      <c r="N56" s="667" t="e">
        <f t="shared" si="3"/>
        <v>#REF!</v>
      </c>
      <c r="O56" s="665" t="e">
        <f>#REF!+M56</f>
        <v>#REF!</v>
      </c>
      <c r="P56" s="666" t="e">
        <f t="shared" si="4"/>
        <v>#REF!</v>
      </c>
      <c r="Q56" s="672"/>
      <c r="R56" s="668"/>
      <c r="S56" s="676"/>
      <c r="T56" s="676"/>
    </row>
    <row r="57" spans="1:20" ht="80.25" customHeight="1">
      <c r="A57" s="662">
        <v>6.5</v>
      </c>
      <c r="B57" s="666">
        <f t="shared" si="0"/>
        <v>13.099720000000001</v>
      </c>
      <c r="C57" s="685" t="s">
        <v>1399</v>
      </c>
      <c r="D57" s="667">
        <v>6233.2</v>
      </c>
      <c r="E57" s="663" t="s">
        <v>235</v>
      </c>
      <c r="F57" s="663">
        <f t="shared" si="6"/>
        <v>81653.174704000005</v>
      </c>
      <c r="G57" s="666">
        <f>'Septic Tank'!$H$37</f>
        <v>13.099720000000001</v>
      </c>
      <c r="H57" s="667">
        <f t="shared" si="5"/>
        <v>81653.174704000005</v>
      </c>
      <c r="I57" s="667">
        <f>'PAVER ROAD'!$G$25</f>
        <v>2.2911250000000001</v>
      </c>
      <c r="J57" s="667">
        <f t="shared" si="2"/>
        <v>14281.040349999999</v>
      </c>
      <c r="K57" s="667"/>
      <c r="L57" s="667"/>
      <c r="M57" s="667" t="e">
        <f>G57+#REF!+#REF!+#REF!+I57+#REF!+#REF!+#REF!+#REF!+#REF!+#REF!+K57+#REF!+#REF!+#REF!</f>
        <v>#REF!</v>
      </c>
      <c r="N57" s="667" t="e">
        <f t="shared" si="3"/>
        <v>#REF!</v>
      </c>
      <c r="O57" s="665" t="e">
        <f>#REF!+M57</f>
        <v>#REF!</v>
      </c>
      <c r="P57" s="666" t="e">
        <f t="shared" si="4"/>
        <v>#REF!</v>
      </c>
      <c r="Q57" s="672"/>
      <c r="R57" s="668"/>
    </row>
    <row r="58" spans="1:20" s="677" customFormat="1" ht="69.75" hidden="1" customHeight="1">
      <c r="A58" s="662">
        <v>6.6</v>
      </c>
      <c r="B58" s="666">
        <f t="shared" si="0"/>
        <v>0</v>
      </c>
      <c r="C58" s="685" t="s">
        <v>1400</v>
      </c>
      <c r="D58" s="675"/>
      <c r="E58" s="674" t="s">
        <v>235</v>
      </c>
      <c r="F58" s="663">
        <f t="shared" si="6"/>
        <v>0</v>
      </c>
      <c r="G58" s="660"/>
      <c r="H58" s="667">
        <f t="shared" si="5"/>
        <v>0</v>
      </c>
      <c r="I58" s="675"/>
      <c r="J58" s="667">
        <f t="shared" si="2"/>
        <v>0</v>
      </c>
      <c r="K58" s="667"/>
      <c r="L58" s="667"/>
      <c r="M58" s="667" t="e">
        <f>G58+#REF!+#REF!+#REF!+I58+#REF!+#REF!+#REF!+#REF!+#REF!+#REF!+K58+#REF!+#REF!+#REF!</f>
        <v>#REF!</v>
      </c>
      <c r="N58" s="667" t="e">
        <f t="shared" si="3"/>
        <v>#REF!</v>
      </c>
      <c r="O58" s="665" t="e">
        <f>#REF!+M58</f>
        <v>#REF!</v>
      </c>
      <c r="P58" s="666" t="e">
        <f t="shared" si="4"/>
        <v>#REF!</v>
      </c>
      <c r="Q58" s="672"/>
      <c r="R58" s="668"/>
      <c r="S58" s="676"/>
      <c r="T58" s="676"/>
    </row>
    <row r="59" spans="1:20" s="677" customFormat="1" ht="46.5" hidden="1" customHeight="1">
      <c r="A59" s="662">
        <v>7.1</v>
      </c>
      <c r="B59" s="666">
        <f t="shared" si="0"/>
        <v>0</v>
      </c>
      <c r="C59" s="685" t="s">
        <v>1401</v>
      </c>
      <c r="D59" s="675"/>
      <c r="E59" s="674" t="s">
        <v>264</v>
      </c>
      <c r="F59" s="663">
        <f t="shared" si="6"/>
        <v>0</v>
      </c>
      <c r="G59" s="660"/>
      <c r="H59" s="667">
        <f t="shared" si="5"/>
        <v>0</v>
      </c>
      <c r="I59" s="675"/>
      <c r="J59" s="667">
        <f t="shared" si="2"/>
        <v>0</v>
      </c>
      <c r="K59" s="667"/>
      <c r="L59" s="667"/>
      <c r="M59" s="667" t="e">
        <f>G59+#REF!+#REF!+#REF!+I59+#REF!+#REF!+#REF!+#REF!+#REF!+#REF!+K59+#REF!+#REF!+#REF!</f>
        <v>#REF!</v>
      </c>
      <c r="N59" s="667" t="e">
        <f t="shared" si="3"/>
        <v>#REF!</v>
      </c>
      <c r="O59" s="665" t="e">
        <f>#REF!+M59</f>
        <v>#REF!</v>
      </c>
      <c r="P59" s="666" t="e">
        <f t="shared" si="4"/>
        <v>#REF!</v>
      </c>
      <c r="Q59" s="672"/>
      <c r="R59" s="668"/>
      <c r="S59" s="676"/>
      <c r="T59" s="676"/>
    </row>
    <row r="60" spans="1:20" s="677" customFormat="1" ht="46.5" hidden="1" customHeight="1">
      <c r="A60" s="662">
        <v>7.2</v>
      </c>
      <c r="B60" s="666">
        <f t="shared" si="0"/>
        <v>0</v>
      </c>
      <c r="C60" s="663" t="s">
        <v>1402</v>
      </c>
      <c r="D60" s="675">
        <f>ROUND([14]Data!K329,2)</f>
        <v>712</v>
      </c>
      <c r="E60" s="674" t="s">
        <v>264</v>
      </c>
      <c r="F60" s="663">
        <f t="shared" si="6"/>
        <v>0</v>
      </c>
      <c r="G60" s="660"/>
      <c r="H60" s="667">
        <f t="shared" si="5"/>
        <v>0</v>
      </c>
      <c r="I60" s="675"/>
      <c r="J60" s="667">
        <f t="shared" si="2"/>
        <v>0</v>
      </c>
      <c r="K60" s="667"/>
      <c r="L60" s="667"/>
      <c r="M60" s="667" t="e">
        <f>G60+#REF!+#REF!+#REF!+I60+#REF!+#REF!+#REF!+#REF!+#REF!+#REF!+K60+#REF!+#REF!+#REF!</f>
        <v>#REF!</v>
      </c>
      <c r="N60" s="667" t="e">
        <f t="shared" si="3"/>
        <v>#REF!</v>
      </c>
      <c r="O60" s="665" t="e">
        <f>#REF!+M60</f>
        <v>#REF!</v>
      </c>
      <c r="P60" s="666" t="e">
        <f t="shared" si="4"/>
        <v>#REF!</v>
      </c>
      <c r="Q60" s="672"/>
      <c r="R60" s="668"/>
      <c r="S60" s="676"/>
      <c r="T60" s="676"/>
    </row>
    <row r="61" spans="1:20" s="677" customFormat="1" ht="46.5" hidden="1" customHeight="1">
      <c r="A61" s="662">
        <v>7.3</v>
      </c>
      <c r="B61" s="666">
        <f t="shared" si="0"/>
        <v>0</v>
      </c>
      <c r="C61" s="685" t="s">
        <v>1403</v>
      </c>
      <c r="D61" s="675">
        <f>ROUND([14]Data!K497,2)</f>
        <v>278.10000000000002</v>
      </c>
      <c r="E61" s="674" t="s">
        <v>264</v>
      </c>
      <c r="F61" s="663">
        <f t="shared" si="6"/>
        <v>0</v>
      </c>
      <c r="G61" s="660"/>
      <c r="H61" s="667">
        <f t="shared" si="5"/>
        <v>0</v>
      </c>
      <c r="I61" s="675"/>
      <c r="J61" s="667">
        <f t="shared" si="2"/>
        <v>0</v>
      </c>
      <c r="K61" s="667"/>
      <c r="L61" s="667"/>
      <c r="M61" s="667" t="e">
        <f>G61+#REF!+#REF!+#REF!+I61+#REF!+#REF!+#REF!+#REF!+#REF!+#REF!+K61+#REF!+#REF!+#REF!</f>
        <v>#REF!</v>
      </c>
      <c r="N61" s="667" t="e">
        <f t="shared" si="3"/>
        <v>#REF!</v>
      </c>
      <c r="O61" s="665" t="e">
        <f>#REF!+M61</f>
        <v>#REF!</v>
      </c>
      <c r="P61" s="666" t="e">
        <f t="shared" si="4"/>
        <v>#REF!</v>
      </c>
      <c r="Q61" s="672"/>
      <c r="R61" s="668"/>
      <c r="S61" s="676"/>
      <c r="T61" s="676"/>
    </row>
    <row r="62" spans="1:20" s="682" customFormat="1" ht="25.5" hidden="1" customHeight="1">
      <c r="A62" s="662">
        <v>8.1</v>
      </c>
      <c r="B62" s="666">
        <f t="shared" si="0"/>
        <v>0</v>
      </c>
      <c r="C62" s="685" t="s">
        <v>1404</v>
      </c>
      <c r="D62" s="675"/>
      <c r="E62" s="674"/>
      <c r="F62" s="663">
        <f t="shared" si="6"/>
        <v>0</v>
      </c>
      <c r="G62" s="660"/>
      <c r="H62" s="667">
        <f t="shared" si="5"/>
        <v>0</v>
      </c>
      <c r="I62" s="675"/>
      <c r="J62" s="667">
        <f t="shared" si="2"/>
        <v>0</v>
      </c>
      <c r="K62" s="667"/>
      <c r="L62" s="667"/>
      <c r="M62" s="667" t="e">
        <f>G62+#REF!+#REF!+#REF!+I62+#REF!+#REF!+#REF!+#REF!+#REF!+#REF!+K62+#REF!+#REF!+#REF!</f>
        <v>#REF!</v>
      </c>
      <c r="N62" s="667" t="e">
        <f t="shared" si="3"/>
        <v>#REF!</v>
      </c>
      <c r="O62" s="665" t="e">
        <f>#REF!+M62</f>
        <v>#REF!</v>
      </c>
      <c r="P62" s="666" t="e">
        <f t="shared" si="4"/>
        <v>#REF!</v>
      </c>
      <c r="Q62" s="672"/>
      <c r="R62" s="668"/>
      <c r="S62" s="680"/>
      <c r="T62" s="681"/>
    </row>
    <row r="63" spans="1:20" s="682" customFormat="1" ht="25.5" hidden="1" customHeight="1">
      <c r="A63" s="662"/>
      <c r="B63" s="666">
        <f t="shared" si="0"/>
        <v>0</v>
      </c>
      <c r="C63" s="663" t="s">
        <v>1405</v>
      </c>
      <c r="D63" s="675">
        <f>ROUND([14]Data!K287,2)</f>
        <v>7657.56</v>
      </c>
      <c r="E63" s="674" t="s">
        <v>235</v>
      </c>
      <c r="F63" s="663">
        <f t="shared" si="6"/>
        <v>0</v>
      </c>
      <c r="G63" s="686"/>
      <c r="H63" s="667">
        <f t="shared" si="5"/>
        <v>0</v>
      </c>
      <c r="I63" s="675"/>
      <c r="J63" s="667">
        <f t="shared" si="2"/>
        <v>0</v>
      </c>
      <c r="K63" s="667"/>
      <c r="L63" s="667"/>
      <c r="M63" s="667" t="e">
        <f>G63+#REF!+#REF!+#REF!+I63+#REF!+#REF!+#REF!+#REF!+#REF!+#REF!+K63+#REF!+#REF!+#REF!</f>
        <v>#REF!</v>
      </c>
      <c r="N63" s="667" t="e">
        <f t="shared" si="3"/>
        <v>#REF!</v>
      </c>
      <c r="O63" s="665" t="e">
        <f>#REF!+M63</f>
        <v>#REF!</v>
      </c>
      <c r="P63" s="666" t="e">
        <f t="shared" si="4"/>
        <v>#REF!</v>
      </c>
      <c r="Q63" s="672"/>
      <c r="R63" s="668"/>
      <c r="S63" s="680"/>
      <c r="T63" s="681"/>
    </row>
    <row r="64" spans="1:20" s="682" customFormat="1" ht="25.5" hidden="1" customHeight="1">
      <c r="A64" s="662"/>
      <c r="B64" s="666">
        <f t="shared" si="0"/>
        <v>0</v>
      </c>
      <c r="C64" s="663" t="s">
        <v>1406</v>
      </c>
      <c r="D64" s="675">
        <f>ROUND([14]Data!K288,2)</f>
        <v>7861.06</v>
      </c>
      <c r="E64" s="674" t="s">
        <v>235</v>
      </c>
      <c r="F64" s="663">
        <f t="shared" si="6"/>
        <v>0</v>
      </c>
      <c r="G64" s="686"/>
      <c r="H64" s="667">
        <f t="shared" si="5"/>
        <v>0</v>
      </c>
      <c r="I64" s="675"/>
      <c r="J64" s="667">
        <f t="shared" si="2"/>
        <v>0</v>
      </c>
      <c r="K64" s="667"/>
      <c r="L64" s="667"/>
      <c r="M64" s="667" t="e">
        <f>G64+#REF!+#REF!+#REF!+I64+#REF!+#REF!+#REF!+#REF!+#REF!+#REF!+K64+#REF!+#REF!+#REF!</f>
        <v>#REF!</v>
      </c>
      <c r="N64" s="667" t="e">
        <f t="shared" si="3"/>
        <v>#REF!</v>
      </c>
      <c r="O64" s="665" t="e">
        <f>#REF!+M64</f>
        <v>#REF!</v>
      </c>
      <c r="P64" s="666" t="e">
        <f t="shared" si="4"/>
        <v>#REF!</v>
      </c>
      <c r="Q64" s="672"/>
      <c r="R64" s="668"/>
      <c r="S64" s="680"/>
      <c r="T64" s="681"/>
    </row>
    <row r="65" spans="1:20" s="682" customFormat="1" ht="25.5" hidden="1" customHeight="1">
      <c r="A65" s="662"/>
      <c r="B65" s="666">
        <f t="shared" si="0"/>
        <v>0</v>
      </c>
      <c r="C65" s="663" t="s">
        <v>1407</v>
      </c>
      <c r="D65" s="675">
        <f>ROUND([14]Data!K289,2)</f>
        <v>8064.56</v>
      </c>
      <c r="E65" s="674" t="s">
        <v>235</v>
      </c>
      <c r="F65" s="663">
        <f t="shared" si="6"/>
        <v>0</v>
      </c>
      <c r="G65" s="675"/>
      <c r="H65" s="667">
        <f t="shared" si="5"/>
        <v>0</v>
      </c>
      <c r="I65" s="675"/>
      <c r="J65" s="667">
        <f t="shared" si="2"/>
        <v>0</v>
      </c>
      <c r="K65" s="667"/>
      <c r="L65" s="667"/>
      <c r="M65" s="667" t="e">
        <f>G65+#REF!+#REF!+#REF!+I65+#REF!+#REF!+#REF!+#REF!+#REF!+#REF!+K65+#REF!+#REF!+#REF!</f>
        <v>#REF!</v>
      </c>
      <c r="N65" s="667" t="e">
        <f t="shared" si="3"/>
        <v>#REF!</v>
      </c>
      <c r="O65" s="665" t="e">
        <f>#REF!+M65</f>
        <v>#REF!</v>
      </c>
      <c r="P65" s="666" t="e">
        <f t="shared" si="4"/>
        <v>#REF!</v>
      </c>
      <c r="Q65" s="672"/>
      <c r="R65" s="668"/>
      <c r="S65" s="680"/>
      <c r="T65" s="681"/>
    </row>
    <row r="66" spans="1:20" s="682" customFormat="1" ht="25.5" hidden="1" customHeight="1">
      <c r="A66" s="662"/>
      <c r="B66" s="666">
        <f t="shared" si="0"/>
        <v>0</v>
      </c>
      <c r="C66" s="663" t="s">
        <v>1408</v>
      </c>
      <c r="D66" s="675">
        <f>ROUND([14]Data!K290,2)</f>
        <v>8268.06</v>
      </c>
      <c r="E66" s="674" t="s">
        <v>235</v>
      </c>
      <c r="F66" s="663">
        <f t="shared" si="6"/>
        <v>0</v>
      </c>
      <c r="G66" s="675"/>
      <c r="H66" s="667">
        <f t="shared" si="5"/>
        <v>0</v>
      </c>
      <c r="I66" s="675"/>
      <c r="J66" s="667">
        <f t="shared" si="2"/>
        <v>0</v>
      </c>
      <c r="K66" s="667"/>
      <c r="L66" s="667"/>
      <c r="M66" s="667" t="e">
        <f>G66+#REF!+#REF!+#REF!+I66+#REF!+#REF!+#REF!+#REF!+#REF!+#REF!+K66+#REF!+#REF!+#REF!</f>
        <v>#REF!</v>
      </c>
      <c r="N66" s="667" t="e">
        <f t="shared" si="3"/>
        <v>#REF!</v>
      </c>
      <c r="O66" s="665" t="e">
        <f>#REF!+M66</f>
        <v>#REF!</v>
      </c>
      <c r="P66" s="666" t="e">
        <f t="shared" si="4"/>
        <v>#REF!</v>
      </c>
      <c r="Q66" s="672"/>
      <c r="R66" s="668"/>
      <c r="S66" s="680"/>
      <c r="T66" s="681"/>
    </row>
    <row r="67" spans="1:20" s="682" customFormat="1" ht="25.5" hidden="1" customHeight="1">
      <c r="A67" s="687"/>
      <c r="B67" s="666">
        <f t="shared" si="0"/>
        <v>0</v>
      </c>
      <c r="C67" s="663" t="s">
        <v>1409</v>
      </c>
      <c r="D67" s="675">
        <f>ROUND([14]Data!K291,2)</f>
        <v>8471.56</v>
      </c>
      <c r="E67" s="674" t="s">
        <v>235</v>
      </c>
      <c r="F67" s="663">
        <f t="shared" si="6"/>
        <v>0</v>
      </c>
      <c r="G67" s="675"/>
      <c r="H67" s="667">
        <f t="shared" si="5"/>
        <v>0</v>
      </c>
      <c r="I67" s="675"/>
      <c r="J67" s="667">
        <f t="shared" si="2"/>
        <v>0</v>
      </c>
      <c r="K67" s="667"/>
      <c r="L67" s="667"/>
      <c r="M67" s="667" t="e">
        <f>G67+#REF!+#REF!+#REF!+I67+#REF!+#REF!+#REF!+#REF!+#REF!+#REF!+K67+#REF!+#REF!+#REF!</f>
        <v>#REF!</v>
      </c>
      <c r="N67" s="667" t="e">
        <f t="shared" si="3"/>
        <v>#REF!</v>
      </c>
      <c r="O67" s="665" t="e">
        <f>#REF!+M67</f>
        <v>#REF!</v>
      </c>
      <c r="P67" s="666" t="e">
        <f t="shared" si="4"/>
        <v>#REF!</v>
      </c>
      <c r="Q67" s="672"/>
      <c r="R67" s="668"/>
      <c r="S67" s="680"/>
      <c r="T67" s="681"/>
    </row>
    <row r="68" spans="1:20" s="677" customFormat="1" ht="25.5" hidden="1" customHeight="1">
      <c r="A68" s="662">
        <v>8.1999999999999993</v>
      </c>
      <c r="B68" s="666">
        <f t="shared" ref="B68:B131" si="7">G68</f>
        <v>0</v>
      </c>
      <c r="C68" s="685" t="s">
        <v>1410</v>
      </c>
      <c r="D68" s="675"/>
      <c r="E68" s="674"/>
      <c r="F68" s="663">
        <f t="shared" si="6"/>
        <v>0</v>
      </c>
      <c r="G68" s="684"/>
      <c r="H68" s="667">
        <f t="shared" si="5"/>
        <v>0</v>
      </c>
      <c r="I68" s="675"/>
      <c r="J68" s="667">
        <f t="shared" si="2"/>
        <v>0</v>
      </c>
      <c r="K68" s="667"/>
      <c r="L68" s="667"/>
      <c r="M68" s="667" t="e">
        <f>G68+#REF!+#REF!+#REF!+I68+#REF!+#REF!+#REF!+#REF!+#REF!+#REF!+K68+#REF!+#REF!+#REF!</f>
        <v>#REF!</v>
      </c>
      <c r="N68" s="667" t="e">
        <f t="shared" si="3"/>
        <v>#REF!</v>
      </c>
      <c r="O68" s="665" t="e">
        <f>#REF!+M68</f>
        <v>#REF!</v>
      </c>
      <c r="P68" s="666" t="e">
        <f t="shared" si="4"/>
        <v>#REF!</v>
      </c>
      <c r="Q68" s="672"/>
      <c r="R68" s="668"/>
      <c r="S68" s="676"/>
      <c r="T68" s="676"/>
    </row>
    <row r="69" spans="1:20" s="677" customFormat="1" ht="25.5" hidden="1" customHeight="1">
      <c r="A69" s="666"/>
      <c r="B69" s="666">
        <f t="shared" si="7"/>
        <v>0</v>
      </c>
      <c r="C69" s="663" t="s">
        <v>1405</v>
      </c>
      <c r="D69" s="675">
        <f>ROUND([14]Data!K823,2)</f>
        <v>8299.4500000000007</v>
      </c>
      <c r="E69" s="674" t="s">
        <v>235</v>
      </c>
      <c r="F69" s="663">
        <f t="shared" si="6"/>
        <v>0</v>
      </c>
      <c r="G69" s="684"/>
      <c r="H69" s="667">
        <f t="shared" si="5"/>
        <v>0</v>
      </c>
      <c r="I69" s="675"/>
      <c r="J69" s="667">
        <f t="shared" si="2"/>
        <v>0</v>
      </c>
      <c r="K69" s="667"/>
      <c r="L69" s="667"/>
      <c r="M69" s="667" t="e">
        <f>G69+#REF!+#REF!+#REF!+I69+#REF!+#REF!+#REF!+#REF!+#REF!+#REF!+K69+#REF!+#REF!+#REF!</f>
        <v>#REF!</v>
      </c>
      <c r="N69" s="667" t="e">
        <f t="shared" si="3"/>
        <v>#REF!</v>
      </c>
      <c r="O69" s="665" t="e">
        <f>#REF!+M69</f>
        <v>#REF!</v>
      </c>
      <c r="P69" s="666" t="e">
        <f t="shared" si="4"/>
        <v>#REF!</v>
      </c>
      <c r="Q69" s="672"/>
      <c r="R69" s="668"/>
      <c r="S69" s="676"/>
      <c r="T69" s="676"/>
    </row>
    <row r="70" spans="1:20" s="677" customFormat="1" ht="25.5" hidden="1" customHeight="1">
      <c r="A70" s="666"/>
      <c r="B70" s="666">
        <f t="shared" si="7"/>
        <v>0</v>
      </c>
      <c r="C70" s="663" t="s">
        <v>1406</v>
      </c>
      <c r="D70" s="675">
        <f>ROUND([14]Data!K824,2)</f>
        <v>8502.9500000000007</v>
      </c>
      <c r="E70" s="674" t="s">
        <v>235</v>
      </c>
      <c r="F70" s="663">
        <f t="shared" si="6"/>
        <v>0</v>
      </c>
      <c r="G70" s="684"/>
      <c r="H70" s="667">
        <f t="shared" si="5"/>
        <v>0</v>
      </c>
      <c r="I70" s="675"/>
      <c r="J70" s="667">
        <f t="shared" ref="J70:J133" si="8">I70*D70</f>
        <v>0</v>
      </c>
      <c r="K70" s="667"/>
      <c r="L70" s="667"/>
      <c r="M70" s="667" t="e">
        <f>G70+#REF!+#REF!+#REF!+I70+#REF!+#REF!+#REF!+#REF!+#REF!+#REF!+K70+#REF!+#REF!+#REF!</f>
        <v>#REF!</v>
      </c>
      <c r="N70" s="667" t="e">
        <f t="shared" ref="N70:N133" si="9">M70*D70</f>
        <v>#REF!</v>
      </c>
      <c r="O70" s="665" t="e">
        <f>#REF!+M70</f>
        <v>#REF!</v>
      </c>
      <c r="P70" s="666" t="e">
        <f t="shared" ref="P70:P133" si="10">O70*D70</f>
        <v>#REF!</v>
      </c>
      <c r="Q70" s="672"/>
      <c r="R70" s="668"/>
      <c r="S70" s="676"/>
      <c r="T70" s="676"/>
    </row>
    <row r="71" spans="1:20" s="677" customFormat="1" ht="25.5" hidden="1" customHeight="1">
      <c r="A71" s="666"/>
      <c r="B71" s="666">
        <f t="shared" si="7"/>
        <v>0</v>
      </c>
      <c r="C71" s="663" t="s">
        <v>1407</v>
      </c>
      <c r="D71" s="675">
        <f>ROUND([14]Data!K825,2)</f>
        <v>8706.4500000000007</v>
      </c>
      <c r="E71" s="674" t="s">
        <v>235</v>
      </c>
      <c r="F71" s="663">
        <f t="shared" si="6"/>
        <v>0</v>
      </c>
      <c r="G71" s="684"/>
      <c r="H71" s="667">
        <f t="shared" si="5"/>
        <v>0</v>
      </c>
      <c r="I71" s="675"/>
      <c r="J71" s="667">
        <f t="shared" si="8"/>
        <v>0</v>
      </c>
      <c r="K71" s="667"/>
      <c r="L71" s="667"/>
      <c r="M71" s="667" t="e">
        <f>G71+#REF!+#REF!+#REF!+I71+#REF!+#REF!+#REF!+#REF!+#REF!+#REF!+K71+#REF!+#REF!+#REF!</f>
        <v>#REF!</v>
      </c>
      <c r="N71" s="667" t="e">
        <f t="shared" si="9"/>
        <v>#REF!</v>
      </c>
      <c r="O71" s="665" t="e">
        <f>#REF!+M71</f>
        <v>#REF!</v>
      </c>
      <c r="P71" s="666" t="e">
        <f t="shared" si="10"/>
        <v>#REF!</v>
      </c>
      <c r="Q71" s="672"/>
      <c r="R71" s="668"/>
      <c r="S71" s="676"/>
      <c r="T71" s="676"/>
    </row>
    <row r="72" spans="1:20" s="677" customFormat="1" ht="25.5" hidden="1" customHeight="1">
      <c r="A72" s="666"/>
      <c r="B72" s="666">
        <f t="shared" si="7"/>
        <v>0</v>
      </c>
      <c r="C72" s="663" t="s">
        <v>1408</v>
      </c>
      <c r="D72" s="675">
        <f>ROUND([14]Data!K826,2)</f>
        <v>8909.9500000000007</v>
      </c>
      <c r="E72" s="674" t="s">
        <v>235</v>
      </c>
      <c r="F72" s="663">
        <f t="shared" si="6"/>
        <v>0</v>
      </c>
      <c r="G72" s="684"/>
      <c r="H72" s="667">
        <f t="shared" si="5"/>
        <v>0</v>
      </c>
      <c r="I72" s="675"/>
      <c r="J72" s="667">
        <f t="shared" si="8"/>
        <v>0</v>
      </c>
      <c r="K72" s="667"/>
      <c r="L72" s="667"/>
      <c r="M72" s="667" t="e">
        <f>G72+#REF!+#REF!+#REF!+I72+#REF!+#REF!+#REF!+#REF!+#REF!+#REF!+K72+#REF!+#REF!+#REF!</f>
        <v>#REF!</v>
      </c>
      <c r="N72" s="667" t="e">
        <f t="shared" si="9"/>
        <v>#REF!</v>
      </c>
      <c r="O72" s="665" t="e">
        <f>#REF!+M72</f>
        <v>#REF!</v>
      </c>
      <c r="P72" s="666" t="e">
        <f t="shared" si="10"/>
        <v>#REF!</v>
      </c>
      <c r="Q72" s="672"/>
      <c r="R72" s="668"/>
      <c r="S72" s="676"/>
      <c r="T72" s="676"/>
    </row>
    <row r="73" spans="1:20" s="677" customFormat="1" ht="25.5" hidden="1" customHeight="1">
      <c r="A73" s="662"/>
      <c r="B73" s="666">
        <f t="shared" si="7"/>
        <v>0</v>
      </c>
      <c r="C73" s="663" t="s">
        <v>1409</v>
      </c>
      <c r="D73" s="675">
        <f>ROUND([14]Data!K827,2)</f>
        <v>9113.4500000000007</v>
      </c>
      <c r="E73" s="674" t="s">
        <v>235</v>
      </c>
      <c r="F73" s="663">
        <f t="shared" si="6"/>
        <v>0</v>
      </c>
      <c r="G73" s="684"/>
      <c r="H73" s="667">
        <f t="shared" si="5"/>
        <v>0</v>
      </c>
      <c r="I73" s="675"/>
      <c r="J73" s="667">
        <f t="shared" si="8"/>
        <v>0</v>
      </c>
      <c r="K73" s="667"/>
      <c r="L73" s="667"/>
      <c r="M73" s="667" t="e">
        <f>G73+#REF!+#REF!+#REF!+I73+#REF!+#REF!+#REF!+#REF!+#REF!+#REF!+K73+#REF!+#REF!+#REF!</f>
        <v>#REF!</v>
      </c>
      <c r="N73" s="667" t="e">
        <f t="shared" si="9"/>
        <v>#REF!</v>
      </c>
      <c r="O73" s="665" t="e">
        <f>#REF!+M73</f>
        <v>#REF!</v>
      </c>
      <c r="P73" s="666" t="e">
        <f t="shared" si="10"/>
        <v>#REF!</v>
      </c>
      <c r="Q73" s="672"/>
      <c r="R73" s="668"/>
      <c r="S73" s="676"/>
      <c r="T73" s="676"/>
    </row>
    <row r="74" spans="1:20" s="677" customFormat="1" ht="25.5" hidden="1" customHeight="1">
      <c r="A74" s="662"/>
      <c r="B74" s="666">
        <f t="shared" si="7"/>
        <v>0</v>
      </c>
      <c r="C74" s="663" t="s">
        <v>1411</v>
      </c>
      <c r="D74" s="675">
        <f>ROUND([14]Data!K828,2)</f>
        <v>9316.9500000000007</v>
      </c>
      <c r="E74" s="674" t="s">
        <v>235</v>
      </c>
      <c r="F74" s="663">
        <f t="shared" si="6"/>
        <v>0</v>
      </c>
      <c r="G74" s="684"/>
      <c r="H74" s="667">
        <f t="shared" si="5"/>
        <v>0</v>
      </c>
      <c r="I74" s="675"/>
      <c r="J74" s="667">
        <f t="shared" si="8"/>
        <v>0</v>
      </c>
      <c r="K74" s="667"/>
      <c r="L74" s="667"/>
      <c r="M74" s="667" t="e">
        <f>G74+#REF!+#REF!+#REF!+I74+#REF!+#REF!+#REF!+#REF!+#REF!+#REF!+K74+#REF!+#REF!+#REF!</f>
        <v>#REF!</v>
      </c>
      <c r="N74" s="667" t="e">
        <f t="shared" si="9"/>
        <v>#REF!</v>
      </c>
      <c r="O74" s="665" t="e">
        <f>#REF!+M74</f>
        <v>#REF!</v>
      </c>
      <c r="P74" s="666" t="e">
        <f t="shared" si="10"/>
        <v>#REF!</v>
      </c>
      <c r="Q74" s="672"/>
      <c r="R74" s="668"/>
      <c r="S74" s="676"/>
      <c r="T74" s="676"/>
    </row>
    <row r="75" spans="1:20" s="677" customFormat="1" ht="25.5" hidden="1" customHeight="1">
      <c r="A75" s="662"/>
      <c r="B75" s="666">
        <f t="shared" si="7"/>
        <v>0</v>
      </c>
      <c r="C75" s="663" t="s">
        <v>1412</v>
      </c>
      <c r="D75" s="675">
        <f>ROUND([14]Data!K829,2)</f>
        <v>9520.4500000000007</v>
      </c>
      <c r="E75" s="674" t="s">
        <v>235</v>
      </c>
      <c r="F75" s="663">
        <f t="shared" si="6"/>
        <v>0</v>
      </c>
      <c r="G75" s="684"/>
      <c r="H75" s="667">
        <f t="shared" si="5"/>
        <v>0</v>
      </c>
      <c r="I75" s="675"/>
      <c r="J75" s="667">
        <f t="shared" si="8"/>
        <v>0</v>
      </c>
      <c r="K75" s="667"/>
      <c r="L75" s="667"/>
      <c r="M75" s="667" t="e">
        <f>G75+#REF!+#REF!+#REF!+I75+#REF!+#REF!+#REF!+#REF!+#REF!+#REF!+K75+#REF!+#REF!+#REF!</f>
        <v>#REF!</v>
      </c>
      <c r="N75" s="667" t="e">
        <f t="shared" si="9"/>
        <v>#REF!</v>
      </c>
      <c r="O75" s="665" t="e">
        <f>#REF!+M75</f>
        <v>#REF!</v>
      </c>
      <c r="P75" s="666" t="e">
        <f t="shared" si="10"/>
        <v>#REF!</v>
      </c>
      <c r="Q75" s="672"/>
      <c r="R75" s="668"/>
      <c r="S75" s="676"/>
      <c r="T75" s="676"/>
    </row>
    <row r="76" spans="1:20" s="677" customFormat="1" ht="25.5" hidden="1" customHeight="1">
      <c r="A76" s="662"/>
      <c r="B76" s="666">
        <f t="shared" si="7"/>
        <v>0</v>
      </c>
      <c r="C76" s="663" t="s">
        <v>1413</v>
      </c>
      <c r="D76" s="675">
        <f>ROUND([14]Data!K830,2)</f>
        <v>9723.9500000000007</v>
      </c>
      <c r="E76" s="674" t="s">
        <v>235</v>
      </c>
      <c r="F76" s="663">
        <f t="shared" si="6"/>
        <v>0</v>
      </c>
      <c r="G76" s="684"/>
      <c r="H76" s="667">
        <f t="shared" si="5"/>
        <v>0</v>
      </c>
      <c r="I76" s="675"/>
      <c r="J76" s="667">
        <f t="shared" si="8"/>
        <v>0</v>
      </c>
      <c r="K76" s="667"/>
      <c r="L76" s="667"/>
      <c r="M76" s="667" t="e">
        <f>G76+#REF!+#REF!+#REF!+I76+#REF!+#REF!+#REF!+#REF!+#REF!+#REF!+K76+#REF!+#REF!+#REF!</f>
        <v>#REF!</v>
      </c>
      <c r="N76" s="667" t="e">
        <f t="shared" si="9"/>
        <v>#REF!</v>
      </c>
      <c r="O76" s="665" t="e">
        <f>#REF!+M76</f>
        <v>#REF!</v>
      </c>
      <c r="P76" s="666" t="e">
        <f t="shared" si="10"/>
        <v>#REF!</v>
      </c>
      <c r="Q76" s="672"/>
      <c r="R76" s="668"/>
      <c r="S76" s="676"/>
      <c r="T76" s="676"/>
    </row>
    <row r="77" spans="1:20" s="677" customFormat="1" ht="25.5" hidden="1" customHeight="1">
      <c r="A77" s="662"/>
      <c r="B77" s="666">
        <f t="shared" si="7"/>
        <v>0</v>
      </c>
      <c r="C77" s="663" t="s">
        <v>1414</v>
      </c>
      <c r="D77" s="675">
        <f>ROUND([14]Data!K831,2)</f>
        <v>9927.4500000000007</v>
      </c>
      <c r="E77" s="674" t="s">
        <v>235</v>
      </c>
      <c r="F77" s="663">
        <f t="shared" si="6"/>
        <v>0</v>
      </c>
      <c r="G77" s="684"/>
      <c r="H77" s="667">
        <f t="shared" si="5"/>
        <v>0</v>
      </c>
      <c r="I77" s="675"/>
      <c r="J77" s="667">
        <f t="shared" si="8"/>
        <v>0</v>
      </c>
      <c r="K77" s="667"/>
      <c r="L77" s="667"/>
      <c r="M77" s="667" t="e">
        <f>G77+#REF!+#REF!+#REF!+I77+#REF!+#REF!+#REF!+#REF!+#REF!+#REF!+K77+#REF!+#REF!+#REF!</f>
        <v>#REF!</v>
      </c>
      <c r="N77" s="667" t="e">
        <f t="shared" si="9"/>
        <v>#REF!</v>
      </c>
      <c r="O77" s="665" t="e">
        <f>#REF!+M77</f>
        <v>#REF!</v>
      </c>
      <c r="P77" s="666" t="e">
        <f t="shared" si="10"/>
        <v>#REF!</v>
      </c>
      <c r="Q77" s="672"/>
      <c r="R77" s="668"/>
      <c r="S77" s="676"/>
      <c r="T77" s="676"/>
    </row>
    <row r="78" spans="1:20" s="677" customFormat="1" ht="25.5" hidden="1" customHeight="1">
      <c r="A78" s="662"/>
      <c r="B78" s="666">
        <f t="shared" si="7"/>
        <v>0</v>
      </c>
      <c r="C78" s="663" t="s">
        <v>1415</v>
      </c>
      <c r="D78" s="675">
        <f>ROUND([14]Data!K832,2)</f>
        <v>10130.950000000001</v>
      </c>
      <c r="E78" s="674" t="s">
        <v>235</v>
      </c>
      <c r="F78" s="663">
        <f t="shared" si="6"/>
        <v>0</v>
      </c>
      <c r="G78" s="684"/>
      <c r="H78" s="667">
        <f t="shared" si="5"/>
        <v>0</v>
      </c>
      <c r="I78" s="675"/>
      <c r="J78" s="667">
        <f t="shared" si="8"/>
        <v>0</v>
      </c>
      <c r="K78" s="667"/>
      <c r="L78" s="667"/>
      <c r="M78" s="667" t="e">
        <f>G78+#REF!+#REF!+#REF!+I78+#REF!+#REF!+#REF!+#REF!+#REF!+#REF!+K78+#REF!+#REF!+#REF!</f>
        <v>#REF!</v>
      </c>
      <c r="N78" s="667" t="e">
        <f t="shared" si="9"/>
        <v>#REF!</v>
      </c>
      <c r="O78" s="665" t="e">
        <f>#REF!+M78</f>
        <v>#REF!</v>
      </c>
      <c r="P78" s="666" t="e">
        <f t="shared" si="10"/>
        <v>#REF!</v>
      </c>
      <c r="Q78" s="672"/>
      <c r="R78" s="668"/>
      <c r="S78" s="676"/>
      <c r="T78" s="676"/>
    </row>
    <row r="79" spans="1:20" s="677" customFormat="1" ht="25.5" hidden="1" customHeight="1">
      <c r="A79" s="662"/>
      <c r="B79" s="666">
        <f t="shared" si="7"/>
        <v>0</v>
      </c>
      <c r="C79" s="663" t="s">
        <v>1416</v>
      </c>
      <c r="D79" s="675">
        <f>ROUND([14]Data!K833,2)</f>
        <v>10334.450000000001</v>
      </c>
      <c r="E79" s="674" t="s">
        <v>235</v>
      </c>
      <c r="F79" s="663">
        <f t="shared" si="6"/>
        <v>0</v>
      </c>
      <c r="G79" s="684"/>
      <c r="H79" s="667">
        <f t="shared" si="5"/>
        <v>0</v>
      </c>
      <c r="I79" s="675"/>
      <c r="J79" s="667">
        <f t="shared" si="8"/>
        <v>0</v>
      </c>
      <c r="K79" s="667"/>
      <c r="L79" s="667"/>
      <c r="M79" s="667" t="e">
        <f>G79+#REF!+#REF!+#REF!+I79+#REF!+#REF!+#REF!+#REF!+#REF!+#REF!+K79+#REF!+#REF!+#REF!</f>
        <v>#REF!</v>
      </c>
      <c r="N79" s="667" t="e">
        <f t="shared" si="9"/>
        <v>#REF!</v>
      </c>
      <c r="O79" s="665" t="e">
        <f>#REF!+M79</f>
        <v>#REF!</v>
      </c>
      <c r="P79" s="666" t="e">
        <f t="shared" si="10"/>
        <v>#REF!</v>
      </c>
      <c r="Q79" s="672"/>
      <c r="R79" s="668"/>
      <c r="S79" s="676"/>
      <c r="T79" s="676"/>
    </row>
    <row r="80" spans="1:20" s="677" customFormat="1" ht="25.5" hidden="1" customHeight="1">
      <c r="A80" s="662"/>
      <c r="B80" s="666">
        <f t="shared" si="7"/>
        <v>0</v>
      </c>
      <c r="C80" s="663" t="s">
        <v>1417</v>
      </c>
      <c r="D80" s="675">
        <f>ROUND([14]Data!K834,2)</f>
        <v>10537.95</v>
      </c>
      <c r="E80" s="674" t="s">
        <v>235</v>
      </c>
      <c r="F80" s="663">
        <f t="shared" si="6"/>
        <v>0</v>
      </c>
      <c r="G80" s="684"/>
      <c r="H80" s="667">
        <f t="shared" ref="H80:H143" si="11">G80*D80</f>
        <v>0</v>
      </c>
      <c r="I80" s="675"/>
      <c r="J80" s="667">
        <f t="shared" si="8"/>
        <v>0</v>
      </c>
      <c r="K80" s="667"/>
      <c r="L80" s="667"/>
      <c r="M80" s="667" t="e">
        <f>G80+#REF!+#REF!+#REF!+I80+#REF!+#REF!+#REF!+#REF!+#REF!+#REF!+K80+#REF!+#REF!+#REF!</f>
        <v>#REF!</v>
      </c>
      <c r="N80" s="667" t="e">
        <f t="shared" si="9"/>
        <v>#REF!</v>
      </c>
      <c r="O80" s="665" t="e">
        <f>#REF!+M80</f>
        <v>#REF!</v>
      </c>
      <c r="P80" s="666" t="e">
        <f t="shared" si="10"/>
        <v>#REF!</v>
      </c>
      <c r="Q80" s="672"/>
      <c r="R80" s="668"/>
      <c r="S80" s="676"/>
      <c r="T80" s="676"/>
    </row>
    <row r="81" spans="1:20" s="677" customFormat="1" ht="25.5" hidden="1" customHeight="1">
      <c r="A81" s="662"/>
      <c r="B81" s="666">
        <f t="shared" si="7"/>
        <v>0</v>
      </c>
      <c r="C81" s="663" t="s">
        <v>1418</v>
      </c>
      <c r="D81" s="675">
        <f>ROUND([14]Data!K835,2)</f>
        <v>10741.45</v>
      </c>
      <c r="E81" s="674" t="s">
        <v>235</v>
      </c>
      <c r="F81" s="663">
        <f t="shared" ref="F81:F144" si="12">B81*D81</f>
        <v>0</v>
      </c>
      <c r="G81" s="684"/>
      <c r="H81" s="667">
        <f t="shared" si="11"/>
        <v>0</v>
      </c>
      <c r="I81" s="675"/>
      <c r="J81" s="667">
        <f t="shared" si="8"/>
        <v>0</v>
      </c>
      <c r="K81" s="667"/>
      <c r="L81" s="667"/>
      <c r="M81" s="667" t="e">
        <f>G81+#REF!+#REF!+#REF!+I81+#REF!+#REF!+#REF!+#REF!+#REF!+#REF!+K81+#REF!+#REF!+#REF!</f>
        <v>#REF!</v>
      </c>
      <c r="N81" s="667" t="e">
        <f t="shared" si="9"/>
        <v>#REF!</v>
      </c>
      <c r="O81" s="665" t="e">
        <f>#REF!+M81</f>
        <v>#REF!</v>
      </c>
      <c r="P81" s="666" t="e">
        <f t="shared" si="10"/>
        <v>#REF!</v>
      </c>
      <c r="Q81" s="672"/>
      <c r="R81" s="668"/>
      <c r="S81" s="676"/>
      <c r="T81" s="676"/>
    </row>
    <row r="82" spans="1:20" s="677" customFormat="1" ht="46.5" hidden="1" customHeight="1">
      <c r="A82" s="662">
        <v>9.1</v>
      </c>
      <c r="B82" s="666">
        <f t="shared" si="7"/>
        <v>0</v>
      </c>
      <c r="C82" s="663" t="s">
        <v>1419</v>
      </c>
      <c r="D82" s="675"/>
      <c r="E82" s="674"/>
      <c r="F82" s="663">
        <f t="shared" si="12"/>
        <v>0</v>
      </c>
      <c r="G82" s="684"/>
      <c r="H82" s="667">
        <f t="shared" si="11"/>
        <v>0</v>
      </c>
      <c r="I82" s="675"/>
      <c r="J82" s="667">
        <f t="shared" si="8"/>
        <v>0</v>
      </c>
      <c r="K82" s="667"/>
      <c r="L82" s="667"/>
      <c r="M82" s="667" t="e">
        <f>G82+#REF!+#REF!+#REF!+I82+#REF!+#REF!+#REF!+#REF!+#REF!+#REF!+K82+#REF!+#REF!+#REF!</f>
        <v>#REF!</v>
      </c>
      <c r="N82" s="667" t="e">
        <f t="shared" si="9"/>
        <v>#REF!</v>
      </c>
      <c r="O82" s="665" t="e">
        <f>#REF!+M82</f>
        <v>#REF!</v>
      </c>
      <c r="P82" s="666" t="e">
        <f t="shared" si="10"/>
        <v>#REF!</v>
      </c>
      <c r="Q82" s="672"/>
      <c r="R82" s="668"/>
      <c r="S82" s="676"/>
      <c r="T82" s="676"/>
    </row>
    <row r="83" spans="1:20" s="677" customFormat="1" ht="25.5" hidden="1" customHeight="1">
      <c r="A83" s="662"/>
      <c r="B83" s="666">
        <f t="shared" si="7"/>
        <v>0</v>
      </c>
      <c r="C83" s="663" t="s">
        <v>1420</v>
      </c>
      <c r="D83" s="675">
        <f>[14]Data!X347</f>
        <v>6345.06</v>
      </c>
      <c r="E83" s="674" t="s">
        <v>235</v>
      </c>
      <c r="F83" s="663">
        <f t="shared" si="12"/>
        <v>0</v>
      </c>
      <c r="G83" s="684"/>
      <c r="H83" s="667">
        <f t="shared" si="11"/>
        <v>0</v>
      </c>
      <c r="I83" s="675"/>
      <c r="J83" s="667">
        <f t="shared" si="8"/>
        <v>0</v>
      </c>
      <c r="K83" s="667"/>
      <c r="L83" s="667"/>
      <c r="M83" s="667" t="e">
        <f>G83+#REF!+#REF!+#REF!+I83+#REF!+#REF!+#REF!+#REF!+#REF!+#REF!+K83+#REF!+#REF!+#REF!</f>
        <v>#REF!</v>
      </c>
      <c r="N83" s="667" t="e">
        <f t="shared" si="9"/>
        <v>#REF!</v>
      </c>
      <c r="O83" s="665" t="e">
        <f>#REF!+M83</f>
        <v>#REF!</v>
      </c>
      <c r="P83" s="666" t="e">
        <f t="shared" si="10"/>
        <v>#REF!</v>
      </c>
      <c r="Q83" s="672"/>
      <c r="R83" s="668"/>
      <c r="S83" s="676"/>
      <c r="T83" s="676"/>
    </row>
    <row r="84" spans="1:20" s="677" customFormat="1" ht="25.5" hidden="1" customHeight="1">
      <c r="A84" s="662"/>
      <c r="B84" s="666">
        <f t="shared" si="7"/>
        <v>0</v>
      </c>
      <c r="C84" s="663" t="s">
        <v>1421</v>
      </c>
      <c r="D84" s="675">
        <f>[14]Data!X348</f>
        <v>6482.26</v>
      </c>
      <c r="E84" s="674" t="s">
        <v>235</v>
      </c>
      <c r="F84" s="663">
        <f t="shared" si="12"/>
        <v>0</v>
      </c>
      <c r="G84" s="684"/>
      <c r="H84" s="667">
        <f t="shared" si="11"/>
        <v>0</v>
      </c>
      <c r="I84" s="675"/>
      <c r="J84" s="667">
        <f t="shared" si="8"/>
        <v>0</v>
      </c>
      <c r="K84" s="667"/>
      <c r="L84" s="667"/>
      <c r="M84" s="667" t="e">
        <f>G84+#REF!+#REF!+#REF!+I84+#REF!+#REF!+#REF!+#REF!+#REF!+#REF!+K84+#REF!+#REF!+#REF!</f>
        <v>#REF!</v>
      </c>
      <c r="N84" s="667" t="e">
        <f t="shared" si="9"/>
        <v>#REF!</v>
      </c>
      <c r="O84" s="665" t="e">
        <f>#REF!+M84</f>
        <v>#REF!</v>
      </c>
      <c r="P84" s="666" t="e">
        <f t="shared" si="10"/>
        <v>#REF!</v>
      </c>
      <c r="Q84" s="672"/>
      <c r="R84" s="668"/>
      <c r="S84" s="676"/>
      <c r="T84" s="676"/>
    </row>
    <row r="85" spans="1:20" s="677" customFormat="1" ht="25.5" hidden="1" customHeight="1">
      <c r="A85" s="662"/>
      <c r="B85" s="666">
        <f t="shared" si="7"/>
        <v>0</v>
      </c>
      <c r="C85" s="663" t="s">
        <v>1422</v>
      </c>
      <c r="D85" s="675">
        <f>[14]Data!X349</f>
        <v>6619.46</v>
      </c>
      <c r="E85" s="674" t="s">
        <v>235</v>
      </c>
      <c r="F85" s="663">
        <f t="shared" si="12"/>
        <v>0</v>
      </c>
      <c r="G85" s="684"/>
      <c r="H85" s="667">
        <f t="shared" si="11"/>
        <v>0</v>
      </c>
      <c r="I85" s="675"/>
      <c r="J85" s="667">
        <f t="shared" si="8"/>
        <v>0</v>
      </c>
      <c r="K85" s="667"/>
      <c r="L85" s="667"/>
      <c r="M85" s="667" t="e">
        <f>G85+#REF!+#REF!+#REF!+I85+#REF!+#REF!+#REF!+#REF!+#REF!+#REF!+K85+#REF!+#REF!+#REF!</f>
        <v>#REF!</v>
      </c>
      <c r="N85" s="667" t="e">
        <f t="shared" si="9"/>
        <v>#REF!</v>
      </c>
      <c r="O85" s="665" t="e">
        <f>#REF!+M85</f>
        <v>#REF!</v>
      </c>
      <c r="P85" s="666" t="e">
        <f t="shared" si="10"/>
        <v>#REF!</v>
      </c>
      <c r="Q85" s="672"/>
      <c r="R85" s="668"/>
      <c r="S85" s="676"/>
      <c r="T85" s="676"/>
    </row>
    <row r="86" spans="1:20" s="677" customFormat="1" ht="25.5" hidden="1" customHeight="1">
      <c r="A86" s="662"/>
      <c r="B86" s="666">
        <f t="shared" si="7"/>
        <v>0</v>
      </c>
      <c r="C86" s="663" t="s">
        <v>1423</v>
      </c>
      <c r="D86" s="675">
        <f>[14]Data!X350</f>
        <v>6756.66</v>
      </c>
      <c r="E86" s="674" t="s">
        <v>235</v>
      </c>
      <c r="F86" s="663">
        <f t="shared" si="12"/>
        <v>0</v>
      </c>
      <c r="G86" s="684"/>
      <c r="H86" s="667">
        <f t="shared" si="11"/>
        <v>0</v>
      </c>
      <c r="I86" s="675"/>
      <c r="J86" s="667">
        <f t="shared" si="8"/>
        <v>0</v>
      </c>
      <c r="K86" s="667"/>
      <c r="L86" s="667"/>
      <c r="M86" s="667" t="e">
        <f>G86+#REF!+#REF!+#REF!+I86+#REF!+#REF!+#REF!+#REF!+#REF!+#REF!+K86+#REF!+#REF!+#REF!</f>
        <v>#REF!</v>
      </c>
      <c r="N86" s="667" t="e">
        <f t="shared" si="9"/>
        <v>#REF!</v>
      </c>
      <c r="O86" s="665" t="e">
        <f>#REF!+M86</f>
        <v>#REF!</v>
      </c>
      <c r="P86" s="666" t="e">
        <f t="shared" si="10"/>
        <v>#REF!</v>
      </c>
      <c r="Q86" s="672"/>
      <c r="R86" s="668"/>
      <c r="S86" s="676"/>
      <c r="T86" s="676"/>
    </row>
    <row r="87" spans="1:20" s="677" customFormat="1" ht="25.5" hidden="1" customHeight="1">
      <c r="A87" s="662"/>
      <c r="B87" s="666">
        <f t="shared" si="7"/>
        <v>0</v>
      </c>
      <c r="C87" s="663" t="s">
        <v>1424</v>
      </c>
      <c r="D87" s="675">
        <f>[14]Data!X351</f>
        <v>6893.86</v>
      </c>
      <c r="E87" s="674" t="s">
        <v>235</v>
      </c>
      <c r="F87" s="663">
        <f t="shared" si="12"/>
        <v>0</v>
      </c>
      <c r="G87" s="684"/>
      <c r="H87" s="667">
        <f t="shared" si="11"/>
        <v>0</v>
      </c>
      <c r="I87" s="675"/>
      <c r="J87" s="667">
        <f t="shared" si="8"/>
        <v>0</v>
      </c>
      <c r="K87" s="667"/>
      <c r="L87" s="667"/>
      <c r="M87" s="667" t="e">
        <f>G87+#REF!+#REF!+#REF!+I87+#REF!+#REF!+#REF!+#REF!+#REF!+#REF!+K87+#REF!+#REF!+#REF!</f>
        <v>#REF!</v>
      </c>
      <c r="N87" s="667" t="e">
        <f t="shared" si="9"/>
        <v>#REF!</v>
      </c>
      <c r="O87" s="665" t="e">
        <f>#REF!+M87</f>
        <v>#REF!</v>
      </c>
      <c r="P87" s="666" t="e">
        <f t="shared" si="10"/>
        <v>#REF!</v>
      </c>
      <c r="Q87" s="672"/>
      <c r="R87" s="668"/>
      <c r="S87" s="676"/>
      <c r="T87" s="676"/>
    </row>
    <row r="88" spans="1:20" s="677" customFormat="1" ht="46.5" hidden="1" customHeight="1">
      <c r="A88" s="662">
        <v>9.1999999999999993</v>
      </c>
      <c r="B88" s="666">
        <f t="shared" si="7"/>
        <v>0</v>
      </c>
      <c r="C88" s="685" t="s">
        <v>1425</v>
      </c>
      <c r="D88" s="675"/>
      <c r="E88" s="674"/>
      <c r="F88" s="663">
        <f t="shared" si="12"/>
        <v>0</v>
      </c>
      <c r="G88" s="684"/>
      <c r="H88" s="667">
        <f t="shared" si="11"/>
        <v>0</v>
      </c>
      <c r="I88" s="675"/>
      <c r="J88" s="667">
        <f t="shared" si="8"/>
        <v>0</v>
      </c>
      <c r="K88" s="667"/>
      <c r="L88" s="667"/>
      <c r="M88" s="667" t="e">
        <f>G88+#REF!+#REF!+#REF!+I88+#REF!+#REF!+#REF!+#REF!+#REF!+#REF!+K88+#REF!+#REF!+#REF!</f>
        <v>#REF!</v>
      </c>
      <c r="N88" s="667" t="e">
        <f t="shared" si="9"/>
        <v>#REF!</v>
      </c>
      <c r="O88" s="665" t="e">
        <f>#REF!+M88</f>
        <v>#REF!</v>
      </c>
      <c r="P88" s="666" t="e">
        <f t="shared" si="10"/>
        <v>#REF!</v>
      </c>
      <c r="Q88" s="672"/>
      <c r="R88" s="668"/>
      <c r="S88" s="676"/>
      <c r="T88" s="676"/>
    </row>
    <row r="89" spans="1:20" s="677" customFormat="1" ht="25.5" hidden="1" customHeight="1">
      <c r="A89" s="662"/>
      <c r="B89" s="666">
        <f t="shared" si="7"/>
        <v>0</v>
      </c>
      <c r="C89" s="663" t="s">
        <v>1426</v>
      </c>
      <c r="D89" s="675">
        <f>ROUND([14]Data!AG347,2)</f>
        <v>6038.67</v>
      </c>
      <c r="E89" s="674" t="s">
        <v>235</v>
      </c>
      <c r="F89" s="663">
        <f t="shared" si="12"/>
        <v>0</v>
      </c>
      <c r="G89" s="684"/>
      <c r="H89" s="667">
        <f t="shared" si="11"/>
        <v>0</v>
      </c>
      <c r="I89" s="675"/>
      <c r="J89" s="667">
        <f t="shared" si="8"/>
        <v>0</v>
      </c>
      <c r="K89" s="667"/>
      <c r="L89" s="667"/>
      <c r="M89" s="667" t="e">
        <f>G89+#REF!+#REF!+#REF!+I89+#REF!+#REF!+#REF!+#REF!+#REF!+#REF!+K89+#REF!+#REF!+#REF!</f>
        <v>#REF!</v>
      </c>
      <c r="N89" s="667" t="e">
        <f t="shared" si="9"/>
        <v>#REF!</v>
      </c>
      <c r="O89" s="665" t="e">
        <f>#REF!+M89</f>
        <v>#REF!</v>
      </c>
      <c r="P89" s="666" t="e">
        <f t="shared" si="10"/>
        <v>#REF!</v>
      </c>
      <c r="Q89" s="672"/>
      <c r="R89" s="668"/>
      <c r="S89" s="676"/>
      <c r="T89" s="676"/>
    </row>
    <row r="90" spans="1:20" s="677" customFormat="1" ht="25.5" hidden="1" customHeight="1">
      <c r="A90" s="662"/>
      <c r="B90" s="666">
        <f t="shared" si="7"/>
        <v>0</v>
      </c>
      <c r="C90" s="663" t="s">
        <v>1421</v>
      </c>
      <c r="D90" s="675">
        <f>ROUND([14]Data!AG348,2)</f>
        <v>6175.87</v>
      </c>
      <c r="E90" s="674" t="s">
        <v>235</v>
      </c>
      <c r="F90" s="663">
        <f t="shared" si="12"/>
        <v>0</v>
      </c>
      <c r="G90" s="684"/>
      <c r="H90" s="667">
        <f t="shared" si="11"/>
        <v>0</v>
      </c>
      <c r="I90" s="675"/>
      <c r="J90" s="667">
        <f t="shared" si="8"/>
        <v>0</v>
      </c>
      <c r="K90" s="667"/>
      <c r="L90" s="667"/>
      <c r="M90" s="667" t="e">
        <f>G90+#REF!+#REF!+#REF!+I90+#REF!+#REF!+#REF!+#REF!+#REF!+#REF!+K90+#REF!+#REF!+#REF!</f>
        <v>#REF!</v>
      </c>
      <c r="N90" s="667" t="e">
        <f t="shared" si="9"/>
        <v>#REF!</v>
      </c>
      <c r="O90" s="665" t="e">
        <f>#REF!+M90</f>
        <v>#REF!</v>
      </c>
      <c r="P90" s="666" t="e">
        <f t="shared" si="10"/>
        <v>#REF!</v>
      </c>
      <c r="Q90" s="672"/>
      <c r="R90" s="668"/>
      <c r="S90" s="676"/>
      <c r="T90" s="676"/>
    </row>
    <row r="91" spans="1:20" s="677" customFormat="1" ht="25.5" hidden="1" customHeight="1">
      <c r="A91" s="662"/>
      <c r="B91" s="666">
        <f t="shared" si="7"/>
        <v>0</v>
      </c>
      <c r="C91" s="663" t="s">
        <v>1422</v>
      </c>
      <c r="D91" s="675">
        <f>ROUND([14]Data!AG349,2)</f>
        <v>6313.07</v>
      </c>
      <c r="E91" s="674" t="s">
        <v>235</v>
      </c>
      <c r="F91" s="663">
        <f t="shared" si="12"/>
        <v>0</v>
      </c>
      <c r="G91" s="684"/>
      <c r="H91" s="667">
        <f t="shared" si="11"/>
        <v>0</v>
      </c>
      <c r="I91" s="675"/>
      <c r="J91" s="667">
        <f t="shared" si="8"/>
        <v>0</v>
      </c>
      <c r="K91" s="667"/>
      <c r="L91" s="667"/>
      <c r="M91" s="667" t="e">
        <f>G91+#REF!+#REF!+#REF!+I91+#REF!+#REF!+#REF!+#REF!+#REF!+#REF!+K91+#REF!+#REF!+#REF!</f>
        <v>#REF!</v>
      </c>
      <c r="N91" s="667" t="e">
        <f t="shared" si="9"/>
        <v>#REF!</v>
      </c>
      <c r="O91" s="665" t="e">
        <f>#REF!+M91</f>
        <v>#REF!</v>
      </c>
      <c r="P91" s="666" t="e">
        <f t="shared" si="10"/>
        <v>#REF!</v>
      </c>
      <c r="Q91" s="672"/>
      <c r="R91" s="668"/>
      <c r="S91" s="676"/>
      <c r="T91" s="676"/>
    </row>
    <row r="92" spans="1:20" s="677" customFormat="1" ht="25.5" hidden="1" customHeight="1">
      <c r="A92" s="662"/>
      <c r="B92" s="666">
        <f t="shared" si="7"/>
        <v>0</v>
      </c>
      <c r="C92" s="663" t="s">
        <v>1423</v>
      </c>
      <c r="D92" s="675">
        <f>ROUND([14]Data!AG350,2)</f>
        <v>6450.27</v>
      </c>
      <c r="E92" s="674" t="s">
        <v>235</v>
      </c>
      <c r="F92" s="663">
        <f t="shared" si="12"/>
        <v>0</v>
      </c>
      <c r="G92" s="684"/>
      <c r="H92" s="667">
        <f t="shared" si="11"/>
        <v>0</v>
      </c>
      <c r="I92" s="675"/>
      <c r="J92" s="667">
        <f t="shared" si="8"/>
        <v>0</v>
      </c>
      <c r="K92" s="667"/>
      <c r="L92" s="667"/>
      <c r="M92" s="667" t="e">
        <f>G92+#REF!+#REF!+#REF!+I92+#REF!+#REF!+#REF!+#REF!+#REF!+#REF!+K92+#REF!+#REF!+#REF!</f>
        <v>#REF!</v>
      </c>
      <c r="N92" s="667" t="e">
        <f t="shared" si="9"/>
        <v>#REF!</v>
      </c>
      <c r="O92" s="665" t="e">
        <f>#REF!+M92</f>
        <v>#REF!</v>
      </c>
      <c r="P92" s="666" t="e">
        <f t="shared" si="10"/>
        <v>#REF!</v>
      </c>
      <c r="Q92" s="672"/>
      <c r="R92" s="668"/>
      <c r="S92" s="676"/>
      <c r="T92" s="676"/>
    </row>
    <row r="93" spans="1:20" s="677" customFormat="1" ht="25.5" hidden="1" customHeight="1">
      <c r="A93" s="662"/>
      <c r="B93" s="666">
        <f t="shared" si="7"/>
        <v>0</v>
      </c>
      <c r="C93" s="663" t="s">
        <v>1424</v>
      </c>
      <c r="D93" s="675">
        <f>ROUND([14]Data!AG351,2)</f>
        <v>6587.47</v>
      </c>
      <c r="E93" s="674" t="s">
        <v>235</v>
      </c>
      <c r="F93" s="663">
        <f t="shared" si="12"/>
        <v>0</v>
      </c>
      <c r="G93" s="684"/>
      <c r="H93" s="667">
        <f t="shared" si="11"/>
        <v>0</v>
      </c>
      <c r="I93" s="675"/>
      <c r="J93" s="667">
        <f t="shared" si="8"/>
        <v>0</v>
      </c>
      <c r="K93" s="667"/>
      <c r="L93" s="667"/>
      <c r="M93" s="667" t="e">
        <f>G93+#REF!+#REF!+#REF!+I93+#REF!+#REF!+#REF!+#REF!+#REF!+#REF!+K93+#REF!+#REF!+#REF!</f>
        <v>#REF!</v>
      </c>
      <c r="N93" s="667" t="e">
        <f t="shared" si="9"/>
        <v>#REF!</v>
      </c>
      <c r="O93" s="665" t="e">
        <f>#REF!+M93</f>
        <v>#REF!</v>
      </c>
      <c r="P93" s="666" t="e">
        <f t="shared" si="10"/>
        <v>#REF!</v>
      </c>
      <c r="Q93" s="672"/>
      <c r="R93" s="668"/>
      <c r="S93" s="676"/>
      <c r="T93" s="676"/>
    </row>
    <row r="94" spans="1:20" s="677" customFormat="1" ht="25.5" hidden="1" customHeight="1">
      <c r="A94" s="662"/>
      <c r="B94" s="666">
        <f t="shared" si="7"/>
        <v>0</v>
      </c>
      <c r="C94" s="663" t="s">
        <v>1411</v>
      </c>
      <c r="D94" s="675">
        <f>ROUND([14]Data!AG352,2)</f>
        <v>6724.67</v>
      </c>
      <c r="E94" s="674" t="s">
        <v>235</v>
      </c>
      <c r="F94" s="663">
        <f t="shared" si="12"/>
        <v>0</v>
      </c>
      <c r="G94" s="684"/>
      <c r="H94" s="667">
        <f t="shared" si="11"/>
        <v>0</v>
      </c>
      <c r="I94" s="675"/>
      <c r="J94" s="667">
        <f t="shared" si="8"/>
        <v>0</v>
      </c>
      <c r="K94" s="667"/>
      <c r="L94" s="667"/>
      <c r="M94" s="667" t="e">
        <f>G94+#REF!+#REF!+#REF!+I94+#REF!+#REF!+#REF!+#REF!+#REF!+#REF!+K94+#REF!+#REF!+#REF!</f>
        <v>#REF!</v>
      </c>
      <c r="N94" s="667" t="e">
        <f t="shared" si="9"/>
        <v>#REF!</v>
      </c>
      <c r="O94" s="665" t="e">
        <f>#REF!+M94</f>
        <v>#REF!</v>
      </c>
      <c r="P94" s="666" t="e">
        <f t="shared" si="10"/>
        <v>#REF!</v>
      </c>
      <c r="Q94" s="672"/>
      <c r="R94" s="668"/>
      <c r="S94" s="676"/>
      <c r="T94" s="676"/>
    </row>
    <row r="95" spans="1:20" s="677" customFormat="1" ht="25.5" hidden="1" customHeight="1">
      <c r="A95" s="662"/>
      <c r="B95" s="666">
        <f t="shared" si="7"/>
        <v>0</v>
      </c>
      <c r="C95" s="663" t="s">
        <v>1412</v>
      </c>
      <c r="D95" s="675">
        <f>ROUND([14]Data!AG353,2)</f>
        <v>6861.87</v>
      </c>
      <c r="E95" s="674" t="s">
        <v>235</v>
      </c>
      <c r="F95" s="663">
        <f t="shared" si="12"/>
        <v>0</v>
      </c>
      <c r="G95" s="684"/>
      <c r="H95" s="667">
        <f t="shared" si="11"/>
        <v>0</v>
      </c>
      <c r="I95" s="675"/>
      <c r="J95" s="667">
        <f t="shared" si="8"/>
        <v>0</v>
      </c>
      <c r="K95" s="667"/>
      <c r="L95" s="667"/>
      <c r="M95" s="667" t="e">
        <f>G95+#REF!+#REF!+#REF!+I95+#REF!+#REF!+#REF!+#REF!+#REF!+#REF!+K95+#REF!+#REF!+#REF!</f>
        <v>#REF!</v>
      </c>
      <c r="N95" s="667" t="e">
        <f t="shared" si="9"/>
        <v>#REF!</v>
      </c>
      <c r="O95" s="665" t="e">
        <f>#REF!+M95</f>
        <v>#REF!</v>
      </c>
      <c r="P95" s="666" t="e">
        <f t="shared" si="10"/>
        <v>#REF!</v>
      </c>
      <c r="Q95" s="672"/>
      <c r="R95" s="668"/>
      <c r="S95" s="676"/>
      <c r="T95" s="676"/>
    </row>
    <row r="96" spans="1:20" s="677" customFormat="1" ht="25.5" hidden="1" customHeight="1">
      <c r="A96" s="662"/>
      <c r="B96" s="666">
        <f t="shared" si="7"/>
        <v>0</v>
      </c>
      <c r="C96" s="663" t="s">
        <v>1413</v>
      </c>
      <c r="D96" s="675">
        <f>ROUND([14]Data!AG354,2)</f>
        <v>6999.07</v>
      </c>
      <c r="E96" s="674" t="s">
        <v>235</v>
      </c>
      <c r="F96" s="663">
        <f t="shared" si="12"/>
        <v>0</v>
      </c>
      <c r="G96" s="684"/>
      <c r="H96" s="667">
        <f t="shared" si="11"/>
        <v>0</v>
      </c>
      <c r="I96" s="675"/>
      <c r="J96" s="667">
        <f t="shared" si="8"/>
        <v>0</v>
      </c>
      <c r="K96" s="667"/>
      <c r="L96" s="667"/>
      <c r="M96" s="667" t="e">
        <f>G96+#REF!+#REF!+#REF!+I96+#REF!+#REF!+#REF!+#REF!+#REF!+#REF!+K96+#REF!+#REF!+#REF!</f>
        <v>#REF!</v>
      </c>
      <c r="N96" s="667" t="e">
        <f t="shared" si="9"/>
        <v>#REF!</v>
      </c>
      <c r="O96" s="665" t="e">
        <f>#REF!+M96</f>
        <v>#REF!</v>
      </c>
      <c r="P96" s="666" t="e">
        <f t="shared" si="10"/>
        <v>#REF!</v>
      </c>
      <c r="Q96" s="672"/>
      <c r="R96" s="668"/>
      <c r="S96" s="676"/>
      <c r="T96" s="676"/>
    </row>
    <row r="97" spans="1:20" s="677" customFormat="1" ht="25.5" hidden="1" customHeight="1">
      <c r="A97" s="662"/>
      <c r="B97" s="666">
        <f t="shared" si="7"/>
        <v>0</v>
      </c>
      <c r="C97" s="663" t="s">
        <v>1414</v>
      </c>
      <c r="D97" s="675">
        <f>ROUND([14]Data!AG355,2)</f>
        <v>7136.27</v>
      </c>
      <c r="E97" s="674" t="s">
        <v>235</v>
      </c>
      <c r="F97" s="663">
        <f t="shared" si="12"/>
        <v>0</v>
      </c>
      <c r="G97" s="684"/>
      <c r="H97" s="667">
        <f t="shared" si="11"/>
        <v>0</v>
      </c>
      <c r="I97" s="675"/>
      <c r="J97" s="667">
        <f t="shared" si="8"/>
        <v>0</v>
      </c>
      <c r="K97" s="667"/>
      <c r="L97" s="667"/>
      <c r="M97" s="667" t="e">
        <f>G97+#REF!+#REF!+#REF!+I97+#REF!+#REF!+#REF!+#REF!+#REF!+#REF!+K97+#REF!+#REF!+#REF!</f>
        <v>#REF!</v>
      </c>
      <c r="N97" s="667" t="e">
        <f t="shared" si="9"/>
        <v>#REF!</v>
      </c>
      <c r="O97" s="665" t="e">
        <f>#REF!+M97</f>
        <v>#REF!</v>
      </c>
      <c r="P97" s="666" t="e">
        <f t="shared" si="10"/>
        <v>#REF!</v>
      </c>
      <c r="Q97" s="672"/>
      <c r="R97" s="668"/>
      <c r="S97" s="676"/>
      <c r="T97" s="676"/>
    </row>
    <row r="98" spans="1:20" s="677" customFormat="1" ht="25.5" hidden="1" customHeight="1">
      <c r="A98" s="662"/>
      <c r="B98" s="666">
        <f t="shared" si="7"/>
        <v>0</v>
      </c>
      <c r="C98" s="663" t="s">
        <v>1415</v>
      </c>
      <c r="D98" s="675">
        <f>ROUND([14]Data!AG356,2)</f>
        <v>7273.47</v>
      </c>
      <c r="E98" s="674" t="s">
        <v>235</v>
      </c>
      <c r="F98" s="663">
        <f t="shared" si="12"/>
        <v>0</v>
      </c>
      <c r="G98" s="684"/>
      <c r="H98" s="667">
        <f t="shared" si="11"/>
        <v>0</v>
      </c>
      <c r="I98" s="675"/>
      <c r="J98" s="667">
        <f t="shared" si="8"/>
        <v>0</v>
      </c>
      <c r="K98" s="667"/>
      <c r="L98" s="667"/>
      <c r="M98" s="667" t="e">
        <f>G98+#REF!+#REF!+#REF!+I98+#REF!+#REF!+#REF!+#REF!+#REF!+#REF!+K98+#REF!+#REF!+#REF!</f>
        <v>#REF!</v>
      </c>
      <c r="N98" s="667" t="e">
        <f t="shared" si="9"/>
        <v>#REF!</v>
      </c>
      <c r="O98" s="665" t="e">
        <f>#REF!+M98</f>
        <v>#REF!</v>
      </c>
      <c r="P98" s="666" t="e">
        <f t="shared" si="10"/>
        <v>#REF!</v>
      </c>
      <c r="Q98" s="672"/>
      <c r="R98" s="668"/>
      <c r="S98" s="676"/>
      <c r="T98" s="676"/>
    </row>
    <row r="99" spans="1:20" s="677" customFormat="1" ht="25.5" hidden="1" customHeight="1">
      <c r="A99" s="662"/>
      <c r="B99" s="666">
        <f t="shared" si="7"/>
        <v>0</v>
      </c>
      <c r="C99" s="663" t="s">
        <v>1416</v>
      </c>
      <c r="D99" s="675">
        <f>ROUND([14]Data!AG357,2)</f>
        <v>7410.67</v>
      </c>
      <c r="E99" s="674" t="s">
        <v>235</v>
      </c>
      <c r="F99" s="663">
        <f t="shared" si="12"/>
        <v>0</v>
      </c>
      <c r="G99" s="684"/>
      <c r="H99" s="667">
        <f t="shared" si="11"/>
        <v>0</v>
      </c>
      <c r="I99" s="675"/>
      <c r="J99" s="667">
        <f t="shared" si="8"/>
        <v>0</v>
      </c>
      <c r="K99" s="667"/>
      <c r="L99" s="667"/>
      <c r="M99" s="667" t="e">
        <f>G99+#REF!+#REF!+#REF!+I99+#REF!+#REF!+#REF!+#REF!+#REF!+#REF!+K99+#REF!+#REF!+#REF!</f>
        <v>#REF!</v>
      </c>
      <c r="N99" s="667" t="e">
        <f t="shared" si="9"/>
        <v>#REF!</v>
      </c>
      <c r="O99" s="665" t="e">
        <f>#REF!+M99</f>
        <v>#REF!</v>
      </c>
      <c r="P99" s="666" t="e">
        <f t="shared" si="10"/>
        <v>#REF!</v>
      </c>
      <c r="Q99" s="672"/>
      <c r="R99" s="668"/>
      <c r="S99" s="676"/>
      <c r="T99" s="676"/>
    </row>
    <row r="100" spans="1:20" s="677" customFormat="1" ht="25.5" hidden="1" customHeight="1">
      <c r="A100" s="662"/>
      <c r="B100" s="666">
        <f t="shared" si="7"/>
        <v>0</v>
      </c>
      <c r="C100" s="663" t="s">
        <v>1417</v>
      </c>
      <c r="D100" s="675">
        <f>ROUND([14]Data!AG358,2)</f>
        <v>7547.87</v>
      </c>
      <c r="E100" s="674" t="s">
        <v>235</v>
      </c>
      <c r="F100" s="663">
        <f t="shared" si="12"/>
        <v>0</v>
      </c>
      <c r="G100" s="684"/>
      <c r="H100" s="667">
        <f t="shared" si="11"/>
        <v>0</v>
      </c>
      <c r="I100" s="675"/>
      <c r="J100" s="667">
        <f t="shared" si="8"/>
        <v>0</v>
      </c>
      <c r="K100" s="667"/>
      <c r="L100" s="667"/>
      <c r="M100" s="667" t="e">
        <f>G100+#REF!+#REF!+#REF!+I100+#REF!+#REF!+#REF!+#REF!+#REF!+#REF!+K100+#REF!+#REF!+#REF!</f>
        <v>#REF!</v>
      </c>
      <c r="N100" s="667" t="e">
        <f t="shared" si="9"/>
        <v>#REF!</v>
      </c>
      <c r="O100" s="665" t="e">
        <f>#REF!+M100</f>
        <v>#REF!</v>
      </c>
      <c r="P100" s="666" t="e">
        <f t="shared" si="10"/>
        <v>#REF!</v>
      </c>
      <c r="Q100" s="672"/>
      <c r="R100" s="668"/>
      <c r="S100" s="676"/>
      <c r="T100" s="676"/>
    </row>
    <row r="101" spans="1:20" s="677" customFormat="1" ht="25.5" hidden="1" customHeight="1">
      <c r="A101" s="662"/>
      <c r="B101" s="666">
        <f t="shared" si="7"/>
        <v>0</v>
      </c>
      <c r="C101" s="663" t="s">
        <v>1418</v>
      </c>
      <c r="D101" s="675">
        <f>ROUND([14]Data!AG359,2)</f>
        <v>7685.07</v>
      </c>
      <c r="E101" s="674" t="s">
        <v>235</v>
      </c>
      <c r="F101" s="663">
        <f t="shared" si="12"/>
        <v>0</v>
      </c>
      <c r="G101" s="684"/>
      <c r="H101" s="667">
        <f t="shared" si="11"/>
        <v>0</v>
      </c>
      <c r="I101" s="675"/>
      <c r="J101" s="667">
        <f t="shared" si="8"/>
        <v>0</v>
      </c>
      <c r="K101" s="667"/>
      <c r="L101" s="667"/>
      <c r="M101" s="667" t="e">
        <f>G101+#REF!+#REF!+#REF!+I101+#REF!+#REF!+#REF!+#REF!+#REF!+#REF!+K101+#REF!+#REF!+#REF!</f>
        <v>#REF!</v>
      </c>
      <c r="N101" s="667" t="e">
        <f t="shared" si="9"/>
        <v>#REF!</v>
      </c>
      <c r="O101" s="665" t="e">
        <f>#REF!+M101</f>
        <v>#REF!</v>
      </c>
      <c r="P101" s="666" t="e">
        <f t="shared" si="10"/>
        <v>#REF!</v>
      </c>
      <c r="Q101" s="672"/>
      <c r="R101" s="668"/>
      <c r="S101" s="676"/>
      <c r="T101" s="676"/>
    </row>
    <row r="102" spans="1:20" s="677" customFormat="1" ht="25.5" hidden="1" customHeight="1">
      <c r="A102" s="662"/>
      <c r="B102" s="666">
        <f t="shared" si="7"/>
        <v>0</v>
      </c>
      <c r="C102" s="663" t="s">
        <v>1427</v>
      </c>
      <c r="D102" s="675">
        <f>ROUND([14]Data!AG360,2)</f>
        <v>7822.27</v>
      </c>
      <c r="E102" s="674" t="s">
        <v>235</v>
      </c>
      <c r="F102" s="663">
        <f t="shared" si="12"/>
        <v>0</v>
      </c>
      <c r="G102" s="684"/>
      <c r="H102" s="667">
        <f t="shared" si="11"/>
        <v>0</v>
      </c>
      <c r="I102" s="675"/>
      <c r="J102" s="667">
        <f t="shared" si="8"/>
        <v>0</v>
      </c>
      <c r="K102" s="667"/>
      <c r="L102" s="667"/>
      <c r="M102" s="667" t="e">
        <f>G102+#REF!+#REF!+#REF!+I102+#REF!+#REF!+#REF!+#REF!+#REF!+#REF!+K102+#REF!+#REF!+#REF!</f>
        <v>#REF!</v>
      </c>
      <c r="N102" s="667" t="e">
        <f t="shared" si="9"/>
        <v>#REF!</v>
      </c>
      <c r="O102" s="665" t="e">
        <f>#REF!+M102</f>
        <v>#REF!</v>
      </c>
      <c r="P102" s="666" t="e">
        <f t="shared" si="10"/>
        <v>#REF!</v>
      </c>
      <c r="Q102" s="672"/>
      <c r="R102" s="668"/>
      <c r="S102" s="676"/>
      <c r="T102" s="676"/>
    </row>
    <row r="103" spans="1:20" s="677" customFormat="1" ht="46.5" hidden="1" customHeight="1">
      <c r="A103" s="662">
        <v>9.3000000000000007</v>
      </c>
      <c r="B103" s="666">
        <f t="shared" si="7"/>
        <v>0</v>
      </c>
      <c r="C103" s="663" t="s">
        <v>1428</v>
      </c>
      <c r="D103" s="675"/>
      <c r="E103" s="674"/>
      <c r="F103" s="663">
        <f t="shared" si="12"/>
        <v>0</v>
      </c>
      <c r="G103" s="684"/>
      <c r="H103" s="667">
        <f t="shared" si="11"/>
        <v>0</v>
      </c>
      <c r="I103" s="675"/>
      <c r="J103" s="667">
        <f t="shared" si="8"/>
        <v>0</v>
      </c>
      <c r="K103" s="667"/>
      <c r="L103" s="667"/>
      <c r="M103" s="667" t="e">
        <f>G103+#REF!+#REF!+#REF!+I103+#REF!+#REF!+#REF!+#REF!+#REF!+#REF!+K103+#REF!+#REF!+#REF!</f>
        <v>#REF!</v>
      </c>
      <c r="N103" s="667" t="e">
        <f t="shared" si="9"/>
        <v>#REF!</v>
      </c>
      <c r="O103" s="665" t="e">
        <f>#REF!+M103</f>
        <v>#REF!</v>
      </c>
      <c r="P103" s="666" t="e">
        <f t="shared" si="10"/>
        <v>#REF!</v>
      </c>
      <c r="Q103" s="672"/>
      <c r="R103" s="668"/>
      <c r="S103" s="676"/>
      <c r="T103" s="676"/>
    </row>
    <row r="104" spans="1:20" s="677" customFormat="1" ht="25.5" hidden="1" customHeight="1">
      <c r="A104" s="662"/>
      <c r="B104" s="666">
        <f t="shared" si="7"/>
        <v>0</v>
      </c>
      <c r="C104" s="663" t="s">
        <v>1420</v>
      </c>
      <c r="D104" s="675"/>
      <c r="E104" s="674" t="s">
        <v>235</v>
      </c>
      <c r="F104" s="663">
        <f t="shared" si="12"/>
        <v>0</v>
      </c>
      <c r="G104" s="684"/>
      <c r="H104" s="667">
        <f t="shared" si="11"/>
        <v>0</v>
      </c>
      <c r="I104" s="675"/>
      <c r="J104" s="667">
        <f t="shared" si="8"/>
        <v>0</v>
      </c>
      <c r="K104" s="667"/>
      <c r="L104" s="667"/>
      <c r="M104" s="667" t="e">
        <f>G104+#REF!+#REF!+#REF!+I104+#REF!+#REF!+#REF!+#REF!+#REF!+#REF!+K104+#REF!+#REF!+#REF!</f>
        <v>#REF!</v>
      </c>
      <c r="N104" s="667" t="e">
        <f t="shared" si="9"/>
        <v>#REF!</v>
      </c>
      <c r="O104" s="665" t="e">
        <f>#REF!+M104</f>
        <v>#REF!</v>
      </c>
      <c r="P104" s="666" t="e">
        <f t="shared" si="10"/>
        <v>#REF!</v>
      </c>
      <c r="Q104" s="672"/>
      <c r="R104" s="668"/>
      <c r="S104" s="676"/>
      <c r="T104" s="676"/>
    </row>
    <row r="105" spans="1:20" s="677" customFormat="1" ht="25.5" hidden="1" customHeight="1">
      <c r="A105" s="662"/>
      <c r="B105" s="666">
        <f t="shared" si="7"/>
        <v>0</v>
      </c>
      <c r="C105" s="663" t="s">
        <v>1421</v>
      </c>
      <c r="D105" s="675"/>
      <c r="E105" s="674" t="s">
        <v>235</v>
      </c>
      <c r="F105" s="663">
        <f t="shared" si="12"/>
        <v>0</v>
      </c>
      <c r="G105" s="684"/>
      <c r="H105" s="667">
        <f t="shared" si="11"/>
        <v>0</v>
      </c>
      <c r="I105" s="675"/>
      <c r="J105" s="667">
        <f t="shared" si="8"/>
        <v>0</v>
      </c>
      <c r="K105" s="667"/>
      <c r="L105" s="667"/>
      <c r="M105" s="667" t="e">
        <f>G105+#REF!+#REF!+#REF!+I105+#REF!+#REF!+#REF!+#REF!+#REF!+#REF!+K105+#REF!+#REF!+#REF!</f>
        <v>#REF!</v>
      </c>
      <c r="N105" s="667" t="e">
        <f t="shared" si="9"/>
        <v>#REF!</v>
      </c>
      <c r="O105" s="665" t="e">
        <f>#REF!+M105</f>
        <v>#REF!</v>
      </c>
      <c r="P105" s="666" t="e">
        <f t="shared" si="10"/>
        <v>#REF!</v>
      </c>
      <c r="Q105" s="672"/>
      <c r="R105" s="668"/>
      <c r="S105" s="676"/>
      <c r="T105" s="676"/>
    </row>
    <row r="106" spans="1:20" s="677" customFormat="1" ht="25.5" hidden="1" customHeight="1">
      <c r="A106" s="662"/>
      <c r="B106" s="666">
        <f t="shared" si="7"/>
        <v>0</v>
      </c>
      <c r="C106" s="663" t="s">
        <v>1422</v>
      </c>
      <c r="D106" s="675"/>
      <c r="E106" s="674" t="s">
        <v>235</v>
      </c>
      <c r="F106" s="663">
        <f t="shared" si="12"/>
        <v>0</v>
      </c>
      <c r="G106" s="684"/>
      <c r="H106" s="667">
        <f t="shared" si="11"/>
        <v>0</v>
      </c>
      <c r="I106" s="675"/>
      <c r="J106" s="667">
        <f t="shared" si="8"/>
        <v>0</v>
      </c>
      <c r="K106" s="667"/>
      <c r="L106" s="667"/>
      <c r="M106" s="667" t="e">
        <f>G106+#REF!+#REF!+#REF!+I106+#REF!+#REF!+#REF!+#REF!+#REF!+#REF!+K106+#REF!+#REF!+#REF!</f>
        <v>#REF!</v>
      </c>
      <c r="N106" s="667" t="e">
        <f t="shared" si="9"/>
        <v>#REF!</v>
      </c>
      <c r="O106" s="665" t="e">
        <f>#REF!+M106</f>
        <v>#REF!</v>
      </c>
      <c r="P106" s="666" t="e">
        <f t="shared" si="10"/>
        <v>#REF!</v>
      </c>
      <c r="Q106" s="672"/>
      <c r="R106" s="668"/>
      <c r="S106" s="676"/>
      <c r="T106" s="676"/>
    </row>
    <row r="107" spans="1:20" s="677" customFormat="1" ht="25.5" hidden="1" customHeight="1">
      <c r="A107" s="662"/>
      <c r="B107" s="666">
        <f t="shared" si="7"/>
        <v>0</v>
      </c>
      <c r="C107" s="663" t="s">
        <v>1423</v>
      </c>
      <c r="D107" s="675"/>
      <c r="E107" s="674" t="s">
        <v>235</v>
      </c>
      <c r="F107" s="663">
        <f t="shared" si="12"/>
        <v>0</v>
      </c>
      <c r="G107" s="684"/>
      <c r="H107" s="667">
        <f t="shared" si="11"/>
        <v>0</v>
      </c>
      <c r="I107" s="675"/>
      <c r="J107" s="667">
        <f t="shared" si="8"/>
        <v>0</v>
      </c>
      <c r="K107" s="667"/>
      <c r="L107" s="667"/>
      <c r="M107" s="667" t="e">
        <f>G107+#REF!+#REF!+#REF!+I107+#REF!+#REF!+#REF!+#REF!+#REF!+#REF!+K107+#REF!+#REF!+#REF!</f>
        <v>#REF!</v>
      </c>
      <c r="N107" s="667" t="e">
        <f t="shared" si="9"/>
        <v>#REF!</v>
      </c>
      <c r="O107" s="665" t="e">
        <f>#REF!+M107</f>
        <v>#REF!</v>
      </c>
      <c r="P107" s="666" t="e">
        <f t="shared" si="10"/>
        <v>#REF!</v>
      </c>
      <c r="Q107" s="672"/>
      <c r="R107" s="668"/>
      <c r="S107" s="676"/>
      <c r="T107" s="676"/>
    </row>
    <row r="108" spans="1:20" s="677" customFormat="1" ht="25.5" hidden="1" customHeight="1">
      <c r="A108" s="688"/>
      <c r="B108" s="666">
        <f t="shared" si="7"/>
        <v>0</v>
      </c>
      <c r="C108" s="663" t="s">
        <v>1424</v>
      </c>
      <c r="D108" s="675"/>
      <c r="E108" s="674" t="s">
        <v>235</v>
      </c>
      <c r="F108" s="663">
        <f t="shared" si="12"/>
        <v>0</v>
      </c>
      <c r="G108" s="684"/>
      <c r="H108" s="667">
        <f t="shared" si="11"/>
        <v>0</v>
      </c>
      <c r="I108" s="675"/>
      <c r="J108" s="667">
        <f t="shared" si="8"/>
        <v>0</v>
      </c>
      <c r="K108" s="667"/>
      <c r="L108" s="667"/>
      <c r="M108" s="667" t="e">
        <f>G108+#REF!+#REF!+#REF!+I108+#REF!+#REF!+#REF!+#REF!+#REF!+#REF!+K108+#REF!+#REF!+#REF!</f>
        <v>#REF!</v>
      </c>
      <c r="N108" s="667" t="e">
        <f t="shared" si="9"/>
        <v>#REF!</v>
      </c>
      <c r="O108" s="665" t="e">
        <f>#REF!+M108</f>
        <v>#REF!</v>
      </c>
      <c r="P108" s="666" t="e">
        <f t="shared" si="10"/>
        <v>#REF!</v>
      </c>
      <c r="Q108" s="672"/>
      <c r="R108" s="668"/>
      <c r="S108" s="676"/>
      <c r="T108" s="676"/>
    </row>
    <row r="109" spans="1:20" s="677" customFormat="1" ht="46.5" hidden="1" customHeight="1">
      <c r="A109" s="662">
        <v>9.4</v>
      </c>
      <c r="B109" s="666">
        <f t="shared" si="7"/>
        <v>0</v>
      </c>
      <c r="C109" s="663" t="s">
        <v>1429</v>
      </c>
      <c r="D109" s="675"/>
      <c r="E109" s="674"/>
      <c r="F109" s="663">
        <f t="shared" si="12"/>
        <v>0</v>
      </c>
      <c r="G109" s="684"/>
      <c r="H109" s="667">
        <f t="shared" si="11"/>
        <v>0</v>
      </c>
      <c r="I109" s="675"/>
      <c r="J109" s="667">
        <f t="shared" si="8"/>
        <v>0</v>
      </c>
      <c r="K109" s="667"/>
      <c r="L109" s="667"/>
      <c r="M109" s="667" t="e">
        <f>G109+#REF!+#REF!+#REF!+I109+#REF!+#REF!+#REF!+#REF!+#REF!+#REF!+K109+#REF!+#REF!+#REF!</f>
        <v>#REF!</v>
      </c>
      <c r="N109" s="667" t="e">
        <f t="shared" si="9"/>
        <v>#REF!</v>
      </c>
      <c r="O109" s="665" t="e">
        <f>#REF!+M109</f>
        <v>#REF!</v>
      </c>
      <c r="P109" s="666" t="e">
        <f t="shared" si="10"/>
        <v>#REF!</v>
      </c>
      <c r="Q109" s="672"/>
      <c r="R109" s="668"/>
      <c r="S109" s="676"/>
      <c r="T109" s="676"/>
    </row>
    <row r="110" spans="1:20" s="677" customFormat="1" ht="25.5" hidden="1" customHeight="1">
      <c r="A110" s="662"/>
      <c r="B110" s="666">
        <f t="shared" si="7"/>
        <v>0</v>
      </c>
      <c r="C110" s="663" t="s">
        <v>1420</v>
      </c>
      <c r="D110" s="675"/>
      <c r="E110" s="674" t="s">
        <v>235</v>
      </c>
      <c r="F110" s="663">
        <f t="shared" si="12"/>
        <v>0</v>
      </c>
      <c r="G110" s="684"/>
      <c r="H110" s="667">
        <f t="shared" si="11"/>
        <v>0</v>
      </c>
      <c r="I110" s="675"/>
      <c r="J110" s="667">
        <f t="shared" si="8"/>
        <v>0</v>
      </c>
      <c r="K110" s="667"/>
      <c r="L110" s="667"/>
      <c r="M110" s="667" t="e">
        <f>G110+#REF!+#REF!+#REF!+I110+#REF!+#REF!+#REF!+#REF!+#REF!+#REF!+K110+#REF!+#REF!+#REF!</f>
        <v>#REF!</v>
      </c>
      <c r="N110" s="667" t="e">
        <f t="shared" si="9"/>
        <v>#REF!</v>
      </c>
      <c r="O110" s="665" t="e">
        <f>#REF!+M110</f>
        <v>#REF!</v>
      </c>
      <c r="P110" s="666" t="e">
        <f t="shared" si="10"/>
        <v>#REF!</v>
      </c>
      <c r="Q110" s="672"/>
      <c r="R110" s="668"/>
      <c r="S110" s="676"/>
      <c r="T110" s="676"/>
    </row>
    <row r="111" spans="1:20" s="677" customFormat="1" ht="25.5" hidden="1" customHeight="1">
      <c r="A111" s="662"/>
      <c r="B111" s="666">
        <f t="shared" si="7"/>
        <v>0</v>
      </c>
      <c r="C111" s="663" t="s">
        <v>1421</v>
      </c>
      <c r="D111" s="675"/>
      <c r="E111" s="674" t="s">
        <v>235</v>
      </c>
      <c r="F111" s="663">
        <f t="shared" si="12"/>
        <v>0</v>
      </c>
      <c r="G111" s="684"/>
      <c r="H111" s="667">
        <f t="shared" si="11"/>
        <v>0</v>
      </c>
      <c r="I111" s="675"/>
      <c r="J111" s="667">
        <f t="shared" si="8"/>
        <v>0</v>
      </c>
      <c r="K111" s="667"/>
      <c r="L111" s="667"/>
      <c r="M111" s="667" t="e">
        <f>G111+#REF!+#REF!+#REF!+I111+#REF!+#REF!+#REF!+#REF!+#REF!+#REF!+K111+#REF!+#REF!+#REF!</f>
        <v>#REF!</v>
      </c>
      <c r="N111" s="667" t="e">
        <f t="shared" si="9"/>
        <v>#REF!</v>
      </c>
      <c r="O111" s="665" t="e">
        <f>#REF!+M111</f>
        <v>#REF!</v>
      </c>
      <c r="P111" s="666" t="e">
        <f t="shared" si="10"/>
        <v>#REF!</v>
      </c>
      <c r="Q111" s="672"/>
      <c r="R111" s="668"/>
      <c r="S111" s="676"/>
      <c r="T111" s="676"/>
    </row>
    <row r="112" spans="1:20" s="677" customFormat="1" ht="25.5" hidden="1" customHeight="1">
      <c r="A112" s="662"/>
      <c r="B112" s="666">
        <f t="shared" si="7"/>
        <v>0</v>
      </c>
      <c r="C112" s="663" t="s">
        <v>1422</v>
      </c>
      <c r="D112" s="675"/>
      <c r="E112" s="674" t="s">
        <v>235</v>
      </c>
      <c r="F112" s="663">
        <f t="shared" si="12"/>
        <v>0</v>
      </c>
      <c r="G112" s="684"/>
      <c r="H112" s="667">
        <f t="shared" si="11"/>
        <v>0</v>
      </c>
      <c r="I112" s="675"/>
      <c r="J112" s="667">
        <f t="shared" si="8"/>
        <v>0</v>
      </c>
      <c r="K112" s="667"/>
      <c r="L112" s="667"/>
      <c r="M112" s="667" t="e">
        <f>G112+#REF!+#REF!+#REF!+I112+#REF!+#REF!+#REF!+#REF!+#REF!+#REF!+K112+#REF!+#REF!+#REF!</f>
        <v>#REF!</v>
      </c>
      <c r="N112" s="667" t="e">
        <f t="shared" si="9"/>
        <v>#REF!</v>
      </c>
      <c r="O112" s="665" t="e">
        <f>#REF!+M112</f>
        <v>#REF!</v>
      </c>
      <c r="P112" s="666" t="e">
        <f t="shared" si="10"/>
        <v>#REF!</v>
      </c>
      <c r="Q112" s="672"/>
      <c r="R112" s="668"/>
      <c r="S112" s="676"/>
      <c r="T112" s="676"/>
    </row>
    <row r="113" spans="1:21" s="677" customFormat="1" ht="25.5" hidden="1" customHeight="1">
      <c r="A113" s="662"/>
      <c r="B113" s="666">
        <f t="shared" si="7"/>
        <v>0</v>
      </c>
      <c r="C113" s="663" t="s">
        <v>1423</v>
      </c>
      <c r="D113" s="675"/>
      <c r="E113" s="674" t="s">
        <v>235</v>
      </c>
      <c r="F113" s="663">
        <f t="shared" si="12"/>
        <v>0</v>
      </c>
      <c r="G113" s="684"/>
      <c r="H113" s="667">
        <f t="shared" si="11"/>
        <v>0</v>
      </c>
      <c r="I113" s="675"/>
      <c r="J113" s="667">
        <f t="shared" si="8"/>
        <v>0</v>
      </c>
      <c r="K113" s="667"/>
      <c r="L113" s="667"/>
      <c r="M113" s="667" t="e">
        <f>G113+#REF!+#REF!+#REF!+I113+#REF!+#REF!+#REF!+#REF!+#REF!+#REF!+K113+#REF!+#REF!+#REF!</f>
        <v>#REF!</v>
      </c>
      <c r="N113" s="667" t="e">
        <f t="shared" si="9"/>
        <v>#REF!</v>
      </c>
      <c r="O113" s="665" t="e">
        <f>#REF!+M113</f>
        <v>#REF!</v>
      </c>
      <c r="P113" s="666" t="e">
        <f t="shared" si="10"/>
        <v>#REF!</v>
      </c>
      <c r="Q113" s="672"/>
      <c r="R113" s="668"/>
      <c r="S113" s="676"/>
      <c r="T113" s="676"/>
    </row>
    <row r="114" spans="1:21" s="677" customFormat="1" ht="12" hidden="1" customHeight="1">
      <c r="A114" s="688"/>
      <c r="B114" s="666">
        <f t="shared" si="7"/>
        <v>0</v>
      </c>
      <c r="C114" s="663" t="s">
        <v>1424</v>
      </c>
      <c r="D114" s="675"/>
      <c r="E114" s="674" t="s">
        <v>235</v>
      </c>
      <c r="F114" s="663">
        <f t="shared" si="12"/>
        <v>0</v>
      </c>
      <c r="G114" s="684"/>
      <c r="H114" s="667">
        <f t="shared" si="11"/>
        <v>0</v>
      </c>
      <c r="I114" s="675"/>
      <c r="J114" s="667">
        <f t="shared" si="8"/>
        <v>0</v>
      </c>
      <c r="K114" s="667"/>
      <c r="L114" s="667"/>
      <c r="M114" s="667" t="e">
        <f>G114+#REF!+#REF!+#REF!+I114+#REF!+#REF!+#REF!+#REF!+#REF!+#REF!+K114+#REF!+#REF!+#REF!</f>
        <v>#REF!</v>
      </c>
      <c r="N114" s="667" t="e">
        <f t="shared" si="9"/>
        <v>#REF!</v>
      </c>
      <c r="O114" s="665" t="e">
        <f>#REF!+M114</f>
        <v>#REF!</v>
      </c>
      <c r="P114" s="666" t="e">
        <f t="shared" si="10"/>
        <v>#REF!</v>
      </c>
      <c r="Q114" s="672"/>
      <c r="R114" s="668"/>
      <c r="S114" s="676"/>
      <c r="T114" s="676"/>
    </row>
    <row r="115" spans="1:21" ht="84.75" hidden="1" customHeight="1">
      <c r="A115" s="662">
        <v>9.5</v>
      </c>
      <c r="B115" s="666">
        <f t="shared" si="7"/>
        <v>0</v>
      </c>
      <c r="C115" s="685" t="s">
        <v>1430</v>
      </c>
      <c r="D115" s="667"/>
      <c r="E115" s="663"/>
      <c r="F115" s="663">
        <f t="shared" si="12"/>
        <v>0</v>
      </c>
      <c r="G115" s="667"/>
      <c r="H115" s="667">
        <f t="shared" si="11"/>
        <v>0</v>
      </c>
      <c r="I115" s="667"/>
      <c r="J115" s="667">
        <f t="shared" si="8"/>
        <v>0</v>
      </c>
      <c r="K115" s="667"/>
      <c r="L115" s="667"/>
      <c r="M115" s="667" t="e">
        <f>G115+#REF!+#REF!+#REF!+I115+#REF!+#REF!+#REF!+#REF!+#REF!+#REF!+K115+#REF!+#REF!+#REF!</f>
        <v>#REF!</v>
      </c>
      <c r="N115" s="667" t="e">
        <f t="shared" si="9"/>
        <v>#REF!</v>
      </c>
      <c r="O115" s="665" t="e">
        <f>#REF!+M115</f>
        <v>#REF!</v>
      </c>
      <c r="P115" s="666" t="e">
        <f t="shared" si="10"/>
        <v>#REF!</v>
      </c>
      <c r="Q115" s="668"/>
      <c r="R115" s="668"/>
      <c r="S115" s="678"/>
      <c r="U115" s="679"/>
    </row>
    <row r="116" spans="1:21" ht="45.75" hidden="1" customHeight="1">
      <c r="A116" s="662"/>
      <c r="B116" s="666">
        <f t="shared" si="7"/>
        <v>0</v>
      </c>
      <c r="C116" s="663" t="s">
        <v>1420</v>
      </c>
      <c r="D116" s="667">
        <f>ROUND([14]Data!K347,2)</f>
        <v>6126.78</v>
      </c>
      <c r="E116" s="663" t="s">
        <v>235</v>
      </c>
      <c r="F116" s="663">
        <f t="shared" si="12"/>
        <v>0</v>
      </c>
      <c r="G116" s="689"/>
      <c r="H116" s="667">
        <f t="shared" si="11"/>
        <v>0</v>
      </c>
      <c r="I116" s="667"/>
      <c r="J116" s="667">
        <f t="shared" si="8"/>
        <v>0</v>
      </c>
      <c r="K116" s="667"/>
      <c r="L116" s="667"/>
      <c r="M116" s="667" t="e">
        <f>G116+#REF!+#REF!+#REF!+I116+#REF!+#REF!+#REF!+#REF!+#REF!+#REF!+K116+#REF!+#REF!+#REF!</f>
        <v>#REF!</v>
      </c>
      <c r="N116" s="667" t="e">
        <f t="shared" si="9"/>
        <v>#REF!</v>
      </c>
      <c r="O116" s="665" t="e">
        <f>#REF!+M116</f>
        <v>#REF!</v>
      </c>
      <c r="P116" s="666" t="e">
        <f t="shared" si="10"/>
        <v>#REF!</v>
      </c>
      <c r="Q116" s="672"/>
      <c r="R116" s="668"/>
    </row>
    <row r="117" spans="1:21" ht="45.75" hidden="1" customHeight="1">
      <c r="A117" s="662"/>
      <c r="B117" s="666">
        <f t="shared" si="7"/>
        <v>0</v>
      </c>
      <c r="C117" s="663" t="s">
        <v>1421</v>
      </c>
      <c r="D117" s="667">
        <f>ROUND([14]Data!K348,2)</f>
        <v>6263.98</v>
      </c>
      <c r="E117" s="663" t="s">
        <v>235</v>
      </c>
      <c r="F117" s="663">
        <f t="shared" si="12"/>
        <v>0</v>
      </c>
      <c r="G117" s="689"/>
      <c r="H117" s="667">
        <f t="shared" si="11"/>
        <v>0</v>
      </c>
      <c r="I117" s="667"/>
      <c r="J117" s="667">
        <f t="shared" si="8"/>
        <v>0</v>
      </c>
      <c r="K117" s="667"/>
      <c r="L117" s="667"/>
      <c r="M117" s="667" t="e">
        <f>G117+#REF!+#REF!+#REF!+I117+#REF!+#REF!+#REF!+#REF!+#REF!+#REF!+K117+#REF!+#REF!+#REF!</f>
        <v>#REF!</v>
      </c>
      <c r="N117" s="667" t="e">
        <f t="shared" si="9"/>
        <v>#REF!</v>
      </c>
      <c r="O117" s="665" t="e">
        <f>#REF!+M117</f>
        <v>#REF!</v>
      </c>
      <c r="P117" s="666" t="e">
        <f t="shared" si="10"/>
        <v>#REF!</v>
      </c>
      <c r="Q117" s="672"/>
      <c r="R117" s="668"/>
    </row>
    <row r="118" spans="1:21" ht="45.75" hidden="1" customHeight="1">
      <c r="A118" s="662"/>
      <c r="B118" s="666">
        <f t="shared" si="7"/>
        <v>0</v>
      </c>
      <c r="C118" s="663" t="s">
        <v>1422</v>
      </c>
      <c r="D118" s="667">
        <f>ROUND([14]Data!K349,2)</f>
        <v>6401.18</v>
      </c>
      <c r="E118" s="663" t="s">
        <v>235</v>
      </c>
      <c r="F118" s="663">
        <f t="shared" si="12"/>
        <v>0</v>
      </c>
      <c r="G118" s="689"/>
      <c r="H118" s="667">
        <f t="shared" si="11"/>
        <v>0</v>
      </c>
      <c r="I118" s="667"/>
      <c r="J118" s="667">
        <f t="shared" si="8"/>
        <v>0</v>
      </c>
      <c r="K118" s="667"/>
      <c r="L118" s="667"/>
      <c r="M118" s="667" t="e">
        <f>G118+#REF!+#REF!+#REF!+I118+#REF!+#REF!+#REF!+#REF!+#REF!+#REF!+K118+#REF!+#REF!+#REF!</f>
        <v>#REF!</v>
      </c>
      <c r="N118" s="667" t="e">
        <f t="shared" si="9"/>
        <v>#REF!</v>
      </c>
      <c r="O118" s="665" t="e">
        <f>#REF!+M118</f>
        <v>#REF!</v>
      </c>
      <c r="P118" s="666" t="e">
        <f t="shared" si="10"/>
        <v>#REF!</v>
      </c>
      <c r="Q118" s="672"/>
      <c r="R118" s="668"/>
    </row>
    <row r="119" spans="1:21" ht="45.75" hidden="1" customHeight="1">
      <c r="A119" s="662"/>
      <c r="B119" s="666">
        <f t="shared" si="7"/>
        <v>0</v>
      </c>
      <c r="C119" s="663" t="s">
        <v>1423</v>
      </c>
      <c r="D119" s="667">
        <f>ROUND([14]Data!K350,2)</f>
        <v>6538.38</v>
      </c>
      <c r="E119" s="663" t="s">
        <v>235</v>
      </c>
      <c r="F119" s="663">
        <f t="shared" si="12"/>
        <v>0</v>
      </c>
      <c r="G119" s="689"/>
      <c r="H119" s="667">
        <f t="shared" si="11"/>
        <v>0</v>
      </c>
      <c r="I119" s="667"/>
      <c r="J119" s="667">
        <f t="shared" si="8"/>
        <v>0</v>
      </c>
      <c r="K119" s="667"/>
      <c r="L119" s="667"/>
      <c r="M119" s="667" t="e">
        <f>G119+#REF!+#REF!+#REF!+I119+#REF!+#REF!+#REF!+#REF!+#REF!+#REF!+K119+#REF!+#REF!+#REF!</f>
        <v>#REF!</v>
      </c>
      <c r="N119" s="667" t="e">
        <f t="shared" si="9"/>
        <v>#REF!</v>
      </c>
      <c r="O119" s="665" t="e">
        <f>#REF!+M119</f>
        <v>#REF!</v>
      </c>
      <c r="P119" s="666" t="e">
        <f t="shared" si="10"/>
        <v>#REF!</v>
      </c>
      <c r="Q119" s="672"/>
      <c r="R119" s="668"/>
    </row>
    <row r="120" spans="1:21" ht="49.5" hidden="1" customHeight="1">
      <c r="A120" s="687"/>
      <c r="B120" s="666">
        <f t="shared" si="7"/>
        <v>0</v>
      </c>
      <c r="C120" s="663" t="s">
        <v>1424</v>
      </c>
      <c r="D120" s="667">
        <f>ROUND([14]Data!K351,2)</f>
        <v>6675.58</v>
      </c>
      <c r="E120" s="663" t="s">
        <v>235</v>
      </c>
      <c r="F120" s="663">
        <f t="shared" si="12"/>
        <v>0</v>
      </c>
      <c r="G120" s="689"/>
      <c r="H120" s="667">
        <f t="shared" si="11"/>
        <v>0</v>
      </c>
      <c r="I120" s="667"/>
      <c r="J120" s="667">
        <f t="shared" si="8"/>
        <v>0</v>
      </c>
      <c r="K120" s="667"/>
      <c r="L120" s="667"/>
      <c r="M120" s="667" t="e">
        <f>G120+#REF!+#REF!+#REF!+I120+#REF!+#REF!+#REF!+#REF!+#REF!+#REF!+K120+#REF!+#REF!+#REF!</f>
        <v>#REF!</v>
      </c>
      <c r="N120" s="667" t="e">
        <f t="shared" si="9"/>
        <v>#REF!</v>
      </c>
      <c r="O120" s="665" t="e">
        <f>#REF!+M120</f>
        <v>#REF!</v>
      </c>
      <c r="P120" s="666" t="e">
        <f t="shared" si="10"/>
        <v>#REF!</v>
      </c>
      <c r="Q120" s="672"/>
      <c r="R120" s="668"/>
    </row>
    <row r="121" spans="1:21" s="677" customFormat="1" ht="69.75" hidden="1" customHeight="1">
      <c r="A121" s="662">
        <v>9.6</v>
      </c>
      <c r="B121" s="666">
        <f t="shared" si="7"/>
        <v>0</v>
      </c>
      <c r="C121" s="663" t="s">
        <v>1431</v>
      </c>
      <c r="D121" s="675"/>
      <c r="E121" s="674"/>
      <c r="F121" s="663">
        <f t="shared" si="12"/>
        <v>0</v>
      </c>
      <c r="G121" s="684"/>
      <c r="H121" s="667">
        <f t="shared" si="11"/>
        <v>0</v>
      </c>
      <c r="I121" s="675"/>
      <c r="J121" s="667">
        <f t="shared" si="8"/>
        <v>0</v>
      </c>
      <c r="K121" s="667"/>
      <c r="L121" s="667"/>
      <c r="M121" s="667" t="e">
        <f>G121+#REF!+#REF!+#REF!+I121+#REF!+#REF!+#REF!+#REF!+#REF!+#REF!+K121+#REF!+#REF!+#REF!</f>
        <v>#REF!</v>
      </c>
      <c r="N121" s="667" t="e">
        <f t="shared" si="9"/>
        <v>#REF!</v>
      </c>
      <c r="O121" s="665" t="e">
        <f>#REF!+M121</f>
        <v>#REF!</v>
      </c>
      <c r="P121" s="666" t="e">
        <f t="shared" si="10"/>
        <v>#REF!</v>
      </c>
      <c r="Q121" s="672"/>
      <c r="R121" s="668"/>
      <c r="S121" s="676"/>
      <c r="T121" s="676"/>
    </row>
    <row r="122" spans="1:21" s="677" customFormat="1" ht="25.5" hidden="1" customHeight="1">
      <c r="A122" s="662"/>
      <c r="B122" s="666">
        <f t="shared" si="7"/>
        <v>0</v>
      </c>
      <c r="C122" s="663" t="s">
        <v>1420</v>
      </c>
      <c r="D122" s="675"/>
      <c r="E122" s="674" t="s">
        <v>235</v>
      </c>
      <c r="F122" s="663">
        <f t="shared" si="12"/>
        <v>0</v>
      </c>
      <c r="G122" s="684"/>
      <c r="H122" s="667">
        <f t="shared" si="11"/>
        <v>0</v>
      </c>
      <c r="I122" s="675"/>
      <c r="J122" s="667">
        <f t="shared" si="8"/>
        <v>0</v>
      </c>
      <c r="K122" s="667"/>
      <c r="L122" s="667"/>
      <c r="M122" s="667" t="e">
        <f>G122+#REF!+#REF!+#REF!+I122+#REF!+#REF!+#REF!+#REF!+#REF!+#REF!+K122+#REF!+#REF!+#REF!</f>
        <v>#REF!</v>
      </c>
      <c r="N122" s="667" t="e">
        <f t="shared" si="9"/>
        <v>#REF!</v>
      </c>
      <c r="O122" s="665" t="e">
        <f>#REF!+M122</f>
        <v>#REF!</v>
      </c>
      <c r="P122" s="666" t="e">
        <f t="shared" si="10"/>
        <v>#REF!</v>
      </c>
      <c r="Q122" s="672"/>
      <c r="R122" s="668"/>
      <c r="S122" s="676"/>
      <c r="T122" s="676"/>
    </row>
    <row r="123" spans="1:21" s="677" customFormat="1" ht="25.5" hidden="1" customHeight="1">
      <c r="A123" s="662"/>
      <c r="B123" s="666">
        <f t="shared" si="7"/>
        <v>0</v>
      </c>
      <c r="C123" s="663" t="s">
        <v>1421</v>
      </c>
      <c r="D123" s="675"/>
      <c r="E123" s="674" t="s">
        <v>235</v>
      </c>
      <c r="F123" s="663">
        <f t="shared" si="12"/>
        <v>0</v>
      </c>
      <c r="G123" s="684"/>
      <c r="H123" s="667">
        <f t="shared" si="11"/>
        <v>0</v>
      </c>
      <c r="I123" s="675"/>
      <c r="J123" s="667">
        <f t="shared" si="8"/>
        <v>0</v>
      </c>
      <c r="K123" s="667"/>
      <c r="L123" s="667"/>
      <c r="M123" s="667" t="e">
        <f>G123+#REF!+#REF!+#REF!+I123+#REF!+#REF!+#REF!+#REF!+#REF!+#REF!+K123+#REF!+#REF!+#REF!</f>
        <v>#REF!</v>
      </c>
      <c r="N123" s="667" t="e">
        <f t="shared" si="9"/>
        <v>#REF!</v>
      </c>
      <c r="O123" s="665" t="e">
        <f>#REF!+M123</f>
        <v>#REF!</v>
      </c>
      <c r="P123" s="666" t="e">
        <f t="shared" si="10"/>
        <v>#REF!</v>
      </c>
      <c r="Q123" s="672"/>
      <c r="R123" s="668"/>
      <c r="S123" s="676"/>
      <c r="T123" s="676"/>
    </row>
    <row r="124" spans="1:21" s="677" customFormat="1" ht="25.5" hidden="1" customHeight="1">
      <c r="A124" s="662"/>
      <c r="B124" s="666">
        <f t="shared" si="7"/>
        <v>0</v>
      </c>
      <c r="C124" s="663" t="s">
        <v>1422</v>
      </c>
      <c r="D124" s="675"/>
      <c r="E124" s="674" t="s">
        <v>235</v>
      </c>
      <c r="F124" s="663">
        <f t="shared" si="12"/>
        <v>0</v>
      </c>
      <c r="G124" s="684"/>
      <c r="H124" s="667">
        <f t="shared" si="11"/>
        <v>0</v>
      </c>
      <c r="I124" s="675"/>
      <c r="J124" s="667">
        <f t="shared" si="8"/>
        <v>0</v>
      </c>
      <c r="K124" s="667"/>
      <c r="L124" s="667"/>
      <c r="M124" s="667" t="e">
        <f>G124+#REF!+#REF!+#REF!+I124+#REF!+#REF!+#REF!+#REF!+#REF!+#REF!+K124+#REF!+#REF!+#REF!</f>
        <v>#REF!</v>
      </c>
      <c r="N124" s="667" t="e">
        <f t="shared" si="9"/>
        <v>#REF!</v>
      </c>
      <c r="O124" s="665" t="e">
        <f>#REF!+M124</f>
        <v>#REF!</v>
      </c>
      <c r="P124" s="666" t="e">
        <f t="shared" si="10"/>
        <v>#REF!</v>
      </c>
      <c r="Q124" s="672"/>
      <c r="R124" s="668"/>
      <c r="S124" s="676"/>
      <c r="T124" s="676"/>
    </row>
    <row r="125" spans="1:21" s="677" customFormat="1" ht="25.5" hidden="1" customHeight="1">
      <c r="A125" s="662"/>
      <c r="B125" s="666">
        <f t="shared" si="7"/>
        <v>0</v>
      </c>
      <c r="C125" s="663" t="s">
        <v>1423</v>
      </c>
      <c r="D125" s="675"/>
      <c r="E125" s="674" t="s">
        <v>235</v>
      </c>
      <c r="F125" s="663">
        <f t="shared" si="12"/>
        <v>0</v>
      </c>
      <c r="G125" s="684"/>
      <c r="H125" s="667">
        <f t="shared" si="11"/>
        <v>0</v>
      </c>
      <c r="I125" s="675"/>
      <c r="J125" s="667">
        <f t="shared" si="8"/>
        <v>0</v>
      </c>
      <c r="K125" s="667"/>
      <c r="L125" s="667"/>
      <c r="M125" s="667" t="e">
        <f>G125+#REF!+#REF!+#REF!+I125+#REF!+#REF!+#REF!+#REF!+#REF!+#REF!+K125+#REF!+#REF!+#REF!</f>
        <v>#REF!</v>
      </c>
      <c r="N125" s="667" t="e">
        <f t="shared" si="9"/>
        <v>#REF!</v>
      </c>
      <c r="O125" s="665" t="e">
        <f>#REF!+M125</f>
        <v>#REF!</v>
      </c>
      <c r="P125" s="666" t="e">
        <f t="shared" si="10"/>
        <v>#REF!</v>
      </c>
      <c r="Q125" s="672"/>
      <c r="R125" s="668"/>
      <c r="S125" s="676"/>
      <c r="T125" s="676"/>
    </row>
    <row r="126" spans="1:21" s="677" customFormat="1" ht="25.5" hidden="1" customHeight="1">
      <c r="A126" s="688"/>
      <c r="B126" s="666">
        <f t="shared" si="7"/>
        <v>0</v>
      </c>
      <c r="C126" s="663" t="s">
        <v>1424</v>
      </c>
      <c r="D126" s="675"/>
      <c r="E126" s="674" t="s">
        <v>235</v>
      </c>
      <c r="F126" s="663">
        <f t="shared" si="12"/>
        <v>0</v>
      </c>
      <c r="G126" s="684"/>
      <c r="H126" s="667">
        <f t="shared" si="11"/>
        <v>0</v>
      </c>
      <c r="I126" s="675"/>
      <c r="J126" s="667">
        <f t="shared" si="8"/>
        <v>0</v>
      </c>
      <c r="K126" s="667"/>
      <c r="L126" s="667"/>
      <c r="M126" s="667" t="e">
        <f>G126+#REF!+#REF!+#REF!+I126+#REF!+#REF!+#REF!+#REF!+#REF!+#REF!+K126+#REF!+#REF!+#REF!</f>
        <v>#REF!</v>
      </c>
      <c r="N126" s="667" t="e">
        <f t="shared" si="9"/>
        <v>#REF!</v>
      </c>
      <c r="O126" s="665" t="e">
        <f>#REF!+M126</f>
        <v>#REF!</v>
      </c>
      <c r="P126" s="666" t="e">
        <f t="shared" si="10"/>
        <v>#REF!</v>
      </c>
      <c r="Q126" s="672"/>
      <c r="R126" s="668"/>
      <c r="S126" s="676"/>
      <c r="T126" s="676"/>
    </row>
    <row r="127" spans="1:21" s="677" customFormat="1" ht="69.75" hidden="1" customHeight="1">
      <c r="A127" s="662">
        <v>10.1</v>
      </c>
      <c r="B127" s="666">
        <f t="shared" si="7"/>
        <v>0</v>
      </c>
      <c r="C127" s="685" t="s">
        <v>1432</v>
      </c>
      <c r="D127" s="675"/>
      <c r="E127" s="674"/>
      <c r="F127" s="663">
        <f t="shared" si="12"/>
        <v>0</v>
      </c>
      <c r="G127" s="684"/>
      <c r="H127" s="667">
        <f t="shared" si="11"/>
        <v>0</v>
      </c>
      <c r="I127" s="675"/>
      <c r="J127" s="667">
        <f t="shared" si="8"/>
        <v>0</v>
      </c>
      <c r="K127" s="667"/>
      <c r="L127" s="667"/>
      <c r="M127" s="667" t="e">
        <f>G127+#REF!+#REF!+#REF!+I127+#REF!+#REF!+#REF!+#REF!+#REF!+#REF!+K127+#REF!+#REF!+#REF!</f>
        <v>#REF!</v>
      </c>
      <c r="N127" s="667" t="e">
        <f t="shared" si="9"/>
        <v>#REF!</v>
      </c>
      <c r="O127" s="665" t="e">
        <f>#REF!+M127</f>
        <v>#REF!</v>
      </c>
      <c r="P127" s="666" t="e">
        <f t="shared" si="10"/>
        <v>#REF!</v>
      </c>
      <c r="Q127" s="672"/>
      <c r="R127" s="668"/>
      <c r="S127" s="676"/>
      <c r="T127" s="676"/>
    </row>
    <row r="128" spans="1:21" s="677" customFormat="1" ht="25.5" hidden="1" customHeight="1">
      <c r="A128" s="662"/>
      <c r="B128" s="666">
        <f t="shared" si="7"/>
        <v>0</v>
      </c>
      <c r="C128" s="663" t="s">
        <v>1433</v>
      </c>
      <c r="D128" s="675">
        <f>ROUND([14]Data!X400,2)</f>
        <v>772.02</v>
      </c>
      <c r="E128" s="674" t="s">
        <v>264</v>
      </c>
      <c r="F128" s="663">
        <f t="shared" si="12"/>
        <v>0</v>
      </c>
      <c r="G128" s="684"/>
      <c r="H128" s="667">
        <f t="shared" si="11"/>
        <v>0</v>
      </c>
      <c r="I128" s="675"/>
      <c r="J128" s="667">
        <f t="shared" si="8"/>
        <v>0</v>
      </c>
      <c r="K128" s="667"/>
      <c r="L128" s="667"/>
      <c r="M128" s="667" t="e">
        <f>G128+#REF!+#REF!+#REF!+I128+#REF!+#REF!+#REF!+#REF!+#REF!+#REF!+K128+#REF!+#REF!+#REF!</f>
        <v>#REF!</v>
      </c>
      <c r="N128" s="667" t="e">
        <f t="shared" si="9"/>
        <v>#REF!</v>
      </c>
      <c r="O128" s="665" t="e">
        <f>#REF!+M128</f>
        <v>#REF!</v>
      </c>
      <c r="P128" s="666" t="e">
        <f t="shared" si="10"/>
        <v>#REF!</v>
      </c>
      <c r="Q128" s="672"/>
      <c r="R128" s="668"/>
      <c r="S128" s="676"/>
      <c r="T128" s="676"/>
    </row>
    <row r="129" spans="1:20" s="677" customFormat="1" ht="25.5" hidden="1" customHeight="1">
      <c r="A129" s="662"/>
      <c r="B129" s="666">
        <f t="shared" si="7"/>
        <v>0</v>
      </c>
      <c r="C129" s="663" t="s">
        <v>1434</v>
      </c>
      <c r="D129" s="675">
        <f>ROUND([14]Data!X402,2)</f>
        <v>779.64</v>
      </c>
      <c r="E129" s="674" t="s">
        <v>264</v>
      </c>
      <c r="F129" s="663">
        <f t="shared" si="12"/>
        <v>0</v>
      </c>
      <c r="G129" s="684"/>
      <c r="H129" s="667">
        <f t="shared" si="11"/>
        <v>0</v>
      </c>
      <c r="I129" s="675"/>
      <c r="J129" s="667">
        <f t="shared" si="8"/>
        <v>0</v>
      </c>
      <c r="K129" s="667"/>
      <c r="L129" s="667"/>
      <c r="M129" s="667" t="e">
        <f>G129+#REF!+#REF!+#REF!+I129+#REF!+#REF!+#REF!+#REF!+#REF!+#REF!+K129+#REF!+#REF!+#REF!</f>
        <v>#REF!</v>
      </c>
      <c r="N129" s="667" t="e">
        <f t="shared" si="9"/>
        <v>#REF!</v>
      </c>
      <c r="O129" s="665" t="e">
        <f>#REF!+M129</f>
        <v>#REF!</v>
      </c>
      <c r="P129" s="666" t="e">
        <f t="shared" si="10"/>
        <v>#REF!</v>
      </c>
      <c r="Q129" s="672"/>
      <c r="R129" s="668"/>
      <c r="S129" s="676"/>
      <c r="T129" s="676"/>
    </row>
    <row r="130" spans="1:20" s="677" customFormat="1" ht="25.5" hidden="1" customHeight="1">
      <c r="A130" s="662"/>
      <c r="B130" s="666">
        <f t="shared" si="7"/>
        <v>0</v>
      </c>
      <c r="C130" s="663" t="s">
        <v>1435</v>
      </c>
      <c r="D130" s="675">
        <f>ROUND([14]Data!X403,2)</f>
        <v>795.01</v>
      </c>
      <c r="E130" s="674" t="s">
        <v>264</v>
      </c>
      <c r="F130" s="663">
        <f t="shared" si="12"/>
        <v>0</v>
      </c>
      <c r="G130" s="684"/>
      <c r="H130" s="667">
        <f t="shared" si="11"/>
        <v>0</v>
      </c>
      <c r="I130" s="675"/>
      <c r="J130" s="667">
        <f t="shared" si="8"/>
        <v>0</v>
      </c>
      <c r="K130" s="667"/>
      <c r="L130" s="667"/>
      <c r="M130" s="667" t="e">
        <f>G130+#REF!+#REF!+#REF!+I130+#REF!+#REF!+#REF!+#REF!+#REF!+#REF!+K130+#REF!+#REF!+#REF!</f>
        <v>#REF!</v>
      </c>
      <c r="N130" s="667" t="e">
        <f t="shared" si="9"/>
        <v>#REF!</v>
      </c>
      <c r="O130" s="665" t="e">
        <f>#REF!+M130</f>
        <v>#REF!</v>
      </c>
      <c r="P130" s="666" t="e">
        <f t="shared" si="10"/>
        <v>#REF!</v>
      </c>
      <c r="Q130" s="672"/>
      <c r="R130" s="668"/>
      <c r="S130" s="676"/>
      <c r="T130" s="676"/>
    </row>
    <row r="131" spans="1:20" s="677" customFormat="1" ht="25.5" hidden="1" customHeight="1">
      <c r="A131" s="662"/>
      <c r="B131" s="666">
        <f t="shared" si="7"/>
        <v>0</v>
      </c>
      <c r="C131" s="663" t="s">
        <v>1436</v>
      </c>
      <c r="D131" s="675">
        <f>ROUND([14]Data!X404,2)</f>
        <v>810.38</v>
      </c>
      <c r="E131" s="674" t="s">
        <v>264</v>
      </c>
      <c r="F131" s="663">
        <f t="shared" si="12"/>
        <v>0</v>
      </c>
      <c r="G131" s="684"/>
      <c r="H131" s="667">
        <f t="shared" si="11"/>
        <v>0</v>
      </c>
      <c r="I131" s="675"/>
      <c r="J131" s="667">
        <f t="shared" si="8"/>
        <v>0</v>
      </c>
      <c r="K131" s="667"/>
      <c r="L131" s="667"/>
      <c r="M131" s="667" t="e">
        <f>G131+#REF!+#REF!+#REF!+I131+#REF!+#REF!+#REF!+#REF!+#REF!+#REF!+K131+#REF!+#REF!+#REF!</f>
        <v>#REF!</v>
      </c>
      <c r="N131" s="667" t="e">
        <f t="shared" si="9"/>
        <v>#REF!</v>
      </c>
      <c r="O131" s="665" t="e">
        <f>#REF!+M131</f>
        <v>#REF!</v>
      </c>
      <c r="P131" s="666" t="e">
        <f t="shared" si="10"/>
        <v>#REF!</v>
      </c>
      <c r="Q131" s="672"/>
      <c r="R131" s="668"/>
      <c r="S131" s="676"/>
      <c r="T131" s="676"/>
    </row>
    <row r="132" spans="1:20" s="677" customFormat="1" ht="25.5" hidden="1" customHeight="1">
      <c r="A132" s="662"/>
      <c r="B132" s="666">
        <f t="shared" ref="B132:B195" si="13">G132</f>
        <v>0</v>
      </c>
      <c r="C132" s="663" t="s">
        <v>1437</v>
      </c>
      <c r="D132" s="675">
        <f>ROUND([14]Data!X405,2)</f>
        <v>825.75</v>
      </c>
      <c r="E132" s="674" t="s">
        <v>264</v>
      </c>
      <c r="F132" s="663">
        <f t="shared" si="12"/>
        <v>0</v>
      </c>
      <c r="G132" s="684"/>
      <c r="H132" s="667">
        <f t="shared" si="11"/>
        <v>0</v>
      </c>
      <c r="I132" s="675"/>
      <c r="J132" s="667">
        <f t="shared" si="8"/>
        <v>0</v>
      </c>
      <c r="K132" s="667"/>
      <c r="L132" s="667"/>
      <c r="M132" s="667" t="e">
        <f>G132+#REF!+#REF!+#REF!+I132+#REF!+#REF!+#REF!+#REF!+#REF!+#REF!+K132+#REF!+#REF!+#REF!</f>
        <v>#REF!</v>
      </c>
      <c r="N132" s="667" t="e">
        <f t="shared" si="9"/>
        <v>#REF!</v>
      </c>
      <c r="O132" s="665" t="e">
        <f>#REF!+M132</f>
        <v>#REF!</v>
      </c>
      <c r="P132" s="666" t="e">
        <f t="shared" si="10"/>
        <v>#REF!</v>
      </c>
      <c r="Q132" s="672"/>
      <c r="R132" s="668"/>
      <c r="S132" s="676"/>
      <c r="T132" s="676"/>
    </row>
    <row r="133" spans="1:20" s="677" customFormat="1" ht="25.5" hidden="1" customHeight="1">
      <c r="A133" s="688"/>
      <c r="B133" s="666">
        <f t="shared" si="13"/>
        <v>0</v>
      </c>
      <c r="C133" s="663" t="s">
        <v>1438</v>
      </c>
      <c r="D133" s="675">
        <f>ROUND([14]Data!X406,2)</f>
        <v>841.12</v>
      </c>
      <c r="E133" s="674" t="s">
        <v>264</v>
      </c>
      <c r="F133" s="663">
        <f t="shared" si="12"/>
        <v>0</v>
      </c>
      <c r="G133" s="684"/>
      <c r="H133" s="667">
        <f t="shared" si="11"/>
        <v>0</v>
      </c>
      <c r="I133" s="675"/>
      <c r="J133" s="667">
        <f t="shared" si="8"/>
        <v>0</v>
      </c>
      <c r="K133" s="667"/>
      <c r="L133" s="667"/>
      <c r="M133" s="667" t="e">
        <f>G133+#REF!+#REF!+#REF!+I133+#REF!+#REF!+#REF!+#REF!+#REF!+#REF!+K133+#REF!+#REF!+#REF!</f>
        <v>#REF!</v>
      </c>
      <c r="N133" s="667" t="e">
        <f t="shared" si="9"/>
        <v>#REF!</v>
      </c>
      <c r="O133" s="665" t="e">
        <f>#REF!+M133</f>
        <v>#REF!</v>
      </c>
      <c r="P133" s="666" t="e">
        <f t="shared" si="10"/>
        <v>#REF!</v>
      </c>
      <c r="Q133" s="672"/>
      <c r="R133" s="668"/>
      <c r="S133" s="676"/>
      <c r="T133" s="676"/>
    </row>
    <row r="134" spans="1:20" s="677" customFormat="1" ht="69.75" hidden="1" customHeight="1">
      <c r="A134" s="662">
        <v>10.199999999999999</v>
      </c>
      <c r="B134" s="666">
        <f t="shared" si="13"/>
        <v>0</v>
      </c>
      <c r="C134" s="685" t="s">
        <v>1439</v>
      </c>
      <c r="D134" s="675"/>
      <c r="E134" s="674"/>
      <c r="F134" s="663">
        <f t="shared" si="12"/>
        <v>0</v>
      </c>
      <c r="G134" s="684"/>
      <c r="H134" s="667">
        <f t="shared" si="11"/>
        <v>0</v>
      </c>
      <c r="I134" s="675"/>
      <c r="J134" s="667">
        <f t="shared" ref="J134:J197" si="14">I134*D134</f>
        <v>0</v>
      </c>
      <c r="K134" s="667"/>
      <c r="L134" s="667"/>
      <c r="M134" s="667" t="e">
        <f>G134+#REF!+#REF!+#REF!+I134+#REF!+#REF!+#REF!+#REF!+#REF!+#REF!+K134+#REF!+#REF!+#REF!</f>
        <v>#REF!</v>
      </c>
      <c r="N134" s="667" t="e">
        <f t="shared" ref="N134:N197" si="15">M134*D134</f>
        <v>#REF!</v>
      </c>
      <c r="O134" s="665" t="e">
        <f>#REF!+M134</f>
        <v>#REF!</v>
      </c>
      <c r="P134" s="666" t="e">
        <f t="shared" ref="P134:P197" si="16">O134*D134</f>
        <v>#REF!</v>
      </c>
      <c r="Q134" s="672"/>
      <c r="R134" s="668"/>
      <c r="S134" s="676"/>
      <c r="T134" s="676"/>
    </row>
    <row r="135" spans="1:20" s="677" customFormat="1" ht="25.5" hidden="1" customHeight="1">
      <c r="A135" s="662"/>
      <c r="B135" s="666">
        <f t="shared" si="13"/>
        <v>0</v>
      </c>
      <c r="C135" s="663" t="s">
        <v>1433</v>
      </c>
      <c r="D135" s="675">
        <f>ROUND([14]Data!AG409,2)</f>
        <v>753.19</v>
      </c>
      <c r="E135" s="674" t="s">
        <v>264</v>
      </c>
      <c r="F135" s="663">
        <f t="shared" si="12"/>
        <v>0</v>
      </c>
      <c r="G135" s="684"/>
      <c r="H135" s="667">
        <f t="shared" si="11"/>
        <v>0</v>
      </c>
      <c r="I135" s="675"/>
      <c r="J135" s="667">
        <f t="shared" si="14"/>
        <v>0</v>
      </c>
      <c r="K135" s="667"/>
      <c r="L135" s="667"/>
      <c r="M135" s="667" t="e">
        <f>G135+#REF!+#REF!+#REF!+I135+#REF!+#REF!+#REF!+#REF!+#REF!+#REF!+K135+#REF!+#REF!+#REF!</f>
        <v>#REF!</v>
      </c>
      <c r="N135" s="667" t="e">
        <f t="shared" si="15"/>
        <v>#REF!</v>
      </c>
      <c r="O135" s="665" t="e">
        <f>#REF!+M135</f>
        <v>#REF!</v>
      </c>
      <c r="P135" s="666" t="e">
        <f t="shared" si="16"/>
        <v>#REF!</v>
      </c>
      <c r="Q135" s="672"/>
      <c r="R135" s="668"/>
      <c r="S135" s="676"/>
      <c r="T135" s="676"/>
    </row>
    <row r="136" spans="1:20" s="677" customFormat="1" ht="25.5" hidden="1" customHeight="1">
      <c r="A136" s="662"/>
      <c r="B136" s="666">
        <f t="shared" si="13"/>
        <v>0</v>
      </c>
      <c r="C136" s="663" t="s">
        <v>1440</v>
      </c>
      <c r="D136" s="675">
        <f>ROUND([14]Data!AG411,2)</f>
        <v>760.94</v>
      </c>
      <c r="E136" s="674" t="s">
        <v>264</v>
      </c>
      <c r="F136" s="663">
        <f t="shared" si="12"/>
        <v>0</v>
      </c>
      <c r="G136" s="684"/>
      <c r="H136" s="667">
        <f t="shared" si="11"/>
        <v>0</v>
      </c>
      <c r="I136" s="675"/>
      <c r="J136" s="667">
        <f t="shared" si="14"/>
        <v>0</v>
      </c>
      <c r="K136" s="667"/>
      <c r="L136" s="667"/>
      <c r="M136" s="667" t="e">
        <f>G136+#REF!+#REF!+#REF!+I136+#REF!+#REF!+#REF!+#REF!+#REF!+#REF!+K136+#REF!+#REF!+#REF!</f>
        <v>#REF!</v>
      </c>
      <c r="N136" s="667" t="e">
        <f t="shared" si="15"/>
        <v>#REF!</v>
      </c>
      <c r="O136" s="665" t="e">
        <f>#REF!+M136</f>
        <v>#REF!</v>
      </c>
      <c r="P136" s="666" t="e">
        <f t="shared" si="16"/>
        <v>#REF!</v>
      </c>
      <c r="Q136" s="672"/>
      <c r="R136" s="668"/>
      <c r="S136" s="676"/>
      <c r="T136" s="676"/>
    </row>
    <row r="137" spans="1:20" s="677" customFormat="1" ht="25.5" hidden="1" customHeight="1">
      <c r="A137" s="662"/>
      <c r="B137" s="666">
        <f t="shared" si="13"/>
        <v>0</v>
      </c>
      <c r="C137" s="663" t="s">
        <v>1435</v>
      </c>
      <c r="D137" s="675">
        <f>ROUND([14]Data!AG412,2)</f>
        <v>776.58</v>
      </c>
      <c r="E137" s="674" t="s">
        <v>264</v>
      </c>
      <c r="F137" s="663">
        <f t="shared" si="12"/>
        <v>0</v>
      </c>
      <c r="G137" s="684"/>
      <c r="H137" s="667">
        <f t="shared" si="11"/>
        <v>0</v>
      </c>
      <c r="I137" s="675"/>
      <c r="J137" s="667">
        <f t="shared" si="14"/>
        <v>0</v>
      </c>
      <c r="K137" s="667"/>
      <c r="L137" s="667"/>
      <c r="M137" s="667" t="e">
        <f>G137+#REF!+#REF!+#REF!+I137+#REF!+#REF!+#REF!+#REF!+#REF!+#REF!+K137+#REF!+#REF!+#REF!</f>
        <v>#REF!</v>
      </c>
      <c r="N137" s="667" t="e">
        <f t="shared" si="15"/>
        <v>#REF!</v>
      </c>
      <c r="O137" s="665" t="e">
        <f>#REF!+M137</f>
        <v>#REF!</v>
      </c>
      <c r="P137" s="666" t="e">
        <f t="shared" si="16"/>
        <v>#REF!</v>
      </c>
      <c r="Q137" s="672"/>
      <c r="R137" s="668"/>
      <c r="S137" s="676"/>
      <c r="T137" s="676"/>
    </row>
    <row r="138" spans="1:20" s="677" customFormat="1" ht="25.5" hidden="1" customHeight="1">
      <c r="A138" s="662"/>
      <c r="B138" s="666">
        <f t="shared" si="13"/>
        <v>0</v>
      </c>
      <c r="C138" s="663" t="s">
        <v>1436</v>
      </c>
      <c r="D138" s="675">
        <f>ROUND([14]Data!AG413,2)</f>
        <v>792.22</v>
      </c>
      <c r="E138" s="674" t="s">
        <v>264</v>
      </c>
      <c r="F138" s="663">
        <f t="shared" si="12"/>
        <v>0</v>
      </c>
      <c r="G138" s="684"/>
      <c r="H138" s="667">
        <f t="shared" si="11"/>
        <v>0</v>
      </c>
      <c r="I138" s="675"/>
      <c r="J138" s="667">
        <f t="shared" si="14"/>
        <v>0</v>
      </c>
      <c r="K138" s="667"/>
      <c r="L138" s="667"/>
      <c r="M138" s="667" t="e">
        <f>G138+#REF!+#REF!+#REF!+I138+#REF!+#REF!+#REF!+#REF!+#REF!+#REF!+K138+#REF!+#REF!+#REF!</f>
        <v>#REF!</v>
      </c>
      <c r="N138" s="667" t="e">
        <f t="shared" si="15"/>
        <v>#REF!</v>
      </c>
      <c r="O138" s="665" t="e">
        <f>#REF!+M138</f>
        <v>#REF!</v>
      </c>
      <c r="P138" s="666" t="e">
        <f t="shared" si="16"/>
        <v>#REF!</v>
      </c>
      <c r="Q138" s="672"/>
      <c r="R138" s="668"/>
      <c r="S138" s="676"/>
      <c r="T138" s="676"/>
    </row>
    <row r="139" spans="1:20" s="677" customFormat="1" ht="25.5" hidden="1" customHeight="1">
      <c r="A139" s="662"/>
      <c r="B139" s="666">
        <f t="shared" si="13"/>
        <v>0</v>
      </c>
      <c r="C139" s="663" t="s">
        <v>1437</v>
      </c>
      <c r="D139" s="675">
        <f>ROUND([14]Data!AG414,2)</f>
        <v>807.86</v>
      </c>
      <c r="E139" s="674" t="s">
        <v>264</v>
      </c>
      <c r="F139" s="663">
        <f t="shared" si="12"/>
        <v>0</v>
      </c>
      <c r="G139" s="684"/>
      <c r="H139" s="667">
        <f t="shared" si="11"/>
        <v>0</v>
      </c>
      <c r="I139" s="675"/>
      <c r="J139" s="667">
        <f t="shared" si="14"/>
        <v>0</v>
      </c>
      <c r="K139" s="667"/>
      <c r="L139" s="667"/>
      <c r="M139" s="667" t="e">
        <f>G139+#REF!+#REF!+#REF!+I139+#REF!+#REF!+#REF!+#REF!+#REF!+#REF!+K139+#REF!+#REF!+#REF!</f>
        <v>#REF!</v>
      </c>
      <c r="N139" s="667" t="e">
        <f t="shared" si="15"/>
        <v>#REF!</v>
      </c>
      <c r="O139" s="665" t="e">
        <f>#REF!+M139</f>
        <v>#REF!</v>
      </c>
      <c r="P139" s="666" t="e">
        <f t="shared" si="16"/>
        <v>#REF!</v>
      </c>
      <c r="Q139" s="672"/>
      <c r="R139" s="668"/>
      <c r="S139" s="676"/>
      <c r="T139" s="676"/>
    </row>
    <row r="140" spans="1:20" s="677" customFormat="1" ht="25.5" hidden="1" customHeight="1">
      <c r="A140" s="688"/>
      <c r="B140" s="666">
        <f t="shared" si="13"/>
        <v>0</v>
      </c>
      <c r="C140" s="663" t="s">
        <v>1438</v>
      </c>
      <c r="D140" s="675">
        <f>ROUND([14]Data!AG415,2)</f>
        <v>823.5</v>
      </c>
      <c r="E140" s="674" t="s">
        <v>264</v>
      </c>
      <c r="F140" s="663">
        <f t="shared" si="12"/>
        <v>0</v>
      </c>
      <c r="G140" s="684"/>
      <c r="H140" s="667">
        <f t="shared" si="11"/>
        <v>0</v>
      </c>
      <c r="I140" s="675"/>
      <c r="J140" s="667">
        <f t="shared" si="14"/>
        <v>0</v>
      </c>
      <c r="K140" s="667"/>
      <c r="L140" s="667"/>
      <c r="M140" s="667" t="e">
        <f>G140+#REF!+#REF!+#REF!+I140+#REF!+#REF!+#REF!+#REF!+#REF!+#REF!+K140+#REF!+#REF!+#REF!</f>
        <v>#REF!</v>
      </c>
      <c r="N140" s="667" t="e">
        <f t="shared" si="15"/>
        <v>#REF!</v>
      </c>
      <c r="O140" s="665" t="e">
        <f>#REF!+M140</f>
        <v>#REF!</v>
      </c>
      <c r="P140" s="666" t="e">
        <f t="shared" si="16"/>
        <v>#REF!</v>
      </c>
      <c r="Q140" s="672"/>
      <c r="R140" s="668"/>
      <c r="S140" s="676"/>
      <c r="T140" s="676"/>
    </row>
    <row r="141" spans="1:20" s="677" customFormat="1" ht="25.5" hidden="1" customHeight="1">
      <c r="A141" s="688"/>
      <c r="B141" s="666">
        <f t="shared" si="13"/>
        <v>0</v>
      </c>
      <c r="C141" s="663" t="s">
        <v>1411</v>
      </c>
      <c r="D141" s="675">
        <f>ROUND([14]Data!AG416,2)</f>
        <v>839.14</v>
      </c>
      <c r="E141" s="674" t="s">
        <v>264</v>
      </c>
      <c r="F141" s="663">
        <f t="shared" si="12"/>
        <v>0</v>
      </c>
      <c r="G141" s="684"/>
      <c r="H141" s="667">
        <f t="shared" si="11"/>
        <v>0</v>
      </c>
      <c r="I141" s="675"/>
      <c r="J141" s="667">
        <f t="shared" si="14"/>
        <v>0</v>
      </c>
      <c r="K141" s="667"/>
      <c r="L141" s="667"/>
      <c r="M141" s="667" t="e">
        <f>G141+#REF!+#REF!+#REF!+I141+#REF!+#REF!+#REF!+#REF!+#REF!+#REF!+K141+#REF!+#REF!+#REF!</f>
        <v>#REF!</v>
      </c>
      <c r="N141" s="667" t="e">
        <f t="shared" si="15"/>
        <v>#REF!</v>
      </c>
      <c r="O141" s="665" t="e">
        <f>#REF!+M141</f>
        <v>#REF!</v>
      </c>
      <c r="P141" s="666" t="e">
        <f t="shared" si="16"/>
        <v>#REF!</v>
      </c>
      <c r="Q141" s="672"/>
      <c r="R141" s="668"/>
      <c r="S141" s="676"/>
      <c r="T141" s="676"/>
    </row>
    <row r="142" spans="1:20" s="677" customFormat="1" ht="25.5" hidden="1" customHeight="1">
      <c r="A142" s="688"/>
      <c r="B142" s="666">
        <f t="shared" si="13"/>
        <v>0</v>
      </c>
      <c r="C142" s="663" t="s">
        <v>1412</v>
      </c>
      <c r="D142" s="675">
        <f>ROUND([14]Data!AG417,2)</f>
        <v>854.78</v>
      </c>
      <c r="E142" s="674" t="s">
        <v>264</v>
      </c>
      <c r="F142" s="663">
        <f t="shared" si="12"/>
        <v>0</v>
      </c>
      <c r="G142" s="684"/>
      <c r="H142" s="667">
        <f t="shared" si="11"/>
        <v>0</v>
      </c>
      <c r="I142" s="675"/>
      <c r="J142" s="667">
        <f t="shared" si="14"/>
        <v>0</v>
      </c>
      <c r="K142" s="667"/>
      <c r="L142" s="667"/>
      <c r="M142" s="667" t="e">
        <f>G142+#REF!+#REF!+#REF!+I142+#REF!+#REF!+#REF!+#REF!+#REF!+#REF!+K142+#REF!+#REF!+#REF!</f>
        <v>#REF!</v>
      </c>
      <c r="N142" s="667" t="e">
        <f t="shared" si="15"/>
        <v>#REF!</v>
      </c>
      <c r="O142" s="665" t="e">
        <f>#REF!+M142</f>
        <v>#REF!</v>
      </c>
      <c r="P142" s="666" t="e">
        <f t="shared" si="16"/>
        <v>#REF!</v>
      </c>
      <c r="Q142" s="672"/>
      <c r="R142" s="668"/>
      <c r="S142" s="676"/>
      <c r="T142" s="676"/>
    </row>
    <row r="143" spans="1:20" s="677" customFormat="1" ht="25.5" hidden="1" customHeight="1">
      <c r="A143" s="688"/>
      <c r="B143" s="666">
        <f t="shared" si="13"/>
        <v>0</v>
      </c>
      <c r="C143" s="663" t="s">
        <v>1413</v>
      </c>
      <c r="D143" s="675">
        <f>ROUND([14]Data!AG418,2)</f>
        <v>870.42</v>
      </c>
      <c r="E143" s="674" t="s">
        <v>264</v>
      </c>
      <c r="F143" s="663">
        <f t="shared" si="12"/>
        <v>0</v>
      </c>
      <c r="G143" s="684"/>
      <c r="H143" s="667">
        <f t="shared" si="11"/>
        <v>0</v>
      </c>
      <c r="I143" s="675"/>
      <c r="J143" s="667">
        <f t="shared" si="14"/>
        <v>0</v>
      </c>
      <c r="K143" s="667"/>
      <c r="L143" s="667"/>
      <c r="M143" s="667" t="e">
        <f>G143+#REF!+#REF!+#REF!+I143+#REF!+#REF!+#REF!+#REF!+#REF!+#REF!+K143+#REF!+#REF!+#REF!</f>
        <v>#REF!</v>
      </c>
      <c r="N143" s="667" t="e">
        <f t="shared" si="15"/>
        <v>#REF!</v>
      </c>
      <c r="O143" s="665" t="e">
        <f>#REF!+M143</f>
        <v>#REF!</v>
      </c>
      <c r="P143" s="666" t="e">
        <f t="shared" si="16"/>
        <v>#REF!</v>
      </c>
      <c r="Q143" s="672"/>
      <c r="R143" s="668"/>
      <c r="S143" s="676"/>
      <c r="T143" s="676"/>
    </row>
    <row r="144" spans="1:20" s="677" customFormat="1" ht="25.5" hidden="1" customHeight="1">
      <c r="A144" s="688"/>
      <c r="B144" s="666">
        <f t="shared" si="13"/>
        <v>0</v>
      </c>
      <c r="C144" s="663" t="s">
        <v>1414</v>
      </c>
      <c r="D144" s="675">
        <f>ROUND([14]Data!AG419,2)</f>
        <v>886.06</v>
      </c>
      <c r="E144" s="674" t="s">
        <v>264</v>
      </c>
      <c r="F144" s="663">
        <f t="shared" si="12"/>
        <v>0</v>
      </c>
      <c r="G144" s="684"/>
      <c r="H144" s="667">
        <f t="shared" ref="H144:H207" si="17">G144*D144</f>
        <v>0</v>
      </c>
      <c r="I144" s="675"/>
      <c r="J144" s="667">
        <f t="shared" si="14"/>
        <v>0</v>
      </c>
      <c r="K144" s="667"/>
      <c r="L144" s="667"/>
      <c r="M144" s="667" t="e">
        <f>G144+#REF!+#REF!+#REF!+I144+#REF!+#REF!+#REF!+#REF!+#REF!+#REF!+K144+#REF!+#REF!+#REF!</f>
        <v>#REF!</v>
      </c>
      <c r="N144" s="667" t="e">
        <f t="shared" si="15"/>
        <v>#REF!</v>
      </c>
      <c r="O144" s="665" t="e">
        <f>#REF!+M144</f>
        <v>#REF!</v>
      </c>
      <c r="P144" s="666" t="e">
        <f t="shared" si="16"/>
        <v>#REF!</v>
      </c>
      <c r="Q144" s="672"/>
      <c r="R144" s="668"/>
      <c r="S144" s="676"/>
      <c r="T144" s="676"/>
    </row>
    <row r="145" spans="1:20" s="677" customFormat="1" ht="25.5" hidden="1" customHeight="1">
      <c r="A145" s="688"/>
      <c r="B145" s="666">
        <f t="shared" si="13"/>
        <v>0</v>
      </c>
      <c r="C145" s="663" t="s">
        <v>1415</v>
      </c>
      <c r="D145" s="675">
        <f>ROUND([14]Data!AG420,2)</f>
        <v>901.7</v>
      </c>
      <c r="E145" s="674" t="s">
        <v>264</v>
      </c>
      <c r="F145" s="663">
        <f t="shared" ref="F145:F208" si="18">B145*D145</f>
        <v>0</v>
      </c>
      <c r="G145" s="684"/>
      <c r="H145" s="667">
        <f t="shared" si="17"/>
        <v>0</v>
      </c>
      <c r="I145" s="675"/>
      <c r="J145" s="667">
        <f t="shared" si="14"/>
        <v>0</v>
      </c>
      <c r="K145" s="667"/>
      <c r="L145" s="667"/>
      <c r="M145" s="667" t="e">
        <f>G145+#REF!+#REF!+#REF!+I145+#REF!+#REF!+#REF!+#REF!+#REF!+#REF!+K145+#REF!+#REF!+#REF!</f>
        <v>#REF!</v>
      </c>
      <c r="N145" s="667" t="e">
        <f t="shared" si="15"/>
        <v>#REF!</v>
      </c>
      <c r="O145" s="665" t="e">
        <f>#REF!+M145</f>
        <v>#REF!</v>
      </c>
      <c r="P145" s="666" t="e">
        <f t="shared" si="16"/>
        <v>#REF!</v>
      </c>
      <c r="Q145" s="672"/>
      <c r="R145" s="668"/>
      <c r="S145" s="676"/>
      <c r="T145" s="676"/>
    </row>
    <row r="146" spans="1:20" s="677" customFormat="1" ht="26.25" hidden="1" customHeight="1">
      <c r="A146" s="688"/>
      <c r="B146" s="666">
        <f t="shared" si="13"/>
        <v>0</v>
      </c>
      <c r="C146" s="663" t="s">
        <v>1416</v>
      </c>
      <c r="D146" s="675">
        <f>ROUND([14]Data!AG421,2)</f>
        <v>917.34</v>
      </c>
      <c r="E146" s="674" t="s">
        <v>264</v>
      </c>
      <c r="F146" s="663">
        <f t="shared" si="18"/>
        <v>0</v>
      </c>
      <c r="G146" s="684"/>
      <c r="H146" s="667">
        <f t="shared" si="17"/>
        <v>0</v>
      </c>
      <c r="I146" s="675"/>
      <c r="J146" s="667">
        <f t="shared" si="14"/>
        <v>0</v>
      </c>
      <c r="K146" s="667"/>
      <c r="L146" s="667"/>
      <c r="M146" s="667" t="e">
        <f>G146+#REF!+#REF!+#REF!+I146+#REF!+#REF!+#REF!+#REF!+#REF!+#REF!+K146+#REF!+#REF!+#REF!</f>
        <v>#REF!</v>
      </c>
      <c r="N146" s="667" t="e">
        <f t="shared" si="15"/>
        <v>#REF!</v>
      </c>
      <c r="O146" s="665" t="e">
        <f>#REF!+M146</f>
        <v>#REF!</v>
      </c>
      <c r="P146" s="666" t="e">
        <f t="shared" si="16"/>
        <v>#REF!</v>
      </c>
      <c r="Q146" s="672"/>
      <c r="R146" s="668"/>
      <c r="S146" s="676"/>
      <c r="T146" s="676"/>
    </row>
    <row r="147" spans="1:20" s="677" customFormat="1" ht="25.5" hidden="1" customHeight="1">
      <c r="A147" s="688"/>
      <c r="B147" s="666">
        <f t="shared" si="13"/>
        <v>0</v>
      </c>
      <c r="C147" s="663" t="s">
        <v>1417</v>
      </c>
      <c r="D147" s="675">
        <f>ROUND([14]Data!AG422,2)</f>
        <v>932.98</v>
      </c>
      <c r="E147" s="674" t="s">
        <v>264</v>
      </c>
      <c r="F147" s="663">
        <f t="shared" si="18"/>
        <v>0</v>
      </c>
      <c r="G147" s="684"/>
      <c r="H147" s="667">
        <f t="shared" si="17"/>
        <v>0</v>
      </c>
      <c r="I147" s="675"/>
      <c r="J147" s="667">
        <f t="shared" si="14"/>
        <v>0</v>
      </c>
      <c r="K147" s="667"/>
      <c r="L147" s="667"/>
      <c r="M147" s="667" t="e">
        <f>G147+#REF!+#REF!+#REF!+I147+#REF!+#REF!+#REF!+#REF!+#REF!+#REF!+K147+#REF!+#REF!+#REF!</f>
        <v>#REF!</v>
      </c>
      <c r="N147" s="667" t="e">
        <f t="shared" si="15"/>
        <v>#REF!</v>
      </c>
      <c r="O147" s="665" t="e">
        <f>#REF!+M147</f>
        <v>#REF!</v>
      </c>
      <c r="P147" s="666" t="e">
        <f t="shared" si="16"/>
        <v>#REF!</v>
      </c>
      <c r="Q147" s="672"/>
      <c r="R147" s="668"/>
      <c r="S147" s="676"/>
      <c r="T147" s="676"/>
    </row>
    <row r="148" spans="1:20" s="677" customFormat="1" ht="25.5" hidden="1" customHeight="1">
      <c r="A148" s="688"/>
      <c r="B148" s="666">
        <f t="shared" si="13"/>
        <v>0</v>
      </c>
      <c r="C148" s="663" t="s">
        <v>1418</v>
      </c>
      <c r="D148" s="675">
        <f>[14]Data!AI422</f>
        <v>948.62</v>
      </c>
      <c r="E148" s="674" t="s">
        <v>264</v>
      </c>
      <c r="F148" s="663">
        <f t="shared" si="18"/>
        <v>0</v>
      </c>
      <c r="G148" s="684"/>
      <c r="H148" s="667">
        <f t="shared" si="17"/>
        <v>0</v>
      </c>
      <c r="I148" s="675"/>
      <c r="J148" s="667">
        <f t="shared" si="14"/>
        <v>0</v>
      </c>
      <c r="K148" s="667"/>
      <c r="L148" s="667"/>
      <c r="M148" s="667" t="e">
        <f>G148+#REF!+#REF!+#REF!+I148+#REF!+#REF!+#REF!+#REF!+#REF!+#REF!+K148+#REF!+#REF!+#REF!</f>
        <v>#REF!</v>
      </c>
      <c r="N148" s="667" t="e">
        <f t="shared" si="15"/>
        <v>#REF!</v>
      </c>
      <c r="O148" s="665" t="e">
        <f>#REF!+M148</f>
        <v>#REF!</v>
      </c>
      <c r="P148" s="666" t="e">
        <f t="shared" si="16"/>
        <v>#REF!</v>
      </c>
      <c r="Q148" s="672"/>
      <c r="R148" s="668"/>
      <c r="S148" s="676"/>
      <c r="T148" s="676"/>
    </row>
    <row r="149" spans="1:20" s="677" customFormat="1" ht="25.5" hidden="1" customHeight="1">
      <c r="A149" s="688"/>
      <c r="B149" s="666">
        <f t="shared" si="13"/>
        <v>0</v>
      </c>
      <c r="C149" s="663" t="s">
        <v>1427</v>
      </c>
      <c r="D149" s="675">
        <f>[14]Data!AI423</f>
        <v>964.26</v>
      </c>
      <c r="E149" s="674" t="s">
        <v>264</v>
      </c>
      <c r="F149" s="663">
        <f t="shared" si="18"/>
        <v>0</v>
      </c>
      <c r="G149" s="684"/>
      <c r="H149" s="667">
        <f t="shared" si="17"/>
        <v>0</v>
      </c>
      <c r="I149" s="675"/>
      <c r="J149" s="667">
        <f t="shared" si="14"/>
        <v>0</v>
      </c>
      <c r="K149" s="667"/>
      <c r="L149" s="667"/>
      <c r="M149" s="667" t="e">
        <f>G149+#REF!+#REF!+#REF!+I149+#REF!+#REF!+#REF!+#REF!+#REF!+#REF!+K149+#REF!+#REF!+#REF!</f>
        <v>#REF!</v>
      </c>
      <c r="N149" s="667" t="e">
        <f t="shared" si="15"/>
        <v>#REF!</v>
      </c>
      <c r="O149" s="665" t="e">
        <f>#REF!+M149</f>
        <v>#REF!</v>
      </c>
      <c r="P149" s="666" t="e">
        <f t="shared" si="16"/>
        <v>#REF!</v>
      </c>
      <c r="Q149" s="672"/>
      <c r="R149" s="668"/>
      <c r="S149" s="676"/>
      <c r="T149" s="676"/>
    </row>
    <row r="150" spans="1:20" s="677" customFormat="1" ht="69.75" hidden="1" customHeight="1">
      <c r="A150" s="662">
        <v>10.3</v>
      </c>
      <c r="B150" s="666">
        <f t="shared" si="13"/>
        <v>0</v>
      </c>
      <c r="C150" s="685" t="s">
        <v>1441</v>
      </c>
      <c r="D150" s="675"/>
      <c r="E150" s="674"/>
      <c r="F150" s="663">
        <f t="shared" si="18"/>
        <v>0</v>
      </c>
      <c r="G150" s="684"/>
      <c r="H150" s="667">
        <f t="shared" si="17"/>
        <v>0</v>
      </c>
      <c r="I150" s="675"/>
      <c r="J150" s="667">
        <f t="shared" si="14"/>
        <v>0</v>
      </c>
      <c r="K150" s="667"/>
      <c r="L150" s="667"/>
      <c r="M150" s="667" t="e">
        <f>G150+#REF!+#REF!+#REF!+I150+#REF!+#REF!+#REF!+#REF!+#REF!+#REF!+K150+#REF!+#REF!+#REF!</f>
        <v>#REF!</v>
      </c>
      <c r="N150" s="667" t="e">
        <f t="shared" si="15"/>
        <v>#REF!</v>
      </c>
      <c r="O150" s="665" t="e">
        <f>#REF!+M150</f>
        <v>#REF!</v>
      </c>
      <c r="P150" s="666" t="e">
        <f t="shared" si="16"/>
        <v>#REF!</v>
      </c>
      <c r="Q150" s="672"/>
      <c r="R150" s="668"/>
      <c r="S150" s="676"/>
      <c r="T150" s="676"/>
    </row>
    <row r="151" spans="1:20" s="677" customFormat="1" ht="25.5" hidden="1" customHeight="1">
      <c r="A151" s="662"/>
      <c r="B151" s="666">
        <f t="shared" si="13"/>
        <v>0</v>
      </c>
      <c r="C151" s="663" t="s">
        <v>1433</v>
      </c>
      <c r="D151" s="675"/>
      <c r="E151" s="674" t="s">
        <v>264</v>
      </c>
      <c r="F151" s="663">
        <f t="shared" si="18"/>
        <v>0</v>
      </c>
      <c r="G151" s="684"/>
      <c r="H151" s="667">
        <f t="shared" si="17"/>
        <v>0</v>
      </c>
      <c r="I151" s="675"/>
      <c r="J151" s="667">
        <f t="shared" si="14"/>
        <v>0</v>
      </c>
      <c r="K151" s="667"/>
      <c r="L151" s="667"/>
      <c r="M151" s="667" t="e">
        <f>G151+#REF!+#REF!+#REF!+I151+#REF!+#REF!+#REF!+#REF!+#REF!+#REF!+K151+#REF!+#REF!+#REF!</f>
        <v>#REF!</v>
      </c>
      <c r="N151" s="667" t="e">
        <f t="shared" si="15"/>
        <v>#REF!</v>
      </c>
      <c r="O151" s="665" t="e">
        <f>#REF!+M151</f>
        <v>#REF!</v>
      </c>
      <c r="P151" s="666" t="e">
        <f t="shared" si="16"/>
        <v>#REF!</v>
      </c>
      <c r="Q151" s="672"/>
      <c r="R151" s="668"/>
      <c r="S151" s="676"/>
      <c r="T151" s="676"/>
    </row>
    <row r="152" spans="1:20" s="677" customFormat="1" ht="25.5" hidden="1" customHeight="1">
      <c r="A152" s="662"/>
      <c r="B152" s="666">
        <f t="shared" si="13"/>
        <v>0</v>
      </c>
      <c r="C152" s="663" t="s">
        <v>1434</v>
      </c>
      <c r="D152" s="675"/>
      <c r="E152" s="674" t="s">
        <v>264</v>
      </c>
      <c r="F152" s="663">
        <f t="shared" si="18"/>
        <v>0</v>
      </c>
      <c r="G152" s="684"/>
      <c r="H152" s="667">
        <f t="shared" si="17"/>
        <v>0</v>
      </c>
      <c r="I152" s="675"/>
      <c r="J152" s="667">
        <f t="shared" si="14"/>
        <v>0</v>
      </c>
      <c r="K152" s="667"/>
      <c r="L152" s="667"/>
      <c r="M152" s="667" t="e">
        <f>G152+#REF!+#REF!+#REF!+I152+#REF!+#REF!+#REF!+#REF!+#REF!+#REF!+K152+#REF!+#REF!+#REF!</f>
        <v>#REF!</v>
      </c>
      <c r="N152" s="667" t="e">
        <f t="shared" si="15"/>
        <v>#REF!</v>
      </c>
      <c r="O152" s="665" t="e">
        <f>#REF!+M152</f>
        <v>#REF!</v>
      </c>
      <c r="P152" s="666" t="e">
        <f t="shared" si="16"/>
        <v>#REF!</v>
      </c>
      <c r="Q152" s="672"/>
      <c r="R152" s="668"/>
      <c r="S152" s="676"/>
      <c r="T152" s="676"/>
    </row>
    <row r="153" spans="1:20" s="677" customFormat="1" ht="25.5" hidden="1" customHeight="1">
      <c r="A153" s="662"/>
      <c r="B153" s="666">
        <f t="shared" si="13"/>
        <v>0</v>
      </c>
      <c r="C153" s="663" t="s">
        <v>1435</v>
      </c>
      <c r="D153" s="675"/>
      <c r="E153" s="674" t="s">
        <v>264</v>
      </c>
      <c r="F153" s="663">
        <f t="shared" si="18"/>
        <v>0</v>
      </c>
      <c r="G153" s="684"/>
      <c r="H153" s="667">
        <f t="shared" si="17"/>
        <v>0</v>
      </c>
      <c r="I153" s="675"/>
      <c r="J153" s="667">
        <f t="shared" si="14"/>
        <v>0</v>
      </c>
      <c r="K153" s="667"/>
      <c r="L153" s="667"/>
      <c r="M153" s="667" t="e">
        <f>G153+#REF!+#REF!+#REF!+I153+#REF!+#REF!+#REF!+#REF!+#REF!+#REF!+K153+#REF!+#REF!+#REF!</f>
        <v>#REF!</v>
      </c>
      <c r="N153" s="667" t="e">
        <f t="shared" si="15"/>
        <v>#REF!</v>
      </c>
      <c r="O153" s="665" t="e">
        <f>#REF!+M153</f>
        <v>#REF!</v>
      </c>
      <c r="P153" s="666" t="e">
        <f t="shared" si="16"/>
        <v>#REF!</v>
      </c>
      <c r="Q153" s="672"/>
      <c r="R153" s="668"/>
      <c r="S153" s="676"/>
      <c r="T153" s="676"/>
    </row>
    <row r="154" spans="1:20" s="677" customFormat="1" ht="25.5" hidden="1" customHeight="1">
      <c r="A154" s="662"/>
      <c r="B154" s="666">
        <f t="shared" si="13"/>
        <v>0</v>
      </c>
      <c r="C154" s="663" t="s">
        <v>1436</v>
      </c>
      <c r="D154" s="675"/>
      <c r="E154" s="674" t="s">
        <v>264</v>
      </c>
      <c r="F154" s="663">
        <f t="shared" si="18"/>
        <v>0</v>
      </c>
      <c r="G154" s="684"/>
      <c r="H154" s="667">
        <f t="shared" si="17"/>
        <v>0</v>
      </c>
      <c r="I154" s="675"/>
      <c r="J154" s="667">
        <f t="shared" si="14"/>
        <v>0</v>
      </c>
      <c r="K154" s="667"/>
      <c r="L154" s="667"/>
      <c r="M154" s="667" t="e">
        <f>G154+#REF!+#REF!+#REF!+I154+#REF!+#REF!+#REF!+#REF!+#REF!+#REF!+K154+#REF!+#REF!+#REF!</f>
        <v>#REF!</v>
      </c>
      <c r="N154" s="667" t="e">
        <f t="shared" si="15"/>
        <v>#REF!</v>
      </c>
      <c r="O154" s="665" t="e">
        <f>#REF!+M154</f>
        <v>#REF!</v>
      </c>
      <c r="P154" s="666" t="e">
        <f t="shared" si="16"/>
        <v>#REF!</v>
      </c>
      <c r="Q154" s="672"/>
      <c r="R154" s="668"/>
      <c r="S154" s="676"/>
      <c r="T154" s="676"/>
    </row>
    <row r="155" spans="1:20" s="677" customFormat="1" ht="25.5" hidden="1" customHeight="1">
      <c r="A155" s="662"/>
      <c r="B155" s="666">
        <f t="shared" si="13"/>
        <v>0</v>
      </c>
      <c r="C155" s="663" t="s">
        <v>1437</v>
      </c>
      <c r="D155" s="675"/>
      <c r="E155" s="674" t="s">
        <v>264</v>
      </c>
      <c r="F155" s="663">
        <f t="shared" si="18"/>
        <v>0</v>
      </c>
      <c r="G155" s="684"/>
      <c r="H155" s="667">
        <f t="shared" si="17"/>
        <v>0</v>
      </c>
      <c r="I155" s="675"/>
      <c r="J155" s="667">
        <f t="shared" si="14"/>
        <v>0</v>
      </c>
      <c r="K155" s="667"/>
      <c r="L155" s="667"/>
      <c r="M155" s="667" t="e">
        <f>G155+#REF!+#REF!+#REF!+I155+#REF!+#REF!+#REF!+#REF!+#REF!+#REF!+K155+#REF!+#REF!+#REF!</f>
        <v>#REF!</v>
      </c>
      <c r="N155" s="667" t="e">
        <f t="shared" si="15"/>
        <v>#REF!</v>
      </c>
      <c r="O155" s="665" t="e">
        <f>#REF!+M155</f>
        <v>#REF!</v>
      </c>
      <c r="P155" s="666" t="e">
        <f t="shared" si="16"/>
        <v>#REF!</v>
      </c>
      <c r="Q155" s="672"/>
      <c r="R155" s="668"/>
      <c r="S155" s="676"/>
      <c r="T155" s="676"/>
    </row>
    <row r="156" spans="1:20" s="677" customFormat="1" ht="25.5" hidden="1" customHeight="1">
      <c r="A156" s="688"/>
      <c r="B156" s="666">
        <f t="shared" si="13"/>
        <v>0</v>
      </c>
      <c r="C156" s="663" t="s">
        <v>1438</v>
      </c>
      <c r="D156" s="675"/>
      <c r="E156" s="674" t="s">
        <v>264</v>
      </c>
      <c r="F156" s="663">
        <f t="shared" si="18"/>
        <v>0</v>
      </c>
      <c r="G156" s="684"/>
      <c r="H156" s="667">
        <f t="shared" si="17"/>
        <v>0</v>
      </c>
      <c r="I156" s="675"/>
      <c r="J156" s="667">
        <f t="shared" si="14"/>
        <v>0</v>
      </c>
      <c r="K156" s="667"/>
      <c r="L156" s="667"/>
      <c r="M156" s="667" t="e">
        <f>G156+#REF!+#REF!+#REF!+I156+#REF!+#REF!+#REF!+#REF!+#REF!+#REF!+K156+#REF!+#REF!+#REF!</f>
        <v>#REF!</v>
      </c>
      <c r="N156" s="667" t="e">
        <f t="shared" si="15"/>
        <v>#REF!</v>
      </c>
      <c r="O156" s="665" t="e">
        <f>#REF!+M156</f>
        <v>#REF!</v>
      </c>
      <c r="P156" s="666" t="e">
        <f t="shared" si="16"/>
        <v>#REF!</v>
      </c>
      <c r="Q156" s="672"/>
      <c r="R156" s="668"/>
      <c r="S156" s="676"/>
      <c r="T156" s="676"/>
    </row>
    <row r="157" spans="1:20" s="677" customFormat="1" ht="69.75" hidden="1" customHeight="1">
      <c r="A157" s="662">
        <v>10.4</v>
      </c>
      <c r="B157" s="666">
        <f t="shared" si="13"/>
        <v>0</v>
      </c>
      <c r="C157" s="685" t="s">
        <v>1442</v>
      </c>
      <c r="D157" s="675"/>
      <c r="E157" s="674"/>
      <c r="F157" s="663">
        <f t="shared" si="18"/>
        <v>0</v>
      </c>
      <c r="G157" s="684"/>
      <c r="H157" s="667">
        <f t="shared" si="17"/>
        <v>0</v>
      </c>
      <c r="I157" s="675"/>
      <c r="J157" s="667">
        <f t="shared" si="14"/>
        <v>0</v>
      </c>
      <c r="K157" s="667"/>
      <c r="L157" s="667"/>
      <c r="M157" s="667" t="e">
        <f>G157+#REF!+#REF!+#REF!+I157+#REF!+#REF!+#REF!+#REF!+#REF!+#REF!+K157+#REF!+#REF!+#REF!</f>
        <v>#REF!</v>
      </c>
      <c r="N157" s="667" t="e">
        <f t="shared" si="15"/>
        <v>#REF!</v>
      </c>
      <c r="O157" s="665" t="e">
        <f>#REF!+M157</f>
        <v>#REF!</v>
      </c>
      <c r="P157" s="666" t="e">
        <f t="shared" si="16"/>
        <v>#REF!</v>
      </c>
      <c r="Q157" s="672"/>
      <c r="R157" s="668"/>
      <c r="S157" s="676"/>
      <c r="T157" s="676"/>
    </row>
    <row r="158" spans="1:20" s="677" customFormat="1" ht="25.5" hidden="1" customHeight="1">
      <c r="A158" s="662"/>
      <c r="B158" s="666">
        <f t="shared" si="13"/>
        <v>0</v>
      </c>
      <c r="C158" s="663" t="s">
        <v>1433</v>
      </c>
      <c r="D158" s="675"/>
      <c r="E158" s="674" t="s">
        <v>264</v>
      </c>
      <c r="F158" s="663">
        <f t="shared" si="18"/>
        <v>0</v>
      </c>
      <c r="G158" s="684"/>
      <c r="H158" s="667">
        <f t="shared" si="17"/>
        <v>0</v>
      </c>
      <c r="I158" s="675"/>
      <c r="J158" s="667">
        <f t="shared" si="14"/>
        <v>0</v>
      </c>
      <c r="K158" s="667"/>
      <c r="L158" s="667"/>
      <c r="M158" s="667" t="e">
        <f>G158+#REF!+#REF!+#REF!+I158+#REF!+#REF!+#REF!+#REF!+#REF!+#REF!+K158+#REF!+#REF!+#REF!</f>
        <v>#REF!</v>
      </c>
      <c r="N158" s="667" t="e">
        <f t="shared" si="15"/>
        <v>#REF!</v>
      </c>
      <c r="O158" s="665" t="e">
        <f>#REF!+M158</f>
        <v>#REF!</v>
      </c>
      <c r="P158" s="666" t="e">
        <f t="shared" si="16"/>
        <v>#REF!</v>
      </c>
      <c r="Q158" s="672"/>
      <c r="R158" s="668"/>
      <c r="S158" s="676"/>
      <c r="T158" s="676"/>
    </row>
    <row r="159" spans="1:20" s="677" customFormat="1" ht="25.5" hidden="1" customHeight="1">
      <c r="A159" s="662"/>
      <c r="B159" s="666">
        <f t="shared" si="13"/>
        <v>0</v>
      </c>
      <c r="C159" s="663" t="s">
        <v>1434</v>
      </c>
      <c r="D159" s="675"/>
      <c r="E159" s="674" t="s">
        <v>264</v>
      </c>
      <c r="F159" s="663">
        <f t="shared" si="18"/>
        <v>0</v>
      </c>
      <c r="G159" s="684"/>
      <c r="H159" s="667">
        <f t="shared" si="17"/>
        <v>0</v>
      </c>
      <c r="I159" s="675"/>
      <c r="J159" s="667">
        <f t="shared" si="14"/>
        <v>0</v>
      </c>
      <c r="K159" s="667"/>
      <c r="L159" s="667"/>
      <c r="M159" s="667" t="e">
        <f>G159+#REF!+#REF!+#REF!+I159+#REF!+#REF!+#REF!+#REF!+#REF!+#REF!+K159+#REF!+#REF!+#REF!</f>
        <v>#REF!</v>
      </c>
      <c r="N159" s="667" t="e">
        <f t="shared" si="15"/>
        <v>#REF!</v>
      </c>
      <c r="O159" s="665" t="e">
        <f>#REF!+M159</f>
        <v>#REF!</v>
      </c>
      <c r="P159" s="666" t="e">
        <f t="shared" si="16"/>
        <v>#REF!</v>
      </c>
      <c r="Q159" s="672"/>
      <c r="R159" s="668"/>
      <c r="S159" s="676"/>
      <c r="T159" s="676"/>
    </row>
    <row r="160" spans="1:20" s="677" customFormat="1" ht="25.5" hidden="1" customHeight="1">
      <c r="A160" s="662"/>
      <c r="B160" s="666">
        <f t="shared" si="13"/>
        <v>0</v>
      </c>
      <c r="C160" s="663" t="s">
        <v>1435</v>
      </c>
      <c r="D160" s="675"/>
      <c r="E160" s="674" t="s">
        <v>264</v>
      </c>
      <c r="F160" s="663">
        <f t="shared" si="18"/>
        <v>0</v>
      </c>
      <c r="G160" s="684"/>
      <c r="H160" s="667">
        <f t="shared" si="17"/>
        <v>0</v>
      </c>
      <c r="I160" s="675"/>
      <c r="J160" s="667">
        <f t="shared" si="14"/>
        <v>0</v>
      </c>
      <c r="K160" s="667"/>
      <c r="L160" s="667"/>
      <c r="M160" s="667" t="e">
        <f>G160+#REF!+#REF!+#REF!+I160+#REF!+#REF!+#REF!+#REF!+#REF!+#REF!+K160+#REF!+#REF!+#REF!</f>
        <v>#REF!</v>
      </c>
      <c r="N160" s="667" t="e">
        <f t="shared" si="15"/>
        <v>#REF!</v>
      </c>
      <c r="O160" s="665" t="e">
        <f>#REF!+M160</f>
        <v>#REF!</v>
      </c>
      <c r="P160" s="666" t="e">
        <f t="shared" si="16"/>
        <v>#REF!</v>
      </c>
      <c r="Q160" s="672"/>
      <c r="R160" s="668"/>
      <c r="S160" s="676"/>
      <c r="T160" s="676"/>
    </row>
    <row r="161" spans="1:21" s="677" customFormat="1" ht="25.5" hidden="1" customHeight="1">
      <c r="A161" s="662"/>
      <c r="B161" s="666">
        <f t="shared" si="13"/>
        <v>0</v>
      </c>
      <c r="C161" s="663" t="s">
        <v>1436</v>
      </c>
      <c r="D161" s="675"/>
      <c r="E161" s="674" t="s">
        <v>264</v>
      </c>
      <c r="F161" s="663">
        <f t="shared" si="18"/>
        <v>0</v>
      </c>
      <c r="G161" s="684"/>
      <c r="H161" s="667">
        <f t="shared" si="17"/>
        <v>0</v>
      </c>
      <c r="I161" s="675"/>
      <c r="J161" s="667">
        <f t="shared" si="14"/>
        <v>0</v>
      </c>
      <c r="K161" s="667"/>
      <c r="L161" s="667"/>
      <c r="M161" s="667" t="e">
        <f>G161+#REF!+#REF!+#REF!+I161+#REF!+#REF!+#REF!+#REF!+#REF!+#REF!+K161+#REF!+#REF!+#REF!</f>
        <v>#REF!</v>
      </c>
      <c r="N161" s="667" t="e">
        <f t="shared" si="15"/>
        <v>#REF!</v>
      </c>
      <c r="O161" s="665" t="e">
        <f>#REF!+M161</f>
        <v>#REF!</v>
      </c>
      <c r="P161" s="666" t="e">
        <f t="shared" si="16"/>
        <v>#REF!</v>
      </c>
      <c r="Q161" s="672"/>
      <c r="R161" s="668"/>
      <c r="S161" s="676"/>
      <c r="T161" s="676"/>
    </row>
    <row r="162" spans="1:21" s="677" customFormat="1" ht="25.5" hidden="1" customHeight="1">
      <c r="A162" s="662"/>
      <c r="B162" s="666">
        <f t="shared" si="13"/>
        <v>0</v>
      </c>
      <c r="C162" s="663" t="s">
        <v>1437</v>
      </c>
      <c r="D162" s="675"/>
      <c r="E162" s="674" t="s">
        <v>264</v>
      </c>
      <c r="F162" s="663">
        <f t="shared" si="18"/>
        <v>0</v>
      </c>
      <c r="G162" s="684"/>
      <c r="H162" s="667">
        <f t="shared" si="17"/>
        <v>0</v>
      </c>
      <c r="I162" s="675"/>
      <c r="J162" s="667">
        <f t="shared" si="14"/>
        <v>0</v>
      </c>
      <c r="K162" s="667"/>
      <c r="L162" s="667"/>
      <c r="M162" s="667" t="e">
        <f>G162+#REF!+#REF!+#REF!+I162+#REF!+#REF!+#REF!+#REF!+#REF!+#REF!+K162+#REF!+#REF!+#REF!</f>
        <v>#REF!</v>
      </c>
      <c r="N162" s="667" t="e">
        <f t="shared" si="15"/>
        <v>#REF!</v>
      </c>
      <c r="O162" s="665" t="e">
        <f>#REF!+M162</f>
        <v>#REF!</v>
      </c>
      <c r="P162" s="666" t="e">
        <f t="shared" si="16"/>
        <v>#REF!</v>
      </c>
      <c r="Q162" s="672"/>
      <c r="R162" s="668"/>
      <c r="S162" s="676"/>
      <c r="T162" s="676"/>
    </row>
    <row r="163" spans="1:21" s="677" customFormat="1" ht="25.5" hidden="1" customHeight="1">
      <c r="A163" s="688"/>
      <c r="B163" s="666">
        <f t="shared" si="13"/>
        <v>0</v>
      </c>
      <c r="C163" s="663" t="s">
        <v>1438</v>
      </c>
      <c r="D163" s="675"/>
      <c r="E163" s="674" t="s">
        <v>264</v>
      </c>
      <c r="F163" s="663">
        <f t="shared" si="18"/>
        <v>0</v>
      </c>
      <c r="G163" s="684"/>
      <c r="H163" s="667">
        <f t="shared" si="17"/>
        <v>0</v>
      </c>
      <c r="I163" s="675"/>
      <c r="J163" s="667">
        <f t="shared" si="14"/>
        <v>0</v>
      </c>
      <c r="K163" s="667"/>
      <c r="L163" s="667"/>
      <c r="M163" s="667" t="e">
        <f>G163+#REF!+#REF!+#REF!+I163+#REF!+#REF!+#REF!+#REF!+#REF!+#REF!+K163+#REF!+#REF!+#REF!</f>
        <v>#REF!</v>
      </c>
      <c r="N163" s="667" t="e">
        <f t="shared" si="15"/>
        <v>#REF!</v>
      </c>
      <c r="O163" s="665" t="e">
        <f>#REF!+M163</f>
        <v>#REF!</v>
      </c>
      <c r="P163" s="666" t="e">
        <f t="shared" si="16"/>
        <v>#REF!</v>
      </c>
      <c r="Q163" s="672"/>
      <c r="R163" s="668"/>
      <c r="S163" s="676"/>
      <c r="T163" s="676"/>
    </row>
    <row r="164" spans="1:21" ht="84.75" hidden="1" customHeight="1">
      <c r="A164" s="662">
        <v>10.5</v>
      </c>
      <c r="B164" s="666">
        <f t="shared" si="13"/>
        <v>0</v>
      </c>
      <c r="C164" s="685" t="s">
        <v>1443</v>
      </c>
      <c r="D164" s="667"/>
      <c r="E164" s="663"/>
      <c r="F164" s="663">
        <f t="shared" si="18"/>
        <v>0</v>
      </c>
      <c r="G164" s="667"/>
      <c r="H164" s="667">
        <f t="shared" si="17"/>
        <v>0</v>
      </c>
      <c r="I164" s="667"/>
      <c r="J164" s="667">
        <f t="shared" si="14"/>
        <v>0</v>
      </c>
      <c r="K164" s="667"/>
      <c r="L164" s="667"/>
      <c r="M164" s="667" t="e">
        <f>G164+#REF!+#REF!+#REF!+I164+#REF!+#REF!+#REF!+#REF!+#REF!+#REF!+K164+#REF!+#REF!+#REF!</f>
        <v>#REF!</v>
      </c>
      <c r="N164" s="667" t="e">
        <f t="shared" si="15"/>
        <v>#REF!</v>
      </c>
      <c r="O164" s="665" t="e">
        <f>#REF!+M164</f>
        <v>#REF!</v>
      </c>
      <c r="P164" s="666" t="e">
        <f t="shared" si="16"/>
        <v>#REF!</v>
      </c>
      <c r="Q164" s="668"/>
      <c r="R164" s="668"/>
      <c r="S164" s="678"/>
      <c r="U164" s="679"/>
    </row>
    <row r="165" spans="1:21" ht="43.5" hidden="1" customHeight="1">
      <c r="A165" s="662"/>
      <c r="B165" s="666">
        <f t="shared" si="13"/>
        <v>0</v>
      </c>
      <c r="C165" s="663" t="s">
        <v>1433</v>
      </c>
      <c r="D165" s="667">
        <f>ROUND([14]Data!K400,2)</f>
        <v>735.76</v>
      </c>
      <c r="E165" s="663" t="s">
        <v>264</v>
      </c>
      <c r="F165" s="663">
        <f t="shared" si="18"/>
        <v>0</v>
      </c>
      <c r="G165" s="667"/>
      <c r="H165" s="667">
        <f t="shared" si="17"/>
        <v>0</v>
      </c>
      <c r="I165" s="667"/>
      <c r="J165" s="667">
        <f t="shared" si="14"/>
        <v>0</v>
      </c>
      <c r="K165" s="667"/>
      <c r="L165" s="667"/>
      <c r="M165" s="667" t="e">
        <f>G165+#REF!+#REF!+#REF!+I165+#REF!+#REF!+#REF!+#REF!+#REF!+#REF!+K165+#REF!+#REF!+#REF!</f>
        <v>#REF!</v>
      </c>
      <c r="N165" s="667" t="e">
        <f t="shared" si="15"/>
        <v>#REF!</v>
      </c>
      <c r="O165" s="665" t="e">
        <f>#REF!+M165</f>
        <v>#REF!</v>
      </c>
      <c r="P165" s="666" t="e">
        <f t="shared" si="16"/>
        <v>#REF!</v>
      </c>
      <c r="Q165" s="672"/>
      <c r="R165" s="668"/>
    </row>
    <row r="166" spans="1:21" ht="43.5" hidden="1" customHeight="1">
      <c r="A166" s="662"/>
      <c r="B166" s="666">
        <f t="shared" si="13"/>
        <v>0</v>
      </c>
      <c r="C166" s="663" t="s">
        <v>1434</v>
      </c>
      <c r="D166" s="667">
        <f>ROUND([14]Data!K402,2)</f>
        <v>743.24</v>
      </c>
      <c r="E166" s="663" t="s">
        <v>264</v>
      </c>
      <c r="F166" s="663">
        <f t="shared" si="18"/>
        <v>0</v>
      </c>
      <c r="G166" s="690"/>
      <c r="H166" s="667">
        <f t="shared" si="17"/>
        <v>0</v>
      </c>
      <c r="I166" s="667"/>
      <c r="J166" s="667">
        <f t="shared" si="14"/>
        <v>0</v>
      </c>
      <c r="K166" s="667"/>
      <c r="L166" s="667"/>
      <c r="M166" s="667" t="e">
        <f>G166+#REF!+#REF!+#REF!+I166+#REF!+#REF!+#REF!+#REF!+#REF!+#REF!+K166+#REF!+#REF!+#REF!</f>
        <v>#REF!</v>
      </c>
      <c r="N166" s="667" t="e">
        <f t="shared" si="15"/>
        <v>#REF!</v>
      </c>
      <c r="O166" s="665" t="e">
        <f>#REF!+M166</f>
        <v>#REF!</v>
      </c>
      <c r="P166" s="666" t="e">
        <f t="shared" si="16"/>
        <v>#REF!</v>
      </c>
      <c r="Q166" s="672"/>
      <c r="R166" s="668"/>
    </row>
    <row r="167" spans="1:21" ht="43.5" hidden="1" customHeight="1">
      <c r="A167" s="662"/>
      <c r="B167" s="666">
        <f t="shared" si="13"/>
        <v>0</v>
      </c>
      <c r="C167" s="663" t="s">
        <v>1435</v>
      </c>
      <c r="D167" s="667">
        <f>ROUND([14]Data!K403,2)</f>
        <v>758.33</v>
      </c>
      <c r="E167" s="663" t="s">
        <v>264</v>
      </c>
      <c r="F167" s="663">
        <f t="shared" si="18"/>
        <v>0</v>
      </c>
      <c r="G167" s="690"/>
      <c r="H167" s="667">
        <f t="shared" si="17"/>
        <v>0</v>
      </c>
      <c r="I167" s="667"/>
      <c r="J167" s="667">
        <f t="shared" si="14"/>
        <v>0</v>
      </c>
      <c r="K167" s="667"/>
      <c r="L167" s="667"/>
      <c r="M167" s="667" t="e">
        <f>G167+#REF!+#REF!+#REF!+I167+#REF!+#REF!+#REF!+#REF!+#REF!+#REF!+K167+#REF!+#REF!+#REF!</f>
        <v>#REF!</v>
      </c>
      <c r="N167" s="667" t="e">
        <f t="shared" si="15"/>
        <v>#REF!</v>
      </c>
      <c r="O167" s="665" t="e">
        <f>#REF!+M167</f>
        <v>#REF!</v>
      </c>
      <c r="P167" s="666" t="e">
        <f t="shared" si="16"/>
        <v>#REF!</v>
      </c>
      <c r="Q167" s="672"/>
      <c r="R167" s="668"/>
    </row>
    <row r="168" spans="1:21" ht="43.5" hidden="1" customHeight="1">
      <c r="A168" s="662"/>
      <c r="B168" s="666">
        <f t="shared" si="13"/>
        <v>0</v>
      </c>
      <c r="C168" s="663" t="s">
        <v>1436</v>
      </c>
      <c r="D168" s="667">
        <f>ROUND([14]Data!K404,2)</f>
        <v>773.42</v>
      </c>
      <c r="E168" s="663" t="s">
        <v>264</v>
      </c>
      <c r="F168" s="663">
        <f t="shared" si="18"/>
        <v>0</v>
      </c>
      <c r="G168" s="690"/>
      <c r="H168" s="667">
        <f t="shared" si="17"/>
        <v>0</v>
      </c>
      <c r="I168" s="667"/>
      <c r="J168" s="667">
        <f t="shared" si="14"/>
        <v>0</v>
      </c>
      <c r="K168" s="667"/>
      <c r="L168" s="667"/>
      <c r="M168" s="667" t="e">
        <f>G168+#REF!+#REF!+#REF!+I168+#REF!+#REF!+#REF!+#REF!+#REF!+#REF!+K168+#REF!+#REF!+#REF!</f>
        <v>#REF!</v>
      </c>
      <c r="N168" s="667" t="e">
        <f t="shared" si="15"/>
        <v>#REF!</v>
      </c>
      <c r="O168" s="665" t="e">
        <f>#REF!+M168</f>
        <v>#REF!</v>
      </c>
      <c r="P168" s="666" t="e">
        <f t="shared" si="16"/>
        <v>#REF!</v>
      </c>
      <c r="Q168" s="672"/>
      <c r="R168" s="668"/>
    </row>
    <row r="169" spans="1:21" ht="43.5" hidden="1" customHeight="1">
      <c r="A169" s="662"/>
      <c r="B169" s="666">
        <f t="shared" si="13"/>
        <v>0</v>
      </c>
      <c r="C169" s="663" t="s">
        <v>1437</v>
      </c>
      <c r="D169" s="667">
        <f>ROUND([14]Data!K405,2)</f>
        <v>788.51</v>
      </c>
      <c r="E169" s="663" t="s">
        <v>264</v>
      </c>
      <c r="F169" s="663">
        <f t="shared" si="18"/>
        <v>0</v>
      </c>
      <c r="G169" s="689"/>
      <c r="H169" s="667">
        <f t="shared" si="17"/>
        <v>0</v>
      </c>
      <c r="I169" s="667"/>
      <c r="J169" s="667">
        <f t="shared" si="14"/>
        <v>0</v>
      </c>
      <c r="K169" s="667"/>
      <c r="L169" s="667"/>
      <c r="M169" s="667" t="e">
        <f>G169+#REF!+#REF!+#REF!+I169+#REF!+#REF!+#REF!+#REF!+#REF!+#REF!+K169+#REF!+#REF!+#REF!</f>
        <v>#REF!</v>
      </c>
      <c r="N169" s="667" t="e">
        <f t="shared" si="15"/>
        <v>#REF!</v>
      </c>
      <c r="O169" s="665" t="e">
        <f>#REF!+M169</f>
        <v>#REF!</v>
      </c>
      <c r="P169" s="666" t="e">
        <f t="shared" si="16"/>
        <v>#REF!</v>
      </c>
      <c r="Q169" s="672"/>
      <c r="R169" s="668"/>
    </row>
    <row r="170" spans="1:21" s="677" customFormat="1" ht="36" hidden="1" customHeight="1">
      <c r="A170" s="687"/>
      <c r="B170" s="666">
        <f t="shared" si="13"/>
        <v>0</v>
      </c>
      <c r="C170" s="663" t="s">
        <v>1438</v>
      </c>
      <c r="D170" s="675">
        <f>ROUND([14]Data!K406,2)</f>
        <v>803.6</v>
      </c>
      <c r="E170" s="674" t="s">
        <v>264</v>
      </c>
      <c r="F170" s="663">
        <f t="shared" si="18"/>
        <v>0</v>
      </c>
      <c r="G170" s="684"/>
      <c r="H170" s="667">
        <f t="shared" si="17"/>
        <v>0</v>
      </c>
      <c r="I170" s="675"/>
      <c r="J170" s="667">
        <f t="shared" si="14"/>
        <v>0</v>
      </c>
      <c r="K170" s="667"/>
      <c r="L170" s="667"/>
      <c r="M170" s="667" t="e">
        <f>G170+#REF!+#REF!+#REF!+I170+#REF!+#REF!+#REF!+#REF!+#REF!+#REF!+K170+#REF!+#REF!+#REF!</f>
        <v>#REF!</v>
      </c>
      <c r="N170" s="667" t="e">
        <f t="shared" si="15"/>
        <v>#REF!</v>
      </c>
      <c r="O170" s="665" t="e">
        <f>#REF!+M170</f>
        <v>#REF!</v>
      </c>
      <c r="P170" s="666" t="e">
        <f t="shared" si="16"/>
        <v>#REF!</v>
      </c>
      <c r="Q170" s="672"/>
      <c r="R170" s="668"/>
      <c r="S170" s="676"/>
      <c r="T170" s="676"/>
    </row>
    <row r="171" spans="1:21" s="677" customFormat="1" ht="69.75" hidden="1" customHeight="1">
      <c r="A171" s="662">
        <v>10.6</v>
      </c>
      <c r="B171" s="666">
        <f t="shared" si="13"/>
        <v>0</v>
      </c>
      <c r="C171" s="685" t="s">
        <v>1444</v>
      </c>
      <c r="D171" s="675"/>
      <c r="E171" s="674"/>
      <c r="F171" s="663">
        <f t="shared" si="18"/>
        <v>0</v>
      </c>
      <c r="G171" s="691"/>
      <c r="H171" s="667">
        <f t="shared" si="17"/>
        <v>0</v>
      </c>
      <c r="I171" s="675"/>
      <c r="J171" s="667">
        <f t="shared" si="14"/>
        <v>0</v>
      </c>
      <c r="K171" s="667"/>
      <c r="L171" s="667"/>
      <c r="M171" s="667" t="e">
        <f>G171+#REF!+#REF!+#REF!+I171+#REF!+#REF!+#REF!+#REF!+#REF!+#REF!+K171+#REF!+#REF!+#REF!</f>
        <v>#REF!</v>
      </c>
      <c r="N171" s="667" t="e">
        <f t="shared" si="15"/>
        <v>#REF!</v>
      </c>
      <c r="O171" s="665" t="e">
        <f>#REF!+M171</f>
        <v>#REF!</v>
      </c>
      <c r="P171" s="666" t="e">
        <f t="shared" si="16"/>
        <v>#REF!</v>
      </c>
      <c r="Q171" s="672"/>
      <c r="R171" s="668"/>
      <c r="S171" s="676"/>
      <c r="T171" s="676"/>
    </row>
    <row r="172" spans="1:21" s="677" customFormat="1" ht="25.5" hidden="1" customHeight="1">
      <c r="A172" s="662"/>
      <c r="B172" s="666">
        <f t="shared" si="13"/>
        <v>0</v>
      </c>
      <c r="C172" s="663" t="s">
        <v>1433</v>
      </c>
      <c r="D172" s="675"/>
      <c r="E172" s="674" t="s">
        <v>264</v>
      </c>
      <c r="F172" s="663">
        <f t="shared" si="18"/>
        <v>0</v>
      </c>
      <c r="G172" s="691"/>
      <c r="H172" s="667">
        <f t="shared" si="17"/>
        <v>0</v>
      </c>
      <c r="I172" s="675"/>
      <c r="J172" s="667">
        <f t="shared" si="14"/>
        <v>0</v>
      </c>
      <c r="K172" s="667"/>
      <c r="L172" s="667"/>
      <c r="M172" s="667" t="e">
        <f>G172+#REF!+#REF!+#REF!+I172+#REF!+#REF!+#REF!+#REF!+#REF!+#REF!+K172+#REF!+#REF!+#REF!</f>
        <v>#REF!</v>
      </c>
      <c r="N172" s="667" t="e">
        <f t="shared" si="15"/>
        <v>#REF!</v>
      </c>
      <c r="O172" s="665" t="e">
        <f>#REF!+M172</f>
        <v>#REF!</v>
      </c>
      <c r="P172" s="666" t="e">
        <f t="shared" si="16"/>
        <v>#REF!</v>
      </c>
      <c r="Q172" s="672"/>
      <c r="R172" s="668"/>
      <c r="S172" s="676"/>
      <c r="T172" s="676"/>
    </row>
    <row r="173" spans="1:21" s="677" customFormat="1" ht="25.5" hidden="1" customHeight="1">
      <c r="A173" s="662"/>
      <c r="B173" s="666">
        <f t="shared" si="13"/>
        <v>0</v>
      </c>
      <c r="C173" s="663" t="s">
        <v>1434</v>
      </c>
      <c r="D173" s="675"/>
      <c r="E173" s="674" t="s">
        <v>264</v>
      </c>
      <c r="F173" s="663">
        <f t="shared" si="18"/>
        <v>0</v>
      </c>
      <c r="G173" s="691"/>
      <c r="H173" s="667">
        <f t="shared" si="17"/>
        <v>0</v>
      </c>
      <c r="I173" s="675"/>
      <c r="J173" s="667">
        <f t="shared" si="14"/>
        <v>0</v>
      </c>
      <c r="K173" s="667"/>
      <c r="L173" s="667"/>
      <c r="M173" s="667" t="e">
        <f>G173+#REF!+#REF!+#REF!+I173+#REF!+#REF!+#REF!+#REF!+#REF!+#REF!+K173+#REF!+#REF!+#REF!</f>
        <v>#REF!</v>
      </c>
      <c r="N173" s="667" t="e">
        <f t="shared" si="15"/>
        <v>#REF!</v>
      </c>
      <c r="O173" s="665" t="e">
        <f>#REF!+M173</f>
        <v>#REF!</v>
      </c>
      <c r="P173" s="666" t="e">
        <f t="shared" si="16"/>
        <v>#REF!</v>
      </c>
      <c r="Q173" s="672"/>
      <c r="R173" s="668"/>
      <c r="S173" s="676"/>
      <c r="T173" s="676"/>
    </row>
    <row r="174" spans="1:21" s="677" customFormat="1" ht="25.5" hidden="1" customHeight="1">
      <c r="A174" s="662"/>
      <c r="B174" s="666">
        <f t="shared" si="13"/>
        <v>0</v>
      </c>
      <c r="C174" s="663" t="s">
        <v>1435</v>
      </c>
      <c r="D174" s="675"/>
      <c r="E174" s="674" t="s">
        <v>264</v>
      </c>
      <c r="F174" s="663">
        <f t="shared" si="18"/>
        <v>0</v>
      </c>
      <c r="G174" s="691"/>
      <c r="H174" s="667">
        <f t="shared" si="17"/>
        <v>0</v>
      </c>
      <c r="I174" s="675"/>
      <c r="J174" s="667">
        <f t="shared" si="14"/>
        <v>0</v>
      </c>
      <c r="K174" s="667"/>
      <c r="L174" s="667"/>
      <c r="M174" s="667" t="e">
        <f>G174+#REF!+#REF!+#REF!+I174+#REF!+#REF!+#REF!+#REF!+#REF!+#REF!+K174+#REF!+#REF!+#REF!</f>
        <v>#REF!</v>
      </c>
      <c r="N174" s="667" t="e">
        <f t="shared" si="15"/>
        <v>#REF!</v>
      </c>
      <c r="O174" s="665" t="e">
        <f>#REF!+M174</f>
        <v>#REF!</v>
      </c>
      <c r="P174" s="666" t="e">
        <f t="shared" si="16"/>
        <v>#REF!</v>
      </c>
      <c r="Q174" s="672"/>
      <c r="R174" s="668"/>
      <c r="S174" s="676"/>
      <c r="T174" s="676"/>
    </row>
    <row r="175" spans="1:21" s="677" customFormat="1" ht="26.25" hidden="1" customHeight="1">
      <c r="A175" s="662"/>
      <c r="B175" s="666">
        <f t="shared" si="13"/>
        <v>0</v>
      </c>
      <c r="C175" s="663" t="s">
        <v>1436</v>
      </c>
      <c r="D175" s="675"/>
      <c r="E175" s="674" t="s">
        <v>264</v>
      </c>
      <c r="F175" s="663">
        <f t="shared" si="18"/>
        <v>0</v>
      </c>
      <c r="G175" s="684"/>
      <c r="H175" s="667">
        <f t="shared" si="17"/>
        <v>0</v>
      </c>
      <c r="I175" s="675"/>
      <c r="J175" s="667">
        <f t="shared" si="14"/>
        <v>0</v>
      </c>
      <c r="K175" s="667"/>
      <c r="L175" s="667"/>
      <c r="M175" s="667" t="e">
        <f>G175+#REF!+#REF!+#REF!+I175+#REF!+#REF!+#REF!+#REF!+#REF!+#REF!+K175+#REF!+#REF!+#REF!</f>
        <v>#REF!</v>
      </c>
      <c r="N175" s="667" t="e">
        <f t="shared" si="15"/>
        <v>#REF!</v>
      </c>
      <c r="O175" s="665" t="e">
        <f>#REF!+M175</f>
        <v>#REF!</v>
      </c>
      <c r="P175" s="666" t="e">
        <f t="shared" si="16"/>
        <v>#REF!</v>
      </c>
      <c r="Q175" s="672"/>
      <c r="R175" s="668"/>
      <c r="S175" s="676"/>
      <c r="T175" s="676"/>
    </row>
    <row r="176" spans="1:21" s="677" customFormat="1" ht="25.5" hidden="1" customHeight="1">
      <c r="A176" s="662"/>
      <c r="B176" s="666">
        <f t="shared" si="13"/>
        <v>0</v>
      </c>
      <c r="C176" s="663" t="s">
        <v>1437</v>
      </c>
      <c r="D176" s="675"/>
      <c r="E176" s="674" t="s">
        <v>264</v>
      </c>
      <c r="F176" s="663">
        <f t="shared" si="18"/>
        <v>0</v>
      </c>
      <c r="G176" s="684"/>
      <c r="H176" s="667">
        <f t="shared" si="17"/>
        <v>0</v>
      </c>
      <c r="I176" s="675"/>
      <c r="J176" s="667">
        <f t="shared" si="14"/>
        <v>0</v>
      </c>
      <c r="K176" s="667"/>
      <c r="L176" s="667"/>
      <c r="M176" s="667" t="e">
        <f>G176+#REF!+#REF!+#REF!+I176+#REF!+#REF!+#REF!+#REF!+#REF!+#REF!+K176+#REF!+#REF!+#REF!</f>
        <v>#REF!</v>
      </c>
      <c r="N176" s="667" t="e">
        <f t="shared" si="15"/>
        <v>#REF!</v>
      </c>
      <c r="O176" s="665" t="e">
        <f>#REF!+M176</f>
        <v>#REF!</v>
      </c>
      <c r="P176" s="666" t="e">
        <f t="shared" si="16"/>
        <v>#REF!</v>
      </c>
      <c r="Q176" s="672"/>
      <c r="R176" s="668"/>
      <c r="S176" s="676"/>
      <c r="T176" s="676"/>
    </row>
    <row r="177" spans="1:20" s="677" customFormat="1" ht="25.5" hidden="1" customHeight="1">
      <c r="A177" s="688"/>
      <c r="B177" s="666">
        <f t="shared" si="13"/>
        <v>0</v>
      </c>
      <c r="C177" s="663" t="s">
        <v>1438</v>
      </c>
      <c r="D177" s="675"/>
      <c r="E177" s="674" t="s">
        <v>264</v>
      </c>
      <c r="F177" s="663">
        <f t="shared" si="18"/>
        <v>0</v>
      </c>
      <c r="G177" s="684"/>
      <c r="H177" s="667">
        <f t="shared" si="17"/>
        <v>0</v>
      </c>
      <c r="I177" s="675"/>
      <c r="J177" s="667">
        <f t="shared" si="14"/>
        <v>0</v>
      </c>
      <c r="K177" s="667"/>
      <c r="L177" s="667"/>
      <c r="M177" s="667" t="e">
        <f>G177+#REF!+#REF!+#REF!+I177+#REF!+#REF!+#REF!+#REF!+#REF!+#REF!+K177+#REF!+#REF!+#REF!</f>
        <v>#REF!</v>
      </c>
      <c r="N177" s="667" t="e">
        <f t="shared" si="15"/>
        <v>#REF!</v>
      </c>
      <c r="O177" s="665" t="e">
        <f>#REF!+M177</f>
        <v>#REF!</v>
      </c>
      <c r="P177" s="666" t="e">
        <f t="shared" si="16"/>
        <v>#REF!</v>
      </c>
      <c r="Q177" s="672"/>
      <c r="R177" s="668"/>
      <c r="S177" s="676"/>
      <c r="T177" s="676"/>
    </row>
    <row r="178" spans="1:20" s="677" customFormat="1" ht="69.75" hidden="1" customHeight="1">
      <c r="A178" s="662">
        <v>11.1</v>
      </c>
      <c r="B178" s="666">
        <f t="shared" si="13"/>
        <v>0</v>
      </c>
      <c r="C178" s="685" t="s">
        <v>1445</v>
      </c>
      <c r="D178" s="675"/>
      <c r="E178" s="674"/>
      <c r="F178" s="663">
        <f t="shared" si="18"/>
        <v>0</v>
      </c>
      <c r="G178" s="684"/>
      <c r="H178" s="667">
        <f t="shared" si="17"/>
        <v>0</v>
      </c>
      <c r="I178" s="675"/>
      <c r="J178" s="667">
        <f t="shared" si="14"/>
        <v>0</v>
      </c>
      <c r="K178" s="667"/>
      <c r="L178" s="667"/>
      <c r="M178" s="667" t="e">
        <f>G178+#REF!+#REF!+#REF!+I178+#REF!+#REF!+#REF!+#REF!+#REF!+#REF!+K178+#REF!+#REF!+#REF!</f>
        <v>#REF!</v>
      </c>
      <c r="N178" s="667" t="e">
        <f t="shared" si="15"/>
        <v>#REF!</v>
      </c>
      <c r="O178" s="665" t="e">
        <f>#REF!+M178</f>
        <v>#REF!</v>
      </c>
      <c r="P178" s="666" t="e">
        <f t="shared" si="16"/>
        <v>#REF!</v>
      </c>
      <c r="Q178" s="672"/>
      <c r="R178" s="668"/>
      <c r="S178" s="676"/>
      <c r="T178" s="676"/>
    </row>
    <row r="179" spans="1:20" s="677" customFormat="1" ht="25.5" hidden="1" customHeight="1">
      <c r="A179" s="662"/>
      <c r="B179" s="666">
        <f t="shared" si="13"/>
        <v>0</v>
      </c>
      <c r="C179" s="663" t="s">
        <v>1420</v>
      </c>
      <c r="D179" s="675">
        <f>ROUND([14]Data!X434,2)</f>
        <v>519.55999999999995</v>
      </c>
      <c r="E179" s="674" t="s">
        <v>264</v>
      </c>
      <c r="F179" s="663">
        <f t="shared" si="18"/>
        <v>0</v>
      </c>
      <c r="G179" s="684"/>
      <c r="H179" s="667">
        <f t="shared" si="17"/>
        <v>0</v>
      </c>
      <c r="I179" s="675"/>
      <c r="J179" s="667">
        <f t="shared" si="14"/>
        <v>0</v>
      </c>
      <c r="K179" s="667"/>
      <c r="L179" s="667"/>
      <c r="M179" s="667" t="e">
        <f>G179+#REF!+#REF!+#REF!+I179+#REF!+#REF!+#REF!+#REF!+#REF!+#REF!+K179+#REF!+#REF!+#REF!</f>
        <v>#REF!</v>
      </c>
      <c r="N179" s="667" t="e">
        <f t="shared" si="15"/>
        <v>#REF!</v>
      </c>
      <c r="O179" s="665" t="e">
        <f>#REF!+M179</f>
        <v>#REF!</v>
      </c>
      <c r="P179" s="666" t="e">
        <f t="shared" si="16"/>
        <v>#REF!</v>
      </c>
      <c r="Q179" s="672"/>
      <c r="R179" s="668"/>
      <c r="S179" s="676"/>
      <c r="T179" s="676"/>
    </row>
    <row r="180" spans="1:20" s="677" customFormat="1" ht="25.5" hidden="1" customHeight="1">
      <c r="A180" s="662"/>
      <c r="B180" s="666">
        <f t="shared" si="13"/>
        <v>0</v>
      </c>
      <c r="C180" s="663" t="s">
        <v>1421</v>
      </c>
      <c r="D180" s="675">
        <f>ROUND([14]Data!X435,2)</f>
        <v>529.16</v>
      </c>
      <c r="E180" s="674" t="s">
        <v>264</v>
      </c>
      <c r="F180" s="663">
        <f t="shared" si="18"/>
        <v>0</v>
      </c>
      <c r="G180" s="684"/>
      <c r="H180" s="667">
        <f t="shared" si="17"/>
        <v>0</v>
      </c>
      <c r="I180" s="675"/>
      <c r="J180" s="667">
        <f t="shared" si="14"/>
        <v>0</v>
      </c>
      <c r="K180" s="667"/>
      <c r="L180" s="667"/>
      <c r="M180" s="667" t="e">
        <f>G180+#REF!+#REF!+#REF!+I180+#REF!+#REF!+#REF!+#REF!+#REF!+#REF!+K180+#REF!+#REF!+#REF!</f>
        <v>#REF!</v>
      </c>
      <c r="N180" s="667" t="e">
        <f t="shared" si="15"/>
        <v>#REF!</v>
      </c>
      <c r="O180" s="665" t="e">
        <f>#REF!+M180</f>
        <v>#REF!</v>
      </c>
      <c r="P180" s="666" t="e">
        <f t="shared" si="16"/>
        <v>#REF!</v>
      </c>
      <c r="Q180" s="672"/>
      <c r="R180" s="668"/>
      <c r="S180" s="676"/>
      <c r="T180" s="676"/>
    </row>
    <row r="181" spans="1:20" s="677" customFormat="1" ht="25.5" hidden="1" customHeight="1">
      <c r="A181" s="662"/>
      <c r="B181" s="666">
        <f t="shared" si="13"/>
        <v>0</v>
      </c>
      <c r="C181" s="663" t="s">
        <v>1422</v>
      </c>
      <c r="D181" s="675">
        <f>ROUND([14]Data!X436,2)</f>
        <v>538.76</v>
      </c>
      <c r="E181" s="674" t="s">
        <v>264</v>
      </c>
      <c r="F181" s="663">
        <f t="shared" si="18"/>
        <v>0</v>
      </c>
      <c r="G181" s="684"/>
      <c r="H181" s="667">
        <f t="shared" si="17"/>
        <v>0</v>
      </c>
      <c r="I181" s="675"/>
      <c r="J181" s="667">
        <f t="shared" si="14"/>
        <v>0</v>
      </c>
      <c r="K181" s="667"/>
      <c r="L181" s="667"/>
      <c r="M181" s="667" t="e">
        <f>G181+#REF!+#REF!+#REF!+I181+#REF!+#REF!+#REF!+#REF!+#REF!+#REF!+K181+#REF!+#REF!+#REF!</f>
        <v>#REF!</v>
      </c>
      <c r="N181" s="667" t="e">
        <f t="shared" si="15"/>
        <v>#REF!</v>
      </c>
      <c r="O181" s="665" t="e">
        <f>#REF!+M181</f>
        <v>#REF!</v>
      </c>
      <c r="P181" s="666" t="e">
        <f t="shared" si="16"/>
        <v>#REF!</v>
      </c>
      <c r="Q181" s="672"/>
      <c r="R181" s="668"/>
      <c r="S181" s="676"/>
      <c r="T181" s="676"/>
    </row>
    <row r="182" spans="1:20" s="677" customFormat="1" ht="25.5" hidden="1" customHeight="1">
      <c r="A182" s="662"/>
      <c r="B182" s="666">
        <f t="shared" si="13"/>
        <v>0</v>
      </c>
      <c r="C182" s="663" t="s">
        <v>1423</v>
      </c>
      <c r="D182" s="675">
        <f>ROUND([14]Data!X437,2)</f>
        <v>548.36</v>
      </c>
      <c r="E182" s="674" t="s">
        <v>264</v>
      </c>
      <c r="F182" s="663">
        <f t="shared" si="18"/>
        <v>0</v>
      </c>
      <c r="G182" s="684"/>
      <c r="H182" s="667">
        <f t="shared" si="17"/>
        <v>0</v>
      </c>
      <c r="I182" s="675"/>
      <c r="J182" s="667">
        <f t="shared" si="14"/>
        <v>0</v>
      </c>
      <c r="K182" s="667"/>
      <c r="L182" s="667"/>
      <c r="M182" s="667" t="e">
        <f>G182+#REF!+#REF!+#REF!+I182+#REF!+#REF!+#REF!+#REF!+#REF!+#REF!+K182+#REF!+#REF!+#REF!</f>
        <v>#REF!</v>
      </c>
      <c r="N182" s="667" t="e">
        <f t="shared" si="15"/>
        <v>#REF!</v>
      </c>
      <c r="O182" s="665" t="e">
        <f>#REF!+M182</f>
        <v>#REF!</v>
      </c>
      <c r="P182" s="666" t="e">
        <f t="shared" si="16"/>
        <v>#REF!</v>
      </c>
      <c r="Q182" s="672"/>
      <c r="R182" s="668"/>
      <c r="S182" s="676"/>
      <c r="T182" s="676"/>
    </row>
    <row r="183" spans="1:20" s="677" customFormat="1" ht="25.5" hidden="1" customHeight="1">
      <c r="A183" s="688"/>
      <c r="B183" s="666">
        <f t="shared" si="13"/>
        <v>0</v>
      </c>
      <c r="C183" s="663" t="s">
        <v>1424</v>
      </c>
      <c r="D183" s="675">
        <f>ROUND([14]Data!X438,2)</f>
        <v>557.96</v>
      </c>
      <c r="E183" s="674" t="s">
        <v>264</v>
      </c>
      <c r="F183" s="663">
        <f t="shared" si="18"/>
        <v>0</v>
      </c>
      <c r="G183" s="684"/>
      <c r="H183" s="667">
        <f t="shared" si="17"/>
        <v>0</v>
      </c>
      <c r="I183" s="675"/>
      <c r="J183" s="667">
        <f t="shared" si="14"/>
        <v>0</v>
      </c>
      <c r="K183" s="667"/>
      <c r="L183" s="667"/>
      <c r="M183" s="667" t="e">
        <f>G183+#REF!+#REF!+#REF!+I183+#REF!+#REF!+#REF!+#REF!+#REF!+#REF!+K183+#REF!+#REF!+#REF!</f>
        <v>#REF!</v>
      </c>
      <c r="N183" s="667" t="e">
        <f t="shared" si="15"/>
        <v>#REF!</v>
      </c>
      <c r="O183" s="665" t="e">
        <f>#REF!+M183</f>
        <v>#REF!</v>
      </c>
      <c r="P183" s="666" t="e">
        <f t="shared" si="16"/>
        <v>#REF!</v>
      </c>
      <c r="Q183" s="672"/>
      <c r="R183" s="668"/>
      <c r="S183" s="676"/>
      <c r="T183" s="676"/>
    </row>
    <row r="184" spans="1:20" s="677" customFormat="1" ht="80.25" hidden="1" customHeight="1">
      <c r="A184" s="662">
        <v>11.2</v>
      </c>
      <c r="B184" s="666">
        <f t="shared" si="13"/>
        <v>0</v>
      </c>
      <c r="C184" s="685" t="s">
        <v>1446</v>
      </c>
      <c r="D184" s="675"/>
      <c r="E184" s="674"/>
      <c r="F184" s="663">
        <f t="shared" si="18"/>
        <v>0</v>
      </c>
      <c r="G184" s="684"/>
      <c r="H184" s="667">
        <f t="shared" si="17"/>
        <v>0</v>
      </c>
      <c r="I184" s="675"/>
      <c r="J184" s="667">
        <f t="shared" si="14"/>
        <v>0</v>
      </c>
      <c r="K184" s="667"/>
      <c r="L184" s="667"/>
      <c r="M184" s="667" t="e">
        <f>G184+#REF!+#REF!+#REF!+I184+#REF!+#REF!+#REF!+#REF!+#REF!+#REF!+K184+#REF!+#REF!+#REF!</f>
        <v>#REF!</v>
      </c>
      <c r="N184" s="667" t="e">
        <f t="shared" si="15"/>
        <v>#REF!</v>
      </c>
      <c r="O184" s="665" t="e">
        <f>#REF!+M184</f>
        <v>#REF!</v>
      </c>
      <c r="P184" s="666" t="e">
        <f t="shared" si="16"/>
        <v>#REF!</v>
      </c>
      <c r="Q184" s="672"/>
      <c r="R184" s="668"/>
      <c r="S184" s="676"/>
      <c r="T184" s="676"/>
    </row>
    <row r="185" spans="1:20" s="677" customFormat="1" ht="41.25" hidden="1" customHeight="1">
      <c r="A185" s="662"/>
      <c r="B185" s="666">
        <f t="shared" si="13"/>
        <v>0</v>
      </c>
      <c r="C185" s="663" t="s">
        <v>1420</v>
      </c>
      <c r="D185" s="675">
        <f>ROUND([14]Data!AG448,2)</f>
        <v>530.07000000000005</v>
      </c>
      <c r="E185" s="674" t="s">
        <v>264</v>
      </c>
      <c r="F185" s="663">
        <f t="shared" si="18"/>
        <v>0</v>
      </c>
      <c r="G185" s="684"/>
      <c r="H185" s="667">
        <f t="shared" si="17"/>
        <v>0</v>
      </c>
      <c r="I185" s="675"/>
      <c r="J185" s="667">
        <f t="shared" si="14"/>
        <v>0</v>
      </c>
      <c r="K185" s="667"/>
      <c r="L185" s="667"/>
      <c r="M185" s="667" t="e">
        <f>G185+#REF!+#REF!+#REF!+I185+#REF!+#REF!+#REF!+#REF!+#REF!+#REF!+K185+#REF!+#REF!+#REF!</f>
        <v>#REF!</v>
      </c>
      <c r="N185" s="667" t="e">
        <f t="shared" si="15"/>
        <v>#REF!</v>
      </c>
      <c r="O185" s="665" t="e">
        <f>#REF!+M185</f>
        <v>#REF!</v>
      </c>
      <c r="P185" s="666" t="e">
        <f t="shared" si="16"/>
        <v>#REF!</v>
      </c>
      <c r="Q185" s="672"/>
      <c r="R185" s="668"/>
      <c r="S185" s="676"/>
      <c r="T185" s="676"/>
    </row>
    <row r="186" spans="1:20" s="677" customFormat="1" ht="41.25" hidden="1" customHeight="1">
      <c r="A186" s="662"/>
      <c r="B186" s="666">
        <f t="shared" si="13"/>
        <v>0</v>
      </c>
      <c r="C186" s="663" t="s">
        <v>1421</v>
      </c>
      <c r="D186" s="675">
        <f>ROUND([14]Data!AG449,2)</f>
        <v>540.36</v>
      </c>
      <c r="E186" s="674" t="s">
        <v>264</v>
      </c>
      <c r="F186" s="663">
        <f t="shared" si="18"/>
        <v>0</v>
      </c>
      <c r="G186" s="684"/>
      <c r="H186" s="667">
        <f t="shared" si="17"/>
        <v>0</v>
      </c>
      <c r="I186" s="675"/>
      <c r="J186" s="667">
        <f t="shared" si="14"/>
        <v>0</v>
      </c>
      <c r="K186" s="667"/>
      <c r="L186" s="667"/>
      <c r="M186" s="667" t="e">
        <f>G186+#REF!+#REF!+#REF!+I186+#REF!+#REF!+#REF!+#REF!+#REF!+#REF!+K186+#REF!+#REF!+#REF!</f>
        <v>#REF!</v>
      </c>
      <c r="N186" s="667" t="e">
        <f t="shared" si="15"/>
        <v>#REF!</v>
      </c>
      <c r="O186" s="665" t="e">
        <f>#REF!+M186</f>
        <v>#REF!</v>
      </c>
      <c r="P186" s="666" t="e">
        <f t="shared" si="16"/>
        <v>#REF!</v>
      </c>
      <c r="Q186" s="672"/>
      <c r="R186" s="668"/>
      <c r="S186" s="676"/>
      <c r="T186" s="676"/>
    </row>
    <row r="187" spans="1:20" s="677" customFormat="1" ht="41.25" hidden="1" customHeight="1">
      <c r="A187" s="662"/>
      <c r="B187" s="666">
        <f t="shared" si="13"/>
        <v>0</v>
      </c>
      <c r="C187" s="663" t="s">
        <v>1422</v>
      </c>
      <c r="D187" s="675">
        <f>ROUND([14]Data!AG450,2)</f>
        <v>550.65</v>
      </c>
      <c r="E187" s="674" t="s">
        <v>264</v>
      </c>
      <c r="F187" s="663">
        <f t="shared" si="18"/>
        <v>0</v>
      </c>
      <c r="G187" s="684"/>
      <c r="H187" s="667">
        <f t="shared" si="17"/>
        <v>0</v>
      </c>
      <c r="I187" s="675"/>
      <c r="J187" s="667">
        <f t="shared" si="14"/>
        <v>0</v>
      </c>
      <c r="K187" s="667"/>
      <c r="L187" s="667"/>
      <c r="M187" s="667" t="e">
        <f>G187+#REF!+#REF!+#REF!+I187+#REF!+#REF!+#REF!+#REF!+#REF!+#REF!+K187+#REF!+#REF!+#REF!</f>
        <v>#REF!</v>
      </c>
      <c r="N187" s="667" t="e">
        <f t="shared" si="15"/>
        <v>#REF!</v>
      </c>
      <c r="O187" s="665" t="e">
        <f>#REF!+M187</f>
        <v>#REF!</v>
      </c>
      <c r="P187" s="666" t="e">
        <f t="shared" si="16"/>
        <v>#REF!</v>
      </c>
      <c r="Q187" s="672"/>
      <c r="R187" s="668"/>
      <c r="S187" s="676"/>
      <c r="T187" s="676"/>
    </row>
    <row r="188" spans="1:20" s="677" customFormat="1" ht="41.25" hidden="1" customHeight="1">
      <c r="A188" s="662"/>
      <c r="B188" s="666">
        <f t="shared" si="13"/>
        <v>0</v>
      </c>
      <c r="C188" s="663" t="s">
        <v>1423</v>
      </c>
      <c r="D188" s="675">
        <f>ROUND([14]Data!AG451,2)</f>
        <v>560.94000000000005</v>
      </c>
      <c r="E188" s="674" t="s">
        <v>264</v>
      </c>
      <c r="F188" s="663">
        <f t="shared" si="18"/>
        <v>0</v>
      </c>
      <c r="G188" s="684"/>
      <c r="H188" s="667">
        <f t="shared" si="17"/>
        <v>0</v>
      </c>
      <c r="I188" s="675"/>
      <c r="J188" s="667">
        <f t="shared" si="14"/>
        <v>0</v>
      </c>
      <c r="K188" s="667"/>
      <c r="L188" s="667"/>
      <c r="M188" s="667" t="e">
        <f>G188+#REF!+#REF!+#REF!+I188+#REF!+#REF!+#REF!+#REF!+#REF!+#REF!+K188+#REF!+#REF!+#REF!</f>
        <v>#REF!</v>
      </c>
      <c r="N188" s="667" t="e">
        <f t="shared" si="15"/>
        <v>#REF!</v>
      </c>
      <c r="O188" s="665" t="e">
        <f>#REF!+M188</f>
        <v>#REF!</v>
      </c>
      <c r="P188" s="666" t="e">
        <f t="shared" si="16"/>
        <v>#REF!</v>
      </c>
      <c r="Q188" s="672"/>
      <c r="R188" s="668"/>
      <c r="S188" s="676"/>
      <c r="T188" s="676"/>
    </row>
    <row r="189" spans="1:20" s="677" customFormat="1" ht="41.25" hidden="1" customHeight="1">
      <c r="A189" s="688"/>
      <c r="B189" s="666">
        <f t="shared" si="13"/>
        <v>0</v>
      </c>
      <c r="C189" s="663" t="s">
        <v>1424</v>
      </c>
      <c r="D189" s="675">
        <f>ROUND([14]Data!AG452,2)</f>
        <v>571.23</v>
      </c>
      <c r="E189" s="674" t="s">
        <v>264</v>
      </c>
      <c r="F189" s="663">
        <f t="shared" si="18"/>
        <v>0</v>
      </c>
      <c r="G189" s="684"/>
      <c r="H189" s="667">
        <f t="shared" si="17"/>
        <v>0</v>
      </c>
      <c r="I189" s="675"/>
      <c r="J189" s="667">
        <f t="shared" si="14"/>
        <v>0</v>
      </c>
      <c r="K189" s="667"/>
      <c r="L189" s="667"/>
      <c r="M189" s="667" t="e">
        <f>G189+#REF!+#REF!+#REF!+I189+#REF!+#REF!+#REF!+#REF!+#REF!+#REF!+K189+#REF!+#REF!+#REF!</f>
        <v>#REF!</v>
      </c>
      <c r="N189" s="667" t="e">
        <f t="shared" si="15"/>
        <v>#REF!</v>
      </c>
      <c r="O189" s="665" t="e">
        <f>#REF!+M189</f>
        <v>#REF!</v>
      </c>
      <c r="P189" s="666" t="e">
        <f t="shared" si="16"/>
        <v>#REF!</v>
      </c>
      <c r="Q189" s="672"/>
      <c r="R189" s="668"/>
      <c r="S189" s="676"/>
      <c r="T189" s="676"/>
    </row>
    <row r="190" spans="1:20" s="677" customFormat="1" ht="69.75" hidden="1" customHeight="1">
      <c r="A190" s="662">
        <v>11.3</v>
      </c>
      <c r="B190" s="666">
        <f t="shared" si="13"/>
        <v>0</v>
      </c>
      <c r="C190" s="685" t="s">
        <v>1447</v>
      </c>
      <c r="D190" s="675"/>
      <c r="E190" s="674"/>
      <c r="F190" s="663">
        <f t="shared" si="18"/>
        <v>0</v>
      </c>
      <c r="G190" s="684"/>
      <c r="H190" s="667">
        <f t="shared" si="17"/>
        <v>0</v>
      </c>
      <c r="I190" s="675"/>
      <c r="J190" s="667">
        <f t="shared" si="14"/>
        <v>0</v>
      </c>
      <c r="K190" s="667"/>
      <c r="L190" s="667"/>
      <c r="M190" s="667" t="e">
        <f>G190+#REF!+#REF!+#REF!+I190+#REF!+#REF!+#REF!+#REF!+#REF!+#REF!+K190+#REF!+#REF!+#REF!</f>
        <v>#REF!</v>
      </c>
      <c r="N190" s="667" t="e">
        <f t="shared" si="15"/>
        <v>#REF!</v>
      </c>
      <c r="O190" s="665" t="e">
        <f>#REF!+M190</f>
        <v>#REF!</v>
      </c>
      <c r="P190" s="666" t="e">
        <f t="shared" si="16"/>
        <v>#REF!</v>
      </c>
      <c r="Q190" s="672"/>
      <c r="R190" s="668"/>
      <c r="S190" s="676"/>
      <c r="T190" s="676"/>
    </row>
    <row r="191" spans="1:20" s="677" customFormat="1" ht="25.5" hidden="1" customHeight="1">
      <c r="A191" s="662"/>
      <c r="B191" s="666">
        <f t="shared" si="13"/>
        <v>0</v>
      </c>
      <c r="C191" s="663" t="s">
        <v>1420</v>
      </c>
      <c r="D191" s="675"/>
      <c r="E191" s="674" t="s">
        <v>264</v>
      </c>
      <c r="F191" s="663">
        <f t="shared" si="18"/>
        <v>0</v>
      </c>
      <c r="G191" s="684"/>
      <c r="H191" s="667">
        <f t="shared" si="17"/>
        <v>0</v>
      </c>
      <c r="I191" s="675"/>
      <c r="J191" s="667">
        <f t="shared" si="14"/>
        <v>0</v>
      </c>
      <c r="K191" s="667"/>
      <c r="L191" s="667"/>
      <c r="M191" s="667" t="e">
        <f>G191+#REF!+#REF!+#REF!+I191+#REF!+#REF!+#REF!+#REF!+#REF!+#REF!+K191+#REF!+#REF!+#REF!</f>
        <v>#REF!</v>
      </c>
      <c r="N191" s="667" t="e">
        <f t="shared" si="15"/>
        <v>#REF!</v>
      </c>
      <c r="O191" s="665" t="e">
        <f>#REF!+M191</f>
        <v>#REF!</v>
      </c>
      <c r="P191" s="666" t="e">
        <f t="shared" si="16"/>
        <v>#REF!</v>
      </c>
      <c r="Q191" s="672"/>
      <c r="R191" s="668"/>
      <c r="S191" s="676"/>
      <c r="T191" s="676"/>
    </row>
    <row r="192" spans="1:20" s="677" customFormat="1" ht="25.5" hidden="1" customHeight="1">
      <c r="A192" s="662"/>
      <c r="B192" s="666">
        <f t="shared" si="13"/>
        <v>0</v>
      </c>
      <c r="C192" s="663" t="s">
        <v>1421</v>
      </c>
      <c r="D192" s="675"/>
      <c r="E192" s="674" t="s">
        <v>264</v>
      </c>
      <c r="F192" s="663">
        <f t="shared" si="18"/>
        <v>0</v>
      </c>
      <c r="G192" s="684"/>
      <c r="H192" s="667">
        <f t="shared" si="17"/>
        <v>0</v>
      </c>
      <c r="I192" s="675"/>
      <c r="J192" s="667">
        <f t="shared" si="14"/>
        <v>0</v>
      </c>
      <c r="K192" s="667"/>
      <c r="L192" s="667"/>
      <c r="M192" s="667" t="e">
        <f>G192+#REF!+#REF!+#REF!+I192+#REF!+#REF!+#REF!+#REF!+#REF!+#REF!+K192+#REF!+#REF!+#REF!</f>
        <v>#REF!</v>
      </c>
      <c r="N192" s="667" t="e">
        <f t="shared" si="15"/>
        <v>#REF!</v>
      </c>
      <c r="O192" s="665" t="e">
        <f>#REF!+M192</f>
        <v>#REF!</v>
      </c>
      <c r="P192" s="666" t="e">
        <f t="shared" si="16"/>
        <v>#REF!</v>
      </c>
      <c r="Q192" s="672"/>
      <c r="R192" s="668"/>
      <c r="S192" s="676"/>
      <c r="T192" s="676"/>
    </row>
    <row r="193" spans="1:21" s="677" customFormat="1" ht="25.5" hidden="1" customHeight="1">
      <c r="A193" s="662"/>
      <c r="B193" s="666">
        <f t="shared" si="13"/>
        <v>0</v>
      </c>
      <c r="C193" s="663" t="s">
        <v>1422</v>
      </c>
      <c r="D193" s="675"/>
      <c r="E193" s="674" t="s">
        <v>264</v>
      </c>
      <c r="F193" s="663">
        <f t="shared" si="18"/>
        <v>0</v>
      </c>
      <c r="G193" s="684"/>
      <c r="H193" s="667">
        <f t="shared" si="17"/>
        <v>0</v>
      </c>
      <c r="I193" s="675"/>
      <c r="J193" s="667">
        <f t="shared" si="14"/>
        <v>0</v>
      </c>
      <c r="K193" s="667"/>
      <c r="L193" s="667"/>
      <c r="M193" s="667" t="e">
        <f>G193+#REF!+#REF!+#REF!+I193+#REF!+#REF!+#REF!+#REF!+#REF!+#REF!+K193+#REF!+#REF!+#REF!</f>
        <v>#REF!</v>
      </c>
      <c r="N193" s="667" t="e">
        <f t="shared" si="15"/>
        <v>#REF!</v>
      </c>
      <c r="O193" s="665" t="e">
        <f>#REF!+M193</f>
        <v>#REF!</v>
      </c>
      <c r="P193" s="666" t="e">
        <f t="shared" si="16"/>
        <v>#REF!</v>
      </c>
      <c r="Q193" s="672"/>
      <c r="R193" s="668"/>
      <c r="S193" s="676"/>
      <c r="T193" s="676"/>
    </row>
    <row r="194" spans="1:21" s="677" customFormat="1" ht="25.5" hidden="1" customHeight="1">
      <c r="A194" s="662"/>
      <c r="B194" s="666">
        <f t="shared" si="13"/>
        <v>0</v>
      </c>
      <c r="C194" s="663" t="s">
        <v>1423</v>
      </c>
      <c r="D194" s="675"/>
      <c r="E194" s="674" t="s">
        <v>264</v>
      </c>
      <c r="F194" s="663">
        <f t="shared" si="18"/>
        <v>0</v>
      </c>
      <c r="G194" s="684"/>
      <c r="H194" s="667">
        <f t="shared" si="17"/>
        <v>0</v>
      </c>
      <c r="I194" s="675"/>
      <c r="J194" s="667">
        <f t="shared" si="14"/>
        <v>0</v>
      </c>
      <c r="K194" s="667"/>
      <c r="L194" s="667"/>
      <c r="M194" s="667" t="e">
        <f>G194+#REF!+#REF!+#REF!+I194+#REF!+#REF!+#REF!+#REF!+#REF!+#REF!+K194+#REF!+#REF!+#REF!</f>
        <v>#REF!</v>
      </c>
      <c r="N194" s="667" t="e">
        <f t="shared" si="15"/>
        <v>#REF!</v>
      </c>
      <c r="O194" s="665" t="e">
        <f>#REF!+M194</f>
        <v>#REF!</v>
      </c>
      <c r="P194" s="666" t="e">
        <f t="shared" si="16"/>
        <v>#REF!</v>
      </c>
      <c r="Q194" s="672"/>
      <c r="R194" s="668"/>
      <c r="S194" s="676"/>
      <c r="T194" s="676"/>
    </row>
    <row r="195" spans="1:21" s="677" customFormat="1" ht="25.5" hidden="1" customHeight="1">
      <c r="A195" s="688"/>
      <c r="B195" s="666">
        <f t="shared" si="13"/>
        <v>0</v>
      </c>
      <c r="C195" s="663" t="s">
        <v>1424</v>
      </c>
      <c r="D195" s="675"/>
      <c r="E195" s="674" t="s">
        <v>264</v>
      </c>
      <c r="F195" s="663">
        <f t="shared" si="18"/>
        <v>0</v>
      </c>
      <c r="G195" s="684"/>
      <c r="H195" s="667">
        <f t="shared" si="17"/>
        <v>0</v>
      </c>
      <c r="I195" s="675"/>
      <c r="J195" s="667">
        <f t="shared" si="14"/>
        <v>0</v>
      </c>
      <c r="K195" s="667"/>
      <c r="L195" s="667"/>
      <c r="M195" s="667" t="e">
        <f>G195+#REF!+#REF!+#REF!+I195+#REF!+#REF!+#REF!+#REF!+#REF!+#REF!+K195+#REF!+#REF!+#REF!</f>
        <v>#REF!</v>
      </c>
      <c r="N195" s="667" t="e">
        <f t="shared" si="15"/>
        <v>#REF!</v>
      </c>
      <c r="O195" s="665" t="e">
        <f>#REF!+M195</f>
        <v>#REF!</v>
      </c>
      <c r="P195" s="666" t="e">
        <f t="shared" si="16"/>
        <v>#REF!</v>
      </c>
      <c r="Q195" s="672"/>
      <c r="R195" s="668"/>
      <c r="S195" s="676"/>
      <c r="T195" s="676"/>
    </row>
    <row r="196" spans="1:21" s="677" customFormat="1" ht="69.75" hidden="1" customHeight="1">
      <c r="A196" s="662">
        <v>11.4</v>
      </c>
      <c r="B196" s="666">
        <f t="shared" ref="B196:B259" si="19">G196</f>
        <v>0</v>
      </c>
      <c r="C196" s="685" t="s">
        <v>1448</v>
      </c>
      <c r="D196" s="675"/>
      <c r="E196" s="674"/>
      <c r="F196" s="663">
        <f t="shared" si="18"/>
        <v>0</v>
      </c>
      <c r="G196" s="684"/>
      <c r="H196" s="667">
        <f t="shared" si="17"/>
        <v>0</v>
      </c>
      <c r="I196" s="675"/>
      <c r="J196" s="667">
        <f t="shared" si="14"/>
        <v>0</v>
      </c>
      <c r="K196" s="667"/>
      <c r="L196" s="667"/>
      <c r="M196" s="667" t="e">
        <f>G196+#REF!+#REF!+#REF!+I196+#REF!+#REF!+#REF!+#REF!+#REF!+#REF!+K196+#REF!+#REF!+#REF!</f>
        <v>#REF!</v>
      </c>
      <c r="N196" s="667" t="e">
        <f t="shared" si="15"/>
        <v>#REF!</v>
      </c>
      <c r="O196" s="665" t="e">
        <f>#REF!+M196</f>
        <v>#REF!</v>
      </c>
      <c r="P196" s="666" t="e">
        <f t="shared" si="16"/>
        <v>#REF!</v>
      </c>
      <c r="Q196" s="672"/>
      <c r="R196" s="668"/>
      <c r="S196" s="676"/>
      <c r="T196" s="676"/>
    </row>
    <row r="197" spans="1:21" s="677" customFormat="1" ht="25.5" hidden="1" customHeight="1">
      <c r="A197" s="666"/>
      <c r="B197" s="666">
        <f t="shared" si="19"/>
        <v>0</v>
      </c>
      <c r="C197" s="663" t="s">
        <v>1420</v>
      </c>
      <c r="D197" s="675"/>
      <c r="E197" s="674" t="s">
        <v>264</v>
      </c>
      <c r="F197" s="663">
        <f t="shared" si="18"/>
        <v>0</v>
      </c>
      <c r="G197" s="684"/>
      <c r="H197" s="667">
        <f t="shared" si="17"/>
        <v>0</v>
      </c>
      <c r="I197" s="675"/>
      <c r="J197" s="667">
        <f t="shared" si="14"/>
        <v>0</v>
      </c>
      <c r="K197" s="667"/>
      <c r="L197" s="667"/>
      <c r="M197" s="667" t="e">
        <f>G197+#REF!+#REF!+#REF!+I197+#REF!+#REF!+#REF!+#REF!+#REF!+#REF!+K197+#REF!+#REF!+#REF!</f>
        <v>#REF!</v>
      </c>
      <c r="N197" s="667" t="e">
        <f t="shared" si="15"/>
        <v>#REF!</v>
      </c>
      <c r="O197" s="665" t="e">
        <f>#REF!+M197</f>
        <v>#REF!</v>
      </c>
      <c r="P197" s="666" t="e">
        <f t="shared" si="16"/>
        <v>#REF!</v>
      </c>
      <c r="Q197" s="672"/>
      <c r="R197" s="668"/>
      <c r="S197" s="676"/>
      <c r="T197" s="676"/>
    </row>
    <row r="198" spans="1:21" s="677" customFormat="1" ht="25.5" hidden="1" customHeight="1">
      <c r="A198" s="666"/>
      <c r="B198" s="666">
        <f t="shared" si="19"/>
        <v>0</v>
      </c>
      <c r="C198" s="663" t="s">
        <v>1421</v>
      </c>
      <c r="D198" s="675"/>
      <c r="E198" s="674" t="s">
        <v>264</v>
      </c>
      <c r="F198" s="663">
        <f t="shared" si="18"/>
        <v>0</v>
      </c>
      <c r="G198" s="684"/>
      <c r="H198" s="667">
        <f t="shared" si="17"/>
        <v>0</v>
      </c>
      <c r="I198" s="675"/>
      <c r="J198" s="667">
        <f t="shared" ref="J198:J261" si="20">I198*D198</f>
        <v>0</v>
      </c>
      <c r="K198" s="667"/>
      <c r="L198" s="667"/>
      <c r="M198" s="667" t="e">
        <f>G198+#REF!+#REF!+#REF!+I198+#REF!+#REF!+#REF!+#REF!+#REF!+#REF!+K198+#REF!+#REF!+#REF!</f>
        <v>#REF!</v>
      </c>
      <c r="N198" s="667" t="e">
        <f t="shared" ref="N198:N261" si="21">M198*D198</f>
        <v>#REF!</v>
      </c>
      <c r="O198" s="665" t="e">
        <f>#REF!+M198</f>
        <v>#REF!</v>
      </c>
      <c r="P198" s="666" t="e">
        <f t="shared" ref="P198:P261" si="22">O198*D198</f>
        <v>#REF!</v>
      </c>
      <c r="Q198" s="672"/>
      <c r="R198" s="668"/>
      <c r="S198" s="676"/>
      <c r="T198" s="676"/>
    </row>
    <row r="199" spans="1:21" s="677" customFormat="1" ht="25.5" hidden="1" customHeight="1">
      <c r="A199" s="666"/>
      <c r="B199" s="666">
        <f t="shared" si="19"/>
        <v>0</v>
      </c>
      <c r="C199" s="663" t="s">
        <v>1422</v>
      </c>
      <c r="D199" s="675"/>
      <c r="E199" s="674" t="s">
        <v>264</v>
      </c>
      <c r="F199" s="663">
        <f t="shared" si="18"/>
        <v>0</v>
      </c>
      <c r="G199" s="684"/>
      <c r="H199" s="667">
        <f t="shared" si="17"/>
        <v>0</v>
      </c>
      <c r="I199" s="675"/>
      <c r="J199" s="667">
        <f t="shared" si="20"/>
        <v>0</v>
      </c>
      <c r="K199" s="667"/>
      <c r="L199" s="667"/>
      <c r="M199" s="667" t="e">
        <f>G199+#REF!+#REF!+#REF!+I199+#REF!+#REF!+#REF!+#REF!+#REF!+#REF!+K199+#REF!+#REF!+#REF!</f>
        <v>#REF!</v>
      </c>
      <c r="N199" s="667" t="e">
        <f t="shared" si="21"/>
        <v>#REF!</v>
      </c>
      <c r="O199" s="665" t="e">
        <f>#REF!+M199</f>
        <v>#REF!</v>
      </c>
      <c r="P199" s="666" t="e">
        <f t="shared" si="22"/>
        <v>#REF!</v>
      </c>
      <c r="Q199" s="672"/>
      <c r="R199" s="668"/>
      <c r="S199" s="676"/>
      <c r="T199" s="676"/>
    </row>
    <row r="200" spans="1:21" s="677" customFormat="1" ht="25.5" hidden="1" customHeight="1">
      <c r="A200" s="666"/>
      <c r="B200" s="666">
        <f t="shared" si="19"/>
        <v>0</v>
      </c>
      <c r="C200" s="663" t="s">
        <v>1423</v>
      </c>
      <c r="D200" s="675"/>
      <c r="E200" s="674" t="s">
        <v>264</v>
      </c>
      <c r="F200" s="663">
        <f t="shared" si="18"/>
        <v>0</v>
      </c>
      <c r="G200" s="684"/>
      <c r="H200" s="667">
        <f t="shared" si="17"/>
        <v>0</v>
      </c>
      <c r="I200" s="675"/>
      <c r="J200" s="667">
        <f t="shared" si="20"/>
        <v>0</v>
      </c>
      <c r="K200" s="667"/>
      <c r="L200" s="667"/>
      <c r="M200" s="667" t="e">
        <f>G200+#REF!+#REF!+#REF!+I200+#REF!+#REF!+#REF!+#REF!+#REF!+#REF!+K200+#REF!+#REF!+#REF!</f>
        <v>#REF!</v>
      </c>
      <c r="N200" s="667" t="e">
        <f t="shared" si="21"/>
        <v>#REF!</v>
      </c>
      <c r="O200" s="665" t="e">
        <f>#REF!+M200</f>
        <v>#REF!</v>
      </c>
      <c r="P200" s="666" t="e">
        <f t="shared" si="22"/>
        <v>#REF!</v>
      </c>
      <c r="Q200" s="672"/>
      <c r="R200" s="668"/>
      <c r="S200" s="676"/>
      <c r="T200" s="676"/>
    </row>
    <row r="201" spans="1:21" s="677" customFormat="1" ht="25.5" hidden="1" customHeight="1">
      <c r="A201" s="690"/>
      <c r="B201" s="666">
        <f t="shared" si="19"/>
        <v>0</v>
      </c>
      <c r="C201" s="663" t="s">
        <v>1424</v>
      </c>
      <c r="D201" s="675"/>
      <c r="E201" s="674" t="s">
        <v>264</v>
      </c>
      <c r="F201" s="663">
        <f t="shared" si="18"/>
        <v>0</v>
      </c>
      <c r="G201" s="684"/>
      <c r="H201" s="667">
        <f t="shared" si="17"/>
        <v>0</v>
      </c>
      <c r="I201" s="675"/>
      <c r="J201" s="667">
        <f t="shared" si="20"/>
        <v>0</v>
      </c>
      <c r="K201" s="667"/>
      <c r="L201" s="667"/>
      <c r="M201" s="667" t="e">
        <f>G201+#REF!+#REF!+#REF!+I201+#REF!+#REF!+#REF!+#REF!+#REF!+#REF!+K201+#REF!+#REF!+#REF!</f>
        <v>#REF!</v>
      </c>
      <c r="N201" s="667" t="e">
        <f t="shared" si="21"/>
        <v>#REF!</v>
      </c>
      <c r="O201" s="665" t="e">
        <f>#REF!+M201</f>
        <v>#REF!</v>
      </c>
      <c r="P201" s="666" t="e">
        <f t="shared" si="22"/>
        <v>#REF!</v>
      </c>
      <c r="Q201" s="672"/>
      <c r="R201" s="668"/>
      <c r="S201" s="676"/>
      <c r="T201" s="676"/>
    </row>
    <row r="202" spans="1:21" ht="87.75" hidden="1" customHeight="1">
      <c r="A202" s="692">
        <v>11.5</v>
      </c>
      <c r="B202" s="666">
        <f t="shared" si="19"/>
        <v>0</v>
      </c>
      <c r="C202" s="685" t="s">
        <v>1449</v>
      </c>
      <c r="D202" s="667"/>
      <c r="E202" s="663"/>
      <c r="F202" s="663">
        <f t="shared" si="18"/>
        <v>0</v>
      </c>
      <c r="G202" s="667"/>
      <c r="H202" s="667">
        <f t="shared" si="17"/>
        <v>0</v>
      </c>
      <c r="I202" s="667"/>
      <c r="J202" s="667">
        <f t="shared" si="20"/>
        <v>0</v>
      </c>
      <c r="K202" s="667"/>
      <c r="L202" s="667"/>
      <c r="M202" s="667" t="e">
        <f>G202+#REF!+#REF!+#REF!+I202+#REF!+#REF!+#REF!+#REF!+#REF!+#REF!+K202+#REF!+#REF!+#REF!</f>
        <v>#REF!</v>
      </c>
      <c r="N202" s="667" t="e">
        <f t="shared" si="21"/>
        <v>#REF!</v>
      </c>
      <c r="O202" s="665" t="e">
        <f>#REF!+M202</f>
        <v>#REF!</v>
      </c>
      <c r="P202" s="666" t="e">
        <f t="shared" si="22"/>
        <v>#REF!</v>
      </c>
      <c r="Q202" s="668"/>
      <c r="R202" s="668"/>
      <c r="S202" s="678"/>
      <c r="U202" s="679"/>
    </row>
    <row r="203" spans="1:21" ht="48.75" hidden="1" customHeight="1">
      <c r="A203" s="692"/>
      <c r="B203" s="666">
        <f t="shared" si="19"/>
        <v>0</v>
      </c>
      <c r="C203" s="663" t="s">
        <v>1420</v>
      </c>
      <c r="D203" s="667">
        <f>ROUND([14]Data!K434,2)</f>
        <v>504.28</v>
      </c>
      <c r="E203" s="663" t="s">
        <v>264</v>
      </c>
      <c r="F203" s="663">
        <f t="shared" si="18"/>
        <v>0</v>
      </c>
      <c r="G203" s="690"/>
      <c r="H203" s="667">
        <f t="shared" si="17"/>
        <v>0</v>
      </c>
      <c r="I203" s="667"/>
      <c r="J203" s="667">
        <f t="shared" si="20"/>
        <v>0</v>
      </c>
      <c r="K203" s="667"/>
      <c r="L203" s="667"/>
      <c r="M203" s="667" t="e">
        <f>G203+#REF!+#REF!+#REF!+I203+#REF!+#REF!+#REF!+#REF!+#REF!+#REF!+K203+#REF!+#REF!+#REF!</f>
        <v>#REF!</v>
      </c>
      <c r="N203" s="667" t="e">
        <f t="shared" si="21"/>
        <v>#REF!</v>
      </c>
      <c r="O203" s="665" t="e">
        <f>#REF!+M203</f>
        <v>#REF!</v>
      </c>
      <c r="P203" s="666" t="e">
        <f t="shared" si="22"/>
        <v>#REF!</v>
      </c>
      <c r="Q203" s="672"/>
      <c r="R203" s="668"/>
    </row>
    <row r="204" spans="1:21" ht="42" hidden="1" customHeight="1">
      <c r="A204" s="692"/>
      <c r="B204" s="666">
        <f t="shared" si="19"/>
        <v>0</v>
      </c>
      <c r="C204" s="663" t="s">
        <v>1421</v>
      </c>
      <c r="D204" s="667">
        <f>ROUND([14]Data!K435,2)</f>
        <v>513.88</v>
      </c>
      <c r="E204" s="663" t="s">
        <v>264</v>
      </c>
      <c r="F204" s="663">
        <f t="shared" si="18"/>
        <v>0</v>
      </c>
      <c r="G204" s="690"/>
      <c r="H204" s="667">
        <f t="shared" si="17"/>
        <v>0</v>
      </c>
      <c r="I204" s="667"/>
      <c r="J204" s="667">
        <f t="shared" si="20"/>
        <v>0</v>
      </c>
      <c r="K204" s="667"/>
      <c r="L204" s="667"/>
      <c r="M204" s="667" t="e">
        <f>G204+#REF!+#REF!+#REF!+I204+#REF!+#REF!+#REF!+#REF!+#REF!+#REF!+K204+#REF!+#REF!+#REF!</f>
        <v>#REF!</v>
      </c>
      <c r="N204" s="667" t="e">
        <f t="shared" si="21"/>
        <v>#REF!</v>
      </c>
      <c r="O204" s="665" t="e">
        <f>#REF!+M204</f>
        <v>#REF!</v>
      </c>
      <c r="P204" s="666" t="e">
        <f t="shared" si="22"/>
        <v>#REF!</v>
      </c>
      <c r="Q204" s="672"/>
      <c r="R204" s="668"/>
    </row>
    <row r="205" spans="1:21" ht="42" hidden="1" customHeight="1">
      <c r="A205" s="692"/>
      <c r="B205" s="666">
        <f t="shared" si="19"/>
        <v>0</v>
      </c>
      <c r="C205" s="663" t="s">
        <v>1422</v>
      </c>
      <c r="D205" s="667">
        <f>ROUND([14]Data!K436,2)</f>
        <v>523.48</v>
      </c>
      <c r="E205" s="663" t="s">
        <v>264</v>
      </c>
      <c r="F205" s="663">
        <f t="shared" si="18"/>
        <v>0</v>
      </c>
      <c r="G205" s="693"/>
      <c r="H205" s="667">
        <f t="shared" si="17"/>
        <v>0</v>
      </c>
      <c r="I205" s="667"/>
      <c r="J205" s="667">
        <f t="shared" si="20"/>
        <v>0</v>
      </c>
      <c r="K205" s="667"/>
      <c r="L205" s="667"/>
      <c r="M205" s="667" t="e">
        <f>G205+#REF!+#REF!+#REF!+I205+#REF!+#REF!+#REF!+#REF!+#REF!+#REF!+K205+#REF!+#REF!+#REF!</f>
        <v>#REF!</v>
      </c>
      <c r="N205" s="667" t="e">
        <f t="shared" si="21"/>
        <v>#REF!</v>
      </c>
      <c r="O205" s="665" t="e">
        <f>#REF!+M205</f>
        <v>#REF!</v>
      </c>
      <c r="P205" s="666" t="e">
        <f t="shared" si="22"/>
        <v>#REF!</v>
      </c>
      <c r="Q205" s="672"/>
      <c r="R205" s="668"/>
    </row>
    <row r="206" spans="1:21" ht="42" hidden="1" customHeight="1">
      <c r="A206" s="692"/>
      <c r="B206" s="666">
        <f t="shared" si="19"/>
        <v>0</v>
      </c>
      <c r="C206" s="663" t="s">
        <v>1423</v>
      </c>
      <c r="D206" s="667">
        <f>ROUND([14]Data!K437,2)</f>
        <v>533.08000000000004</v>
      </c>
      <c r="E206" s="663" t="s">
        <v>264</v>
      </c>
      <c r="F206" s="663">
        <f t="shared" si="18"/>
        <v>0</v>
      </c>
      <c r="G206" s="690"/>
      <c r="H206" s="667">
        <f t="shared" si="17"/>
        <v>0</v>
      </c>
      <c r="I206" s="667"/>
      <c r="J206" s="667">
        <f t="shared" si="20"/>
        <v>0</v>
      </c>
      <c r="K206" s="667"/>
      <c r="L206" s="667"/>
      <c r="M206" s="667" t="e">
        <f>G206+#REF!+#REF!+#REF!+I206+#REF!+#REF!+#REF!+#REF!+#REF!+#REF!+K206+#REF!+#REF!+#REF!</f>
        <v>#REF!</v>
      </c>
      <c r="N206" s="667" t="e">
        <f t="shared" si="21"/>
        <v>#REF!</v>
      </c>
      <c r="O206" s="665" t="e">
        <f>#REF!+M206</f>
        <v>#REF!</v>
      </c>
      <c r="P206" s="666" t="e">
        <f t="shared" si="22"/>
        <v>#REF!</v>
      </c>
      <c r="Q206" s="672"/>
      <c r="R206" s="668"/>
    </row>
    <row r="207" spans="1:21" s="677" customFormat="1" ht="25.5" hidden="1" customHeight="1">
      <c r="A207" s="694"/>
      <c r="B207" s="666">
        <f t="shared" si="19"/>
        <v>0</v>
      </c>
      <c r="C207" s="663" t="s">
        <v>1424</v>
      </c>
      <c r="D207" s="675">
        <f>ROUND([14]Data!K438,2)</f>
        <v>542.67999999999995</v>
      </c>
      <c r="E207" s="674" t="s">
        <v>264</v>
      </c>
      <c r="F207" s="663">
        <f t="shared" si="18"/>
        <v>0</v>
      </c>
      <c r="G207" s="684"/>
      <c r="H207" s="667">
        <f t="shared" si="17"/>
        <v>0</v>
      </c>
      <c r="I207" s="675"/>
      <c r="J207" s="667">
        <f t="shared" si="20"/>
        <v>0</v>
      </c>
      <c r="K207" s="667"/>
      <c r="L207" s="667"/>
      <c r="M207" s="667" t="e">
        <f>G207+#REF!+#REF!+#REF!+I207+#REF!+#REF!+#REF!+#REF!+#REF!+#REF!+K207+#REF!+#REF!+#REF!</f>
        <v>#REF!</v>
      </c>
      <c r="N207" s="667" t="e">
        <f t="shared" si="21"/>
        <v>#REF!</v>
      </c>
      <c r="O207" s="665" t="e">
        <f>#REF!+M207</f>
        <v>#REF!</v>
      </c>
      <c r="P207" s="666" t="e">
        <f t="shared" si="22"/>
        <v>#REF!</v>
      </c>
      <c r="Q207" s="672"/>
      <c r="R207" s="668"/>
      <c r="S207" s="676"/>
      <c r="T207" s="676"/>
    </row>
    <row r="208" spans="1:21" s="677" customFormat="1" ht="69.75" hidden="1" customHeight="1">
      <c r="A208" s="692">
        <v>11.6</v>
      </c>
      <c r="B208" s="666">
        <f t="shared" si="19"/>
        <v>0</v>
      </c>
      <c r="C208" s="685" t="s">
        <v>1450</v>
      </c>
      <c r="D208" s="675"/>
      <c r="E208" s="674"/>
      <c r="F208" s="663">
        <f t="shared" si="18"/>
        <v>0</v>
      </c>
      <c r="G208" s="684"/>
      <c r="H208" s="667">
        <f t="shared" ref="H208:H271" si="23">G208*D208</f>
        <v>0</v>
      </c>
      <c r="I208" s="675"/>
      <c r="J208" s="667">
        <f t="shared" si="20"/>
        <v>0</v>
      </c>
      <c r="K208" s="667"/>
      <c r="L208" s="667"/>
      <c r="M208" s="667" t="e">
        <f>G208+#REF!+#REF!+#REF!+I208+#REF!+#REF!+#REF!+#REF!+#REF!+#REF!+K208+#REF!+#REF!+#REF!</f>
        <v>#REF!</v>
      </c>
      <c r="N208" s="667" t="e">
        <f t="shared" si="21"/>
        <v>#REF!</v>
      </c>
      <c r="O208" s="665" t="e">
        <f>#REF!+M208</f>
        <v>#REF!</v>
      </c>
      <c r="P208" s="666" t="e">
        <f t="shared" si="22"/>
        <v>#REF!</v>
      </c>
      <c r="Q208" s="672"/>
      <c r="R208" s="668"/>
      <c r="S208" s="676"/>
      <c r="T208" s="676"/>
    </row>
    <row r="209" spans="1:21" s="677" customFormat="1" ht="25.5" hidden="1" customHeight="1">
      <c r="A209" s="692"/>
      <c r="B209" s="666">
        <f t="shared" si="19"/>
        <v>0</v>
      </c>
      <c r="C209" s="663" t="s">
        <v>1420</v>
      </c>
      <c r="D209" s="675"/>
      <c r="E209" s="674" t="s">
        <v>264</v>
      </c>
      <c r="F209" s="663">
        <f t="shared" ref="F209:F272" si="24">B209*D209</f>
        <v>0</v>
      </c>
      <c r="G209" s="684"/>
      <c r="H209" s="667">
        <f t="shared" si="23"/>
        <v>0</v>
      </c>
      <c r="I209" s="675"/>
      <c r="J209" s="667">
        <f t="shared" si="20"/>
        <v>0</v>
      </c>
      <c r="K209" s="667"/>
      <c r="L209" s="667"/>
      <c r="M209" s="667" t="e">
        <f>G209+#REF!+#REF!+#REF!+I209+#REF!+#REF!+#REF!+#REF!+#REF!+#REF!+K209+#REF!+#REF!+#REF!</f>
        <v>#REF!</v>
      </c>
      <c r="N209" s="667" t="e">
        <f t="shared" si="21"/>
        <v>#REF!</v>
      </c>
      <c r="O209" s="665" t="e">
        <f>#REF!+M209</f>
        <v>#REF!</v>
      </c>
      <c r="P209" s="666" t="e">
        <f t="shared" si="22"/>
        <v>#REF!</v>
      </c>
      <c r="Q209" s="672"/>
      <c r="R209" s="668"/>
      <c r="S209" s="676"/>
      <c r="T209" s="676"/>
    </row>
    <row r="210" spans="1:21" s="677" customFormat="1" ht="25.5" hidden="1" customHeight="1">
      <c r="A210" s="692"/>
      <c r="B210" s="666">
        <f t="shared" si="19"/>
        <v>0</v>
      </c>
      <c r="C210" s="663" t="s">
        <v>1421</v>
      </c>
      <c r="D210" s="675"/>
      <c r="E210" s="674" t="s">
        <v>264</v>
      </c>
      <c r="F210" s="663">
        <f t="shared" si="24"/>
        <v>0</v>
      </c>
      <c r="G210" s="684"/>
      <c r="H210" s="667">
        <f t="shared" si="23"/>
        <v>0</v>
      </c>
      <c r="I210" s="675"/>
      <c r="J210" s="667">
        <f t="shared" si="20"/>
        <v>0</v>
      </c>
      <c r="K210" s="667"/>
      <c r="L210" s="667"/>
      <c r="M210" s="667" t="e">
        <f>G210+#REF!+#REF!+#REF!+I210+#REF!+#REF!+#REF!+#REF!+#REF!+#REF!+K210+#REF!+#REF!+#REF!</f>
        <v>#REF!</v>
      </c>
      <c r="N210" s="667" t="e">
        <f t="shared" si="21"/>
        <v>#REF!</v>
      </c>
      <c r="O210" s="665" t="e">
        <f>#REF!+M210</f>
        <v>#REF!</v>
      </c>
      <c r="P210" s="666" t="e">
        <f t="shared" si="22"/>
        <v>#REF!</v>
      </c>
      <c r="Q210" s="672"/>
      <c r="R210" s="668"/>
      <c r="S210" s="676"/>
      <c r="T210" s="676"/>
    </row>
    <row r="211" spans="1:21" s="677" customFormat="1" ht="25.5" hidden="1" customHeight="1">
      <c r="A211" s="692"/>
      <c r="B211" s="666">
        <f t="shared" si="19"/>
        <v>0</v>
      </c>
      <c r="C211" s="663" t="s">
        <v>1422</v>
      </c>
      <c r="D211" s="675"/>
      <c r="E211" s="674" t="s">
        <v>264</v>
      </c>
      <c r="F211" s="663">
        <f t="shared" si="24"/>
        <v>0</v>
      </c>
      <c r="G211" s="684"/>
      <c r="H211" s="667">
        <f t="shared" si="23"/>
        <v>0</v>
      </c>
      <c r="I211" s="675"/>
      <c r="J211" s="667">
        <f t="shared" si="20"/>
        <v>0</v>
      </c>
      <c r="K211" s="667"/>
      <c r="L211" s="667"/>
      <c r="M211" s="667" t="e">
        <f>G211+#REF!+#REF!+#REF!+I211+#REF!+#REF!+#REF!+#REF!+#REF!+#REF!+K211+#REF!+#REF!+#REF!</f>
        <v>#REF!</v>
      </c>
      <c r="N211" s="667" t="e">
        <f t="shared" si="21"/>
        <v>#REF!</v>
      </c>
      <c r="O211" s="665" t="e">
        <f>#REF!+M211</f>
        <v>#REF!</v>
      </c>
      <c r="P211" s="666" t="e">
        <f t="shared" si="22"/>
        <v>#REF!</v>
      </c>
      <c r="Q211" s="672"/>
      <c r="R211" s="668"/>
      <c r="S211" s="676"/>
      <c r="T211" s="676"/>
    </row>
    <row r="212" spans="1:21" s="677" customFormat="1" ht="25.5" hidden="1" customHeight="1">
      <c r="A212" s="692"/>
      <c r="B212" s="666">
        <f t="shared" si="19"/>
        <v>0</v>
      </c>
      <c r="C212" s="663" t="s">
        <v>1423</v>
      </c>
      <c r="D212" s="675"/>
      <c r="E212" s="674" t="s">
        <v>264</v>
      </c>
      <c r="F212" s="663">
        <f t="shared" si="24"/>
        <v>0</v>
      </c>
      <c r="G212" s="684"/>
      <c r="H212" s="667">
        <f t="shared" si="23"/>
        <v>0</v>
      </c>
      <c r="I212" s="675"/>
      <c r="J212" s="667">
        <f t="shared" si="20"/>
        <v>0</v>
      </c>
      <c r="K212" s="667"/>
      <c r="L212" s="667"/>
      <c r="M212" s="667" t="e">
        <f>G212+#REF!+#REF!+#REF!+I212+#REF!+#REF!+#REF!+#REF!+#REF!+#REF!+K212+#REF!+#REF!+#REF!</f>
        <v>#REF!</v>
      </c>
      <c r="N212" s="667" t="e">
        <f t="shared" si="21"/>
        <v>#REF!</v>
      </c>
      <c r="O212" s="665" t="e">
        <f>#REF!+M212</f>
        <v>#REF!</v>
      </c>
      <c r="P212" s="666" t="e">
        <f t="shared" si="22"/>
        <v>#REF!</v>
      </c>
      <c r="Q212" s="672"/>
      <c r="R212" s="668"/>
      <c r="S212" s="676"/>
      <c r="T212" s="676"/>
    </row>
    <row r="213" spans="1:21" s="677" customFormat="1" ht="7.5" hidden="1" customHeight="1">
      <c r="A213" s="694"/>
      <c r="B213" s="666">
        <f t="shared" si="19"/>
        <v>0</v>
      </c>
      <c r="C213" s="663" t="s">
        <v>1424</v>
      </c>
      <c r="D213" s="675"/>
      <c r="E213" s="674" t="s">
        <v>264</v>
      </c>
      <c r="F213" s="663">
        <f t="shared" si="24"/>
        <v>0</v>
      </c>
      <c r="G213" s="684"/>
      <c r="H213" s="667">
        <f t="shared" si="23"/>
        <v>0</v>
      </c>
      <c r="I213" s="675"/>
      <c r="J213" s="667">
        <f t="shared" si="20"/>
        <v>0</v>
      </c>
      <c r="K213" s="667"/>
      <c r="L213" s="667"/>
      <c r="M213" s="667" t="e">
        <f>G213+#REF!+#REF!+#REF!+I213+#REF!+#REF!+#REF!+#REF!+#REF!+#REF!+K213+#REF!+#REF!+#REF!</f>
        <v>#REF!</v>
      </c>
      <c r="N213" s="667" t="e">
        <f t="shared" si="21"/>
        <v>#REF!</v>
      </c>
      <c r="O213" s="665" t="e">
        <f>#REF!+M213</f>
        <v>#REF!</v>
      </c>
      <c r="P213" s="666" t="e">
        <f t="shared" si="22"/>
        <v>#REF!</v>
      </c>
      <c r="Q213" s="672"/>
      <c r="R213" s="668"/>
      <c r="S213" s="676"/>
      <c r="T213" s="676"/>
    </row>
    <row r="214" spans="1:21" ht="76.5" hidden="1" customHeight="1">
      <c r="A214" s="662">
        <v>12.1</v>
      </c>
      <c r="B214" s="666">
        <f t="shared" si="19"/>
        <v>0</v>
      </c>
      <c r="C214" s="685" t="s">
        <v>1451</v>
      </c>
      <c r="D214" s="667"/>
      <c r="E214" s="685"/>
      <c r="F214" s="663">
        <f t="shared" si="24"/>
        <v>0</v>
      </c>
      <c r="G214" s="667"/>
      <c r="H214" s="667">
        <f t="shared" si="23"/>
        <v>0</v>
      </c>
      <c r="I214" s="667"/>
      <c r="J214" s="667">
        <f t="shared" si="20"/>
        <v>0</v>
      </c>
      <c r="K214" s="667"/>
      <c r="L214" s="667"/>
      <c r="M214" s="667" t="e">
        <f>G214+#REF!+#REF!+#REF!+I214+#REF!+#REF!+#REF!+#REF!+#REF!+#REF!+K214+#REF!+#REF!+#REF!</f>
        <v>#REF!</v>
      </c>
      <c r="N214" s="667" t="e">
        <f t="shared" si="21"/>
        <v>#REF!</v>
      </c>
      <c r="O214" s="665" t="e">
        <f>#REF!+M214</f>
        <v>#REF!</v>
      </c>
      <c r="P214" s="666" t="e">
        <f t="shared" si="22"/>
        <v>#REF!</v>
      </c>
      <c r="Q214" s="668"/>
      <c r="R214" s="668"/>
      <c r="S214" s="678"/>
      <c r="U214" s="679"/>
    </row>
    <row r="215" spans="1:21" s="683" customFormat="1" ht="43.5" hidden="1" customHeight="1">
      <c r="A215" s="666"/>
      <c r="B215" s="666">
        <f t="shared" si="19"/>
        <v>0</v>
      </c>
      <c r="C215" s="663" t="s">
        <v>1420</v>
      </c>
      <c r="D215" s="667">
        <f>ROUND([14]Data!K467,2)</f>
        <v>365.93</v>
      </c>
      <c r="E215" s="663" t="s">
        <v>264</v>
      </c>
      <c r="F215" s="663">
        <f t="shared" si="24"/>
        <v>0</v>
      </c>
      <c r="G215" s="690"/>
      <c r="H215" s="667">
        <f t="shared" si="23"/>
        <v>0</v>
      </c>
      <c r="I215" s="667"/>
      <c r="J215" s="667">
        <f t="shared" si="20"/>
        <v>0</v>
      </c>
      <c r="K215" s="667"/>
      <c r="L215" s="667"/>
      <c r="M215" s="667" t="e">
        <f>G215+#REF!+#REF!+#REF!+I215+#REF!+#REF!+#REF!+#REF!+#REF!+#REF!+K215+#REF!+#REF!+#REF!</f>
        <v>#REF!</v>
      </c>
      <c r="N215" s="667" t="e">
        <f t="shared" si="21"/>
        <v>#REF!</v>
      </c>
      <c r="O215" s="665" t="e">
        <f>#REF!+M215</f>
        <v>#REF!</v>
      </c>
      <c r="P215" s="666" t="e">
        <f t="shared" si="22"/>
        <v>#REF!</v>
      </c>
      <c r="Q215" s="672"/>
      <c r="R215" s="668"/>
      <c r="S215" s="669"/>
      <c r="T215" s="669"/>
    </row>
    <row r="216" spans="1:21" s="683" customFormat="1" ht="43.5" hidden="1" customHeight="1">
      <c r="A216" s="666"/>
      <c r="B216" s="666">
        <f t="shared" si="19"/>
        <v>0</v>
      </c>
      <c r="C216" s="663" t="s">
        <v>1421</v>
      </c>
      <c r="D216" s="667">
        <f>ROUND([14]Data!K468,2)</f>
        <v>372.79</v>
      </c>
      <c r="E216" s="663" t="s">
        <v>264</v>
      </c>
      <c r="F216" s="663">
        <f t="shared" si="24"/>
        <v>0</v>
      </c>
      <c r="G216" s="690"/>
      <c r="H216" s="667">
        <f t="shared" si="23"/>
        <v>0</v>
      </c>
      <c r="I216" s="667"/>
      <c r="J216" s="667">
        <f t="shared" si="20"/>
        <v>0</v>
      </c>
      <c r="K216" s="667"/>
      <c r="L216" s="667"/>
      <c r="M216" s="667" t="e">
        <f>G216+#REF!+#REF!+#REF!+I216+#REF!+#REF!+#REF!+#REF!+#REF!+#REF!+K216+#REF!+#REF!+#REF!</f>
        <v>#REF!</v>
      </c>
      <c r="N216" s="667" t="e">
        <f t="shared" si="21"/>
        <v>#REF!</v>
      </c>
      <c r="O216" s="665" t="e">
        <f>#REF!+M216</f>
        <v>#REF!</v>
      </c>
      <c r="P216" s="666" t="e">
        <f t="shared" si="22"/>
        <v>#REF!</v>
      </c>
      <c r="Q216" s="672"/>
      <c r="R216" s="668"/>
      <c r="S216" s="669"/>
      <c r="T216" s="669"/>
    </row>
    <row r="217" spans="1:21" s="683" customFormat="1" ht="43.5" hidden="1" customHeight="1">
      <c r="A217" s="666"/>
      <c r="B217" s="666">
        <f t="shared" si="19"/>
        <v>0</v>
      </c>
      <c r="C217" s="663" t="s">
        <v>1422</v>
      </c>
      <c r="D217" s="667">
        <f>ROUND([14]Data!K469,2)</f>
        <v>379.65</v>
      </c>
      <c r="E217" s="663" t="s">
        <v>264</v>
      </c>
      <c r="F217" s="663">
        <f t="shared" si="24"/>
        <v>0</v>
      </c>
      <c r="G217" s="690"/>
      <c r="H217" s="667">
        <f t="shared" si="23"/>
        <v>0</v>
      </c>
      <c r="I217" s="667"/>
      <c r="J217" s="667">
        <f t="shared" si="20"/>
        <v>0</v>
      </c>
      <c r="K217" s="667"/>
      <c r="L217" s="667"/>
      <c r="M217" s="667" t="e">
        <f>G217+#REF!+#REF!+#REF!+I217+#REF!+#REF!+#REF!+#REF!+#REF!+#REF!+K217+#REF!+#REF!+#REF!</f>
        <v>#REF!</v>
      </c>
      <c r="N217" s="667" t="e">
        <f t="shared" si="21"/>
        <v>#REF!</v>
      </c>
      <c r="O217" s="665" t="e">
        <f>#REF!+M217</f>
        <v>#REF!</v>
      </c>
      <c r="P217" s="666" t="e">
        <f t="shared" si="22"/>
        <v>#REF!</v>
      </c>
      <c r="Q217" s="672"/>
      <c r="R217" s="668"/>
      <c r="S217" s="669"/>
      <c r="T217" s="669"/>
    </row>
    <row r="218" spans="1:21" s="683" customFormat="1" ht="43.5" hidden="1" customHeight="1">
      <c r="A218" s="666"/>
      <c r="B218" s="666">
        <f t="shared" si="19"/>
        <v>0</v>
      </c>
      <c r="C218" s="663" t="s">
        <v>1423</v>
      </c>
      <c r="D218" s="667">
        <f>ROUND([14]Data!K470,2)</f>
        <v>386.51</v>
      </c>
      <c r="E218" s="663" t="s">
        <v>264</v>
      </c>
      <c r="F218" s="663">
        <f t="shared" si="24"/>
        <v>0</v>
      </c>
      <c r="G218" s="689"/>
      <c r="H218" s="667">
        <f t="shared" si="23"/>
        <v>0</v>
      </c>
      <c r="I218" s="667"/>
      <c r="J218" s="667">
        <f t="shared" si="20"/>
        <v>0</v>
      </c>
      <c r="K218" s="667"/>
      <c r="L218" s="667"/>
      <c r="M218" s="667" t="e">
        <f>G218+#REF!+#REF!+#REF!+I218+#REF!+#REF!+#REF!+#REF!+#REF!+#REF!+K218+#REF!+#REF!+#REF!</f>
        <v>#REF!</v>
      </c>
      <c r="N218" s="667" t="e">
        <f t="shared" si="21"/>
        <v>#REF!</v>
      </c>
      <c r="O218" s="665" t="e">
        <f>#REF!+M218</f>
        <v>#REF!</v>
      </c>
      <c r="P218" s="666" t="e">
        <f t="shared" si="22"/>
        <v>#REF!</v>
      </c>
      <c r="Q218" s="672"/>
      <c r="R218" s="668"/>
      <c r="S218" s="669"/>
      <c r="T218" s="669"/>
    </row>
    <row r="219" spans="1:21" s="677" customFormat="1" ht="43.5" hidden="1" customHeight="1">
      <c r="A219" s="690"/>
      <c r="B219" s="666">
        <f t="shared" si="19"/>
        <v>0</v>
      </c>
      <c r="C219" s="663" t="s">
        <v>1424</v>
      </c>
      <c r="D219" s="667">
        <f>ROUND([14]Data!K471,2)</f>
        <v>393.37</v>
      </c>
      <c r="E219" s="663" t="s">
        <v>264</v>
      </c>
      <c r="F219" s="663">
        <f t="shared" si="24"/>
        <v>0</v>
      </c>
      <c r="G219" s="689"/>
      <c r="H219" s="667">
        <f t="shared" si="23"/>
        <v>0</v>
      </c>
      <c r="I219" s="667"/>
      <c r="J219" s="667">
        <f t="shared" si="20"/>
        <v>0</v>
      </c>
      <c r="K219" s="667"/>
      <c r="L219" s="667"/>
      <c r="M219" s="667" t="e">
        <f>G219+#REF!+#REF!+#REF!+I219+#REF!+#REF!+#REF!+#REF!+#REF!+#REF!+K219+#REF!+#REF!+#REF!</f>
        <v>#REF!</v>
      </c>
      <c r="N219" s="667" t="e">
        <f t="shared" si="21"/>
        <v>#REF!</v>
      </c>
      <c r="O219" s="665" t="e">
        <f>#REF!+M219</f>
        <v>#REF!</v>
      </c>
      <c r="P219" s="666" t="e">
        <f t="shared" si="22"/>
        <v>#REF!</v>
      </c>
      <c r="Q219" s="672"/>
      <c r="R219" s="668"/>
      <c r="S219" s="676"/>
      <c r="T219" s="676"/>
    </row>
    <row r="220" spans="1:21" s="677" customFormat="1" ht="69.75" hidden="1" customHeight="1">
      <c r="A220" s="662">
        <v>12.2</v>
      </c>
      <c r="B220" s="666">
        <f t="shared" si="19"/>
        <v>0</v>
      </c>
      <c r="C220" s="663" t="s">
        <v>1452</v>
      </c>
      <c r="D220" s="675"/>
      <c r="E220" s="695"/>
      <c r="F220" s="663">
        <f t="shared" si="24"/>
        <v>0</v>
      </c>
      <c r="G220" s="684"/>
      <c r="H220" s="667">
        <f t="shared" si="23"/>
        <v>0</v>
      </c>
      <c r="I220" s="675"/>
      <c r="J220" s="667">
        <f t="shared" si="20"/>
        <v>0</v>
      </c>
      <c r="K220" s="667"/>
      <c r="L220" s="667"/>
      <c r="M220" s="667" t="e">
        <f>G220+#REF!+#REF!+#REF!+I220+#REF!+#REF!+#REF!+#REF!+#REF!+#REF!+K220+#REF!+#REF!+#REF!</f>
        <v>#REF!</v>
      </c>
      <c r="N220" s="667" t="e">
        <f t="shared" si="21"/>
        <v>#REF!</v>
      </c>
      <c r="O220" s="665" t="e">
        <f>#REF!+M220</f>
        <v>#REF!</v>
      </c>
      <c r="P220" s="666" t="e">
        <f t="shared" si="22"/>
        <v>#REF!</v>
      </c>
      <c r="Q220" s="672"/>
      <c r="R220" s="668"/>
      <c r="S220" s="676"/>
      <c r="T220" s="676"/>
    </row>
    <row r="221" spans="1:21" s="677" customFormat="1" ht="25.5" hidden="1" customHeight="1">
      <c r="A221" s="666"/>
      <c r="B221" s="666">
        <f t="shared" si="19"/>
        <v>0</v>
      </c>
      <c r="C221" s="663" t="s">
        <v>1420</v>
      </c>
      <c r="D221" s="675"/>
      <c r="E221" s="674" t="s">
        <v>264</v>
      </c>
      <c r="F221" s="663">
        <f t="shared" si="24"/>
        <v>0</v>
      </c>
      <c r="G221" s="684"/>
      <c r="H221" s="667">
        <f t="shared" si="23"/>
        <v>0</v>
      </c>
      <c r="I221" s="675"/>
      <c r="J221" s="667">
        <f t="shared" si="20"/>
        <v>0</v>
      </c>
      <c r="K221" s="667"/>
      <c r="L221" s="667"/>
      <c r="M221" s="667" t="e">
        <f>G221+#REF!+#REF!+#REF!+I221+#REF!+#REF!+#REF!+#REF!+#REF!+#REF!+K221+#REF!+#REF!+#REF!</f>
        <v>#REF!</v>
      </c>
      <c r="N221" s="667" t="e">
        <f t="shared" si="21"/>
        <v>#REF!</v>
      </c>
      <c r="O221" s="665" t="e">
        <f>#REF!+M221</f>
        <v>#REF!</v>
      </c>
      <c r="P221" s="666" t="e">
        <f t="shared" si="22"/>
        <v>#REF!</v>
      </c>
      <c r="Q221" s="672"/>
      <c r="R221" s="668"/>
      <c r="S221" s="676"/>
      <c r="T221" s="676"/>
    </row>
    <row r="222" spans="1:21" s="677" customFormat="1" ht="25.5" hidden="1" customHeight="1">
      <c r="A222" s="666"/>
      <c r="B222" s="666">
        <f t="shared" si="19"/>
        <v>0</v>
      </c>
      <c r="C222" s="663" t="s">
        <v>1421</v>
      </c>
      <c r="D222" s="675"/>
      <c r="E222" s="674" t="s">
        <v>264</v>
      </c>
      <c r="F222" s="663">
        <f t="shared" si="24"/>
        <v>0</v>
      </c>
      <c r="G222" s="684"/>
      <c r="H222" s="667">
        <f t="shared" si="23"/>
        <v>0</v>
      </c>
      <c r="I222" s="675"/>
      <c r="J222" s="667">
        <f t="shared" si="20"/>
        <v>0</v>
      </c>
      <c r="K222" s="667"/>
      <c r="L222" s="667"/>
      <c r="M222" s="667" t="e">
        <f>G222+#REF!+#REF!+#REF!+I222+#REF!+#REF!+#REF!+#REF!+#REF!+#REF!+K222+#REF!+#REF!+#REF!</f>
        <v>#REF!</v>
      </c>
      <c r="N222" s="667" t="e">
        <f t="shared" si="21"/>
        <v>#REF!</v>
      </c>
      <c r="O222" s="665" t="e">
        <f>#REF!+M222</f>
        <v>#REF!</v>
      </c>
      <c r="P222" s="666" t="e">
        <f t="shared" si="22"/>
        <v>#REF!</v>
      </c>
      <c r="Q222" s="672"/>
      <c r="R222" s="668"/>
      <c r="S222" s="676"/>
      <c r="T222" s="676"/>
    </row>
    <row r="223" spans="1:21" s="677" customFormat="1" ht="25.5" hidden="1" customHeight="1">
      <c r="A223" s="666"/>
      <c r="B223" s="666">
        <f t="shared" si="19"/>
        <v>0</v>
      </c>
      <c r="C223" s="663" t="s">
        <v>1422</v>
      </c>
      <c r="D223" s="675"/>
      <c r="E223" s="674" t="s">
        <v>264</v>
      </c>
      <c r="F223" s="663">
        <f t="shared" si="24"/>
        <v>0</v>
      </c>
      <c r="G223" s="684"/>
      <c r="H223" s="667">
        <f t="shared" si="23"/>
        <v>0</v>
      </c>
      <c r="I223" s="675"/>
      <c r="J223" s="667">
        <f t="shared" si="20"/>
        <v>0</v>
      </c>
      <c r="K223" s="667"/>
      <c r="L223" s="667"/>
      <c r="M223" s="667" t="e">
        <f>G223+#REF!+#REF!+#REF!+I223+#REF!+#REF!+#REF!+#REF!+#REF!+#REF!+K223+#REF!+#REF!+#REF!</f>
        <v>#REF!</v>
      </c>
      <c r="N223" s="667" t="e">
        <f t="shared" si="21"/>
        <v>#REF!</v>
      </c>
      <c r="O223" s="665" t="e">
        <f>#REF!+M223</f>
        <v>#REF!</v>
      </c>
      <c r="P223" s="666" t="e">
        <f t="shared" si="22"/>
        <v>#REF!</v>
      </c>
      <c r="Q223" s="672"/>
      <c r="R223" s="668"/>
      <c r="S223" s="676"/>
      <c r="T223" s="676"/>
    </row>
    <row r="224" spans="1:21" s="677" customFormat="1" ht="25.5" hidden="1" customHeight="1">
      <c r="A224" s="666"/>
      <c r="B224" s="666">
        <f t="shared" si="19"/>
        <v>0</v>
      </c>
      <c r="C224" s="663" t="s">
        <v>1423</v>
      </c>
      <c r="D224" s="675"/>
      <c r="E224" s="674" t="s">
        <v>264</v>
      </c>
      <c r="F224" s="663">
        <f t="shared" si="24"/>
        <v>0</v>
      </c>
      <c r="G224" s="684"/>
      <c r="H224" s="667">
        <f t="shared" si="23"/>
        <v>0</v>
      </c>
      <c r="I224" s="675"/>
      <c r="J224" s="667">
        <f t="shared" si="20"/>
        <v>0</v>
      </c>
      <c r="K224" s="667"/>
      <c r="L224" s="667"/>
      <c r="M224" s="667" t="e">
        <f>G224+#REF!+#REF!+#REF!+I224+#REF!+#REF!+#REF!+#REF!+#REF!+#REF!+K224+#REF!+#REF!+#REF!</f>
        <v>#REF!</v>
      </c>
      <c r="N224" s="667" t="e">
        <f t="shared" si="21"/>
        <v>#REF!</v>
      </c>
      <c r="O224" s="665" t="e">
        <f>#REF!+M224</f>
        <v>#REF!</v>
      </c>
      <c r="P224" s="666" t="e">
        <f t="shared" si="22"/>
        <v>#REF!</v>
      </c>
      <c r="Q224" s="672"/>
      <c r="R224" s="668"/>
      <c r="S224" s="676"/>
      <c r="T224" s="676"/>
    </row>
    <row r="225" spans="1:20" s="677" customFormat="1" ht="25.5" hidden="1" customHeight="1">
      <c r="A225" s="690"/>
      <c r="B225" s="666">
        <f t="shared" si="19"/>
        <v>0</v>
      </c>
      <c r="C225" s="663" t="s">
        <v>1424</v>
      </c>
      <c r="D225" s="675"/>
      <c r="E225" s="674" t="s">
        <v>264</v>
      </c>
      <c r="F225" s="663">
        <f t="shared" si="24"/>
        <v>0</v>
      </c>
      <c r="G225" s="684"/>
      <c r="H225" s="667">
        <f t="shared" si="23"/>
        <v>0</v>
      </c>
      <c r="I225" s="675"/>
      <c r="J225" s="667">
        <f t="shared" si="20"/>
        <v>0</v>
      </c>
      <c r="K225" s="667"/>
      <c r="L225" s="667"/>
      <c r="M225" s="667" t="e">
        <f>G225+#REF!+#REF!+#REF!+I225+#REF!+#REF!+#REF!+#REF!+#REF!+#REF!+K225+#REF!+#REF!+#REF!</f>
        <v>#REF!</v>
      </c>
      <c r="N225" s="667" t="e">
        <f t="shared" si="21"/>
        <v>#REF!</v>
      </c>
      <c r="O225" s="665" t="e">
        <f>#REF!+M225</f>
        <v>#REF!</v>
      </c>
      <c r="P225" s="666" t="e">
        <f t="shared" si="22"/>
        <v>#REF!</v>
      </c>
      <c r="Q225" s="672"/>
      <c r="R225" s="668"/>
      <c r="S225" s="676"/>
      <c r="T225" s="676"/>
    </row>
    <row r="226" spans="1:20" s="677" customFormat="1" ht="25.5" hidden="1" customHeight="1">
      <c r="A226" s="690"/>
      <c r="B226" s="666">
        <f t="shared" si="19"/>
        <v>0</v>
      </c>
      <c r="C226" s="663"/>
      <c r="D226" s="675"/>
      <c r="E226" s="674"/>
      <c r="F226" s="663">
        <f t="shared" si="24"/>
        <v>0</v>
      </c>
      <c r="G226" s="684"/>
      <c r="H226" s="667">
        <f t="shared" si="23"/>
        <v>0</v>
      </c>
      <c r="I226" s="675"/>
      <c r="J226" s="667">
        <f t="shared" si="20"/>
        <v>0</v>
      </c>
      <c r="K226" s="667"/>
      <c r="L226" s="667"/>
      <c r="M226" s="667" t="e">
        <f>G226+#REF!+#REF!+#REF!+I226+#REF!+#REF!+#REF!+#REF!+#REF!+#REF!+K226+#REF!+#REF!+#REF!</f>
        <v>#REF!</v>
      </c>
      <c r="N226" s="667" t="e">
        <f t="shared" si="21"/>
        <v>#REF!</v>
      </c>
      <c r="O226" s="665" t="e">
        <f>#REF!+M226</f>
        <v>#REF!</v>
      </c>
      <c r="P226" s="666" t="e">
        <f t="shared" si="22"/>
        <v>#REF!</v>
      </c>
      <c r="Q226" s="672"/>
      <c r="R226" s="668"/>
      <c r="S226" s="676"/>
      <c r="T226" s="676"/>
    </row>
    <row r="227" spans="1:20" s="683" customFormat="1" ht="46.5" hidden="1" customHeight="1">
      <c r="A227" s="662">
        <v>13.1</v>
      </c>
      <c r="B227" s="666">
        <f t="shared" si="19"/>
        <v>0</v>
      </c>
      <c r="C227" s="663" t="s">
        <v>809</v>
      </c>
      <c r="D227" s="667">
        <f>ROUND([14]Data!K482,2)</f>
        <v>33.6</v>
      </c>
      <c r="E227" s="663" t="s">
        <v>235</v>
      </c>
      <c r="F227" s="663">
        <f t="shared" si="24"/>
        <v>0</v>
      </c>
      <c r="G227" s="667"/>
      <c r="H227" s="667">
        <f t="shared" si="23"/>
        <v>0</v>
      </c>
      <c r="I227" s="667"/>
      <c r="J227" s="667">
        <f t="shared" si="20"/>
        <v>0</v>
      </c>
      <c r="K227" s="667"/>
      <c r="L227" s="667"/>
      <c r="M227" s="667" t="e">
        <f>G227+#REF!+#REF!+#REF!+I227+#REF!+#REF!+#REF!+#REF!+#REF!+#REF!+K227+#REF!+#REF!+#REF!</f>
        <v>#REF!</v>
      </c>
      <c r="N227" s="667" t="e">
        <f t="shared" si="21"/>
        <v>#REF!</v>
      </c>
      <c r="O227" s="665" t="e">
        <f>#REF!+M227</f>
        <v>#REF!</v>
      </c>
      <c r="P227" s="666" t="e">
        <f t="shared" si="22"/>
        <v>#REF!</v>
      </c>
      <c r="Q227" s="672"/>
      <c r="R227" s="668"/>
      <c r="S227" s="669"/>
      <c r="T227" s="669"/>
    </row>
    <row r="228" spans="1:20" s="677" customFormat="1" ht="33.75" hidden="1" customHeight="1">
      <c r="A228" s="662">
        <v>13.2</v>
      </c>
      <c r="B228" s="666">
        <f t="shared" si="19"/>
        <v>0</v>
      </c>
      <c r="C228" s="663" t="s">
        <v>1453</v>
      </c>
      <c r="D228" s="675"/>
      <c r="E228" s="674" t="s">
        <v>235</v>
      </c>
      <c r="F228" s="663">
        <f t="shared" si="24"/>
        <v>0</v>
      </c>
      <c r="G228" s="684"/>
      <c r="H228" s="667">
        <f t="shared" si="23"/>
        <v>0</v>
      </c>
      <c r="I228" s="675"/>
      <c r="J228" s="667">
        <f t="shared" si="20"/>
        <v>0</v>
      </c>
      <c r="K228" s="667"/>
      <c r="L228" s="667"/>
      <c r="M228" s="667" t="e">
        <f>G228+#REF!+#REF!+#REF!+I228+#REF!+#REF!+#REF!+#REF!+#REF!+#REF!+K228+#REF!+#REF!+#REF!</f>
        <v>#REF!</v>
      </c>
      <c r="N228" s="667" t="e">
        <f t="shared" si="21"/>
        <v>#REF!</v>
      </c>
      <c r="O228" s="665" t="e">
        <f>#REF!+M228</f>
        <v>#REF!</v>
      </c>
      <c r="P228" s="666" t="e">
        <f t="shared" si="22"/>
        <v>#REF!</v>
      </c>
      <c r="Q228" s="672"/>
      <c r="R228" s="668"/>
      <c r="S228" s="676"/>
      <c r="T228" s="676"/>
    </row>
    <row r="229" spans="1:20" s="682" customFormat="1" ht="60.75" hidden="1" customHeight="1">
      <c r="A229" s="666" t="s">
        <v>1454</v>
      </c>
      <c r="B229" s="666">
        <f t="shared" si="19"/>
        <v>0</v>
      </c>
      <c r="C229" s="685" t="s">
        <v>1455</v>
      </c>
      <c r="D229" s="675"/>
      <c r="E229" s="674"/>
      <c r="F229" s="663">
        <f t="shared" si="24"/>
        <v>0</v>
      </c>
      <c r="G229" s="675"/>
      <c r="H229" s="667">
        <f t="shared" si="23"/>
        <v>0</v>
      </c>
      <c r="I229" s="675"/>
      <c r="J229" s="667">
        <f t="shared" si="20"/>
        <v>0</v>
      </c>
      <c r="K229" s="667"/>
      <c r="L229" s="667"/>
      <c r="M229" s="667" t="e">
        <f>G229+#REF!+#REF!+#REF!+I229+#REF!+#REF!+#REF!+#REF!+#REF!+#REF!+K229+#REF!+#REF!+#REF!</f>
        <v>#REF!</v>
      </c>
      <c r="N229" s="667" t="e">
        <f t="shared" si="21"/>
        <v>#REF!</v>
      </c>
      <c r="O229" s="665" t="e">
        <f>#REF!+M229</f>
        <v>#REF!</v>
      </c>
      <c r="P229" s="666" t="e">
        <f t="shared" si="22"/>
        <v>#REF!</v>
      </c>
      <c r="Q229" s="672"/>
      <c r="R229" s="668"/>
      <c r="S229" s="680"/>
      <c r="T229" s="681"/>
    </row>
    <row r="230" spans="1:20" s="682" customFormat="1" ht="50.25" hidden="1" customHeight="1">
      <c r="A230" s="666"/>
      <c r="B230" s="666">
        <f t="shared" si="19"/>
        <v>0</v>
      </c>
      <c r="C230" s="663" t="s">
        <v>1405</v>
      </c>
      <c r="D230" s="675">
        <f>ROUND([14]Data!K535,2)</f>
        <v>1287.1600000000001</v>
      </c>
      <c r="E230" s="674" t="s">
        <v>264</v>
      </c>
      <c r="F230" s="663">
        <f t="shared" si="24"/>
        <v>0</v>
      </c>
      <c r="G230" s="696"/>
      <c r="H230" s="667">
        <f t="shared" si="23"/>
        <v>0</v>
      </c>
      <c r="I230" s="675"/>
      <c r="J230" s="667">
        <f t="shared" si="20"/>
        <v>0</v>
      </c>
      <c r="K230" s="667"/>
      <c r="L230" s="667"/>
      <c r="M230" s="667" t="e">
        <f>G230+#REF!+#REF!+#REF!+I230+#REF!+#REF!+#REF!+#REF!+#REF!+#REF!+K230+#REF!+#REF!+#REF!</f>
        <v>#REF!</v>
      </c>
      <c r="N230" s="667" t="e">
        <f t="shared" si="21"/>
        <v>#REF!</v>
      </c>
      <c r="O230" s="665" t="e">
        <f>#REF!+M230</f>
        <v>#REF!</v>
      </c>
      <c r="P230" s="666" t="e">
        <f t="shared" si="22"/>
        <v>#REF!</v>
      </c>
      <c r="Q230" s="672"/>
      <c r="R230" s="668"/>
      <c r="S230" s="680"/>
      <c r="T230" s="681"/>
    </row>
    <row r="231" spans="1:20" s="682" customFormat="1" ht="50.25" hidden="1" customHeight="1">
      <c r="A231" s="666"/>
      <c r="B231" s="666">
        <f t="shared" si="19"/>
        <v>0</v>
      </c>
      <c r="C231" s="663" t="s">
        <v>1406</v>
      </c>
      <c r="D231" s="675">
        <f>ROUND([14]Data!K536,2)</f>
        <v>1291.27</v>
      </c>
      <c r="E231" s="674" t="s">
        <v>264</v>
      </c>
      <c r="F231" s="663">
        <f t="shared" si="24"/>
        <v>0</v>
      </c>
      <c r="G231" s="675"/>
      <c r="H231" s="667">
        <f t="shared" si="23"/>
        <v>0</v>
      </c>
      <c r="I231" s="675"/>
      <c r="J231" s="667">
        <f t="shared" si="20"/>
        <v>0</v>
      </c>
      <c r="K231" s="667"/>
      <c r="L231" s="667"/>
      <c r="M231" s="667" t="e">
        <f>G231+#REF!+#REF!+#REF!+I231+#REF!+#REF!+#REF!+#REF!+#REF!+#REF!+K231+#REF!+#REF!+#REF!</f>
        <v>#REF!</v>
      </c>
      <c r="N231" s="667" t="e">
        <f t="shared" si="21"/>
        <v>#REF!</v>
      </c>
      <c r="O231" s="665" t="e">
        <f>#REF!+M231</f>
        <v>#REF!</v>
      </c>
      <c r="P231" s="666" t="e">
        <f t="shared" si="22"/>
        <v>#REF!</v>
      </c>
      <c r="Q231" s="672"/>
      <c r="R231" s="668"/>
      <c r="S231" s="680"/>
      <c r="T231" s="681"/>
    </row>
    <row r="232" spans="1:20" s="682" customFormat="1" ht="50.25" hidden="1" customHeight="1">
      <c r="A232" s="666"/>
      <c r="B232" s="666">
        <f t="shared" si="19"/>
        <v>0</v>
      </c>
      <c r="C232" s="663" t="s">
        <v>1407</v>
      </c>
      <c r="D232" s="675">
        <f>ROUND([14]Data!K537,2)</f>
        <v>1295.3800000000001</v>
      </c>
      <c r="E232" s="674" t="s">
        <v>264</v>
      </c>
      <c r="F232" s="663">
        <f t="shared" si="24"/>
        <v>0</v>
      </c>
      <c r="G232" s="675"/>
      <c r="H232" s="667">
        <f t="shared" si="23"/>
        <v>0</v>
      </c>
      <c r="I232" s="675"/>
      <c r="J232" s="667">
        <f t="shared" si="20"/>
        <v>0</v>
      </c>
      <c r="K232" s="667"/>
      <c r="L232" s="667"/>
      <c r="M232" s="667" t="e">
        <f>G232+#REF!+#REF!+#REF!+I232+#REF!+#REF!+#REF!+#REF!+#REF!+#REF!+K232+#REF!+#REF!+#REF!</f>
        <v>#REF!</v>
      </c>
      <c r="N232" s="667" t="e">
        <f t="shared" si="21"/>
        <v>#REF!</v>
      </c>
      <c r="O232" s="665" t="e">
        <f>#REF!+M232</f>
        <v>#REF!</v>
      </c>
      <c r="P232" s="666" t="e">
        <f t="shared" si="22"/>
        <v>#REF!</v>
      </c>
      <c r="Q232" s="672"/>
      <c r="R232" s="668"/>
      <c r="S232" s="680"/>
      <c r="T232" s="681"/>
    </row>
    <row r="233" spans="1:20" s="682" customFormat="1" ht="50.25" hidden="1" customHeight="1">
      <c r="A233" s="666"/>
      <c r="B233" s="666">
        <f t="shared" si="19"/>
        <v>0</v>
      </c>
      <c r="C233" s="663" t="s">
        <v>1408</v>
      </c>
      <c r="D233" s="675">
        <f>ROUND([14]Data!K538,2)</f>
        <v>1299.49</v>
      </c>
      <c r="E233" s="674" t="s">
        <v>264</v>
      </c>
      <c r="F233" s="663">
        <f t="shared" si="24"/>
        <v>0</v>
      </c>
      <c r="G233" s="675"/>
      <c r="H233" s="667">
        <f t="shared" si="23"/>
        <v>0</v>
      </c>
      <c r="I233" s="675"/>
      <c r="J233" s="667">
        <f t="shared" si="20"/>
        <v>0</v>
      </c>
      <c r="K233" s="667"/>
      <c r="L233" s="667"/>
      <c r="M233" s="667" t="e">
        <f>G233+#REF!+#REF!+#REF!+I233+#REF!+#REF!+#REF!+#REF!+#REF!+#REF!+K233+#REF!+#REF!+#REF!</f>
        <v>#REF!</v>
      </c>
      <c r="N233" s="667" t="e">
        <f t="shared" si="21"/>
        <v>#REF!</v>
      </c>
      <c r="O233" s="665" t="e">
        <f>#REF!+M233</f>
        <v>#REF!</v>
      </c>
      <c r="P233" s="666" t="e">
        <f t="shared" si="22"/>
        <v>#REF!</v>
      </c>
      <c r="Q233" s="672"/>
      <c r="R233" s="668"/>
      <c r="S233" s="680"/>
      <c r="T233" s="681"/>
    </row>
    <row r="234" spans="1:20" s="677" customFormat="1" ht="41.25" hidden="1" customHeight="1">
      <c r="A234" s="690"/>
      <c r="B234" s="666">
        <f t="shared" si="19"/>
        <v>0</v>
      </c>
      <c r="C234" s="663" t="s">
        <v>1409</v>
      </c>
      <c r="D234" s="675">
        <f>ROUND([14]Data!K539,2)</f>
        <v>1303.5999999999999</v>
      </c>
      <c r="E234" s="674" t="s">
        <v>264</v>
      </c>
      <c r="F234" s="663">
        <f t="shared" si="24"/>
        <v>0</v>
      </c>
      <c r="G234" s="684"/>
      <c r="H234" s="667">
        <f t="shared" si="23"/>
        <v>0</v>
      </c>
      <c r="I234" s="675"/>
      <c r="J234" s="667">
        <f t="shared" si="20"/>
        <v>0</v>
      </c>
      <c r="K234" s="667"/>
      <c r="L234" s="667"/>
      <c r="M234" s="667" t="e">
        <f>G234+#REF!+#REF!+#REF!+I234+#REF!+#REF!+#REF!+#REF!+#REF!+#REF!+K234+#REF!+#REF!+#REF!</f>
        <v>#REF!</v>
      </c>
      <c r="N234" s="667" t="e">
        <f t="shared" si="21"/>
        <v>#REF!</v>
      </c>
      <c r="O234" s="665" t="e">
        <f>#REF!+M234</f>
        <v>#REF!</v>
      </c>
      <c r="P234" s="666" t="e">
        <f t="shared" si="22"/>
        <v>#REF!</v>
      </c>
      <c r="Q234" s="672"/>
      <c r="R234" s="668"/>
      <c r="S234" s="676"/>
      <c r="T234" s="676"/>
    </row>
    <row r="235" spans="1:20" s="677" customFormat="1" ht="41.25" hidden="1" customHeight="1">
      <c r="A235" s="690"/>
      <c r="B235" s="666">
        <f t="shared" si="19"/>
        <v>0</v>
      </c>
      <c r="C235" s="663" t="s">
        <v>1411</v>
      </c>
      <c r="D235" s="675">
        <f>ROUND([14]Data!K540,2)</f>
        <v>1307.71</v>
      </c>
      <c r="E235" s="674" t="s">
        <v>264</v>
      </c>
      <c r="F235" s="663">
        <f t="shared" si="24"/>
        <v>0</v>
      </c>
      <c r="G235" s="684"/>
      <c r="H235" s="667">
        <f t="shared" si="23"/>
        <v>0</v>
      </c>
      <c r="I235" s="675"/>
      <c r="J235" s="667">
        <f t="shared" si="20"/>
        <v>0</v>
      </c>
      <c r="K235" s="667"/>
      <c r="L235" s="667"/>
      <c r="M235" s="667" t="e">
        <f>G235+#REF!+#REF!+#REF!+I235+#REF!+#REF!+#REF!+#REF!+#REF!+#REF!+K235+#REF!+#REF!+#REF!</f>
        <v>#REF!</v>
      </c>
      <c r="N235" s="667" t="e">
        <f t="shared" si="21"/>
        <v>#REF!</v>
      </c>
      <c r="O235" s="665" t="e">
        <f>#REF!+M235</f>
        <v>#REF!</v>
      </c>
      <c r="P235" s="666" t="e">
        <f t="shared" si="22"/>
        <v>#REF!</v>
      </c>
      <c r="Q235" s="672"/>
      <c r="R235" s="668"/>
      <c r="S235" s="676"/>
      <c r="T235" s="676"/>
    </row>
    <row r="236" spans="1:20" s="677" customFormat="1" ht="41.25" hidden="1" customHeight="1">
      <c r="A236" s="690"/>
      <c r="B236" s="666">
        <f t="shared" si="19"/>
        <v>0</v>
      </c>
      <c r="C236" s="663" t="s">
        <v>1412</v>
      </c>
      <c r="D236" s="675">
        <f>ROUND([14]Data!K541,2)</f>
        <v>1311.82</v>
      </c>
      <c r="E236" s="674" t="s">
        <v>264</v>
      </c>
      <c r="F236" s="663">
        <f t="shared" si="24"/>
        <v>0</v>
      </c>
      <c r="G236" s="684"/>
      <c r="H236" s="667">
        <f t="shared" si="23"/>
        <v>0</v>
      </c>
      <c r="I236" s="675"/>
      <c r="J236" s="667">
        <f t="shared" si="20"/>
        <v>0</v>
      </c>
      <c r="K236" s="667"/>
      <c r="L236" s="667"/>
      <c r="M236" s="667" t="e">
        <f>G236+#REF!+#REF!+#REF!+I236+#REF!+#REF!+#REF!+#REF!+#REF!+#REF!+K236+#REF!+#REF!+#REF!</f>
        <v>#REF!</v>
      </c>
      <c r="N236" s="667" t="e">
        <f t="shared" si="21"/>
        <v>#REF!</v>
      </c>
      <c r="O236" s="665" t="e">
        <f>#REF!+M236</f>
        <v>#REF!</v>
      </c>
      <c r="P236" s="666" t="e">
        <f t="shared" si="22"/>
        <v>#REF!</v>
      </c>
      <c r="Q236" s="672"/>
      <c r="R236" s="668"/>
      <c r="S236" s="676"/>
      <c r="T236" s="676"/>
    </row>
    <row r="237" spans="1:20" s="677" customFormat="1" ht="41.25" hidden="1" customHeight="1">
      <c r="A237" s="690"/>
      <c r="B237" s="666">
        <f t="shared" si="19"/>
        <v>0</v>
      </c>
      <c r="C237" s="663" t="s">
        <v>1413</v>
      </c>
      <c r="D237" s="675">
        <f>ROUND([14]Data!K542,2)</f>
        <v>1315.93</v>
      </c>
      <c r="E237" s="674" t="s">
        <v>264</v>
      </c>
      <c r="F237" s="663">
        <f t="shared" si="24"/>
        <v>0</v>
      </c>
      <c r="G237" s="684"/>
      <c r="H237" s="667">
        <f t="shared" si="23"/>
        <v>0</v>
      </c>
      <c r="I237" s="675"/>
      <c r="J237" s="667">
        <f t="shared" si="20"/>
        <v>0</v>
      </c>
      <c r="K237" s="667"/>
      <c r="L237" s="667"/>
      <c r="M237" s="667" t="e">
        <f>G237+#REF!+#REF!+#REF!+I237+#REF!+#REF!+#REF!+#REF!+#REF!+#REF!+K237+#REF!+#REF!+#REF!</f>
        <v>#REF!</v>
      </c>
      <c r="N237" s="667" t="e">
        <f t="shared" si="21"/>
        <v>#REF!</v>
      </c>
      <c r="O237" s="665" t="e">
        <f>#REF!+M237</f>
        <v>#REF!</v>
      </c>
      <c r="P237" s="666" t="e">
        <f t="shared" si="22"/>
        <v>#REF!</v>
      </c>
      <c r="Q237" s="672"/>
      <c r="R237" s="668"/>
      <c r="S237" s="676"/>
      <c r="T237" s="676"/>
    </row>
    <row r="238" spans="1:20" s="677" customFormat="1" ht="41.25" hidden="1" customHeight="1">
      <c r="A238" s="690"/>
      <c r="B238" s="666">
        <f t="shared" si="19"/>
        <v>0</v>
      </c>
      <c r="C238" s="663" t="s">
        <v>1414</v>
      </c>
      <c r="D238" s="675">
        <f>ROUND([14]Data!K543,2)</f>
        <v>1320.04</v>
      </c>
      <c r="E238" s="674" t="s">
        <v>264</v>
      </c>
      <c r="F238" s="663">
        <f t="shared" si="24"/>
        <v>0</v>
      </c>
      <c r="G238" s="684"/>
      <c r="H238" s="667">
        <f t="shared" si="23"/>
        <v>0</v>
      </c>
      <c r="I238" s="675"/>
      <c r="J238" s="667">
        <f t="shared" si="20"/>
        <v>0</v>
      </c>
      <c r="K238" s="667"/>
      <c r="L238" s="667"/>
      <c r="M238" s="667" t="e">
        <f>G238+#REF!+#REF!+#REF!+I238+#REF!+#REF!+#REF!+#REF!+#REF!+#REF!+K238+#REF!+#REF!+#REF!</f>
        <v>#REF!</v>
      </c>
      <c r="N238" s="667" t="e">
        <f t="shared" si="21"/>
        <v>#REF!</v>
      </c>
      <c r="O238" s="665" t="e">
        <f>#REF!+M238</f>
        <v>#REF!</v>
      </c>
      <c r="P238" s="666" t="e">
        <f t="shared" si="22"/>
        <v>#REF!</v>
      </c>
      <c r="Q238" s="672"/>
      <c r="R238" s="668"/>
      <c r="S238" s="676"/>
      <c r="T238" s="676"/>
    </row>
    <row r="239" spans="1:20" s="677" customFormat="1" ht="41.25" hidden="1" customHeight="1">
      <c r="A239" s="690"/>
      <c r="B239" s="666">
        <f t="shared" si="19"/>
        <v>0</v>
      </c>
      <c r="C239" s="663" t="s">
        <v>1415</v>
      </c>
      <c r="D239" s="675">
        <f>ROUND([14]Data!K544,2)</f>
        <v>1324.15</v>
      </c>
      <c r="E239" s="674" t="s">
        <v>264</v>
      </c>
      <c r="F239" s="663">
        <f t="shared" si="24"/>
        <v>0</v>
      </c>
      <c r="G239" s="684"/>
      <c r="H239" s="667">
        <f t="shared" si="23"/>
        <v>0</v>
      </c>
      <c r="I239" s="675"/>
      <c r="J239" s="667">
        <f t="shared" si="20"/>
        <v>0</v>
      </c>
      <c r="K239" s="667"/>
      <c r="L239" s="667"/>
      <c r="M239" s="667" t="e">
        <f>G239+#REF!+#REF!+#REF!+I239+#REF!+#REF!+#REF!+#REF!+#REF!+#REF!+K239+#REF!+#REF!+#REF!</f>
        <v>#REF!</v>
      </c>
      <c r="N239" s="667" t="e">
        <f t="shared" si="21"/>
        <v>#REF!</v>
      </c>
      <c r="O239" s="665" t="e">
        <f>#REF!+M239</f>
        <v>#REF!</v>
      </c>
      <c r="P239" s="666" t="e">
        <f t="shared" si="22"/>
        <v>#REF!</v>
      </c>
      <c r="Q239" s="672"/>
      <c r="R239" s="668"/>
      <c r="S239" s="676"/>
      <c r="T239" s="676"/>
    </row>
    <row r="240" spans="1:20" s="677" customFormat="1" ht="41.25" hidden="1" customHeight="1">
      <c r="A240" s="690"/>
      <c r="B240" s="666">
        <f t="shared" si="19"/>
        <v>0</v>
      </c>
      <c r="C240" s="663" t="s">
        <v>1416</v>
      </c>
      <c r="D240" s="675">
        <f>ROUND([14]Data!K545,2)</f>
        <v>1328.26</v>
      </c>
      <c r="E240" s="674" t="s">
        <v>264</v>
      </c>
      <c r="F240" s="663">
        <f t="shared" si="24"/>
        <v>0</v>
      </c>
      <c r="G240" s="684"/>
      <c r="H240" s="667">
        <f t="shared" si="23"/>
        <v>0</v>
      </c>
      <c r="I240" s="675"/>
      <c r="J240" s="667">
        <f t="shared" si="20"/>
        <v>0</v>
      </c>
      <c r="K240" s="667"/>
      <c r="L240" s="667"/>
      <c r="M240" s="667" t="e">
        <f>G240+#REF!+#REF!+#REF!+I240+#REF!+#REF!+#REF!+#REF!+#REF!+#REF!+K240+#REF!+#REF!+#REF!</f>
        <v>#REF!</v>
      </c>
      <c r="N240" s="667" t="e">
        <f t="shared" si="21"/>
        <v>#REF!</v>
      </c>
      <c r="O240" s="665" t="e">
        <f>#REF!+M240</f>
        <v>#REF!</v>
      </c>
      <c r="P240" s="666" t="e">
        <f t="shared" si="22"/>
        <v>#REF!</v>
      </c>
      <c r="Q240" s="672"/>
      <c r="R240" s="668"/>
      <c r="S240" s="676"/>
      <c r="T240" s="676"/>
    </row>
    <row r="241" spans="1:20" s="677" customFormat="1" ht="41.25" hidden="1" customHeight="1">
      <c r="A241" s="690"/>
      <c r="B241" s="666">
        <f t="shared" si="19"/>
        <v>0</v>
      </c>
      <c r="C241" s="663" t="s">
        <v>1417</v>
      </c>
      <c r="D241" s="675">
        <f>ROUND([14]Data!K546,2)</f>
        <v>1332.37</v>
      </c>
      <c r="E241" s="674" t="s">
        <v>264</v>
      </c>
      <c r="F241" s="663">
        <f t="shared" si="24"/>
        <v>0</v>
      </c>
      <c r="G241" s="684"/>
      <c r="H241" s="667">
        <f t="shared" si="23"/>
        <v>0</v>
      </c>
      <c r="I241" s="675"/>
      <c r="J241" s="667">
        <f t="shared" si="20"/>
        <v>0</v>
      </c>
      <c r="K241" s="667"/>
      <c r="L241" s="667"/>
      <c r="M241" s="667" t="e">
        <f>G241+#REF!+#REF!+#REF!+I241+#REF!+#REF!+#REF!+#REF!+#REF!+#REF!+K241+#REF!+#REF!+#REF!</f>
        <v>#REF!</v>
      </c>
      <c r="N241" s="667" t="e">
        <f t="shared" si="21"/>
        <v>#REF!</v>
      </c>
      <c r="O241" s="665" t="e">
        <f>#REF!+M241</f>
        <v>#REF!</v>
      </c>
      <c r="P241" s="666" t="e">
        <f t="shared" si="22"/>
        <v>#REF!</v>
      </c>
      <c r="Q241" s="672"/>
      <c r="R241" s="668"/>
      <c r="S241" s="676"/>
      <c r="T241" s="676"/>
    </row>
    <row r="242" spans="1:20" s="682" customFormat="1" ht="60.75" hidden="1" customHeight="1">
      <c r="A242" s="666" t="s">
        <v>39</v>
      </c>
      <c r="B242" s="666">
        <f t="shared" si="19"/>
        <v>0</v>
      </c>
      <c r="C242" s="685" t="s">
        <v>1456</v>
      </c>
      <c r="D242" s="675"/>
      <c r="E242" s="674"/>
      <c r="F242" s="663">
        <f t="shared" si="24"/>
        <v>0</v>
      </c>
      <c r="G242" s="675"/>
      <c r="H242" s="667">
        <f t="shared" si="23"/>
        <v>0</v>
      </c>
      <c r="I242" s="675"/>
      <c r="J242" s="667">
        <f t="shared" si="20"/>
        <v>0</v>
      </c>
      <c r="K242" s="667"/>
      <c r="L242" s="667"/>
      <c r="M242" s="667" t="e">
        <f>G242+#REF!+#REF!+#REF!+I242+#REF!+#REF!+#REF!+#REF!+#REF!+#REF!+K242+#REF!+#REF!+#REF!</f>
        <v>#REF!</v>
      </c>
      <c r="N242" s="667" t="e">
        <f t="shared" si="21"/>
        <v>#REF!</v>
      </c>
      <c r="O242" s="665" t="e">
        <f>#REF!+M242</f>
        <v>#REF!</v>
      </c>
      <c r="P242" s="666" t="e">
        <f t="shared" si="22"/>
        <v>#REF!</v>
      </c>
      <c r="Q242" s="672"/>
      <c r="R242" s="668"/>
      <c r="S242" s="680"/>
      <c r="T242" s="681"/>
    </row>
    <row r="243" spans="1:20" s="682" customFormat="1" ht="48.75" hidden="1" customHeight="1">
      <c r="A243" s="666"/>
      <c r="B243" s="666">
        <f t="shared" si="19"/>
        <v>0</v>
      </c>
      <c r="C243" s="663" t="s">
        <v>1457</v>
      </c>
      <c r="D243" s="675">
        <f>ROUND([14]Data!K557,2)</f>
        <v>1423.45</v>
      </c>
      <c r="E243" s="674" t="s">
        <v>264</v>
      </c>
      <c r="F243" s="663">
        <f t="shared" si="24"/>
        <v>0</v>
      </c>
      <c r="G243" s="696"/>
      <c r="H243" s="667">
        <f t="shared" si="23"/>
        <v>0</v>
      </c>
      <c r="I243" s="675"/>
      <c r="J243" s="667">
        <f t="shared" si="20"/>
        <v>0</v>
      </c>
      <c r="K243" s="667"/>
      <c r="L243" s="667"/>
      <c r="M243" s="667" t="e">
        <f>G243+#REF!+#REF!+#REF!+I243+#REF!+#REF!+#REF!+#REF!+#REF!+#REF!+K243+#REF!+#REF!+#REF!</f>
        <v>#REF!</v>
      </c>
      <c r="N243" s="667" t="e">
        <f t="shared" si="21"/>
        <v>#REF!</v>
      </c>
      <c r="O243" s="665" t="e">
        <f>#REF!+M243</f>
        <v>#REF!</v>
      </c>
      <c r="P243" s="666" t="e">
        <f t="shared" si="22"/>
        <v>#REF!</v>
      </c>
      <c r="Q243" s="672"/>
      <c r="R243" s="668"/>
      <c r="S243" s="680"/>
      <c r="T243" s="681"/>
    </row>
    <row r="244" spans="1:20" s="682" customFormat="1" ht="50.25" hidden="1" customHeight="1">
      <c r="A244" s="666"/>
      <c r="B244" s="666">
        <f t="shared" si="19"/>
        <v>0</v>
      </c>
      <c r="C244" s="663" t="s">
        <v>1458</v>
      </c>
      <c r="D244" s="675">
        <f>ROUND([14]Data!K559,2)</f>
        <v>1427.62</v>
      </c>
      <c r="E244" s="674" t="s">
        <v>264</v>
      </c>
      <c r="F244" s="663">
        <f t="shared" si="24"/>
        <v>0</v>
      </c>
      <c r="G244" s="696"/>
      <c r="H244" s="667">
        <f t="shared" si="23"/>
        <v>0</v>
      </c>
      <c r="I244" s="675"/>
      <c r="J244" s="667">
        <f t="shared" si="20"/>
        <v>0</v>
      </c>
      <c r="K244" s="667"/>
      <c r="L244" s="667"/>
      <c r="M244" s="667" t="e">
        <f>G244+#REF!+#REF!+#REF!+I244+#REF!+#REF!+#REF!+#REF!+#REF!+#REF!+K244+#REF!+#REF!+#REF!</f>
        <v>#REF!</v>
      </c>
      <c r="N244" s="667" t="e">
        <f t="shared" si="21"/>
        <v>#REF!</v>
      </c>
      <c r="O244" s="665" t="e">
        <f>#REF!+M244</f>
        <v>#REF!</v>
      </c>
      <c r="P244" s="666" t="e">
        <f t="shared" si="22"/>
        <v>#REF!</v>
      </c>
      <c r="Q244" s="672"/>
      <c r="R244" s="668"/>
      <c r="S244" s="680"/>
      <c r="T244" s="681"/>
    </row>
    <row r="245" spans="1:20" s="682" customFormat="1" ht="50.25" hidden="1" customHeight="1">
      <c r="A245" s="666"/>
      <c r="B245" s="666">
        <f t="shared" si="19"/>
        <v>0</v>
      </c>
      <c r="C245" s="663" t="s">
        <v>1459</v>
      </c>
      <c r="D245" s="675">
        <f>ROUND([14]Data!K560,2)</f>
        <v>1435.84</v>
      </c>
      <c r="E245" s="674" t="s">
        <v>264</v>
      </c>
      <c r="F245" s="663">
        <f t="shared" si="24"/>
        <v>0</v>
      </c>
      <c r="G245" s="675"/>
      <c r="H245" s="667">
        <f t="shared" si="23"/>
        <v>0</v>
      </c>
      <c r="I245" s="675"/>
      <c r="J245" s="667">
        <f t="shared" si="20"/>
        <v>0</v>
      </c>
      <c r="K245" s="667"/>
      <c r="L245" s="667"/>
      <c r="M245" s="667" t="e">
        <f>G245+#REF!+#REF!+#REF!+I245+#REF!+#REF!+#REF!+#REF!+#REF!+#REF!+K245+#REF!+#REF!+#REF!</f>
        <v>#REF!</v>
      </c>
      <c r="N245" s="667" t="e">
        <f t="shared" si="21"/>
        <v>#REF!</v>
      </c>
      <c r="O245" s="665" t="e">
        <f>#REF!+M245</f>
        <v>#REF!</v>
      </c>
      <c r="P245" s="666" t="e">
        <f t="shared" si="22"/>
        <v>#REF!</v>
      </c>
      <c r="Q245" s="672"/>
      <c r="R245" s="668"/>
      <c r="S245" s="680"/>
      <c r="T245" s="681"/>
    </row>
    <row r="246" spans="1:20" s="682" customFormat="1" ht="50.25" hidden="1" customHeight="1">
      <c r="A246" s="666"/>
      <c r="B246" s="666">
        <f t="shared" si="19"/>
        <v>0</v>
      </c>
      <c r="C246" s="663" t="s">
        <v>1460</v>
      </c>
      <c r="D246" s="675">
        <f>ROUND([14]Data!K561,2)</f>
        <v>1444.06</v>
      </c>
      <c r="E246" s="674" t="s">
        <v>264</v>
      </c>
      <c r="F246" s="663">
        <f t="shared" si="24"/>
        <v>0</v>
      </c>
      <c r="G246" s="675"/>
      <c r="H246" s="667">
        <f t="shared" si="23"/>
        <v>0</v>
      </c>
      <c r="I246" s="675"/>
      <c r="J246" s="667">
        <f t="shared" si="20"/>
        <v>0</v>
      </c>
      <c r="K246" s="667"/>
      <c r="L246" s="667"/>
      <c r="M246" s="667" t="e">
        <f>G246+#REF!+#REF!+#REF!+I246+#REF!+#REF!+#REF!+#REF!+#REF!+#REF!+K246+#REF!+#REF!+#REF!</f>
        <v>#REF!</v>
      </c>
      <c r="N246" s="667" t="e">
        <f t="shared" si="21"/>
        <v>#REF!</v>
      </c>
      <c r="O246" s="665" t="e">
        <f>#REF!+M246</f>
        <v>#REF!</v>
      </c>
      <c r="P246" s="666" t="e">
        <f t="shared" si="22"/>
        <v>#REF!</v>
      </c>
      <c r="Q246" s="672"/>
      <c r="R246" s="668"/>
      <c r="S246" s="680"/>
      <c r="T246" s="681"/>
    </row>
    <row r="247" spans="1:20" s="682" customFormat="1" ht="50.25" hidden="1" customHeight="1">
      <c r="A247" s="666"/>
      <c r="B247" s="666">
        <f t="shared" si="19"/>
        <v>0</v>
      </c>
      <c r="C247" s="663" t="s">
        <v>1461</v>
      </c>
      <c r="D247" s="675">
        <f>ROUND([14]Data!K562,2)</f>
        <v>1452.28</v>
      </c>
      <c r="E247" s="674" t="s">
        <v>264</v>
      </c>
      <c r="F247" s="663">
        <f t="shared" si="24"/>
        <v>0</v>
      </c>
      <c r="G247" s="675"/>
      <c r="H247" s="667">
        <f t="shared" si="23"/>
        <v>0</v>
      </c>
      <c r="I247" s="675"/>
      <c r="J247" s="667">
        <f t="shared" si="20"/>
        <v>0</v>
      </c>
      <c r="K247" s="667"/>
      <c r="L247" s="667"/>
      <c r="M247" s="667" t="e">
        <f>G247+#REF!+#REF!+#REF!+I247+#REF!+#REF!+#REF!+#REF!+#REF!+#REF!+K247+#REF!+#REF!+#REF!</f>
        <v>#REF!</v>
      </c>
      <c r="N247" s="667" t="e">
        <f t="shared" si="21"/>
        <v>#REF!</v>
      </c>
      <c r="O247" s="665" t="e">
        <f>#REF!+M247</f>
        <v>#REF!</v>
      </c>
      <c r="P247" s="666" t="e">
        <f t="shared" si="22"/>
        <v>#REF!</v>
      </c>
      <c r="Q247" s="672"/>
      <c r="R247" s="668"/>
      <c r="S247" s="680"/>
      <c r="T247" s="681"/>
    </row>
    <row r="248" spans="1:20" s="677" customFormat="1" ht="41.25" hidden="1" customHeight="1">
      <c r="A248" s="690"/>
      <c r="B248" s="666">
        <f t="shared" si="19"/>
        <v>0</v>
      </c>
      <c r="C248" s="663" t="s">
        <v>1462</v>
      </c>
      <c r="D248" s="675">
        <f>ROUND([14]Data!K563,2)</f>
        <v>1460.5</v>
      </c>
      <c r="E248" s="674" t="s">
        <v>264</v>
      </c>
      <c r="F248" s="663">
        <f t="shared" si="24"/>
        <v>0</v>
      </c>
      <c r="G248" s="684"/>
      <c r="H248" s="667">
        <f t="shared" si="23"/>
        <v>0</v>
      </c>
      <c r="I248" s="675"/>
      <c r="J248" s="667">
        <f t="shared" si="20"/>
        <v>0</v>
      </c>
      <c r="K248" s="667"/>
      <c r="L248" s="667"/>
      <c r="M248" s="667" t="e">
        <f>G248+#REF!+#REF!+#REF!+I248+#REF!+#REF!+#REF!+#REF!+#REF!+#REF!+K248+#REF!+#REF!+#REF!</f>
        <v>#REF!</v>
      </c>
      <c r="N248" s="667" t="e">
        <f t="shared" si="21"/>
        <v>#REF!</v>
      </c>
      <c r="O248" s="665" t="e">
        <f>#REF!+M248</f>
        <v>#REF!</v>
      </c>
      <c r="P248" s="666" t="e">
        <f t="shared" si="22"/>
        <v>#REF!</v>
      </c>
      <c r="Q248" s="672"/>
      <c r="R248" s="668"/>
      <c r="S248" s="676"/>
      <c r="T248" s="676"/>
    </row>
    <row r="249" spans="1:20" s="677" customFormat="1" ht="25.5" hidden="1" customHeight="1">
      <c r="A249" s="662">
        <v>15.1</v>
      </c>
      <c r="B249" s="666">
        <f t="shared" si="19"/>
        <v>0</v>
      </c>
      <c r="C249" s="685" t="s">
        <v>1463</v>
      </c>
      <c r="D249" s="675"/>
      <c r="E249" s="674"/>
      <c r="F249" s="663">
        <f t="shared" si="24"/>
        <v>0</v>
      </c>
      <c r="G249" s="684"/>
      <c r="H249" s="667">
        <f t="shared" si="23"/>
        <v>0</v>
      </c>
      <c r="I249" s="675"/>
      <c r="J249" s="667">
        <f t="shared" si="20"/>
        <v>0</v>
      </c>
      <c r="K249" s="667"/>
      <c r="L249" s="667"/>
      <c r="M249" s="667" t="e">
        <f>G249+#REF!+#REF!+#REF!+I249+#REF!+#REF!+#REF!+#REF!+#REF!+#REF!+K249+#REF!+#REF!+#REF!</f>
        <v>#REF!</v>
      </c>
      <c r="N249" s="667" t="e">
        <f t="shared" si="21"/>
        <v>#REF!</v>
      </c>
      <c r="O249" s="665" t="e">
        <f>#REF!+M249</f>
        <v>#REF!</v>
      </c>
      <c r="P249" s="666" t="e">
        <f t="shared" si="22"/>
        <v>#REF!</v>
      </c>
      <c r="Q249" s="672"/>
      <c r="R249" s="668"/>
      <c r="S249" s="676"/>
      <c r="T249" s="676"/>
    </row>
    <row r="250" spans="1:20" s="677" customFormat="1" ht="25.5" hidden="1" customHeight="1">
      <c r="A250" s="662"/>
      <c r="B250" s="666">
        <f t="shared" si="19"/>
        <v>0</v>
      </c>
      <c r="C250" s="663" t="s">
        <v>1405</v>
      </c>
      <c r="D250" s="675">
        <f>ROUND([14]Data!K590,2)</f>
        <v>529.37</v>
      </c>
      <c r="E250" s="674" t="s">
        <v>264</v>
      </c>
      <c r="F250" s="663">
        <f t="shared" si="24"/>
        <v>0</v>
      </c>
      <c r="G250" s="684"/>
      <c r="H250" s="667">
        <f t="shared" si="23"/>
        <v>0</v>
      </c>
      <c r="I250" s="675"/>
      <c r="J250" s="667">
        <f t="shared" si="20"/>
        <v>0</v>
      </c>
      <c r="K250" s="667"/>
      <c r="L250" s="667"/>
      <c r="M250" s="667" t="e">
        <f>G250+#REF!+#REF!+#REF!+I250+#REF!+#REF!+#REF!+#REF!+#REF!+#REF!+K250+#REF!+#REF!+#REF!</f>
        <v>#REF!</v>
      </c>
      <c r="N250" s="667" t="e">
        <f t="shared" si="21"/>
        <v>#REF!</v>
      </c>
      <c r="O250" s="665" t="e">
        <f>#REF!+M250</f>
        <v>#REF!</v>
      </c>
      <c r="P250" s="666" t="e">
        <f t="shared" si="22"/>
        <v>#REF!</v>
      </c>
      <c r="Q250" s="672"/>
      <c r="R250" s="668"/>
      <c r="S250" s="676"/>
      <c r="T250" s="676"/>
    </row>
    <row r="251" spans="1:20" s="677" customFormat="1" ht="25.5" hidden="1" customHeight="1">
      <c r="A251" s="662"/>
      <c r="B251" s="666">
        <f t="shared" si="19"/>
        <v>0</v>
      </c>
      <c r="C251" s="663" t="s">
        <v>1406</v>
      </c>
      <c r="D251" s="675">
        <f>ROUND([14]Data!K591,2)</f>
        <v>533.44000000000005</v>
      </c>
      <c r="E251" s="674" t="s">
        <v>264</v>
      </c>
      <c r="F251" s="663">
        <f t="shared" si="24"/>
        <v>0</v>
      </c>
      <c r="G251" s="684"/>
      <c r="H251" s="667">
        <f t="shared" si="23"/>
        <v>0</v>
      </c>
      <c r="I251" s="675"/>
      <c r="J251" s="667">
        <f t="shared" si="20"/>
        <v>0</v>
      </c>
      <c r="K251" s="667"/>
      <c r="L251" s="667"/>
      <c r="M251" s="667" t="e">
        <f>G251+#REF!+#REF!+#REF!+I251+#REF!+#REF!+#REF!+#REF!+#REF!+#REF!+K251+#REF!+#REF!+#REF!</f>
        <v>#REF!</v>
      </c>
      <c r="N251" s="667" t="e">
        <f t="shared" si="21"/>
        <v>#REF!</v>
      </c>
      <c r="O251" s="665" t="e">
        <f>#REF!+M251</f>
        <v>#REF!</v>
      </c>
      <c r="P251" s="666" t="e">
        <f t="shared" si="22"/>
        <v>#REF!</v>
      </c>
      <c r="Q251" s="672"/>
      <c r="R251" s="668"/>
      <c r="S251" s="676"/>
      <c r="T251" s="676"/>
    </row>
    <row r="252" spans="1:20" s="677" customFormat="1" ht="25.5" hidden="1" customHeight="1">
      <c r="A252" s="662"/>
      <c r="B252" s="666">
        <f t="shared" si="19"/>
        <v>0</v>
      </c>
      <c r="C252" s="663" t="s">
        <v>1407</v>
      </c>
      <c r="D252" s="675">
        <f>ROUND([14]Data!K592,2)</f>
        <v>537.51</v>
      </c>
      <c r="E252" s="674" t="s">
        <v>264</v>
      </c>
      <c r="F252" s="663">
        <f t="shared" si="24"/>
        <v>0</v>
      </c>
      <c r="G252" s="684"/>
      <c r="H252" s="667">
        <f t="shared" si="23"/>
        <v>0</v>
      </c>
      <c r="I252" s="675"/>
      <c r="J252" s="667">
        <f t="shared" si="20"/>
        <v>0</v>
      </c>
      <c r="K252" s="667"/>
      <c r="L252" s="667"/>
      <c r="M252" s="667" t="e">
        <f>G252+#REF!+#REF!+#REF!+I252+#REF!+#REF!+#REF!+#REF!+#REF!+#REF!+K252+#REF!+#REF!+#REF!</f>
        <v>#REF!</v>
      </c>
      <c r="N252" s="667" t="e">
        <f t="shared" si="21"/>
        <v>#REF!</v>
      </c>
      <c r="O252" s="665" t="e">
        <f>#REF!+M252</f>
        <v>#REF!</v>
      </c>
      <c r="P252" s="666" t="e">
        <f t="shared" si="22"/>
        <v>#REF!</v>
      </c>
      <c r="Q252" s="672"/>
      <c r="R252" s="668"/>
      <c r="S252" s="676"/>
      <c r="T252" s="676"/>
    </row>
    <row r="253" spans="1:20" s="677" customFormat="1" ht="25.5" hidden="1" customHeight="1">
      <c r="A253" s="662"/>
      <c r="B253" s="666">
        <f t="shared" si="19"/>
        <v>0</v>
      </c>
      <c r="C253" s="663" t="s">
        <v>1408</v>
      </c>
      <c r="D253" s="675">
        <f>ROUND([14]Data!K593,2)</f>
        <v>541.58000000000004</v>
      </c>
      <c r="E253" s="674" t="s">
        <v>264</v>
      </c>
      <c r="F253" s="663">
        <f t="shared" si="24"/>
        <v>0</v>
      </c>
      <c r="G253" s="684"/>
      <c r="H253" s="667">
        <f t="shared" si="23"/>
        <v>0</v>
      </c>
      <c r="I253" s="675"/>
      <c r="J253" s="667">
        <f t="shared" si="20"/>
        <v>0</v>
      </c>
      <c r="K253" s="667"/>
      <c r="L253" s="667"/>
      <c r="M253" s="667" t="e">
        <f>G253+#REF!+#REF!+#REF!+I253+#REF!+#REF!+#REF!+#REF!+#REF!+#REF!+K253+#REF!+#REF!+#REF!</f>
        <v>#REF!</v>
      </c>
      <c r="N253" s="667" t="e">
        <f t="shared" si="21"/>
        <v>#REF!</v>
      </c>
      <c r="O253" s="665" t="e">
        <f>#REF!+M253</f>
        <v>#REF!</v>
      </c>
      <c r="P253" s="666" t="e">
        <f t="shared" si="22"/>
        <v>#REF!</v>
      </c>
      <c r="Q253" s="672"/>
      <c r="R253" s="668"/>
      <c r="S253" s="676"/>
      <c r="T253" s="676"/>
    </row>
    <row r="254" spans="1:20" s="677" customFormat="1" ht="25.5" hidden="1" customHeight="1">
      <c r="A254" s="688"/>
      <c r="B254" s="666">
        <f t="shared" si="19"/>
        <v>0</v>
      </c>
      <c r="C254" s="663" t="s">
        <v>1409</v>
      </c>
      <c r="D254" s="675">
        <f>ROUND([14]Data!K594,2)</f>
        <v>545.65</v>
      </c>
      <c r="E254" s="674" t="s">
        <v>264</v>
      </c>
      <c r="F254" s="663">
        <f t="shared" si="24"/>
        <v>0</v>
      </c>
      <c r="G254" s="684"/>
      <c r="H254" s="667">
        <f t="shared" si="23"/>
        <v>0</v>
      </c>
      <c r="I254" s="675"/>
      <c r="J254" s="667">
        <f t="shared" si="20"/>
        <v>0</v>
      </c>
      <c r="K254" s="667"/>
      <c r="L254" s="667"/>
      <c r="M254" s="667" t="e">
        <f>G254+#REF!+#REF!+#REF!+I254+#REF!+#REF!+#REF!+#REF!+#REF!+#REF!+K254+#REF!+#REF!+#REF!</f>
        <v>#REF!</v>
      </c>
      <c r="N254" s="667" t="e">
        <f t="shared" si="21"/>
        <v>#REF!</v>
      </c>
      <c r="O254" s="665" t="e">
        <f>#REF!+M254</f>
        <v>#REF!</v>
      </c>
      <c r="P254" s="666" t="e">
        <f t="shared" si="22"/>
        <v>#REF!</v>
      </c>
      <c r="Q254" s="672"/>
      <c r="R254" s="668"/>
      <c r="S254" s="676"/>
      <c r="T254" s="676"/>
    </row>
    <row r="255" spans="1:20" s="677" customFormat="1" ht="25.5" hidden="1" customHeight="1">
      <c r="A255" s="662">
        <v>15.2</v>
      </c>
      <c r="B255" s="666">
        <f t="shared" si="19"/>
        <v>0</v>
      </c>
      <c r="C255" s="685" t="s">
        <v>1464</v>
      </c>
      <c r="D255" s="675"/>
      <c r="E255" s="674"/>
      <c r="F255" s="663">
        <f t="shared" si="24"/>
        <v>0</v>
      </c>
      <c r="G255" s="684"/>
      <c r="H255" s="667">
        <f t="shared" si="23"/>
        <v>0</v>
      </c>
      <c r="I255" s="675"/>
      <c r="J255" s="667">
        <f t="shared" si="20"/>
        <v>0</v>
      </c>
      <c r="K255" s="667"/>
      <c r="L255" s="667"/>
      <c r="M255" s="667" t="e">
        <f>G255+#REF!+#REF!+#REF!+I255+#REF!+#REF!+#REF!+#REF!+#REF!+#REF!+K255+#REF!+#REF!+#REF!</f>
        <v>#REF!</v>
      </c>
      <c r="N255" s="667" t="e">
        <f t="shared" si="21"/>
        <v>#REF!</v>
      </c>
      <c r="O255" s="665" t="e">
        <f>#REF!+M255</f>
        <v>#REF!</v>
      </c>
      <c r="P255" s="666" t="e">
        <f t="shared" si="22"/>
        <v>#REF!</v>
      </c>
      <c r="Q255" s="672"/>
      <c r="R255" s="668"/>
      <c r="S255" s="676"/>
      <c r="T255" s="676"/>
    </row>
    <row r="256" spans="1:20" s="677" customFormat="1" ht="25.5" hidden="1" customHeight="1">
      <c r="A256" s="666"/>
      <c r="B256" s="666">
        <f t="shared" si="19"/>
        <v>0</v>
      </c>
      <c r="C256" s="663" t="s">
        <v>1405</v>
      </c>
      <c r="D256" s="675">
        <f>ROUND([14]Data!K612,2)</f>
        <v>1847.38</v>
      </c>
      <c r="E256" s="674" t="s">
        <v>264</v>
      </c>
      <c r="F256" s="663">
        <f t="shared" si="24"/>
        <v>0</v>
      </c>
      <c r="G256" s="684"/>
      <c r="H256" s="667">
        <f t="shared" si="23"/>
        <v>0</v>
      </c>
      <c r="I256" s="675"/>
      <c r="J256" s="667">
        <f t="shared" si="20"/>
        <v>0</v>
      </c>
      <c r="K256" s="667"/>
      <c r="L256" s="667"/>
      <c r="M256" s="667" t="e">
        <f>G256+#REF!+#REF!+#REF!+I256+#REF!+#REF!+#REF!+#REF!+#REF!+#REF!+K256+#REF!+#REF!+#REF!</f>
        <v>#REF!</v>
      </c>
      <c r="N256" s="667" t="e">
        <f t="shared" si="21"/>
        <v>#REF!</v>
      </c>
      <c r="O256" s="665" t="e">
        <f>#REF!+M256</f>
        <v>#REF!</v>
      </c>
      <c r="P256" s="666" t="e">
        <f t="shared" si="22"/>
        <v>#REF!</v>
      </c>
      <c r="Q256" s="672"/>
      <c r="R256" s="668"/>
      <c r="S256" s="676"/>
      <c r="T256" s="676"/>
    </row>
    <row r="257" spans="1:20" s="677" customFormat="1" ht="25.5" hidden="1" customHeight="1">
      <c r="A257" s="666"/>
      <c r="B257" s="666">
        <f t="shared" si="19"/>
        <v>0</v>
      </c>
      <c r="C257" s="663" t="s">
        <v>1406</v>
      </c>
      <c r="D257" s="675">
        <f>ROUND([14]Data!K613,2)</f>
        <v>1855.52</v>
      </c>
      <c r="E257" s="674" t="s">
        <v>264</v>
      </c>
      <c r="F257" s="663">
        <f t="shared" si="24"/>
        <v>0</v>
      </c>
      <c r="G257" s="684"/>
      <c r="H257" s="667">
        <f t="shared" si="23"/>
        <v>0</v>
      </c>
      <c r="I257" s="675"/>
      <c r="J257" s="667">
        <f t="shared" si="20"/>
        <v>0</v>
      </c>
      <c r="K257" s="667"/>
      <c r="L257" s="667"/>
      <c r="M257" s="667" t="e">
        <f>G257+#REF!+#REF!+#REF!+I257+#REF!+#REF!+#REF!+#REF!+#REF!+#REF!+K257+#REF!+#REF!+#REF!</f>
        <v>#REF!</v>
      </c>
      <c r="N257" s="667" t="e">
        <f t="shared" si="21"/>
        <v>#REF!</v>
      </c>
      <c r="O257" s="665" t="e">
        <f>#REF!+M257</f>
        <v>#REF!</v>
      </c>
      <c r="P257" s="666" t="e">
        <f t="shared" si="22"/>
        <v>#REF!</v>
      </c>
      <c r="Q257" s="672"/>
      <c r="R257" s="668"/>
      <c r="S257" s="676"/>
      <c r="T257" s="676"/>
    </row>
    <row r="258" spans="1:20" s="677" customFormat="1" ht="25.5" hidden="1" customHeight="1">
      <c r="A258" s="666"/>
      <c r="B258" s="666">
        <f t="shared" si="19"/>
        <v>0</v>
      </c>
      <c r="C258" s="663" t="s">
        <v>1407</v>
      </c>
      <c r="D258" s="675">
        <f>ROUND([14]Data!K614,2)</f>
        <v>1863.66</v>
      </c>
      <c r="E258" s="674" t="s">
        <v>264</v>
      </c>
      <c r="F258" s="663">
        <f t="shared" si="24"/>
        <v>0</v>
      </c>
      <c r="G258" s="684"/>
      <c r="H258" s="667">
        <f t="shared" si="23"/>
        <v>0</v>
      </c>
      <c r="I258" s="675"/>
      <c r="J258" s="667">
        <f t="shared" si="20"/>
        <v>0</v>
      </c>
      <c r="K258" s="667"/>
      <c r="L258" s="667"/>
      <c r="M258" s="667" t="e">
        <f>G258+#REF!+#REF!+#REF!+I258+#REF!+#REF!+#REF!+#REF!+#REF!+#REF!+K258+#REF!+#REF!+#REF!</f>
        <v>#REF!</v>
      </c>
      <c r="N258" s="667" t="e">
        <f t="shared" si="21"/>
        <v>#REF!</v>
      </c>
      <c r="O258" s="665" t="e">
        <f>#REF!+M258</f>
        <v>#REF!</v>
      </c>
      <c r="P258" s="666" t="e">
        <f t="shared" si="22"/>
        <v>#REF!</v>
      </c>
      <c r="Q258" s="672"/>
      <c r="R258" s="668"/>
      <c r="S258" s="676"/>
      <c r="T258" s="676"/>
    </row>
    <row r="259" spans="1:20" s="677" customFormat="1" ht="25.5" hidden="1" customHeight="1">
      <c r="A259" s="666"/>
      <c r="B259" s="666">
        <f t="shared" si="19"/>
        <v>0</v>
      </c>
      <c r="C259" s="663" t="s">
        <v>1408</v>
      </c>
      <c r="D259" s="675">
        <f>ROUND([14]Data!K615,2)</f>
        <v>1871.8</v>
      </c>
      <c r="E259" s="674" t="s">
        <v>264</v>
      </c>
      <c r="F259" s="663">
        <f t="shared" si="24"/>
        <v>0</v>
      </c>
      <c r="G259" s="684"/>
      <c r="H259" s="667">
        <f t="shared" si="23"/>
        <v>0</v>
      </c>
      <c r="I259" s="675"/>
      <c r="J259" s="667">
        <f t="shared" si="20"/>
        <v>0</v>
      </c>
      <c r="K259" s="667"/>
      <c r="L259" s="667"/>
      <c r="M259" s="667" t="e">
        <f>G259+#REF!+#REF!+#REF!+I259+#REF!+#REF!+#REF!+#REF!+#REF!+#REF!+K259+#REF!+#REF!+#REF!</f>
        <v>#REF!</v>
      </c>
      <c r="N259" s="667" t="e">
        <f t="shared" si="21"/>
        <v>#REF!</v>
      </c>
      <c r="O259" s="665" t="e">
        <f>#REF!+M259</f>
        <v>#REF!</v>
      </c>
      <c r="P259" s="666" t="e">
        <f t="shared" si="22"/>
        <v>#REF!</v>
      </c>
      <c r="Q259" s="672"/>
      <c r="R259" s="668"/>
      <c r="S259" s="676"/>
      <c r="T259" s="676"/>
    </row>
    <row r="260" spans="1:20" s="677" customFormat="1" ht="25.5" hidden="1" customHeight="1">
      <c r="A260" s="690"/>
      <c r="B260" s="666">
        <f t="shared" ref="B260:B323" si="25">G260</f>
        <v>0</v>
      </c>
      <c r="C260" s="663" t="s">
        <v>1409</v>
      </c>
      <c r="D260" s="675">
        <f>ROUND([14]Data!K616,2)</f>
        <v>1879.94</v>
      </c>
      <c r="E260" s="674" t="s">
        <v>264</v>
      </c>
      <c r="F260" s="663">
        <f t="shared" si="24"/>
        <v>0</v>
      </c>
      <c r="G260" s="684"/>
      <c r="H260" s="667">
        <f t="shared" si="23"/>
        <v>0</v>
      </c>
      <c r="I260" s="675"/>
      <c r="J260" s="667">
        <f t="shared" si="20"/>
        <v>0</v>
      </c>
      <c r="K260" s="667"/>
      <c r="L260" s="667"/>
      <c r="M260" s="667" t="e">
        <f>G260+#REF!+#REF!+#REF!+I260+#REF!+#REF!+#REF!+#REF!+#REF!+#REF!+K260+#REF!+#REF!+#REF!</f>
        <v>#REF!</v>
      </c>
      <c r="N260" s="667" t="e">
        <f t="shared" si="21"/>
        <v>#REF!</v>
      </c>
      <c r="O260" s="665" t="e">
        <f>#REF!+M260</f>
        <v>#REF!</v>
      </c>
      <c r="P260" s="666" t="e">
        <f t="shared" si="22"/>
        <v>#REF!</v>
      </c>
      <c r="Q260" s="672"/>
      <c r="R260" s="668"/>
      <c r="S260" s="676"/>
      <c r="T260" s="676"/>
    </row>
    <row r="261" spans="1:20" s="682" customFormat="1" ht="50.25" hidden="1" customHeight="1">
      <c r="A261" s="662">
        <v>16.100000000000001</v>
      </c>
      <c r="B261" s="666">
        <f t="shared" si="25"/>
        <v>0</v>
      </c>
      <c r="C261" s="663" t="s">
        <v>1465</v>
      </c>
      <c r="D261" s="675"/>
      <c r="E261" s="674"/>
      <c r="F261" s="663">
        <f t="shared" si="24"/>
        <v>0</v>
      </c>
      <c r="G261" s="675"/>
      <c r="H261" s="667">
        <f t="shared" si="23"/>
        <v>0</v>
      </c>
      <c r="I261" s="675"/>
      <c r="J261" s="667">
        <f t="shared" si="20"/>
        <v>0</v>
      </c>
      <c r="K261" s="667"/>
      <c r="L261" s="667"/>
      <c r="M261" s="667" t="e">
        <f>G261+#REF!+#REF!+#REF!+I261+#REF!+#REF!+#REF!+#REF!+#REF!+#REF!+K261+#REF!+#REF!+#REF!</f>
        <v>#REF!</v>
      </c>
      <c r="N261" s="667" t="e">
        <f t="shared" si="21"/>
        <v>#REF!</v>
      </c>
      <c r="O261" s="665" t="e">
        <f>#REF!+M261</f>
        <v>#REF!</v>
      </c>
      <c r="P261" s="666" t="e">
        <f t="shared" si="22"/>
        <v>#REF!</v>
      </c>
      <c r="Q261" s="672"/>
      <c r="R261" s="668"/>
      <c r="S261" s="680"/>
      <c r="T261" s="681"/>
    </row>
    <row r="262" spans="1:20" s="682" customFormat="1" ht="50.25" hidden="1" customHeight="1">
      <c r="A262" s="662"/>
      <c r="B262" s="666">
        <f t="shared" si="25"/>
        <v>0</v>
      </c>
      <c r="C262" s="663" t="s">
        <v>1420</v>
      </c>
      <c r="D262" s="675">
        <f>[14]Data!K659</f>
        <v>2579.7800000000002</v>
      </c>
      <c r="E262" s="674" t="s">
        <v>264</v>
      </c>
      <c r="F262" s="663">
        <f t="shared" si="24"/>
        <v>0</v>
      </c>
      <c r="G262" s="684"/>
      <c r="H262" s="667">
        <f t="shared" si="23"/>
        <v>0</v>
      </c>
      <c r="I262" s="675"/>
      <c r="J262" s="667">
        <f t="shared" ref="J262:J325" si="26">I262*D262</f>
        <v>0</v>
      </c>
      <c r="K262" s="667"/>
      <c r="L262" s="667"/>
      <c r="M262" s="667" t="e">
        <f>G262+#REF!+#REF!+#REF!+I262+#REF!+#REF!+#REF!+#REF!+#REF!+#REF!+K262+#REF!+#REF!+#REF!</f>
        <v>#REF!</v>
      </c>
      <c r="N262" s="667" t="e">
        <f t="shared" ref="N262:N325" si="27">M262*D262</f>
        <v>#REF!</v>
      </c>
      <c r="O262" s="665" t="e">
        <f>#REF!+M262</f>
        <v>#REF!</v>
      </c>
      <c r="P262" s="666" t="e">
        <f t="shared" ref="P262:P325" si="28">O262*D262</f>
        <v>#REF!</v>
      </c>
      <c r="Q262" s="672"/>
      <c r="R262" s="668"/>
      <c r="S262" s="680"/>
      <c r="T262" s="681"/>
    </row>
    <row r="263" spans="1:20" s="682" customFormat="1" ht="50.25" hidden="1" customHeight="1">
      <c r="A263" s="662"/>
      <c r="B263" s="666">
        <f t="shared" si="25"/>
        <v>0</v>
      </c>
      <c r="C263" s="663" t="s">
        <v>1406</v>
      </c>
      <c r="D263" s="675">
        <f>ROUND([14]Data!K660,2)</f>
        <v>2587.44</v>
      </c>
      <c r="E263" s="674" t="s">
        <v>264</v>
      </c>
      <c r="F263" s="663">
        <f t="shared" si="24"/>
        <v>0</v>
      </c>
      <c r="G263" s="684"/>
      <c r="H263" s="667">
        <f t="shared" si="23"/>
        <v>0</v>
      </c>
      <c r="I263" s="675"/>
      <c r="J263" s="667">
        <f t="shared" si="26"/>
        <v>0</v>
      </c>
      <c r="K263" s="667"/>
      <c r="L263" s="667"/>
      <c r="M263" s="667" t="e">
        <f>G263+#REF!+#REF!+#REF!+I263+#REF!+#REF!+#REF!+#REF!+#REF!+#REF!+K263+#REF!+#REF!+#REF!</f>
        <v>#REF!</v>
      </c>
      <c r="N263" s="667" t="e">
        <f t="shared" si="27"/>
        <v>#REF!</v>
      </c>
      <c r="O263" s="665" t="e">
        <f>#REF!+M263</f>
        <v>#REF!</v>
      </c>
      <c r="P263" s="666" t="e">
        <f t="shared" si="28"/>
        <v>#REF!</v>
      </c>
      <c r="Q263" s="672"/>
      <c r="R263" s="668"/>
      <c r="S263" s="680"/>
      <c r="T263" s="681"/>
    </row>
    <row r="264" spans="1:20" s="682" customFormat="1" ht="50.25" hidden="1" customHeight="1">
      <c r="A264" s="662"/>
      <c r="B264" s="666">
        <f t="shared" si="25"/>
        <v>0</v>
      </c>
      <c r="C264" s="663" t="s">
        <v>1407</v>
      </c>
      <c r="D264" s="675">
        <f>ROUND([14]Data!K661,2)</f>
        <v>2595.1</v>
      </c>
      <c r="E264" s="674" t="s">
        <v>264</v>
      </c>
      <c r="F264" s="663">
        <f t="shared" si="24"/>
        <v>0</v>
      </c>
      <c r="G264" s="684"/>
      <c r="H264" s="667">
        <f t="shared" si="23"/>
        <v>0</v>
      </c>
      <c r="I264" s="675"/>
      <c r="J264" s="667">
        <f t="shared" si="26"/>
        <v>0</v>
      </c>
      <c r="K264" s="667"/>
      <c r="L264" s="667"/>
      <c r="M264" s="667" t="e">
        <f>G264+#REF!+#REF!+#REF!+I264+#REF!+#REF!+#REF!+#REF!+#REF!+#REF!+K264+#REF!+#REF!+#REF!</f>
        <v>#REF!</v>
      </c>
      <c r="N264" s="667" t="e">
        <f t="shared" si="27"/>
        <v>#REF!</v>
      </c>
      <c r="O264" s="665" t="e">
        <f>#REF!+M264</f>
        <v>#REF!</v>
      </c>
      <c r="P264" s="666" t="e">
        <f t="shared" si="28"/>
        <v>#REF!</v>
      </c>
      <c r="Q264" s="672"/>
      <c r="R264" s="668"/>
      <c r="S264" s="680"/>
      <c r="T264" s="681"/>
    </row>
    <row r="265" spans="1:20" s="682" customFormat="1" ht="50.25" hidden="1" customHeight="1">
      <c r="A265" s="662"/>
      <c r="B265" s="666">
        <f t="shared" si="25"/>
        <v>0</v>
      </c>
      <c r="C265" s="663" t="s">
        <v>1408</v>
      </c>
      <c r="D265" s="675">
        <f>ROUND([14]Data!K662,2)</f>
        <v>2602.7600000000002</v>
      </c>
      <c r="E265" s="674" t="s">
        <v>264</v>
      </c>
      <c r="F265" s="663">
        <f t="shared" si="24"/>
        <v>0</v>
      </c>
      <c r="G265" s="684"/>
      <c r="H265" s="667">
        <f t="shared" si="23"/>
        <v>0</v>
      </c>
      <c r="I265" s="675"/>
      <c r="J265" s="667">
        <f t="shared" si="26"/>
        <v>0</v>
      </c>
      <c r="K265" s="667"/>
      <c r="L265" s="667"/>
      <c r="M265" s="667" t="e">
        <f>G265+#REF!+#REF!+#REF!+I265+#REF!+#REF!+#REF!+#REF!+#REF!+#REF!+K265+#REF!+#REF!+#REF!</f>
        <v>#REF!</v>
      </c>
      <c r="N265" s="667" t="e">
        <f t="shared" si="27"/>
        <v>#REF!</v>
      </c>
      <c r="O265" s="665" t="e">
        <f>#REF!+M265</f>
        <v>#REF!</v>
      </c>
      <c r="P265" s="666" t="e">
        <f t="shared" si="28"/>
        <v>#REF!</v>
      </c>
      <c r="Q265" s="672"/>
      <c r="R265" s="668"/>
      <c r="S265" s="680"/>
      <c r="T265" s="681"/>
    </row>
    <row r="266" spans="1:20" s="682" customFormat="1" ht="50.25" hidden="1" customHeight="1">
      <c r="A266" s="687"/>
      <c r="B266" s="666">
        <f t="shared" si="25"/>
        <v>0</v>
      </c>
      <c r="C266" s="663" t="s">
        <v>1409</v>
      </c>
      <c r="D266" s="675">
        <f>ROUND([14]Data!K663,2)</f>
        <v>2610.42</v>
      </c>
      <c r="E266" s="674" t="s">
        <v>264</v>
      </c>
      <c r="F266" s="663">
        <f t="shared" si="24"/>
        <v>0</v>
      </c>
      <c r="G266" s="697"/>
      <c r="H266" s="667">
        <f t="shared" si="23"/>
        <v>0</v>
      </c>
      <c r="I266" s="675"/>
      <c r="J266" s="667">
        <f t="shared" si="26"/>
        <v>0</v>
      </c>
      <c r="K266" s="667"/>
      <c r="L266" s="667"/>
      <c r="M266" s="667" t="e">
        <f>G266+#REF!+#REF!+#REF!+I266+#REF!+#REF!+#REF!+#REF!+#REF!+#REF!+K266+#REF!+#REF!+#REF!</f>
        <v>#REF!</v>
      </c>
      <c r="N266" s="667" t="e">
        <f t="shared" si="27"/>
        <v>#REF!</v>
      </c>
      <c r="O266" s="665" t="e">
        <f>#REF!+M266</f>
        <v>#REF!</v>
      </c>
      <c r="P266" s="666" t="e">
        <f t="shared" si="28"/>
        <v>#REF!</v>
      </c>
      <c r="Q266" s="672"/>
      <c r="R266" s="668"/>
      <c r="S266" s="680"/>
      <c r="T266" s="681"/>
    </row>
    <row r="267" spans="1:20" s="677" customFormat="1" ht="46.5" hidden="1" customHeight="1">
      <c r="A267" s="662">
        <v>16.2</v>
      </c>
      <c r="B267" s="666">
        <f t="shared" si="25"/>
        <v>0</v>
      </c>
      <c r="C267" s="663" t="s">
        <v>1466</v>
      </c>
      <c r="D267" s="675"/>
      <c r="E267" s="674"/>
      <c r="F267" s="663">
        <f t="shared" si="24"/>
        <v>0</v>
      </c>
      <c r="G267" s="684"/>
      <c r="H267" s="667">
        <f t="shared" si="23"/>
        <v>0</v>
      </c>
      <c r="I267" s="675"/>
      <c r="J267" s="667">
        <f t="shared" si="26"/>
        <v>0</v>
      </c>
      <c r="K267" s="667"/>
      <c r="L267" s="667"/>
      <c r="M267" s="667" t="e">
        <f>G267+#REF!+#REF!+#REF!+I267+#REF!+#REF!+#REF!+#REF!+#REF!+#REF!+K267+#REF!+#REF!+#REF!</f>
        <v>#REF!</v>
      </c>
      <c r="N267" s="667" t="e">
        <f t="shared" si="27"/>
        <v>#REF!</v>
      </c>
      <c r="O267" s="665" t="e">
        <f>#REF!+M267</f>
        <v>#REF!</v>
      </c>
      <c r="P267" s="666" t="e">
        <f t="shared" si="28"/>
        <v>#REF!</v>
      </c>
      <c r="Q267" s="672"/>
      <c r="R267" s="668"/>
      <c r="S267" s="676"/>
      <c r="T267" s="676"/>
    </row>
    <row r="268" spans="1:20" s="677" customFormat="1" ht="25.5" hidden="1" customHeight="1">
      <c r="A268" s="666"/>
      <c r="B268" s="666">
        <f t="shared" si="25"/>
        <v>0</v>
      </c>
      <c r="C268" s="663" t="s">
        <v>1420</v>
      </c>
      <c r="D268" s="675">
        <f>ROUND([14]Data!K686,2)</f>
        <v>483.4</v>
      </c>
      <c r="E268" s="674" t="s">
        <v>264</v>
      </c>
      <c r="F268" s="663">
        <f t="shared" si="24"/>
        <v>0</v>
      </c>
      <c r="G268" s="684"/>
      <c r="H268" s="667">
        <f t="shared" si="23"/>
        <v>0</v>
      </c>
      <c r="I268" s="675"/>
      <c r="J268" s="667">
        <f t="shared" si="26"/>
        <v>0</v>
      </c>
      <c r="K268" s="667"/>
      <c r="L268" s="667"/>
      <c r="M268" s="667" t="e">
        <f>G268+#REF!+#REF!+#REF!+I268+#REF!+#REF!+#REF!+#REF!+#REF!+#REF!+K268+#REF!+#REF!+#REF!</f>
        <v>#REF!</v>
      </c>
      <c r="N268" s="667" t="e">
        <f t="shared" si="27"/>
        <v>#REF!</v>
      </c>
      <c r="O268" s="665" t="e">
        <f>#REF!+M268</f>
        <v>#REF!</v>
      </c>
      <c r="P268" s="666" t="e">
        <f t="shared" si="28"/>
        <v>#REF!</v>
      </c>
      <c r="Q268" s="672"/>
      <c r="R268" s="668"/>
      <c r="S268" s="676"/>
      <c r="T268" s="676"/>
    </row>
    <row r="269" spans="1:20" s="677" customFormat="1" ht="25.5" hidden="1" customHeight="1">
      <c r="A269" s="666"/>
      <c r="B269" s="666">
        <f t="shared" si="25"/>
        <v>0</v>
      </c>
      <c r="C269" s="663" t="s">
        <v>1421</v>
      </c>
      <c r="D269" s="675">
        <f>ROUND([14]Data!K687,2)</f>
        <v>490.26</v>
      </c>
      <c r="E269" s="674" t="s">
        <v>264</v>
      </c>
      <c r="F269" s="663">
        <f t="shared" si="24"/>
        <v>0</v>
      </c>
      <c r="G269" s="684"/>
      <c r="H269" s="667">
        <f t="shared" si="23"/>
        <v>0</v>
      </c>
      <c r="I269" s="675"/>
      <c r="J269" s="667">
        <f t="shared" si="26"/>
        <v>0</v>
      </c>
      <c r="K269" s="667"/>
      <c r="L269" s="667"/>
      <c r="M269" s="667" t="e">
        <f>G269+#REF!+#REF!+#REF!+I269+#REF!+#REF!+#REF!+#REF!+#REF!+#REF!+K269+#REF!+#REF!+#REF!</f>
        <v>#REF!</v>
      </c>
      <c r="N269" s="667" t="e">
        <f t="shared" si="27"/>
        <v>#REF!</v>
      </c>
      <c r="O269" s="665" t="e">
        <f>#REF!+M269</f>
        <v>#REF!</v>
      </c>
      <c r="P269" s="666" t="e">
        <f t="shared" si="28"/>
        <v>#REF!</v>
      </c>
      <c r="Q269" s="672"/>
      <c r="R269" s="668"/>
      <c r="S269" s="676"/>
      <c r="T269" s="676"/>
    </row>
    <row r="270" spans="1:20" s="677" customFormat="1" ht="25.5" hidden="1" customHeight="1">
      <c r="A270" s="666"/>
      <c r="B270" s="666">
        <f t="shared" si="25"/>
        <v>0</v>
      </c>
      <c r="C270" s="663" t="s">
        <v>1422</v>
      </c>
      <c r="D270" s="675">
        <f>ROUND([14]Data!K688,2)</f>
        <v>497.12</v>
      </c>
      <c r="E270" s="674" t="s">
        <v>264</v>
      </c>
      <c r="F270" s="663">
        <f t="shared" si="24"/>
        <v>0</v>
      </c>
      <c r="G270" s="684"/>
      <c r="H270" s="667">
        <f t="shared" si="23"/>
        <v>0</v>
      </c>
      <c r="I270" s="675"/>
      <c r="J270" s="667">
        <f t="shared" si="26"/>
        <v>0</v>
      </c>
      <c r="K270" s="667"/>
      <c r="L270" s="667"/>
      <c r="M270" s="667" t="e">
        <f>G270+#REF!+#REF!+#REF!+I270+#REF!+#REF!+#REF!+#REF!+#REF!+#REF!+K270+#REF!+#REF!+#REF!</f>
        <v>#REF!</v>
      </c>
      <c r="N270" s="667" t="e">
        <f t="shared" si="27"/>
        <v>#REF!</v>
      </c>
      <c r="O270" s="665" t="e">
        <f>#REF!+M270</f>
        <v>#REF!</v>
      </c>
      <c r="P270" s="666" t="e">
        <f t="shared" si="28"/>
        <v>#REF!</v>
      </c>
      <c r="Q270" s="672"/>
      <c r="R270" s="668"/>
      <c r="S270" s="676"/>
      <c r="T270" s="676"/>
    </row>
    <row r="271" spans="1:20" s="677" customFormat="1" ht="25.5" hidden="1" customHeight="1">
      <c r="A271" s="666"/>
      <c r="B271" s="666">
        <f t="shared" si="25"/>
        <v>0</v>
      </c>
      <c r="C271" s="663" t="s">
        <v>1423</v>
      </c>
      <c r="D271" s="675">
        <f>ROUND([14]Data!K689,2)</f>
        <v>503.98</v>
      </c>
      <c r="E271" s="674" t="s">
        <v>264</v>
      </c>
      <c r="F271" s="663">
        <f t="shared" si="24"/>
        <v>0</v>
      </c>
      <c r="G271" s="684"/>
      <c r="H271" s="667">
        <f t="shared" si="23"/>
        <v>0</v>
      </c>
      <c r="I271" s="675"/>
      <c r="J271" s="667">
        <f t="shared" si="26"/>
        <v>0</v>
      </c>
      <c r="K271" s="667"/>
      <c r="L271" s="667"/>
      <c r="M271" s="667" t="e">
        <f>G271+#REF!+#REF!+#REF!+I271+#REF!+#REF!+#REF!+#REF!+#REF!+#REF!+K271+#REF!+#REF!+#REF!</f>
        <v>#REF!</v>
      </c>
      <c r="N271" s="667" t="e">
        <f t="shared" si="27"/>
        <v>#REF!</v>
      </c>
      <c r="O271" s="665" t="e">
        <f>#REF!+M271</f>
        <v>#REF!</v>
      </c>
      <c r="P271" s="666" t="e">
        <f t="shared" si="28"/>
        <v>#REF!</v>
      </c>
      <c r="Q271" s="672"/>
      <c r="R271" s="668"/>
      <c r="S271" s="676"/>
      <c r="T271" s="676"/>
    </row>
    <row r="272" spans="1:20" s="677" customFormat="1" ht="25.5" hidden="1" customHeight="1">
      <c r="A272" s="690"/>
      <c r="B272" s="666">
        <f t="shared" si="25"/>
        <v>0</v>
      </c>
      <c r="C272" s="663" t="s">
        <v>1424</v>
      </c>
      <c r="D272" s="675">
        <f>ROUND([14]Data!K690,2)</f>
        <v>510.84</v>
      </c>
      <c r="E272" s="674" t="s">
        <v>264</v>
      </c>
      <c r="F272" s="663">
        <f t="shared" si="24"/>
        <v>0</v>
      </c>
      <c r="G272" s="684"/>
      <c r="H272" s="667">
        <f t="shared" ref="H272:H334" si="29">G272*D272</f>
        <v>0</v>
      </c>
      <c r="I272" s="675"/>
      <c r="J272" s="667">
        <f t="shared" si="26"/>
        <v>0</v>
      </c>
      <c r="K272" s="667"/>
      <c r="L272" s="667"/>
      <c r="M272" s="667" t="e">
        <f>G272+#REF!+#REF!+#REF!+I272+#REF!+#REF!+#REF!+#REF!+#REF!+#REF!+K272+#REF!+#REF!+#REF!</f>
        <v>#REF!</v>
      </c>
      <c r="N272" s="667" t="e">
        <f t="shared" si="27"/>
        <v>#REF!</v>
      </c>
      <c r="O272" s="665" t="e">
        <f>#REF!+M272</f>
        <v>#REF!</v>
      </c>
      <c r="P272" s="666" t="e">
        <f t="shared" si="28"/>
        <v>#REF!</v>
      </c>
      <c r="Q272" s="672"/>
      <c r="R272" s="668"/>
      <c r="S272" s="676"/>
      <c r="T272" s="676"/>
    </row>
    <row r="273" spans="1:21" s="677" customFormat="1" ht="46.5" hidden="1" customHeight="1">
      <c r="A273" s="662">
        <v>16.3</v>
      </c>
      <c r="B273" s="666">
        <f t="shared" si="25"/>
        <v>0</v>
      </c>
      <c r="C273" s="663" t="s">
        <v>1467</v>
      </c>
      <c r="D273" s="675"/>
      <c r="E273" s="674"/>
      <c r="F273" s="663">
        <f t="shared" ref="F273:F336" si="30">B273*D273</f>
        <v>0</v>
      </c>
      <c r="G273" s="684"/>
      <c r="H273" s="667">
        <f t="shared" si="29"/>
        <v>0</v>
      </c>
      <c r="I273" s="675"/>
      <c r="J273" s="667">
        <f t="shared" si="26"/>
        <v>0</v>
      </c>
      <c r="K273" s="667"/>
      <c r="L273" s="667"/>
      <c r="M273" s="667" t="e">
        <f>G273+#REF!+#REF!+#REF!+I273+#REF!+#REF!+#REF!+#REF!+#REF!+#REF!+K273+#REF!+#REF!+#REF!</f>
        <v>#REF!</v>
      </c>
      <c r="N273" s="667" t="e">
        <f t="shared" si="27"/>
        <v>#REF!</v>
      </c>
      <c r="O273" s="665" t="e">
        <f>#REF!+M273</f>
        <v>#REF!</v>
      </c>
      <c r="P273" s="666" t="e">
        <f t="shared" si="28"/>
        <v>#REF!</v>
      </c>
      <c r="Q273" s="672"/>
      <c r="R273" s="668"/>
      <c r="S273" s="676"/>
      <c r="T273" s="676"/>
    </row>
    <row r="274" spans="1:21" s="677" customFormat="1" ht="25.5" hidden="1" customHeight="1">
      <c r="A274" s="662"/>
      <c r="B274" s="666">
        <f t="shared" si="25"/>
        <v>0</v>
      </c>
      <c r="C274" s="663" t="s">
        <v>1420</v>
      </c>
      <c r="D274" s="675">
        <f>ROUND([14]Data!K706,2)</f>
        <v>657.48</v>
      </c>
      <c r="E274" s="674" t="s">
        <v>264</v>
      </c>
      <c r="F274" s="663">
        <f t="shared" si="30"/>
        <v>0</v>
      </c>
      <c r="G274" s="684"/>
      <c r="H274" s="667">
        <f t="shared" si="29"/>
        <v>0</v>
      </c>
      <c r="I274" s="675"/>
      <c r="J274" s="667">
        <f t="shared" si="26"/>
        <v>0</v>
      </c>
      <c r="K274" s="667"/>
      <c r="L274" s="667"/>
      <c r="M274" s="667" t="e">
        <f>G274+#REF!+#REF!+#REF!+I274+#REF!+#REF!+#REF!+#REF!+#REF!+#REF!+K274+#REF!+#REF!+#REF!</f>
        <v>#REF!</v>
      </c>
      <c r="N274" s="667" t="e">
        <f t="shared" si="27"/>
        <v>#REF!</v>
      </c>
      <c r="O274" s="665" t="e">
        <f>#REF!+M274</f>
        <v>#REF!</v>
      </c>
      <c r="P274" s="666" t="e">
        <f t="shared" si="28"/>
        <v>#REF!</v>
      </c>
      <c r="Q274" s="672"/>
      <c r="R274" s="668"/>
      <c r="S274" s="676"/>
      <c r="T274" s="676"/>
    </row>
    <row r="275" spans="1:21" s="677" customFormat="1" ht="25.5" hidden="1" customHeight="1">
      <c r="A275" s="662"/>
      <c r="B275" s="666">
        <f t="shared" si="25"/>
        <v>0</v>
      </c>
      <c r="C275" s="663" t="s">
        <v>1421</v>
      </c>
      <c r="D275" s="675">
        <f>ROUND([14]Data!K707,2)</f>
        <v>672.57</v>
      </c>
      <c r="E275" s="674" t="s">
        <v>264</v>
      </c>
      <c r="F275" s="663">
        <f t="shared" si="30"/>
        <v>0</v>
      </c>
      <c r="G275" s="684"/>
      <c r="H275" s="667">
        <f t="shared" si="29"/>
        <v>0</v>
      </c>
      <c r="I275" s="675"/>
      <c r="J275" s="667">
        <f t="shared" si="26"/>
        <v>0</v>
      </c>
      <c r="K275" s="667"/>
      <c r="L275" s="667"/>
      <c r="M275" s="667" t="e">
        <f>G275+#REF!+#REF!+#REF!+I275+#REF!+#REF!+#REF!+#REF!+#REF!+#REF!+K275+#REF!+#REF!+#REF!</f>
        <v>#REF!</v>
      </c>
      <c r="N275" s="667" t="e">
        <f t="shared" si="27"/>
        <v>#REF!</v>
      </c>
      <c r="O275" s="665" t="e">
        <f>#REF!+M275</f>
        <v>#REF!</v>
      </c>
      <c r="P275" s="666" t="e">
        <f t="shared" si="28"/>
        <v>#REF!</v>
      </c>
      <c r="Q275" s="672"/>
      <c r="R275" s="668"/>
      <c r="S275" s="676"/>
      <c r="T275" s="676"/>
    </row>
    <row r="276" spans="1:21" s="677" customFormat="1" ht="25.5" hidden="1" customHeight="1">
      <c r="A276" s="662"/>
      <c r="B276" s="666">
        <f t="shared" si="25"/>
        <v>0</v>
      </c>
      <c r="C276" s="663" t="s">
        <v>1422</v>
      </c>
      <c r="D276" s="675">
        <f>ROUND([14]Data!K708,2)</f>
        <v>687.66</v>
      </c>
      <c r="E276" s="674" t="s">
        <v>264</v>
      </c>
      <c r="F276" s="663">
        <f t="shared" si="30"/>
        <v>0</v>
      </c>
      <c r="G276" s="684"/>
      <c r="H276" s="667">
        <f t="shared" si="29"/>
        <v>0</v>
      </c>
      <c r="I276" s="675"/>
      <c r="J276" s="667">
        <f t="shared" si="26"/>
        <v>0</v>
      </c>
      <c r="K276" s="667"/>
      <c r="L276" s="667"/>
      <c r="M276" s="667" t="e">
        <f>G276+#REF!+#REF!+#REF!+I276+#REF!+#REF!+#REF!+#REF!+#REF!+#REF!+K276+#REF!+#REF!+#REF!</f>
        <v>#REF!</v>
      </c>
      <c r="N276" s="667" t="e">
        <f t="shared" si="27"/>
        <v>#REF!</v>
      </c>
      <c r="O276" s="665" t="e">
        <f>#REF!+M276</f>
        <v>#REF!</v>
      </c>
      <c r="P276" s="666" t="e">
        <f t="shared" si="28"/>
        <v>#REF!</v>
      </c>
      <c r="Q276" s="672"/>
      <c r="R276" s="668"/>
      <c r="S276" s="676"/>
      <c r="T276" s="676"/>
    </row>
    <row r="277" spans="1:21" s="677" customFormat="1" ht="25.5" hidden="1" customHeight="1">
      <c r="A277" s="666"/>
      <c r="B277" s="666">
        <f t="shared" si="25"/>
        <v>0</v>
      </c>
      <c r="C277" s="663" t="s">
        <v>1423</v>
      </c>
      <c r="D277" s="675">
        <f>ROUND([14]Data!K709,2)</f>
        <v>702.75</v>
      </c>
      <c r="E277" s="674" t="s">
        <v>264</v>
      </c>
      <c r="F277" s="663">
        <f t="shared" si="30"/>
        <v>0</v>
      </c>
      <c r="G277" s="684"/>
      <c r="H277" s="667">
        <f t="shared" si="29"/>
        <v>0</v>
      </c>
      <c r="I277" s="675"/>
      <c r="J277" s="667">
        <f t="shared" si="26"/>
        <v>0</v>
      </c>
      <c r="K277" s="667"/>
      <c r="L277" s="667"/>
      <c r="M277" s="667" t="e">
        <f>G277+#REF!+#REF!+#REF!+I277+#REF!+#REF!+#REF!+#REF!+#REF!+#REF!+K277+#REF!+#REF!+#REF!</f>
        <v>#REF!</v>
      </c>
      <c r="N277" s="667" t="e">
        <f t="shared" si="27"/>
        <v>#REF!</v>
      </c>
      <c r="O277" s="665" t="e">
        <f>#REF!+M277</f>
        <v>#REF!</v>
      </c>
      <c r="P277" s="666" t="e">
        <f t="shared" si="28"/>
        <v>#REF!</v>
      </c>
      <c r="Q277" s="672"/>
      <c r="R277" s="668"/>
      <c r="S277" s="676"/>
      <c r="T277" s="676"/>
    </row>
    <row r="278" spans="1:21" s="677" customFormat="1" ht="25.5" hidden="1" customHeight="1">
      <c r="A278" s="690"/>
      <c r="B278" s="666">
        <f t="shared" si="25"/>
        <v>0</v>
      </c>
      <c r="C278" s="663" t="s">
        <v>1424</v>
      </c>
      <c r="D278" s="675">
        <f>ROUND([14]Data!K710,2)</f>
        <v>717.84</v>
      </c>
      <c r="E278" s="674" t="s">
        <v>264</v>
      </c>
      <c r="F278" s="663">
        <f t="shared" si="30"/>
        <v>0</v>
      </c>
      <c r="G278" s="684"/>
      <c r="H278" s="667">
        <f t="shared" si="29"/>
        <v>0</v>
      </c>
      <c r="I278" s="675"/>
      <c r="J278" s="667">
        <f t="shared" si="26"/>
        <v>0</v>
      </c>
      <c r="K278" s="667"/>
      <c r="L278" s="667"/>
      <c r="M278" s="667" t="e">
        <f>G278+#REF!+#REF!+#REF!+I278+#REF!+#REF!+#REF!+#REF!+#REF!+#REF!+K278+#REF!+#REF!+#REF!</f>
        <v>#REF!</v>
      </c>
      <c r="N278" s="667" t="e">
        <f t="shared" si="27"/>
        <v>#REF!</v>
      </c>
      <c r="O278" s="665" t="e">
        <f>#REF!+M278</f>
        <v>#REF!</v>
      </c>
      <c r="P278" s="666" t="e">
        <f t="shared" si="28"/>
        <v>#REF!</v>
      </c>
      <c r="Q278" s="672"/>
      <c r="R278" s="668"/>
      <c r="S278" s="676"/>
      <c r="T278" s="676"/>
    </row>
    <row r="279" spans="1:21" s="677" customFormat="1" ht="25.5" hidden="1" customHeight="1">
      <c r="A279" s="662">
        <v>17</v>
      </c>
      <c r="B279" s="666">
        <f t="shared" si="25"/>
        <v>0</v>
      </c>
      <c r="C279" s="663" t="s">
        <v>1468</v>
      </c>
      <c r="D279" s="675"/>
      <c r="E279" s="674" t="s">
        <v>264</v>
      </c>
      <c r="F279" s="663">
        <f t="shared" si="30"/>
        <v>0</v>
      </c>
      <c r="G279" s="684"/>
      <c r="H279" s="667">
        <f t="shared" si="29"/>
        <v>0</v>
      </c>
      <c r="I279" s="675"/>
      <c r="J279" s="667">
        <f t="shared" si="26"/>
        <v>0</v>
      </c>
      <c r="K279" s="667"/>
      <c r="L279" s="667"/>
      <c r="M279" s="667" t="e">
        <f>G279+#REF!+#REF!+#REF!+I279+#REF!+#REF!+#REF!+#REF!+#REF!+#REF!+K279+#REF!+#REF!+#REF!</f>
        <v>#REF!</v>
      </c>
      <c r="N279" s="667" t="e">
        <f t="shared" si="27"/>
        <v>#REF!</v>
      </c>
      <c r="O279" s="665" t="e">
        <f>#REF!+M279</f>
        <v>#REF!</v>
      </c>
      <c r="P279" s="666" t="e">
        <f t="shared" si="28"/>
        <v>#REF!</v>
      </c>
      <c r="Q279" s="672"/>
      <c r="R279" s="668"/>
      <c r="S279" s="676"/>
      <c r="T279" s="676"/>
    </row>
    <row r="280" spans="1:21" s="677" customFormat="1" ht="25.5" hidden="1" customHeight="1">
      <c r="A280" s="662">
        <v>18</v>
      </c>
      <c r="B280" s="666">
        <f t="shared" si="25"/>
        <v>0</v>
      </c>
      <c r="C280" s="663" t="s">
        <v>1469</v>
      </c>
      <c r="D280" s="675"/>
      <c r="E280" s="674" t="s">
        <v>264</v>
      </c>
      <c r="F280" s="663">
        <f t="shared" si="30"/>
        <v>0</v>
      </c>
      <c r="G280" s="684"/>
      <c r="H280" s="667">
        <f t="shared" si="29"/>
        <v>0</v>
      </c>
      <c r="I280" s="675"/>
      <c r="J280" s="667">
        <f t="shared" si="26"/>
        <v>0</v>
      </c>
      <c r="K280" s="667"/>
      <c r="L280" s="667"/>
      <c r="M280" s="667" t="e">
        <f>G280+#REF!+#REF!+#REF!+I280+#REF!+#REF!+#REF!+#REF!+#REF!+#REF!+K280+#REF!+#REF!+#REF!</f>
        <v>#REF!</v>
      </c>
      <c r="N280" s="667" t="e">
        <f t="shared" si="27"/>
        <v>#REF!</v>
      </c>
      <c r="O280" s="665" t="e">
        <f>#REF!+M280</f>
        <v>#REF!</v>
      </c>
      <c r="P280" s="666" t="e">
        <f t="shared" si="28"/>
        <v>#REF!</v>
      </c>
      <c r="Q280" s="672"/>
      <c r="R280" s="668"/>
      <c r="S280" s="676"/>
      <c r="T280" s="676"/>
    </row>
    <row r="281" spans="1:21" s="677" customFormat="1" ht="25.5" hidden="1" customHeight="1">
      <c r="A281" s="662">
        <v>19</v>
      </c>
      <c r="B281" s="666">
        <f t="shared" si="25"/>
        <v>0</v>
      </c>
      <c r="C281" s="663" t="s">
        <v>1470</v>
      </c>
      <c r="D281" s="675"/>
      <c r="E281" s="674" t="s">
        <v>264</v>
      </c>
      <c r="F281" s="663">
        <f t="shared" si="30"/>
        <v>0</v>
      </c>
      <c r="G281" s="684"/>
      <c r="H281" s="667">
        <f t="shared" si="29"/>
        <v>0</v>
      </c>
      <c r="I281" s="675"/>
      <c r="J281" s="667">
        <f t="shared" si="26"/>
        <v>0</v>
      </c>
      <c r="K281" s="667"/>
      <c r="L281" s="667"/>
      <c r="M281" s="667" t="e">
        <f>G281+#REF!+#REF!+#REF!+I281+#REF!+#REF!+#REF!+#REF!+#REF!+#REF!+K281+#REF!+#REF!+#REF!</f>
        <v>#REF!</v>
      </c>
      <c r="N281" s="667" t="e">
        <f t="shared" si="27"/>
        <v>#REF!</v>
      </c>
      <c r="O281" s="665" t="e">
        <f>#REF!+M281</f>
        <v>#REF!</v>
      </c>
      <c r="P281" s="666" t="e">
        <f t="shared" si="28"/>
        <v>#REF!</v>
      </c>
      <c r="Q281" s="672"/>
      <c r="R281" s="668"/>
      <c r="S281" s="676"/>
      <c r="T281" s="676"/>
    </row>
    <row r="282" spans="1:21" s="677" customFormat="1" ht="25.5" hidden="1" customHeight="1">
      <c r="A282" s="662">
        <v>20</v>
      </c>
      <c r="B282" s="666">
        <f t="shared" si="25"/>
        <v>0</v>
      </c>
      <c r="C282" s="663" t="s">
        <v>1471</v>
      </c>
      <c r="D282" s="675"/>
      <c r="E282" s="674" t="s">
        <v>264</v>
      </c>
      <c r="F282" s="663">
        <f t="shared" si="30"/>
        <v>0</v>
      </c>
      <c r="G282" s="684"/>
      <c r="H282" s="667">
        <f t="shared" si="29"/>
        <v>0</v>
      </c>
      <c r="I282" s="675"/>
      <c r="J282" s="667">
        <f t="shared" si="26"/>
        <v>0</v>
      </c>
      <c r="K282" s="667"/>
      <c r="L282" s="667"/>
      <c r="M282" s="667" t="e">
        <f>G282+#REF!+#REF!+#REF!+I282+#REF!+#REF!+#REF!+#REF!+#REF!+#REF!+K282+#REF!+#REF!+#REF!</f>
        <v>#REF!</v>
      </c>
      <c r="N282" s="667" t="e">
        <f t="shared" si="27"/>
        <v>#REF!</v>
      </c>
      <c r="O282" s="665" t="e">
        <f>#REF!+M282</f>
        <v>#REF!</v>
      </c>
      <c r="P282" s="666" t="e">
        <f t="shared" si="28"/>
        <v>#REF!</v>
      </c>
      <c r="Q282" s="672"/>
      <c r="R282" s="668"/>
      <c r="S282" s="676"/>
      <c r="T282" s="676"/>
    </row>
    <row r="283" spans="1:21" s="677" customFormat="1" ht="25.5" hidden="1" customHeight="1">
      <c r="A283" s="662">
        <v>21.1</v>
      </c>
      <c r="B283" s="666">
        <f t="shared" si="25"/>
        <v>0</v>
      </c>
      <c r="C283" s="685" t="s">
        <v>1472</v>
      </c>
      <c r="D283" s="675"/>
      <c r="E283" s="674"/>
      <c r="F283" s="663">
        <f t="shared" si="30"/>
        <v>0</v>
      </c>
      <c r="G283" s="684"/>
      <c r="H283" s="667">
        <f t="shared" si="29"/>
        <v>0</v>
      </c>
      <c r="I283" s="675"/>
      <c r="J283" s="667">
        <f t="shared" si="26"/>
        <v>0</v>
      </c>
      <c r="K283" s="667"/>
      <c r="L283" s="667"/>
      <c r="M283" s="667" t="e">
        <f>G283+#REF!+#REF!+#REF!+I283+#REF!+#REF!+#REF!+#REF!+#REF!+#REF!+K283+#REF!+#REF!+#REF!</f>
        <v>#REF!</v>
      </c>
      <c r="N283" s="667" t="e">
        <f t="shared" si="27"/>
        <v>#REF!</v>
      </c>
      <c r="O283" s="665" t="e">
        <f>#REF!+M283</f>
        <v>#REF!</v>
      </c>
      <c r="P283" s="666" t="e">
        <f t="shared" si="28"/>
        <v>#REF!</v>
      </c>
      <c r="Q283" s="672"/>
      <c r="R283" s="668"/>
      <c r="S283" s="676"/>
      <c r="T283" s="676"/>
    </row>
    <row r="284" spans="1:21" s="677" customFormat="1" ht="25.5" hidden="1" customHeight="1">
      <c r="A284" s="662"/>
      <c r="B284" s="666">
        <f t="shared" si="25"/>
        <v>0</v>
      </c>
      <c r="C284" s="663" t="s">
        <v>1473</v>
      </c>
      <c r="D284" s="675">
        <f>ROUND([14]Data!K889,2)</f>
        <v>2440.4499999999998</v>
      </c>
      <c r="E284" s="674" t="s">
        <v>522</v>
      </c>
      <c r="F284" s="663">
        <f t="shared" si="30"/>
        <v>0</v>
      </c>
      <c r="G284" s="684"/>
      <c r="H284" s="667">
        <f t="shared" si="29"/>
        <v>0</v>
      </c>
      <c r="I284" s="675"/>
      <c r="J284" s="667">
        <f t="shared" si="26"/>
        <v>0</v>
      </c>
      <c r="K284" s="667"/>
      <c r="L284" s="667"/>
      <c r="M284" s="667" t="e">
        <f>G284+#REF!+#REF!+#REF!+I284+#REF!+#REF!+#REF!+#REF!+#REF!+#REF!+K284+#REF!+#REF!+#REF!</f>
        <v>#REF!</v>
      </c>
      <c r="N284" s="667" t="e">
        <f t="shared" si="27"/>
        <v>#REF!</v>
      </c>
      <c r="O284" s="665" t="e">
        <f>#REF!+M284</f>
        <v>#REF!</v>
      </c>
      <c r="P284" s="666" t="e">
        <f t="shared" si="28"/>
        <v>#REF!</v>
      </c>
      <c r="Q284" s="672"/>
      <c r="R284" s="668"/>
      <c r="S284" s="676"/>
      <c r="T284" s="676"/>
    </row>
    <row r="285" spans="1:21" s="677" customFormat="1" ht="25.5" hidden="1" customHeight="1">
      <c r="A285" s="662"/>
      <c r="B285" s="666">
        <f t="shared" si="25"/>
        <v>0</v>
      </c>
      <c r="C285" s="663" t="s">
        <v>1474</v>
      </c>
      <c r="D285" s="675">
        <f>ROUND([14]Data!K905,2)</f>
        <v>2406.77</v>
      </c>
      <c r="E285" s="674" t="s">
        <v>522</v>
      </c>
      <c r="F285" s="663">
        <f t="shared" si="30"/>
        <v>0</v>
      </c>
      <c r="G285" s="684"/>
      <c r="H285" s="667">
        <f t="shared" si="29"/>
        <v>0</v>
      </c>
      <c r="I285" s="675"/>
      <c r="J285" s="667">
        <f t="shared" si="26"/>
        <v>0</v>
      </c>
      <c r="K285" s="667"/>
      <c r="L285" s="667"/>
      <c r="M285" s="667" t="e">
        <f>G285+#REF!+#REF!+#REF!+I285+#REF!+#REF!+#REF!+#REF!+#REF!+#REF!+K285+#REF!+#REF!+#REF!</f>
        <v>#REF!</v>
      </c>
      <c r="N285" s="667" t="e">
        <f t="shared" si="27"/>
        <v>#REF!</v>
      </c>
      <c r="O285" s="665" t="e">
        <f>#REF!+M285</f>
        <v>#REF!</v>
      </c>
      <c r="P285" s="666" t="e">
        <f t="shared" si="28"/>
        <v>#REF!</v>
      </c>
      <c r="Q285" s="672"/>
      <c r="R285" s="668"/>
      <c r="S285" s="676"/>
      <c r="T285" s="676"/>
    </row>
    <row r="286" spans="1:21" s="677" customFormat="1" ht="25.5" hidden="1" customHeight="1">
      <c r="A286" s="688"/>
      <c r="B286" s="666">
        <f t="shared" si="25"/>
        <v>0</v>
      </c>
      <c r="C286" s="663" t="s">
        <v>1475</v>
      </c>
      <c r="D286" s="675">
        <f>ROUND([14]Data!K871,2)</f>
        <v>2460.2199999999998</v>
      </c>
      <c r="E286" s="674" t="s">
        <v>522</v>
      </c>
      <c r="F286" s="663">
        <f t="shared" si="30"/>
        <v>0</v>
      </c>
      <c r="G286" s="684"/>
      <c r="H286" s="667">
        <f t="shared" si="29"/>
        <v>0</v>
      </c>
      <c r="I286" s="675"/>
      <c r="J286" s="667">
        <f t="shared" si="26"/>
        <v>0</v>
      </c>
      <c r="K286" s="667"/>
      <c r="L286" s="667"/>
      <c r="M286" s="667" t="e">
        <f>G286+#REF!+#REF!+#REF!+I286+#REF!+#REF!+#REF!+#REF!+#REF!+#REF!+K286+#REF!+#REF!+#REF!</f>
        <v>#REF!</v>
      </c>
      <c r="N286" s="667" t="e">
        <f t="shared" si="27"/>
        <v>#REF!</v>
      </c>
      <c r="O286" s="665" t="e">
        <f>#REF!+M286</f>
        <v>#REF!</v>
      </c>
      <c r="P286" s="666" t="e">
        <f t="shared" si="28"/>
        <v>#REF!</v>
      </c>
      <c r="Q286" s="672"/>
      <c r="R286" s="668"/>
      <c r="S286" s="676"/>
      <c r="T286" s="676"/>
    </row>
    <row r="287" spans="1:21" ht="46.5" hidden="1" customHeight="1">
      <c r="A287" s="662">
        <v>21.2</v>
      </c>
      <c r="B287" s="666">
        <f t="shared" si="25"/>
        <v>0</v>
      </c>
      <c r="C287" s="685" t="s">
        <v>1476</v>
      </c>
      <c r="D287" s="667"/>
      <c r="E287" s="663"/>
      <c r="F287" s="663">
        <f t="shared" si="30"/>
        <v>0</v>
      </c>
      <c r="G287" s="667"/>
      <c r="H287" s="667">
        <f t="shared" si="29"/>
        <v>0</v>
      </c>
      <c r="I287" s="667"/>
      <c r="J287" s="667">
        <f t="shared" si="26"/>
        <v>0</v>
      </c>
      <c r="K287" s="667"/>
      <c r="L287" s="667"/>
      <c r="M287" s="667" t="e">
        <f>G287+#REF!+#REF!+#REF!+I287+#REF!+#REF!+#REF!+#REF!+#REF!+#REF!+K287+#REF!+#REF!+#REF!</f>
        <v>#REF!</v>
      </c>
      <c r="N287" s="667" t="e">
        <f t="shared" si="27"/>
        <v>#REF!</v>
      </c>
      <c r="O287" s="665" t="e">
        <f>#REF!+M287</f>
        <v>#REF!</v>
      </c>
      <c r="P287" s="666" t="e">
        <f t="shared" si="28"/>
        <v>#REF!</v>
      </c>
      <c r="Q287" s="668"/>
      <c r="R287" s="668"/>
      <c r="S287" s="678"/>
      <c r="U287" s="679"/>
    </row>
    <row r="288" spans="1:21" ht="46.5" hidden="1" customHeight="1">
      <c r="A288" s="662"/>
      <c r="B288" s="666">
        <f t="shared" si="25"/>
        <v>0</v>
      </c>
      <c r="C288" s="663" t="s">
        <v>1477</v>
      </c>
      <c r="D288" s="667">
        <f>ROUND([14]Data!K923,2)</f>
        <v>123400</v>
      </c>
      <c r="E288" s="663" t="s">
        <v>235</v>
      </c>
      <c r="F288" s="663">
        <f t="shared" si="30"/>
        <v>0</v>
      </c>
      <c r="G288" s="698"/>
      <c r="H288" s="667">
        <f t="shared" si="29"/>
        <v>0</v>
      </c>
      <c r="I288" s="667"/>
      <c r="J288" s="667">
        <f t="shared" si="26"/>
        <v>0</v>
      </c>
      <c r="K288" s="667"/>
      <c r="L288" s="667"/>
      <c r="M288" s="667" t="e">
        <f>G288+#REF!+#REF!+#REF!+I288+#REF!+#REF!+#REF!+#REF!+#REF!+#REF!+K288+#REF!+#REF!+#REF!</f>
        <v>#REF!</v>
      </c>
      <c r="N288" s="667" t="e">
        <f t="shared" si="27"/>
        <v>#REF!</v>
      </c>
      <c r="O288" s="665" t="e">
        <f>#REF!+M288</f>
        <v>#REF!</v>
      </c>
      <c r="P288" s="666" t="e">
        <f t="shared" si="28"/>
        <v>#REF!</v>
      </c>
      <c r="Q288" s="672"/>
      <c r="R288" s="668"/>
    </row>
    <row r="289" spans="1:20" ht="46.5" hidden="1" customHeight="1">
      <c r="A289" s="687"/>
      <c r="B289" s="666">
        <f t="shared" si="25"/>
        <v>0</v>
      </c>
      <c r="C289" s="663" t="s">
        <v>1478</v>
      </c>
      <c r="D289" s="667">
        <f>ROUND([14]Data!K930,2)</f>
        <v>111200</v>
      </c>
      <c r="E289" s="663" t="s">
        <v>235</v>
      </c>
      <c r="F289" s="663">
        <f t="shared" si="30"/>
        <v>0</v>
      </c>
      <c r="G289" s="698"/>
      <c r="H289" s="667">
        <f t="shared" si="29"/>
        <v>0</v>
      </c>
      <c r="I289" s="667"/>
      <c r="J289" s="667">
        <f t="shared" si="26"/>
        <v>0</v>
      </c>
      <c r="K289" s="667"/>
      <c r="L289" s="667"/>
      <c r="M289" s="667" t="e">
        <f>G289+#REF!+#REF!+#REF!+I289+#REF!+#REF!+#REF!+#REF!+#REF!+#REF!+K289+#REF!+#REF!+#REF!</f>
        <v>#REF!</v>
      </c>
      <c r="N289" s="667" t="e">
        <f t="shared" si="27"/>
        <v>#REF!</v>
      </c>
      <c r="O289" s="665" t="e">
        <f>#REF!+M289</f>
        <v>#REF!</v>
      </c>
      <c r="P289" s="666" t="e">
        <f t="shared" si="28"/>
        <v>#REF!</v>
      </c>
      <c r="Q289" s="672"/>
      <c r="R289" s="668"/>
    </row>
    <row r="290" spans="1:20" s="677" customFormat="1" ht="37.5" hidden="1" customHeight="1">
      <c r="A290" s="662">
        <v>21.3</v>
      </c>
      <c r="B290" s="666">
        <f t="shared" si="25"/>
        <v>0</v>
      </c>
      <c r="C290" s="663" t="s">
        <v>1479</v>
      </c>
      <c r="D290" s="675">
        <f>ROUND([14]Data!K912,2)</f>
        <v>2034</v>
      </c>
      <c r="E290" s="674" t="s">
        <v>264</v>
      </c>
      <c r="F290" s="663">
        <f t="shared" si="30"/>
        <v>0</v>
      </c>
      <c r="G290" s="684"/>
      <c r="H290" s="667">
        <f t="shared" si="29"/>
        <v>0</v>
      </c>
      <c r="I290" s="675"/>
      <c r="J290" s="667">
        <f t="shared" si="26"/>
        <v>0</v>
      </c>
      <c r="K290" s="667"/>
      <c r="L290" s="667"/>
      <c r="M290" s="667" t="e">
        <f>G290+#REF!+#REF!+#REF!+I290+#REF!+#REF!+#REF!+#REF!+#REF!+#REF!+K290+#REF!+#REF!+#REF!</f>
        <v>#REF!</v>
      </c>
      <c r="N290" s="667" t="e">
        <f t="shared" si="27"/>
        <v>#REF!</v>
      </c>
      <c r="O290" s="665" t="e">
        <f>#REF!+M290</f>
        <v>#REF!</v>
      </c>
      <c r="P290" s="666" t="e">
        <f t="shared" si="28"/>
        <v>#REF!</v>
      </c>
      <c r="Q290" s="672"/>
      <c r="R290" s="668"/>
      <c r="S290" s="676"/>
      <c r="T290" s="676"/>
    </row>
    <row r="291" spans="1:20" s="677" customFormat="1" ht="25.5" hidden="1" customHeight="1">
      <c r="A291" s="662">
        <v>22.1</v>
      </c>
      <c r="B291" s="666">
        <f t="shared" si="25"/>
        <v>0</v>
      </c>
      <c r="C291" s="663" t="s">
        <v>1480</v>
      </c>
      <c r="D291" s="675"/>
      <c r="E291" s="674"/>
      <c r="F291" s="663">
        <f t="shared" si="30"/>
        <v>0</v>
      </c>
      <c r="G291" s="684"/>
      <c r="H291" s="667">
        <f t="shared" si="29"/>
        <v>0</v>
      </c>
      <c r="I291" s="675"/>
      <c r="J291" s="667">
        <f t="shared" si="26"/>
        <v>0</v>
      </c>
      <c r="K291" s="667"/>
      <c r="L291" s="667"/>
      <c r="M291" s="667" t="e">
        <f>G291+#REF!+#REF!+#REF!+I291+#REF!+#REF!+#REF!+#REF!+#REF!+#REF!+K291+#REF!+#REF!+#REF!</f>
        <v>#REF!</v>
      </c>
      <c r="N291" s="667" t="e">
        <f t="shared" si="27"/>
        <v>#REF!</v>
      </c>
      <c r="O291" s="665" t="e">
        <f>#REF!+M291</f>
        <v>#REF!</v>
      </c>
      <c r="P291" s="666" t="e">
        <f t="shared" si="28"/>
        <v>#REF!</v>
      </c>
      <c r="Q291" s="672"/>
      <c r="R291" s="668"/>
      <c r="S291" s="676"/>
      <c r="T291" s="676"/>
    </row>
    <row r="292" spans="1:20" s="677" customFormat="1" ht="25.5" hidden="1" customHeight="1">
      <c r="A292" s="666"/>
      <c r="B292" s="666">
        <f t="shared" si="25"/>
        <v>0</v>
      </c>
      <c r="C292" s="663" t="s">
        <v>1481</v>
      </c>
      <c r="D292" s="675">
        <f>ROUND([14]Data!K964,2)</f>
        <v>4719.55</v>
      </c>
      <c r="E292" s="674" t="s">
        <v>264</v>
      </c>
      <c r="F292" s="663">
        <f t="shared" si="30"/>
        <v>0</v>
      </c>
      <c r="G292" s="684"/>
      <c r="H292" s="667">
        <f t="shared" si="29"/>
        <v>0</v>
      </c>
      <c r="I292" s="675"/>
      <c r="J292" s="667">
        <f t="shared" si="26"/>
        <v>0</v>
      </c>
      <c r="K292" s="667"/>
      <c r="L292" s="667"/>
      <c r="M292" s="667" t="e">
        <f>G292+#REF!+#REF!+#REF!+I292+#REF!+#REF!+#REF!+#REF!+#REF!+#REF!+K292+#REF!+#REF!+#REF!</f>
        <v>#REF!</v>
      </c>
      <c r="N292" s="667" t="e">
        <f t="shared" si="27"/>
        <v>#REF!</v>
      </c>
      <c r="O292" s="665" t="e">
        <f>#REF!+M292</f>
        <v>#REF!</v>
      </c>
      <c r="P292" s="666" t="e">
        <f t="shared" si="28"/>
        <v>#REF!</v>
      </c>
      <c r="Q292" s="672"/>
      <c r="R292" s="668"/>
      <c r="S292" s="676"/>
      <c r="T292" s="676"/>
    </row>
    <row r="293" spans="1:20" s="677" customFormat="1" ht="25.5" hidden="1" customHeight="1">
      <c r="A293" s="666"/>
      <c r="B293" s="666">
        <f t="shared" si="25"/>
        <v>0</v>
      </c>
      <c r="C293" s="663" t="s">
        <v>1482</v>
      </c>
      <c r="D293" s="675">
        <f>ROUND([14]Data!K1000,2)</f>
        <v>4803.54</v>
      </c>
      <c r="E293" s="674" t="s">
        <v>264</v>
      </c>
      <c r="F293" s="663">
        <f t="shared" si="30"/>
        <v>0</v>
      </c>
      <c r="G293" s="684"/>
      <c r="H293" s="667">
        <f t="shared" si="29"/>
        <v>0</v>
      </c>
      <c r="I293" s="675"/>
      <c r="J293" s="667">
        <f t="shared" si="26"/>
        <v>0</v>
      </c>
      <c r="K293" s="667"/>
      <c r="L293" s="667"/>
      <c r="M293" s="667" t="e">
        <f>G293+#REF!+#REF!+#REF!+I293+#REF!+#REF!+#REF!+#REF!+#REF!+#REF!+K293+#REF!+#REF!+#REF!</f>
        <v>#REF!</v>
      </c>
      <c r="N293" s="667" t="e">
        <f t="shared" si="27"/>
        <v>#REF!</v>
      </c>
      <c r="O293" s="665" t="e">
        <f>#REF!+M293</f>
        <v>#REF!</v>
      </c>
      <c r="P293" s="666" t="e">
        <f t="shared" si="28"/>
        <v>#REF!</v>
      </c>
      <c r="Q293" s="672"/>
      <c r="R293" s="668"/>
      <c r="S293" s="676"/>
      <c r="T293" s="676"/>
    </row>
    <row r="294" spans="1:20" s="677" customFormat="1" ht="25.5" hidden="1" customHeight="1">
      <c r="A294" s="690"/>
      <c r="B294" s="666">
        <f t="shared" si="25"/>
        <v>0</v>
      </c>
      <c r="C294" s="663" t="s">
        <v>1483</v>
      </c>
      <c r="D294" s="675">
        <f>ROUND([14]Data!K1030,2)</f>
        <v>4817.3500000000004</v>
      </c>
      <c r="E294" s="674" t="s">
        <v>264</v>
      </c>
      <c r="F294" s="663">
        <f t="shared" si="30"/>
        <v>0</v>
      </c>
      <c r="G294" s="684"/>
      <c r="H294" s="667">
        <f t="shared" si="29"/>
        <v>0</v>
      </c>
      <c r="I294" s="675"/>
      <c r="J294" s="667">
        <f t="shared" si="26"/>
        <v>0</v>
      </c>
      <c r="K294" s="667"/>
      <c r="L294" s="667"/>
      <c r="M294" s="667" t="e">
        <f>G294+#REF!+#REF!+#REF!+I294+#REF!+#REF!+#REF!+#REF!+#REF!+#REF!+K294+#REF!+#REF!+#REF!</f>
        <v>#REF!</v>
      </c>
      <c r="N294" s="667" t="e">
        <f t="shared" si="27"/>
        <v>#REF!</v>
      </c>
      <c r="O294" s="665" t="e">
        <f>#REF!+M294</f>
        <v>#REF!</v>
      </c>
      <c r="P294" s="666" t="e">
        <f t="shared" si="28"/>
        <v>#REF!</v>
      </c>
      <c r="Q294" s="672"/>
      <c r="R294" s="668"/>
      <c r="S294" s="676"/>
      <c r="T294" s="676"/>
    </row>
    <row r="295" spans="1:20" s="677" customFormat="1" ht="25.5" hidden="1" customHeight="1">
      <c r="A295" s="690"/>
      <c r="B295" s="666">
        <f t="shared" si="25"/>
        <v>0</v>
      </c>
      <c r="C295" s="663" t="s">
        <v>1484</v>
      </c>
      <c r="D295" s="675">
        <f>[14]Data!R2834</f>
        <v>5284.73</v>
      </c>
      <c r="E295" s="674" t="s">
        <v>264</v>
      </c>
      <c r="F295" s="663">
        <f t="shared" si="30"/>
        <v>0</v>
      </c>
      <c r="G295" s="684"/>
      <c r="H295" s="667">
        <f t="shared" si="29"/>
        <v>0</v>
      </c>
      <c r="I295" s="675"/>
      <c r="J295" s="667">
        <f t="shared" si="26"/>
        <v>0</v>
      </c>
      <c r="K295" s="667"/>
      <c r="L295" s="667"/>
      <c r="M295" s="667" t="e">
        <f>G295+#REF!+#REF!+#REF!+I295+#REF!+#REF!+#REF!+#REF!+#REF!+#REF!+K295+#REF!+#REF!+#REF!</f>
        <v>#REF!</v>
      </c>
      <c r="N295" s="667" t="e">
        <f t="shared" si="27"/>
        <v>#REF!</v>
      </c>
      <c r="O295" s="665" t="e">
        <f>#REF!+M295</f>
        <v>#REF!</v>
      </c>
      <c r="P295" s="666" t="e">
        <f t="shared" si="28"/>
        <v>#REF!</v>
      </c>
      <c r="Q295" s="672"/>
      <c r="R295" s="668"/>
      <c r="S295" s="676"/>
      <c r="T295" s="676"/>
    </row>
    <row r="296" spans="1:20" s="677" customFormat="1" ht="25.5" hidden="1" customHeight="1">
      <c r="A296" s="662">
        <v>22.2</v>
      </c>
      <c r="B296" s="666">
        <f t="shared" si="25"/>
        <v>0</v>
      </c>
      <c r="C296" s="685" t="s">
        <v>1485</v>
      </c>
      <c r="D296" s="675"/>
      <c r="E296" s="674"/>
      <c r="F296" s="663">
        <f t="shared" si="30"/>
        <v>0</v>
      </c>
      <c r="G296" s="684"/>
      <c r="H296" s="667">
        <f t="shared" si="29"/>
        <v>0</v>
      </c>
      <c r="I296" s="675"/>
      <c r="J296" s="667">
        <f t="shared" si="26"/>
        <v>0</v>
      </c>
      <c r="K296" s="667"/>
      <c r="L296" s="667"/>
      <c r="M296" s="667" t="e">
        <f>G296+#REF!+#REF!+#REF!+I296+#REF!+#REF!+#REF!+#REF!+#REF!+#REF!+K296+#REF!+#REF!+#REF!</f>
        <v>#REF!</v>
      </c>
      <c r="N296" s="667" t="e">
        <f t="shared" si="27"/>
        <v>#REF!</v>
      </c>
      <c r="O296" s="665" t="e">
        <f>#REF!+M296</f>
        <v>#REF!</v>
      </c>
      <c r="P296" s="666" t="e">
        <f t="shared" si="28"/>
        <v>#REF!</v>
      </c>
      <c r="Q296" s="672"/>
      <c r="R296" s="668"/>
      <c r="S296" s="676"/>
      <c r="T296" s="676"/>
    </row>
    <row r="297" spans="1:20" s="677" customFormat="1" ht="25.5" hidden="1" customHeight="1">
      <c r="A297" s="666"/>
      <c r="B297" s="666">
        <f t="shared" si="25"/>
        <v>0</v>
      </c>
      <c r="C297" s="663" t="s">
        <v>1486</v>
      </c>
      <c r="D297" s="675">
        <f>ROUND([14]Data!K1081,2)</f>
        <v>3364.08</v>
      </c>
      <c r="E297" s="674" t="s">
        <v>264</v>
      </c>
      <c r="F297" s="663">
        <f t="shared" si="30"/>
        <v>0</v>
      </c>
      <c r="G297" s="684"/>
      <c r="H297" s="667">
        <f t="shared" si="29"/>
        <v>0</v>
      </c>
      <c r="I297" s="675"/>
      <c r="J297" s="667">
        <f t="shared" si="26"/>
        <v>0</v>
      </c>
      <c r="K297" s="667"/>
      <c r="L297" s="667"/>
      <c r="M297" s="667" t="e">
        <f>G297+#REF!+#REF!+#REF!+I297+#REF!+#REF!+#REF!+#REF!+#REF!+#REF!+K297+#REF!+#REF!+#REF!</f>
        <v>#REF!</v>
      </c>
      <c r="N297" s="667" t="e">
        <f t="shared" si="27"/>
        <v>#REF!</v>
      </c>
      <c r="O297" s="665" t="e">
        <f>#REF!+M297</f>
        <v>#REF!</v>
      </c>
      <c r="P297" s="666" t="e">
        <f t="shared" si="28"/>
        <v>#REF!</v>
      </c>
      <c r="Q297" s="672"/>
      <c r="R297" s="668"/>
      <c r="S297" s="676"/>
      <c r="T297" s="676"/>
    </row>
    <row r="298" spans="1:20" s="677" customFormat="1" ht="25.5" hidden="1" customHeight="1">
      <c r="A298" s="666"/>
      <c r="B298" s="666">
        <f t="shared" si="25"/>
        <v>0</v>
      </c>
      <c r="C298" s="663" t="s">
        <v>1487</v>
      </c>
      <c r="D298" s="675"/>
      <c r="E298" s="674" t="s">
        <v>264</v>
      </c>
      <c r="F298" s="663">
        <f t="shared" si="30"/>
        <v>0</v>
      </c>
      <c r="G298" s="684"/>
      <c r="H298" s="667">
        <f t="shared" si="29"/>
        <v>0</v>
      </c>
      <c r="I298" s="675"/>
      <c r="J298" s="667">
        <f t="shared" si="26"/>
        <v>0</v>
      </c>
      <c r="K298" s="667"/>
      <c r="L298" s="667"/>
      <c r="M298" s="667" t="e">
        <f>G298+#REF!+#REF!+#REF!+I298+#REF!+#REF!+#REF!+#REF!+#REF!+#REF!+K298+#REF!+#REF!+#REF!</f>
        <v>#REF!</v>
      </c>
      <c r="N298" s="667" t="e">
        <f t="shared" si="27"/>
        <v>#REF!</v>
      </c>
      <c r="O298" s="665" t="e">
        <f>#REF!+M298</f>
        <v>#REF!</v>
      </c>
      <c r="P298" s="666" t="e">
        <f t="shared" si="28"/>
        <v>#REF!</v>
      </c>
      <c r="Q298" s="672"/>
      <c r="R298" s="668"/>
      <c r="S298" s="676"/>
      <c r="T298" s="676"/>
    </row>
    <row r="299" spans="1:20" s="677" customFormat="1" ht="25.5" hidden="1" customHeight="1">
      <c r="A299" s="666"/>
      <c r="B299" s="666">
        <f t="shared" si="25"/>
        <v>0</v>
      </c>
      <c r="C299" s="663" t="s">
        <v>1488</v>
      </c>
      <c r="D299" s="675">
        <f>ROUND([14]Data!K1097,2)</f>
        <v>3552.27</v>
      </c>
      <c r="E299" s="674" t="s">
        <v>264</v>
      </c>
      <c r="F299" s="663">
        <f t="shared" si="30"/>
        <v>0</v>
      </c>
      <c r="G299" s="684"/>
      <c r="H299" s="667">
        <f t="shared" si="29"/>
        <v>0</v>
      </c>
      <c r="I299" s="675"/>
      <c r="J299" s="667">
        <f t="shared" si="26"/>
        <v>0</v>
      </c>
      <c r="K299" s="667"/>
      <c r="L299" s="667"/>
      <c r="M299" s="667" t="e">
        <f>G299+#REF!+#REF!+#REF!+I299+#REF!+#REF!+#REF!+#REF!+#REF!+#REF!+K299+#REF!+#REF!+#REF!</f>
        <v>#REF!</v>
      </c>
      <c r="N299" s="667" t="e">
        <f t="shared" si="27"/>
        <v>#REF!</v>
      </c>
      <c r="O299" s="665" t="e">
        <f>#REF!+M299</f>
        <v>#REF!</v>
      </c>
      <c r="P299" s="666" t="e">
        <f t="shared" si="28"/>
        <v>#REF!</v>
      </c>
      <c r="Q299" s="672"/>
      <c r="R299" s="668"/>
      <c r="S299" s="676"/>
      <c r="T299" s="676"/>
    </row>
    <row r="300" spans="1:20" s="677" customFormat="1" ht="25.5" hidden="1" customHeight="1">
      <c r="A300" s="690"/>
      <c r="B300" s="666">
        <f t="shared" si="25"/>
        <v>0</v>
      </c>
      <c r="C300" s="663" t="s">
        <v>1489</v>
      </c>
      <c r="D300" s="675">
        <f>ROUND([14]Data!K1112,2)</f>
        <v>2642.35</v>
      </c>
      <c r="E300" s="674" t="s">
        <v>264</v>
      </c>
      <c r="F300" s="663">
        <f t="shared" si="30"/>
        <v>0</v>
      </c>
      <c r="G300" s="684"/>
      <c r="H300" s="667">
        <f t="shared" si="29"/>
        <v>0</v>
      </c>
      <c r="I300" s="675"/>
      <c r="J300" s="667">
        <f t="shared" si="26"/>
        <v>0</v>
      </c>
      <c r="K300" s="667"/>
      <c r="L300" s="667"/>
      <c r="M300" s="667" t="e">
        <f>G300+#REF!+#REF!+#REF!+I300+#REF!+#REF!+#REF!+#REF!+#REF!+#REF!+K300+#REF!+#REF!+#REF!</f>
        <v>#REF!</v>
      </c>
      <c r="N300" s="667" t="e">
        <f t="shared" si="27"/>
        <v>#REF!</v>
      </c>
      <c r="O300" s="665" t="e">
        <f>#REF!+M300</f>
        <v>#REF!</v>
      </c>
      <c r="P300" s="666" t="e">
        <f t="shared" si="28"/>
        <v>#REF!</v>
      </c>
      <c r="Q300" s="672"/>
      <c r="R300" s="668"/>
      <c r="S300" s="676"/>
      <c r="T300" s="676"/>
    </row>
    <row r="301" spans="1:20" s="677" customFormat="1" ht="37.5" hidden="1" customHeight="1">
      <c r="A301" s="662">
        <v>22.3</v>
      </c>
      <c r="B301" s="666">
        <f t="shared" si="25"/>
        <v>0</v>
      </c>
      <c r="C301" s="663" t="s">
        <v>1490</v>
      </c>
      <c r="D301" s="675"/>
      <c r="E301" s="674" t="s">
        <v>264</v>
      </c>
      <c r="F301" s="663">
        <f t="shared" si="30"/>
        <v>0</v>
      </c>
      <c r="G301" s="684"/>
      <c r="H301" s="667">
        <f t="shared" si="29"/>
        <v>0</v>
      </c>
      <c r="I301" s="675"/>
      <c r="J301" s="667">
        <f t="shared" si="26"/>
        <v>0</v>
      </c>
      <c r="K301" s="667"/>
      <c r="L301" s="667"/>
      <c r="M301" s="667" t="e">
        <f>G301+#REF!+#REF!+#REF!+I301+#REF!+#REF!+#REF!+#REF!+#REF!+#REF!+K301+#REF!+#REF!+#REF!</f>
        <v>#REF!</v>
      </c>
      <c r="N301" s="667" t="e">
        <f t="shared" si="27"/>
        <v>#REF!</v>
      </c>
      <c r="O301" s="665" t="e">
        <f>#REF!+M301</f>
        <v>#REF!</v>
      </c>
      <c r="P301" s="666" t="e">
        <f t="shared" si="28"/>
        <v>#REF!</v>
      </c>
      <c r="Q301" s="672"/>
      <c r="R301" s="668"/>
      <c r="S301" s="676"/>
      <c r="T301" s="676"/>
    </row>
    <row r="302" spans="1:20" s="677" customFormat="1" ht="43.5" hidden="1" customHeight="1">
      <c r="A302" s="662">
        <v>23.1</v>
      </c>
      <c r="B302" s="666">
        <f t="shared" si="25"/>
        <v>0</v>
      </c>
      <c r="C302" s="663" t="s">
        <v>1491</v>
      </c>
      <c r="D302" s="675"/>
      <c r="E302" s="674" t="s">
        <v>264</v>
      </c>
      <c r="F302" s="663">
        <f t="shared" si="30"/>
        <v>0</v>
      </c>
      <c r="G302" s="684"/>
      <c r="H302" s="667">
        <f t="shared" si="29"/>
        <v>0</v>
      </c>
      <c r="I302" s="675"/>
      <c r="J302" s="667">
        <f t="shared" si="26"/>
        <v>0</v>
      </c>
      <c r="K302" s="667"/>
      <c r="L302" s="667"/>
      <c r="M302" s="667" t="e">
        <f>G302+#REF!+#REF!+#REF!+I302+#REF!+#REF!+#REF!+#REF!+#REF!+#REF!+K302+#REF!+#REF!+#REF!</f>
        <v>#REF!</v>
      </c>
      <c r="N302" s="667" t="e">
        <f t="shared" si="27"/>
        <v>#REF!</v>
      </c>
      <c r="O302" s="665" t="e">
        <f>#REF!+M302</f>
        <v>#REF!</v>
      </c>
      <c r="P302" s="666" t="e">
        <f t="shared" si="28"/>
        <v>#REF!</v>
      </c>
      <c r="Q302" s="672"/>
      <c r="R302" s="668"/>
      <c r="S302" s="676"/>
      <c r="T302" s="676"/>
    </row>
    <row r="303" spans="1:20" s="677" customFormat="1" ht="25.5" hidden="1" customHeight="1">
      <c r="A303" s="690"/>
      <c r="B303" s="666">
        <f t="shared" si="25"/>
        <v>0</v>
      </c>
      <c r="C303" s="663" t="s">
        <v>1473</v>
      </c>
      <c r="D303" s="675">
        <f>ROUND([14]Data!K1066,2)</f>
        <v>3424.55</v>
      </c>
      <c r="E303" s="674" t="s">
        <v>264</v>
      </c>
      <c r="F303" s="663">
        <f t="shared" si="30"/>
        <v>0</v>
      </c>
      <c r="G303" s="684"/>
      <c r="H303" s="667">
        <f t="shared" si="29"/>
        <v>0</v>
      </c>
      <c r="I303" s="675"/>
      <c r="J303" s="667">
        <f t="shared" si="26"/>
        <v>0</v>
      </c>
      <c r="K303" s="667"/>
      <c r="L303" s="667"/>
      <c r="M303" s="667" t="e">
        <f>G303+#REF!+#REF!+#REF!+I303+#REF!+#REF!+#REF!+#REF!+#REF!+#REF!+K303+#REF!+#REF!+#REF!</f>
        <v>#REF!</v>
      </c>
      <c r="N303" s="667" t="e">
        <f t="shared" si="27"/>
        <v>#REF!</v>
      </c>
      <c r="O303" s="665" t="e">
        <f>#REF!+M303</f>
        <v>#REF!</v>
      </c>
      <c r="P303" s="666" t="e">
        <f t="shared" si="28"/>
        <v>#REF!</v>
      </c>
      <c r="Q303" s="672"/>
      <c r="R303" s="668"/>
      <c r="S303" s="676"/>
      <c r="T303" s="676"/>
    </row>
    <row r="304" spans="1:20" s="677" customFormat="1" ht="25.5" hidden="1" customHeight="1">
      <c r="A304" s="662">
        <v>23.2</v>
      </c>
      <c r="B304" s="666">
        <f t="shared" si="25"/>
        <v>0</v>
      </c>
      <c r="C304" s="663" t="s">
        <v>1492</v>
      </c>
      <c r="D304" s="675">
        <f>ROUND([14]Data!K1185,2)</f>
        <v>708.1</v>
      </c>
      <c r="E304" s="674" t="s">
        <v>264</v>
      </c>
      <c r="F304" s="663">
        <f t="shared" si="30"/>
        <v>0</v>
      </c>
      <c r="G304" s="684"/>
      <c r="H304" s="667">
        <f t="shared" si="29"/>
        <v>0</v>
      </c>
      <c r="I304" s="675"/>
      <c r="J304" s="667">
        <f t="shared" si="26"/>
        <v>0</v>
      </c>
      <c r="K304" s="667"/>
      <c r="L304" s="667"/>
      <c r="M304" s="667" t="e">
        <f>G304+#REF!+#REF!+#REF!+I304+#REF!+#REF!+#REF!+#REF!+#REF!+#REF!+K304+#REF!+#REF!+#REF!</f>
        <v>#REF!</v>
      </c>
      <c r="N304" s="667" t="e">
        <f t="shared" si="27"/>
        <v>#REF!</v>
      </c>
      <c r="O304" s="665" t="e">
        <f>#REF!+M304</f>
        <v>#REF!</v>
      </c>
      <c r="P304" s="666" t="e">
        <f t="shared" si="28"/>
        <v>#REF!</v>
      </c>
      <c r="Q304" s="672"/>
      <c r="R304" s="668"/>
      <c r="S304" s="676"/>
      <c r="T304" s="676"/>
    </row>
    <row r="305" spans="1:20" s="683" customFormat="1" ht="51" hidden="1" customHeight="1">
      <c r="A305" s="662">
        <v>23.3</v>
      </c>
      <c r="B305" s="666">
        <f t="shared" si="25"/>
        <v>0</v>
      </c>
      <c r="C305" s="663" t="s">
        <v>1493</v>
      </c>
      <c r="D305" s="667">
        <f>[14]Data!K1170</f>
        <v>52</v>
      </c>
      <c r="E305" s="663" t="s">
        <v>522</v>
      </c>
      <c r="F305" s="663">
        <f t="shared" si="30"/>
        <v>0</v>
      </c>
      <c r="G305" s="690"/>
      <c r="H305" s="667">
        <f t="shared" si="29"/>
        <v>0</v>
      </c>
      <c r="I305" s="667"/>
      <c r="J305" s="667">
        <f t="shared" si="26"/>
        <v>0</v>
      </c>
      <c r="K305" s="667"/>
      <c r="L305" s="667"/>
      <c r="M305" s="667" t="e">
        <f>G305+#REF!+#REF!+#REF!+I305+#REF!+#REF!+#REF!+#REF!+#REF!+#REF!+K305+#REF!+#REF!+#REF!</f>
        <v>#REF!</v>
      </c>
      <c r="N305" s="667" t="e">
        <f t="shared" si="27"/>
        <v>#REF!</v>
      </c>
      <c r="O305" s="665" t="e">
        <f>#REF!+M305</f>
        <v>#REF!</v>
      </c>
      <c r="P305" s="666" t="e">
        <f t="shared" si="28"/>
        <v>#REF!</v>
      </c>
      <c r="Q305" s="672"/>
      <c r="R305" s="668"/>
      <c r="S305" s="669"/>
      <c r="T305" s="669"/>
    </row>
    <row r="306" spans="1:20" s="677" customFormat="1" ht="46.5" hidden="1" customHeight="1">
      <c r="A306" s="662">
        <v>23.4</v>
      </c>
      <c r="B306" s="666">
        <f t="shared" si="25"/>
        <v>0</v>
      </c>
      <c r="C306" s="663" t="s">
        <v>1494</v>
      </c>
      <c r="D306" s="675"/>
      <c r="E306" s="674"/>
      <c r="F306" s="663">
        <f t="shared" si="30"/>
        <v>0</v>
      </c>
      <c r="G306" s="684"/>
      <c r="H306" s="667">
        <f t="shared" si="29"/>
        <v>0</v>
      </c>
      <c r="I306" s="675"/>
      <c r="J306" s="667">
        <f t="shared" si="26"/>
        <v>0</v>
      </c>
      <c r="K306" s="667"/>
      <c r="L306" s="667"/>
      <c r="M306" s="667" t="e">
        <f>G306+#REF!+#REF!+#REF!+I306+#REF!+#REF!+#REF!+#REF!+#REF!+#REF!+K306+#REF!+#REF!+#REF!</f>
        <v>#REF!</v>
      </c>
      <c r="N306" s="667" t="e">
        <f t="shared" si="27"/>
        <v>#REF!</v>
      </c>
      <c r="O306" s="665" t="e">
        <f>#REF!+M306</f>
        <v>#REF!</v>
      </c>
      <c r="P306" s="666" t="e">
        <f t="shared" si="28"/>
        <v>#REF!</v>
      </c>
      <c r="Q306" s="672"/>
      <c r="R306" s="668"/>
      <c r="S306" s="676"/>
      <c r="T306" s="676"/>
    </row>
    <row r="307" spans="1:20" s="677" customFormat="1" ht="33" hidden="1" customHeight="1">
      <c r="A307" s="666"/>
      <c r="B307" s="666">
        <f t="shared" si="25"/>
        <v>0</v>
      </c>
      <c r="C307" s="663" t="s">
        <v>1495</v>
      </c>
      <c r="D307" s="675">
        <f>[14]Data!X1399</f>
        <v>14549.64</v>
      </c>
      <c r="E307" s="674" t="s">
        <v>522</v>
      </c>
      <c r="F307" s="663">
        <f t="shared" si="30"/>
        <v>0</v>
      </c>
      <c r="G307" s="684"/>
      <c r="H307" s="667">
        <f t="shared" si="29"/>
        <v>0</v>
      </c>
      <c r="I307" s="675"/>
      <c r="J307" s="667">
        <f t="shared" si="26"/>
        <v>0</v>
      </c>
      <c r="K307" s="667"/>
      <c r="L307" s="667"/>
      <c r="M307" s="667" t="e">
        <f>G307+#REF!+#REF!+#REF!+I307+#REF!+#REF!+#REF!+#REF!+#REF!+#REF!+K307+#REF!+#REF!+#REF!</f>
        <v>#REF!</v>
      </c>
      <c r="N307" s="667" t="e">
        <f t="shared" si="27"/>
        <v>#REF!</v>
      </c>
      <c r="O307" s="665" t="e">
        <f>#REF!+M307</f>
        <v>#REF!</v>
      </c>
      <c r="P307" s="666" t="e">
        <f t="shared" si="28"/>
        <v>#REF!</v>
      </c>
      <c r="Q307" s="672"/>
      <c r="R307" s="668"/>
      <c r="S307" s="676"/>
      <c r="T307" s="676"/>
    </row>
    <row r="308" spans="1:20" s="677" customFormat="1" ht="33" hidden="1" customHeight="1">
      <c r="A308" s="666"/>
      <c r="B308" s="666">
        <f t="shared" si="25"/>
        <v>0</v>
      </c>
      <c r="C308" s="663" t="s">
        <v>1496</v>
      </c>
      <c r="D308" s="675">
        <f>[14]Data!R1404</f>
        <v>10968.39</v>
      </c>
      <c r="E308" s="674" t="s">
        <v>522</v>
      </c>
      <c r="F308" s="663">
        <f t="shared" si="30"/>
        <v>0</v>
      </c>
      <c r="G308" s="684"/>
      <c r="H308" s="667">
        <f t="shared" si="29"/>
        <v>0</v>
      </c>
      <c r="I308" s="675"/>
      <c r="J308" s="667">
        <f t="shared" si="26"/>
        <v>0</v>
      </c>
      <c r="K308" s="667"/>
      <c r="L308" s="667"/>
      <c r="M308" s="667" t="e">
        <f>G308+#REF!+#REF!+#REF!+I308+#REF!+#REF!+#REF!+#REF!+#REF!+#REF!+K308+#REF!+#REF!+#REF!</f>
        <v>#REF!</v>
      </c>
      <c r="N308" s="667" t="e">
        <f t="shared" si="27"/>
        <v>#REF!</v>
      </c>
      <c r="O308" s="665" t="e">
        <f>#REF!+M308</f>
        <v>#REF!</v>
      </c>
      <c r="P308" s="666" t="e">
        <f t="shared" si="28"/>
        <v>#REF!</v>
      </c>
      <c r="Q308" s="672"/>
      <c r="R308" s="668"/>
      <c r="S308" s="676"/>
      <c r="T308" s="676"/>
    </row>
    <row r="309" spans="1:20" s="677" customFormat="1" ht="33" hidden="1" customHeight="1">
      <c r="A309" s="666"/>
      <c r="B309" s="666">
        <f t="shared" si="25"/>
        <v>0</v>
      </c>
      <c r="C309" s="663" t="s">
        <v>1497</v>
      </c>
      <c r="D309" s="675">
        <f>[14]Data!X1365</f>
        <v>9368.61</v>
      </c>
      <c r="E309" s="674" t="s">
        <v>522</v>
      </c>
      <c r="F309" s="663">
        <f t="shared" si="30"/>
        <v>0</v>
      </c>
      <c r="G309" s="684"/>
      <c r="H309" s="667">
        <f t="shared" si="29"/>
        <v>0</v>
      </c>
      <c r="I309" s="675"/>
      <c r="J309" s="667">
        <f t="shared" si="26"/>
        <v>0</v>
      </c>
      <c r="K309" s="667"/>
      <c r="L309" s="667"/>
      <c r="M309" s="667" t="e">
        <f>G309+#REF!+#REF!+#REF!+I309+#REF!+#REF!+#REF!+#REF!+#REF!+#REF!+K309+#REF!+#REF!+#REF!</f>
        <v>#REF!</v>
      </c>
      <c r="N309" s="667" t="e">
        <f t="shared" si="27"/>
        <v>#REF!</v>
      </c>
      <c r="O309" s="665" t="e">
        <f>#REF!+M309</f>
        <v>#REF!</v>
      </c>
      <c r="P309" s="666" t="e">
        <f t="shared" si="28"/>
        <v>#REF!</v>
      </c>
      <c r="Q309" s="672"/>
      <c r="R309" s="668"/>
      <c r="S309" s="676"/>
      <c r="T309" s="676"/>
    </row>
    <row r="310" spans="1:20" s="677" customFormat="1" ht="33" hidden="1" customHeight="1">
      <c r="A310" s="666"/>
      <c r="B310" s="666">
        <f t="shared" si="25"/>
        <v>0</v>
      </c>
      <c r="C310" s="663" t="s">
        <v>1498</v>
      </c>
      <c r="D310" s="675">
        <f>[14]Data!R1421</f>
        <v>8713.44</v>
      </c>
      <c r="E310" s="674" t="s">
        <v>522</v>
      </c>
      <c r="F310" s="663">
        <f t="shared" si="30"/>
        <v>0</v>
      </c>
      <c r="G310" s="684"/>
      <c r="H310" s="667">
        <f t="shared" si="29"/>
        <v>0</v>
      </c>
      <c r="I310" s="675"/>
      <c r="J310" s="667">
        <f t="shared" si="26"/>
        <v>0</v>
      </c>
      <c r="K310" s="667"/>
      <c r="L310" s="667"/>
      <c r="M310" s="667" t="e">
        <f>G310+#REF!+#REF!+#REF!+I310+#REF!+#REF!+#REF!+#REF!+#REF!+#REF!+K310+#REF!+#REF!+#REF!</f>
        <v>#REF!</v>
      </c>
      <c r="N310" s="667" t="e">
        <f t="shared" si="27"/>
        <v>#REF!</v>
      </c>
      <c r="O310" s="665" t="e">
        <f>#REF!+M310</f>
        <v>#REF!</v>
      </c>
      <c r="P310" s="666" t="e">
        <f t="shared" si="28"/>
        <v>#REF!</v>
      </c>
      <c r="Q310" s="672"/>
      <c r="R310" s="668"/>
      <c r="S310" s="676"/>
      <c r="T310" s="676"/>
    </row>
    <row r="311" spans="1:20" s="677" customFormat="1" ht="33" hidden="1" customHeight="1">
      <c r="A311" s="666"/>
      <c r="B311" s="666">
        <f t="shared" si="25"/>
        <v>0</v>
      </c>
      <c r="C311" s="663" t="s">
        <v>1499</v>
      </c>
      <c r="D311" s="675">
        <f>[14]Data!X1463</f>
        <v>7235.67</v>
      </c>
      <c r="E311" s="674" t="s">
        <v>522</v>
      </c>
      <c r="F311" s="663">
        <f t="shared" si="30"/>
        <v>0</v>
      </c>
      <c r="G311" s="684"/>
      <c r="H311" s="667">
        <f t="shared" si="29"/>
        <v>0</v>
      </c>
      <c r="I311" s="675"/>
      <c r="J311" s="667">
        <f t="shared" si="26"/>
        <v>0</v>
      </c>
      <c r="K311" s="667"/>
      <c r="L311" s="667"/>
      <c r="M311" s="667" t="e">
        <f>G311+#REF!+#REF!+#REF!+I311+#REF!+#REF!+#REF!+#REF!+#REF!+#REF!+K311+#REF!+#REF!+#REF!</f>
        <v>#REF!</v>
      </c>
      <c r="N311" s="667" t="e">
        <f t="shared" si="27"/>
        <v>#REF!</v>
      </c>
      <c r="O311" s="665" t="e">
        <f>#REF!+M311</f>
        <v>#REF!</v>
      </c>
      <c r="P311" s="666" t="e">
        <f t="shared" si="28"/>
        <v>#REF!</v>
      </c>
      <c r="Q311" s="672"/>
      <c r="R311" s="668"/>
      <c r="S311" s="676"/>
      <c r="T311" s="676"/>
    </row>
    <row r="312" spans="1:20" s="677" customFormat="1" ht="33" hidden="1" customHeight="1">
      <c r="A312" s="666"/>
      <c r="B312" s="666">
        <f t="shared" si="25"/>
        <v>0</v>
      </c>
      <c r="C312" s="663" t="s">
        <v>1500</v>
      </c>
      <c r="D312" s="675">
        <f>[14]Data!AD1380</f>
        <v>8048.46</v>
      </c>
      <c r="E312" s="674" t="s">
        <v>522</v>
      </c>
      <c r="F312" s="663">
        <f t="shared" si="30"/>
        <v>0</v>
      </c>
      <c r="G312" s="684"/>
      <c r="H312" s="667">
        <f t="shared" si="29"/>
        <v>0</v>
      </c>
      <c r="I312" s="675"/>
      <c r="J312" s="667">
        <f t="shared" si="26"/>
        <v>0</v>
      </c>
      <c r="K312" s="667"/>
      <c r="L312" s="667"/>
      <c r="M312" s="667" t="e">
        <f>G312+#REF!+#REF!+#REF!+I312+#REF!+#REF!+#REF!+#REF!+#REF!+#REF!+K312+#REF!+#REF!+#REF!</f>
        <v>#REF!</v>
      </c>
      <c r="N312" s="667" t="e">
        <f t="shared" si="27"/>
        <v>#REF!</v>
      </c>
      <c r="O312" s="665" t="e">
        <f>#REF!+M312</f>
        <v>#REF!</v>
      </c>
      <c r="P312" s="666" t="e">
        <f t="shared" si="28"/>
        <v>#REF!</v>
      </c>
      <c r="Q312" s="672"/>
      <c r="R312" s="668"/>
      <c r="S312" s="676"/>
      <c r="T312" s="676"/>
    </row>
    <row r="313" spans="1:20" s="677" customFormat="1" ht="33" hidden="1" customHeight="1">
      <c r="A313" s="666"/>
      <c r="B313" s="666">
        <f t="shared" si="25"/>
        <v>0</v>
      </c>
      <c r="C313" s="663" t="s">
        <v>1501</v>
      </c>
      <c r="D313" s="675">
        <f>[14]Data!X1382</f>
        <v>7379.44</v>
      </c>
      <c r="E313" s="674" t="s">
        <v>522</v>
      </c>
      <c r="F313" s="663">
        <f t="shared" si="30"/>
        <v>0</v>
      </c>
      <c r="G313" s="684"/>
      <c r="H313" s="667">
        <f t="shared" si="29"/>
        <v>0</v>
      </c>
      <c r="I313" s="675"/>
      <c r="J313" s="667">
        <f t="shared" si="26"/>
        <v>0</v>
      </c>
      <c r="K313" s="667"/>
      <c r="L313" s="667"/>
      <c r="M313" s="667" t="e">
        <f>G313+#REF!+#REF!+#REF!+I313+#REF!+#REF!+#REF!+#REF!+#REF!+#REF!+K313+#REF!+#REF!+#REF!</f>
        <v>#REF!</v>
      </c>
      <c r="N313" s="667" t="e">
        <f t="shared" si="27"/>
        <v>#REF!</v>
      </c>
      <c r="O313" s="665" t="e">
        <f>#REF!+M313</f>
        <v>#REF!</v>
      </c>
      <c r="P313" s="666" t="e">
        <f t="shared" si="28"/>
        <v>#REF!</v>
      </c>
      <c r="Q313" s="672"/>
      <c r="R313" s="668"/>
      <c r="S313" s="676"/>
      <c r="T313" s="676"/>
    </row>
    <row r="314" spans="1:20" s="677" customFormat="1" ht="33" hidden="1" customHeight="1">
      <c r="A314" s="666"/>
      <c r="B314" s="666">
        <f t="shared" si="25"/>
        <v>0</v>
      </c>
      <c r="C314" s="663" t="s">
        <v>1502</v>
      </c>
      <c r="D314" s="675">
        <f>[14]Data!AD1363</f>
        <v>6304.16</v>
      </c>
      <c r="E314" s="674" t="s">
        <v>522</v>
      </c>
      <c r="F314" s="663">
        <f t="shared" si="30"/>
        <v>0</v>
      </c>
      <c r="G314" s="684"/>
      <c r="H314" s="667">
        <f t="shared" si="29"/>
        <v>0</v>
      </c>
      <c r="I314" s="675"/>
      <c r="J314" s="667">
        <f t="shared" si="26"/>
        <v>0</v>
      </c>
      <c r="K314" s="667"/>
      <c r="L314" s="667"/>
      <c r="M314" s="667" t="e">
        <f>G314+#REF!+#REF!+#REF!+I314+#REF!+#REF!+#REF!+#REF!+#REF!+#REF!+K314+#REF!+#REF!+#REF!</f>
        <v>#REF!</v>
      </c>
      <c r="N314" s="667" t="e">
        <f t="shared" si="27"/>
        <v>#REF!</v>
      </c>
      <c r="O314" s="665" t="e">
        <f>#REF!+M314</f>
        <v>#REF!</v>
      </c>
      <c r="P314" s="666" t="e">
        <f t="shared" si="28"/>
        <v>#REF!</v>
      </c>
      <c r="Q314" s="672"/>
      <c r="R314" s="668"/>
      <c r="S314" s="676"/>
      <c r="T314" s="676"/>
    </row>
    <row r="315" spans="1:20" s="677" customFormat="1" ht="33" hidden="1" customHeight="1">
      <c r="A315" s="666"/>
      <c r="B315" s="666">
        <f t="shared" si="25"/>
        <v>0</v>
      </c>
      <c r="C315" s="663" t="s">
        <v>1503</v>
      </c>
      <c r="D315" s="675">
        <f>[14]Data!AD1397</f>
        <v>4015.35</v>
      </c>
      <c r="E315" s="674" t="s">
        <v>522</v>
      </c>
      <c r="F315" s="663">
        <f t="shared" si="30"/>
        <v>0</v>
      </c>
      <c r="G315" s="684"/>
      <c r="H315" s="667">
        <f t="shared" si="29"/>
        <v>0</v>
      </c>
      <c r="I315" s="675"/>
      <c r="J315" s="667">
        <f t="shared" si="26"/>
        <v>0</v>
      </c>
      <c r="K315" s="667"/>
      <c r="L315" s="667"/>
      <c r="M315" s="667" t="e">
        <f>G315+#REF!+#REF!+#REF!+I315+#REF!+#REF!+#REF!+#REF!+#REF!+#REF!+K315+#REF!+#REF!+#REF!</f>
        <v>#REF!</v>
      </c>
      <c r="N315" s="667" t="e">
        <f t="shared" si="27"/>
        <v>#REF!</v>
      </c>
      <c r="O315" s="665" t="e">
        <f>#REF!+M315</f>
        <v>#REF!</v>
      </c>
      <c r="P315" s="666" t="e">
        <f t="shared" si="28"/>
        <v>#REF!</v>
      </c>
      <c r="Q315" s="672"/>
      <c r="R315" s="668"/>
      <c r="S315" s="676"/>
      <c r="T315" s="676"/>
    </row>
    <row r="316" spans="1:20" s="677" customFormat="1" ht="33" hidden="1" customHeight="1">
      <c r="A316" s="666"/>
      <c r="B316" s="666">
        <f t="shared" si="25"/>
        <v>0</v>
      </c>
      <c r="C316" s="663" t="s">
        <v>1504</v>
      </c>
      <c r="D316" s="675">
        <f>[14]Data!R1438</f>
        <v>3794.03</v>
      </c>
      <c r="E316" s="674" t="s">
        <v>522</v>
      </c>
      <c r="F316" s="663">
        <f t="shared" si="30"/>
        <v>0</v>
      </c>
      <c r="G316" s="684"/>
      <c r="H316" s="667">
        <f t="shared" si="29"/>
        <v>0</v>
      </c>
      <c r="I316" s="675"/>
      <c r="J316" s="667">
        <f t="shared" si="26"/>
        <v>0</v>
      </c>
      <c r="K316" s="667"/>
      <c r="L316" s="667"/>
      <c r="M316" s="667" t="e">
        <f>G316+#REF!+#REF!+#REF!+I316+#REF!+#REF!+#REF!+#REF!+#REF!+#REF!+K316+#REF!+#REF!+#REF!</f>
        <v>#REF!</v>
      </c>
      <c r="N316" s="667" t="e">
        <f t="shared" si="27"/>
        <v>#REF!</v>
      </c>
      <c r="O316" s="665" t="e">
        <f>#REF!+M316</f>
        <v>#REF!</v>
      </c>
      <c r="P316" s="666" t="e">
        <f t="shared" si="28"/>
        <v>#REF!</v>
      </c>
      <c r="Q316" s="672"/>
      <c r="R316" s="668"/>
      <c r="S316" s="676"/>
      <c r="T316" s="676"/>
    </row>
    <row r="317" spans="1:20" s="677" customFormat="1" ht="33" hidden="1" customHeight="1">
      <c r="A317" s="666"/>
      <c r="B317" s="666">
        <f t="shared" si="25"/>
        <v>0</v>
      </c>
      <c r="C317" s="663" t="s">
        <v>1505</v>
      </c>
      <c r="D317" s="675">
        <f>[14]Data!R1479</f>
        <v>4535.8900000000003</v>
      </c>
      <c r="E317" s="674" t="s">
        <v>522</v>
      </c>
      <c r="F317" s="663">
        <f t="shared" si="30"/>
        <v>0</v>
      </c>
      <c r="G317" s="684"/>
      <c r="H317" s="667">
        <f t="shared" si="29"/>
        <v>0</v>
      </c>
      <c r="I317" s="675"/>
      <c r="J317" s="667">
        <f t="shared" si="26"/>
        <v>0</v>
      </c>
      <c r="K317" s="667"/>
      <c r="L317" s="667"/>
      <c r="M317" s="667" t="e">
        <f>G317+#REF!+#REF!+#REF!+I317+#REF!+#REF!+#REF!+#REF!+#REF!+#REF!+K317+#REF!+#REF!+#REF!</f>
        <v>#REF!</v>
      </c>
      <c r="N317" s="667" t="e">
        <f t="shared" si="27"/>
        <v>#REF!</v>
      </c>
      <c r="O317" s="665" t="e">
        <f>#REF!+M317</f>
        <v>#REF!</v>
      </c>
      <c r="P317" s="666" t="e">
        <f t="shared" si="28"/>
        <v>#REF!</v>
      </c>
      <c r="Q317" s="672"/>
      <c r="R317" s="668"/>
      <c r="S317" s="676"/>
      <c r="T317" s="676"/>
    </row>
    <row r="318" spans="1:20" s="677" customFormat="1" ht="18" hidden="1" customHeight="1">
      <c r="A318" s="690"/>
      <c r="B318" s="666">
        <f t="shared" si="25"/>
        <v>0</v>
      </c>
      <c r="C318" s="663" t="s">
        <v>1506</v>
      </c>
      <c r="D318" s="675">
        <f>[14]Data!X1440</f>
        <v>5059.03</v>
      </c>
      <c r="E318" s="674" t="s">
        <v>522</v>
      </c>
      <c r="F318" s="663">
        <f t="shared" si="30"/>
        <v>0</v>
      </c>
      <c r="G318" s="684"/>
      <c r="H318" s="667">
        <f t="shared" si="29"/>
        <v>0</v>
      </c>
      <c r="I318" s="675"/>
      <c r="J318" s="667">
        <f t="shared" si="26"/>
        <v>0</v>
      </c>
      <c r="K318" s="667"/>
      <c r="L318" s="667"/>
      <c r="M318" s="667" t="e">
        <f>G318+#REF!+#REF!+#REF!+I318+#REF!+#REF!+#REF!+#REF!+#REF!+#REF!+K318+#REF!+#REF!+#REF!</f>
        <v>#REF!</v>
      </c>
      <c r="N318" s="667" t="e">
        <f t="shared" si="27"/>
        <v>#REF!</v>
      </c>
      <c r="O318" s="665" t="e">
        <f>#REF!+M318</f>
        <v>#REF!</v>
      </c>
      <c r="P318" s="666" t="e">
        <f t="shared" si="28"/>
        <v>#REF!</v>
      </c>
      <c r="Q318" s="672"/>
      <c r="R318" s="668"/>
      <c r="S318" s="676"/>
      <c r="T318" s="676"/>
    </row>
    <row r="319" spans="1:20" ht="56.25" hidden="1" customHeight="1">
      <c r="A319" s="662">
        <v>24</v>
      </c>
      <c r="B319" s="666">
        <f t="shared" si="25"/>
        <v>0</v>
      </c>
      <c r="C319" s="663" t="s">
        <v>1507</v>
      </c>
      <c r="D319" s="667">
        <f>[14]Data!K1191</f>
        <v>62.1</v>
      </c>
      <c r="E319" s="663" t="s">
        <v>271</v>
      </c>
      <c r="F319" s="663">
        <f t="shared" si="30"/>
        <v>0</v>
      </c>
      <c r="G319" s="699"/>
      <c r="H319" s="667">
        <f t="shared" si="29"/>
        <v>0</v>
      </c>
      <c r="I319" s="667"/>
      <c r="J319" s="667">
        <f t="shared" si="26"/>
        <v>0</v>
      </c>
      <c r="K319" s="667"/>
      <c r="L319" s="667"/>
      <c r="M319" s="667" t="e">
        <f>G319+#REF!+#REF!+#REF!+I319+#REF!+#REF!+#REF!+#REF!+#REF!+#REF!+K319+#REF!+#REF!+#REF!</f>
        <v>#REF!</v>
      </c>
      <c r="N319" s="667" t="e">
        <f t="shared" si="27"/>
        <v>#REF!</v>
      </c>
      <c r="O319" s="665" t="e">
        <f>#REF!+M319</f>
        <v>#REF!</v>
      </c>
      <c r="P319" s="666" t="e">
        <f t="shared" si="28"/>
        <v>#REF!</v>
      </c>
      <c r="Q319" s="672"/>
      <c r="R319" s="668"/>
    </row>
    <row r="320" spans="1:20" ht="45.75" hidden="1" customHeight="1">
      <c r="A320" s="662">
        <v>25</v>
      </c>
      <c r="B320" s="666">
        <f t="shared" si="25"/>
        <v>0</v>
      </c>
      <c r="C320" s="663" t="s">
        <v>1508</v>
      </c>
      <c r="D320" s="667">
        <f>ROUND([14]Data!K1194,2)</f>
        <v>9.6</v>
      </c>
      <c r="E320" s="663" t="s">
        <v>522</v>
      </c>
      <c r="F320" s="663">
        <f t="shared" si="30"/>
        <v>0</v>
      </c>
      <c r="G320" s="690"/>
      <c r="H320" s="667">
        <f t="shared" si="29"/>
        <v>0</v>
      </c>
      <c r="I320" s="667"/>
      <c r="J320" s="667">
        <f t="shared" si="26"/>
        <v>0</v>
      </c>
      <c r="K320" s="667"/>
      <c r="L320" s="667"/>
      <c r="M320" s="667" t="e">
        <f>G320+#REF!+#REF!+#REF!+I320+#REF!+#REF!+#REF!+#REF!+#REF!+#REF!+K320+#REF!+#REF!+#REF!</f>
        <v>#REF!</v>
      </c>
      <c r="N320" s="667" t="e">
        <f t="shared" si="27"/>
        <v>#REF!</v>
      </c>
      <c r="O320" s="665" t="e">
        <f>#REF!+M320</f>
        <v>#REF!</v>
      </c>
      <c r="P320" s="666" t="e">
        <f t="shared" si="28"/>
        <v>#REF!</v>
      </c>
      <c r="Q320" s="672"/>
      <c r="R320" s="668"/>
    </row>
    <row r="321" spans="1:20" ht="45.75" hidden="1" customHeight="1">
      <c r="A321" s="662">
        <v>26</v>
      </c>
      <c r="B321" s="666">
        <f t="shared" si="25"/>
        <v>0</v>
      </c>
      <c r="C321" s="663" t="s">
        <v>1509</v>
      </c>
      <c r="D321" s="667">
        <f>ROUND([14]Data!K204,2)</f>
        <v>4691.3</v>
      </c>
      <c r="E321" s="663" t="s">
        <v>235</v>
      </c>
      <c r="F321" s="663">
        <f t="shared" si="30"/>
        <v>0</v>
      </c>
      <c r="G321" s="699"/>
      <c r="H321" s="667">
        <f t="shared" si="29"/>
        <v>0</v>
      </c>
      <c r="I321" s="667"/>
      <c r="J321" s="667">
        <f t="shared" si="26"/>
        <v>0</v>
      </c>
      <c r="K321" s="667"/>
      <c r="L321" s="667"/>
      <c r="M321" s="667" t="e">
        <f>G321+#REF!+#REF!+#REF!+I321+#REF!+#REF!+#REF!+#REF!+#REF!+#REF!+K321+#REF!+#REF!+#REF!</f>
        <v>#REF!</v>
      </c>
      <c r="N321" s="667" t="e">
        <f t="shared" si="27"/>
        <v>#REF!</v>
      </c>
      <c r="O321" s="665" t="e">
        <f>#REF!+M321</f>
        <v>#REF!</v>
      </c>
      <c r="P321" s="666" t="e">
        <f t="shared" si="28"/>
        <v>#REF!</v>
      </c>
      <c r="Q321" s="672"/>
      <c r="R321" s="668"/>
    </row>
    <row r="322" spans="1:20" s="677" customFormat="1" ht="39.950000000000003" hidden="1" customHeight="1">
      <c r="A322" s="662">
        <v>27.1</v>
      </c>
      <c r="B322" s="666">
        <f t="shared" si="25"/>
        <v>0</v>
      </c>
      <c r="C322" s="663" t="s">
        <v>1510</v>
      </c>
      <c r="D322" s="675">
        <f>ROUND([14]Data!Y368,2)</f>
        <v>6592.46</v>
      </c>
      <c r="E322" s="674" t="s">
        <v>235</v>
      </c>
      <c r="F322" s="663">
        <f t="shared" si="30"/>
        <v>0</v>
      </c>
      <c r="G322" s="684"/>
      <c r="H322" s="667">
        <f t="shared" si="29"/>
        <v>0</v>
      </c>
      <c r="I322" s="675"/>
      <c r="J322" s="667">
        <f t="shared" si="26"/>
        <v>0</v>
      </c>
      <c r="K322" s="667"/>
      <c r="L322" s="667"/>
      <c r="M322" s="667" t="e">
        <f>G322+#REF!+#REF!+#REF!+I322+#REF!+#REF!+#REF!+#REF!+#REF!+#REF!+K322+#REF!+#REF!+#REF!</f>
        <v>#REF!</v>
      </c>
      <c r="N322" s="667" t="e">
        <f t="shared" si="27"/>
        <v>#REF!</v>
      </c>
      <c r="O322" s="665" t="e">
        <f>#REF!+M322</f>
        <v>#REF!</v>
      </c>
      <c r="P322" s="666" t="e">
        <f t="shared" si="28"/>
        <v>#REF!</v>
      </c>
      <c r="Q322" s="672"/>
      <c r="R322" s="668"/>
      <c r="S322" s="676"/>
      <c r="T322" s="676"/>
    </row>
    <row r="323" spans="1:20" s="677" customFormat="1" ht="45.75" hidden="1" customHeight="1">
      <c r="A323" s="662">
        <v>27.2</v>
      </c>
      <c r="B323" s="666">
        <f t="shared" si="25"/>
        <v>0</v>
      </c>
      <c r="C323" s="663" t="s">
        <v>1511</v>
      </c>
      <c r="D323" s="675">
        <f>ROUND([14]Data!AG381,2)</f>
        <v>6387.51</v>
      </c>
      <c r="E323" s="674" t="s">
        <v>235</v>
      </c>
      <c r="F323" s="663">
        <f t="shared" si="30"/>
        <v>0</v>
      </c>
      <c r="G323" s="684"/>
      <c r="H323" s="667">
        <f t="shared" si="29"/>
        <v>0</v>
      </c>
      <c r="I323" s="675"/>
      <c r="J323" s="667">
        <f t="shared" si="26"/>
        <v>0</v>
      </c>
      <c r="K323" s="667"/>
      <c r="L323" s="667"/>
      <c r="M323" s="667" t="e">
        <f>G323+#REF!+#REF!+#REF!+I323+#REF!+#REF!+#REF!+#REF!+#REF!+#REF!+K323+#REF!+#REF!+#REF!</f>
        <v>#REF!</v>
      </c>
      <c r="N323" s="667" t="e">
        <f t="shared" si="27"/>
        <v>#REF!</v>
      </c>
      <c r="O323" s="665" t="e">
        <f>#REF!+M323</f>
        <v>#REF!</v>
      </c>
      <c r="P323" s="666" t="e">
        <f t="shared" si="28"/>
        <v>#REF!</v>
      </c>
      <c r="Q323" s="672"/>
      <c r="R323" s="668"/>
      <c r="S323" s="676"/>
      <c r="T323" s="676"/>
    </row>
    <row r="324" spans="1:20" s="677" customFormat="1" ht="39.950000000000003" hidden="1" customHeight="1">
      <c r="A324" s="662">
        <v>27.3</v>
      </c>
      <c r="B324" s="666">
        <f t="shared" ref="B324:B386" si="31">G324</f>
        <v>0</v>
      </c>
      <c r="C324" s="663" t="s">
        <v>1512</v>
      </c>
      <c r="D324" s="675"/>
      <c r="E324" s="674" t="s">
        <v>235</v>
      </c>
      <c r="F324" s="663">
        <f t="shared" si="30"/>
        <v>0</v>
      </c>
      <c r="G324" s="684"/>
      <c r="H324" s="667">
        <f t="shared" si="29"/>
        <v>0</v>
      </c>
      <c r="I324" s="675"/>
      <c r="J324" s="667">
        <f t="shared" si="26"/>
        <v>0</v>
      </c>
      <c r="K324" s="667"/>
      <c r="L324" s="667"/>
      <c r="M324" s="667" t="e">
        <f>G324+#REF!+#REF!+#REF!+I324+#REF!+#REF!+#REF!+#REF!+#REF!+#REF!+K324+#REF!+#REF!+#REF!</f>
        <v>#REF!</v>
      </c>
      <c r="N324" s="667" t="e">
        <f t="shared" si="27"/>
        <v>#REF!</v>
      </c>
      <c r="O324" s="665" t="e">
        <f>#REF!+M324</f>
        <v>#REF!</v>
      </c>
      <c r="P324" s="666" t="e">
        <f t="shared" si="28"/>
        <v>#REF!</v>
      </c>
      <c r="Q324" s="672"/>
      <c r="R324" s="668"/>
      <c r="S324" s="676"/>
      <c r="T324" s="676"/>
    </row>
    <row r="325" spans="1:20" s="677" customFormat="1" ht="39.950000000000003" hidden="1" customHeight="1">
      <c r="A325" s="662">
        <v>27.4</v>
      </c>
      <c r="B325" s="666">
        <f t="shared" si="31"/>
        <v>0</v>
      </c>
      <c r="C325" s="663" t="s">
        <v>1513</v>
      </c>
      <c r="D325" s="675"/>
      <c r="E325" s="674" t="s">
        <v>235</v>
      </c>
      <c r="F325" s="663">
        <f t="shared" si="30"/>
        <v>0</v>
      </c>
      <c r="G325" s="684"/>
      <c r="H325" s="667">
        <f t="shared" si="29"/>
        <v>0</v>
      </c>
      <c r="I325" s="675"/>
      <c r="J325" s="667">
        <f t="shared" si="26"/>
        <v>0</v>
      </c>
      <c r="K325" s="667"/>
      <c r="L325" s="667"/>
      <c r="M325" s="667" t="e">
        <f>G325+#REF!+#REF!+#REF!+I325+#REF!+#REF!+#REF!+#REF!+#REF!+#REF!+K325+#REF!+#REF!+#REF!</f>
        <v>#REF!</v>
      </c>
      <c r="N325" s="667" t="e">
        <f t="shared" si="27"/>
        <v>#REF!</v>
      </c>
      <c r="O325" s="665" t="e">
        <f>#REF!+M325</f>
        <v>#REF!</v>
      </c>
      <c r="P325" s="666" t="e">
        <f t="shared" si="28"/>
        <v>#REF!</v>
      </c>
      <c r="Q325" s="672"/>
      <c r="R325" s="668"/>
      <c r="S325" s="676"/>
      <c r="T325" s="676"/>
    </row>
    <row r="326" spans="1:20" s="677" customFormat="1" ht="39.950000000000003" hidden="1" customHeight="1">
      <c r="A326" s="662">
        <v>27.5</v>
      </c>
      <c r="B326" s="666">
        <f t="shared" si="31"/>
        <v>0</v>
      </c>
      <c r="C326" s="663" t="s">
        <v>1514</v>
      </c>
      <c r="D326" s="675">
        <f>ROUND([14]Data!K372,2)</f>
        <v>6511.38</v>
      </c>
      <c r="E326" s="674" t="s">
        <v>235</v>
      </c>
      <c r="F326" s="663">
        <f t="shared" si="30"/>
        <v>0</v>
      </c>
      <c r="G326" s="684"/>
      <c r="H326" s="667">
        <f t="shared" si="29"/>
        <v>0</v>
      </c>
      <c r="I326" s="675"/>
      <c r="J326" s="667">
        <f t="shared" ref="J326:J388" si="32">I326*D326</f>
        <v>0</v>
      </c>
      <c r="K326" s="667"/>
      <c r="L326" s="667"/>
      <c r="M326" s="667" t="e">
        <f>G326+#REF!+#REF!+#REF!+I326+#REF!+#REF!+#REF!+#REF!+#REF!+#REF!+K326+#REF!+#REF!+#REF!</f>
        <v>#REF!</v>
      </c>
      <c r="N326" s="667" t="e">
        <f t="shared" ref="N326:N388" si="33">M326*D326</f>
        <v>#REF!</v>
      </c>
      <c r="O326" s="665" t="e">
        <f>#REF!+M326</f>
        <v>#REF!</v>
      </c>
      <c r="P326" s="666" t="e">
        <f t="shared" ref="P326:P388" si="34">O326*D326</f>
        <v>#REF!</v>
      </c>
      <c r="Q326" s="672"/>
      <c r="R326" s="668"/>
      <c r="S326" s="676"/>
      <c r="T326" s="676"/>
    </row>
    <row r="327" spans="1:20" s="677" customFormat="1" ht="39.950000000000003" hidden="1" customHeight="1">
      <c r="A327" s="662">
        <v>27.6</v>
      </c>
      <c r="B327" s="666">
        <f t="shared" si="31"/>
        <v>0</v>
      </c>
      <c r="C327" s="663" t="s">
        <v>1515</v>
      </c>
      <c r="D327" s="675"/>
      <c r="E327" s="674" t="s">
        <v>235</v>
      </c>
      <c r="F327" s="663">
        <f t="shared" si="30"/>
        <v>0</v>
      </c>
      <c r="G327" s="684"/>
      <c r="H327" s="667">
        <f t="shared" si="29"/>
        <v>0</v>
      </c>
      <c r="I327" s="675"/>
      <c r="J327" s="667">
        <f t="shared" si="32"/>
        <v>0</v>
      </c>
      <c r="K327" s="667"/>
      <c r="L327" s="667"/>
      <c r="M327" s="667" t="e">
        <f>G327+#REF!+#REF!+#REF!+I327+#REF!+#REF!+#REF!+#REF!+#REF!+#REF!+K327+#REF!+#REF!+#REF!</f>
        <v>#REF!</v>
      </c>
      <c r="N327" s="667" t="e">
        <f t="shared" si="33"/>
        <v>#REF!</v>
      </c>
      <c r="O327" s="665" t="e">
        <f>#REF!+M327</f>
        <v>#REF!</v>
      </c>
      <c r="P327" s="666" t="e">
        <f t="shared" si="34"/>
        <v>#REF!</v>
      </c>
      <c r="Q327" s="672"/>
      <c r="R327" s="668"/>
      <c r="S327" s="676"/>
      <c r="T327" s="676"/>
    </row>
    <row r="328" spans="1:20" ht="45.75" customHeight="1">
      <c r="A328" s="662">
        <v>28</v>
      </c>
      <c r="B328" s="666">
        <f t="shared" si="31"/>
        <v>0.79999999999999993</v>
      </c>
      <c r="C328" s="685" t="s">
        <v>1516</v>
      </c>
      <c r="D328" s="667">
        <v>455.32</v>
      </c>
      <c r="E328" s="663" t="s">
        <v>264</v>
      </c>
      <c r="F328" s="663">
        <f t="shared" si="30"/>
        <v>364.25599999999997</v>
      </c>
      <c r="G328" s="699">
        <f>'Septic Tank'!$H$65</f>
        <v>0.79999999999999993</v>
      </c>
      <c r="H328" s="667">
        <f t="shared" si="29"/>
        <v>364.25599999999997</v>
      </c>
      <c r="I328" s="667"/>
      <c r="J328" s="667">
        <f t="shared" si="32"/>
        <v>0</v>
      </c>
      <c r="K328" s="667"/>
      <c r="L328" s="667"/>
      <c r="M328" s="667" t="e">
        <f>G328+#REF!+#REF!+#REF!+I328+#REF!+#REF!+#REF!+#REF!+#REF!+#REF!+K328+#REF!+#REF!+#REF!</f>
        <v>#REF!</v>
      </c>
      <c r="N328" s="667" t="e">
        <f t="shared" si="33"/>
        <v>#REF!</v>
      </c>
      <c r="O328" s="665" t="e">
        <f>#REF!+M328</f>
        <v>#REF!</v>
      </c>
      <c r="P328" s="666" t="e">
        <f t="shared" si="34"/>
        <v>#REF!</v>
      </c>
      <c r="Q328" s="672"/>
      <c r="R328" s="668"/>
    </row>
    <row r="329" spans="1:20" s="677" customFormat="1" ht="25.5" hidden="1" customHeight="1">
      <c r="A329" s="662">
        <v>29.1</v>
      </c>
      <c r="B329" s="666">
        <f t="shared" si="31"/>
        <v>0</v>
      </c>
      <c r="C329" s="685" t="s">
        <v>1517</v>
      </c>
      <c r="D329" s="675"/>
      <c r="E329" s="674" t="s">
        <v>264</v>
      </c>
      <c r="F329" s="663">
        <f t="shared" si="30"/>
        <v>0</v>
      </c>
      <c r="G329" s="684"/>
      <c r="H329" s="667">
        <f t="shared" si="29"/>
        <v>0</v>
      </c>
      <c r="I329" s="675"/>
      <c r="J329" s="667">
        <f t="shared" si="32"/>
        <v>0</v>
      </c>
      <c r="K329" s="667"/>
      <c r="L329" s="667"/>
      <c r="M329" s="667" t="e">
        <f>G329+#REF!+#REF!+#REF!+I329+#REF!+#REF!+#REF!+#REF!+#REF!+#REF!+K329+#REF!+#REF!+#REF!</f>
        <v>#REF!</v>
      </c>
      <c r="N329" s="667" t="e">
        <f t="shared" si="33"/>
        <v>#REF!</v>
      </c>
      <c r="O329" s="665" t="e">
        <f>#REF!+M329</f>
        <v>#REF!</v>
      </c>
      <c r="P329" s="666" t="e">
        <f t="shared" si="34"/>
        <v>#REF!</v>
      </c>
      <c r="Q329" s="672"/>
      <c r="R329" s="668"/>
      <c r="S329" s="676"/>
      <c r="T329" s="676"/>
    </row>
    <row r="330" spans="1:20" s="677" customFormat="1" ht="25.5" hidden="1" customHeight="1">
      <c r="A330" s="662">
        <v>29.2</v>
      </c>
      <c r="B330" s="666">
        <f t="shared" si="31"/>
        <v>0</v>
      </c>
      <c r="C330" s="685" t="s">
        <v>1518</v>
      </c>
      <c r="D330" s="675">
        <f>ROUND([14]Data!K1241,2)</f>
        <v>1101.47</v>
      </c>
      <c r="E330" s="674" t="s">
        <v>264</v>
      </c>
      <c r="F330" s="663">
        <f t="shared" si="30"/>
        <v>0</v>
      </c>
      <c r="G330" s="684"/>
      <c r="H330" s="667">
        <f t="shared" si="29"/>
        <v>0</v>
      </c>
      <c r="I330" s="675"/>
      <c r="J330" s="667">
        <f t="shared" si="32"/>
        <v>0</v>
      </c>
      <c r="K330" s="667"/>
      <c r="L330" s="667"/>
      <c r="M330" s="667" t="e">
        <f>G330+#REF!+#REF!+#REF!+I330+#REF!+#REF!+#REF!+#REF!+#REF!+#REF!+K330+#REF!+#REF!+#REF!</f>
        <v>#REF!</v>
      </c>
      <c r="N330" s="667" t="e">
        <f t="shared" si="33"/>
        <v>#REF!</v>
      </c>
      <c r="O330" s="665" t="e">
        <f>#REF!+M330</f>
        <v>#REF!</v>
      </c>
      <c r="P330" s="666" t="e">
        <f t="shared" si="34"/>
        <v>#REF!</v>
      </c>
      <c r="Q330" s="672"/>
      <c r="R330" s="668"/>
      <c r="S330" s="676"/>
      <c r="T330" s="676"/>
    </row>
    <row r="331" spans="1:20" s="677" customFormat="1" ht="25.5" hidden="1" customHeight="1">
      <c r="A331" s="662">
        <v>29.3</v>
      </c>
      <c r="B331" s="666">
        <f t="shared" si="31"/>
        <v>0</v>
      </c>
      <c r="C331" s="663" t="s">
        <v>1519</v>
      </c>
      <c r="D331" s="675">
        <f>ROUND([14]Data!K1264,2)</f>
        <v>1094.29</v>
      </c>
      <c r="E331" s="674" t="s">
        <v>264</v>
      </c>
      <c r="F331" s="663">
        <f t="shared" si="30"/>
        <v>0</v>
      </c>
      <c r="G331" s="684"/>
      <c r="H331" s="667">
        <f t="shared" si="29"/>
        <v>0</v>
      </c>
      <c r="I331" s="675"/>
      <c r="J331" s="667">
        <f t="shared" si="32"/>
        <v>0</v>
      </c>
      <c r="K331" s="667"/>
      <c r="L331" s="667"/>
      <c r="M331" s="667" t="e">
        <f>G331+#REF!+#REF!+#REF!+I331+#REF!+#REF!+#REF!+#REF!+#REF!+#REF!+K331+#REF!+#REF!+#REF!</f>
        <v>#REF!</v>
      </c>
      <c r="N331" s="667" t="e">
        <f t="shared" si="33"/>
        <v>#REF!</v>
      </c>
      <c r="O331" s="665" t="e">
        <f>#REF!+M331</f>
        <v>#REF!</v>
      </c>
      <c r="P331" s="666" t="e">
        <f t="shared" si="34"/>
        <v>#REF!</v>
      </c>
      <c r="Q331" s="672"/>
      <c r="R331" s="668"/>
      <c r="S331" s="676"/>
      <c r="T331" s="676"/>
    </row>
    <row r="332" spans="1:20" s="677" customFormat="1" ht="25.5" hidden="1" customHeight="1">
      <c r="A332" s="662">
        <v>29.4</v>
      </c>
      <c r="B332" s="666">
        <f t="shared" si="31"/>
        <v>0</v>
      </c>
      <c r="C332" s="663" t="s">
        <v>1520</v>
      </c>
      <c r="D332" s="675">
        <f>ROUND([14]Data!K1278,2)</f>
        <v>1237.43</v>
      </c>
      <c r="E332" s="674" t="s">
        <v>264</v>
      </c>
      <c r="F332" s="663">
        <f t="shared" si="30"/>
        <v>0</v>
      </c>
      <c r="G332" s="684"/>
      <c r="H332" s="667">
        <f t="shared" si="29"/>
        <v>0</v>
      </c>
      <c r="I332" s="675"/>
      <c r="J332" s="667">
        <f t="shared" si="32"/>
        <v>0</v>
      </c>
      <c r="K332" s="667"/>
      <c r="L332" s="667"/>
      <c r="M332" s="667" t="e">
        <f>G332+#REF!+#REF!+#REF!+I332+#REF!+#REF!+#REF!+#REF!+#REF!+#REF!+K332+#REF!+#REF!+#REF!</f>
        <v>#REF!</v>
      </c>
      <c r="N332" s="667" t="e">
        <f t="shared" si="33"/>
        <v>#REF!</v>
      </c>
      <c r="O332" s="665" t="e">
        <f>#REF!+M332</f>
        <v>#REF!</v>
      </c>
      <c r="P332" s="666" t="e">
        <f t="shared" si="34"/>
        <v>#REF!</v>
      </c>
      <c r="Q332" s="672"/>
      <c r="R332" s="668"/>
      <c r="S332" s="676"/>
      <c r="T332" s="676"/>
    </row>
    <row r="333" spans="1:20" s="677" customFormat="1" ht="25.5" hidden="1" customHeight="1">
      <c r="A333" s="662">
        <v>29.5</v>
      </c>
      <c r="B333" s="666">
        <f t="shared" si="31"/>
        <v>0</v>
      </c>
      <c r="C333" s="663" t="s">
        <v>1521</v>
      </c>
      <c r="D333" s="675">
        <f>D331</f>
        <v>1094.29</v>
      </c>
      <c r="E333" s="674" t="s">
        <v>264</v>
      </c>
      <c r="F333" s="663">
        <f t="shared" si="30"/>
        <v>0</v>
      </c>
      <c r="G333" s="684"/>
      <c r="H333" s="667">
        <f t="shared" si="29"/>
        <v>0</v>
      </c>
      <c r="I333" s="675"/>
      <c r="J333" s="667">
        <f t="shared" si="32"/>
        <v>0</v>
      </c>
      <c r="K333" s="667"/>
      <c r="L333" s="667"/>
      <c r="M333" s="667" t="e">
        <f>G333+#REF!+#REF!+#REF!+I333+#REF!+#REF!+#REF!+#REF!+#REF!+#REF!+K333+#REF!+#REF!+#REF!</f>
        <v>#REF!</v>
      </c>
      <c r="N333" s="667" t="e">
        <f t="shared" si="33"/>
        <v>#REF!</v>
      </c>
      <c r="O333" s="665" t="e">
        <f>#REF!+M333</f>
        <v>#REF!</v>
      </c>
      <c r="P333" s="666" t="e">
        <f t="shared" si="34"/>
        <v>#REF!</v>
      </c>
      <c r="Q333" s="672"/>
      <c r="R333" s="668"/>
      <c r="S333" s="676"/>
      <c r="T333" s="676"/>
    </row>
    <row r="334" spans="1:20" ht="45.75" hidden="1" customHeight="1">
      <c r="A334" s="662">
        <v>31</v>
      </c>
      <c r="B334" s="666">
        <f t="shared" si="31"/>
        <v>0</v>
      </c>
      <c r="C334" s="663" t="s">
        <v>1522</v>
      </c>
      <c r="D334" s="667">
        <f>ROUND([14]Data!K1330,2)</f>
        <v>3443.33</v>
      </c>
      <c r="E334" s="663" t="s">
        <v>235</v>
      </c>
      <c r="F334" s="663">
        <f t="shared" si="30"/>
        <v>0</v>
      </c>
      <c r="G334" s="667"/>
      <c r="H334" s="667">
        <f t="shared" si="29"/>
        <v>0</v>
      </c>
      <c r="I334" s="667"/>
      <c r="J334" s="667">
        <f t="shared" si="32"/>
        <v>0</v>
      </c>
      <c r="K334" s="667"/>
      <c r="L334" s="667"/>
      <c r="M334" s="667" t="e">
        <f>G334+#REF!+#REF!+#REF!+I334+#REF!+#REF!+#REF!+#REF!+#REF!+#REF!+K334+#REF!+#REF!+#REF!</f>
        <v>#REF!</v>
      </c>
      <c r="N334" s="667" t="e">
        <f t="shared" si="33"/>
        <v>#REF!</v>
      </c>
      <c r="O334" s="665" t="e">
        <f>#REF!+M334</f>
        <v>#REF!</v>
      </c>
      <c r="P334" s="666" t="e">
        <f t="shared" si="34"/>
        <v>#REF!</v>
      </c>
      <c r="Q334" s="672"/>
      <c r="R334" s="668"/>
    </row>
    <row r="335" spans="1:20" s="677" customFormat="1" ht="46.5" hidden="1" customHeight="1">
      <c r="A335" s="662">
        <v>32</v>
      </c>
      <c r="B335" s="666">
        <f t="shared" si="31"/>
        <v>0</v>
      </c>
      <c r="C335" s="663" t="s">
        <v>1523</v>
      </c>
      <c r="D335" s="675"/>
      <c r="E335" s="674" t="s">
        <v>264</v>
      </c>
      <c r="F335" s="663">
        <f t="shared" si="30"/>
        <v>0</v>
      </c>
      <c r="G335" s="684"/>
      <c r="H335" s="667">
        <f t="shared" ref="H335:H398" si="35">G335*D335</f>
        <v>0</v>
      </c>
      <c r="I335" s="675"/>
      <c r="J335" s="667">
        <f t="shared" si="32"/>
        <v>0</v>
      </c>
      <c r="K335" s="667"/>
      <c r="L335" s="667"/>
      <c r="M335" s="667" t="e">
        <f>G335+#REF!+#REF!+#REF!+I335+#REF!+#REF!+#REF!+#REF!+#REF!+#REF!+K335+#REF!+#REF!+#REF!</f>
        <v>#REF!</v>
      </c>
      <c r="N335" s="667" t="e">
        <f t="shared" si="33"/>
        <v>#REF!</v>
      </c>
      <c r="O335" s="665" t="e">
        <f>#REF!+M335</f>
        <v>#REF!</v>
      </c>
      <c r="P335" s="666" t="e">
        <f t="shared" si="34"/>
        <v>#REF!</v>
      </c>
      <c r="Q335" s="672"/>
      <c r="R335" s="668"/>
      <c r="S335" s="676"/>
      <c r="T335" s="676"/>
    </row>
    <row r="336" spans="1:20" s="677" customFormat="1" ht="46.5" hidden="1" customHeight="1">
      <c r="A336" s="662">
        <v>32.1</v>
      </c>
      <c r="B336" s="666">
        <f t="shared" si="31"/>
        <v>0</v>
      </c>
      <c r="C336" s="663" t="s">
        <v>1524</v>
      </c>
      <c r="D336" s="675">
        <f>ROUND([14]Data!K1365,2)</f>
        <v>1079.3699999999999</v>
      </c>
      <c r="E336" s="674" t="s">
        <v>264</v>
      </c>
      <c r="F336" s="663">
        <f t="shared" si="30"/>
        <v>0</v>
      </c>
      <c r="G336" s="684"/>
      <c r="H336" s="667">
        <f t="shared" si="35"/>
        <v>0</v>
      </c>
      <c r="I336" s="675"/>
      <c r="J336" s="667">
        <f t="shared" si="32"/>
        <v>0</v>
      </c>
      <c r="K336" s="667"/>
      <c r="L336" s="667"/>
      <c r="M336" s="667" t="e">
        <f>G336+#REF!+#REF!+#REF!+I336+#REF!+#REF!+#REF!+#REF!+#REF!+#REF!+K336+#REF!+#REF!+#REF!</f>
        <v>#REF!</v>
      </c>
      <c r="N336" s="667" t="e">
        <f t="shared" si="33"/>
        <v>#REF!</v>
      </c>
      <c r="O336" s="665" t="e">
        <f>#REF!+M336</f>
        <v>#REF!</v>
      </c>
      <c r="P336" s="666" t="e">
        <f t="shared" si="34"/>
        <v>#REF!</v>
      </c>
      <c r="Q336" s="672"/>
      <c r="R336" s="668"/>
      <c r="S336" s="676"/>
      <c r="T336" s="676"/>
    </row>
    <row r="337" spans="1:25" s="677" customFormat="1" ht="46.5" hidden="1" customHeight="1">
      <c r="A337" s="662">
        <v>32.200000000000003</v>
      </c>
      <c r="B337" s="666">
        <f t="shared" si="31"/>
        <v>0</v>
      </c>
      <c r="C337" s="663" t="s">
        <v>1525</v>
      </c>
      <c r="D337" s="675"/>
      <c r="E337" s="674" t="s">
        <v>264</v>
      </c>
      <c r="F337" s="663">
        <f t="shared" ref="F337:F400" si="36">B337*D337</f>
        <v>0</v>
      </c>
      <c r="G337" s="684"/>
      <c r="H337" s="667">
        <f t="shared" si="35"/>
        <v>0</v>
      </c>
      <c r="I337" s="675"/>
      <c r="J337" s="667">
        <f t="shared" si="32"/>
        <v>0</v>
      </c>
      <c r="K337" s="667"/>
      <c r="L337" s="667"/>
      <c r="M337" s="667" t="e">
        <f>G337+#REF!+#REF!+#REF!+I337+#REF!+#REF!+#REF!+#REF!+#REF!+#REF!+K337+#REF!+#REF!+#REF!</f>
        <v>#REF!</v>
      </c>
      <c r="N337" s="667" t="e">
        <f t="shared" si="33"/>
        <v>#REF!</v>
      </c>
      <c r="O337" s="665" t="e">
        <f>#REF!+M337</f>
        <v>#REF!</v>
      </c>
      <c r="P337" s="666" t="e">
        <f t="shared" si="34"/>
        <v>#REF!</v>
      </c>
      <c r="Q337" s="672"/>
      <c r="R337" s="668"/>
      <c r="S337" s="676"/>
      <c r="T337" s="676"/>
    </row>
    <row r="338" spans="1:25" ht="35.25" customHeight="1">
      <c r="A338" s="662">
        <v>33</v>
      </c>
      <c r="B338" s="666">
        <f t="shared" si="31"/>
        <v>48.1</v>
      </c>
      <c r="C338" s="663" t="s">
        <v>1526</v>
      </c>
      <c r="D338" s="667">
        <v>225.14</v>
      </c>
      <c r="E338" s="663" t="s">
        <v>264</v>
      </c>
      <c r="F338" s="663">
        <f t="shared" si="36"/>
        <v>10829.234</v>
      </c>
      <c r="G338" s="667">
        <f>'Septic Tank'!$H$75</f>
        <v>48.1</v>
      </c>
      <c r="H338" s="667">
        <f t="shared" si="35"/>
        <v>10829.234</v>
      </c>
      <c r="I338" s="667"/>
      <c r="J338" s="667">
        <f t="shared" si="32"/>
        <v>0</v>
      </c>
      <c r="K338" s="667"/>
      <c r="L338" s="667"/>
      <c r="M338" s="667" t="e">
        <f>G338+#REF!+#REF!+#REF!+I338+#REF!+#REF!+#REF!+#REF!+#REF!+#REF!+K338+#REF!+#REF!+#REF!</f>
        <v>#REF!</v>
      </c>
      <c r="N338" s="667" t="e">
        <f t="shared" si="33"/>
        <v>#REF!</v>
      </c>
      <c r="O338" s="665" t="e">
        <f>#REF!+M338</f>
        <v>#REF!</v>
      </c>
      <c r="P338" s="666" t="e">
        <f t="shared" si="34"/>
        <v>#REF!</v>
      </c>
      <c r="Q338" s="672"/>
      <c r="R338" s="668"/>
    </row>
    <row r="339" spans="1:25" ht="35.25" customHeight="1">
      <c r="A339" s="662">
        <v>34</v>
      </c>
      <c r="B339" s="666">
        <f t="shared" si="31"/>
        <v>41.104799999999997</v>
      </c>
      <c r="C339" s="663" t="s">
        <v>1527</v>
      </c>
      <c r="D339" s="667">
        <v>231.15</v>
      </c>
      <c r="E339" s="663" t="s">
        <v>264</v>
      </c>
      <c r="F339" s="663">
        <f t="shared" si="36"/>
        <v>9501.3745199999994</v>
      </c>
      <c r="G339" s="667">
        <f>'Septic Tank'!$H$85</f>
        <v>41.104799999999997</v>
      </c>
      <c r="H339" s="667">
        <f t="shared" si="35"/>
        <v>9501.3745199999994</v>
      </c>
      <c r="I339" s="667"/>
      <c r="J339" s="667">
        <f t="shared" si="32"/>
        <v>0</v>
      </c>
      <c r="K339" s="667"/>
      <c r="L339" s="667"/>
      <c r="M339" s="667" t="e">
        <f>G339+#REF!+#REF!+#REF!+I339+#REF!+#REF!+#REF!+#REF!+#REF!+#REF!+K339+#REF!+#REF!+#REF!</f>
        <v>#REF!</v>
      </c>
      <c r="N339" s="667" t="e">
        <f t="shared" si="33"/>
        <v>#REF!</v>
      </c>
      <c r="O339" s="665" t="e">
        <f>#REF!+M339</f>
        <v>#REF!</v>
      </c>
      <c r="P339" s="666" t="e">
        <f t="shared" si="34"/>
        <v>#REF!</v>
      </c>
      <c r="Q339" s="672"/>
      <c r="R339" s="668"/>
    </row>
    <row r="340" spans="1:25" ht="57.75" hidden="1" customHeight="1">
      <c r="A340" s="662">
        <v>35</v>
      </c>
      <c r="B340" s="666">
        <f t="shared" si="31"/>
        <v>0</v>
      </c>
      <c r="C340" s="663" t="s">
        <v>1528</v>
      </c>
      <c r="D340" s="667">
        <f>ROUND([14]Data!K1426,2)</f>
        <v>253.53</v>
      </c>
      <c r="E340" s="663" t="s">
        <v>264</v>
      </c>
      <c r="F340" s="663">
        <f t="shared" si="36"/>
        <v>0</v>
      </c>
      <c r="G340" s="667"/>
      <c r="H340" s="667">
        <f t="shared" si="35"/>
        <v>0</v>
      </c>
      <c r="I340" s="667"/>
      <c r="J340" s="667">
        <f t="shared" si="32"/>
        <v>0</v>
      </c>
      <c r="K340" s="667"/>
      <c r="L340" s="667"/>
      <c r="M340" s="667" t="e">
        <f>G340+#REF!+#REF!+#REF!+I340+#REF!+#REF!+#REF!+#REF!+#REF!+#REF!+K340+#REF!+#REF!+#REF!</f>
        <v>#REF!</v>
      </c>
      <c r="N340" s="667" t="e">
        <f t="shared" si="33"/>
        <v>#REF!</v>
      </c>
      <c r="O340" s="665" t="e">
        <f>#REF!+M340</f>
        <v>#REF!</v>
      </c>
      <c r="P340" s="666" t="e">
        <f t="shared" si="34"/>
        <v>#REF!</v>
      </c>
      <c r="Q340" s="672"/>
      <c r="R340" s="668"/>
    </row>
    <row r="341" spans="1:25" ht="57.75" hidden="1" customHeight="1">
      <c r="A341" s="662">
        <v>36</v>
      </c>
      <c r="B341" s="666">
        <f t="shared" si="31"/>
        <v>0</v>
      </c>
      <c r="C341" s="685" t="s">
        <v>1529</v>
      </c>
      <c r="D341" s="667"/>
      <c r="E341" s="663"/>
      <c r="F341" s="663">
        <f t="shared" si="36"/>
        <v>0</v>
      </c>
      <c r="G341" s="667"/>
      <c r="H341" s="667">
        <f t="shared" si="35"/>
        <v>0</v>
      </c>
      <c r="I341" s="667"/>
      <c r="J341" s="667">
        <f t="shared" si="32"/>
        <v>0</v>
      </c>
      <c r="K341" s="667"/>
      <c r="L341" s="667"/>
      <c r="M341" s="667" t="e">
        <f>G341+#REF!+#REF!+#REF!+I341+#REF!+#REF!+#REF!+#REF!+#REF!+#REF!+K341+#REF!+#REF!+#REF!</f>
        <v>#REF!</v>
      </c>
      <c r="N341" s="667" t="e">
        <f t="shared" si="33"/>
        <v>#REF!</v>
      </c>
      <c r="O341" s="665" t="e">
        <f>#REF!+M341</f>
        <v>#REF!</v>
      </c>
      <c r="P341" s="666" t="e">
        <f t="shared" si="34"/>
        <v>#REF!</v>
      </c>
      <c r="Q341" s="668"/>
      <c r="R341" s="668"/>
      <c r="S341" s="678"/>
      <c r="U341" s="679"/>
    </row>
    <row r="342" spans="1:25" ht="43.5" hidden="1" customHeight="1">
      <c r="A342" s="666" t="s">
        <v>220</v>
      </c>
      <c r="B342" s="666">
        <f t="shared" si="31"/>
        <v>0</v>
      </c>
      <c r="C342" s="663" t="s">
        <v>1530</v>
      </c>
      <c r="D342" s="667">
        <f>ROUND([14]Data!K1460,2)</f>
        <v>70.16</v>
      </c>
      <c r="E342" s="663" t="s">
        <v>61</v>
      </c>
      <c r="F342" s="663">
        <f t="shared" si="36"/>
        <v>0</v>
      </c>
      <c r="G342" s="690"/>
      <c r="H342" s="667">
        <f t="shared" si="35"/>
        <v>0</v>
      </c>
      <c r="I342" s="667"/>
      <c r="J342" s="667">
        <f t="shared" si="32"/>
        <v>0</v>
      </c>
      <c r="K342" s="667"/>
      <c r="L342" s="667"/>
      <c r="M342" s="667" t="e">
        <f>G342+#REF!+#REF!+#REF!+I342+#REF!+#REF!+#REF!+#REF!+#REF!+#REF!+K342+#REF!+#REF!+#REF!</f>
        <v>#REF!</v>
      </c>
      <c r="N342" s="667" t="e">
        <f t="shared" si="33"/>
        <v>#REF!</v>
      </c>
      <c r="O342" s="665" t="e">
        <f>#REF!+M342</f>
        <v>#REF!</v>
      </c>
      <c r="P342" s="666" t="e">
        <f t="shared" si="34"/>
        <v>#REF!</v>
      </c>
      <c r="Q342" s="672"/>
      <c r="R342" s="668"/>
    </row>
    <row r="343" spans="1:25" ht="43.5" hidden="1" customHeight="1">
      <c r="A343" s="666"/>
      <c r="B343" s="666">
        <f t="shared" si="31"/>
        <v>0</v>
      </c>
      <c r="C343" s="663" t="s">
        <v>1531</v>
      </c>
      <c r="D343" s="667">
        <f>ROUND([14]Data!K1472,2)</f>
        <v>45.59</v>
      </c>
      <c r="E343" s="663" t="s">
        <v>61</v>
      </c>
      <c r="F343" s="663">
        <f t="shared" si="36"/>
        <v>0</v>
      </c>
      <c r="G343" s="690"/>
      <c r="H343" s="667">
        <f t="shared" si="35"/>
        <v>0</v>
      </c>
      <c r="I343" s="667"/>
      <c r="J343" s="667">
        <f t="shared" si="32"/>
        <v>0</v>
      </c>
      <c r="K343" s="667"/>
      <c r="L343" s="667"/>
      <c r="M343" s="667" t="e">
        <f>G343+#REF!+#REF!+#REF!+I343+#REF!+#REF!+#REF!+#REF!+#REF!+#REF!+K343+#REF!+#REF!+#REF!</f>
        <v>#REF!</v>
      </c>
      <c r="N343" s="667" t="e">
        <f t="shared" si="33"/>
        <v>#REF!</v>
      </c>
      <c r="O343" s="665" t="e">
        <f>#REF!+M343</f>
        <v>#REF!</v>
      </c>
      <c r="P343" s="666" t="e">
        <f t="shared" si="34"/>
        <v>#REF!</v>
      </c>
      <c r="Q343" s="672"/>
      <c r="R343" s="668"/>
    </row>
    <row r="344" spans="1:25" ht="43.5" hidden="1" customHeight="1">
      <c r="A344" s="667"/>
      <c r="B344" s="666">
        <f t="shared" si="31"/>
        <v>0</v>
      </c>
      <c r="C344" s="663" t="s">
        <v>1532</v>
      </c>
      <c r="D344" s="667">
        <f>ROUND([14]Data!K1485,2)</f>
        <v>33.909999999999997</v>
      </c>
      <c r="E344" s="663" t="s">
        <v>61</v>
      </c>
      <c r="F344" s="663">
        <f t="shared" si="36"/>
        <v>0</v>
      </c>
      <c r="G344" s="690"/>
      <c r="H344" s="667">
        <f t="shared" si="35"/>
        <v>0</v>
      </c>
      <c r="I344" s="667"/>
      <c r="J344" s="667">
        <f t="shared" si="32"/>
        <v>0</v>
      </c>
      <c r="K344" s="667"/>
      <c r="L344" s="667"/>
      <c r="M344" s="667" t="e">
        <f>G344+#REF!+#REF!+#REF!+I344+#REF!+#REF!+#REF!+#REF!+#REF!+#REF!+K344+#REF!+#REF!+#REF!</f>
        <v>#REF!</v>
      </c>
      <c r="N344" s="667" t="e">
        <f t="shared" si="33"/>
        <v>#REF!</v>
      </c>
      <c r="O344" s="665" t="e">
        <f>#REF!+M344</f>
        <v>#REF!</v>
      </c>
      <c r="P344" s="666" t="e">
        <f t="shared" si="34"/>
        <v>#REF!</v>
      </c>
      <c r="Q344" s="672"/>
      <c r="R344" s="668"/>
    </row>
    <row r="345" spans="1:25" ht="43.5" hidden="1" customHeight="1">
      <c r="A345" s="662">
        <v>37.1</v>
      </c>
      <c r="B345" s="666">
        <f t="shared" si="31"/>
        <v>0</v>
      </c>
      <c r="C345" s="663" t="s">
        <v>1533</v>
      </c>
      <c r="D345" s="667">
        <f>ROUND([14]Data!K1498,2)</f>
        <v>39.22</v>
      </c>
      <c r="E345" s="663" t="s">
        <v>264</v>
      </c>
      <c r="F345" s="663">
        <f t="shared" si="36"/>
        <v>0</v>
      </c>
      <c r="G345" s="690"/>
      <c r="H345" s="667">
        <f t="shared" si="35"/>
        <v>0</v>
      </c>
      <c r="I345" s="667"/>
      <c r="J345" s="667">
        <f t="shared" si="32"/>
        <v>0</v>
      </c>
      <c r="K345" s="667"/>
      <c r="L345" s="667"/>
      <c r="M345" s="667" t="e">
        <f>G345+#REF!+#REF!+#REF!+I345+#REF!+#REF!+#REF!+#REF!+#REF!+#REF!+K345+#REF!+#REF!+#REF!</f>
        <v>#REF!</v>
      </c>
      <c r="N345" s="667" t="e">
        <f t="shared" si="33"/>
        <v>#REF!</v>
      </c>
      <c r="O345" s="665" t="e">
        <f>#REF!+M345</f>
        <v>#REF!</v>
      </c>
      <c r="P345" s="666" t="e">
        <f t="shared" si="34"/>
        <v>#REF!</v>
      </c>
      <c r="Q345" s="672"/>
      <c r="R345" s="668"/>
    </row>
    <row r="346" spans="1:25" s="677" customFormat="1" ht="25.5" hidden="1" customHeight="1">
      <c r="A346" s="662">
        <v>37.200000000000003</v>
      </c>
      <c r="B346" s="666">
        <f t="shared" si="31"/>
        <v>0</v>
      </c>
      <c r="C346" s="663" t="s">
        <v>1534</v>
      </c>
      <c r="D346" s="675"/>
      <c r="E346" s="674" t="s">
        <v>264</v>
      </c>
      <c r="F346" s="663">
        <f t="shared" si="36"/>
        <v>0</v>
      </c>
      <c r="G346" s="684"/>
      <c r="H346" s="667">
        <f t="shared" si="35"/>
        <v>0</v>
      </c>
      <c r="I346" s="675"/>
      <c r="J346" s="667">
        <f t="shared" si="32"/>
        <v>0</v>
      </c>
      <c r="K346" s="667"/>
      <c r="L346" s="667"/>
      <c r="M346" s="667" t="e">
        <f>G346+#REF!+#REF!+#REF!+I346+#REF!+#REF!+#REF!+#REF!+#REF!+#REF!+K346+#REF!+#REF!+#REF!</f>
        <v>#REF!</v>
      </c>
      <c r="N346" s="667" t="e">
        <f t="shared" si="33"/>
        <v>#REF!</v>
      </c>
      <c r="O346" s="665" t="e">
        <f>#REF!+M346</f>
        <v>#REF!</v>
      </c>
      <c r="P346" s="666" t="e">
        <f t="shared" si="34"/>
        <v>#REF!</v>
      </c>
      <c r="Q346" s="672"/>
      <c r="R346" s="668"/>
      <c r="S346" s="676"/>
      <c r="T346" s="676"/>
    </row>
    <row r="347" spans="1:25" s="677" customFormat="1" ht="25.5" hidden="1" customHeight="1">
      <c r="A347" s="662">
        <v>38.1</v>
      </c>
      <c r="B347" s="666">
        <f t="shared" si="31"/>
        <v>0</v>
      </c>
      <c r="C347" s="663" t="s">
        <v>1535</v>
      </c>
      <c r="D347" s="675">
        <f>ROUND([14]Data!K1513,2)</f>
        <v>172.93</v>
      </c>
      <c r="E347" s="674" t="s">
        <v>264</v>
      </c>
      <c r="F347" s="663">
        <f t="shared" si="36"/>
        <v>0</v>
      </c>
      <c r="G347" s="684"/>
      <c r="H347" s="667">
        <f t="shared" si="35"/>
        <v>0</v>
      </c>
      <c r="I347" s="675"/>
      <c r="J347" s="667">
        <f t="shared" si="32"/>
        <v>0</v>
      </c>
      <c r="K347" s="667"/>
      <c r="L347" s="667"/>
      <c r="M347" s="667" t="e">
        <f>G347+#REF!+#REF!+#REF!+I347+#REF!+#REF!+#REF!+#REF!+#REF!+#REF!+K347+#REF!+#REF!+#REF!</f>
        <v>#REF!</v>
      </c>
      <c r="N347" s="667" t="e">
        <f t="shared" si="33"/>
        <v>#REF!</v>
      </c>
      <c r="O347" s="665" t="e">
        <f>#REF!+M347</f>
        <v>#REF!</v>
      </c>
      <c r="P347" s="666" t="e">
        <f t="shared" si="34"/>
        <v>#REF!</v>
      </c>
      <c r="Q347" s="672"/>
      <c r="R347" s="668"/>
      <c r="S347" s="676"/>
      <c r="T347" s="676"/>
    </row>
    <row r="348" spans="1:25" s="677" customFormat="1" ht="26.25" hidden="1" customHeight="1">
      <c r="A348" s="662">
        <v>38.200000000000003</v>
      </c>
      <c r="B348" s="666">
        <f t="shared" si="31"/>
        <v>0</v>
      </c>
      <c r="C348" s="663" t="s">
        <v>1536</v>
      </c>
      <c r="D348" s="675">
        <f>ROUND([14]Data!K1526,2)</f>
        <v>147.27000000000001</v>
      </c>
      <c r="E348" s="674" t="s">
        <v>264</v>
      </c>
      <c r="F348" s="663">
        <f t="shared" si="36"/>
        <v>0</v>
      </c>
      <c r="G348" s="684"/>
      <c r="H348" s="667">
        <f t="shared" si="35"/>
        <v>0</v>
      </c>
      <c r="I348" s="675"/>
      <c r="J348" s="667">
        <f t="shared" si="32"/>
        <v>0</v>
      </c>
      <c r="K348" s="667"/>
      <c r="L348" s="667"/>
      <c r="M348" s="667" t="e">
        <f>G348+#REF!+#REF!+#REF!+I348+#REF!+#REF!+#REF!+#REF!+#REF!+#REF!+K348+#REF!+#REF!+#REF!</f>
        <v>#REF!</v>
      </c>
      <c r="N348" s="667" t="e">
        <f t="shared" si="33"/>
        <v>#REF!</v>
      </c>
      <c r="O348" s="665" t="e">
        <f>#REF!+M348</f>
        <v>#REF!</v>
      </c>
      <c r="P348" s="666" t="e">
        <f t="shared" si="34"/>
        <v>#REF!</v>
      </c>
      <c r="Q348" s="672"/>
      <c r="R348" s="668"/>
      <c r="S348" s="676"/>
      <c r="T348" s="676"/>
    </row>
    <row r="349" spans="1:25" ht="43.5" hidden="1" customHeight="1">
      <c r="A349" s="662">
        <v>39</v>
      </c>
      <c r="B349" s="666">
        <f t="shared" si="31"/>
        <v>0</v>
      </c>
      <c r="C349" s="663" t="s">
        <v>1537</v>
      </c>
      <c r="D349" s="667">
        <f>[14]Data!K1193</f>
        <v>62.6</v>
      </c>
      <c r="E349" s="663" t="s">
        <v>271</v>
      </c>
      <c r="F349" s="663">
        <f t="shared" si="36"/>
        <v>0</v>
      </c>
      <c r="G349" s="690"/>
      <c r="H349" s="667">
        <f t="shared" si="35"/>
        <v>0</v>
      </c>
      <c r="I349" s="667"/>
      <c r="J349" s="667">
        <f t="shared" si="32"/>
        <v>0</v>
      </c>
      <c r="K349" s="667"/>
      <c r="L349" s="667"/>
      <c r="M349" s="667" t="e">
        <f>G349+#REF!+#REF!+#REF!+I349+#REF!+#REF!+#REF!+#REF!+#REF!+#REF!+K349+#REF!+#REF!+#REF!</f>
        <v>#REF!</v>
      </c>
      <c r="N349" s="667" t="e">
        <f t="shared" si="33"/>
        <v>#REF!</v>
      </c>
      <c r="O349" s="665" t="e">
        <f>#REF!+M349</f>
        <v>#REF!</v>
      </c>
      <c r="P349" s="666" t="e">
        <f t="shared" si="34"/>
        <v>#REF!</v>
      </c>
      <c r="Q349" s="672"/>
      <c r="R349" s="668"/>
      <c r="Y349" s="670">
        <f>2.1*35</f>
        <v>73.5</v>
      </c>
    </row>
    <row r="350" spans="1:25" ht="43.5" hidden="1" customHeight="1">
      <c r="A350" s="662">
        <v>40</v>
      </c>
      <c r="B350" s="666">
        <f t="shared" si="31"/>
        <v>0</v>
      </c>
      <c r="C350" s="663" t="s">
        <v>1538</v>
      </c>
      <c r="D350" s="667">
        <f>ROUND([14]Data!K1540,2)</f>
        <v>212.24</v>
      </c>
      <c r="E350" s="663" t="s">
        <v>264</v>
      </c>
      <c r="F350" s="663">
        <f t="shared" si="36"/>
        <v>0</v>
      </c>
      <c r="G350" s="690"/>
      <c r="H350" s="667">
        <f t="shared" si="35"/>
        <v>0</v>
      </c>
      <c r="I350" s="667"/>
      <c r="J350" s="667">
        <f t="shared" si="32"/>
        <v>0</v>
      </c>
      <c r="K350" s="667"/>
      <c r="L350" s="667"/>
      <c r="M350" s="667" t="e">
        <f>G350+#REF!+#REF!+#REF!+I350+#REF!+#REF!+#REF!+#REF!+#REF!+#REF!+K350+#REF!+#REF!+#REF!</f>
        <v>#REF!</v>
      </c>
      <c r="N350" s="667" t="e">
        <f t="shared" si="33"/>
        <v>#REF!</v>
      </c>
      <c r="O350" s="665" t="e">
        <f>#REF!+M350</f>
        <v>#REF!</v>
      </c>
      <c r="P350" s="666" t="e">
        <f t="shared" si="34"/>
        <v>#REF!</v>
      </c>
      <c r="Q350" s="672"/>
      <c r="R350" s="668"/>
    </row>
    <row r="351" spans="1:25" ht="65.25" hidden="1" customHeight="1">
      <c r="A351" s="662">
        <v>41</v>
      </c>
      <c r="B351" s="666">
        <f t="shared" si="31"/>
        <v>0</v>
      </c>
      <c r="C351" s="663" t="s">
        <v>1539</v>
      </c>
      <c r="D351" s="667">
        <f>ROUND([14]Data!K1553,2)</f>
        <v>125.87</v>
      </c>
      <c r="E351" s="663" t="s">
        <v>264</v>
      </c>
      <c r="F351" s="663">
        <f t="shared" si="36"/>
        <v>0</v>
      </c>
      <c r="G351" s="690"/>
      <c r="H351" s="667">
        <f t="shared" si="35"/>
        <v>0</v>
      </c>
      <c r="I351" s="667">
        <f>'PAVER ROAD'!$G$35</f>
        <v>19.574999999999999</v>
      </c>
      <c r="J351" s="667">
        <f t="shared" si="32"/>
        <v>2463.9052499999998</v>
      </c>
      <c r="K351" s="667"/>
      <c r="L351" s="667"/>
      <c r="M351" s="667" t="e">
        <f>G351+#REF!+#REF!+#REF!+I351+#REF!+#REF!+#REF!+#REF!+#REF!+#REF!+K351+#REF!+#REF!+#REF!</f>
        <v>#REF!</v>
      </c>
      <c r="N351" s="667" t="e">
        <f t="shared" si="33"/>
        <v>#REF!</v>
      </c>
      <c r="O351" s="665" t="e">
        <f>#REF!+M351</f>
        <v>#REF!</v>
      </c>
      <c r="P351" s="666" t="e">
        <f t="shared" si="34"/>
        <v>#REF!</v>
      </c>
      <c r="Q351" s="672"/>
      <c r="R351" s="668"/>
    </row>
    <row r="352" spans="1:25" s="677" customFormat="1" ht="46.5" hidden="1" customHeight="1">
      <c r="A352" s="662">
        <v>42</v>
      </c>
      <c r="B352" s="666">
        <f t="shared" si="31"/>
        <v>0</v>
      </c>
      <c r="C352" s="663" t="s">
        <v>1540</v>
      </c>
      <c r="D352" s="675"/>
      <c r="E352" s="674"/>
      <c r="F352" s="663">
        <f t="shared" si="36"/>
        <v>0</v>
      </c>
      <c r="G352" s="684"/>
      <c r="H352" s="667">
        <f t="shared" si="35"/>
        <v>0</v>
      </c>
      <c r="I352" s="675"/>
      <c r="J352" s="667">
        <f t="shared" si="32"/>
        <v>0</v>
      </c>
      <c r="K352" s="667"/>
      <c r="L352" s="667"/>
      <c r="M352" s="667" t="e">
        <f>G352+#REF!+#REF!+#REF!+I352+#REF!+#REF!+#REF!+#REF!+#REF!+#REF!+K352+#REF!+#REF!+#REF!</f>
        <v>#REF!</v>
      </c>
      <c r="N352" s="667" t="e">
        <f t="shared" si="33"/>
        <v>#REF!</v>
      </c>
      <c r="O352" s="665" t="e">
        <f>#REF!+M352</f>
        <v>#REF!</v>
      </c>
      <c r="P352" s="666" t="e">
        <f t="shared" si="34"/>
        <v>#REF!</v>
      </c>
      <c r="Q352" s="672"/>
      <c r="R352" s="668"/>
      <c r="S352" s="676"/>
      <c r="T352" s="676"/>
    </row>
    <row r="353" spans="1:20" s="677" customFormat="1" ht="25.5" hidden="1" customHeight="1">
      <c r="A353" s="666"/>
      <c r="B353" s="666">
        <f t="shared" si="31"/>
        <v>0</v>
      </c>
      <c r="C353" s="663" t="s">
        <v>1541</v>
      </c>
      <c r="D353" s="675">
        <f>ROUND([14]Data!K1582,2)</f>
        <v>80140.5</v>
      </c>
      <c r="E353" s="674" t="s">
        <v>58</v>
      </c>
      <c r="F353" s="663">
        <f t="shared" si="36"/>
        <v>0</v>
      </c>
      <c r="G353" s="684"/>
      <c r="H353" s="667">
        <f t="shared" si="35"/>
        <v>0</v>
      </c>
      <c r="I353" s="675"/>
      <c r="J353" s="667">
        <f t="shared" si="32"/>
        <v>0</v>
      </c>
      <c r="K353" s="667"/>
      <c r="L353" s="667"/>
      <c r="M353" s="667" t="e">
        <f>G353+#REF!+#REF!+#REF!+I353+#REF!+#REF!+#REF!+#REF!+#REF!+#REF!+K353+#REF!+#REF!+#REF!</f>
        <v>#REF!</v>
      </c>
      <c r="N353" s="667" t="e">
        <f t="shared" si="33"/>
        <v>#REF!</v>
      </c>
      <c r="O353" s="665" t="e">
        <f>#REF!+M353</f>
        <v>#REF!</v>
      </c>
      <c r="P353" s="666" t="e">
        <f t="shared" si="34"/>
        <v>#REF!</v>
      </c>
      <c r="Q353" s="672"/>
      <c r="R353" s="668"/>
      <c r="S353" s="676"/>
      <c r="T353" s="676"/>
    </row>
    <row r="354" spans="1:20" s="677" customFormat="1" ht="25.5" hidden="1" customHeight="1">
      <c r="A354" s="690"/>
      <c r="B354" s="666">
        <f t="shared" si="31"/>
        <v>0</v>
      </c>
      <c r="C354" s="663" t="s">
        <v>1542</v>
      </c>
      <c r="D354" s="675">
        <f>ROUND([14]Data!K1595,2)</f>
        <v>80140.5</v>
      </c>
      <c r="E354" s="674" t="s">
        <v>58</v>
      </c>
      <c r="F354" s="663">
        <f t="shared" si="36"/>
        <v>0</v>
      </c>
      <c r="G354" s="684"/>
      <c r="H354" s="667">
        <f t="shared" si="35"/>
        <v>0</v>
      </c>
      <c r="I354" s="675"/>
      <c r="J354" s="667">
        <f t="shared" si="32"/>
        <v>0</v>
      </c>
      <c r="K354" s="667"/>
      <c r="L354" s="667"/>
      <c r="M354" s="667" t="e">
        <f>G354+#REF!+#REF!+#REF!+I354+#REF!+#REF!+#REF!+#REF!+#REF!+#REF!+K354+#REF!+#REF!+#REF!</f>
        <v>#REF!</v>
      </c>
      <c r="N354" s="667" t="e">
        <f t="shared" si="33"/>
        <v>#REF!</v>
      </c>
      <c r="O354" s="665" t="e">
        <f>#REF!+M354</f>
        <v>#REF!</v>
      </c>
      <c r="P354" s="666" t="e">
        <f t="shared" si="34"/>
        <v>#REF!</v>
      </c>
      <c r="Q354" s="672"/>
      <c r="R354" s="668"/>
      <c r="S354" s="676"/>
      <c r="T354" s="676"/>
    </row>
    <row r="355" spans="1:20" s="677" customFormat="1" ht="46.5" hidden="1" customHeight="1">
      <c r="A355" s="662">
        <v>43</v>
      </c>
      <c r="B355" s="666">
        <f t="shared" si="31"/>
        <v>0</v>
      </c>
      <c r="C355" s="663" t="s">
        <v>1543</v>
      </c>
      <c r="D355" s="675"/>
      <c r="E355" s="674"/>
      <c r="F355" s="663">
        <f t="shared" si="36"/>
        <v>0</v>
      </c>
      <c r="G355" s="684"/>
      <c r="H355" s="667">
        <f t="shared" si="35"/>
        <v>0</v>
      </c>
      <c r="I355" s="675"/>
      <c r="J355" s="667">
        <f t="shared" si="32"/>
        <v>0</v>
      </c>
      <c r="K355" s="667"/>
      <c r="L355" s="667"/>
      <c r="M355" s="667" t="e">
        <f>G355+#REF!+#REF!+#REF!+I355+#REF!+#REF!+#REF!+#REF!+#REF!+#REF!+K355+#REF!+#REF!+#REF!</f>
        <v>#REF!</v>
      </c>
      <c r="N355" s="667" t="e">
        <f t="shared" si="33"/>
        <v>#REF!</v>
      </c>
      <c r="O355" s="665" t="e">
        <f>#REF!+M355</f>
        <v>#REF!</v>
      </c>
      <c r="P355" s="666" t="e">
        <f t="shared" si="34"/>
        <v>#REF!</v>
      </c>
      <c r="Q355" s="672"/>
      <c r="R355" s="668"/>
      <c r="S355" s="676"/>
      <c r="T355" s="676"/>
    </row>
    <row r="356" spans="1:20" s="677" customFormat="1" ht="25.5" hidden="1" customHeight="1">
      <c r="A356" s="666"/>
      <c r="B356" s="666">
        <f t="shared" si="31"/>
        <v>0</v>
      </c>
      <c r="C356" s="663" t="s">
        <v>1541</v>
      </c>
      <c r="D356" s="675">
        <f>ROUND([14]Data!K1608,2)</f>
        <v>78398</v>
      </c>
      <c r="E356" s="674" t="s">
        <v>58</v>
      </c>
      <c r="F356" s="663">
        <f t="shared" si="36"/>
        <v>0</v>
      </c>
      <c r="G356" s="684"/>
      <c r="H356" s="667">
        <f t="shared" si="35"/>
        <v>0</v>
      </c>
      <c r="I356" s="675"/>
      <c r="J356" s="667">
        <f t="shared" si="32"/>
        <v>0</v>
      </c>
      <c r="K356" s="667"/>
      <c r="L356" s="667"/>
      <c r="M356" s="667" t="e">
        <f>G356+#REF!+#REF!+#REF!+I356+#REF!+#REF!+#REF!+#REF!+#REF!+#REF!+K356+#REF!+#REF!+#REF!</f>
        <v>#REF!</v>
      </c>
      <c r="N356" s="667" t="e">
        <f t="shared" si="33"/>
        <v>#REF!</v>
      </c>
      <c r="O356" s="665" t="e">
        <f>#REF!+M356</f>
        <v>#REF!</v>
      </c>
      <c r="P356" s="666" t="e">
        <f t="shared" si="34"/>
        <v>#REF!</v>
      </c>
      <c r="Q356" s="672"/>
      <c r="R356" s="668"/>
      <c r="S356" s="676"/>
      <c r="T356" s="676"/>
    </row>
    <row r="357" spans="1:20" s="677" customFormat="1" ht="25.5" hidden="1" customHeight="1">
      <c r="A357" s="690"/>
      <c r="B357" s="666">
        <f t="shared" si="31"/>
        <v>0</v>
      </c>
      <c r="C357" s="663" t="s">
        <v>1542</v>
      </c>
      <c r="D357" s="675">
        <f>ROUND([14]Data!K1620,2)</f>
        <v>78398</v>
      </c>
      <c r="E357" s="674" t="s">
        <v>58</v>
      </c>
      <c r="F357" s="663">
        <f t="shared" si="36"/>
        <v>0</v>
      </c>
      <c r="G357" s="684"/>
      <c r="H357" s="667">
        <f t="shared" si="35"/>
        <v>0</v>
      </c>
      <c r="I357" s="675"/>
      <c r="J357" s="667">
        <f t="shared" si="32"/>
        <v>0</v>
      </c>
      <c r="K357" s="667"/>
      <c r="L357" s="667"/>
      <c r="M357" s="667" t="e">
        <f>G357+#REF!+#REF!+#REF!+I357+#REF!+#REF!+#REF!+#REF!+#REF!+#REF!+K357+#REF!+#REF!+#REF!</f>
        <v>#REF!</v>
      </c>
      <c r="N357" s="667" t="e">
        <f t="shared" si="33"/>
        <v>#REF!</v>
      </c>
      <c r="O357" s="665" t="e">
        <f>#REF!+M357</f>
        <v>#REF!</v>
      </c>
      <c r="P357" s="666" t="e">
        <f t="shared" si="34"/>
        <v>#REF!</v>
      </c>
      <c r="Q357" s="672"/>
      <c r="R357" s="668"/>
      <c r="S357" s="676"/>
      <c r="T357" s="676"/>
    </row>
    <row r="358" spans="1:20" s="677" customFormat="1" ht="25.5" hidden="1" customHeight="1">
      <c r="A358" s="662">
        <v>44.1</v>
      </c>
      <c r="B358" s="666">
        <f t="shared" si="31"/>
        <v>0</v>
      </c>
      <c r="C358" s="663" t="s">
        <v>1544</v>
      </c>
      <c r="D358" s="675">
        <f>ROUND([14]Data!K1638,2)</f>
        <v>321.74</v>
      </c>
      <c r="E358" s="674" t="s">
        <v>61</v>
      </c>
      <c r="F358" s="663">
        <f t="shared" si="36"/>
        <v>0</v>
      </c>
      <c r="G358" s="684"/>
      <c r="H358" s="667">
        <f t="shared" si="35"/>
        <v>0</v>
      </c>
      <c r="I358" s="675"/>
      <c r="J358" s="667">
        <f t="shared" si="32"/>
        <v>0</v>
      </c>
      <c r="K358" s="667"/>
      <c r="L358" s="667"/>
      <c r="M358" s="667" t="e">
        <f>G358+#REF!+#REF!+#REF!+I358+#REF!+#REF!+#REF!+#REF!+#REF!+#REF!+K358+#REF!+#REF!+#REF!</f>
        <v>#REF!</v>
      </c>
      <c r="N358" s="667" t="e">
        <f t="shared" si="33"/>
        <v>#REF!</v>
      </c>
      <c r="O358" s="665" t="e">
        <f>#REF!+M358</f>
        <v>#REF!</v>
      </c>
      <c r="P358" s="666" t="e">
        <f t="shared" si="34"/>
        <v>#REF!</v>
      </c>
      <c r="Q358" s="672"/>
      <c r="R358" s="668"/>
      <c r="S358" s="676"/>
      <c r="T358" s="676"/>
    </row>
    <row r="359" spans="1:20" s="677" customFormat="1" ht="46.5" hidden="1" customHeight="1">
      <c r="A359" s="662">
        <v>44.2</v>
      </c>
      <c r="B359" s="666">
        <f t="shared" si="31"/>
        <v>0</v>
      </c>
      <c r="C359" s="663" t="s">
        <v>1545</v>
      </c>
      <c r="D359" s="675"/>
      <c r="E359" s="674" t="s">
        <v>522</v>
      </c>
      <c r="F359" s="663">
        <f t="shared" si="36"/>
        <v>0</v>
      </c>
      <c r="G359" s="684"/>
      <c r="H359" s="667">
        <f t="shared" si="35"/>
        <v>0</v>
      </c>
      <c r="I359" s="675"/>
      <c r="J359" s="667">
        <f t="shared" si="32"/>
        <v>0</v>
      </c>
      <c r="K359" s="667"/>
      <c r="L359" s="667"/>
      <c r="M359" s="667" t="e">
        <f>G359+#REF!+#REF!+#REF!+I359+#REF!+#REF!+#REF!+#REF!+#REF!+#REF!+K359+#REF!+#REF!+#REF!</f>
        <v>#REF!</v>
      </c>
      <c r="N359" s="667" t="e">
        <f t="shared" si="33"/>
        <v>#REF!</v>
      </c>
      <c r="O359" s="665" t="e">
        <f>#REF!+M359</f>
        <v>#REF!</v>
      </c>
      <c r="P359" s="666" t="e">
        <f t="shared" si="34"/>
        <v>#REF!</v>
      </c>
      <c r="Q359" s="672"/>
      <c r="R359" s="668"/>
      <c r="S359" s="676"/>
      <c r="T359" s="676"/>
    </row>
    <row r="360" spans="1:20" ht="40.5" hidden="1" customHeight="1">
      <c r="A360" s="673">
        <v>45</v>
      </c>
      <c r="B360" s="666">
        <f t="shared" si="31"/>
        <v>0</v>
      </c>
      <c r="C360" s="695" t="s">
        <v>1546</v>
      </c>
      <c r="D360" s="675">
        <f>ROUND([14]Data!K1653,2)</f>
        <v>286.45999999999998</v>
      </c>
      <c r="E360" s="674" t="s">
        <v>264</v>
      </c>
      <c r="F360" s="663">
        <f t="shared" si="36"/>
        <v>0</v>
      </c>
      <c r="G360" s="696"/>
      <c r="H360" s="667">
        <f t="shared" si="35"/>
        <v>0</v>
      </c>
      <c r="I360" s="675"/>
      <c r="J360" s="667">
        <f t="shared" si="32"/>
        <v>0</v>
      </c>
      <c r="K360" s="667"/>
      <c r="L360" s="667"/>
      <c r="M360" s="667" t="e">
        <f>G360+#REF!+#REF!+#REF!+I360+#REF!+#REF!+#REF!+#REF!+#REF!+#REF!+K360+#REF!+#REF!+#REF!</f>
        <v>#REF!</v>
      </c>
      <c r="N360" s="667" t="e">
        <f t="shared" si="33"/>
        <v>#REF!</v>
      </c>
      <c r="O360" s="665" t="e">
        <f>#REF!+M360</f>
        <v>#REF!</v>
      </c>
      <c r="P360" s="666" t="e">
        <f t="shared" si="34"/>
        <v>#REF!</v>
      </c>
      <c r="Q360" s="672"/>
      <c r="R360" s="668"/>
    </row>
    <row r="361" spans="1:20" ht="45.75" hidden="1" customHeight="1">
      <c r="A361" s="662">
        <v>46</v>
      </c>
      <c r="B361" s="666">
        <f t="shared" si="31"/>
        <v>0</v>
      </c>
      <c r="C361" s="663" t="s">
        <v>1547</v>
      </c>
      <c r="D361" s="667">
        <f>ROUND([14]Data!K1670,2)</f>
        <v>58</v>
      </c>
      <c r="E361" s="663" t="s">
        <v>61</v>
      </c>
      <c r="F361" s="663">
        <f t="shared" si="36"/>
        <v>0</v>
      </c>
      <c r="G361" s="690"/>
      <c r="H361" s="667">
        <f t="shared" si="35"/>
        <v>0</v>
      </c>
      <c r="I361" s="667"/>
      <c r="J361" s="667">
        <f t="shared" si="32"/>
        <v>0</v>
      </c>
      <c r="K361" s="667"/>
      <c r="L361" s="667"/>
      <c r="M361" s="667" t="e">
        <f>G361+#REF!+#REF!+#REF!+I361+#REF!+#REF!+#REF!+#REF!+#REF!+#REF!+K361+#REF!+#REF!+#REF!</f>
        <v>#REF!</v>
      </c>
      <c r="N361" s="667" t="e">
        <f t="shared" si="33"/>
        <v>#REF!</v>
      </c>
      <c r="O361" s="665" t="e">
        <f>#REF!+M361</f>
        <v>#REF!</v>
      </c>
      <c r="P361" s="666" t="e">
        <f t="shared" si="34"/>
        <v>#REF!</v>
      </c>
      <c r="Q361" s="672"/>
      <c r="R361" s="668"/>
    </row>
    <row r="362" spans="1:20" ht="45.75" hidden="1" customHeight="1">
      <c r="A362" s="662">
        <v>47</v>
      </c>
      <c r="B362" s="666">
        <f t="shared" si="31"/>
        <v>0</v>
      </c>
      <c r="C362" s="663" t="s">
        <v>1548</v>
      </c>
      <c r="D362" s="667">
        <f>ROUND([14]Data!K1682,2)</f>
        <v>95</v>
      </c>
      <c r="E362" s="663" t="s">
        <v>522</v>
      </c>
      <c r="F362" s="663">
        <f t="shared" si="36"/>
        <v>0</v>
      </c>
      <c r="G362" s="690"/>
      <c r="H362" s="667">
        <f t="shared" si="35"/>
        <v>0</v>
      </c>
      <c r="I362" s="667"/>
      <c r="J362" s="667">
        <f t="shared" si="32"/>
        <v>0</v>
      </c>
      <c r="K362" s="667"/>
      <c r="L362" s="667"/>
      <c r="M362" s="667" t="e">
        <f>G362+#REF!+#REF!+#REF!+I362+#REF!+#REF!+#REF!+#REF!+#REF!+#REF!+K362+#REF!+#REF!+#REF!</f>
        <v>#REF!</v>
      </c>
      <c r="N362" s="667" t="e">
        <f t="shared" si="33"/>
        <v>#REF!</v>
      </c>
      <c r="O362" s="665" t="e">
        <f>#REF!+M362</f>
        <v>#REF!</v>
      </c>
      <c r="P362" s="666" t="e">
        <f t="shared" si="34"/>
        <v>#REF!</v>
      </c>
      <c r="Q362" s="672"/>
      <c r="R362" s="668"/>
    </row>
    <row r="363" spans="1:20" ht="45.75" hidden="1" customHeight="1">
      <c r="A363" s="662">
        <v>48</v>
      </c>
      <c r="B363" s="666">
        <f t="shared" si="31"/>
        <v>0</v>
      </c>
      <c r="C363" s="663" t="s">
        <v>1549</v>
      </c>
      <c r="D363" s="667">
        <f>ROUND([14]Data!K1690,2)</f>
        <v>55</v>
      </c>
      <c r="E363" s="663" t="s">
        <v>522</v>
      </c>
      <c r="F363" s="663">
        <f t="shared" si="36"/>
        <v>0</v>
      </c>
      <c r="G363" s="690"/>
      <c r="H363" s="667">
        <f t="shared" si="35"/>
        <v>0</v>
      </c>
      <c r="I363" s="667"/>
      <c r="J363" s="667">
        <f t="shared" si="32"/>
        <v>0</v>
      </c>
      <c r="K363" s="667"/>
      <c r="L363" s="667"/>
      <c r="M363" s="667" t="e">
        <f>G363+#REF!+#REF!+#REF!+I363+#REF!+#REF!+#REF!+#REF!+#REF!+#REF!+K363+#REF!+#REF!+#REF!</f>
        <v>#REF!</v>
      </c>
      <c r="N363" s="667" t="e">
        <f t="shared" si="33"/>
        <v>#REF!</v>
      </c>
      <c r="O363" s="665" t="e">
        <f>#REF!+M363</f>
        <v>#REF!</v>
      </c>
      <c r="P363" s="666" t="e">
        <f t="shared" si="34"/>
        <v>#REF!</v>
      </c>
      <c r="Q363" s="672"/>
      <c r="R363" s="668"/>
    </row>
    <row r="364" spans="1:20" ht="45.75" hidden="1" customHeight="1">
      <c r="A364" s="662">
        <v>49</v>
      </c>
      <c r="B364" s="666">
        <f t="shared" si="31"/>
        <v>0</v>
      </c>
      <c r="C364" s="663" t="s">
        <v>1550</v>
      </c>
      <c r="D364" s="667">
        <f>ROUND([14]Data!K1697,2)</f>
        <v>1.5</v>
      </c>
      <c r="E364" s="663" t="s">
        <v>522</v>
      </c>
      <c r="F364" s="663">
        <f t="shared" si="36"/>
        <v>0</v>
      </c>
      <c r="G364" s="690"/>
      <c r="H364" s="667">
        <f t="shared" si="35"/>
        <v>0</v>
      </c>
      <c r="I364" s="667"/>
      <c r="J364" s="667">
        <f t="shared" si="32"/>
        <v>0</v>
      </c>
      <c r="K364" s="667"/>
      <c r="L364" s="667"/>
      <c r="M364" s="667" t="e">
        <f>G364+#REF!+#REF!+#REF!+I364+#REF!+#REF!+#REF!+#REF!+#REF!+#REF!+K364+#REF!+#REF!+#REF!</f>
        <v>#REF!</v>
      </c>
      <c r="N364" s="667" t="e">
        <f t="shared" si="33"/>
        <v>#REF!</v>
      </c>
      <c r="O364" s="665" t="e">
        <f>#REF!+M364</f>
        <v>#REF!</v>
      </c>
      <c r="P364" s="666" t="e">
        <f t="shared" si="34"/>
        <v>#REF!</v>
      </c>
      <c r="Q364" s="672"/>
      <c r="R364" s="668"/>
    </row>
    <row r="365" spans="1:20" s="677" customFormat="1" ht="25.5" hidden="1" customHeight="1">
      <c r="A365" s="662">
        <v>50.1</v>
      </c>
      <c r="B365" s="666">
        <f t="shared" si="31"/>
        <v>0</v>
      </c>
      <c r="C365" s="663" t="s">
        <v>1551</v>
      </c>
      <c r="D365" s="675"/>
      <c r="E365" s="674" t="s">
        <v>264</v>
      </c>
      <c r="F365" s="663">
        <f t="shared" si="36"/>
        <v>0</v>
      </c>
      <c r="G365" s="684"/>
      <c r="H365" s="667">
        <f t="shared" si="35"/>
        <v>0</v>
      </c>
      <c r="I365" s="675"/>
      <c r="J365" s="667">
        <f t="shared" si="32"/>
        <v>0</v>
      </c>
      <c r="K365" s="667"/>
      <c r="L365" s="667"/>
      <c r="M365" s="667" t="e">
        <f>G365+#REF!+#REF!+#REF!+I365+#REF!+#REF!+#REF!+#REF!+#REF!+#REF!+K365+#REF!+#REF!+#REF!</f>
        <v>#REF!</v>
      </c>
      <c r="N365" s="667" t="e">
        <f t="shared" si="33"/>
        <v>#REF!</v>
      </c>
      <c r="O365" s="665" t="e">
        <f>#REF!+M365</f>
        <v>#REF!</v>
      </c>
      <c r="P365" s="666" t="e">
        <f t="shared" si="34"/>
        <v>#REF!</v>
      </c>
      <c r="Q365" s="672"/>
      <c r="R365" s="668"/>
      <c r="S365" s="676"/>
      <c r="T365" s="676"/>
    </row>
    <row r="366" spans="1:20" ht="65.25" hidden="1" customHeight="1">
      <c r="A366" s="673">
        <v>50.2</v>
      </c>
      <c r="B366" s="666">
        <f t="shared" si="31"/>
        <v>0</v>
      </c>
      <c r="C366" s="663" t="s">
        <v>1190</v>
      </c>
      <c r="D366" s="675">
        <f>ROUND([14]Data!K1746,2)</f>
        <v>256.01</v>
      </c>
      <c r="E366" s="674" t="s">
        <v>61</v>
      </c>
      <c r="F366" s="663">
        <f t="shared" si="36"/>
        <v>0</v>
      </c>
      <c r="G366" s="684"/>
      <c r="H366" s="667">
        <f t="shared" si="35"/>
        <v>0</v>
      </c>
      <c r="I366" s="675">
        <f>'PAVER ROAD'!$G$30</f>
        <v>39.15</v>
      </c>
      <c r="J366" s="667">
        <f t="shared" si="32"/>
        <v>10022.791499999999</v>
      </c>
      <c r="K366" s="667"/>
      <c r="L366" s="667"/>
      <c r="M366" s="667" t="e">
        <f>G366+#REF!+#REF!+#REF!+I366+#REF!+#REF!+#REF!+#REF!+#REF!+#REF!+K366+#REF!+#REF!+#REF!</f>
        <v>#REF!</v>
      </c>
      <c r="N366" s="667" t="e">
        <f t="shared" si="33"/>
        <v>#REF!</v>
      </c>
      <c r="O366" s="665" t="e">
        <f>#REF!+M366</f>
        <v>#REF!</v>
      </c>
      <c r="P366" s="666" t="e">
        <f t="shared" si="34"/>
        <v>#REF!</v>
      </c>
      <c r="Q366" s="672"/>
      <c r="R366" s="668"/>
    </row>
    <row r="367" spans="1:20" ht="49.5" hidden="1" customHeight="1">
      <c r="A367" s="662">
        <v>50.3</v>
      </c>
      <c r="B367" s="666">
        <f t="shared" si="31"/>
        <v>0</v>
      </c>
      <c r="C367" s="663" t="s">
        <v>1552</v>
      </c>
      <c r="D367" s="667">
        <f>ROUND([14]Data!K1762,2)</f>
        <v>364.3</v>
      </c>
      <c r="E367" s="663" t="s">
        <v>522</v>
      </c>
      <c r="F367" s="663">
        <f t="shared" si="36"/>
        <v>0</v>
      </c>
      <c r="G367" s="699"/>
      <c r="H367" s="667">
        <f t="shared" si="35"/>
        <v>0</v>
      </c>
      <c r="I367" s="667"/>
      <c r="J367" s="667">
        <f t="shared" si="32"/>
        <v>0</v>
      </c>
      <c r="K367" s="667"/>
      <c r="L367" s="667"/>
      <c r="M367" s="667" t="e">
        <f>G367+#REF!+#REF!+#REF!+I367+#REF!+#REF!+#REF!+#REF!+#REF!+#REF!+K367+#REF!+#REF!+#REF!</f>
        <v>#REF!</v>
      </c>
      <c r="N367" s="667" t="e">
        <f t="shared" si="33"/>
        <v>#REF!</v>
      </c>
      <c r="O367" s="665" t="e">
        <f>#REF!+M367</f>
        <v>#REF!</v>
      </c>
      <c r="P367" s="666" t="e">
        <f t="shared" si="34"/>
        <v>#REF!</v>
      </c>
      <c r="Q367" s="672"/>
      <c r="R367" s="668"/>
    </row>
    <row r="368" spans="1:20" ht="43.5" hidden="1" customHeight="1">
      <c r="A368" s="662">
        <v>50.4</v>
      </c>
      <c r="B368" s="666">
        <f t="shared" si="31"/>
        <v>0</v>
      </c>
      <c r="C368" s="663" t="s">
        <v>1553</v>
      </c>
      <c r="D368" s="667">
        <f>ROUND([14]Data!K1775,2)</f>
        <v>812.3</v>
      </c>
      <c r="E368" s="663" t="s">
        <v>522</v>
      </c>
      <c r="F368" s="663">
        <f t="shared" si="36"/>
        <v>0</v>
      </c>
      <c r="G368" s="699"/>
      <c r="H368" s="667">
        <f t="shared" si="35"/>
        <v>0</v>
      </c>
      <c r="I368" s="667"/>
      <c r="J368" s="667">
        <f t="shared" si="32"/>
        <v>0</v>
      </c>
      <c r="K368" s="667"/>
      <c r="L368" s="667"/>
      <c r="M368" s="667" t="e">
        <f>G368+#REF!+#REF!+#REF!+I368+#REF!+#REF!+#REF!+#REF!+#REF!+#REF!+K368+#REF!+#REF!+#REF!</f>
        <v>#REF!</v>
      </c>
      <c r="N368" s="667" t="e">
        <f t="shared" si="33"/>
        <v>#REF!</v>
      </c>
      <c r="O368" s="665" t="e">
        <f>#REF!+M368</f>
        <v>#REF!</v>
      </c>
      <c r="P368" s="666" t="e">
        <f t="shared" si="34"/>
        <v>#REF!</v>
      </c>
      <c r="Q368" s="672"/>
      <c r="R368" s="668"/>
    </row>
    <row r="369" spans="1:21" ht="62.25" hidden="1" customHeight="1">
      <c r="A369" s="662">
        <v>50.5</v>
      </c>
      <c r="B369" s="666">
        <f t="shared" si="31"/>
        <v>0</v>
      </c>
      <c r="C369" s="663" t="s">
        <v>967</v>
      </c>
      <c r="D369" s="667">
        <f>ROUND([14]Data!K1790,2)</f>
        <v>17344.5</v>
      </c>
      <c r="E369" s="663" t="s">
        <v>522</v>
      </c>
      <c r="F369" s="663">
        <f t="shared" si="36"/>
        <v>0</v>
      </c>
      <c r="G369" s="667"/>
      <c r="H369" s="667">
        <f t="shared" si="35"/>
        <v>0</v>
      </c>
      <c r="I369" s="667"/>
      <c r="J369" s="667">
        <f t="shared" si="32"/>
        <v>0</v>
      </c>
      <c r="K369" s="667"/>
      <c r="L369" s="667"/>
      <c r="M369" s="667" t="e">
        <f>G369+#REF!+#REF!+#REF!+I369+#REF!+#REF!+#REF!+#REF!+#REF!+#REF!+K369+#REF!+#REF!+#REF!</f>
        <v>#REF!</v>
      </c>
      <c r="N369" s="667" t="e">
        <f t="shared" si="33"/>
        <v>#REF!</v>
      </c>
      <c r="O369" s="665" t="e">
        <f>#REF!+M369</f>
        <v>#REF!</v>
      </c>
      <c r="P369" s="666" t="e">
        <f t="shared" si="34"/>
        <v>#REF!</v>
      </c>
      <c r="Q369" s="672"/>
      <c r="R369" s="668"/>
    </row>
    <row r="370" spans="1:21" s="677" customFormat="1" ht="53.25" hidden="1" customHeight="1">
      <c r="A370" s="662">
        <v>51</v>
      </c>
      <c r="B370" s="666">
        <f t="shared" si="31"/>
        <v>0</v>
      </c>
      <c r="C370" s="663" t="s">
        <v>1554</v>
      </c>
      <c r="D370" s="675">
        <f>ROUND([14]Data!K1796,2)</f>
        <v>6720</v>
      </c>
      <c r="E370" s="674" t="s">
        <v>522</v>
      </c>
      <c r="F370" s="663">
        <f t="shared" si="36"/>
        <v>0</v>
      </c>
      <c r="G370" s="684"/>
      <c r="H370" s="667">
        <f t="shared" si="35"/>
        <v>0</v>
      </c>
      <c r="I370" s="675"/>
      <c r="J370" s="667">
        <f t="shared" si="32"/>
        <v>0</v>
      </c>
      <c r="K370" s="667"/>
      <c r="L370" s="667"/>
      <c r="M370" s="667" t="e">
        <f>G370+#REF!+#REF!+#REF!+I370+#REF!+#REF!+#REF!+#REF!+#REF!+#REF!+K370+#REF!+#REF!+#REF!</f>
        <v>#REF!</v>
      </c>
      <c r="N370" s="667" t="e">
        <f t="shared" si="33"/>
        <v>#REF!</v>
      </c>
      <c r="O370" s="665" t="e">
        <f>#REF!+M370</f>
        <v>#REF!</v>
      </c>
      <c r="P370" s="666" t="e">
        <f t="shared" si="34"/>
        <v>#REF!</v>
      </c>
      <c r="Q370" s="672"/>
      <c r="R370" s="668"/>
      <c r="S370" s="676"/>
      <c r="T370" s="676"/>
    </row>
    <row r="371" spans="1:21" s="683" customFormat="1" ht="43.5" hidden="1" customHeight="1">
      <c r="A371" s="662">
        <v>52</v>
      </c>
      <c r="B371" s="666">
        <f t="shared" si="31"/>
        <v>0</v>
      </c>
      <c r="C371" s="685" t="s">
        <v>1555</v>
      </c>
      <c r="D371" s="667"/>
      <c r="E371" s="663"/>
      <c r="F371" s="663">
        <f t="shared" si="36"/>
        <v>0</v>
      </c>
      <c r="G371" s="667"/>
      <c r="H371" s="667">
        <f t="shared" si="35"/>
        <v>0</v>
      </c>
      <c r="I371" s="667"/>
      <c r="J371" s="667">
        <f t="shared" si="32"/>
        <v>0</v>
      </c>
      <c r="K371" s="667"/>
      <c r="L371" s="667"/>
      <c r="M371" s="667" t="e">
        <f>G371+#REF!+#REF!+#REF!+I371+#REF!+#REF!+#REF!+#REF!+#REF!+#REF!+K371+#REF!+#REF!+#REF!</f>
        <v>#REF!</v>
      </c>
      <c r="N371" s="667" t="e">
        <f t="shared" si="33"/>
        <v>#REF!</v>
      </c>
      <c r="O371" s="665" t="e">
        <f>#REF!+M371</f>
        <v>#REF!</v>
      </c>
      <c r="P371" s="666" t="e">
        <f t="shared" si="34"/>
        <v>#REF!</v>
      </c>
      <c r="Q371" s="668"/>
      <c r="R371" s="668"/>
      <c r="S371" s="678"/>
      <c r="T371" s="669"/>
      <c r="U371" s="679"/>
    </row>
    <row r="372" spans="1:21" s="683" customFormat="1" ht="43.5" hidden="1" customHeight="1">
      <c r="A372" s="666"/>
      <c r="B372" s="666">
        <f t="shared" si="31"/>
        <v>0</v>
      </c>
      <c r="C372" s="663" t="s">
        <v>1556</v>
      </c>
      <c r="D372" s="667">
        <f>ROUND([14]Data!K1890,2)</f>
        <v>225.97</v>
      </c>
      <c r="E372" s="663" t="s">
        <v>61</v>
      </c>
      <c r="F372" s="663">
        <f t="shared" si="36"/>
        <v>0</v>
      </c>
      <c r="G372" s="690"/>
      <c r="H372" s="667">
        <f t="shared" si="35"/>
        <v>0</v>
      </c>
      <c r="I372" s="667"/>
      <c r="J372" s="667">
        <f t="shared" si="32"/>
        <v>0</v>
      </c>
      <c r="K372" s="667"/>
      <c r="L372" s="667"/>
      <c r="M372" s="667" t="e">
        <f>G372+#REF!+#REF!+#REF!+I372+#REF!+#REF!+#REF!+#REF!+#REF!+#REF!+K372+#REF!+#REF!+#REF!</f>
        <v>#REF!</v>
      </c>
      <c r="N372" s="667" t="e">
        <f t="shared" si="33"/>
        <v>#REF!</v>
      </c>
      <c r="O372" s="665" t="e">
        <f>#REF!+M372</f>
        <v>#REF!</v>
      </c>
      <c r="P372" s="666" t="e">
        <f t="shared" si="34"/>
        <v>#REF!</v>
      </c>
      <c r="Q372" s="672"/>
      <c r="R372" s="668"/>
      <c r="S372" s="669"/>
      <c r="T372" s="669"/>
    </row>
    <row r="373" spans="1:21" s="683" customFormat="1" ht="43.5" hidden="1" customHeight="1">
      <c r="A373" s="666"/>
      <c r="B373" s="666">
        <f t="shared" si="31"/>
        <v>0</v>
      </c>
      <c r="C373" s="663" t="s">
        <v>1557</v>
      </c>
      <c r="D373" s="667">
        <f>ROUND([14]Data!K1882,2)</f>
        <v>208.73</v>
      </c>
      <c r="E373" s="663" t="s">
        <v>61</v>
      </c>
      <c r="F373" s="663">
        <f t="shared" si="36"/>
        <v>0</v>
      </c>
      <c r="G373" s="690"/>
      <c r="H373" s="667">
        <f t="shared" si="35"/>
        <v>0</v>
      </c>
      <c r="I373" s="667"/>
      <c r="J373" s="667">
        <f t="shared" si="32"/>
        <v>0</v>
      </c>
      <c r="K373" s="667"/>
      <c r="L373" s="667"/>
      <c r="M373" s="667" t="e">
        <f>G373+#REF!+#REF!+#REF!+I373+#REF!+#REF!+#REF!+#REF!+#REF!+#REF!+K373+#REF!+#REF!+#REF!</f>
        <v>#REF!</v>
      </c>
      <c r="N373" s="667" t="e">
        <f t="shared" si="33"/>
        <v>#REF!</v>
      </c>
      <c r="O373" s="665" t="e">
        <f>#REF!+M373</f>
        <v>#REF!</v>
      </c>
      <c r="P373" s="666" t="e">
        <f t="shared" si="34"/>
        <v>#REF!</v>
      </c>
      <c r="Q373" s="672"/>
      <c r="R373" s="668"/>
      <c r="S373" s="669"/>
      <c r="T373" s="669"/>
    </row>
    <row r="374" spans="1:21" s="677" customFormat="1" ht="41.25" hidden="1" customHeight="1">
      <c r="A374" s="690"/>
      <c r="B374" s="666">
        <f t="shared" si="31"/>
        <v>0</v>
      </c>
      <c r="C374" s="663" t="s">
        <v>1558</v>
      </c>
      <c r="D374" s="675">
        <f>ROUND([14]Data!K1874,2)</f>
        <v>203.95</v>
      </c>
      <c r="E374" s="674" t="s">
        <v>61</v>
      </c>
      <c r="F374" s="663">
        <f t="shared" si="36"/>
        <v>0</v>
      </c>
      <c r="G374" s="684"/>
      <c r="H374" s="667">
        <f t="shared" si="35"/>
        <v>0</v>
      </c>
      <c r="I374" s="675"/>
      <c r="J374" s="667">
        <f t="shared" si="32"/>
        <v>0</v>
      </c>
      <c r="K374" s="667"/>
      <c r="L374" s="667"/>
      <c r="M374" s="667" t="e">
        <f>G374+#REF!+#REF!+#REF!+I374+#REF!+#REF!+#REF!+#REF!+#REF!+#REF!+K374+#REF!+#REF!+#REF!</f>
        <v>#REF!</v>
      </c>
      <c r="N374" s="667" t="e">
        <f t="shared" si="33"/>
        <v>#REF!</v>
      </c>
      <c r="O374" s="665" t="e">
        <f>#REF!+M374</f>
        <v>#REF!</v>
      </c>
      <c r="P374" s="666" t="e">
        <f t="shared" si="34"/>
        <v>#REF!</v>
      </c>
      <c r="Q374" s="672"/>
      <c r="R374" s="668"/>
      <c r="S374" s="676"/>
      <c r="T374" s="676"/>
    </row>
    <row r="375" spans="1:21" ht="60" hidden="1" customHeight="1">
      <c r="A375" s="662">
        <v>52.1</v>
      </c>
      <c r="B375" s="666">
        <f t="shared" si="31"/>
        <v>0</v>
      </c>
      <c r="C375" s="663" t="s">
        <v>1559</v>
      </c>
      <c r="D375" s="667">
        <f>ROUND([14]Data!K1927,2)</f>
        <v>286.08</v>
      </c>
      <c r="E375" s="663" t="s">
        <v>61</v>
      </c>
      <c r="F375" s="663">
        <f t="shared" si="36"/>
        <v>0</v>
      </c>
      <c r="G375" s="667"/>
      <c r="H375" s="667">
        <f t="shared" si="35"/>
        <v>0</v>
      </c>
      <c r="I375" s="667"/>
      <c r="J375" s="667">
        <f t="shared" si="32"/>
        <v>0</v>
      </c>
      <c r="K375" s="667"/>
      <c r="L375" s="667"/>
      <c r="M375" s="667" t="e">
        <f>G375+#REF!+#REF!+#REF!+I375+#REF!+#REF!+#REF!+#REF!+#REF!+#REF!+K375+#REF!+#REF!+#REF!</f>
        <v>#REF!</v>
      </c>
      <c r="N375" s="667" t="e">
        <f t="shared" si="33"/>
        <v>#REF!</v>
      </c>
      <c r="O375" s="665" t="e">
        <f>#REF!+M375</f>
        <v>#REF!</v>
      </c>
      <c r="P375" s="666" t="e">
        <f t="shared" si="34"/>
        <v>#REF!</v>
      </c>
      <c r="Q375" s="672"/>
      <c r="R375" s="668"/>
    </row>
    <row r="376" spans="1:21" s="677" customFormat="1" ht="56.25" hidden="1" customHeight="1">
      <c r="A376" s="662">
        <v>53.1</v>
      </c>
      <c r="B376" s="666">
        <f t="shared" si="31"/>
        <v>0</v>
      </c>
      <c r="C376" s="663" t="s">
        <v>1142</v>
      </c>
      <c r="D376" s="675">
        <f>ROUND([14]Data!K1948,2)</f>
        <v>3104.82</v>
      </c>
      <c r="E376" s="674" t="s">
        <v>522</v>
      </c>
      <c r="F376" s="663">
        <f t="shared" si="36"/>
        <v>0</v>
      </c>
      <c r="G376" s="684"/>
      <c r="H376" s="667">
        <f t="shared" si="35"/>
        <v>0</v>
      </c>
      <c r="I376" s="675"/>
      <c r="J376" s="667">
        <f t="shared" si="32"/>
        <v>0</v>
      </c>
      <c r="K376" s="667"/>
      <c r="L376" s="667"/>
      <c r="M376" s="667" t="e">
        <f>G376+#REF!+#REF!+#REF!+I376+#REF!+#REF!+#REF!+#REF!+#REF!+#REF!+K376+#REF!+#REF!+#REF!</f>
        <v>#REF!</v>
      </c>
      <c r="N376" s="667" t="e">
        <f t="shared" si="33"/>
        <v>#REF!</v>
      </c>
      <c r="O376" s="665" t="e">
        <f>#REF!+M376</f>
        <v>#REF!</v>
      </c>
      <c r="P376" s="666" t="e">
        <f t="shared" si="34"/>
        <v>#REF!</v>
      </c>
      <c r="Q376" s="672"/>
      <c r="R376" s="668"/>
      <c r="S376" s="676"/>
      <c r="T376" s="676"/>
    </row>
    <row r="377" spans="1:21" s="677" customFormat="1" ht="43.5" hidden="1" customHeight="1">
      <c r="A377" s="662">
        <v>53.2</v>
      </c>
      <c r="B377" s="666">
        <f t="shared" si="31"/>
        <v>0</v>
      </c>
      <c r="C377" s="663" t="s">
        <v>1560</v>
      </c>
      <c r="D377" s="675"/>
      <c r="E377" s="674" t="s">
        <v>522</v>
      </c>
      <c r="F377" s="663">
        <f t="shared" si="36"/>
        <v>0</v>
      </c>
      <c r="G377" s="684"/>
      <c r="H377" s="667">
        <f t="shared" si="35"/>
        <v>0</v>
      </c>
      <c r="I377" s="675"/>
      <c r="J377" s="667">
        <f t="shared" si="32"/>
        <v>0</v>
      </c>
      <c r="K377" s="667"/>
      <c r="L377" s="667"/>
      <c r="M377" s="667" t="e">
        <f>G377+#REF!+#REF!+#REF!+I377+#REF!+#REF!+#REF!+#REF!+#REF!+#REF!+K377+#REF!+#REF!+#REF!</f>
        <v>#REF!</v>
      </c>
      <c r="N377" s="667" t="e">
        <f t="shared" si="33"/>
        <v>#REF!</v>
      </c>
      <c r="O377" s="665" t="e">
        <f>#REF!+M377</f>
        <v>#REF!</v>
      </c>
      <c r="P377" s="666" t="e">
        <f t="shared" si="34"/>
        <v>#REF!</v>
      </c>
      <c r="Q377" s="672"/>
      <c r="R377" s="668"/>
      <c r="S377" s="676"/>
      <c r="T377" s="676"/>
    </row>
    <row r="378" spans="1:21" ht="60.75" hidden="1" customHeight="1">
      <c r="A378" s="662">
        <v>53.3</v>
      </c>
      <c r="B378" s="666">
        <f t="shared" si="31"/>
        <v>0</v>
      </c>
      <c r="C378" s="663" t="s">
        <v>1561</v>
      </c>
      <c r="D378" s="667">
        <f>ROUND([14]Data!K1952,2)</f>
        <v>30</v>
      </c>
      <c r="E378" s="663" t="s">
        <v>522</v>
      </c>
      <c r="F378" s="663">
        <f t="shared" si="36"/>
        <v>0</v>
      </c>
      <c r="G378" s="667"/>
      <c r="H378" s="667">
        <f t="shared" si="35"/>
        <v>0</v>
      </c>
      <c r="I378" s="667"/>
      <c r="J378" s="667">
        <f t="shared" si="32"/>
        <v>0</v>
      </c>
      <c r="K378" s="667"/>
      <c r="L378" s="667"/>
      <c r="M378" s="667" t="e">
        <f>G378+#REF!+#REF!+#REF!+I378+#REF!+#REF!+#REF!+#REF!+#REF!+#REF!+K378+#REF!+#REF!+#REF!</f>
        <v>#REF!</v>
      </c>
      <c r="N378" s="667" t="e">
        <f t="shared" si="33"/>
        <v>#REF!</v>
      </c>
      <c r="O378" s="665" t="e">
        <f>#REF!+M378</f>
        <v>#REF!</v>
      </c>
      <c r="P378" s="666" t="e">
        <f t="shared" si="34"/>
        <v>#REF!</v>
      </c>
      <c r="Q378" s="672"/>
      <c r="R378" s="668"/>
    </row>
    <row r="379" spans="1:21" s="677" customFormat="1" ht="25.5" hidden="1" customHeight="1">
      <c r="A379" s="700">
        <v>54</v>
      </c>
      <c r="B379" s="666">
        <f t="shared" si="31"/>
        <v>0</v>
      </c>
      <c r="C379" s="663" t="s">
        <v>1562</v>
      </c>
      <c r="D379" s="675">
        <f>ROUND([14]Data!K1954,2)</f>
        <v>204</v>
      </c>
      <c r="E379" s="674" t="s">
        <v>522</v>
      </c>
      <c r="F379" s="663">
        <f t="shared" si="36"/>
        <v>0</v>
      </c>
      <c r="G379" s="684"/>
      <c r="H379" s="667">
        <f t="shared" si="35"/>
        <v>0</v>
      </c>
      <c r="I379" s="675"/>
      <c r="J379" s="667">
        <f t="shared" si="32"/>
        <v>0</v>
      </c>
      <c r="K379" s="667"/>
      <c r="L379" s="667"/>
      <c r="M379" s="667" t="e">
        <f>G379+#REF!+#REF!+#REF!+I379+#REF!+#REF!+#REF!+#REF!+#REF!+#REF!+K379+#REF!+#REF!+#REF!</f>
        <v>#REF!</v>
      </c>
      <c r="N379" s="667" t="e">
        <f t="shared" si="33"/>
        <v>#REF!</v>
      </c>
      <c r="O379" s="665" t="e">
        <f>#REF!+M379</f>
        <v>#REF!</v>
      </c>
      <c r="P379" s="666" t="e">
        <f t="shared" si="34"/>
        <v>#REF!</v>
      </c>
      <c r="Q379" s="672"/>
      <c r="R379" s="668"/>
      <c r="S379" s="676"/>
      <c r="T379" s="676"/>
    </row>
    <row r="380" spans="1:21" s="677" customFormat="1" ht="36.75" hidden="1" customHeight="1">
      <c r="A380" s="662">
        <v>54.1</v>
      </c>
      <c r="B380" s="666">
        <f t="shared" si="31"/>
        <v>0</v>
      </c>
      <c r="C380" s="663" t="s">
        <v>1563</v>
      </c>
      <c r="D380" s="675">
        <f>ROUND([14]Data!K1957,2)</f>
        <v>300</v>
      </c>
      <c r="E380" s="674" t="s">
        <v>522</v>
      </c>
      <c r="F380" s="663">
        <f t="shared" si="36"/>
        <v>0</v>
      </c>
      <c r="G380" s="684"/>
      <c r="H380" s="667">
        <f t="shared" si="35"/>
        <v>0</v>
      </c>
      <c r="I380" s="675"/>
      <c r="J380" s="667">
        <f t="shared" si="32"/>
        <v>0</v>
      </c>
      <c r="K380" s="667"/>
      <c r="L380" s="667"/>
      <c r="M380" s="667" t="e">
        <f>G380+#REF!+#REF!+#REF!+I380+#REF!+#REF!+#REF!+#REF!+#REF!+#REF!+K380+#REF!+#REF!+#REF!</f>
        <v>#REF!</v>
      </c>
      <c r="N380" s="667" t="e">
        <f t="shared" si="33"/>
        <v>#REF!</v>
      </c>
      <c r="O380" s="665" t="e">
        <f>#REF!+M380</f>
        <v>#REF!</v>
      </c>
      <c r="P380" s="666" t="e">
        <f t="shared" si="34"/>
        <v>#REF!</v>
      </c>
      <c r="Q380" s="672"/>
      <c r="R380" s="668"/>
      <c r="S380" s="676"/>
      <c r="T380" s="676"/>
    </row>
    <row r="381" spans="1:21" s="677" customFormat="1" ht="36.75" hidden="1" customHeight="1">
      <c r="A381" s="662">
        <v>54.2</v>
      </c>
      <c r="B381" s="666">
        <f t="shared" si="31"/>
        <v>0</v>
      </c>
      <c r="C381" s="663" t="s">
        <v>1564</v>
      </c>
      <c r="D381" s="675">
        <f>ROUND([14]Data!K1960,2)</f>
        <v>250</v>
      </c>
      <c r="E381" s="674" t="s">
        <v>522</v>
      </c>
      <c r="F381" s="663">
        <f t="shared" si="36"/>
        <v>0</v>
      </c>
      <c r="G381" s="684"/>
      <c r="H381" s="667">
        <f t="shared" si="35"/>
        <v>0</v>
      </c>
      <c r="I381" s="675"/>
      <c r="J381" s="667">
        <f t="shared" si="32"/>
        <v>0</v>
      </c>
      <c r="K381" s="667"/>
      <c r="L381" s="667"/>
      <c r="M381" s="667" t="e">
        <f>G381+#REF!+#REF!+#REF!+I381+#REF!+#REF!+#REF!+#REF!+#REF!+#REF!+K381+#REF!+#REF!+#REF!</f>
        <v>#REF!</v>
      </c>
      <c r="N381" s="667" t="e">
        <f t="shared" si="33"/>
        <v>#REF!</v>
      </c>
      <c r="O381" s="665" t="e">
        <f>#REF!+M381</f>
        <v>#REF!</v>
      </c>
      <c r="P381" s="666" t="e">
        <f t="shared" si="34"/>
        <v>#REF!</v>
      </c>
      <c r="Q381" s="672"/>
      <c r="R381" s="668"/>
      <c r="S381" s="676"/>
      <c r="T381" s="676"/>
    </row>
    <row r="382" spans="1:21" s="677" customFormat="1" ht="25.5" hidden="1" customHeight="1">
      <c r="A382" s="662">
        <v>55.1</v>
      </c>
      <c r="B382" s="666">
        <f t="shared" si="31"/>
        <v>0</v>
      </c>
      <c r="C382" s="663" t="s">
        <v>1565</v>
      </c>
      <c r="D382" s="675">
        <f>[14]Data!K2403</f>
        <v>822.61</v>
      </c>
      <c r="E382" s="674" t="s">
        <v>522</v>
      </c>
      <c r="F382" s="663">
        <f t="shared" si="36"/>
        <v>0</v>
      </c>
      <c r="G382" s="684"/>
      <c r="H382" s="667">
        <f t="shared" si="35"/>
        <v>0</v>
      </c>
      <c r="I382" s="675"/>
      <c r="J382" s="667">
        <f t="shared" si="32"/>
        <v>0</v>
      </c>
      <c r="K382" s="667"/>
      <c r="L382" s="667"/>
      <c r="M382" s="667" t="e">
        <f>G382+#REF!+#REF!+#REF!+I382+#REF!+#REF!+#REF!+#REF!+#REF!+#REF!+K382+#REF!+#REF!+#REF!</f>
        <v>#REF!</v>
      </c>
      <c r="N382" s="667" t="e">
        <f t="shared" si="33"/>
        <v>#REF!</v>
      </c>
      <c r="O382" s="665" t="e">
        <f>#REF!+M382</f>
        <v>#REF!</v>
      </c>
      <c r="P382" s="666" t="e">
        <f t="shared" si="34"/>
        <v>#REF!</v>
      </c>
      <c r="Q382" s="672"/>
      <c r="R382" s="668"/>
      <c r="S382" s="676"/>
      <c r="T382" s="676"/>
    </row>
    <row r="383" spans="1:21" s="677" customFormat="1" ht="45.75" hidden="1" customHeight="1">
      <c r="A383" s="662">
        <v>55.2</v>
      </c>
      <c r="B383" s="666">
        <f t="shared" si="31"/>
        <v>0</v>
      </c>
      <c r="C383" s="663" t="s">
        <v>1566</v>
      </c>
      <c r="D383" s="675">
        <f>[14]Data!K2415</f>
        <v>2016.25</v>
      </c>
      <c r="E383" s="674" t="s">
        <v>522</v>
      </c>
      <c r="F383" s="663">
        <f t="shared" si="36"/>
        <v>0</v>
      </c>
      <c r="G383" s="684"/>
      <c r="H383" s="667">
        <f t="shared" si="35"/>
        <v>0</v>
      </c>
      <c r="I383" s="675"/>
      <c r="J383" s="667">
        <f t="shared" si="32"/>
        <v>0</v>
      </c>
      <c r="K383" s="667"/>
      <c r="L383" s="667"/>
      <c r="M383" s="667" t="e">
        <f>G383+#REF!+#REF!+#REF!+I383+#REF!+#REF!+#REF!+#REF!+#REF!+#REF!+K383+#REF!+#REF!+#REF!</f>
        <v>#REF!</v>
      </c>
      <c r="N383" s="667" t="e">
        <f t="shared" si="33"/>
        <v>#REF!</v>
      </c>
      <c r="O383" s="665" t="e">
        <f>#REF!+M383</f>
        <v>#REF!</v>
      </c>
      <c r="P383" s="666" t="e">
        <f t="shared" si="34"/>
        <v>#REF!</v>
      </c>
      <c r="Q383" s="672"/>
      <c r="R383" s="668"/>
      <c r="S383" s="676"/>
      <c r="T383" s="676"/>
    </row>
    <row r="384" spans="1:21" s="677" customFormat="1" ht="25.5" hidden="1" customHeight="1">
      <c r="A384" s="662">
        <v>56.1</v>
      </c>
      <c r="B384" s="666">
        <f t="shared" si="31"/>
        <v>0</v>
      </c>
      <c r="C384" s="663" t="s">
        <v>1567</v>
      </c>
      <c r="D384" s="675">
        <f>ROUND([14]Data!K1977,2)</f>
        <v>3071.23</v>
      </c>
      <c r="E384" s="674" t="s">
        <v>522</v>
      </c>
      <c r="F384" s="663">
        <f t="shared" si="36"/>
        <v>0</v>
      </c>
      <c r="G384" s="684"/>
      <c r="H384" s="667">
        <f t="shared" si="35"/>
        <v>0</v>
      </c>
      <c r="I384" s="675"/>
      <c r="J384" s="667">
        <f t="shared" si="32"/>
        <v>0</v>
      </c>
      <c r="K384" s="667"/>
      <c r="L384" s="667"/>
      <c r="M384" s="667" t="e">
        <f>G384+#REF!+#REF!+#REF!+I384+#REF!+#REF!+#REF!+#REF!+#REF!+#REF!+K384+#REF!+#REF!+#REF!</f>
        <v>#REF!</v>
      </c>
      <c r="N384" s="667" t="e">
        <f t="shared" si="33"/>
        <v>#REF!</v>
      </c>
      <c r="O384" s="665" t="e">
        <f>#REF!+M384</f>
        <v>#REF!</v>
      </c>
      <c r="P384" s="666" t="e">
        <f t="shared" si="34"/>
        <v>#REF!</v>
      </c>
      <c r="Q384" s="672"/>
      <c r="R384" s="668"/>
      <c r="S384" s="676"/>
      <c r="T384" s="676"/>
    </row>
    <row r="385" spans="1:20" s="677" customFormat="1" ht="25.5" hidden="1" customHeight="1">
      <c r="A385" s="662">
        <v>56.2</v>
      </c>
      <c r="B385" s="666">
        <f t="shared" si="31"/>
        <v>0</v>
      </c>
      <c r="C385" s="663" t="s">
        <v>1568</v>
      </c>
      <c r="D385" s="675">
        <f>ROUND([14]Data!K1998,2)</f>
        <v>4786.87</v>
      </c>
      <c r="E385" s="674" t="s">
        <v>522</v>
      </c>
      <c r="F385" s="663">
        <f t="shared" si="36"/>
        <v>0</v>
      </c>
      <c r="G385" s="696"/>
      <c r="H385" s="667">
        <f t="shared" si="35"/>
        <v>0</v>
      </c>
      <c r="I385" s="675"/>
      <c r="J385" s="667">
        <f t="shared" si="32"/>
        <v>0</v>
      </c>
      <c r="K385" s="667"/>
      <c r="L385" s="667"/>
      <c r="M385" s="667" t="e">
        <f>G385+#REF!+#REF!+#REF!+I385+#REF!+#REF!+#REF!+#REF!+#REF!+#REF!+K385+#REF!+#REF!+#REF!</f>
        <v>#REF!</v>
      </c>
      <c r="N385" s="667" t="e">
        <f t="shared" si="33"/>
        <v>#REF!</v>
      </c>
      <c r="O385" s="665" t="e">
        <f>#REF!+M385</f>
        <v>#REF!</v>
      </c>
      <c r="P385" s="666" t="e">
        <f t="shared" si="34"/>
        <v>#REF!</v>
      </c>
      <c r="Q385" s="672"/>
      <c r="R385" s="668"/>
      <c r="S385" s="676"/>
      <c r="T385" s="676"/>
    </row>
    <row r="386" spans="1:20" s="677" customFormat="1" ht="41.25" hidden="1" customHeight="1">
      <c r="A386" s="700">
        <v>57</v>
      </c>
      <c r="B386" s="666">
        <f t="shared" si="31"/>
        <v>0</v>
      </c>
      <c r="C386" s="663" t="s">
        <v>1569</v>
      </c>
      <c r="D386" s="675">
        <f>ROUND([14]Data!K2015,2)</f>
        <v>6531.2</v>
      </c>
      <c r="E386" s="674" t="s">
        <v>522</v>
      </c>
      <c r="F386" s="663">
        <f t="shared" si="36"/>
        <v>0</v>
      </c>
      <c r="G386" s="684"/>
      <c r="H386" s="667">
        <f t="shared" si="35"/>
        <v>0</v>
      </c>
      <c r="I386" s="675"/>
      <c r="J386" s="667">
        <f t="shared" si="32"/>
        <v>0</v>
      </c>
      <c r="K386" s="667"/>
      <c r="L386" s="667"/>
      <c r="M386" s="667" t="e">
        <f>G386+#REF!+#REF!+#REF!+I386+#REF!+#REF!+#REF!+#REF!+#REF!+#REF!+K386+#REF!+#REF!+#REF!</f>
        <v>#REF!</v>
      </c>
      <c r="N386" s="667" t="e">
        <f t="shared" si="33"/>
        <v>#REF!</v>
      </c>
      <c r="O386" s="665" t="e">
        <f>#REF!+M386</f>
        <v>#REF!</v>
      </c>
      <c r="P386" s="666" t="e">
        <f t="shared" si="34"/>
        <v>#REF!</v>
      </c>
      <c r="Q386" s="672"/>
      <c r="R386" s="668"/>
      <c r="S386" s="676"/>
      <c r="T386" s="676"/>
    </row>
    <row r="387" spans="1:20" s="677" customFormat="1" ht="45.75" hidden="1" customHeight="1">
      <c r="A387" s="662">
        <v>57.1</v>
      </c>
      <c r="B387" s="666">
        <f t="shared" ref="B387:B450" si="37">G387</f>
        <v>0</v>
      </c>
      <c r="C387" s="663" t="s">
        <v>1570</v>
      </c>
      <c r="D387" s="675">
        <f>ROUND([14]Data!K2034,2)</f>
        <v>6891.2</v>
      </c>
      <c r="E387" s="674" t="s">
        <v>522</v>
      </c>
      <c r="F387" s="663">
        <f t="shared" si="36"/>
        <v>0</v>
      </c>
      <c r="G387" s="684"/>
      <c r="H387" s="667">
        <f t="shared" si="35"/>
        <v>0</v>
      </c>
      <c r="I387" s="675"/>
      <c r="J387" s="667">
        <f t="shared" si="32"/>
        <v>0</v>
      </c>
      <c r="K387" s="667"/>
      <c r="L387" s="667"/>
      <c r="M387" s="667" t="e">
        <f>G387+#REF!+#REF!+#REF!+I387+#REF!+#REF!+#REF!+#REF!+#REF!+#REF!+K387+#REF!+#REF!+#REF!</f>
        <v>#REF!</v>
      </c>
      <c r="N387" s="667" t="e">
        <f t="shared" si="33"/>
        <v>#REF!</v>
      </c>
      <c r="O387" s="665" t="e">
        <f>#REF!+M387</f>
        <v>#REF!</v>
      </c>
      <c r="P387" s="666" t="e">
        <f t="shared" si="34"/>
        <v>#REF!</v>
      </c>
      <c r="Q387" s="672"/>
      <c r="R387" s="668"/>
      <c r="S387" s="676"/>
      <c r="T387" s="676"/>
    </row>
    <row r="388" spans="1:20" s="677" customFormat="1" ht="20.100000000000001" hidden="1" customHeight="1">
      <c r="A388" s="662">
        <v>58.1</v>
      </c>
      <c r="B388" s="666">
        <f t="shared" si="37"/>
        <v>0</v>
      </c>
      <c r="C388" s="663" t="s">
        <v>1571</v>
      </c>
      <c r="D388" s="675"/>
      <c r="E388" s="674"/>
      <c r="F388" s="663">
        <f t="shared" si="36"/>
        <v>0</v>
      </c>
      <c r="G388" s="684"/>
      <c r="H388" s="667">
        <f t="shared" si="35"/>
        <v>0</v>
      </c>
      <c r="I388" s="675"/>
      <c r="J388" s="667">
        <f t="shared" si="32"/>
        <v>0</v>
      </c>
      <c r="K388" s="667"/>
      <c r="L388" s="667"/>
      <c r="M388" s="667" t="e">
        <f>G388+#REF!+#REF!+#REF!+I388+#REF!+#REF!+#REF!+#REF!+#REF!+#REF!+K388+#REF!+#REF!+#REF!</f>
        <v>#REF!</v>
      </c>
      <c r="N388" s="667" t="e">
        <f t="shared" si="33"/>
        <v>#REF!</v>
      </c>
      <c r="O388" s="665" t="e">
        <f>#REF!+M388</f>
        <v>#REF!</v>
      </c>
      <c r="P388" s="666" t="e">
        <f t="shared" si="34"/>
        <v>#REF!</v>
      </c>
      <c r="Q388" s="672"/>
      <c r="R388" s="668"/>
      <c r="S388" s="676"/>
      <c r="T388" s="676"/>
    </row>
    <row r="389" spans="1:20" s="677" customFormat="1" ht="20.100000000000001" hidden="1" customHeight="1">
      <c r="A389" s="666"/>
      <c r="B389" s="666">
        <f t="shared" si="37"/>
        <v>0</v>
      </c>
      <c r="C389" s="663" t="s">
        <v>1572</v>
      </c>
      <c r="D389" s="675">
        <f>ROUND([14]Data!K2063,2)</f>
        <v>657.29</v>
      </c>
      <c r="E389" s="674" t="s">
        <v>61</v>
      </c>
      <c r="F389" s="663">
        <f t="shared" si="36"/>
        <v>0</v>
      </c>
      <c r="G389" s="684"/>
      <c r="H389" s="667">
        <f t="shared" si="35"/>
        <v>0</v>
      </c>
      <c r="I389" s="675"/>
      <c r="J389" s="667">
        <f t="shared" ref="J389:J452" si="38">I389*D389</f>
        <v>0</v>
      </c>
      <c r="K389" s="667"/>
      <c r="L389" s="667"/>
      <c r="M389" s="667" t="e">
        <f>G389+#REF!+#REF!+#REF!+I389+#REF!+#REF!+#REF!+#REF!+#REF!+#REF!+K389+#REF!+#REF!+#REF!</f>
        <v>#REF!</v>
      </c>
      <c r="N389" s="667" t="e">
        <f t="shared" ref="N389:N452" si="39">M389*D389</f>
        <v>#REF!</v>
      </c>
      <c r="O389" s="665" t="e">
        <f>#REF!+M389</f>
        <v>#REF!</v>
      </c>
      <c r="P389" s="666" t="e">
        <f t="shared" ref="P389:P452" si="40">O389*D389</f>
        <v>#REF!</v>
      </c>
      <c r="Q389" s="672"/>
      <c r="R389" s="668"/>
      <c r="S389" s="676"/>
      <c r="T389" s="676"/>
    </row>
    <row r="390" spans="1:20" s="677" customFormat="1" ht="20.100000000000001" hidden="1" customHeight="1">
      <c r="A390" s="690"/>
      <c r="B390" s="666">
        <f t="shared" si="37"/>
        <v>0</v>
      </c>
      <c r="C390" s="663" t="s">
        <v>1573</v>
      </c>
      <c r="D390" s="675">
        <f>ROUND([14]Data!K2087,2)</f>
        <v>541.41999999999996</v>
      </c>
      <c r="E390" s="674" t="s">
        <v>61</v>
      </c>
      <c r="F390" s="663">
        <f t="shared" si="36"/>
        <v>0</v>
      </c>
      <c r="G390" s="684"/>
      <c r="H390" s="667">
        <f t="shared" si="35"/>
        <v>0</v>
      </c>
      <c r="I390" s="675"/>
      <c r="J390" s="667">
        <f t="shared" si="38"/>
        <v>0</v>
      </c>
      <c r="K390" s="667"/>
      <c r="L390" s="667"/>
      <c r="M390" s="667" t="e">
        <f>G390+#REF!+#REF!+#REF!+I390+#REF!+#REF!+#REF!+#REF!+#REF!+#REF!+K390+#REF!+#REF!+#REF!</f>
        <v>#REF!</v>
      </c>
      <c r="N390" s="667" t="e">
        <f t="shared" si="39"/>
        <v>#REF!</v>
      </c>
      <c r="O390" s="665" t="e">
        <f>#REF!+M390</f>
        <v>#REF!</v>
      </c>
      <c r="P390" s="666" t="e">
        <f t="shared" si="40"/>
        <v>#REF!</v>
      </c>
      <c r="Q390" s="672"/>
      <c r="R390" s="668"/>
      <c r="S390" s="676"/>
      <c r="T390" s="676"/>
    </row>
    <row r="391" spans="1:20" s="677" customFormat="1" ht="20.100000000000001" hidden="1" customHeight="1">
      <c r="A391" s="662">
        <v>58.2</v>
      </c>
      <c r="B391" s="666">
        <f t="shared" si="37"/>
        <v>0</v>
      </c>
      <c r="C391" s="663" t="s">
        <v>1574</v>
      </c>
      <c r="D391" s="675">
        <f>ROUND([14]Data!K2098,2)</f>
        <v>450.1</v>
      </c>
      <c r="E391" s="674" t="s">
        <v>522</v>
      </c>
      <c r="F391" s="663">
        <f t="shared" si="36"/>
        <v>0</v>
      </c>
      <c r="G391" s="684"/>
      <c r="H391" s="667">
        <f t="shared" si="35"/>
        <v>0</v>
      </c>
      <c r="I391" s="675"/>
      <c r="J391" s="667">
        <f t="shared" si="38"/>
        <v>0</v>
      </c>
      <c r="K391" s="667"/>
      <c r="L391" s="667"/>
      <c r="M391" s="667" t="e">
        <f>G391+#REF!+#REF!+#REF!+I391+#REF!+#REF!+#REF!+#REF!+#REF!+#REF!+K391+#REF!+#REF!+#REF!</f>
        <v>#REF!</v>
      </c>
      <c r="N391" s="667" t="e">
        <f t="shared" si="39"/>
        <v>#REF!</v>
      </c>
      <c r="O391" s="665" t="e">
        <f>#REF!+M391</f>
        <v>#REF!</v>
      </c>
      <c r="P391" s="666" t="e">
        <f t="shared" si="40"/>
        <v>#REF!</v>
      </c>
      <c r="Q391" s="672"/>
      <c r="R391" s="668"/>
      <c r="S391" s="676"/>
      <c r="T391" s="676"/>
    </row>
    <row r="392" spans="1:20" s="677" customFormat="1" ht="39.950000000000003" hidden="1" customHeight="1">
      <c r="A392" s="662">
        <v>59.1</v>
      </c>
      <c r="B392" s="666">
        <f t="shared" si="37"/>
        <v>0</v>
      </c>
      <c r="C392" s="663" t="s">
        <v>1575</v>
      </c>
      <c r="D392" s="675"/>
      <c r="E392" s="674" t="s">
        <v>522</v>
      </c>
      <c r="F392" s="663">
        <f t="shared" si="36"/>
        <v>0</v>
      </c>
      <c r="G392" s="684"/>
      <c r="H392" s="667">
        <f t="shared" si="35"/>
        <v>0</v>
      </c>
      <c r="I392" s="675"/>
      <c r="J392" s="667">
        <f t="shared" si="38"/>
        <v>0</v>
      </c>
      <c r="K392" s="667"/>
      <c r="L392" s="667"/>
      <c r="M392" s="667" t="e">
        <f>G392+#REF!+#REF!+#REF!+I392+#REF!+#REF!+#REF!+#REF!+#REF!+#REF!+K392+#REF!+#REF!+#REF!</f>
        <v>#REF!</v>
      </c>
      <c r="N392" s="667" t="e">
        <f t="shared" si="39"/>
        <v>#REF!</v>
      </c>
      <c r="O392" s="665" t="e">
        <f>#REF!+M392</f>
        <v>#REF!</v>
      </c>
      <c r="P392" s="666" t="e">
        <f t="shared" si="40"/>
        <v>#REF!</v>
      </c>
      <c r="Q392" s="672"/>
      <c r="R392" s="668"/>
      <c r="S392" s="676"/>
      <c r="T392" s="676"/>
    </row>
    <row r="393" spans="1:20" s="677" customFormat="1" ht="60.75" hidden="1" customHeight="1">
      <c r="A393" s="662">
        <v>59.2</v>
      </c>
      <c r="B393" s="666">
        <f t="shared" si="37"/>
        <v>0</v>
      </c>
      <c r="C393" s="663" t="s">
        <v>1576</v>
      </c>
      <c r="D393" s="675">
        <f>ROUND([14]Data!K2111,2)</f>
        <v>1754.17</v>
      </c>
      <c r="E393" s="674" t="s">
        <v>522</v>
      </c>
      <c r="F393" s="663">
        <f t="shared" si="36"/>
        <v>0</v>
      </c>
      <c r="G393" s="684"/>
      <c r="H393" s="667">
        <f t="shared" si="35"/>
        <v>0</v>
      </c>
      <c r="I393" s="675"/>
      <c r="J393" s="667">
        <f t="shared" si="38"/>
        <v>0</v>
      </c>
      <c r="K393" s="667"/>
      <c r="L393" s="667"/>
      <c r="M393" s="667" t="e">
        <f>G393+#REF!+#REF!+#REF!+I393+#REF!+#REF!+#REF!+#REF!+#REF!+#REF!+K393+#REF!+#REF!+#REF!</f>
        <v>#REF!</v>
      </c>
      <c r="N393" s="667" t="e">
        <f t="shared" si="39"/>
        <v>#REF!</v>
      </c>
      <c r="O393" s="665" t="e">
        <f>#REF!+M393</f>
        <v>#REF!</v>
      </c>
      <c r="P393" s="666" t="e">
        <f t="shared" si="40"/>
        <v>#REF!</v>
      </c>
      <c r="Q393" s="672"/>
      <c r="R393" s="668"/>
      <c r="S393" s="676"/>
      <c r="T393" s="676"/>
    </row>
    <row r="394" spans="1:20" s="677" customFormat="1" ht="39.950000000000003" hidden="1" customHeight="1">
      <c r="A394" s="662">
        <v>59.3</v>
      </c>
      <c r="B394" s="666">
        <f t="shared" si="37"/>
        <v>0</v>
      </c>
      <c r="C394" s="663" t="s">
        <v>1577</v>
      </c>
      <c r="D394" s="675"/>
      <c r="E394" s="674" t="s">
        <v>522</v>
      </c>
      <c r="F394" s="663">
        <f t="shared" si="36"/>
        <v>0</v>
      </c>
      <c r="G394" s="684"/>
      <c r="H394" s="667">
        <f t="shared" si="35"/>
        <v>0</v>
      </c>
      <c r="I394" s="675"/>
      <c r="J394" s="667">
        <f t="shared" si="38"/>
        <v>0</v>
      </c>
      <c r="K394" s="667"/>
      <c r="L394" s="667"/>
      <c r="M394" s="667" t="e">
        <f>G394+#REF!+#REF!+#REF!+I394+#REF!+#REF!+#REF!+#REF!+#REF!+#REF!+K394+#REF!+#REF!+#REF!</f>
        <v>#REF!</v>
      </c>
      <c r="N394" s="667" t="e">
        <f t="shared" si="39"/>
        <v>#REF!</v>
      </c>
      <c r="O394" s="665" t="e">
        <f>#REF!+M394</f>
        <v>#REF!</v>
      </c>
      <c r="P394" s="666" t="e">
        <f t="shared" si="40"/>
        <v>#REF!</v>
      </c>
      <c r="Q394" s="672"/>
      <c r="R394" s="668"/>
      <c r="S394" s="676"/>
      <c r="T394" s="676"/>
    </row>
    <row r="395" spans="1:20" s="677" customFormat="1" ht="39.950000000000003" hidden="1" customHeight="1">
      <c r="A395" s="662">
        <v>59.4</v>
      </c>
      <c r="B395" s="666">
        <f t="shared" si="37"/>
        <v>0</v>
      </c>
      <c r="C395" s="663" t="s">
        <v>1578</v>
      </c>
      <c r="D395" s="675"/>
      <c r="E395" s="674" t="s">
        <v>522</v>
      </c>
      <c r="F395" s="663">
        <f t="shared" si="36"/>
        <v>0</v>
      </c>
      <c r="G395" s="684"/>
      <c r="H395" s="667">
        <f t="shared" si="35"/>
        <v>0</v>
      </c>
      <c r="I395" s="675"/>
      <c r="J395" s="667">
        <f t="shared" si="38"/>
        <v>0</v>
      </c>
      <c r="K395" s="667"/>
      <c r="L395" s="667"/>
      <c r="M395" s="667" t="e">
        <f>G395+#REF!+#REF!+#REF!+I395+#REF!+#REF!+#REF!+#REF!+#REF!+#REF!+K395+#REF!+#REF!+#REF!</f>
        <v>#REF!</v>
      </c>
      <c r="N395" s="667" t="e">
        <f t="shared" si="39"/>
        <v>#REF!</v>
      </c>
      <c r="O395" s="665" t="e">
        <f>#REF!+M395</f>
        <v>#REF!</v>
      </c>
      <c r="P395" s="666" t="e">
        <f t="shared" si="40"/>
        <v>#REF!</v>
      </c>
      <c r="Q395" s="672"/>
      <c r="R395" s="668"/>
      <c r="S395" s="676"/>
      <c r="T395" s="676"/>
    </row>
    <row r="396" spans="1:20" ht="60" hidden="1" customHeight="1">
      <c r="A396" s="662">
        <v>59.5</v>
      </c>
      <c r="B396" s="666">
        <f t="shared" si="37"/>
        <v>0</v>
      </c>
      <c r="C396" s="663" t="s">
        <v>1579</v>
      </c>
      <c r="D396" s="667">
        <f>[14]Data!K2111</f>
        <v>1754.17</v>
      </c>
      <c r="E396" s="663" t="s">
        <v>522</v>
      </c>
      <c r="F396" s="663">
        <f t="shared" si="36"/>
        <v>0</v>
      </c>
      <c r="G396" s="699"/>
      <c r="H396" s="667">
        <f t="shared" si="35"/>
        <v>0</v>
      </c>
      <c r="I396" s="667"/>
      <c r="J396" s="667">
        <f t="shared" si="38"/>
        <v>0</v>
      </c>
      <c r="K396" s="667"/>
      <c r="L396" s="667"/>
      <c r="M396" s="667" t="e">
        <f>G396+#REF!+#REF!+#REF!+I396+#REF!+#REF!+#REF!+#REF!+#REF!+#REF!+K396+#REF!+#REF!+#REF!</f>
        <v>#REF!</v>
      </c>
      <c r="N396" s="667" t="e">
        <f t="shared" si="39"/>
        <v>#REF!</v>
      </c>
      <c r="O396" s="665" t="e">
        <f>#REF!+M396</f>
        <v>#REF!</v>
      </c>
      <c r="P396" s="666" t="e">
        <f t="shared" si="40"/>
        <v>#REF!</v>
      </c>
      <c r="Q396" s="672"/>
      <c r="R396" s="668"/>
    </row>
    <row r="397" spans="1:20" s="677" customFormat="1" ht="61.5" hidden="1" customHeight="1">
      <c r="A397" s="662">
        <v>59.6</v>
      </c>
      <c r="B397" s="666">
        <f t="shared" si="37"/>
        <v>0</v>
      </c>
      <c r="C397" s="663" t="s">
        <v>1580</v>
      </c>
      <c r="D397" s="675"/>
      <c r="E397" s="674" t="s">
        <v>522</v>
      </c>
      <c r="F397" s="663">
        <f t="shared" si="36"/>
        <v>0</v>
      </c>
      <c r="G397" s="684"/>
      <c r="H397" s="667">
        <f t="shared" si="35"/>
        <v>0</v>
      </c>
      <c r="I397" s="675"/>
      <c r="J397" s="667">
        <f t="shared" si="38"/>
        <v>0</v>
      </c>
      <c r="K397" s="667"/>
      <c r="L397" s="667"/>
      <c r="M397" s="667" t="e">
        <f>G397+#REF!+#REF!+#REF!+I397+#REF!+#REF!+#REF!+#REF!+#REF!+#REF!+K397+#REF!+#REF!+#REF!</f>
        <v>#REF!</v>
      </c>
      <c r="N397" s="667" t="e">
        <f t="shared" si="39"/>
        <v>#REF!</v>
      </c>
      <c r="O397" s="665" t="e">
        <f>#REF!+M397</f>
        <v>#REF!</v>
      </c>
      <c r="P397" s="666" t="e">
        <f t="shared" si="40"/>
        <v>#REF!</v>
      </c>
      <c r="Q397" s="672"/>
      <c r="R397" s="668"/>
      <c r="S397" s="676"/>
      <c r="T397" s="676"/>
    </row>
    <row r="398" spans="1:20" ht="39.75" hidden="1" customHeight="1">
      <c r="A398" s="662">
        <v>60</v>
      </c>
      <c r="B398" s="666">
        <f t="shared" si="37"/>
        <v>0</v>
      </c>
      <c r="C398" s="663" t="s">
        <v>1581</v>
      </c>
      <c r="D398" s="667">
        <f>ROUND([14]Data!K2119,2)</f>
        <v>152.6</v>
      </c>
      <c r="E398" s="663" t="s">
        <v>522</v>
      </c>
      <c r="F398" s="663">
        <f t="shared" si="36"/>
        <v>0</v>
      </c>
      <c r="G398" s="699"/>
      <c r="H398" s="667">
        <f t="shared" si="35"/>
        <v>0</v>
      </c>
      <c r="I398" s="667"/>
      <c r="J398" s="667">
        <f t="shared" si="38"/>
        <v>0</v>
      </c>
      <c r="K398" s="667"/>
      <c r="L398" s="667"/>
      <c r="M398" s="667" t="e">
        <f>G398+#REF!+#REF!+#REF!+I398+#REF!+#REF!+#REF!+#REF!+#REF!+#REF!+K398+#REF!+#REF!+#REF!</f>
        <v>#REF!</v>
      </c>
      <c r="N398" s="667" t="e">
        <f t="shared" si="39"/>
        <v>#REF!</v>
      </c>
      <c r="O398" s="665" t="e">
        <f>#REF!+M398</f>
        <v>#REF!</v>
      </c>
      <c r="P398" s="666" t="e">
        <f t="shared" si="40"/>
        <v>#REF!</v>
      </c>
      <c r="Q398" s="672"/>
      <c r="R398" s="668"/>
    </row>
    <row r="399" spans="1:20" s="677" customFormat="1" ht="41.25" hidden="1" customHeight="1">
      <c r="A399" s="662">
        <v>61.1</v>
      </c>
      <c r="B399" s="666">
        <f t="shared" si="37"/>
        <v>0</v>
      </c>
      <c r="C399" s="663" t="s">
        <v>1582</v>
      </c>
      <c r="D399" s="675"/>
      <c r="E399" s="674"/>
      <c r="F399" s="663">
        <f t="shared" si="36"/>
        <v>0</v>
      </c>
      <c r="G399" s="684"/>
      <c r="H399" s="667">
        <f t="shared" ref="H399:H462" si="41">G399*D399</f>
        <v>0</v>
      </c>
      <c r="I399" s="675"/>
      <c r="J399" s="667">
        <f t="shared" si="38"/>
        <v>0</v>
      </c>
      <c r="K399" s="667"/>
      <c r="L399" s="667"/>
      <c r="M399" s="667" t="e">
        <f>G399+#REF!+#REF!+#REF!+I399+#REF!+#REF!+#REF!+#REF!+#REF!+#REF!+K399+#REF!+#REF!+#REF!</f>
        <v>#REF!</v>
      </c>
      <c r="N399" s="667" t="e">
        <f t="shared" si="39"/>
        <v>#REF!</v>
      </c>
      <c r="O399" s="665" t="e">
        <f>#REF!+M399</f>
        <v>#REF!</v>
      </c>
      <c r="P399" s="666" t="e">
        <f t="shared" si="40"/>
        <v>#REF!</v>
      </c>
      <c r="Q399" s="672"/>
      <c r="R399" s="668"/>
      <c r="S399" s="676"/>
      <c r="T399" s="676"/>
    </row>
    <row r="400" spans="1:20" s="677" customFormat="1" ht="41.25" hidden="1" customHeight="1">
      <c r="A400" s="666"/>
      <c r="B400" s="666">
        <f t="shared" si="37"/>
        <v>0</v>
      </c>
      <c r="C400" s="663" t="s">
        <v>1583</v>
      </c>
      <c r="D400" s="675">
        <f>ROUND([14]Data!K2138,2)</f>
        <v>507.25</v>
      </c>
      <c r="E400" s="674" t="s">
        <v>61</v>
      </c>
      <c r="F400" s="663">
        <f t="shared" si="36"/>
        <v>0</v>
      </c>
      <c r="G400" s="696"/>
      <c r="H400" s="667">
        <f t="shared" si="41"/>
        <v>0</v>
      </c>
      <c r="I400" s="675"/>
      <c r="J400" s="667">
        <f t="shared" si="38"/>
        <v>0</v>
      </c>
      <c r="K400" s="667"/>
      <c r="L400" s="667"/>
      <c r="M400" s="667" t="e">
        <f>G400+#REF!+#REF!+#REF!+I400+#REF!+#REF!+#REF!+#REF!+#REF!+#REF!+K400+#REF!+#REF!+#REF!</f>
        <v>#REF!</v>
      </c>
      <c r="N400" s="667" t="e">
        <f t="shared" si="39"/>
        <v>#REF!</v>
      </c>
      <c r="O400" s="665" t="e">
        <f>#REF!+M400</f>
        <v>#REF!</v>
      </c>
      <c r="P400" s="666" t="e">
        <f t="shared" si="40"/>
        <v>#REF!</v>
      </c>
      <c r="Q400" s="672"/>
      <c r="R400" s="668"/>
      <c r="S400" s="676"/>
      <c r="T400" s="676"/>
    </row>
    <row r="401" spans="1:21" s="677" customFormat="1" ht="41.25" hidden="1" customHeight="1">
      <c r="A401" s="690"/>
      <c r="B401" s="666">
        <f t="shared" si="37"/>
        <v>0</v>
      </c>
      <c r="C401" s="663" t="s">
        <v>1584</v>
      </c>
      <c r="D401" s="675">
        <f>ROUND([14]Data!K2158,2)</f>
        <v>673.35</v>
      </c>
      <c r="E401" s="674" t="s">
        <v>61</v>
      </c>
      <c r="F401" s="663">
        <f t="shared" ref="F401:F464" si="42">B401*D401</f>
        <v>0</v>
      </c>
      <c r="G401" s="696"/>
      <c r="H401" s="667">
        <f t="shared" si="41"/>
        <v>0</v>
      </c>
      <c r="I401" s="675"/>
      <c r="J401" s="667">
        <f t="shared" si="38"/>
        <v>0</v>
      </c>
      <c r="K401" s="667"/>
      <c r="L401" s="667"/>
      <c r="M401" s="667" t="e">
        <f>G401+#REF!+#REF!+#REF!+I401+#REF!+#REF!+#REF!+#REF!+#REF!+#REF!+K401+#REF!+#REF!+#REF!</f>
        <v>#REF!</v>
      </c>
      <c r="N401" s="667" t="e">
        <f t="shared" si="39"/>
        <v>#REF!</v>
      </c>
      <c r="O401" s="665" t="e">
        <f>#REF!+M401</f>
        <v>#REF!</v>
      </c>
      <c r="P401" s="666" t="e">
        <f t="shared" si="40"/>
        <v>#REF!</v>
      </c>
      <c r="Q401" s="672"/>
      <c r="R401" s="668"/>
      <c r="S401" s="676"/>
      <c r="T401" s="676"/>
    </row>
    <row r="402" spans="1:21" s="677" customFormat="1" ht="45.75" hidden="1" customHeight="1">
      <c r="A402" s="662">
        <v>61.2</v>
      </c>
      <c r="B402" s="666">
        <f t="shared" si="37"/>
        <v>0</v>
      </c>
      <c r="C402" s="685" t="s">
        <v>1585</v>
      </c>
      <c r="D402" s="667"/>
      <c r="E402" s="663"/>
      <c r="F402" s="663">
        <f t="shared" si="42"/>
        <v>0</v>
      </c>
      <c r="G402" s="690"/>
      <c r="H402" s="667">
        <f t="shared" si="41"/>
        <v>0</v>
      </c>
      <c r="I402" s="667"/>
      <c r="J402" s="667">
        <f t="shared" si="38"/>
        <v>0</v>
      </c>
      <c r="K402" s="667"/>
      <c r="L402" s="667"/>
      <c r="M402" s="667" t="e">
        <f>G402+#REF!+#REF!+#REF!+I402+#REF!+#REF!+#REF!+#REF!+#REF!+#REF!+K402+#REF!+#REF!+#REF!</f>
        <v>#REF!</v>
      </c>
      <c r="N402" s="667" t="e">
        <f t="shared" si="39"/>
        <v>#REF!</v>
      </c>
      <c r="O402" s="665" t="e">
        <f>#REF!+M402</f>
        <v>#REF!</v>
      </c>
      <c r="P402" s="666" t="e">
        <f t="shared" si="40"/>
        <v>#REF!</v>
      </c>
      <c r="Q402" s="672"/>
      <c r="R402" s="668"/>
      <c r="S402" s="676"/>
      <c r="T402" s="676"/>
    </row>
    <row r="403" spans="1:21" s="677" customFormat="1" ht="45.75" hidden="1" customHeight="1">
      <c r="A403" s="666"/>
      <c r="B403" s="666">
        <f t="shared" si="37"/>
        <v>0</v>
      </c>
      <c r="C403" s="663" t="s">
        <v>1586</v>
      </c>
      <c r="D403" s="675">
        <f>ROUND([14]Data!K2169,2)</f>
        <v>222.53</v>
      </c>
      <c r="E403" s="674" t="s">
        <v>61</v>
      </c>
      <c r="F403" s="663">
        <f t="shared" si="42"/>
        <v>0</v>
      </c>
      <c r="G403" s="684"/>
      <c r="H403" s="667">
        <f t="shared" si="41"/>
        <v>0</v>
      </c>
      <c r="I403" s="675"/>
      <c r="J403" s="667">
        <f t="shared" si="38"/>
        <v>0</v>
      </c>
      <c r="K403" s="667"/>
      <c r="L403" s="667"/>
      <c r="M403" s="667" t="e">
        <f>G403+#REF!+#REF!+#REF!+I403+#REF!+#REF!+#REF!+#REF!+#REF!+#REF!+K403+#REF!+#REF!+#REF!</f>
        <v>#REF!</v>
      </c>
      <c r="N403" s="667" t="e">
        <f t="shared" si="39"/>
        <v>#REF!</v>
      </c>
      <c r="O403" s="665" t="e">
        <f>#REF!+M403</f>
        <v>#REF!</v>
      </c>
      <c r="P403" s="666" t="e">
        <f t="shared" si="40"/>
        <v>#REF!</v>
      </c>
      <c r="Q403" s="672"/>
      <c r="R403" s="668"/>
      <c r="S403" s="676"/>
      <c r="T403" s="676"/>
    </row>
    <row r="404" spans="1:21" s="677" customFormat="1" ht="55.5" hidden="1" customHeight="1">
      <c r="A404" s="690"/>
      <c r="B404" s="666">
        <f t="shared" si="37"/>
        <v>0</v>
      </c>
      <c r="C404" s="663" t="s">
        <v>1587</v>
      </c>
      <c r="D404" s="675">
        <f>ROUND([14]Data!K2184,2)</f>
        <v>329.02</v>
      </c>
      <c r="E404" s="674" t="s">
        <v>61</v>
      </c>
      <c r="F404" s="663">
        <f t="shared" si="42"/>
        <v>0</v>
      </c>
      <c r="G404" s="684"/>
      <c r="H404" s="667">
        <f t="shared" si="41"/>
        <v>0</v>
      </c>
      <c r="I404" s="675"/>
      <c r="J404" s="667">
        <f t="shared" si="38"/>
        <v>0</v>
      </c>
      <c r="K404" s="667"/>
      <c r="L404" s="667"/>
      <c r="M404" s="667" t="e">
        <f>G404+#REF!+#REF!+#REF!+I404+#REF!+#REF!+#REF!+#REF!+#REF!+#REF!+K404+#REF!+#REF!+#REF!</f>
        <v>#REF!</v>
      </c>
      <c r="N404" s="667" t="e">
        <f t="shared" si="39"/>
        <v>#REF!</v>
      </c>
      <c r="O404" s="665" t="e">
        <f>#REF!+M404</f>
        <v>#REF!</v>
      </c>
      <c r="P404" s="666" t="e">
        <f t="shared" si="40"/>
        <v>#REF!</v>
      </c>
      <c r="Q404" s="672"/>
      <c r="R404" s="668"/>
      <c r="S404" s="676"/>
      <c r="T404" s="676"/>
    </row>
    <row r="405" spans="1:21" s="677" customFormat="1" ht="41.25" hidden="1" customHeight="1">
      <c r="A405" s="662">
        <v>62.1</v>
      </c>
      <c r="B405" s="666">
        <f t="shared" si="37"/>
        <v>0</v>
      </c>
      <c r="C405" s="663" t="s">
        <v>1588</v>
      </c>
      <c r="D405" s="675"/>
      <c r="E405" s="674"/>
      <c r="F405" s="663">
        <f t="shared" si="42"/>
        <v>0</v>
      </c>
      <c r="G405" s="684"/>
      <c r="H405" s="667">
        <f t="shared" si="41"/>
        <v>0</v>
      </c>
      <c r="I405" s="675"/>
      <c r="J405" s="667">
        <f t="shared" si="38"/>
        <v>0</v>
      </c>
      <c r="K405" s="667"/>
      <c r="L405" s="667"/>
      <c r="M405" s="667" t="e">
        <f>G405+#REF!+#REF!+#REF!+I405+#REF!+#REF!+#REF!+#REF!+#REF!+#REF!+K405+#REF!+#REF!+#REF!</f>
        <v>#REF!</v>
      </c>
      <c r="N405" s="667" t="e">
        <f t="shared" si="39"/>
        <v>#REF!</v>
      </c>
      <c r="O405" s="665" t="e">
        <f>#REF!+M405</f>
        <v>#REF!</v>
      </c>
      <c r="P405" s="666" t="e">
        <f t="shared" si="40"/>
        <v>#REF!</v>
      </c>
      <c r="Q405" s="672"/>
      <c r="R405" s="668"/>
      <c r="S405" s="676"/>
      <c r="T405" s="676"/>
    </row>
    <row r="406" spans="1:21" s="677" customFormat="1" ht="41.25" hidden="1" customHeight="1">
      <c r="A406" s="666"/>
      <c r="B406" s="666">
        <f t="shared" si="37"/>
        <v>0</v>
      </c>
      <c r="C406" s="663" t="s">
        <v>1586</v>
      </c>
      <c r="D406" s="675">
        <f>ROUND([14]Data!K2193,2)</f>
        <v>103.1</v>
      </c>
      <c r="E406" s="674" t="s">
        <v>522</v>
      </c>
      <c r="F406" s="663">
        <f t="shared" si="42"/>
        <v>0</v>
      </c>
      <c r="G406" s="684"/>
      <c r="H406" s="667">
        <f t="shared" si="41"/>
        <v>0</v>
      </c>
      <c r="I406" s="675"/>
      <c r="J406" s="667">
        <f t="shared" si="38"/>
        <v>0</v>
      </c>
      <c r="K406" s="667"/>
      <c r="L406" s="667"/>
      <c r="M406" s="667" t="e">
        <f>G406+#REF!+#REF!+#REF!+I406+#REF!+#REF!+#REF!+#REF!+#REF!+#REF!+K406+#REF!+#REF!+#REF!</f>
        <v>#REF!</v>
      </c>
      <c r="N406" s="667" t="e">
        <f t="shared" si="39"/>
        <v>#REF!</v>
      </c>
      <c r="O406" s="665" t="e">
        <f>#REF!+M406</f>
        <v>#REF!</v>
      </c>
      <c r="P406" s="666" t="e">
        <f t="shared" si="40"/>
        <v>#REF!</v>
      </c>
      <c r="Q406" s="672"/>
      <c r="R406" s="668"/>
      <c r="S406" s="676"/>
      <c r="T406" s="676"/>
    </row>
    <row r="407" spans="1:21" s="677" customFormat="1" ht="49.5" hidden="1" customHeight="1">
      <c r="A407" s="690"/>
      <c r="B407" s="666">
        <f t="shared" si="37"/>
        <v>0</v>
      </c>
      <c r="C407" s="663" t="s">
        <v>1587</v>
      </c>
      <c r="D407" s="675">
        <f>ROUND([14]Data!K2200,2)</f>
        <v>141.80000000000001</v>
      </c>
      <c r="E407" s="674" t="s">
        <v>522</v>
      </c>
      <c r="F407" s="663">
        <f t="shared" si="42"/>
        <v>0</v>
      </c>
      <c r="G407" s="684"/>
      <c r="H407" s="667">
        <f t="shared" si="41"/>
        <v>0</v>
      </c>
      <c r="I407" s="675"/>
      <c r="J407" s="667">
        <f t="shared" si="38"/>
        <v>0</v>
      </c>
      <c r="K407" s="667"/>
      <c r="L407" s="667"/>
      <c r="M407" s="667" t="e">
        <f>G407+#REF!+#REF!+#REF!+I407+#REF!+#REF!+#REF!+#REF!+#REF!+#REF!+K407+#REF!+#REF!+#REF!</f>
        <v>#REF!</v>
      </c>
      <c r="N407" s="667" t="e">
        <f t="shared" si="39"/>
        <v>#REF!</v>
      </c>
      <c r="O407" s="665" t="e">
        <f>#REF!+M407</f>
        <v>#REF!</v>
      </c>
      <c r="P407" s="666" t="e">
        <f t="shared" si="40"/>
        <v>#REF!</v>
      </c>
      <c r="Q407" s="672"/>
      <c r="R407" s="668"/>
      <c r="S407" s="676"/>
      <c r="T407" s="676"/>
    </row>
    <row r="408" spans="1:21" s="677" customFormat="1" ht="41.25" hidden="1" customHeight="1">
      <c r="A408" s="662">
        <v>62.2</v>
      </c>
      <c r="B408" s="666">
        <f t="shared" si="37"/>
        <v>0</v>
      </c>
      <c r="C408" s="685" t="s">
        <v>1589</v>
      </c>
      <c r="D408" s="667"/>
      <c r="E408" s="663"/>
      <c r="F408" s="663">
        <f t="shared" si="42"/>
        <v>0</v>
      </c>
      <c r="G408" s="690"/>
      <c r="H408" s="667">
        <f t="shared" si="41"/>
        <v>0</v>
      </c>
      <c r="I408" s="667"/>
      <c r="J408" s="667">
        <f t="shared" si="38"/>
        <v>0</v>
      </c>
      <c r="K408" s="667"/>
      <c r="L408" s="667"/>
      <c r="M408" s="667" t="e">
        <f>G408+#REF!+#REF!+#REF!+I408+#REF!+#REF!+#REF!+#REF!+#REF!+#REF!+K408+#REF!+#REF!+#REF!</f>
        <v>#REF!</v>
      </c>
      <c r="N408" s="667" t="e">
        <f t="shared" si="39"/>
        <v>#REF!</v>
      </c>
      <c r="O408" s="665" t="e">
        <f>#REF!+M408</f>
        <v>#REF!</v>
      </c>
      <c r="P408" s="666" t="e">
        <f t="shared" si="40"/>
        <v>#REF!</v>
      </c>
      <c r="Q408" s="668"/>
      <c r="R408" s="668"/>
      <c r="S408" s="676"/>
      <c r="T408" s="676"/>
    </row>
    <row r="409" spans="1:21" s="677" customFormat="1" ht="41.25" hidden="1" customHeight="1">
      <c r="A409" s="666"/>
      <c r="B409" s="666">
        <f t="shared" si="37"/>
        <v>0</v>
      </c>
      <c r="C409" s="663" t="s">
        <v>1586</v>
      </c>
      <c r="D409" s="667">
        <f>ROUND([14]Data!K2206,2)</f>
        <v>129.80000000000001</v>
      </c>
      <c r="E409" s="663" t="s">
        <v>522</v>
      </c>
      <c r="F409" s="663">
        <f t="shared" si="42"/>
        <v>0</v>
      </c>
      <c r="G409" s="690"/>
      <c r="H409" s="667">
        <f t="shared" si="41"/>
        <v>0</v>
      </c>
      <c r="I409" s="667"/>
      <c r="J409" s="667">
        <f t="shared" si="38"/>
        <v>0</v>
      </c>
      <c r="K409" s="667"/>
      <c r="L409" s="667"/>
      <c r="M409" s="667" t="e">
        <f>G409+#REF!+#REF!+#REF!+I409+#REF!+#REF!+#REF!+#REF!+#REF!+#REF!+K409+#REF!+#REF!+#REF!</f>
        <v>#REF!</v>
      </c>
      <c r="N409" s="667" t="e">
        <f t="shared" si="39"/>
        <v>#REF!</v>
      </c>
      <c r="O409" s="665" t="e">
        <f>#REF!+M409</f>
        <v>#REF!</v>
      </c>
      <c r="P409" s="666" t="e">
        <f t="shared" si="40"/>
        <v>#REF!</v>
      </c>
      <c r="Q409" s="672"/>
      <c r="R409" s="668"/>
      <c r="S409" s="676"/>
      <c r="T409" s="676"/>
    </row>
    <row r="410" spans="1:21" s="677" customFormat="1" ht="55.5" hidden="1" customHeight="1">
      <c r="A410" s="690"/>
      <c r="B410" s="666">
        <f t="shared" si="37"/>
        <v>0</v>
      </c>
      <c r="C410" s="663" t="s">
        <v>1587</v>
      </c>
      <c r="D410" s="675">
        <f>ROUND([14]Data!K2216,2)</f>
        <v>167.5</v>
      </c>
      <c r="E410" s="674" t="s">
        <v>522</v>
      </c>
      <c r="F410" s="663">
        <f t="shared" si="42"/>
        <v>0</v>
      </c>
      <c r="G410" s="684"/>
      <c r="H410" s="667">
        <f t="shared" si="41"/>
        <v>0</v>
      </c>
      <c r="I410" s="675"/>
      <c r="J410" s="667">
        <f t="shared" si="38"/>
        <v>0</v>
      </c>
      <c r="K410" s="667"/>
      <c r="L410" s="667"/>
      <c r="M410" s="667" t="e">
        <f>G410+#REF!+#REF!+#REF!+I410+#REF!+#REF!+#REF!+#REF!+#REF!+#REF!+K410+#REF!+#REF!+#REF!</f>
        <v>#REF!</v>
      </c>
      <c r="N410" s="667" t="e">
        <f t="shared" si="39"/>
        <v>#REF!</v>
      </c>
      <c r="O410" s="665" t="e">
        <f>#REF!+M410</f>
        <v>#REF!</v>
      </c>
      <c r="P410" s="666" t="e">
        <f t="shared" si="40"/>
        <v>#REF!</v>
      </c>
      <c r="Q410" s="672"/>
      <c r="R410" s="668"/>
      <c r="S410" s="676"/>
      <c r="T410" s="676"/>
    </row>
    <row r="411" spans="1:21" s="677" customFormat="1" ht="20.100000000000001" hidden="1" customHeight="1">
      <c r="A411" s="662">
        <v>63</v>
      </c>
      <c r="B411" s="666">
        <f t="shared" si="37"/>
        <v>0</v>
      </c>
      <c r="C411" s="663" t="s">
        <v>1590</v>
      </c>
      <c r="D411" s="675">
        <f>ROUND([14]Data!K2225,2)</f>
        <v>31.87</v>
      </c>
      <c r="E411" s="674" t="s">
        <v>522</v>
      </c>
      <c r="F411" s="663">
        <f t="shared" si="42"/>
        <v>0</v>
      </c>
      <c r="G411" s="684"/>
      <c r="H411" s="667">
        <f t="shared" si="41"/>
        <v>0</v>
      </c>
      <c r="I411" s="675"/>
      <c r="J411" s="667">
        <f t="shared" si="38"/>
        <v>0</v>
      </c>
      <c r="K411" s="667"/>
      <c r="L411" s="667"/>
      <c r="M411" s="667" t="e">
        <f>G411+#REF!+#REF!+#REF!+I411+#REF!+#REF!+#REF!+#REF!+#REF!+#REF!+K411+#REF!+#REF!+#REF!</f>
        <v>#REF!</v>
      </c>
      <c r="N411" s="667" t="e">
        <f t="shared" si="39"/>
        <v>#REF!</v>
      </c>
      <c r="O411" s="665" t="e">
        <f>#REF!+M411</f>
        <v>#REF!</v>
      </c>
      <c r="P411" s="666" t="e">
        <f t="shared" si="40"/>
        <v>#REF!</v>
      </c>
      <c r="Q411" s="672"/>
      <c r="R411" s="668"/>
      <c r="S411" s="676"/>
      <c r="T411" s="676"/>
    </row>
    <row r="412" spans="1:21" ht="45.75" hidden="1" customHeight="1">
      <c r="A412" s="662"/>
      <c r="B412" s="666">
        <f t="shared" si="37"/>
        <v>0</v>
      </c>
      <c r="C412" s="685" t="s">
        <v>167</v>
      </c>
      <c r="D412" s="667"/>
      <c r="E412" s="663"/>
      <c r="F412" s="663">
        <f t="shared" si="42"/>
        <v>0</v>
      </c>
      <c r="G412" s="667"/>
      <c r="H412" s="667">
        <f t="shared" si="41"/>
        <v>0</v>
      </c>
      <c r="I412" s="667"/>
      <c r="J412" s="667">
        <f t="shared" si="38"/>
        <v>0</v>
      </c>
      <c r="K412" s="667"/>
      <c r="L412" s="667"/>
      <c r="M412" s="667" t="e">
        <f>G412+#REF!+#REF!+#REF!+I412+#REF!+#REF!+#REF!+#REF!+#REF!+#REF!+K412+#REF!+#REF!+#REF!</f>
        <v>#REF!</v>
      </c>
      <c r="N412" s="667" t="e">
        <f t="shared" si="39"/>
        <v>#REF!</v>
      </c>
      <c r="O412" s="665" t="e">
        <f>#REF!+M412</f>
        <v>#REF!</v>
      </c>
      <c r="P412" s="666" t="e">
        <f t="shared" si="40"/>
        <v>#REF!</v>
      </c>
      <c r="Q412" s="668"/>
      <c r="R412" s="668"/>
      <c r="S412" s="678"/>
      <c r="U412" s="679"/>
    </row>
    <row r="413" spans="1:21" s="677" customFormat="1" ht="20.100000000000001" hidden="1" customHeight="1">
      <c r="A413" s="662">
        <v>64</v>
      </c>
      <c r="B413" s="666">
        <f t="shared" si="37"/>
        <v>0</v>
      </c>
      <c r="C413" s="663" t="s">
        <v>168</v>
      </c>
      <c r="D413" s="675">
        <f>[14]Data!K2261</f>
        <v>1499.29</v>
      </c>
      <c r="E413" s="674" t="s">
        <v>522</v>
      </c>
      <c r="F413" s="663">
        <f t="shared" si="42"/>
        <v>0</v>
      </c>
      <c r="G413" s="684"/>
      <c r="H413" s="667">
        <f t="shared" si="41"/>
        <v>0</v>
      </c>
      <c r="I413" s="675"/>
      <c r="J413" s="667">
        <f t="shared" si="38"/>
        <v>0</v>
      </c>
      <c r="K413" s="667"/>
      <c r="L413" s="667"/>
      <c r="M413" s="667" t="e">
        <f>G413+#REF!+#REF!+#REF!+I413+#REF!+#REF!+#REF!+#REF!+#REF!+#REF!+K413+#REF!+#REF!+#REF!</f>
        <v>#REF!</v>
      </c>
      <c r="N413" s="667" t="e">
        <f t="shared" si="39"/>
        <v>#REF!</v>
      </c>
      <c r="O413" s="665" t="e">
        <f>#REF!+M413</f>
        <v>#REF!</v>
      </c>
      <c r="P413" s="666" t="e">
        <f t="shared" si="40"/>
        <v>#REF!</v>
      </c>
      <c r="Q413" s="672"/>
      <c r="R413" s="668"/>
      <c r="S413" s="676"/>
      <c r="T413" s="676"/>
    </row>
    <row r="414" spans="1:21" s="677" customFormat="1" ht="30.75" hidden="1" customHeight="1">
      <c r="A414" s="666"/>
      <c r="B414" s="666">
        <f t="shared" si="37"/>
        <v>0</v>
      </c>
      <c r="C414" s="663" t="s">
        <v>170</v>
      </c>
      <c r="D414" s="675"/>
      <c r="E414" s="674" t="s">
        <v>522</v>
      </c>
      <c r="F414" s="663">
        <f t="shared" si="42"/>
        <v>0</v>
      </c>
      <c r="G414" s="684"/>
      <c r="H414" s="667">
        <f t="shared" si="41"/>
        <v>0</v>
      </c>
      <c r="I414" s="675"/>
      <c r="J414" s="667">
        <f t="shared" si="38"/>
        <v>0</v>
      </c>
      <c r="K414" s="667"/>
      <c r="L414" s="667"/>
      <c r="M414" s="667" t="e">
        <f>G414+#REF!+#REF!+#REF!+I414+#REF!+#REF!+#REF!+#REF!+#REF!+#REF!+K414+#REF!+#REF!+#REF!</f>
        <v>#REF!</v>
      </c>
      <c r="N414" s="667" t="e">
        <f t="shared" si="39"/>
        <v>#REF!</v>
      </c>
      <c r="O414" s="665" t="e">
        <f>#REF!+M414</f>
        <v>#REF!</v>
      </c>
      <c r="P414" s="666" t="e">
        <f t="shared" si="40"/>
        <v>#REF!</v>
      </c>
      <c r="Q414" s="672"/>
      <c r="R414" s="668"/>
      <c r="S414" s="676"/>
      <c r="T414" s="676"/>
    </row>
    <row r="415" spans="1:21" s="677" customFormat="1" ht="20.100000000000001" hidden="1" customHeight="1">
      <c r="A415" s="690"/>
      <c r="B415" s="666">
        <f t="shared" si="37"/>
        <v>0</v>
      </c>
      <c r="C415" s="663" t="s">
        <v>1591</v>
      </c>
      <c r="D415" s="675">
        <f>[14]Data!K2263</f>
        <v>1531.07</v>
      </c>
      <c r="E415" s="674" t="s">
        <v>522</v>
      </c>
      <c r="F415" s="663">
        <f t="shared" si="42"/>
        <v>0</v>
      </c>
      <c r="G415" s="684"/>
      <c r="H415" s="667">
        <f t="shared" si="41"/>
        <v>0</v>
      </c>
      <c r="I415" s="675"/>
      <c r="J415" s="667">
        <f t="shared" si="38"/>
        <v>0</v>
      </c>
      <c r="K415" s="667"/>
      <c r="L415" s="667"/>
      <c r="M415" s="667" t="e">
        <f>G415+#REF!+#REF!+#REF!+I415+#REF!+#REF!+#REF!+#REF!+#REF!+#REF!+K415+#REF!+#REF!+#REF!</f>
        <v>#REF!</v>
      </c>
      <c r="N415" s="667" t="e">
        <f t="shared" si="39"/>
        <v>#REF!</v>
      </c>
      <c r="O415" s="665" t="e">
        <f>#REF!+M415</f>
        <v>#REF!</v>
      </c>
      <c r="P415" s="666" t="e">
        <f t="shared" si="40"/>
        <v>#REF!</v>
      </c>
      <c r="Q415" s="672"/>
      <c r="R415" s="668"/>
      <c r="S415" s="676"/>
      <c r="T415" s="676"/>
    </row>
    <row r="416" spans="1:21" s="677" customFormat="1" ht="20.100000000000001" hidden="1" customHeight="1">
      <c r="A416" s="662">
        <v>65</v>
      </c>
      <c r="B416" s="666">
        <f t="shared" si="37"/>
        <v>0</v>
      </c>
      <c r="C416" s="663" t="s">
        <v>1592</v>
      </c>
      <c r="D416" s="675">
        <f>[14]Data!K2264</f>
        <v>1565.5</v>
      </c>
      <c r="E416" s="674" t="s">
        <v>522</v>
      </c>
      <c r="F416" s="663">
        <f t="shared" si="42"/>
        <v>0</v>
      </c>
      <c r="G416" s="684"/>
      <c r="H416" s="667">
        <f t="shared" si="41"/>
        <v>0</v>
      </c>
      <c r="I416" s="675"/>
      <c r="J416" s="667">
        <f t="shared" si="38"/>
        <v>0</v>
      </c>
      <c r="K416" s="667"/>
      <c r="L416" s="667"/>
      <c r="M416" s="667" t="e">
        <f>G416+#REF!+#REF!+#REF!+I416+#REF!+#REF!+#REF!+#REF!+#REF!+#REF!+K416+#REF!+#REF!+#REF!</f>
        <v>#REF!</v>
      </c>
      <c r="N416" s="667" t="e">
        <f t="shared" si="39"/>
        <v>#REF!</v>
      </c>
      <c r="O416" s="665" t="e">
        <f>#REF!+M416</f>
        <v>#REF!</v>
      </c>
      <c r="P416" s="666" t="e">
        <f t="shared" si="40"/>
        <v>#REF!</v>
      </c>
      <c r="Q416" s="672"/>
      <c r="R416" s="668"/>
      <c r="S416" s="676"/>
      <c r="T416" s="676"/>
    </row>
    <row r="417" spans="1:20" s="677" customFormat="1" ht="20.100000000000001" hidden="1" customHeight="1">
      <c r="A417" s="662">
        <v>66</v>
      </c>
      <c r="B417" s="666">
        <f t="shared" si="37"/>
        <v>0</v>
      </c>
      <c r="C417" s="663" t="s">
        <v>998</v>
      </c>
      <c r="D417" s="675">
        <f>[14]Data!K2265</f>
        <v>2802.19</v>
      </c>
      <c r="E417" s="674" t="s">
        <v>522</v>
      </c>
      <c r="F417" s="663">
        <f t="shared" si="42"/>
        <v>0</v>
      </c>
      <c r="G417" s="684"/>
      <c r="H417" s="667">
        <f t="shared" si="41"/>
        <v>0</v>
      </c>
      <c r="I417" s="675"/>
      <c r="J417" s="667">
        <f t="shared" si="38"/>
        <v>0</v>
      </c>
      <c r="K417" s="667"/>
      <c r="L417" s="667"/>
      <c r="M417" s="667" t="e">
        <f>G417+#REF!+#REF!+#REF!+I417+#REF!+#REF!+#REF!+#REF!+#REF!+#REF!+K417+#REF!+#REF!+#REF!</f>
        <v>#REF!</v>
      </c>
      <c r="N417" s="667" t="e">
        <f t="shared" si="39"/>
        <v>#REF!</v>
      </c>
      <c r="O417" s="665" t="e">
        <f>#REF!+M417</f>
        <v>#REF!</v>
      </c>
      <c r="P417" s="666" t="e">
        <f t="shared" si="40"/>
        <v>#REF!</v>
      </c>
      <c r="Q417" s="672"/>
      <c r="R417" s="668"/>
      <c r="S417" s="676"/>
      <c r="T417" s="676"/>
    </row>
    <row r="418" spans="1:20" s="677" customFormat="1" ht="20.100000000000001" hidden="1" customHeight="1">
      <c r="A418" s="662">
        <v>67</v>
      </c>
      <c r="B418" s="666">
        <f t="shared" si="37"/>
        <v>0</v>
      </c>
      <c r="C418" s="663" t="s">
        <v>1593</v>
      </c>
      <c r="D418" s="675">
        <f>[14]Data!K2266</f>
        <v>764.91</v>
      </c>
      <c r="E418" s="674" t="s">
        <v>522</v>
      </c>
      <c r="F418" s="663">
        <f t="shared" si="42"/>
        <v>0</v>
      </c>
      <c r="G418" s="684"/>
      <c r="H418" s="667">
        <f t="shared" si="41"/>
        <v>0</v>
      </c>
      <c r="I418" s="675"/>
      <c r="J418" s="667">
        <f t="shared" si="38"/>
        <v>0</v>
      </c>
      <c r="K418" s="667"/>
      <c r="L418" s="667"/>
      <c r="M418" s="667" t="e">
        <f>G418+#REF!+#REF!+#REF!+I418+#REF!+#REF!+#REF!+#REF!+#REF!+#REF!+K418+#REF!+#REF!+#REF!</f>
        <v>#REF!</v>
      </c>
      <c r="N418" s="667" t="e">
        <f t="shared" si="39"/>
        <v>#REF!</v>
      </c>
      <c r="O418" s="665" t="e">
        <f>#REF!+M418</f>
        <v>#REF!</v>
      </c>
      <c r="P418" s="666" t="e">
        <f t="shared" si="40"/>
        <v>#REF!</v>
      </c>
      <c r="Q418" s="672"/>
      <c r="R418" s="668"/>
      <c r="S418" s="676"/>
      <c r="T418" s="676"/>
    </row>
    <row r="419" spans="1:20" s="677" customFormat="1" ht="20.100000000000001" hidden="1" customHeight="1">
      <c r="A419" s="662">
        <v>68</v>
      </c>
      <c r="B419" s="666">
        <f t="shared" si="37"/>
        <v>0</v>
      </c>
      <c r="C419" s="663" t="s">
        <v>1594</v>
      </c>
      <c r="D419" s="675">
        <f>[14]Data!K2267</f>
        <v>1041.2</v>
      </c>
      <c r="E419" s="674" t="s">
        <v>522</v>
      </c>
      <c r="F419" s="663">
        <f t="shared" si="42"/>
        <v>0</v>
      </c>
      <c r="G419" s="684"/>
      <c r="H419" s="667">
        <f t="shared" si="41"/>
        <v>0</v>
      </c>
      <c r="I419" s="675"/>
      <c r="J419" s="667">
        <f t="shared" si="38"/>
        <v>0</v>
      </c>
      <c r="K419" s="667"/>
      <c r="L419" s="667"/>
      <c r="M419" s="667" t="e">
        <f>G419+#REF!+#REF!+#REF!+I419+#REF!+#REF!+#REF!+#REF!+#REF!+#REF!+K419+#REF!+#REF!+#REF!</f>
        <v>#REF!</v>
      </c>
      <c r="N419" s="667" t="e">
        <f t="shared" si="39"/>
        <v>#REF!</v>
      </c>
      <c r="O419" s="665" t="e">
        <f>#REF!+M419</f>
        <v>#REF!</v>
      </c>
      <c r="P419" s="666" t="e">
        <f t="shared" si="40"/>
        <v>#REF!</v>
      </c>
      <c r="Q419" s="672"/>
      <c r="R419" s="668"/>
      <c r="S419" s="676"/>
      <c r="T419" s="676"/>
    </row>
    <row r="420" spans="1:20" ht="45.75" hidden="1" customHeight="1">
      <c r="A420" s="662">
        <v>69</v>
      </c>
      <c r="B420" s="666">
        <f t="shared" si="37"/>
        <v>0</v>
      </c>
      <c r="C420" s="663" t="s">
        <v>1595</v>
      </c>
      <c r="D420" s="667">
        <f>[14]Data!K2268</f>
        <v>138.69999999999999</v>
      </c>
      <c r="E420" s="663" t="s">
        <v>522</v>
      </c>
      <c r="F420" s="663">
        <f t="shared" si="42"/>
        <v>0</v>
      </c>
      <c r="G420" s="699"/>
      <c r="H420" s="667">
        <f t="shared" si="41"/>
        <v>0</v>
      </c>
      <c r="I420" s="667"/>
      <c r="J420" s="667">
        <f t="shared" si="38"/>
        <v>0</v>
      </c>
      <c r="K420" s="667"/>
      <c r="L420" s="667"/>
      <c r="M420" s="667" t="e">
        <f>G420+#REF!+#REF!+#REF!+I420+#REF!+#REF!+#REF!+#REF!+#REF!+#REF!+K420+#REF!+#REF!+#REF!</f>
        <v>#REF!</v>
      </c>
      <c r="N420" s="667" t="e">
        <f t="shared" si="39"/>
        <v>#REF!</v>
      </c>
      <c r="O420" s="665" t="e">
        <f>#REF!+M420</f>
        <v>#REF!</v>
      </c>
      <c r="P420" s="666" t="e">
        <f t="shared" si="40"/>
        <v>#REF!</v>
      </c>
      <c r="Q420" s="672"/>
      <c r="R420" s="668"/>
    </row>
    <row r="421" spans="1:20" s="677" customFormat="1" ht="29.25" hidden="1" customHeight="1">
      <c r="A421" s="662">
        <v>70.099999999999994</v>
      </c>
      <c r="B421" s="666">
        <f t="shared" si="37"/>
        <v>0</v>
      </c>
      <c r="C421" s="663" t="s">
        <v>1005</v>
      </c>
      <c r="D421" s="675">
        <f>[14]Data!K2269</f>
        <v>486.5</v>
      </c>
      <c r="E421" s="674" t="s">
        <v>522</v>
      </c>
      <c r="F421" s="663">
        <f t="shared" si="42"/>
        <v>0</v>
      </c>
      <c r="G421" s="684"/>
      <c r="H421" s="667">
        <f t="shared" si="41"/>
        <v>0</v>
      </c>
      <c r="I421" s="675"/>
      <c r="J421" s="667">
        <f t="shared" si="38"/>
        <v>0</v>
      </c>
      <c r="K421" s="667"/>
      <c r="L421" s="667"/>
      <c r="M421" s="667" t="e">
        <f>G421+#REF!+#REF!+#REF!+I421+#REF!+#REF!+#REF!+#REF!+#REF!+#REF!+K421+#REF!+#REF!+#REF!</f>
        <v>#REF!</v>
      </c>
      <c r="N421" s="667" t="e">
        <f t="shared" si="39"/>
        <v>#REF!</v>
      </c>
      <c r="O421" s="665" t="e">
        <f>#REF!+M421</f>
        <v>#REF!</v>
      </c>
      <c r="P421" s="666" t="e">
        <f t="shared" si="40"/>
        <v>#REF!</v>
      </c>
      <c r="Q421" s="672"/>
      <c r="R421" s="668"/>
      <c r="S421" s="676"/>
      <c r="T421" s="676"/>
    </row>
    <row r="422" spans="1:20" s="677" customFormat="1" ht="20.100000000000001" hidden="1" customHeight="1">
      <c r="A422" s="662">
        <v>70.2</v>
      </c>
      <c r="B422" s="666">
        <f t="shared" si="37"/>
        <v>0</v>
      </c>
      <c r="C422" s="663" t="s">
        <v>1596</v>
      </c>
      <c r="D422" s="675"/>
      <c r="E422" s="674" t="s">
        <v>522</v>
      </c>
      <c r="F422" s="663">
        <f t="shared" si="42"/>
        <v>0</v>
      </c>
      <c r="G422" s="684"/>
      <c r="H422" s="667">
        <f t="shared" si="41"/>
        <v>0</v>
      </c>
      <c r="I422" s="675"/>
      <c r="J422" s="667">
        <f t="shared" si="38"/>
        <v>0</v>
      </c>
      <c r="K422" s="667"/>
      <c r="L422" s="667"/>
      <c r="M422" s="667" t="e">
        <f>G422+#REF!+#REF!+#REF!+I422+#REF!+#REF!+#REF!+#REF!+#REF!+#REF!+K422+#REF!+#REF!+#REF!</f>
        <v>#REF!</v>
      </c>
      <c r="N422" s="667" t="e">
        <f t="shared" si="39"/>
        <v>#REF!</v>
      </c>
      <c r="O422" s="665" t="e">
        <f>#REF!+M422</f>
        <v>#REF!</v>
      </c>
      <c r="P422" s="666" t="e">
        <f t="shared" si="40"/>
        <v>#REF!</v>
      </c>
      <c r="Q422" s="672"/>
      <c r="R422" s="668"/>
      <c r="S422" s="676"/>
      <c r="T422" s="676"/>
    </row>
    <row r="423" spans="1:20" s="677" customFormat="1" ht="20.100000000000001" hidden="1" customHeight="1">
      <c r="A423" s="662">
        <v>70.3</v>
      </c>
      <c r="B423" s="666">
        <f t="shared" si="37"/>
        <v>0</v>
      </c>
      <c r="C423" s="663" t="s">
        <v>1597</v>
      </c>
      <c r="D423" s="675">
        <f>[14]Data!K2271</f>
        <v>12</v>
      </c>
      <c r="E423" s="674" t="s">
        <v>522</v>
      </c>
      <c r="F423" s="663">
        <f t="shared" si="42"/>
        <v>0</v>
      </c>
      <c r="G423" s="684"/>
      <c r="H423" s="667">
        <f t="shared" si="41"/>
        <v>0</v>
      </c>
      <c r="I423" s="675"/>
      <c r="J423" s="667">
        <f t="shared" si="38"/>
        <v>0</v>
      </c>
      <c r="K423" s="667"/>
      <c r="L423" s="667"/>
      <c r="M423" s="667" t="e">
        <f>G423+#REF!+#REF!+#REF!+I423+#REF!+#REF!+#REF!+#REF!+#REF!+#REF!+K423+#REF!+#REF!+#REF!</f>
        <v>#REF!</v>
      </c>
      <c r="N423" s="667" t="e">
        <f t="shared" si="39"/>
        <v>#REF!</v>
      </c>
      <c r="O423" s="665" t="e">
        <f>#REF!+M423</f>
        <v>#REF!</v>
      </c>
      <c r="P423" s="666" t="e">
        <f t="shared" si="40"/>
        <v>#REF!</v>
      </c>
      <c r="Q423" s="672"/>
      <c r="R423" s="668"/>
      <c r="S423" s="676"/>
      <c r="T423" s="676"/>
    </row>
    <row r="424" spans="1:20" s="677" customFormat="1" ht="20.100000000000001" hidden="1" customHeight="1">
      <c r="A424" s="662">
        <v>70.400000000000006</v>
      </c>
      <c r="B424" s="666">
        <f t="shared" si="37"/>
        <v>0</v>
      </c>
      <c r="C424" s="663" t="s">
        <v>1598</v>
      </c>
      <c r="D424" s="675">
        <f>[14]Data!K2272</f>
        <v>10</v>
      </c>
      <c r="E424" s="674" t="s">
        <v>522</v>
      </c>
      <c r="F424" s="663">
        <f t="shared" si="42"/>
        <v>0</v>
      </c>
      <c r="G424" s="684"/>
      <c r="H424" s="667">
        <f t="shared" si="41"/>
        <v>0</v>
      </c>
      <c r="I424" s="675"/>
      <c r="J424" s="667">
        <f t="shared" si="38"/>
        <v>0</v>
      </c>
      <c r="K424" s="667"/>
      <c r="L424" s="667"/>
      <c r="M424" s="667" t="e">
        <f>G424+#REF!+#REF!+#REF!+I424+#REF!+#REF!+#REF!+#REF!+#REF!+#REF!+K424+#REF!+#REF!+#REF!</f>
        <v>#REF!</v>
      </c>
      <c r="N424" s="667" t="e">
        <f t="shared" si="39"/>
        <v>#REF!</v>
      </c>
      <c r="O424" s="665" t="e">
        <f>#REF!+M424</f>
        <v>#REF!</v>
      </c>
      <c r="P424" s="666" t="e">
        <f t="shared" si="40"/>
        <v>#REF!</v>
      </c>
      <c r="Q424" s="672"/>
      <c r="R424" s="668"/>
      <c r="S424" s="676"/>
      <c r="T424" s="676"/>
    </row>
    <row r="425" spans="1:20" s="677" customFormat="1" ht="45.75" hidden="1" customHeight="1">
      <c r="A425" s="662">
        <v>71</v>
      </c>
      <c r="B425" s="666">
        <f t="shared" si="37"/>
        <v>0</v>
      </c>
      <c r="C425" s="663" t="s">
        <v>1599</v>
      </c>
      <c r="D425" s="675">
        <f>[14]Data!K2273</f>
        <v>1308</v>
      </c>
      <c r="E425" s="674" t="s">
        <v>522</v>
      </c>
      <c r="F425" s="663">
        <f t="shared" si="42"/>
        <v>0</v>
      </c>
      <c r="G425" s="684"/>
      <c r="H425" s="667">
        <f t="shared" si="41"/>
        <v>0</v>
      </c>
      <c r="I425" s="675"/>
      <c r="J425" s="667">
        <f t="shared" si="38"/>
        <v>0</v>
      </c>
      <c r="K425" s="667"/>
      <c r="L425" s="667"/>
      <c r="M425" s="667" t="e">
        <f>G425+#REF!+#REF!+#REF!+I425+#REF!+#REF!+#REF!+#REF!+#REF!+#REF!+K425+#REF!+#REF!+#REF!</f>
        <v>#REF!</v>
      </c>
      <c r="N425" s="667" t="e">
        <f t="shared" si="39"/>
        <v>#REF!</v>
      </c>
      <c r="O425" s="665" t="e">
        <f>#REF!+M425</f>
        <v>#REF!</v>
      </c>
      <c r="P425" s="666" t="e">
        <f t="shared" si="40"/>
        <v>#REF!</v>
      </c>
      <c r="Q425" s="672"/>
      <c r="R425" s="668"/>
      <c r="S425" s="676"/>
      <c r="T425" s="676"/>
    </row>
    <row r="426" spans="1:20" ht="45.75" hidden="1" customHeight="1">
      <c r="A426" s="662">
        <v>72</v>
      </c>
      <c r="B426" s="666">
        <f t="shared" si="37"/>
        <v>0</v>
      </c>
      <c r="C426" s="663" t="s">
        <v>175</v>
      </c>
      <c r="D426" s="667">
        <f>[14]Data!K2274</f>
        <v>33.9</v>
      </c>
      <c r="E426" s="663" t="s">
        <v>522</v>
      </c>
      <c r="F426" s="663">
        <f t="shared" si="42"/>
        <v>0</v>
      </c>
      <c r="G426" s="699"/>
      <c r="H426" s="667">
        <f t="shared" si="41"/>
        <v>0</v>
      </c>
      <c r="I426" s="667"/>
      <c r="J426" s="667">
        <f t="shared" si="38"/>
        <v>0</v>
      </c>
      <c r="K426" s="667"/>
      <c r="L426" s="667"/>
      <c r="M426" s="667" t="e">
        <f>G426+#REF!+#REF!+#REF!+I426+#REF!+#REF!+#REF!+#REF!+#REF!+#REF!+K426+#REF!+#REF!+#REF!</f>
        <v>#REF!</v>
      </c>
      <c r="N426" s="667" t="e">
        <f t="shared" si="39"/>
        <v>#REF!</v>
      </c>
      <c r="O426" s="665" t="e">
        <f>#REF!+M426</f>
        <v>#REF!</v>
      </c>
      <c r="P426" s="666" t="e">
        <f t="shared" si="40"/>
        <v>#REF!</v>
      </c>
      <c r="Q426" s="672"/>
      <c r="R426" s="668"/>
    </row>
    <row r="427" spans="1:20" ht="45.75" hidden="1" customHeight="1">
      <c r="A427" s="666">
        <v>73.099999999999994</v>
      </c>
      <c r="B427" s="666">
        <f t="shared" si="37"/>
        <v>0</v>
      </c>
      <c r="C427" s="663" t="s">
        <v>1600</v>
      </c>
      <c r="D427" s="667">
        <f>[14]Data!K2275</f>
        <v>4116.8500000000004</v>
      </c>
      <c r="E427" s="663" t="s">
        <v>522</v>
      </c>
      <c r="F427" s="663">
        <f t="shared" si="42"/>
        <v>0</v>
      </c>
      <c r="G427" s="667"/>
      <c r="H427" s="667">
        <f t="shared" si="41"/>
        <v>0</v>
      </c>
      <c r="I427" s="667"/>
      <c r="J427" s="667">
        <f t="shared" si="38"/>
        <v>0</v>
      </c>
      <c r="K427" s="667"/>
      <c r="L427" s="667"/>
      <c r="M427" s="667" t="e">
        <f>G427+#REF!+#REF!+#REF!+I427+#REF!+#REF!+#REF!+#REF!+#REF!+#REF!+K427+#REF!+#REF!+#REF!</f>
        <v>#REF!</v>
      </c>
      <c r="N427" s="667" t="e">
        <f t="shared" si="39"/>
        <v>#REF!</v>
      </c>
      <c r="O427" s="665" t="e">
        <f>#REF!+M427</f>
        <v>#REF!</v>
      </c>
      <c r="P427" s="666" t="e">
        <f t="shared" si="40"/>
        <v>#REF!</v>
      </c>
      <c r="Q427" s="672"/>
      <c r="R427" s="668"/>
    </row>
    <row r="428" spans="1:20" s="677" customFormat="1" ht="45.75" hidden="1" customHeight="1">
      <c r="A428" s="662">
        <v>73.2</v>
      </c>
      <c r="B428" s="666">
        <f t="shared" si="37"/>
        <v>0</v>
      </c>
      <c r="C428" s="663" t="s">
        <v>1601</v>
      </c>
      <c r="D428" s="667">
        <f>[14]Data!K2276</f>
        <v>3342.85</v>
      </c>
      <c r="E428" s="663" t="s">
        <v>522</v>
      </c>
      <c r="F428" s="663">
        <f t="shared" si="42"/>
        <v>0</v>
      </c>
      <c r="G428" s="699"/>
      <c r="H428" s="667">
        <f t="shared" si="41"/>
        <v>0</v>
      </c>
      <c r="I428" s="667"/>
      <c r="J428" s="667">
        <f t="shared" si="38"/>
        <v>0</v>
      </c>
      <c r="K428" s="667"/>
      <c r="L428" s="667"/>
      <c r="M428" s="667" t="e">
        <f>G428+#REF!+#REF!+#REF!+I428+#REF!+#REF!+#REF!+#REF!+#REF!+#REF!+K428+#REF!+#REF!+#REF!</f>
        <v>#REF!</v>
      </c>
      <c r="N428" s="667" t="e">
        <f t="shared" si="39"/>
        <v>#REF!</v>
      </c>
      <c r="O428" s="665" t="e">
        <f>#REF!+M428</f>
        <v>#REF!</v>
      </c>
      <c r="P428" s="666" t="e">
        <f t="shared" si="40"/>
        <v>#REF!</v>
      </c>
      <c r="Q428" s="672"/>
      <c r="R428" s="668"/>
      <c r="S428" s="676"/>
      <c r="T428" s="676"/>
    </row>
    <row r="429" spans="1:20" ht="45.75" hidden="1" customHeight="1">
      <c r="A429" s="662">
        <v>74</v>
      </c>
      <c r="B429" s="666">
        <f t="shared" si="37"/>
        <v>0</v>
      </c>
      <c r="C429" s="663" t="s">
        <v>176</v>
      </c>
      <c r="D429" s="667">
        <f>[14]Data!K2277</f>
        <v>520.79999999999995</v>
      </c>
      <c r="E429" s="663" t="s">
        <v>522</v>
      </c>
      <c r="F429" s="663">
        <f t="shared" si="42"/>
        <v>0</v>
      </c>
      <c r="G429" s="699"/>
      <c r="H429" s="667">
        <f t="shared" si="41"/>
        <v>0</v>
      </c>
      <c r="I429" s="667"/>
      <c r="J429" s="667">
        <f t="shared" si="38"/>
        <v>0</v>
      </c>
      <c r="K429" s="667"/>
      <c r="L429" s="667"/>
      <c r="M429" s="667" t="e">
        <f>G429+#REF!+#REF!+#REF!+I429+#REF!+#REF!+#REF!+#REF!+#REF!+#REF!+K429+#REF!+#REF!+#REF!</f>
        <v>#REF!</v>
      </c>
      <c r="N429" s="667" t="e">
        <f t="shared" si="39"/>
        <v>#REF!</v>
      </c>
      <c r="O429" s="665" t="e">
        <f>#REF!+M429</f>
        <v>#REF!</v>
      </c>
      <c r="P429" s="666" t="e">
        <f t="shared" si="40"/>
        <v>#REF!</v>
      </c>
      <c r="Q429" s="672"/>
      <c r="R429" s="668"/>
    </row>
    <row r="430" spans="1:20" s="677" customFormat="1" ht="20.100000000000001" hidden="1" customHeight="1">
      <c r="A430" s="662">
        <v>75</v>
      </c>
      <c r="B430" s="666">
        <f t="shared" si="37"/>
        <v>0</v>
      </c>
      <c r="C430" s="685" t="s">
        <v>1602</v>
      </c>
      <c r="D430" s="675"/>
      <c r="E430" s="674"/>
      <c r="F430" s="663">
        <f t="shared" si="42"/>
        <v>0</v>
      </c>
      <c r="G430" s="684"/>
      <c r="H430" s="667">
        <f t="shared" si="41"/>
        <v>0</v>
      </c>
      <c r="I430" s="675"/>
      <c r="J430" s="667">
        <f t="shared" si="38"/>
        <v>0</v>
      </c>
      <c r="K430" s="667"/>
      <c r="L430" s="667"/>
      <c r="M430" s="667" t="e">
        <f>G430+#REF!+#REF!+#REF!+I430+#REF!+#REF!+#REF!+#REF!+#REF!+#REF!+K430+#REF!+#REF!+#REF!</f>
        <v>#REF!</v>
      </c>
      <c r="N430" s="667" t="e">
        <f t="shared" si="39"/>
        <v>#REF!</v>
      </c>
      <c r="O430" s="665" t="e">
        <f>#REF!+M430</f>
        <v>#REF!</v>
      </c>
      <c r="P430" s="666" t="e">
        <f t="shared" si="40"/>
        <v>#REF!</v>
      </c>
      <c r="Q430" s="672"/>
      <c r="R430" s="668"/>
      <c r="S430" s="676"/>
      <c r="T430" s="676"/>
    </row>
    <row r="431" spans="1:20" s="677" customFormat="1" ht="20.100000000000001" hidden="1" customHeight="1">
      <c r="A431" s="666"/>
      <c r="B431" s="666">
        <f t="shared" si="37"/>
        <v>0</v>
      </c>
      <c r="C431" s="663" t="s">
        <v>1133</v>
      </c>
      <c r="D431" s="675"/>
      <c r="E431" s="674" t="s">
        <v>522</v>
      </c>
      <c r="F431" s="663">
        <f t="shared" si="42"/>
        <v>0</v>
      </c>
      <c r="G431" s="684"/>
      <c r="H431" s="667">
        <f t="shared" si="41"/>
        <v>0</v>
      </c>
      <c r="I431" s="675"/>
      <c r="J431" s="667">
        <f t="shared" si="38"/>
        <v>0</v>
      </c>
      <c r="K431" s="667"/>
      <c r="L431" s="667"/>
      <c r="M431" s="667" t="e">
        <f>G431+#REF!+#REF!+#REF!+I431+#REF!+#REF!+#REF!+#REF!+#REF!+#REF!+K431+#REF!+#REF!+#REF!</f>
        <v>#REF!</v>
      </c>
      <c r="N431" s="667" t="e">
        <f t="shared" si="39"/>
        <v>#REF!</v>
      </c>
      <c r="O431" s="665" t="e">
        <f>#REF!+M431</f>
        <v>#REF!</v>
      </c>
      <c r="P431" s="666" t="e">
        <f t="shared" si="40"/>
        <v>#REF!</v>
      </c>
      <c r="Q431" s="672"/>
      <c r="R431" s="668"/>
      <c r="S431" s="676"/>
      <c r="T431" s="676"/>
    </row>
    <row r="432" spans="1:20" s="677" customFormat="1" ht="20.100000000000001" hidden="1" customHeight="1">
      <c r="A432" s="690"/>
      <c r="B432" s="666">
        <f t="shared" si="37"/>
        <v>0</v>
      </c>
      <c r="C432" s="663" t="s">
        <v>1603</v>
      </c>
      <c r="D432" s="675"/>
      <c r="E432" s="674" t="s">
        <v>522</v>
      </c>
      <c r="F432" s="663">
        <f t="shared" si="42"/>
        <v>0</v>
      </c>
      <c r="G432" s="684"/>
      <c r="H432" s="667">
        <f t="shared" si="41"/>
        <v>0</v>
      </c>
      <c r="I432" s="675"/>
      <c r="J432" s="667">
        <f t="shared" si="38"/>
        <v>0</v>
      </c>
      <c r="K432" s="667"/>
      <c r="L432" s="667"/>
      <c r="M432" s="667" t="e">
        <f>G432+#REF!+#REF!+#REF!+I432+#REF!+#REF!+#REF!+#REF!+#REF!+#REF!+K432+#REF!+#REF!+#REF!</f>
        <v>#REF!</v>
      </c>
      <c r="N432" s="667" t="e">
        <f t="shared" si="39"/>
        <v>#REF!</v>
      </c>
      <c r="O432" s="665" t="e">
        <f>#REF!+M432</f>
        <v>#REF!</v>
      </c>
      <c r="P432" s="666" t="e">
        <f t="shared" si="40"/>
        <v>#REF!</v>
      </c>
      <c r="Q432" s="672"/>
      <c r="R432" s="668"/>
      <c r="S432" s="676"/>
      <c r="T432" s="676"/>
    </row>
    <row r="433" spans="1:20" ht="45.75" hidden="1" customHeight="1">
      <c r="A433" s="662">
        <v>76</v>
      </c>
      <c r="B433" s="666">
        <f t="shared" si="37"/>
        <v>0</v>
      </c>
      <c r="C433" s="663" t="s">
        <v>1604</v>
      </c>
      <c r="D433" s="667">
        <f>[14]Elec.Data!K3294</f>
        <v>23.79</v>
      </c>
      <c r="E433" s="663" t="s">
        <v>61</v>
      </c>
      <c r="F433" s="663">
        <f t="shared" si="42"/>
        <v>0</v>
      </c>
      <c r="G433" s="699"/>
      <c r="H433" s="667">
        <f t="shared" si="41"/>
        <v>0</v>
      </c>
      <c r="I433" s="667"/>
      <c r="J433" s="667">
        <f t="shared" si="38"/>
        <v>0</v>
      </c>
      <c r="K433" s="667"/>
      <c r="L433" s="667"/>
      <c r="M433" s="667" t="e">
        <f>G433+#REF!+#REF!+#REF!+I433+#REF!+#REF!+#REF!+#REF!+#REF!+#REF!+K433+#REF!+#REF!+#REF!</f>
        <v>#REF!</v>
      </c>
      <c r="N433" s="667" t="e">
        <f t="shared" si="39"/>
        <v>#REF!</v>
      </c>
      <c r="O433" s="665" t="e">
        <f>#REF!+M433</f>
        <v>#REF!</v>
      </c>
      <c r="P433" s="666" t="e">
        <f t="shared" si="40"/>
        <v>#REF!</v>
      </c>
      <c r="Q433" s="672"/>
      <c r="R433" s="668"/>
    </row>
    <row r="434" spans="1:20" s="677" customFormat="1" ht="19.899999999999999" hidden="1" customHeight="1">
      <c r="A434" s="662">
        <v>77</v>
      </c>
      <c r="B434" s="666">
        <f t="shared" si="37"/>
        <v>0</v>
      </c>
      <c r="C434" s="663" t="s">
        <v>1605</v>
      </c>
      <c r="D434" s="675">
        <f>ROUND([14]Data!K2282,2)</f>
        <v>192.58</v>
      </c>
      <c r="E434" s="674" t="s">
        <v>61</v>
      </c>
      <c r="F434" s="663">
        <f t="shared" si="42"/>
        <v>0</v>
      </c>
      <c r="G434" s="684"/>
      <c r="H434" s="667">
        <f t="shared" si="41"/>
        <v>0</v>
      </c>
      <c r="I434" s="675"/>
      <c r="J434" s="667">
        <f t="shared" si="38"/>
        <v>0</v>
      </c>
      <c r="K434" s="667"/>
      <c r="L434" s="667"/>
      <c r="M434" s="667" t="e">
        <f>G434+#REF!+#REF!+#REF!+I434+#REF!+#REF!+#REF!+#REF!+#REF!+#REF!+K434+#REF!+#REF!+#REF!</f>
        <v>#REF!</v>
      </c>
      <c r="N434" s="667" t="e">
        <f t="shared" si="39"/>
        <v>#REF!</v>
      </c>
      <c r="O434" s="665" t="e">
        <f>#REF!+M434</f>
        <v>#REF!</v>
      </c>
      <c r="P434" s="666" t="e">
        <f t="shared" si="40"/>
        <v>#REF!</v>
      </c>
      <c r="Q434" s="672"/>
      <c r="R434" s="668"/>
      <c r="S434" s="676"/>
      <c r="T434" s="676"/>
    </row>
    <row r="435" spans="1:20" s="677" customFormat="1" ht="39.950000000000003" hidden="1" customHeight="1">
      <c r="A435" s="662">
        <v>77.099999999999994</v>
      </c>
      <c r="B435" s="666">
        <f t="shared" si="37"/>
        <v>0</v>
      </c>
      <c r="C435" s="663" t="s">
        <v>1606</v>
      </c>
      <c r="D435" s="675">
        <f>ROUND([14]Data!K2283,2)</f>
        <v>246.68</v>
      </c>
      <c r="E435" s="674" t="s">
        <v>61</v>
      </c>
      <c r="F435" s="663">
        <f t="shared" si="42"/>
        <v>0</v>
      </c>
      <c r="G435" s="684"/>
      <c r="H435" s="667">
        <f t="shared" si="41"/>
        <v>0</v>
      </c>
      <c r="I435" s="675"/>
      <c r="J435" s="667">
        <f t="shared" si="38"/>
        <v>0</v>
      </c>
      <c r="K435" s="667"/>
      <c r="L435" s="667"/>
      <c r="M435" s="667" t="e">
        <f>G435+#REF!+#REF!+#REF!+I435+#REF!+#REF!+#REF!+#REF!+#REF!+#REF!+K435+#REF!+#REF!+#REF!</f>
        <v>#REF!</v>
      </c>
      <c r="N435" s="667" t="e">
        <f t="shared" si="39"/>
        <v>#REF!</v>
      </c>
      <c r="O435" s="665" t="e">
        <f>#REF!+M435</f>
        <v>#REF!</v>
      </c>
      <c r="P435" s="666" t="e">
        <f t="shared" si="40"/>
        <v>#REF!</v>
      </c>
      <c r="Q435" s="672"/>
      <c r="R435" s="668"/>
      <c r="S435" s="676"/>
      <c r="T435" s="676"/>
    </row>
    <row r="436" spans="1:20" s="677" customFormat="1" ht="25.5" hidden="1" customHeight="1">
      <c r="A436" s="662">
        <v>77.2</v>
      </c>
      <c r="B436" s="666">
        <f t="shared" si="37"/>
        <v>0</v>
      </c>
      <c r="C436" s="663" t="s">
        <v>1607</v>
      </c>
      <c r="D436" s="675">
        <f>[14]Data!K2284</f>
        <v>500</v>
      </c>
      <c r="E436" s="674" t="s">
        <v>522</v>
      </c>
      <c r="F436" s="663">
        <f t="shared" si="42"/>
        <v>0</v>
      </c>
      <c r="G436" s="696"/>
      <c r="H436" s="667">
        <f t="shared" si="41"/>
        <v>0</v>
      </c>
      <c r="I436" s="675"/>
      <c r="J436" s="667">
        <f t="shared" si="38"/>
        <v>0</v>
      </c>
      <c r="K436" s="667"/>
      <c r="L436" s="667"/>
      <c r="M436" s="667" t="e">
        <f>G436+#REF!+#REF!+#REF!+I436+#REF!+#REF!+#REF!+#REF!+#REF!+#REF!+K436+#REF!+#REF!+#REF!</f>
        <v>#REF!</v>
      </c>
      <c r="N436" s="667" t="e">
        <f t="shared" si="39"/>
        <v>#REF!</v>
      </c>
      <c r="O436" s="665" t="e">
        <f>#REF!+M436</f>
        <v>#REF!</v>
      </c>
      <c r="P436" s="666" t="e">
        <f t="shared" si="40"/>
        <v>#REF!</v>
      </c>
      <c r="Q436" s="672"/>
      <c r="R436" s="668"/>
      <c r="S436" s="676"/>
      <c r="T436" s="676"/>
    </row>
    <row r="437" spans="1:20" ht="45.75" hidden="1" customHeight="1">
      <c r="A437" s="662">
        <v>77.3</v>
      </c>
      <c r="B437" s="666">
        <f t="shared" si="37"/>
        <v>0</v>
      </c>
      <c r="C437" s="663" t="s">
        <v>1608</v>
      </c>
      <c r="D437" s="667">
        <f>[14]Data!K2285</f>
        <v>76.67</v>
      </c>
      <c r="E437" s="663" t="s">
        <v>522</v>
      </c>
      <c r="F437" s="663">
        <f t="shared" si="42"/>
        <v>0</v>
      </c>
      <c r="G437" s="699"/>
      <c r="H437" s="667">
        <f t="shared" si="41"/>
        <v>0</v>
      </c>
      <c r="I437" s="667"/>
      <c r="J437" s="667">
        <f t="shared" si="38"/>
        <v>0</v>
      </c>
      <c r="K437" s="667"/>
      <c r="L437" s="667"/>
      <c r="M437" s="667" t="e">
        <f>G437+#REF!+#REF!+#REF!+I437+#REF!+#REF!+#REF!+#REF!+#REF!+#REF!+K437+#REF!+#REF!+#REF!</f>
        <v>#REF!</v>
      </c>
      <c r="N437" s="667" t="e">
        <f t="shared" si="39"/>
        <v>#REF!</v>
      </c>
      <c r="O437" s="665" t="e">
        <f>#REF!+M437</f>
        <v>#REF!</v>
      </c>
      <c r="P437" s="666" t="e">
        <f t="shared" si="40"/>
        <v>#REF!</v>
      </c>
      <c r="Q437" s="672"/>
      <c r="R437" s="668"/>
    </row>
    <row r="438" spans="1:20" ht="45.75" hidden="1" customHeight="1">
      <c r="A438" s="662">
        <v>77.400000000000006</v>
      </c>
      <c r="B438" s="666">
        <f t="shared" si="37"/>
        <v>0</v>
      </c>
      <c r="C438" s="663" t="s">
        <v>1609</v>
      </c>
      <c r="D438" s="667">
        <f>[14]Data!K2304</f>
        <v>79.650000000000006</v>
      </c>
      <c r="E438" s="663" t="s">
        <v>61</v>
      </c>
      <c r="F438" s="663">
        <f t="shared" si="42"/>
        <v>0</v>
      </c>
      <c r="G438" s="699"/>
      <c r="H438" s="667">
        <f t="shared" si="41"/>
        <v>0</v>
      </c>
      <c r="I438" s="667"/>
      <c r="J438" s="667">
        <f t="shared" si="38"/>
        <v>0</v>
      </c>
      <c r="K438" s="667"/>
      <c r="L438" s="667"/>
      <c r="M438" s="667" t="e">
        <f>G438+#REF!+#REF!+#REF!+I438+#REF!+#REF!+#REF!+#REF!+#REF!+#REF!+K438+#REF!+#REF!+#REF!</f>
        <v>#REF!</v>
      </c>
      <c r="N438" s="667" t="e">
        <f t="shared" si="39"/>
        <v>#REF!</v>
      </c>
      <c r="O438" s="665" t="e">
        <f>#REF!+M438</f>
        <v>#REF!</v>
      </c>
      <c r="P438" s="666" t="e">
        <f t="shared" si="40"/>
        <v>#REF!</v>
      </c>
      <c r="Q438" s="672"/>
      <c r="R438" s="668"/>
    </row>
    <row r="439" spans="1:20" ht="45.75" hidden="1" customHeight="1">
      <c r="A439" s="662">
        <v>78</v>
      </c>
      <c r="B439" s="666">
        <f t="shared" si="37"/>
        <v>0</v>
      </c>
      <c r="C439" s="663" t="s">
        <v>181</v>
      </c>
      <c r="D439" s="667">
        <f>[14]Data!K2286</f>
        <v>2723</v>
      </c>
      <c r="E439" s="663" t="s">
        <v>522</v>
      </c>
      <c r="F439" s="663">
        <f t="shared" si="42"/>
        <v>0</v>
      </c>
      <c r="G439" s="699"/>
      <c r="H439" s="667">
        <f t="shared" si="41"/>
        <v>0</v>
      </c>
      <c r="I439" s="667"/>
      <c r="J439" s="667">
        <f t="shared" si="38"/>
        <v>0</v>
      </c>
      <c r="K439" s="667"/>
      <c r="L439" s="667"/>
      <c r="M439" s="667" t="e">
        <f>G439+#REF!+#REF!+#REF!+I439+#REF!+#REF!+#REF!+#REF!+#REF!+#REF!+K439+#REF!+#REF!+#REF!</f>
        <v>#REF!</v>
      </c>
      <c r="N439" s="667" t="e">
        <f t="shared" si="39"/>
        <v>#REF!</v>
      </c>
      <c r="O439" s="665" t="e">
        <f>#REF!+M439</f>
        <v>#REF!</v>
      </c>
      <c r="P439" s="666" t="e">
        <f t="shared" si="40"/>
        <v>#REF!</v>
      </c>
      <c r="Q439" s="672"/>
      <c r="R439" s="668"/>
    </row>
    <row r="440" spans="1:20" s="677" customFormat="1" ht="25.5" hidden="1" customHeight="1">
      <c r="A440" s="662">
        <v>78.099999999999994</v>
      </c>
      <c r="B440" s="666">
        <f t="shared" si="37"/>
        <v>0</v>
      </c>
      <c r="C440" s="663" t="s">
        <v>1610</v>
      </c>
      <c r="D440" s="675"/>
      <c r="E440" s="674" t="s">
        <v>522</v>
      </c>
      <c r="F440" s="663">
        <f t="shared" si="42"/>
        <v>0</v>
      </c>
      <c r="G440" s="684"/>
      <c r="H440" s="667">
        <f t="shared" si="41"/>
        <v>0</v>
      </c>
      <c r="I440" s="675"/>
      <c r="J440" s="667">
        <f t="shared" si="38"/>
        <v>0</v>
      </c>
      <c r="K440" s="667"/>
      <c r="L440" s="667"/>
      <c r="M440" s="667" t="e">
        <f>G440+#REF!+#REF!+#REF!+I440+#REF!+#REF!+#REF!+#REF!+#REF!+#REF!+K440+#REF!+#REF!+#REF!</f>
        <v>#REF!</v>
      </c>
      <c r="N440" s="667" t="e">
        <f t="shared" si="39"/>
        <v>#REF!</v>
      </c>
      <c r="O440" s="665" t="e">
        <f>#REF!+M440</f>
        <v>#REF!</v>
      </c>
      <c r="P440" s="666" t="e">
        <f t="shared" si="40"/>
        <v>#REF!</v>
      </c>
      <c r="Q440" s="672"/>
      <c r="R440" s="668"/>
      <c r="S440" s="676"/>
      <c r="T440" s="676"/>
    </row>
    <row r="441" spans="1:20" s="677" customFormat="1" ht="46.5" hidden="1" customHeight="1">
      <c r="A441" s="662">
        <v>79.099999999999994</v>
      </c>
      <c r="B441" s="666">
        <f t="shared" si="37"/>
        <v>0</v>
      </c>
      <c r="C441" s="663" t="s">
        <v>1611</v>
      </c>
      <c r="D441" s="675">
        <f>[14]Elec.Data!K3400</f>
        <v>508.26</v>
      </c>
      <c r="E441" s="674" t="s">
        <v>522</v>
      </c>
      <c r="F441" s="663">
        <f t="shared" si="42"/>
        <v>0</v>
      </c>
      <c r="G441" s="684"/>
      <c r="H441" s="667">
        <f t="shared" si="41"/>
        <v>0</v>
      </c>
      <c r="I441" s="675"/>
      <c r="J441" s="667">
        <f t="shared" si="38"/>
        <v>0</v>
      </c>
      <c r="K441" s="667"/>
      <c r="L441" s="667"/>
      <c r="M441" s="667" t="e">
        <f>G441+#REF!+#REF!+#REF!+I441+#REF!+#REF!+#REF!+#REF!+#REF!+#REF!+K441+#REF!+#REF!+#REF!</f>
        <v>#REF!</v>
      </c>
      <c r="N441" s="667" t="e">
        <f t="shared" si="39"/>
        <v>#REF!</v>
      </c>
      <c r="O441" s="665" t="e">
        <f>#REF!+M441</f>
        <v>#REF!</v>
      </c>
      <c r="P441" s="666" t="e">
        <f t="shared" si="40"/>
        <v>#REF!</v>
      </c>
      <c r="Q441" s="672"/>
      <c r="R441" s="668"/>
      <c r="S441" s="676"/>
      <c r="T441" s="676"/>
    </row>
    <row r="442" spans="1:20" s="677" customFormat="1" ht="33" hidden="1" customHeight="1">
      <c r="A442" s="662">
        <v>79.2</v>
      </c>
      <c r="B442" s="666">
        <f t="shared" si="37"/>
        <v>0</v>
      </c>
      <c r="C442" s="663" t="s">
        <v>1612</v>
      </c>
      <c r="D442" s="675">
        <f>[14]Elec.Data!K3419</f>
        <v>776.68</v>
      </c>
      <c r="E442" s="674" t="s">
        <v>522</v>
      </c>
      <c r="F442" s="663">
        <f t="shared" si="42"/>
        <v>0</v>
      </c>
      <c r="G442" s="684"/>
      <c r="H442" s="667">
        <f t="shared" si="41"/>
        <v>0</v>
      </c>
      <c r="I442" s="675"/>
      <c r="J442" s="667">
        <f t="shared" si="38"/>
        <v>0</v>
      </c>
      <c r="K442" s="667"/>
      <c r="L442" s="667"/>
      <c r="M442" s="667" t="e">
        <f>G442+#REF!+#REF!+#REF!+I442+#REF!+#REF!+#REF!+#REF!+#REF!+#REF!+K442+#REF!+#REF!+#REF!</f>
        <v>#REF!</v>
      </c>
      <c r="N442" s="667" t="e">
        <f t="shared" si="39"/>
        <v>#REF!</v>
      </c>
      <c r="O442" s="665" t="e">
        <f>#REF!+M442</f>
        <v>#REF!</v>
      </c>
      <c r="P442" s="666" t="e">
        <f t="shared" si="40"/>
        <v>#REF!</v>
      </c>
      <c r="Q442" s="672"/>
      <c r="R442" s="668"/>
      <c r="S442" s="676"/>
      <c r="T442" s="676"/>
    </row>
    <row r="443" spans="1:20" s="677" customFormat="1" ht="51.75" hidden="1" customHeight="1">
      <c r="A443" s="662">
        <v>80</v>
      </c>
      <c r="B443" s="666">
        <f t="shared" si="37"/>
        <v>0</v>
      </c>
      <c r="C443" s="663" t="s">
        <v>1613</v>
      </c>
      <c r="D443" s="675">
        <f>[14]Data!K2287</f>
        <v>770.34</v>
      </c>
      <c r="E443" s="674" t="s">
        <v>522</v>
      </c>
      <c r="F443" s="663">
        <f t="shared" si="42"/>
        <v>0</v>
      </c>
      <c r="G443" s="684"/>
      <c r="H443" s="667">
        <f t="shared" si="41"/>
        <v>0</v>
      </c>
      <c r="I443" s="675"/>
      <c r="J443" s="667">
        <f t="shared" si="38"/>
        <v>0</v>
      </c>
      <c r="K443" s="667"/>
      <c r="L443" s="667"/>
      <c r="M443" s="667" t="e">
        <f>G443+#REF!+#REF!+#REF!+I443+#REF!+#REF!+#REF!+#REF!+#REF!+#REF!+K443+#REF!+#REF!+#REF!</f>
        <v>#REF!</v>
      </c>
      <c r="N443" s="667" t="e">
        <f t="shared" si="39"/>
        <v>#REF!</v>
      </c>
      <c r="O443" s="665" t="e">
        <f>#REF!+M443</f>
        <v>#REF!</v>
      </c>
      <c r="P443" s="666" t="e">
        <f t="shared" si="40"/>
        <v>#REF!</v>
      </c>
      <c r="Q443" s="672"/>
      <c r="R443" s="668"/>
      <c r="S443" s="676"/>
      <c r="T443" s="676"/>
    </row>
    <row r="444" spans="1:20" ht="45.75" hidden="1" customHeight="1">
      <c r="A444" s="662">
        <v>81</v>
      </c>
      <c r="B444" s="666">
        <f t="shared" si="37"/>
        <v>0</v>
      </c>
      <c r="C444" s="663" t="s">
        <v>1614</v>
      </c>
      <c r="D444" s="667">
        <f>ROUND([14]Data!K2288,2)</f>
        <v>2363.98</v>
      </c>
      <c r="E444" s="663" t="s">
        <v>37</v>
      </c>
      <c r="F444" s="663">
        <f t="shared" si="42"/>
        <v>0</v>
      </c>
      <c r="G444" s="699"/>
      <c r="H444" s="667">
        <f t="shared" si="41"/>
        <v>0</v>
      </c>
      <c r="I444" s="667"/>
      <c r="J444" s="667">
        <f t="shared" si="38"/>
        <v>0</v>
      </c>
      <c r="K444" s="667"/>
      <c r="L444" s="667"/>
      <c r="M444" s="667" t="e">
        <f>G444+#REF!+#REF!+#REF!+I444+#REF!+#REF!+#REF!+#REF!+#REF!+#REF!+K444+#REF!+#REF!+#REF!</f>
        <v>#REF!</v>
      </c>
      <c r="N444" s="667" t="e">
        <f t="shared" si="39"/>
        <v>#REF!</v>
      </c>
      <c r="O444" s="665" t="e">
        <f>#REF!+M444</f>
        <v>#REF!</v>
      </c>
      <c r="P444" s="666" t="e">
        <f t="shared" si="40"/>
        <v>#REF!</v>
      </c>
      <c r="Q444" s="672"/>
      <c r="R444" s="668"/>
    </row>
    <row r="445" spans="1:20" s="677" customFormat="1" ht="39" hidden="1" customHeight="1">
      <c r="A445" s="662">
        <v>82</v>
      </c>
      <c r="B445" s="666">
        <f t="shared" si="37"/>
        <v>0</v>
      </c>
      <c r="C445" s="663" t="s">
        <v>1145</v>
      </c>
      <c r="D445" s="675">
        <f>ROUND([14]Data!K2289,2)</f>
        <v>2774.3</v>
      </c>
      <c r="E445" s="674" t="s">
        <v>522</v>
      </c>
      <c r="F445" s="663">
        <f t="shared" si="42"/>
        <v>0</v>
      </c>
      <c r="G445" s="684"/>
      <c r="H445" s="667">
        <f t="shared" si="41"/>
        <v>0</v>
      </c>
      <c r="I445" s="675"/>
      <c r="J445" s="667">
        <f t="shared" si="38"/>
        <v>0</v>
      </c>
      <c r="K445" s="667"/>
      <c r="L445" s="667"/>
      <c r="M445" s="667" t="e">
        <f>G445+#REF!+#REF!+#REF!+I445+#REF!+#REF!+#REF!+#REF!+#REF!+#REF!+K445+#REF!+#REF!+#REF!</f>
        <v>#REF!</v>
      </c>
      <c r="N445" s="667" t="e">
        <f t="shared" si="39"/>
        <v>#REF!</v>
      </c>
      <c r="O445" s="665" t="e">
        <f>#REF!+M445</f>
        <v>#REF!</v>
      </c>
      <c r="P445" s="666" t="e">
        <f t="shared" si="40"/>
        <v>#REF!</v>
      </c>
      <c r="Q445" s="672"/>
      <c r="R445" s="668"/>
      <c r="S445" s="676"/>
      <c r="T445" s="676"/>
    </row>
    <row r="446" spans="1:20" s="677" customFormat="1" ht="40.5" hidden="1" customHeight="1">
      <c r="A446" s="662">
        <v>83</v>
      </c>
      <c r="B446" s="666">
        <f t="shared" si="37"/>
        <v>0</v>
      </c>
      <c r="C446" s="663" t="s">
        <v>1615</v>
      </c>
      <c r="D446" s="675">
        <f>[14]Elec.Data!K3556</f>
        <v>169.77</v>
      </c>
      <c r="E446" s="674" t="s">
        <v>61</v>
      </c>
      <c r="F446" s="663">
        <f t="shared" si="42"/>
        <v>0</v>
      </c>
      <c r="G446" s="684"/>
      <c r="H446" s="667">
        <f t="shared" si="41"/>
        <v>0</v>
      </c>
      <c r="I446" s="675"/>
      <c r="J446" s="667">
        <f t="shared" si="38"/>
        <v>0</v>
      </c>
      <c r="K446" s="667"/>
      <c r="L446" s="667"/>
      <c r="M446" s="667" t="e">
        <f>G446+#REF!+#REF!+#REF!+I446+#REF!+#REF!+#REF!+#REF!+#REF!+#REF!+K446+#REF!+#REF!+#REF!</f>
        <v>#REF!</v>
      </c>
      <c r="N446" s="667" t="e">
        <f t="shared" si="39"/>
        <v>#REF!</v>
      </c>
      <c r="O446" s="665" t="e">
        <f>#REF!+M446</f>
        <v>#REF!</v>
      </c>
      <c r="P446" s="666" t="e">
        <f t="shared" si="40"/>
        <v>#REF!</v>
      </c>
      <c r="Q446" s="672"/>
      <c r="R446" s="668"/>
      <c r="S446" s="676"/>
      <c r="T446" s="676"/>
    </row>
    <row r="447" spans="1:20" s="677" customFormat="1" ht="20.100000000000001" hidden="1" customHeight="1">
      <c r="A447" s="662">
        <v>84</v>
      </c>
      <c r="B447" s="666">
        <f t="shared" si="37"/>
        <v>0</v>
      </c>
      <c r="C447" s="663" t="s">
        <v>1616</v>
      </c>
      <c r="D447" s="675"/>
      <c r="E447" s="674" t="s">
        <v>61</v>
      </c>
      <c r="F447" s="663">
        <f t="shared" si="42"/>
        <v>0</v>
      </c>
      <c r="G447" s="684"/>
      <c r="H447" s="667">
        <f t="shared" si="41"/>
        <v>0</v>
      </c>
      <c r="I447" s="675"/>
      <c r="J447" s="667">
        <f t="shared" si="38"/>
        <v>0</v>
      </c>
      <c r="K447" s="667"/>
      <c r="L447" s="667"/>
      <c r="M447" s="667" t="e">
        <f>G447+#REF!+#REF!+#REF!+I447+#REF!+#REF!+#REF!+#REF!+#REF!+#REF!+K447+#REF!+#REF!+#REF!</f>
        <v>#REF!</v>
      </c>
      <c r="N447" s="667" t="e">
        <f t="shared" si="39"/>
        <v>#REF!</v>
      </c>
      <c r="O447" s="665" t="e">
        <f>#REF!+M447</f>
        <v>#REF!</v>
      </c>
      <c r="P447" s="666" t="e">
        <f t="shared" si="40"/>
        <v>#REF!</v>
      </c>
      <c r="Q447" s="672"/>
      <c r="R447" s="668"/>
      <c r="S447" s="676"/>
      <c r="T447" s="676"/>
    </row>
    <row r="448" spans="1:20" s="677" customFormat="1" ht="20.100000000000001" hidden="1" customHeight="1">
      <c r="A448" s="662">
        <v>85</v>
      </c>
      <c r="B448" s="666">
        <f t="shared" si="37"/>
        <v>0</v>
      </c>
      <c r="C448" s="663" t="s">
        <v>1617</v>
      </c>
      <c r="D448" s="675">
        <f>[14]Elec.Data!K3515</f>
        <v>130</v>
      </c>
      <c r="E448" s="674" t="s">
        <v>61</v>
      </c>
      <c r="F448" s="663">
        <f t="shared" si="42"/>
        <v>0</v>
      </c>
      <c r="G448" s="684"/>
      <c r="H448" s="667">
        <f t="shared" si="41"/>
        <v>0</v>
      </c>
      <c r="I448" s="675"/>
      <c r="J448" s="667">
        <f t="shared" si="38"/>
        <v>0</v>
      </c>
      <c r="K448" s="667"/>
      <c r="L448" s="667"/>
      <c r="M448" s="667" t="e">
        <f>G448+#REF!+#REF!+#REF!+I448+#REF!+#REF!+#REF!+#REF!+#REF!+#REF!+K448+#REF!+#REF!+#REF!</f>
        <v>#REF!</v>
      </c>
      <c r="N448" s="667" t="e">
        <f t="shared" si="39"/>
        <v>#REF!</v>
      </c>
      <c r="O448" s="665" t="e">
        <f>#REF!+M448</f>
        <v>#REF!</v>
      </c>
      <c r="P448" s="666" t="e">
        <f t="shared" si="40"/>
        <v>#REF!</v>
      </c>
      <c r="Q448" s="672"/>
      <c r="R448" s="668"/>
      <c r="S448" s="676"/>
      <c r="T448" s="676"/>
    </row>
    <row r="449" spans="1:24" ht="45.75" hidden="1" customHeight="1">
      <c r="A449" s="662">
        <v>86</v>
      </c>
      <c r="B449" s="666">
        <f t="shared" si="37"/>
        <v>0</v>
      </c>
      <c r="C449" s="663" t="s">
        <v>1618</v>
      </c>
      <c r="D449" s="667">
        <v>34</v>
      </c>
      <c r="E449" s="663" t="s">
        <v>264</v>
      </c>
      <c r="F449" s="663">
        <f t="shared" si="42"/>
        <v>0</v>
      </c>
      <c r="G449" s="690"/>
      <c r="H449" s="667">
        <f t="shared" si="41"/>
        <v>0</v>
      </c>
      <c r="I449" s="667"/>
      <c r="J449" s="667">
        <f t="shared" si="38"/>
        <v>0</v>
      </c>
      <c r="K449" s="667"/>
      <c r="L449" s="667"/>
      <c r="M449" s="667" t="e">
        <f>G449+#REF!+#REF!+#REF!+I449+#REF!+#REF!+#REF!+#REF!+#REF!+#REF!+K449+#REF!+#REF!+#REF!</f>
        <v>#REF!</v>
      </c>
      <c r="N449" s="667" t="e">
        <f t="shared" si="39"/>
        <v>#REF!</v>
      </c>
      <c r="O449" s="665" t="e">
        <f>#REF!+M449</f>
        <v>#REF!</v>
      </c>
      <c r="P449" s="666" t="e">
        <f t="shared" si="40"/>
        <v>#REF!</v>
      </c>
      <c r="Q449" s="672"/>
      <c r="R449" s="668"/>
    </row>
    <row r="450" spans="1:24" s="677" customFormat="1" ht="51.75" hidden="1" customHeight="1">
      <c r="A450" s="662">
        <v>87</v>
      </c>
      <c r="B450" s="666">
        <f t="shared" si="37"/>
        <v>0</v>
      </c>
      <c r="C450" s="663" t="s">
        <v>1619</v>
      </c>
      <c r="D450" s="675">
        <f>ROUND([14]Data!K2290,2)</f>
        <v>2602.1</v>
      </c>
      <c r="E450" s="674" t="s">
        <v>522</v>
      </c>
      <c r="F450" s="663">
        <f t="shared" si="42"/>
        <v>0</v>
      </c>
      <c r="G450" s="684"/>
      <c r="H450" s="667">
        <f t="shared" si="41"/>
        <v>0</v>
      </c>
      <c r="I450" s="675"/>
      <c r="J450" s="667">
        <f t="shared" si="38"/>
        <v>0</v>
      </c>
      <c r="K450" s="667"/>
      <c r="L450" s="667"/>
      <c r="M450" s="667" t="e">
        <f>G450+#REF!+#REF!+#REF!+I450+#REF!+#REF!+#REF!+#REF!+#REF!+#REF!+K450+#REF!+#REF!+#REF!</f>
        <v>#REF!</v>
      </c>
      <c r="N450" s="667" t="e">
        <f t="shared" si="39"/>
        <v>#REF!</v>
      </c>
      <c r="O450" s="665" t="e">
        <f>#REF!+M450</f>
        <v>#REF!</v>
      </c>
      <c r="P450" s="666" t="e">
        <f t="shared" si="40"/>
        <v>#REF!</v>
      </c>
      <c r="Q450" s="672"/>
      <c r="R450" s="668"/>
      <c r="S450" s="676"/>
      <c r="T450" s="676"/>
    </row>
    <row r="451" spans="1:24" s="677" customFormat="1" ht="41.25" hidden="1" customHeight="1">
      <c r="A451" s="662">
        <v>112</v>
      </c>
      <c r="B451" s="666">
        <f t="shared" ref="B451:B514" si="43">G451</f>
        <v>0</v>
      </c>
      <c r="C451" s="663" t="s">
        <v>1620</v>
      </c>
      <c r="D451" s="675">
        <f>ROUND([14]Data!K2280,2)</f>
        <v>1967.5</v>
      </c>
      <c r="E451" s="674" t="s">
        <v>522</v>
      </c>
      <c r="F451" s="663">
        <f t="shared" si="42"/>
        <v>0</v>
      </c>
      <c r="G451" s="684"/>
      <c r="H451" s="667">
        <f t="shared" si="41"/>
        <v>0</v>
      </c>
      <c r="I451" s="675"/>
      <c r="J451" s="667">
        <f t="shared" si="38"/>
        <v>0</v>
      </c>
      <c r="K451" s="667"/>
      <c r="L451" s="667"/>
      <c r="M451" s="667" t="e">
        <f>G451+#REF!+#REF!+#REF!+I451+#REF!+#REF!+#REF!+#REF!+#REF!+#REF!+K451+#REF!+#REF!+#REF!</f>
        <v>#REF!</v>
      </c>
      <c r="N451" s="667" t="e">
        <f t="shared" si="39"/>
        <v>#REF!</v>
      </c>
      <c r="O451" s="665" t="e">
        <f>#REF!+M451</f>
        <v>#REF!</v>
      </c>
      <c r="P451" s="666" t="e">
        <f t="shared" si="40"/>
        <v>#REF!</v>
      </c>
      <c r="Q451" s="672"/>
      <c r="R451" s="668"/>
      <c r="S451" s="676"/>
      <c r="T451" s="676"/>
    </row>
    <row r="452" spans="1:24" s="677" customFormat="1" ht="48.75" hidden="1" customHeight="1">
      <c r="A452" s="662">
        <v>238</v>
      </c>
      <c r="B452" s="666">
        <f t="shared" si="43"/>
        <v>0</v>
      </c>
      <c r="C452" s="663" t="s">
        <v>1621</v>
      </c>
      <c r="D452" s="675">
        <f>ROUND([14]Data!K1567,2)</f>
        <v>4403.5</v>
      </c>
      <c r="E452" s="674" t="s">
        <v>58</v>
      </c>
      <c r="F452" s="663">
        <f t="shared" si="42"/>
        <v>0</v>
      </c>
      <c r="G452" s="701"/>
      <c r="H452" s="667">
        <f t="shared" si="41"/>
        <v>0</v>
      </c>
      <c r="I452" s="675"/>
      <c r="J452" s="667">
        <f t="shared" si="38"/>
        <v>0</v>
      </c>
      <c r="K452" s="667"/>
      <c r="L452" s="667"/>
      <c r="M452" s="667" t="e">
        <f>G452+#REF!+#REF!+#REF!+I452+#REF!+#REF!+#REF!+#REF!+#REF!+#REF!+K452+#REF!+#REF!+#REF!</f>
        <v>#REF!</v>
      </c>
      <c r="N452" s="667" t="e">
        <f t="shared" si="39"/>
        <v>#REF!</v>
      </c>
      <c r="O452" s="665" t="e">
        <f>#REF!+M452</f>
        <v>#REF!</v>
      </c>
      <c r="P452" s="666" t="e">
        <f t="shared" si="40"/>
        <v>#REF!</v>
      </c>
      <c r="Q452" s="672"/>
      <c r="R452" s="668"/>
      <c r="S452" s="676"/>
      <c r="T452" s="676"/>
    </row>
    <row r="453" spans="1:24" ht="45.75" hidden="1" customHeight="1">
      <c r="A453" s="662"/>
      <c r="B453" s="666">
        <f t="shared" si="43"/>
        <v>0</v>
      </c>
      <c r="C453" s="658" t="s">
        <v>1622</v>
      </c>
      <c r="D453" s="667"/>
      <c r="E453" s="663"/>
      <c r="F453" s="663">
        <f t="shared" si="42"/>
        <v>0</v>
      </c>
      <c r="G453" s="667"/>
      <c r="H453" s="667">
        <f t="shared" si="41"/>
        <v>0</v>
      </c>
      <c r="I453" s="667"/>
      <c r="J453" s="667">
        <f t="shared" ref="J453:J516" si="44">I453*D453</f>
        <v>0</v>
      </c>
      <c r="K453" s="667"/>
      <c r="L453" s="667"/>
      <c r="M453" s="667" t="e">
        <f>G453+#REF!+#REF!+#REF!+I453+#REF!+#REF!+#REF!+#REF!+#REF!+#REF!+K453+#REF!+#REF!+#REF!</f>
        <v>#REF!</v>
      </c>
      <c r="N453" s="667" t="e">
        <f t="shared" ref="N453:N516" si="45">M453*D453</f>
        <v>#REF!</v>
      </c>
      <c r="O453" s="665" t="e">
        <f>#REF!+M453</f>
        <v>#REF!</v>
      </c>
      <c r="P453" s="666" t="e">
        <f t="shared" ref="P453:P516" si="46">O453*D453</f>
        <v>#REF!</v>
      </c>
      <c r="Q453" s="668"/>
      <c r="R453" s="668"/>
      <c r="S453" s="678"/>
      <c r="U453" s="679"/>
    </row>
    <row r="454" spans="1:24" s="683" customFormat="1" ht="75" hidden="1" customHeight="1">
      <c r="A454" s="666" t="s">
        <v>1454</v>
      </c>
      <c r="B454" s="666">
        <f t="shared" si="43"/>
        <v>0</v>
      </c>
      <c r="C454" s="685" t="s">
        <v>1623</v>
      </c>
      <c r="D454" s="667"/>
      <c r="E454" s="663"/>
      <c r="F454" s="663">
        <f t="shared" si="42"/>
        <v>0</v>
      </c>
      <c r="G454" s="690"/>
      <c r="H454" s="667">
        <f t="shared" si="41"/>
        <v>0</v>
      </c>
      <c r="I454" s="667"/>
      <c r="J454" s="667">
        <f t="shared" si="44"/>
        <v>0</v>
      </c>
      <c r="K454" s="667"/>
      <c r="L454" s="667"/>
      <c r="M454" s="667" t="e">
        <f>G454+#REF!+#REF!+#REF!+I454+#REF!+#REF!+#REF!+#REF!+#REF!+#REF!+K454+#REF!+#REF!+#REF!</f>
        <v>#REF!</v>
      </c>
      <c r="N454" s="667" t="e">
        <f t="shared" si="45"/>
        <v>#REF!</v>
      </c>
      <c r="O454" s="665" t="e">
        <f>#REF!+M454</f>
        <v>#REF!</v>
      </c>
      <c r="P454" s="666" t="e">
        <f t="shared" si="46"/>
        <v>#REF!</v>
      </c>
      <c r="Q454" s="668"/>
      <c r="R454" s="668"/>
      <c r="S454" s="678"/>
      <c r="T454" s="669"/>
      <c r="U454" s="679"/>
      <c r="V454" s="702"/>
      <c r="W454" s="702"/>
      <c r="X454" s="702"/>
    </row>
    <row r="455" spans="1:24" s="683" customFormat="1" ht="41.25" hidden="1" customHeight="1">
      <c r="A455" s="666"/>
      <c r="B455" s="666">
        <f t="shared" si="43"/>
        <v>0</v>
      </c>
      <c r="C455" s="663" t="s">
        <v>1405</v>
      </c>
      <c r="D455" s="667">
        <f>[14]Data!X537</f>
        <v>1288.99</v>
      </c>
      <c r="E455" s="663" t="s">
        <v>264</v>
      </c>
      <c r="F455" s="663">
        <f t="shared" si="42"/>
        <v>0</v>
      </c>
      <c r="G455" s="690"/>
      <c r="H455" s="667">
        <f t="shared" si="41"/>
        <v>0</v>
      </c>
      <c r="I455" s="667"/>
      <c r="J455" s="667">
        <f t="shared" si="44"/>
        <v>0</v>
      </c>
      <c r="K455" s="667"/>
      <c r="L455" s="667"/>
      <c r="M455" s="667" t="e">
        <f>G455+#REF!+#REF!+#REF!+I455+#REF!+#REF!+#REF!+#REF!+#REF!+#REF!+K455+#REF!+#REF!+#REF!</f>
        <v>#REF!</v>
      </c>
      <c r="N455" s="667" t="e">
        <f t="shared" si="45"/>
        <v>#REF!</v>
      </c>
      <c r="O455" s="665" t="e">
        <f>#REF!+M455</f>
        <v>#REF!</v>
      </c>
      <c r="P455" s="666" t="e">
        <f t="shared" si="46"/>
        <v>#REF!</v>
      </c>
      <c r="Q455" s="672"/>
      <c r="R455" s="668"/>
      <c r="S455" s="669"/>
      <c r="T455" s="669"/>
      <c r="U455" s="702"/>
      <c r="V455" s="702"/>
      <c r="W455" s="702"/>
      <c r="X455" s="702"/>
    </row>
    <row r="456" spans="1:24" s="683" customFormat="1" ht="41.25" hidden="1" customHeight="1">
      <c r="A456" s="666"/>
      <c r="B456" s="666">
        <f t="shared" si="43"/>
        <v>0</v>
      </c>
      <c r="C456" s="663" t="s">
        <v>1406</v>
      </c>
      <c r="D456" s="667">
        <f>[14]Data!X538</f>
        <v>1293.0999999999999</v>
      </c>
      <c r="E456" s="663" t="s">
        <v>264</v>
      </c>
      <c r="F456" s="663">
        <f t="shared" si="42"/>
        <v>0</v>
      </c>
      <c r="G456" s="690"/>
      <c r="H456" s="667">
        <f t="shared" si="41"/>
        <v>0</v>
      </c>
      <c r="I456" s="667"/>
      <c r="J456" s="667">
        <f t="shared" si="44"/>
        <v>0</v>
      </c>
      <c r="K456" s="667"/>
      <c r="L456" s="667"/>
      <c r="M456" s="667" t="e">
        <f>G456+#REF!+#REF!+#REF!+I456+#REF!+#REF!+#REF!+#REF!+#REF!+#REF!+K456+#REF!+#REF!+#REF!</f>
        <v>#REF!</v>
      </c>
      <c r="N456" s="667" t="e">
        <f t="shared" si="45"/>
        <v>#REF!</v>
      </c>
      <c r="O456" s="665" t="e">
        <f>#REF!+M456</f>
        <v>#REF!</v>
      </c>
      <c r="P456" s="666" t="e">
        <f t="shared" si="46"/>
        <v>#REF!</v>
      </c>
      <c r="Q456" s="672"/>
      <c r="R456" s="668"/>
      <c r="S456" s="669"/>
      <c r="T456" s="669"/>
      <c r="U456" s="702"/>
      <c r="V456" s="702"/>
      <c r="W456" s="702"/>
      <c r="X456" s="702"/>
    </row>
    <row r="457" spans="1:24" s="683" customFormat="1" ht="37.5" hidden="1" customHeight="1">
      <c r="A457" s="666"/>
      <c r="B457" s="666">
        <f t="shared" si="43"/>
        <v>0</v>
      </c>
      <c r="C457" s="663" t="s">
        <v>1407</v>
      </c>
      <c r="D457" s="667">
        <f>[14]Data!X539</f>
        <v>1297.21</v>
      </c>
      <c r="E457" s="663" t="s">
        <v>264</v>
      </c>
      <c r="F457" s="663">
        <f t="shared" si="42"/>
        <v>0</v>
      </c>
      <c r="G457" s="690"/>
      <c r="H457" s="667">
        <f t="shared" si="41"/>
        <v>0</v>
      </c>
      <c r="I457" s="667"/>
      <c r="J457" s="667">
        <f t="shared" si="44"/>
        <v>0</v>
      </c>
      <c r="K457" s="667"/>
      <c r="L457" s="667"/>
      <c r="M457" s="667" t="e">
        <f>G457+#REF!+#REF!+#REF!+I457+#REF!+#REF!+#REF!+#REF!+#REF!+#REF!+K457+#REF!+#REF!+#REF!</f>
        <v>#REF!</v>
      </c>
      <c r="N457" s="667" t="e">
        <f t="shared" si="45"/>
        <v>#REF!</v>
      </c>
      <c r="O457" s="665" t="e">
        <f>#REF!+M457</f>
        <v>#REF!</v>
      </c>
      <c r="P457" s="666" t="e">
        <f t="shared" si="46"/>
        <v>#REF!</v>
      </c>
      <c r="Q457" s="672"/>
      <c r="R457" s="668"/>
      <c r="S457" s="669"/>
      <c r="T457" s="669"/>
      <c r="U457" s="702"/>
      <c r="V457" s="702"/>
      <c r="W457" s="702"/>
      <c r="X457" s="702"/>
    </row>
    <row r="458" spans="1:24" s="683" customFormat="1" ht="47.25" hidden="1" customHeight="1">
      <c r="A458" s="703"/>
      <c r="B458" s="666">
        <f t="shared" si="43"/>
        <v>0</v>
      </c>
      <c r="C458" s="704" t="s">
        <v>1408</v>
      </c>
      <c r="D458" s="667">
        <f>[14]Data!X540</f>
        <v>1301.32</v>
      </c>
      <c r="E458" s="704" t="s">
        <v>264</v>
      </c>
      <c r="F458" s="663">
        <f t="shared" si="42"/>
        <v>0</v>
      </c>
      <c r="G458" s="690"/>
      <c r="H458" s="667">
        <f t="shared" si="41"/>
        <v>0</v>
      </c>
      <c r="I458" s="667"/>
      <c r="J458" s="667">
        <f t="shared" si="44"/>
        <v>0</v>
      </c>
      <c r="K458" s="667"/>
      <c r="L458" s="667"/>
      <c r="M458" s="667" t="e">
        <f>G458+#REF!+#REF!+#REF!+I458+#REF!+#REF!+#REF!+#REF!+#REF!+#REF!+K458+#REF!+#REF!+#REF!</f>
        <v>#REF!</v>
      </c>
      <c r="N458" s="667" t="e">
        <f t="shared" si="45"/>
        <v>#REF!</v>
      </c>
      <c r="O458" s="665" t="e">
        <f>#REF!+M458</f>
        <v>#REF!</v>
      </c>
      <c r="P458" s="666" t="e">
        <f t="shared" si="46"/>
        <v>#REF!</v>
      </c>
      <c r="Q458" s="672"/>
      <c r="R458" s="668"/>
      <c r="S458" s="669"/>
      <c r="T458" s="669"/>
      <c r="U458" s="702"/>
      <c r="V458" s="702"/>
      <c r="W458" s="702"/>
      <c r="X458" s="702"/>
    </row>
    <row r="459" spans="1:24" s="677" customFormat="1" ht="56.25" hidden="1" customHeight="1">
      <c r="A459" s="705"/>
      <c r="B459" s="666">
        <f t="shared" si="43"/>
        <v>0</v>
      </c>
      <c r="C459" s="706" t="s">
        <v>1409</v>
      </c>
      <c r="D459" s="667">
        <f>[14]Data!X541</f>
        <v>1305.43</v>
      </c>
      <c r="E459" s="706" t="s">
        <v>264</v>
      </c>
      <c r="F459" s="663">
        <f t="shared" si="42"/>
        <v>0</v>
      </c>
      <c r="G459" s="705"/>
      <c r="H459" s="667">
        <f t="shared" si="41"/>
        <v>0</v>
      </c>
      <c r="I459" s="667"/>
      <c r="J459" s="667">
        <f t="shared" si="44"/>
        <v>0</v>
      </c>
      <c r="K459" s="667"/>
      <c r="L459" s="667"/>
      <c r="M459" s="667" t="e">
        <f>G459+#REF!+#REF!+#REF!+I459+#REF!+#REF!+#REF!+#REF!+#REF!+#REF!+K459+#REF!+#REF!+#REF!</f>
        <v>#REF!</v>
      </c>
      <c r="N459" s="667" t="e">
        <f t="shared" si="45"/>
        <v>#REF!</v>
      </c>
      <c r="O459" s="665" t="e">
        <f>#REF!+M459</f>
        <v>#REF!</v>
      </c>
      <c r="P459" s="666" t="e">
        <f t="shared" si="46"/>
        <v>#REF!</v>
      </c>
      <c r="Q459" s="672"/>
      <c r="R459" s="668"/>
      <c r="S459" s="676"/>
      <c r="T459" s="676"/>
      <c r="U459" s="676"/>
      <c r="V459" s="676"/>
      <c r="W459" s="676"/>
      <c r="X459" s="676"/>
    </row>
    <row r="460" spans="1:24" s="683" customFormat="1" ht="68.25" customHeight="1">
      <c r="A460" s="666" t="s">
        <v>39</v>
      </c>
      <c r="B460" s="666">
        <f t="shared" si="43"/>
        <v>0</v>
      </c>
      <c r="C460" s="685" t="s">
        <v>1624</v>
      </c>
      <c r="D460" s="667"/>
      <c r="E460" s="663"/>
      <c r="F460" s="663">
        <f t="shared" si="42"/>
        <v>0</v>
      </c>
      <c r="G460" s="690"/>
      <c r="H460" s="667">
        <f t="shared" si="41"/>
        <v>0</v>
      </c>
      <c r="I460" s="667"/>
      <c r="J460" s="667">
        <f t="shared" si="44"/>
        <v>0</v>
      </c>
      <c r="K460" s="667"/>
      <c r="L460" s="667"/>
      <c r="M460" s="667" t="e">
        <f>G460+#REF!+#REF!+#REF!+I460+#REF!+#REF!+#REF!+#REF!+#REF!+#REF!+K460+#REF!+#REF!+#REF!</f>
        <v>#REF!</v>
      </c>
      <c r="N460" s="667" t="e">
        <f t="shared" si="45"/>
        <v>#REF!</v>
      </c>
      <c r="O460" s="665" t="e">
        <f>#REF!+M460</f>
        <v>#REF!</v>
      </c>
      <c r="P460" s="666" t="e">
        <f t="shared" si="46"/>
        <v>#REF!</v>
      </c>
      <c r="Q460" s="668"/>
      <c r="R460" s="668"/>
      <c r="S460" s="669"/>
      <c r="T460" s="669"/>
      <c r="U460" s="702"/>
      <c r="V460" s="702"/>
      <c r="W460" s="702"/>
      <c r="X460" s="702"/>
    </row>
    <row r="461" spans="1:24" s="683" customFormat="1" ht="49.5" customHeight="1">
      <c r="A461" s="666"/>
      <c r="B461" s="666">
        <f t="shared" si="43"/>
        <v>1.8</v>
      </c>
      <c r="C461" s="663" t="s">
        <v>1457</v>
      </c>
      <c r="D461" s="667">
        <v>1433.93</v>
      </c>
      <c r="E461" s="663" t="s">
        <v>264</v>
      </c>
      <c r="F461" s="663">
        <f t="shared" si="42"/>
        <v>2581.0740000000001</v>
      </c>
      <c r="G461" s="690">
        <f>'Septic Tank'!$G$61</f>
        <v>1.8</v>
      </c>
      <c r="H461" s="667">
        <f t="shared" si="41"/>
        <v>2581.0740000000001</v>
      </c>
      <c r="I461" s="667"/>
      <c r="J461" s="667">
        <f t="shared" si="44"/>
        <v>0</v>
      </c>
      <c r="K461" s="667"/>
      <c r="L461" s="667"/>
      <c r="M461" s="667" t="e">
        <f>G461+#REF!+#REF!+#REF!+I461+#REF!+#REF!+#REF!+#REF!+#REF!+#REF!+K461+#REF!+#REF!+#REF!</f>
        <v>#REF!</v>
      </c>
      <c r="N461" s="667" t="e">
        <f t="shared" si="45"/>
        <v>#REF!</v>
      </c>
      <c r="O461" s="665" t="e">
        <f>#REF!+M461</f>
        <v>#REF!</v>
      </c>
      <c r="P461" s="666" t="e">
        <f t="shared" si="46"/>
        <v>#REF!</v>
      </c>
      <c r="Q461" s="672"/>
      <c r="R461" s="668"/>
      <c r="S461" s="669"/>
      <c r="T461" s="669"/>
      <c r="U461" s="702"/>
      <c r="V461" s="702"/>
      <c r="W461" s="702"/>
      <c r="X461" s="702"/>
    </row>
    <row r="462" spans="1:24" s="683" customFormat="1" ht="49.5" hidden="1" customHeight="1">
      <c r="A462" s="666"/>
      <c r="B462" s="666">
        <f t="shared" si="43"/>
        <v>0</v>
      </c>
      <c r="C462" s="663" t="s">
        <v>1458</v>
      </c>
      <c r="D462" s="667">
        <f>[14]Data!X561</f>
        <v>1431.28</v>
      </c>
      <c r="E462" s="663" t="s">
        <v>264</v>
      </c>
      <c r="F462" s="663">
        <f t="shared" si="42"/>
        <v>0</v>
      </c>
      <c r="G462" s="690"/>
      <c r="H462" s="667">
        <f t="shared" si="41"/>
        <v>0</v>
      </c>
      <c r="I462" s="667"/>
      <c r="J462" s="667">
        <f t="shared" si="44"/>
        <v>0</v>
      </c>
      <c r="K462" s="667"/>
      <c r="L462" s="667"/>
      <c r="M462" s="667" t="e">
        <f>G462+#REF!+#REF!+#REF!+I462+#REF!+#REF!+#REF!+#REF!+#REF!+#REF!+K462+#REF!+#REF!+#REF!</f>
        <v>#REF!</v>
      </c>
      <c r="N462" s="667" t="e">
        <f t="shared" si="45"/>
        <v>#REF!</v>
      </c>
      <c r="O462" s="665" t="e">
        <f>#REF!+M462</f>
        <v>#REF!</v>
      </c>
      <c r="P462" s="666" t="e">
        <f t="shared" si="46"/>
        <v>#REF!</v>
      </c>
      <c r="Q462" s="672"/>
      <c r="R462" s="668"/>
      <c r="S462" s="669"/>
      <c r="T462" s="669"/>
      <c r="U462" s="702"/>
      <c r="V462" s="702"/>
      <c r="W462" s="702"/>
      <c r="X462" s="702"/>
    </row>
    <row r="463" spans="1:24" s="683" customFormat="1" ht="49.5" hidden="1" customHeight="1">
      <c r="A463" s="666"/>
      <c r="B463" s="666">
        <f t="shared" si="43"/>
        <v>0</v>
      </c>
      <c r="C463" s="663" t="s">
        <v>1459</v>
      </c>
      <c r="D463" s="667">
        <f>[14]Data!X562</f>
        <v>1439.5</v>
      </c>
      <c r="E463" s="663" t="s">
        <v>264</v>
      </c>
      <c r="F463" s="663">
        <f t="shared" si="42"/>
        <v>0</v>
      </c>
      <c r="G463" s="690"/>
      <c r="H463" s="667">
        <f t="shared" ref="H463:H526" si="47">G463*D463</f>
        <v>0</v>
      </c>
      <c r="I463" s="667"/>
      <c r="J463" s="667">
        <f t="shared" si="44"/>
        <v>0</v>
      </c>
      <c r="K463" s="667"/>
      <c r="L463" s="667"/>
      <c r="M463" s="667" t="e">
        <f>G463+#REF!+#REF!+#REF!+I463+#REF!+#REF!+#REF!+#REF!+#REF!+#REF!+K463+#REF!+#REF!+#REF!</f>
        <v>#REF!</v>
      </c>
      <c r="N463" s="667" t="e">
        <f t="shared" si="45"/>
        <v>#REF!</v>
      </c>
      <c r="O463" s="665" t="e">
        <f>#REF!+M463</f>
        <v>#REF!</v>
      </c>
      <c r="P463" s="666" t="e">
        <f t="shared" si="46"/>
        <v>#REF!</v>
      </c>
      <c r="Q463" s="672"/>
      <c r="R463" s="668"/>
      <c r="S463" s="669"/>
      <c r="T463" s="669"/>
      <c r="U463" s="702"/>
      <c r="V463" s="702"/>
      <c r="W463" s="702"/>
      <c r="X463" s="702"/>
    </row>
    <row r="464" spans="1:24" s="683" customFormat="1" ht="49.5" hidden="1" customHeight="1">
      <c r="A464" s="703"/>
      <c r="B464" s="666">
        <f t="shared" si="43"/>
        <v>0</v>
      </c>
      <c r="C464" s="704" t="s">
        <v>1460</v>
      </c>
      <c r="D464" s="667">
        <f>[14]Data!X563</f>
        <v>1447.72</v>
      </c>
      <c r="E464" s="704" t="s">
        <v>264</v>
      </c>
      <c r="F464" s="663">
        <f t="shared" si="42"/>
        <v>0</v>
      </c>
      <c r="G464" s="690"/>
      <c r="H464" s="667">
        <f t="shared" si="47"/>
        <v>0</v>
      </c>
      <c r="I464" s="667"/>
      <c r="J464" s="667">
        <f t="shared" si="44"/>
        <v>0</v>
      </c>
      <c r="K464" s="667"/>
      <c r="L464" s="667"/>
      <c r="M464" s="667" t="e">
        <f>G464+#REF!+#REF!+#REF!+I464+#REF!+#REF!+#REF!+#REF!+#REF!+#REF!+K464+#REF!+#REF!+#REF!</f>
        <v>#REF!</v>
      </c>
      <c r="N464" s="667" t="e">
        <f t="shared" si="45"/>
        <v>#REF!</v>
      </c>
      <c r="O464" s="665" t="e">
        <f>#REF!+M464</f>
        <v>#REF!</v>
      </c>
      <c r="P464" s="666" t="e">
        <f t="shared" si="46"/>
        <v>#REF!</v>
      </c>
      <c r="Q464" s="672"/>
      <c r="R464" s="668"/>
      <c r="S464" s="669"/>
      <c r="T464" s="669"/>
      <c r="U464" s="702"/>
      <c r="V464" s="702"/>
      <c r="W464" s="702"/>
      <c r="X464" s="702"/>
    </row>
    <row r="465" spans="1:24" s="683" customFormat="1" ht="49.5" hidden="1" customHeight="1">
      <c r="A465" s="666"/>
      <c r="B465" s="666">
        <f t="shared" si="43"/>
        <v>0</v>
      </c>
      <c r="C465" s="663" t="s">
        <v>1461</v>
      </c>
      <c r="D465" s="667">
        <f>[14]Data!X564</f>
        <v>1455.94</v>
      </c>
      <c r="E465" s="663" t="s">
        <v>264</v>
      </c>
      <c r="F465" s="663">
        <f t="shared" ref="F465:F528" si="48">B465*D465</f>
        <v>0</v>
      </c>
      <c r="G465" s="690"/>
      <c r="H465" s="667">
        <f t="shared" si="47"/>
        <v>0</v>
      </c>
      <c r="I465" s="667"/>
      <c r="J465" s="667">
        <f t="shared" si="44"/>
        <v>0</v>
      </c>
      <c r="K465" s="667"/>
      <c r="L465" s="667"/>
      <c r="M465" s="667" t="e">
        <f>G465+#REF!+#REF!+#REF!+I465+#REF!+#REF!+#REF!+#REF!+#REF!+#REF!+K465+#REF!+#REF!+#REF!</f>
        <v>#REF!</v>
      </c>
      <c r="N465" s="667" t="e">
        <f t="shared" si="45"/>
        <v>#REF!</v>
      </c>
      <c r="O465" s="665" t="e">
        <f>#REF!+M465</f>
        <v>#REF!</v>
      </c>
      <c r="P465" s="666" t="e">
        <f t="shared" si="46"/>
        <v>#REF!</v>
      </c>
      <c r="Q465" s="672"/>
      <c r="R465" s="668"/>
      <c r="S465" s="669"/>
      <c r="T465" s="669"/>
      <c r="U465" s="702"/>
      <c r="V465" s="702"/>
      <c r="W465" s="702"/>
      <c r="X465" s="702"/>
    </row>
    <row r="466" spans="1:24" s="677" customFormat="1" ht="25.5" hidden="1" customHeight="1">
      <c r="A466" s="707"/>
      <c r="B466" s="666">
        <f t="shared" si="43"/>
        <v>0</v>
      </c>
      <c r="C466" s="708" t="s">
        <v>1462</v>
      </c>
      <c r="D466" s="675">
        <f>[14]Data!X565</f>
        <v>1464.16</v>
      </c>
      <c r="E466" s="674" t="s">
        <v>264</v>
      </c>
      <c r="F466" s="663">
        <f t="shared" si="48"/>
        <v>0</v>
      </c>
      <c r="G466" s="684"/>
      <c r="H466" s="667">
        <f t="shared" si="47"/>
        <v>0</v>
      </c>
      <c r="I466" s="675"/>
      <c r="J466" s="667">
        <f t="shared" si="44"/>
        <v>0</v>
      </c>
      <c r="K466" s="667"/>
      <c r="L466" s="667"/>
      <c r="M466" s="667" t="e">
        <f>G466+#REF!+#REF!+#REF!+I466+#REF!+#REF!+#REF!+#REF!+#REF!+#REF!+K466+#REF!+#REF!+#REF!</f>
        <v>#REF!</v>
      </c>
      <c r="N466" s="667" t="e">
        <f t="shared" si="45"/>
        <v>#REF!</v>
      </c>
      <c r="O466" s="665" t="e">
        <f>#REF!+M466</f>
        <v>#REF!</v>
      </c>
      <c r="P466" s="666" t="e">
        <f t="shared" si="46"/>
        <v>#REF!</v>
      </c>
      <c r="Q466" s="672"/>
      <c r="R466" s="668"/>
      <c r="S466" s="676"/>
      <c r="T466" s="676"/>
      <c r="U466" s="676"/>
      <c r="V466" s="676"/>
      <c r="W466" s="676"/>
      <c r="X466" s="676"/>
    </row>
    <row r="467" spans="1:24" s="677" customFormat="1" ht="43.5" hidden="1" customHeight="1">
      <c r="A467" s="709" t="s">
        <v>1454</v>
      </c>
      <c r="B467" s="666">
        <f t="shared" si="43"/>
        <v>0</v>
      </c>
      <c r="C467" s="710" t="s">
        <v>1625</v>
      </c>
      <c r="D467" s="675"/>
      <c r="E467" s="674"/>
      <c r="F467" s="663">
        <f t="shared" si="48"/>
        <v>0</v>
      </c>
      <c r="G467" s="684"/>
      <c r="H467" s="667">
        <f t="shared" si="47"/>
        <v>0</v>
      </c>
      <c r="I467" s="675"/>
      <c r="J467" s="667">
        <f t="shared" si="44"/>
        <v>0</v>
      </c>
      <c r="K467" s="667"/>
      <c r="L467" s="667"/>
      <c r="M467" s="667" t="e">
        <f>G467+#REF!+#REF!+#REF!+I467+#REF!+#REF!+#REF!+#REF!+#REF!+#REF!+K467+#REF!+#REF!+#REF!</f>
        <v>#REF!</v>
      </c>
      <c r="N467" s="667" t="e">
        <f t="shared" si="45"/>
        <v>#REF!</v>
      </c>
      <c r="O467" s="665" t="e">
        <f>#REF!+M467</f>
        <v>#REF!</v>
      </c>
      <c r="P467" s="666" t="e">
        <f t="shared" si="46"/>
        <v>#REF!</v>
      </c>
      <c r="Q467" s="672"/>
      <c r="R467" s="668"/>
      <c r="S467" s="676"/>
      <c r="T467" s="676"/>
      <c r="U467" s="676"/>
      <c r="V467" s="676"/>
      <c r="W467" s="676"/>
      <c r="X467" s="676"/>
    </row>
    <row r="468" spans="1:24" s="677" customFormat="1" ht="25.5" hidden="1" customHeight="1">
      <c r="A468" s="709"/>
      <c r="B468" s="666">
        <f t="shared" si="43"/>
        <v>0</v>
      </c>
      <c r="C468" s="708" t="s">
        <v>1405</v>
      </c>
      <c r="D468" s="675">
        <f>[14]Data!AD537</f>
        <v>1299.8399999999999</v>
      </c>
      <c r="E468" s="674" t="s">
        <v>264</v>
      </c>
      <c r="F468" s="663">
        <f t="shared" si="48"/>
        <v>0</v>
      </c>
      <c r="G468" s="684"/>
      <c r="H468" s="667">
        <f t="shared" si="47"/>
        <v>0</v>
      </c>
      <c r="I468" s="675"/>
      <c r="J468" s="667">
        <f t="shared" si="44"/>
        <v>0</v>
      </c>
      <c r="K468" s="667"/>
      <c r="L468" s="667"/>
      <c r="M468" s="667" t="e">
        <f>G468+#REF!+#REF!+#REF!+I468+#REF!+#REF!+#REF!+#REF!+#REF!+#REF!+K468+#REF!+#REF!+#REF!</f>
        <v>#REF!</v>
      </c>
      <c r="N468" s="667" t="e">
        <f t="shared" si="45"/>
        <v>#REF!</v>
      </c>
      <c r="O468" s="665" t="e">
        <f>#REF!+M468</f>
        <v>#REF!</v>
      </c>
      <c r="P468" s="666" t="e">
        <f t="shared" si="46"/>
        <v>#REF!</v>
      </c>
      <c r="Q468" s="672"/>
      <c r="R468" s="668"/>
      <c r="S468" s="676"/>
      <c r="T468" s="676"/>
      <c r="U468" s="676"/>
      <c r="V468" s="676"/>
      <c r="W468" s="676"/>
      <c r="X468" s="676"/>
    </row>
    <row r="469" spans="1:24" s="677" customFormat="1" ht="25.5" hidden="1" customHeight="1">
      <c r="A469" s="709"/>
      <c r="B469" s="666">
        <f t="shared" si="43"/>
        <v>0</v>
      </c>
      <c r="C469" s="708" t="s">
        <v>1406</v>
      </c>
      <c r="D469" s="675">
        <f>[14]Data!AD538</f>
        <v>1303.95</v>
      </c>
      <c r="E469" s="674" t="s">
        <v>264</v>
      </c>
      <c r="F469" s="663">
        <f t="shared" si="48"/>
        <v>0</v>
      </c>
      <c r="G469" s="684"/>
      <c r="H469" s="667">
        <f t="shared" si="47"/>
        <v>0</v>
      </c>
      <c r="I469" s="675"/>
      <c r="J469" s="667">
        <f t="shared" si="44"/>
        <v>0</v>
      </c>
      <c r="K469" s="667"/>
      <c r="L469" s="667"/>
      <c r="M469" s="667" t="e">
        <f>G469+#REF!+#REF!+#REF!+I469+#REF!+#REF!+#REF!+#REF!+#REF!+#REF!+K469+#REF!+#REF!+#REF!</f>
        <v>#REF!</v>
      </c>
      <c r="N469" s="667" t="e">
        <f t="shared" si="45"/>
        <v>#REF!</v>
      </c>
      <c r="O469" s="665" t="e">
        <f>#REF!+M469</f>
        <v>#REF!</v>
      </c>
      <c r="P469" s="666" t="e">
        <f t="shared" si="46"/>
        <v>#REF!</v>
      </c>
      <c r="Q469" s="672"/>
      <c r="R469" s="668"/>
      <c r="S469" s="676"/>
      <c r="T469" s="676"/>
      <c r="U469" s="676"/>
      <c r="V469" s="676"/>
      <c r="W469" s="676"/>
      <c r="X469" s="676"/>
    </row>
    <row r="470" spans="1:24" s="677" customFormat="1" ht="25.5" hidden="1" customHeight="1">
      <c r="A470" s="709"/>
      <c r="B470" s="666">
        <f t="shared" si="43"/>
        <v>0</v>
      </c>
      <c r="C470" s="708" t="s">
        <v>1407</v>
      </c>
      <c r="D470" s="675">
        <f>[14]Data!AD539</f>
        <v>1308.06</v>
      </c>
      <c r="E470" s="674" t="s">
        <v>264</v>
      </c>
      <c r="F470" s="663">
        <f t="shared" si="48"/>
        <v>0</v>
      </c>
      <c r="G470" s="684"/>
      <c r="H470" s="667">
        <f t="shared" si="47"/>
        <v>0</v>
      </c>
      <c r="I470" s="675"/>
      <c r="J470" s="667">
        <f t="shared" si="44"/>
        <v>0</v>
      </c>
      <c r="K470" s="667"/>
      <c r="L470" s="667"/>
      <c r="M470" s="667" t="e">
        <f>G470+#REF!+#REF!+#REF!+I470+#REF!+#REF!+#REF!+#REF!+#REF!+#REF!+K470+#REF!+#REF!+#REF!</f>
        <v>#REF!</v>
      </c>
      <c r="N470" s="667" t="e">
        <f t="shared" si="45"/>
        <v>#REF!</v>
      </c>
      <c r="O470" s="665" t="e">
        <f>#REF!+M470</f>
        <v>#REF!</v>
      </c>
      <c r="P470" s="666" t="e">
        <f t="shared" si="46"/>
        <v>#REF!</v>
      </c>
      <c r="Q470" s="672"/>
      <c r="R470" s="668"/>
      <c r="S470" s="676"/>
      <c r="T470" s="676"/>
      <c r="U470" s="676"/>
      <c r="V470" s="676"/>
      <c r="W470" s="676"/>
      <c r="X470" s="676"/>
    </row>
    <row r="471" spans="1:24" s="677" customFormat="1" ht="25.5" hidden="1" customHeight="1">
      <c r="A471" s="711"/>
      <c r="B471" s="666">
        <f t="shared" si="43"/>
        <v>0</v>
      </c>
      <c r="C471" s="712" t="s">
        <v>1408</v>
      </c>
      <c r="D471" s="675">
        <f>[14]Data!AD540</f>
        <v>1312.17</v>
      </c>
      <c r="E471" s="713" t="s">
        <v>264</v>
      </c>
      <c r="F471" s="663">
        <f t="shared" si="48"/>
        <v>0</v>
      </c>
      <c r="G471" s="684"/>
      <c r="H471" s="667">
        <f t="shared" si="47"/>
        <v>0</v>
      </c>
      <c r="I471" s="675"/>
      <c r="J471" s="667">
        <f t="shared" si="44"/>
        <v>0</v>
      </c>
      <c r="K471" s="667"/>
      <c r="L471" s="667"/>
      <c r="M471" s="667" t="e">
        <f>G471+#REF!+#REF!+#REF!+I471+#REF!+#REF!+#REF!+#REF!+#REF!+#REF!+K471+#REF!+#REF!+#REF!</f>
        <v>#REF!</v>
      </c>
      <c r="N471" s="667" t="e">
        <f t="shared" si="45"/>
        <v>#REF!</v>
      </c>
      <c r="O471" s="665" t="e">
        <f>#REF!+M471</f>
        <v>#REF!</v>
      </c>
      <c r="P471" s="666" t="e">
        <f t="shared" si="46"/>
        <v>#REF!</v>
      </c>
      <c r="Q471" s="672"/>
      <c r="R471" s="668"/>
      <c r="S471" s="676"/>
      <c r="T471" s="676"/>
      <c r="U471" s="676"/>
      <c r="V471" s="676"/>
      <c r="W471" s="676"/>
      <c r="X471" s="676"/>
    </row>
    <row r="472" spans="1:24" s="677" customFormat="1" ht="25.5" hidden="1" customHeight="1">
      <c r="A472" s="714"/>
      <c r="B472" s="666">
        <f t="shared" si="43"/>
        <v>0</v>
      </c>
      <c r="C472" s="715" t="s">
        <v>1409</v>
      </c>
      <c r="D472" s="675">
        <f>[14]Data!AD541</f>
        <v>1316.28</v>
      </c>
      <c r="E472" s="716" t="s">
        <v>264</v>
      </c>
      <c r="F472" s="663">
        <f t="shared" si="48"/>
        <v>0</v>
      </c>
      <c r="G472" s="684"/>
      <c r="H472" s="667">
        <f t="shared" si="47"/>
        <v>0</v>
      </c>
      <c r="I472" s="675"/>
      <c r="J472" s="667">
        <f t="shared" si="44"/>
        <v>0</v>
      </c>
      <c r="K472" s="667"/>
      <c r="L472" s="667"/>
      <c r="M472" s="667" t="e">
        <f>G472+#REF!+#REF!+#REF!+I472+#REF!+#REF!+#REF!+#REF!+#REF!+#REF!+K472+#REF!+#REF!+#REF!</f>
        <v>#REF!</v>
      </c>
      <c r="N472" s="667" t="e">
        <f t="shared" si="45"/>
        <v>#REF!</v>
      </c>
      <c r="O472" s="665" t="e">
        <f>#REF!+M472</f>
        <v>#REF!</v>
      </c>
      <c r="P472" s="666" t="e">
        <f t="shared" si="46"/>
        <v>#REF!</v>
      </c>
      <c r="Q472" s="672"/>
      <c r="R472" s="668"/>
      <c r="S472" s="676"/>
      <c r="T472" s="676"/>
      <c r="U472" s="676"/>
      <c r="V472" s="676"/>
      <c r="W472" s="676"/>
      <c r="X472" s="676"/>
    </row>
    <row r="473" spans="1:24" s="677" customFormat="1" ht="61.5" hidden="1" customHeight="1">
      <c r="A473" s="709" t="s">
        <v>39</v>
      </c>
      <c r="B473" s="666">
        <f t="shared" si="43"/>
        <v>0</v>
      </c>
      <c r="C473" s="710" t="s">
        <v>1626</v>
      </c>
      <c r="D473" s="675"/>
      <c r="E473" s="674"/>
      <c r="F473" s="663">
        <f t="shared" si="48"/>
        <v>0</v>
      </c>
      <c r="G473" s="684"/>
      <c r="H473" s="667">
        <f t="shared" si="47"/>
        <v>0</v>
      </c>
      <c r="I473" s="675"/>
      <c r="J473" s="667">
        <f t="shared" si="44"/>
        <v>0</v>
      </c>
      <c r="K473" s="667"/>
      <c r="L473" s="667"/>
      <c r="M473" s="667" t="e">
        <f>G473+#REF!+#REF!+#REF!+I473+#REF!+#REF!+#REF!+#REF!+#REF!+#REF!+K473+#REF!+#REF!+#REF!</f>
        <v>#REF!</v>
      </c>
      <c r="N473" s="667" t="e">
        <f t="shared" si="45"/>
        <v>#REF!</v>
      </c>
      <c r="O473" s="665" t="e">
        <f>#REF!+M473</f>
        <v>#REF!</v>
      </c>
      <c r="P473" s="666" t="e">
        <f t="shared" si="46"/>
        <v>#REF!</v>
      </c>
      <c r="Q473" s="672"/>
      <c r="R473" s="668"/>
      <c r="S473" s="676"/>
      <c r="T473" s="676"/>
      <c r="U473" s="676"/>
      <c r="V473" s="676"/>
      <c r="W473" s="676"/>
      <c r="X473" s="676"/>
    </row>
    <row r="474" spans="1:24" s="677" customFormat="1" ht="39" hidden="1" customHeight="1">
      <c r="A474" s="709"/>
      <c r="B474" s="666">
        <f t="shared" si="43"/>
        <v>0</v>
      </c>
      <c r="C474" s="674" t="s">
        <v>1457</v>
      </c>
      <c r="D474" s="675">
        <f>[14]Data!AD559</f>
        <v>1448.8</v>
      </c>
      <c r="E474" s="674" t="s">
        <v>264</v>
      </c>
      <c r="F474" s="663">
        <f t="shared" si="48"/>
        <v>0</v>
      </c>
      <c r="G474" s="684"/>
      <c r="H474" s="667">
        <f t="shared" si="47"/>
        <v>0</v>
      </c>
      <c r="I474" s="675"/>
      <c r="J474" s="667">
        <f t="shared" si="44"/>
        <v>0</v>
      </c>
      <c r="K474" s="667"/>
      <c r="L474" s="667"/>
      <c r="M474" s="667" t="e">
        <f>G474+#REF!+#REF!+#REF!+I474+#REF!+#REF!+#REF!+#REF!+#REF!+#REF!+K474+#REF!+#REF!+#REF!</f>
        <v>#REF!</v>
      </c>
      <c r="N474" s="667" t="e">
        <f t="shared" si="45"/>
        <v>#REF!</v>
      </c>
      <c r="O474" s="665" t="e">
        <f>#REF!+M474</f>
        <v>#REF!</v>
      </c>
      <c r="P474" s="666" t="e">
        <f t="shared" si="46"/>
        <v>#REF!</v>
      </c>
      <c r="Q474" s="672"/>
      <c r="R474" s="668"/>
      <c r="S474" s="676"/>
      <c r="T474" s="676"/>
      <c r="U474" s="676"/>
      <c r="V474" s="676"/>
      <c r="W474" s="676"/>
      <c r="X474" s="676"/>
    </row>
    <row r="475" spans="1:24" s="677" customFormat="1" ht="25.5" hidden="1" customHeight="1">
      <c r="A475" s="709"/>
      <c r="B475" s="666">
        <f t="shared" si="43"/>
        <v>0</v>
      </c>
      <c r="C475" s="708" t="s">
        <v>1458</v>
      </c>
      <c r="D475" s="675">
        <f>[14]Data!AD561</f>
        <v>1452.97</v>
      </c>
      <c r="E475" s="674" t="s">
        <v>264</v>
      </c>
      <c r="F475" s="663">
        <f t="shared" si="48"/>
        <v>0</v>
      </c>
      <c r="G475" s="684"/>
      <c r="H475" s="667">
        <f t="shared" si="47"/>
        <v>0</v>
      </c>
      <c r="I475" s="675"/>
      <c r="J475" s="667">
        <f t="shared" si="44"/>
        <v>0</v>
      </c>
      <c r="K475" s="667"/>
      <c r="L475" s="667"/>
      <c r="M475" s="667" t="e">
        <f>G475+#REF!+#REF!+#REF!+I475+#REF!+#REF!+#REF!+#REF!+#REF!+#REF!+K475+#REF!+#REF!+#REF!</f>
        <v>#REF!</v>
      </c>
      <c r="N475" s="667" t="e">
        <f t="shared" si="45"/>
        <v>#REF!</v>
      </c>
      <c r="O475" s="665" t="e">
        <f>#REF!+M475</f>
        <v>#REF!</v>
      </c>
      <c r="P475" s="666" t="e">
        <f t="shared" si="46"/>
        <v>#REF!</v>
      </c>
      <c r="Q475" s="672"/>
      <c r="R475" s="668"/>
      <c r="S475" s="676"/>
      <c r="T475" s="676"/>
      <c r="U475" s="676"/>
      <c r="V475" s="676"/>
      <c r="W475" s="676"/>
      <c r="X475" s="676"/>
    </row>
    <row r="476" spans="1:24" s="677" customFormat="1" ht="25.5" hidden="1" customHeight="1">
      <c r="A476" s="709"/>
      <c r="B476" s="666">
        <f t="shared" si="43"/>
        <v>0</v>
      </c>
      <c r="C476" s="708" t="s">
        <v>1459</v>
      </c>
      <c r="D476" s="675">
        <f>[14]Data!AD562</f>
        <v>1461.19</v>
      </c>
      <c r="E476" s="674" t="s">
        <v>264</v>
      </c>
      <c r="F476" s="663">
        <f t="shared" si="48"/>
        <v>0</v>
      </c>
      <c r="G476" s="684"/>
      <c r="H476" s="667">
        <f t="shared" si="47"/>
        <v>0</v>
      </c>
      <c r="I476" s="675"/>
      <c r="J476" s="667">
        <f t="shared" si="44"/>
        <v>0</v>
      </c>
      <c r="K476" s="667"/>
      <c r="L476" s="667"/>
      <c r="M476" s="667" t="e">
        <f>G476+#REF!+#REF!+#REF!+I476+#REF!+#REF!+#REF!+#REF!+#REF!+#REF!+K476+#REF!+#REF!+#REF!</f>
        <v>#REF!</v>
      </c>
      <c r="N476" s="667" t="e">
        <f t="shared" si="45"/>
        <v>#REF!</v>
      </c>
      <c r="O476" s="665" t="e">
        <f>#REF!+M476</f>
        <v>#REF!</v>
      </c>
      <c r="P476" s="666" t="e">
        <f t="shared" si="46"/>
        <v>#REF!</v>
      </c>
      <c r="Q476" s="672"/>
      <c r="R476" s="668"/>
      <c r="S476" s="676"/>
      <c r="T476" s="676"/>
      <c r="U476" s="676"/>
      <c r="V476" s="676"/>
      <c r="W476" s="676"/>
      <c r="X476" s="676"/>
    </row>
    <row r="477" spans="1:24" s="677" customFormat="1" ht="25.5" hidden="1" customHeight="1">
      <c r="A477" s="711"/>
      <c r="B477" s="666">
        <f t="shared" si="43"/>
        <v>0</v>
      </c>
      <c r="C477" s="712" t="s">
        <v>1460</v>
      </c>
      <c r="D477" s="675">
        <f>[14]Data!AD563</f>
        <v>1469.41</v>
      </c>
      <c r="E477" s="713" t="s">
        <v>264</v>
      </c>
      <c r="F477" s="663">
        <f t="shared" si="48"/>
        <v>0</v>
      </c>
      <c r="G477" s="684"/>
      <c r="H477" s="667">
        <f t="shared" si="47"/>
        <v>0</v>
      </c>
      <c r="I477" s="675"/>
      <c r="J477" s="667">
        <f t="shared" si="44"/>
        <v>0</v>
      </c>
      <c r="K477" s="667"/>
      <c r="L477" s="667"/>
      <c r="M477" s="667" t="e">
        <f>G477+#REF!+#REF!+#REF!+I477+#REF!+#REF!+#REF!+#REF!+#REF!+#REF!+K477+#REF!+#REF!+#REF!</f>
        <v>#REF!</v>
      </c>
      <c r="N477" s="667" t="e">
        <f t="shared" si="45"/>
        <v>#REF!</v>
      </c>
      <c r="O477" s="665" t="e">
        <f>#REF!+M477</f>
        <v>#REF!</v>
      </c>
      <c r="P477" s="666" t="e">
        <f t="shared" si="46"/>
        <v>#REF!</v>
      </c>
      <c r="Q477" s="672"/>
      <c r="R477" s="668"/>
      <c r="S477" s="676"/>
      <c r="T477" s="676"/>
      <c r="U477" s="676"/>
      <c r="V477" s="676"/>
      <c r="W477" s="676"/>
      <c r="X477" s="676"/>
    </row>
    <row r="478" spans="1:24" s="677" customFormat="1" ht="25.5" hidden="1" customHeight="1">
      <c r="A478" s="709"/>
      <c r="B478" s="666">
        <f t="shared" si="43"/>
        <v>0</v>
      </c>
      <c r="C478" s="708" t="s">
        <v>1461</v>
      </c>
      <c r="D478" s="675">
        <f>[14]Data!AD564</f>
        <v>1477.63</v>
      </c>
      <c r="E478" s="674" t="s">
        <v>264</v>
      </c>
      <c r="F478" s="663">
        <f t="shared" si="48"/>
        <v>0</v>
      </c>
      <c r="G478" s="684"/>
      <c r="H478" s="667">
        <f t="shared" si="47"/>
        <v>0</v>
      </c>
      <c r="I478" s="675"/>
      <c r="J478" s="667">
        <f t="shared" si="44"/>
        <v>0</v>
      </c>
      <c r="K478" s="667"/>
      <c r="L478" s="667"/>
      <c r="M478" s="667" t="e">
        <f>G478+#REF!+#REF!+#REF!+I478+#REF!+#REF!+#REF!+#REF!+#REF!+#REF!+K478+#REF!+#REF!+#REF!</f>
        <v>#REF!</v>
      </c>
      <c r="N478" s="667" t="e">
        <f t="shared" si="45"/>
        <v>#REF!</v>
      </c>
      <c r="O478" s="665" t="e">
        <f>#REF!+M478</f>
        <v>#REF!</v>
      </c>
      <c r="P478" s="666" t="e">
        <f t="shared" si="46"/>
        <v>#REF!</v>
      </c>
      <c r="Q478" s="672"/>
      <c r="R478" s="668"/>
      <c r="S478" s="676"/>
      <c r="T478" s="676"/>
      <c r="U478" s="676"/>
      <c r="V478" s="676"/>
      <c r="W478" s="676"/>
      <c r="X478" s="676"/>
    </row>
    <row r="479" spans="1:24" s="677" customFormat="1" ht="25.5" hidden="1" customHeight="1">
      <c r="A479" s="707"/>
      <c r="B479" s="666">
        <f t="shared" si="43"/>
        <v>0</v>
      </c>
      <c r="C479" s="708" t="s">
        <v>1462</v>
      </c>
      <c r="D479" s="675">
        <f>[14]Data!AD565</f>
        <v>1485.85</v>
      </c>
      <c r="E479" s="674" t="s">
        <v>264</v>
      </c>
      <c r="F479" s="663">
        <f t="shared" si="48"/>
        <v>0</v>
      </c>
      <c r="G479" s="684"/>
      <c r="H479" s="667">
        <f t="shared" si="47"/>
        <v>0</v>
      </c>
      <c r="I479" s="675"/>
      <c r="J479" s="667">
        <f t="shared" si="44"/>
        <v>0</v>
      </c>
      <c r="K479" s="667"/>
      <c r="L479" s="667"/>
      <c r="M479" s="667" t="e">
        <f>G479+#REF!+#REF!+#REF!+I479+#REF!+#REF!+#REF!+#REF!+#REF!+#REF!+K479+#REF!+#REF!+#REF!</f>
        <v>#REF!</v>
      </c>
      <c r="N479" s="667" t="e">
        <f t="shared" si="45"/>
        <v>#REF!</v>
      </c>
      <c r="O479" s="665" t="e">
        <f>#REF!+M479</f>
        <v>#REF!</v>
      </c>
      <c r="P479" s="666" t="e">
        <f t="shared" si="46"/>
        <v>#REF!</v>
      </c>
      <c r="Q479" s="672"/>
      <c r="R479" s="668"/>
      <c r="S479" s="676"/>
      <c r="T479" s="676"/>
      <c r="U479" s="676"/>
      <c r="V479" s="676"/>
      <c r="W479" s="676"/>
      <c r="X479" s="676"/>
    </row>
    <row r="480" spans="1:24" s="677" customFormat="1" ht="40.5" hidden="1" customHeight="1">
      <c r="A480" s="707"/>
      <c r="B480" s="666">
        <f t="shared" si="43"/>
        <v>0</v>
      </c>
      <c r="C480" s="717" t="s">
        <v>1627</v>
      </c>
      <c r="D480" s="718"/>
      <c r="E480" s="713"/>
      <c r="F480" s="663">
        <f t="shared" si="48"/>
        <v>0</v>
      </c>
      <c r="G480" s="684"/>
      <c r="H480" s="667">
        <f t="shared" si="47"/>
        <v>0</v>
      </c>
      <c r="I480" s="675"/>
      <c r="J480" s="667">
        <f t="shared" si="44"/>
        <v>0</v>
      </c>
      <c r="K480" s="667"/>
      <c r="L480" s="667"/>
      <c r="M480" s="667" t="e">
        <f>G480+#REF!+#REF!+#REF!+I480+#REF!+#REF!+#REF!+#REF!+#REF!+#REF!+K480+#REF!+#REF!+#REF!</f>
        <v>#REF!</v>
      </c>
      <c r="N480" s="667" t="e">
        <f t="shared" si="45"/>
        <v>#REF!</v>
      </c>
      <c r="O480" s="665" t="e">
        <f>#REF!+M480</f>
        <v>#REF!</v>
      </c>
      <c r="P480" s="666" t="e">
        <f t="shared" si="46"/>
        <v>#REF!</v>
      </c>
      <c r="Q480" s="672"/>
      <c r="R480" s="668"/>
      <c r="S480" s="676"/>
      <c r="T480" s="676"/>
      <c r="U480" s="676"/>
      <c r="V480" s="676"/>
      <c r="W480" s="676"/>
      <c r="X480" s="676"/>
    </row>
    <row r="481" spans="1:24" s="677" customFormat="1" ht="25.5" hidden="1" customHeight="1">
      <c r="A481" s="707"/>
      <c r="B481" s="666">
        <f t="shared" si="43"/>
        <v>0</v>
      </c>
      <c r="C481" s="719" t="s">
        <v>1628</v>
      </c>
      <c r="D481" s="720">
        <f>[14]Data!AD486</f>
        <v>2598.2199999999998</v>
      </c>
      <c r="E481" s="719" t="s">
        <v>264</v>
      </c>
      <c r="F481" s="663">
        <f t="shared" si="48"/>
        <v>0</v>
      </c>
      <c r="G481" s="684"/>
      <c r="H481" s="667">
        <f t="shared" si="47"/>
        <v>0</v>
      </c>
      <c r="I481" s="675"/>
      <c r="J481" s="667">
        <f t="shared" si="44"/>
        <v>0</v>
      </c>
      <c r="K481" s="667"/>
      <c r="L481" s="667"/>
      <c r="M481" s="667" t="e">
        <f>G481+#REF!+#REF!+#REF!+I481+#REF!+#REF!+#REF!+#REF!+#REF!+#REF!+K481+#REF!+#REF!+#REF!</f>
        <v>#REF!</v>
      </c>
      <c r="N481" s="667" t="e">
        <f t="shared" si="45"/>
        <v>#REF!</v>
      </c>
      <c r="O481" s="665" t="e">
        <f>#REF!+M481</f>
        <v>#REF!</v>
      </c>
      <c r="P481" s="666" t="e">
        <f t="shared" si="46"/>
        <v>#REF!</v>
      </c>
      <c r="Q481" s="672"/>
      <c r="R481" s="668"/>
      <c r="S481" s="676"/>
      <c r="T481" s="676"/>
      <c r="U481" s="676"/>
      <c r="V481" s="676"/>
      <c r="W481" s="676"/>
      <c r="X481" s="676"/>
    </row>
    <row r="482" spans="1:24" s="677" customFormat="1" ht="25.5" hidden="1" customHeight="1">
      <c r="A482" s="707"/>
      <c r="B482" s="666">
        <f t="shared" si="43"/>
        <v>0</v>
      </c>
      <c r="C482" s="721" t="s">
        <v>1406</v>
      </c>
      <c r="D482" s="720">
        <f>[14]Data!AD487</f>
        <v>2605.88</v>
      </c>
      <c r="E482" s="721" t="s">
        <v>264</v>
      </c>
      <c r="F482" s="663">
        <f t="shared" si="48"/>
        <v>0</v>
      </c>
      <c r="G482" s="684"/>
      <c r="H482" s="667">
        <f t="shared" si="47"/>
        <v>0</v>
      </c>
      <c r="I482" s="675"/>
      <c r="J482" s="667">
        <f t="shared" si="44"/>
        <v>0</v>
      </c>
      <c r="K482" s="667"/>
      <c r="L482" s="667"/>
      <c r="M482" s="667" t="e">
        <f>G482+#REF!+#REF!+#REF!+I482+#REF!+#REF!+#REF!+#REF!+#REF!+#REF!+K482+#REF!+#REF!+#REF!</f>
        <v>#REF!</v>
      </c>
      <c r="N482" s="667" t="e">
        <f t="shared" si="45"/>
        <v>#REF!</v>
      </c>
      <c r="O482" s="665" t="e">
        <f>#REF!+M482</f>
        <v>#REF!</v>
      </c>
      <c r="P482" s="666" t="e">
        <f t="shared" si="46"/>
        <v>#REF!</v>
      </c>
      <c r="Q482" s="672"/>
      <c r="R482" s="668"/>
      <c r="S482" s="676"/>
      <c r="T482" s="676"/>
      <c r="U482" s="676"/>
      <c r="V482" s="676"/>
      <c r="W482" s="676"/>
      <c r="X482" s="676"/>
    </row>
    <row r="483" spans="1:24" s="677" customFormat="1" ht="25.5" hidden="1" customHeight="1">
      <c r="A483" s="707"/>
      <c r="B483" s="666">
        <f t="shared" si="43"/>
        <v>0</v>
      </c>
      <c r="C483" s="708" t="s">
        <v>1407</v>
      </c>
      <c r="D483" s="720">
        <f>[14]Data!AD488</f>
        <v>2613.54</v>
      </c>
      <c r="E483" s="674" t="s">
        <v>264</v>
      </c>
      <c r="F483" s="663">
        <f t="shared" si="48"/>
        <v>0</v>
      </c>
      <c r="G483" s="684"/>
      <c r="H483" s="667">
        <f t="shared" si="47"/>
        <v>0</v>
      </c>
      <c r="I483" s="675"/>
      <c r="J483" s="667">
        <f t="shared" si="44"/>
        <v>0</v>
      </c>
      <c r="K483" s="667"/>
      <c r="L483" s="667"/>
      <c r="M483" s="667" t="e">
        <f>G483+#REF!+#REF!+#REF!+I483+#REF!+#REF!+#REF!+#REF!+#REF!+#REF!+K483+#REF!+#REF!+#REF!</f>
        <v>#REF!</v>
      </c>
      <c r="N483" s="667" t="e">
        <f t="shared" si="45"/>
        <v>#REF!</v>
      </c>
      <c r="O483" s="665" t="e">
        <f>#REF!+M483</f>
        <v>#REF!</v>
      </c>
      <c r="P483" s="666" t="e">
        <f t="shared" si="46"/>
        <v>#REF!</v>
      </c>
      <c r="Q483" s="672"/>
      <c r="R483" s="668"/>
      <c r="S483" s="676"/>
      <c r="T483" s="676"/>
      <c r="U483" s="676"/>
      <c r="V483" s="676"/>
      <c r="W483" s="676"/>
      <c r="X483" s="676"/>
    </row>
    <row r="484" spans="1:24" s="677" customFormat="1" ht="25.5" hidden="1" customHeight="1">
      <c r="A484" s="707"/>
      <c r="B484" s="666">
        <f t="shared" si="43"/>
        <v>0</v>
      </c>
      <c r="C484" s="712" t="s">
        <v>1408</v>
      </c>
      <c r="D484" s="720">
        <f>[14]Data!AD489</f>
        <v>2621.1999999999998</v>
      </c>
      <c r="E484" s="713" t="s">
        <v>264</v>
      </c>
      <c r="F484" s="663">
        <f t="shared" si="48"/>
        <v>0</v>
      </c>
      <c r="G484" s="684"/>
      <c r="H484" s="667">
        <f t="shared" si="47"/>
        <v>0</v>
      </c>
      <c r="I484" s="675"/>
      <c r="J484" s="667">
        <f t="shared" si="44"/>
        <v>0</v>
      </c>
      <c r="K484" s="667"/>
      <c r="L484" s="667"/>
      <c r="M484" s="667" t="e">
        <f>G484+#REF!+#REF!+#REF!+I484+#REF!+#REF!+#REF!+#REF!+#REF!+#REF!+K484+#REF!+#REF!+#REF!</f>
        <v>#REF!</v>
      </c>
      <c r="N484" s="667" t="e">
        <f t="shared" si="45"/>
        <v>#REF!</v>
      </c>
      <c r="O484" s="665" t="e">
        <f>#REF!+M484</f>
        <v>#REF!</v>
      </c>
      <c r="P484" s="666" t="e">
        <f t="shared" si="46"/>
        <v>#REF!</v>
      </c>
      <c r="Q484" s="672"/>
      <c r="R484" s="668"/>
      <c r="S484" s="676"/>
      <c r="T484" s="676"/>
      <c r="U484" s="676"/>
      <c r="V484" s="676"/>
      <c r="W484" s="676"/>
      <c r="X484" s="676"/>
    </row>
    <row r="485" spans="1:24" s="677" customFormat="1" ht="5.25" hidden="1" customHeight="1">
      <c r="A485" s="707"/>
      <c r="B485" s="666">
        <f t="shared" si="43"/>
        <v>0</v>
      </c>
      <c r="C485" s="715" t="s">
        <v>1409</v>
      </c>
      <c r="D485" s="720">
        <f>[14]Data!AD490</f>
        <v>2628.86</v>
      </c>
      <c r="E485" s="716" t="s">
        <v>264</v>
      </c>
      <c r="F485" s="663">
        <f t="shared" si="48"/>
        <v>0</v>
      </c>
      <c r="G485" s="684"/>
      <c r="H485" s="667">
        <f t="shared" si="47"/>
        <v>0</v>
      </c>
      <c r="I485" s="675"/>
      <c r="J485" s="667">
        <f t="shared" si="44"/>
        <v>0</v>
      </c>
      <c r="K485" s="667"/>
      <c r="L485" s="667"/>
      <c r="M485" s="667" t="e">
        <f>G485+#REF!+#REF!+#REF!+I485+#REF!+#REF!+#REF!+#REF!+#REF!+#REF!+K485+#REF!+#REF!+#REF!</f>
        <v>#REF!</v>
      </c>
      <c r="N485" s="667" t="e">
        <f t="shared" si="45"/>
        <v>#REF!</v>
      </c>
      <c r="O485" s="665" t="e">
        <f>#REF!+M485</f>
        <v>#REF!</v>
      </c>
      <c r="P485" s="666" t="e">
        <f t="shared" si="46"/>
        <v>#REF!</v>
      </c>
      <c r="Q485" s="672"/>
      <c r="R485" s="668"/>
      <c r="S485" s="676"/>
      <c r="T485" s="676"/>
      <c r="U485" s="676"/>
      <c r="V485" s="676"/>
      <c r="W485" s="676"/>
      <c r="X485" s="676"/>
    </row>
    <row r="486" spans="1:24" s="683" customFormat="1" ht="90.75" hidden="1" customHeight="1">
      <c r="A486" s="722"/>
      <c r="B486" s="666">
        <f t="shared" si="43"/>
        <v>0</v>
      </c>
      <c r="C486" s="663" t="s">
        <v>1629</v>
      </c>
      <c r="D486" s="667"/>
      <c r="E486" s="663"/>
      <c r="F486" s="663">
        <f t="shared" si="48"/>
        <v>0</v>
      </c>
      <c r="G486" s="690"/>
      <c r="H486" s="667">
        <f t="shared" si="47"/>
        <v>0</v>
      </c>
      <c r="I486" s="667"/>
      <c r="J486" s="667">
        <f t="shared" si="44"/>
        <v>0</v>
      </c>
      <c r="K486" s="667"/>
      <c r="L486" s="667"/>
      <c r="M486" s="667" t="e">
        <f>G486+#REF!+#REF!+#REF!+I486+#REF!+#REF!+#REF!+#REF!+#REF!+#REF!+K486+#REF!+#REF!+#REF!</f>
        <v>#REF!</v>
      </c>
      <c r="N486" s="667" t="e">
        <f t="shared" si="45"/>
        <v>#REF!</v>
      </c>
      <c r="O486" s="665" t="e">
        <f>#REF!+M486</f>
        <v>#REF!</v>
      </c>
      <c r="P486" s="666" t="e">
        <f t="shared" si="46"/>
        <v>#REF!</v>
      </c>
      <c r="Q486" s="668"/>
      <c r="R486" s="668"/>
      <c r="S486" s="678"/>
      <c r="T486" s="669"/>
      <c r="U486" s="679"/>
      <c r="V486" s="702"/>
      <c r="W486" s="702"/>
      <c r="X486" s="702"/>
    </row>
    <row r="487" spans="1:24" s="683" customFormat="1" ht="48.75" hidden="1" customHeight="1">
      <c r="A487" s="662"/>
      <c r="B487" s="666">
        <f t="shared" si="43"/>
        <v>0</v>
      </c>
      <c r="C487" s="663" t="s">
        <v>1420</v>
      </c>
      <c r="D487" s="667">
        <f>[14]Data!X486</f>
        <v>2578</v>
      </c>
      <c r="E487" s="663" t="s">
        <v>264</v>
      </c>
      <c r="F487" s="663">
        <f t="shared" si="48"/>
        <v>0</v>
      </c>
      <c r="G487" s="705"/>
      <c r="H487" s="667">
        <f t="shared" si="47"/>
        <v>0</v>
      </c>
      <c r="I487" s="667"/>
      <c r="J487" s="667">
        <f t="shared" si="44"/>
        <v>0</v>
      </c>
      <c r="K487" s="667"/>
      <c r="L487" s="667"/>
      <c r="M487" s="667" t="e">
        <f>G487+#REF!+#REF!+#REF!+I487+#REF!+#REF!+#REF!+#REF!+#REF!+#REF!+K487+#REF!+#REF!+#REF!</f>
        <v>#REF!</v>
      </c>
      <c r="N487" s="667" t="e">
        <f t="shared" si="45"/>
        <v>#REF!</v>
      </c>
      <c r="O487" s="665" t="e">
        <f>#REF!+M487</f>
        <v>#REF!</v>
      </c>
      <c r="P487" s="666" t="e">
        <f t="shared" si="46"/>
        <v>#REF!</v>
      </c>
      <c r="Q487" s="672"/>
      <c r="R487" s="668"/>
      <c r="S487" s="669"/>
      <c r="T487" s="669"/>
      <c r="U487" s="702"/>
      <c r="V487" s="702"/>
      <c r="W487" s="702"/>
      <c r="X487" s="702"/>
    </row>
    <row r="488" spans="1:24" s="683" customFormat="1" ht="48.75" hidden="1" customHeight="1">
      <c r="A488" s="662"/>
      <c r="B488" s="666">
        <f t="shared" si="43"/>
        <v>0</v>
      </c>
      <c r="C488" s="663" t="s">
        <v>1406</v>
      </c>
      <c r="D488" s="667">
        <f>[14]Data!X487</f>
        <v>2585.66</v>
      </c>
      <c r="E488" s="663" t="s">
        <v>264</v>
      </c>
      <c r="F488" s="663">
        <f t="shared" si="48"/>
        <v>0</v>
      </c>
      <c r="G488" s="705"/>
      <c r="H488" s="667">
        <f t="shared" si="47"/>
        <v>0</v>
      </c>
      <c r="I488" s="667"/>
      <c r="J488" s="667">
        <f t="shared" si="44"/>
        <v>0</v>
      </c>
      <c r="K488" s="667"/>
      <c r="L488" s="667"/>
      <c r="M488" s="667" t="e">
        <f>G488+#REF!+#REF!+#REF!+I488+#REF!+#REF!+#REF!+#REF!+#REF!+#REF!+K488+#REF!+#REF!+#REF!</f>
        <v>#REF!</v>
      </c>
      <c r="N488" s="667" t="e">
        <f t="shared" si="45"/>
        <v>#REF!</v>
      </c>
      <c r="O488" s="665" t="e">
        <f>#REF!+M488</f>
        <v>#REF!</v>
      </c>
      <c r="P488" s="666" t="e">
        <f t="shared" si="46"/>
        <v>#REF!</v>
      </c>
      <c r="Q488" s="672"/>
      <c r="R488" s="668"/>
      <c r="S488" s="669"/>
      <c r="T488" s="669"/>
      <c r="U488" s="702"/>
      <c r="V488" s="702"/>
      <c r="W488" s="702"/>
      <c r="X488" s="702"/>
    </row>
    <row r="489" spans="1:24" s="683" customFormat="1" ht="48.75" hidden="1" customHeight="1">
      <c r="A489" s="662"/>
      <c r="B489" s="666">
        <f t="shared" si="43"/>
        <v>0</v>
      </c>
      <c r="C489" s="663" t="s">
        <v>1407</v>
      </c>
      <c r="D489" s="667">
        <f>[14]Data!X488</f>
        <v>2593.3200000000002</v>
      </c>
      <c r="E489" s="663" t="s">
        <v>264</v>
      </c>
      <c r="F489" s="663">
        <f t="shared" si="48"/>
        <v>0</v>
      </c>
      <c r="G489" s="705"/>
      <c r="H489" s="667">
        <f t="shared" si="47"/>
        <v>0</v>
      </c>
      <c r="I489" s="667"/>
      <c r="J489" s="667">
        <f t="shared" si="44"/>
        <v>0</v>
      </c>
      <c r="K489" s="667"/>
      <c r="L489" s="667"/>
      <c r="M489" s="667" t="e">
        <f>G489+#REF!+#REF!+#REF!+I489+#REF!+#REF!+#REF!+#REF!+#REF!+#REF!+K489+#REF!+#REF!+#REF!</f>
        <v>#REF!</v>
      </c>
      <c r="N489" s="667" t="e">
        <f t="shared" si="45"/>
        <v>#REF!</v>
      </c>
      <c r="O489" s="665" t="e">
        <f>#REF!+M489</f>
        <v>#REF!</v>
      </c>
      <c r="P489" s="666" t="e">
        <f t="shared" si="46"/>
        <v>#REF!</v>
      </c>
      <c r="Q489" s="672"/>
      <c r="R489" s="668"/>
      <c r="S489" s="669"/>
      <c r="T489" s="669"/>
      <c r="U489" s="702"/>
      <c r="V489" s="702"/>
      <c r="W489" s="702"/>
      <c r="X489" s="702"/>
    </row>
    <row r="490" spans="1:24" s="683" customFormat="1" ht="48.75" hidden="1" customHeight="1">
      <c r="A490" s="662"/>
      <c r="B490" s="666">
        <f t="shared" si="43"/>
        <v>0</v>
      </c>
      <c r="C490" s="663" t="s">
        <v>1408</v>
      </c>
      <c r="D490" s="667">
        <f>[14]Data!X489</f>
        <v>2600.98</v>
      </c>
      <c r="E490" s="663" t="s">
        <v>264</v>
      </c>
      <c r="F490" s="663">
        <f t="shared" si="48"/>
        <v>0</v>
      </c>
      <c r="G490" s="705"/>
      <c r="H490" s="667">
        <f t="shared" si="47"/>
        <v>0</v>
      </c>
      <c r="I490" s="667"/>
      <c r="J490" s="667">
        <f t="shared" si="44"/>
        <v>0</v>
      </c>
      <c r="K490" s="667"/>
      <c r="L490" s="667"/>
      <c r="M490" s="667" t="e">
        <f>G490+#REF!+#REF!+#REF!+I490+#REF!+#REF!+#REF!+#REF!+#REF!+#REF!+K490+#REF!+#REF!+#REF!</f>
        <v>#REF!</v>
      </c>
      <c r="N490" s="667" t="e">
        <f t="shared" si="45"/>
        <v>#REF!</v>
      </c>
      <c r="O490" s="665" t="e">
        <f>#REF!+M490</f>
        <v>#REF!</v>
      </c>
      <c r="P490" s="666" t="e">
        <f t="shared" si="46"/>
        <v>#REF!</v>
      </c>
      <c r="Q490" s="672"/>
      <c r="R490" s="668"/>
      <c r="S490" s="669"/>
      <c r="T490" s="669"/>
      <c r="U490" s="702"/>
      <c r="V490" s="702"/>
      <c r="W490" s="702"/>
      <c r="X490" s="702"/>
    </row>
    <row r="491" spans="1:24" s="683" customFormat="1" ht="44.25" hidden="1" customHeight="1">
      <c r="A491" s="688"/>
      <c r="B491" s="666">
        <f t="shared" si="43"/>
        <v>0</v>
      </c>
      <c r="C491" s="663" t="s">
        <v>1409</v>
      </c>
      <c r="D491" s="667">
        <f>[14]Data!X490</f>
        <v>2608.64</v>
      </c>
      <c r="E491" s="663" t="s">
        <v>264</v>
      </c>
      <c r="F491" s="663">
        <f t="shared" si="48"/>
        <v>0</v>
      </c>
      <c r="G491" s="705"/>
      <c r="H491" s="667">
        <f t="shared" si="47"/>
        <v>0</v>
      </c>
      <c r="I491" s="667"/>
      <c r="J491" s="667">
        <f t="shared" si="44"/>
        <v>0</v>
      </c>
      <c r="K491" s="667"/>
      <c r="L491" s="667"/>
      <c r="M491" s="667" t="e">
        <f>G491+#REF!+#REF!+#REF!+I491+#REF!+#REF!+#REF!+#REF!+#REF!+#REF!+K491+#REF!+#REF!+#REF!</f>
        <v>#REF!</v>
      </c>
      <c r="N491" s="667" t="e">
        <f t="shared" si="45"/>
        <v>#REF!</v>
      </c>
      <c r="O491" s="665" t="e">
        <f>#REF!+M491</f>
        <v>#REF!</v>
      </c>
      <c r="P491" s="666" t="e">
        <f t="shared" si="46"/>
        <v>#REF!</v>
      </c>
      <c r="Q491" s="672"/>
      <c r="R491" s="668"/>
      <c r="S491" s="669"/>
      <c r="T491" s="669"/>
      <c r="U491" s="702"/>
      <c r="V491" s="702"/>
      <c r="W491" s="702"/>
      <c r="X491" s="702"/>
    </row>
    <row r="492" spans="1:24" s="726" customFormat="1" ht="25.5" hidden="1" customHeight="1">
      <c r="A492" s="723"/>
      <c r="B492" s="666">
        <f t="shared" si="43"/>
        <v>0</v>
      </c>
      <c r="C492" s="724" t="s">
        <v>1411</v>
      </c>
      <c r="D492" s="675">
        <f>[14]Data!X491</f>
        <v>0</v>
      </c>
      <c r="E492" s="674" t="s">
        <v>264</v>
      </c>
      <c r="F492" s="663">
        <f t="shared" si="48"/>
        <v>0</v>
      </c>
      <c r="G492" s="684"/>
      <c r="H492" s="667">
        <f t="shared" si="47"/>
        <v>0</v>
      </c>
      <c r="I492" s="675"/>
      <c r="J492" s="667">
        <f t="shared" si="44"/>
        <v>0</v>
      </c>
      <c r="K492" s="667"/>
      <c r="L492" s="667"/>
      <c r="M492" s="667" t="e">
        <f>G492+#REF!+#REF!+#REF!+I492+#REF!+#REF!+#REF!+#REF!+#REF!+#REF!+K492+#REF!+#REF!+#REF!</f>
        <v>#REF!</v>
      </c>
      <c r="N492" s="667" t="e">
        <f t="shared" si="45"/>
        <v>#REF!</v>
      </c>
      <c r="O492" s="665" t="e">
        <f>#REF!+M492</f>
        <v>#REF!</v>
      </c>
      <c r="P492" s="666" t="e">
        <f t="shared" si="46"/>
        <v>#REF!</v>
      </c>
      <c r="Q492" s="672"/>
      <c r="R492" s="668"/>
      <c r="S492" s="725"/>
      <c r="T492" s="725"/>
      <c r="U492" s="725"/>
      <c r="V492" s="725"/>
      <c r="W492" s="725"/>
      <c r="X492" s="725"/>
    </row>
    <row r="493" spans="1:24" ht="44.25" customHeight="1">
      <c r="A493" s="727">
        <v>4.0999999999999996</v>
      </c>
      <c r="B493" s="666">
        <f t="shared" si="43"/>
        <v>0</v>
      </c>
      <c r="C493" s="728" t="s">
        <v>547</v>
      </c>
      <c r="D493" s="729"/>
      <c r="E493" s="704"/>
      <c r="F493" s="663">
        <f t="shared" si="48"/>
        <v>0</v>
      </c>
      <c r="G493" s="667"/>
      <c r="H493" s="667">
        <f t="shared" si="47"/>
        <v>0</v>
      </c>
      <c r="I493" s="667"/>
      <c r="J493" s="667">
        <f t="shared" si="44"/>
        <v>0</v>
      </c>
      <c r="K493" s="667"/>
      <c r="L493" s="667"/>
      <c r="M493" s="667" t="e">
        <f>G493+#REF!+#REF!+#REF!+I493+#REF!+#REF!+#REF!+#REF!+#REF!+#REF!+K493+#REF!+#REF!+#REF!</f>
        <v>#REF!</v>
      </c>
      <c r="N493" s="667" t="e">
        <f t="shared" si="45"/>
        <v>#REF!</v>
      </c>
      <c r="O493" s="665" t="e">
        <f>#REF!+M493</f>
        <v>#REF!</v>
      </c>
      <c r="P493" s="666" t="e">
        <f t="shared" si="46"/>
        <v>#REF!</v>
      </c>
      <c r="Q493" s="668"/>
      <c r="R493" s="668"/>
      <c r="S493" s="678"/>
      <c r="U493" s="679"/>
    </row>
    <row r="494" spans="1:24" ht="50.25" customHeight="1">
      <c r="A494" s="727"/>
      <c r="B494" s="666">
        <f t="shared" si="43"/>
        <v>3.5964899999999997</v>
      </c>
      <c r="C494" s="663" t="s">
        <v>1433</v>
      </c>
      <c r="D494" s="729">
        <v>7676.3</v>
      </c>
      <c r="E494" s="663" t="s">
        <v>16</v>
      </c>
      <c r="F494" s="663">
        <f t="shared" si="48"/>
        <v>27607.736186999999</v>
      </c>
      <c r="G494" s="690">
        <f>'Septic Tank'!$G$44</f>
        <v>3.5964899999999997</v>
      </c>
      <c r="H494" s="667">
        <f t="shared" si="47"/>
        <v>27607.736186999999</v>
      </c>
      <c r="I494" s="667"/>
      <c r="J494" s="667">
        <f t="shared" si="44"/>
        <v>0</v>
      </c>
      <c r="K494" s="667"/>
      <c r="L494" s="667"/>
      <c r="M494" s="667" t="e">
        <f>G494+#REF!+#REF!+#REF!+I494+#REF!+#REF!+#REF!+#REF!+#REF!+#REF!+K494+#REF!+#REF!+#REF!</f>
        <v>#REF!</v>
      </c>
      <c r="N494" s="667" t="e">
        <f t="shared" si="45"/>
        <v>#REF!</v>
      </c>
      <c r="O494" s="665" t="e">
        <f>#REF!+M494</f>
        <v>#REF!</v>
      </c>
      <c r="P494" s="666" t="e">
        <f t="shared" si="46"/>
        <v>#REF!</v>
      </c>
      <c r="Q494" s="672"/>
      <c r="R494" s="668"/>
    </row>
    <row r="495" spans="1:24" ht="50.25" hidden="1" customHeight="1">
      <c r="A495" s="727">
        <v>8.1</v>
      </c>
      <c r="B495" s="666">
        <f t="shared" si="43"/>
        <v>0</v>
      </c>
      <c r="C495" s="663" t="s">
        <v>1630</v>
      </c>
      <c r="D495" s="729">
        <f>[14]Data!X720</f>
        <v>7610.82</v>
      </c>
      <c r="E495" s="663" t="s">
        <v>16</v>
      </c>
      <c r="F495" s="663">
        <f t="shared" si="48"/>
        <v>0</v>
      </c>
      <c r="G495" s="690"/>
      <c r="H495" s="667">
        <f t="shared" si="47"/>
        <v>0</v>
      </c>
      <c r="I495" s="667"/>
      <c r="J495" s="667">
        <f t="shared" si="44"/>
        <v>0</v>
      </c>
      <c r="K495" s="667"/>
      <c r="L495" s="667"/>
      <c r="M495" s="667" t="e">
        <f>G495+#REF!+#REF!+#REF!+I495+#REF!+#REF!+#REF!+#REF!+#REF!+#REF!+K495+#REF!+#REF!+#REF!</f>
        <v>#REF!</v>
      </c>
      <c r="N495" s="667" t="e">
        <f t="shared" si="45"/>
        <v>#REF!</v>
      </c>
      <c r="O495" s="665" t="e">
        <f>#REF!+M495</f>
        <v>#REF!</v>
      </c>
      <c r="P495" s="666" t="e">
        <f t="shared" si="46"/>
        <v>#REF!</v>
      </c>
      <c r="Q495" s="672"/>
      <c r="R495" s="668"/>
    </row>
    <row r="496" spans="1:24" ht="50.25" hidden="1" customHeight="1">
      <c r="A496" s="727"/>
      <c r="B496" s="666">
        <f t="shared" si="43"/>
        <v>0</v>
      </c>
      <c r="C496" s="663" t="s">
        <v>1435</v>
      </c>
      <c r="D496" s="729">
        <f>[14]Data!X721</f>
        <v>7814.32</v>
      </c>
      <c r="E496" s="663" t="s">
        <v>16</v>
      </c>
      <c r="F496" s="663">
        <f t="shared" si="48"/>
        <v>0</v>
      </c>
      <c r="G496" s="690"/>
      <c r="H496" s="667">
        <f t="shared" si="47"/>
        <v>0</v>
      </c>
      <c r="I496" s="667"/>
      <c r="J496" s="667">
        <f t="shared" si="44"/>
        <v>0</v>
      </c>
      <c r="K496" s="667"/>
      <c r="L496" s="667"/>
      <c r="M496" s="667" t="e">
        <f>G496+#REF!+#REF!+#REF!+I496+#REF!+#REF!+#REF!+#REF!+#REF!+#REF!+K496+#REF!+#REF!+#REF!</f>
        <v>#REF!</v>
      </c>
      <c r="N496" s="667" t="e">
        <f t="shared" si="45"/>
        <v>#REF!</v>
      </c>
      <c r="O496" s="665" t="e">
        <f>#REF!+M496</f>
        <v>#REF!</v>
      </c>
      <c r="P496" s="666" t="e">
        <f t="shared" si="46"/>
        <v>#REF!</v>
      </c>
      <c r="Q496" s="672"/>
      <c r="R496" s="668"/>
    </row>
    <row r="497" spans="1:20" ht="50.25" hidden="1" customHeight="1">
      <c r="A497" s="727"/>
      <c r="B497" s="666">
        <f t="shared" si="43"/>
        <v>0</v>
      </c>
      <c r="C497" s="663" t="s">
        <v>1436</v>
      </c>
      <c r="D497" s="729">
        <f>[14]Data!X722</f>
        <v>8017.82</v>
      </c>
      <c r="E497" s="663" t="s">
        <v>16</v>
      </c>
      <c r="F497" s="663">
        <f t="shared" si="48"/>
        <v>0</v>
      </c>
      <c r="G497" s="689"/>
      <c r="H497" s="667">
        <f t="shared" si="47"/>
        <v>0</v>
      </c>
      <c r="I497" s="667"/>
      <c r="J497" s="667">
        <f t="shared" si="44"/>
        <v>0</v>
      </c>
      <c r="K497" s="667"/>
      <c r="L497" s="667"/>
      <c r="M497" s="667" t="e">
        <f>G497+#REF!+#REF!+#REF!+I497+#REF!+#REF!+#REF!+#REF!+#REF!+#REF!+K497+#REF!+#REF!+#REF!</f>
        <v>#REF!</v>
      </c>
      <c r="N497" s="667" t="e">
        <f t="shared" si="45"/>
        <v>#REF!</v>
      </c>
      <c r="O497" s="665" t="e">
        <f>#REF!+M497</f>
        <v>#REF!</v>
      </c>
      <c r="P497" s="666" t="e">
        <f t="shared" si="46"/>
        <v>#REF!</v>
      </c>
      <c r="Q497" s="672"/>
      <c r="R497" s="668"/>
    </row>
    <row r="498" spans="1:20" ht="50.25" hidden="1" customHeight="1">
      <c r="A498" s="727"/>
      <c r="B498" s="666">
        <f t="shared" si="43"/>
        <v>0</v>
      </c>
      <c r="C498" s="663" t="s">
        <v>1461</v>
      </c>
      <c r="D498" s="729">
        <f>[14]Data!X723</f>
        <v>8221.32</v>
      </c>
      <c r="E498" s="663" t="s">
        <v>16</v>
      </c>
      <c r="F498" s="663">
        <f t="shared" si="48"/>
        <v>0</v>
      </c>
      <c r="G498" s="689"/>
      <c r="H498" s="667">
        <f t="shared" si="47"/>
        <v>0</v>
      </c>
      <c r="I498" s="667"/>
      <c r="J498" s="667">
        <f t="shared" si="44"/>
        <v>0</v>
      </c>
      <c r="K498" s="667"/>
      <c r="L498" s="667"/>
      <c r="M498" s="667" t="e">
        <f>G498+#REF!+#REF!+#REF!+I498+#REF!+#REF!+#REF!+#REF!+#REF!+#REF!+K498+#REF!+#REF!+#REF!</f>
        <v>#REF!</v>
      </c>
      <c r="N498" s="667" t="e">
        <f t="shared" si="45"/>
        <v>#REF!</v>
      </c>
      <c r="O498" s="665" t="e">
        <f>#REF!+M498</f>
        <v>#REF!</v>
      </c>
      <c r="P498" s="666" t="e">
        <f t="shared" si="46"/>
        <v>#REF!</v>
      </c>
      <c r="Q498" s="672"/>
      <c r="R498" s="668"/>
    </row>
    <row r="499" spans="1:20" ht="48.75" hidden="1" customHeight="1">
      <c r="A499" s="727"/>
      <c r="B499" s="666">
        <f t="shared" si="43"/>
        <v>0</v>
      </c>
      <c r="C499" s="704" t="s">
        <v>1631</v>
      </c>
      <c r="D499" s="729">
        <f>[14]Data!X724</f>
        <v>8424.82</v>
      </c>
      <c r="E499" s="663" t="s">
        <v>16</v>
      </c>
      <c r="F499" s="663">
        <f t="shared" si="48"/>
        <v>0</v>
      </c>
      <c r="G499" s="689"/>
      <c r="H499" s="667">
        <f t="shared" si="47"/>
        <v>0</v>
      </c>
      <c r="I499" s="667"/>
      <c r="J499" s="667">
        <f t="shared" si="44"/>
        <v>0</v>
      </c>
      <c r="K499" s="667"/>
      <c r="L499" s="667"/>
      <c r="M499" s="667" t="e">
        <f>G499+#REF!+#REF!+#REF!+I499+#REF!+#REF!+#REF!+#REF!+#REF!+#REF!+K499+#REF!+#REF!+#REF!</f>
        <v>#REF!</v>
      </c>
      <c r="N499" s="667" t="e">
        <f t="shared" si="45"/>
        <v>#REF!</v>
      </c>
      <c r="O499" s="665" t="e">
        <f>#REF!+M499</f>
        <v>#REF!</v>
      </c>
      <c r="P499" s="666" t="e">
        <f t="shared" si="46"/>
        <v>#REF!</v>
      </c>
      <c r="Q499" s="672"/>
      <c r="R499" s="668"/>
    </row>
    <row r="500" spans="1:20" s="677" customFormat="1" ht="38.25" hidden="1" customHeight="1">
      <c r="A500" s="730" t="s">
        <v>1632</v>
      </c>
      <c r="B500" s="666">
        <f t="shared" si="43"/>
        <v>0</v>
      </c>
      <c r="C500" s="731" t="s">
        <v>1633</v>
      </c>
      <c r="D500" s="675"/>
      <c r="E500" s="674"/>
      <c r="F500" s="663">
        <f t="shared" si="48"/>
        <v>0</v>
      </c>
      <c r="G500" s="675"/>
      <c r="H500" s="667">
        <f t="shared" si="47"/>
        <v>0</v>
      </c>
      <c r="I500" s="675"/>
      <c r="J500" s="667">
        <f t="shared" si="44"/>
        <v>0</v>
      </c>
      <c r="K500" s="667"/>
      <c r="L500" s="667"/>
      <c r="M500" s="667" t="e">
        <f>G500+#REF!+#REF!+#REF!+I500+#REF!+#REF!+#REF!+#REF!+#REF!+#REF!+K500+#REF!+#REF!+#REF!</f>
        <v>#REF!</v>
      </c>
      <c r="N500" s="667" t="e">
        <f t="shared" si="45"/>
        <v>#REF!</v>
      </c>
      <c r="O500" s="665" t="e">
        <f>#REF!+M500</f>
        <v>#REF!</v>
      </c>
      <c r="P500" s="666" t="e">
        <f t="shared" si="46"/>
        <v>#REF!</v>
      </c>
      <c r="Q500" s="672"/>
      <c r="R500" s="668"/>
      <c r="S500" s="676"/>
      <c r="T500" s="676"/>
    </row>
    <row r="501" spans="1:20" s="677" customFormat="1" ht="38.25" hidden="1" customHeight="1">
      <c r="A501" s="730"/>
      <c r="B501" s="666">
        <f t="shared" si="43"/>
        <v>0</v>
      </c>
      <c r="C501" s="708" t="s">
        <v>1433</v>
      </c>
      <c r="D501" s="675">
        <f>[14]Data!X688</f>
        <v>8044.93</v>
      </c>
      <c r="E501" s="674" t="s">
        <v>16</v>
      </c>
      <c r="F501" s="663">
        <f t="shared" si="48"/>
        <v>0</v>
      </c>
      <c r="G501" s="691"/>
      <c r="H501" s="667">
        <f t="shared" si="47"/>
        <v>0</v>
      </c>
      <c r="I501" s="675"/>
      <c r="J501" s="667">
        <f t="shared" si="44"/>
        <v>0</v>
      </c>
      <c r="K501" s="667"/>
      <c r="L501" s="667"/>
      <c r="M501" s="667" t="e">
        <f>G501+#REF!+#REF!+#REF!+I501+#REF!+#REF!+#REF!+#REF!+#REF!+#REF!+K501+#REF!+#REF!+#REF!</f>
        <v>#REF!</v>
      </c>
      <c r="N501" s="667" t="e">
        <f t="shared" si="45"/>
        <v>#REF!</v>
      </c>
      <c r="O501" s="665" t="e">
        <f>#REF!+M501</f>
        <v>#REF!</v>
      </c>
      <c r="P501" s="666" t="e">
        <f t="shared" si="46"/>
        <v>#REF!</v>
      </c>
      <c r="Q501" s="672"/>
      <c r="R501" s="668"/>
      <c r="S501" s="676"/>
      <c r="T501" s="676"/>
    </row>
    <row r="502" spans="1:20" s="677" customFormat="1" ht="38.25" hidden="1" customHeight="1">
      <c r="A502" s="730"/>
      <c r="B502" s="666">
        <f t="shared" si="43"/>
        <v>0</v>
      </c>
      <c r="C502" s="708" t="s">
        <v>1434</v>
      </c>
      <c r="D502" s="675">
        <f>[14]Data!X690</f>
        <v>8148.23</v>
      </c>
      <c r="E502" s="674" t="s">
        <v>16</v>
      </c>
      <c r="F502" s="663">
        <f t="shared" si="48"/>
        <v>0</v>
      </c>
      <c r="G502" s="691"/>
      <c r="H502" s="667">
        <f t="shared" si="47"/>
        <v>0</v>
      </c>
      <c r="I502" s="675"/>
      <c r="J502" s="667">
        <f t="shared" si="44"/>
        <v>0</v>
      </c>
      <c r="K502" s="667"/>
      <c r="L502" s="667"/>
      <c r="M502" s="667" t="e">
        <f>G502+#REF!+#REF!+#REF!+I502+#REF!+#REF!+#REF!+#REF!+#REF!+#REF!+K502+#REF!+#REF!+#REF!</f>
        <v>#REF!</v>
      </c>
      <c r="N502" s="667" t="e">
        <f t="shared" si="45"/>
        <v>#REF!</v>
      </c>
      <c r="O502" s="665" t="e">
        <f>#REF!+M502</f>
        <v>#REF!</v>
      </c>
      <c r="P502" s="666" t="e">
        <f t="shared" si="46"/>
        <v>#REF!</v>
      </c>
      <c r="Q502" s="672"/>
      <c r="R502" s="668"/>
      <c r="S502" s="676"/>
      <c r="T502" s="676"/>
    </row>
    <row r="503" spans="1:20" s="677" customFormat="1" ht="38.25" hidden="1" customHeight="1">
      <c r="A503" s="730"/>
      <c r="B503" s="666">
        <f t="shared" si="43"/>
        <v>0</v>
      </c>
      <c r="C503" s="708" t="s">
        <v>1435</v>
      </c>
      <c r="D503" s="675">
        <f>[14]Data!X691</f>
        <v>8351.73</v>
      </c>
      <c r="E503" s="674" t="s">
        <v>16</v>
      </c>
      <c r="F503" s="663">
        <f t="shared" si="48"/>
        <v>0</v>
      </c>
      <c r="G503" s="691"/>
      <c r="H503" s="667">
        <f t="shared" si="47"/>
        <v>0</v>
      </c>
      <c r="I503" s="675"/>
      <c r="J503" s="667">
        <f t="shared" si="44"/>
        <v>0</v>
      </c>
      <c r="K503" s="667"/>
      <c r="L503" s="667"/>
      <c r="M503" s="667" t="e">
        <f>G503+#REF!+#REF!+#REF!+I503+#REF!+#REF!+#REF!+#REF!+#REF!+#REF!+K503+#REF!+#REF!+#REF!</f>
        <v>#REF!</v>
      </c>
      <c r="N503" s="667" t="e">
        <f t="shared" si="45"/>
        <v>#REF!</v>
      </c>
      <c r="O503" s="665" t="e">
        <f>#REF!+M503</f>
        <v>#REF!</v>
      </c>
      <c r="P503" s="666" t="e">
        <f t="shared" si="46"/>
        <v>#REF!</v>
      </c>
      <c r="Q503" s="672"/>
      <c r="R503" s="668"/>
      <c r="S503" s="676"/>
      <c r="T503" s="676"/>
    </row>
    <row r="504" spans="1:20" s="677" customFormat="1" ht="50.25" hidden="1" customHeight="1">
      <c r="A504" s="732"/>
      <c r="B504" s="666">
        <f t="shared" si="43"/>
        <v>0</v>
      </c>
      <c r="C504" s="708" t="s">
        <v>1436</v>
      </c>
      <c r="D504" s="733">
        <f>[14]Data!X692</f>
        <v>8555.23</v>
      </c>
      <c r="E504" s="674" t="s">
        <v>16</v>
      </c>
      <c r="F504" s="663">
        <f t="shared" si="48"/>
        <v>0</v>
      </c>
      <c r="G504" s="675"/>
      <c r="H504" s="667">
        <f t="shared" si="47"/>
        <v>0</v>
      </c>
      <c r="I504" s="675"/>
      <c r="J504" s="667">
        <f t="shared" si="44"/>
        <v>0</v>
      </c>
      <c r="K504" s="667"/>
      <c r="L504" s="667"/>
      <c r="M504" s="667" t="e">
        <f>G504+#REF!+#REF!+#REF!+I504+#REF!+#REF!+#REF!+#REF!+#REF!+#REF!+K504+#REF!+#REF!+#REF!</f>
        <v>#REF!</v>
      </c>
      <c r="N504" s="667" t="e">
        <f t="shared" si="45"/>
        <v>#REF!</v>
      </c>
      <c r="O504" s="665" t="e">
        <f>#REF!+M504</f>
        <v>#REF!</v>
      </c>
      <c r="P504" s="666" t="e">
        <f t="shared" si="46"/>
        <v>#REF!</v>
      </c>
      <c r="Q504" s="672"/>
      <c r="R504" s="668"/>
      <c r="S504" s="676"/>
      <c r="T504" s="676"/>
    </row>
    <row r="505" spans="1:20" s="677" customFormat="1" ht="50.25" hidden="1" customHeight="1">
      <c r="A505" s="732"/>
      <c r="B505" s="666">
        <f t="shared" si="43"/>
        <v>0</v>
      </c>
      <c r="C505" s="708" t="s">
        <v>1461</v>
      </c>
      <c r="D505" s="733">
        <f>[14]Data!X693</f>
        <v>8758.73</v>
      </c>
      <c r="E505" s="674" t="s">
        <v>16</v>
      </c>
      <c r="F505" s="663">
        <f t="shared" si="48"/>
        <v>0</v>
      </c>
      <c r="G505" s="675"/>
      <c r="H505" s="667">
        <f t="shared" si="47"/>
        <v>0</v>
      </c>
      <c r="I505" s="675"/>
      <c r="J505" s="667">
        <f t="shared" si="44"/>
        <v>0</v>
      </c>
      <c r="K505" s="667"/>
      <c r="L505" s="667"/>
      <c r="M505" s="667" t="e">
        <f>G505+#REF!+#REF!+#REF!+I505+#REF!+#REF!+#REF!+#REF!+#REF!+#REF!+K505+#REF!+#REF!+#REF!</f>
        <v>#REF!</v>
      </c>
      <c r="N505" s="667" t="e">
        <f t="shared" si="45"/>
        <v>#REF!</v>
      </c>
      <c r="O505" s="665" t="e">
        <f>#REF!+M505</f>
        <v>#REF!</v>
      </c>
      <c r="P505" s="666" t="e">
        <f t="shared" si="46"/>
        <v>#REF!</v>
      </c>
      <c r="Q505" s="672"/>
      <c r="R505" s="668"/>
      <c r="S505" s="676"/>
      <c r="T505" s="676"/>
    </row>
    <row r="506" spans="1:20" s="677" customFormat="1" ht="60" hidden="1" customHeight="1">
      <c r="A506" s="662"/>
      <c r="B506" s="666">
        <f t="shared" si="43"/>
        <v>0</v>
      </c>
      <c r="C506" s="734" t="s">
        <v>1634</v>
      </c>
      <c r="D506" s="675"/>
      <c r="E506" s="674"/>
      <c r="F506" s="663">
        <f t="shared" si="48"/>
        <v>0</v>
      </c>
      <c r="G506" s="684"/>
      <c r="H506" s="667">
        <f t="shared" si="47"/>
        <v>0</v>
      </c>
      <c r="I506" s="675"/>
      <c r="J506" s="667">
        <f t="shared" si="44"/>
        <v>0</v>
      </c>
      <c r="K506" s="667"/>
      <c r="L506" s="667"/>
      <c r="M506" s="667" t="e">
        <f>G506+#REF!+#REF!+#REF!+I506+#REF!+#REF!+#REF!+#REF!+#REF!+#REF!+K506+#REF!+#REF!+#REF!</f>
        <v>#REF!</v>
      </c>
      <c r="N506" s="667" t="e">
        <f t="shared" si="45"/>
        <v>#REF!</v>
      </c>
      <c r="O506" s="665" t="e">
        <f>#REF!+M506</f>
        <v>#REF!</v>
      </c>
      <c r="P506" s="666" t="e">
        <f t="shared" si="46"/>
        <v>#REF!</v>
      </c>
      <c r="Q506" s="672"/>
      <c r="R506" s="668"/>
      <c r="S506" s="676"/>
      <c r="T506" s="676"/>
    </row>
    <row r="507" spans="1:20" s="677" customFormat="1" ht="51" hidden="1" customHeight="1">
      <c r="A507" s="662"/>
      <c r="B507" s="666">
        <f t="shared" si="43"/>
        <v>0</v>
      </c>
      <c r="C507" s="735" t="s">
        <v>1635</v>
      </c>
      <c r="D507" s="675">
        <f>[14]Data!R1183</f>
        <v>7897.4</v>
      </c>
      <c r="E507" s="674" t="s">
        <v>16</v>
      </c>
      <c r="F507" s="663">
        <f t="shared" si="48"/>
        <v>0</v>
      </c>
      <c r="G507" s="684"/>
      <c r="H507" s="667">
        <f t="shared" si="47"/>
        <v>0</v>
      </c>
      <c r="I507" s="675"/>
      <c r="J507" s="667">
        <f t="shared" si="44"/>
        <v>0</v>
      </c>
      <c r="K507" s="667"/>
      <c r="L507" s="667"/>
      <c r="M507" s="667" t="e">
        <f>G507+#REF!+#REF!+#REF!+I507+#REF!+#REF!+#REF!+#REF!+#REF!+#REF!+K507+#REF!+#REF!+#REF!</f>
        <v>#REF!</v>
      </c>
      <c r="N507" s="667" t="e">
        <f t="shared" si="45"/>
        <v>#REF!</v>
      </c>
      <c r="O507" s="665" t="e">
        <f>#REF!+M507</f>
        <v>#REF!</v>
      </c>
      <c r="P507" s="666" t="e">
        <f t="shared" si="46"/>
        <v>#REF!</v>
      </c>
      <c r="Q507" s="672"/>
      <c r="R507" s="668"/>
      <c r="S507" s="676"/>
      <c r="T507" s="676"/>
    </row>
    <row r="508" spans="1:20" s="677" customFormat="1" ht="33" hidden="1" customHeight="1">
      <c r="A508" s="662"/>
      <c r="B508" s="666">
        <f t="shared" si="43"/>
        <v>0</v>
      </c>
      <c r="C508" s="735" t="s">
        <v>1636</v>
      </c>
      <c r="D508" s="675">
        <f>[14]Data!R1184</f>
        <v>8000.7</v>
      </c>
      <c r="E508" s="674" t="s">
        <v>16</v>
      </c>
      <c r="F508" s="663">
        <f t="shared" si="48"/>
        <v>0</v>
      </c>
      <c r="G508" s="684"/>
      <c r="H508" s="667">
        <f t="shared" si="47"/>
        <v>0</v>
      </c>
      <c r="I508" s="675"/>
      <c r="J508" s="667">
        <f t="shared" si="44"/>
        <v>0</v>
      </c>
      <c r="K508" s="667"/>
      <c r="L508" s="667"/>
      <c r="M508" s="667" t="e">
        <f>G508+#REF!+#REF!+#REF!+I508+#REF!+#REF!+#REF!+#REF!+#REF!+#REF!+K508+#REF!+#REF!+#REF!</f>
        <v>#REF!</v>
      </c>
      <c r="N508" s="667" t="e">
        <f t="shared" si="45"/>
        <v>#REF!</v>
      </c>
      <c r="O508" s="665" t="e">
        <f>#REF!+M508</f>
        <v>#REF!</v>
      </c>
      <c r="P508" s="666" t="e">
        <f t="shared" si="46"/>
        <v>#REF!</v>
      </c>
      <c r="Q508" s="672"/>
      <c r="R508" s="668"/>
      <c r="S508" s="676"/>
      <c r="T508" s="676"/>
    </row>
    <row r="509" spans="1:20" s="677" customFormat="1" ht="58.5" hidden="1" customHeight="1">
      <c r="A509" s="662"/>
      <c r="B509" s="666">
        <f t="shared" si="43"/>
        <v>0</v>
      </c>
      <c r="C509" s="685" t="s">
        <v>1637</v>
      </c>
      <c r="D509" s="675"/>
      <c r="E509" s="674"/>
      <c r="F509" s="663">
        <f t="shared" si="48"/>
        <v>0</v>
      </c>
      <c r="G509" s="684"/>
      <c r="H509" s="667">
        <f t="shared" si="47"/>
        <v>0</v>
      </c>
      <c r="I509" s="675"/>
      <c r="J509" s="667">
        <f t="shared" si="44"/>
        <v>0</v>
      </c>
      <c r="K509" s="667"/>
      <c r="L509" s="667"/>
      <c r="M509" s="667" t="e">
        <f>G509+#REF!+#REF!+#REF!+I509+#REF!+#REF!+#REF!+#REF!+#REF!+#REF!+K509+#REF!+#REF!+#REF!</f>
        <v>#REF!</v>
      </c>
      <c r="N509" s="667" t="e">
        <f t="shared" si="45"/>
        <v>#REF!</v>
      </c>
      <c r="O509" s="665" t="e">
        <f>#REF!+M509</f>
        <v>#REF!</v>
      </c>
      <c r="P509" s="666" t="e">
        <f t="shared" si="46"/>
        <v>#REF!</v>
      </c>
      <c r="Q509" s="672"/>
      <c r="R509" s="668"/>
      <c r="S509" s="676"/>
      <c r="T509" s="676"/>
    </row>
    <row r="510" spans="1:20" s="677" customFormat="1" ht="45.75" hidden="1" customHeight="1">
      <c r="A510" s="662"/>
      <c r="B510" s="666">
        <f t="shared" si="43"/>
        <v>0</v>
      </c>
      <c r="C510" s="663" t="s">
        <v>1433</v>
      </c>
      <c r="D510" s="675">
        <f>[14]Data!R1156</f>
        <v>7823.57</v>
      </c>
      <c r="E510" s="674" t="s">
        <v>235</v>
      </c>
      <c r="F510" s="663">
        <f t="shared" si="48"/>
        <v>0</v>
      </c>
      <c r="G510" s="684"/>
      <c r="H510" s="667">
        <f t="shared" si="47"/>
        <v>0</v>
      </c>
      <c r="I510" s="675"/>
      <c r="J510" s="667">
        <f t="shared" si="44"/>
        <v>0</v>
      </c>
      <c r="K510" s="667"/>
      <c r="L510" s="667"/>
      <c r="M510" s="667" t="e">
        <f>G510+#REF!+#REF!+#REF!+I510+#REF!+#REF!+#REF!+#REF!+#REF!+#REF!+K510+#REF!+#REF!+#REF!</f>
        <v>#REF!</v>
      </c>
      <c r="N510" s="667" t="e">
        <f t="shared" si="45"/>
        <v>#REF!</v>
      </c>
      <c r="O510" s="665" t="e">
        <f>#REF!+M510</f>
        <v>#REF!</v>
      </c>
      <c r="P510" s="666" t="e">
        <f t="shared" si="46"/>
        <v>#REF!</v>
      </c>
      <c r="Q510" s="672"/>
      <c r="R510" s="668"/>
      <c r="S510" s="676"/>
      <c r="T510" s="676"/>
    </row>
    <row r="511" spans="1:20" s="677" customFormat="1" ht="45.75" hidden="1" customHeight="1">
      <c r="A511" s="662"/>
      <c r="B511" s="666">
        <f t="shared" si="43"/>
        <v>0</v>
      </c>
      <c r="C511" s="663" t="s">
        <v>1638</v>
      </c>
      <c r="D511" s="675">
        <f>[14]Data!R1158</f>
        <v>7926.87</v>
      </c>
      <c r="E511" s="674" t="s">
        <v>235</v>
      </c>
      <c r="F511" s="663">
        <f t="shared" si="48"/>
        <v>0</v>
      </c>
      <c r="G511" s="684"/>
      <c r="H511" s="667">
        <f t="shared" si="47"/>
        <v>0</v>
      </c>
      <c r="I511" s="675"/>
      <c r="J511" s="667">
        <f t="shared" si="44"/>
        <v>0</v>
      </c>
      <c r="K511" s="667"/>
      <c r="L511" s="667"/>
      <c r="M511" s="667" t="e">
        <f>G511+#REF!+#REF!+#REF!+I511+#REF!+#REF!+#REF!+#REF!+#REF!+#REF!+K511+#REF!+#REF!+#REF!</f>
        <v>#REF!</v>
      </c>
      <c r="N511" s="667" t="e">
        <f t="shared" si="45"/>
        <v>#REF!</v>
      </c>
      <c r="O511" s="665" t="e">
        <f>#REF!+M511</f>
        <v>#REF!</v>
      </c>
      <c r="P511" s="666" t="e">
        <f t="shared" si="46"/>
        <v>#REF!</v>
      </c>
      <c r="Q511" s="672"/>
      <c r="R511" s="668"/>
      <c r="S511" s="676"/>
      <c r="T511" s="676"/>
    </row>
    <row r="512" spans="1:20" s="677" customFormat="1" ht="45.75" hidden="1" customHeight="1">
      <c r="A512" s="662"/>
      <c r="B512" s="666">
        <f t="shared" si="43"/>
        <v>0</v>
      </c>
      <c r="C512" s="663" t="s">
        <v>1435</v>
      </c>
      <c r="D512" s="675">
        <f>[14]Data!R1159</f>
        <v>8130.37</v>
      </c>
      <c r="E512" s="674" t="s">
        <v>235</v>
      </c>
      <c r="F512" s="663">
        <f t="shared" si="48"/>
        <v>0</v>
      </c>
      <c r="G512" s="684"/>
      <c r="H512" s="667">
        <f t="shared" si="47"/>
        <v>0</v>
      </c>
      <c r="I512" s="675"/>
      <c r="J512" s="667">
        <f t="shared" si="44"/>
        <v>0</v>
      </c>
      <c r="K512" s="667"/>
      <c r="L512" s="667"/>
      <c r="M512" s="667" t="e">
        <f>G512+#REF!+#REF!+#REF!+I512+#REF!+#REF!+#REF!+#REF!+#REF!+#REF!+K512+#REF!+#REF!+#REF!</f>
        <v>#REF!</v>
      </c>
      <c r="N512" s="667" t="e">
        <f t="shared" si="45"/>
        <v>#REF!</v>
      </c>
      <c r="O512" s="665" t="e">
        <f>#REF!+M512</f>
        <v>#REF!</v>
      </c>
      <c r="P512" s="666" t="e">
        <f t="shared" si="46"/>
        <v>#REF!</v>
      </c>
      <c r="Q512" s="672"/>
      <c r="R512" s="668"/>
      <c r="S512" s="676"/>
      <c r="T512" s="676"/>
    </row>
    <row r="513" spans="1:20" s="677" customFormat="1" ht="45.75" hidden="1" customHeight="1">
      <c r="A513" s="662"/>
      <c r="B513" s="666">
        <f t="shared" si="43"/>
        <v>0</v>
      </c>
      <c r="C513" s="663" t="s">
        <v>1436</v>
      </c>
      <c r="D513" s="675">
        <f>[14]Data!R1160</f>
        <v>8333.8700000000008</v>
      </c>
      <c r="E513" s="674" t="s">
        <v>235</v>
      </c>
      <c r="F513" s="663">
        <f t="shared" si="48"/>
        <v>0</v>
      </c>
      <c r="G513" s="684"/>
      <c r="H513" s="667">
        <f t="shared" si="47"/>
        <v>0</v>
      </c>
      <c r="I513" s="675"/>
      <c r="J513" s="667">
        <f t="shared" si="44"/>
        <v>0</v>
      </c>
      <c r="K513" s="667"/>
      <c r="L513" s="667"/>
      <c r="M513" s="667" t="e">
        <f>G513+#REF!+#REF!+#REF!+I513+#REF!+#REF!+#REF!+#REF!+#REF!+#REF!+K513+#REF!+#REF!+#REF!</f>
        <v>#REF!</v>
      </c>
      <c r="N513" s="667" t="e">
        <f t="shared" si="45"/>
        <v>#REF!</v>
      </c>
      <c r="O513" s="665" t="e">
        <f>#REF!+M513</f>
        <v>#REF!</v>
      </c>
      <c r="P513" s="666" t="e">
        <f t="shared" si="46"/>
        <v>#REF!</v>
      </c>
      <c r="Q513" s="672"/>
      <c r="R513" s="668"/>
      <c r="S513" s="676"/>
      <c r="T513" s="676"/>
    </row>
    <row r="514" spans="1:20" s="677" customFormat="1" ht="45.75" hidden="1" customHeight="1">
      <c r="A514" s="662"/>
      <c r="B514" s="666">
        <f t="shared" si="43"/>
        <v>0</v>
      </c>
      <c r="C514" s="663" t="s">
        <v>1461</v>
      </c>
      <c r="D514" s="675">
        <f>[14]Data!R1161</f>
        <v>8537.3700000000008</v>
      </c>
      <c r="E514" s="674" t="s">
        <v>235</v>
      </c>
      <c r="F514" s="663">
        <f t="shared" si="48"/>
        <v>0</v>
      </c>
      <c r="G514" s="684"/>
      <c r="H514" s="667">
        <f t="shared" si="47"/>
        <v>0</v>
      </c>
      <c r="I514" s="675"/>
      <c r="J514" s="667">
        <f t="shared" si="44"/>
        <v>0</v>
      </c>
      <c r="K514" s="667"/>
      <c r="L514" s="667"/>
      <c r="M514" s="667" t="e">
        <f>G514+#REF!+#REF!+#REF!+I514+#REF!+#REF!+#REF!+#REF!+#REF!+#REF!+K514+#REF!+#REF!+#REF!</f>
        <v>#REF!</v>
      </c>
      <c r="N514" s="667" t="e">
        <f t="shared" si="45"/>
        <v>#REF!</v>
      </c>
      <c r="O514" s="665" t="e">
        <f>#REF!+M514</f>
        <v>#REF!</v>
      </c>
      <c r="P514" s="666" t="e">
        <f t="shared" si="46"/>
        <v>#REF!</v>
      </c>
      <c r="Q514" s="672"/>
      <c r="R514" s="668"/>
      <c r="S514" s="676"/>
      <c r="T514" s="676"/>
    </row>
    <row r="515" spans="1:20" s="677" customFormat="1" ht="45.75" hidden="1" customHeight="1">
      <c r="A515" s="662"/>
      <c r="B515" s="666">
        <f t="shared" ref="B515:B578" si="49">G515</f>
        <v>0</v>
      </c>
      <c r="C515" s="663" t="s">
        <v>1438</v>
      </c>
      <c r="D515" s="675">
        <f>[14]Data!R1162</f>
        <v>8740.8700000000008</v>
      </c>
      <c r="E515" s="674" t="s">
        <v>235</v>
      </c>
      <c r="F515" s="663">
        <f t="shared" si="48"/>
        <v>0</v>
      </c>
      <c r="G515" s="684"/>
      <c r="H515" s="667">
        <f t="shared" si="47"/>
        <v>0</v>
      </c>
      <c r="I515" s="675"/>
      <c r="J515" s="667">
        <f t="shared" si="44"/>
        <v>0</v>
      </c>
      <c r="K515" s="667"/>
      <c r="L515" s="667"/>
      <c r="M515" s="667" t="e">
        <f>G515+#REF!+#REF!+#REF!+I515+#REF!+#REF!+#REF!+#REF!+#REF!+#REF!+K515+#REF!+#REF!+#REF!</f>
        <v>#REF!</v>
      </c>
      <c r="N515" s="667" t="e">
        <f t="shared" si="45"/>
        <v>#REF!</v>
      </c>
      <c r="O515" s="665" t="e">
        <f>#REF!+M515</f>
        <v>#REF!</v>
      </c>
      <c r="P515" s="666" t="e">
        <f t="shared" si="46"/>
        <v>#REF!</v>
      </c>
      <c r="Q515" s="672"/>
      <c r="R515" s="668"/>
      <c r="S515" s="676"/>
      <c r="T515" s="676"/>
    </row>
    <row r="516" spans="1:20" s="677" customFormat="1" ht="45.75" hidden="1" customHeight="1">
      <c r="A516" s="662"/>
      <c r="B516" s="666">
        <f t="shared" si="49"/>
        <v>0</v>
      </c>
      <c r="C516" s="663" t="s">
        <v>1639</v>
      </c>
      <c r="D516" s="675">
        <f>[14]Data!R1163</f>
        <v>8944.3700000000008</v>
      </c>
      <c r="E516" s="674" t="s">
        <v>235</v>
      </c>
      <c r="F516" s="663">
        <f t="shared" si="48"/>
        <v>0</v>
      </c>
      <c r="G516" s="684"/>
      <c r="H516" s="667">
        <f t="shared" si="47"/>
        <v>0</v>
      </c>
      <c r="I516" s="675"/>
      <c r="J516" s="667">
        <f t="shared" si="44"/>
        <v>0</v>
      </c>
      <c r="K516" s="667"/>
      <c r="L516" s="667"/>
      <c r="M516" s="667" t="e">
        <f>G516+#REF!+#REF!+#REF!+I516+#REF!+#REF!+#REF!+#REF!+#REF!+#REF!+K516+#REF!+#REF!+#REF!</f>
        <v>#REF!</v>
      </c>
      <c r="N516" s="667" t="e">
        <f t="shared" si="45"/>
        <v>#REF!</v>
      </c>
      <c r="O516" s="665" t="e">
        <f>#REF!+M516</f>
        <v>#REF!</v>
      </c>
      <c r="P516" s="666" t="e">
        <f t="shared" si="46"/>
        <v>#REF!</v>
      </c>
      <c r="Q516" s="672"/>
      <c r="R516" s="668"/>
      <c r="S516" s="676"/>
      <c r="T516" s="676"/>
    </row>
    <row r="517" spans="1:20" s="677" customFormat="1" ht="45.75" hidden="1" customHeight="1">
      <c r="A517" s="662"/>
      <c r="B517" s="666">
        <f t="shared" si="49"/>
        <v>0</v>
      </c>
      <c r="C517" s="663" t="s">
        <v>1640</v>
      </c>
      <c r="D517" s="675">
        <f>[14]Data!R1164</f>
        <v>9147.8700000000008</v>
      </c>
      <c r="E517" s="674" t="s">
        <v>235</v>
      </c>
      <c r="F517" s="663">
        <f t="shared" si="48"/>
        <v>0</v>
      </c>
      <c r="G517" s="684"/>
      <c r="H517" s="667">
        <f t="shared" si="47"/>
        <v>0</v>
      </c>
      <c r="I517" s="675"/>
      <c r="J517" s="667">
        <f t="shared" ref="J517:J580" si="50">I517*D517</f>
        <v>0</v>
      </c>
      <c r="K517" s="667"/>
      <c r="L517" s="667"/>
      <c r="M517" s="667" t="e">
        <f>G517+#REF!+#REF!+#REF!+I517+#REF!+#REF!+#REF!+#REF!+#REF!+#REF!+K517+#REF!+#REF!+#REF!</f>
        <v>#REF!</v>
      </c>
      <c r="N517" s="667" t="e">
        <f t="shared" ref="N517:N580" si="51">M517*D517</f>
        <v>#REF!</v>
      </c>
      <c r="O517" s="665" t="e">
        <f>#REF!+M517</f>
        <v>#REF!</v>
      </c>
      <c r="P517" s="666" t="e">
        <f t="shared" ref="P517:P580" si="52">O517*D517</f>
        <v>#REF!</v>
      </c>
      <c r="Q517" s="672"/>
      <c r="R517" s="668"/>
      <c r="S517" s="676"/>
      <c r="T517" s="676"/>
    </row>
    <row r="518" spans="1:20" s="677" customFormat="1" ht="45.75" hidden="1" customHeight="1">
      <c r="A518" s="662"/>
      <c r="B518" s="666">
        <f t="shared" si="49"/>
        <v>0</v>
      </c>
      <c r="C518" s="663" t="s">
        <v>1641</v>
      </c>
      <c r="D518" s="675">
        <f>[14]Data!R1165</f>
        <v>9351.3700000000008</v>
      </c>
      <c r="E518" s="674" t="s">
        <v>235</v>
      </c>
      <c r="F518" s="663">
        <f t="shared" si="48"/>
        <v>0</v>
      </c>
      <c r="G518" s="684"/>
      <c r="H518" s="667">
        <f t="shared" si="47"/>
        <v>0</v>
      </c>
      <c r="I518" s="675"/>
      <c r="J518" s="667">
        <f t="shared" si="50"/>
        <v>0</v>
      </c>
      <c r="K518" s="667"/>
      <c r="L518" s="667"/>
      <c r="M518" s="667" t="e">
        <f>G518+#REF!+#REF!+#REF!+I518+#REF!+#REF!+#REF!+#REF!+#REF!+#REF!+K518+#REF!+#REF!+#REF!</f>
        <v>#REF!</v>
      </c>
      <c r="N518" s="667" t="e">
        <f t="shared" si="51"/>
        <v>#REF!</v>
      </c>
      <c r="O518" s="665" t="e">
        <f>#REF!+M518</f>
        <v>#REF!</v>
      </c>
      <c r="P518" s="666" t="e">
        <f t="shared" si="52"/>
        <v>#REF!</v>
      </c>
      <c r="Q518" s="672"/>
      <c r="R518" s="668"/>
      <c r="S518" s="676"/>
      <c r="T518" s="676"/>
    </row>
    <row r="519" spans="1:20" s="677" customFormat="1" ht="45.75" hidden="1" customHeight="1">
      <c r="A519" s="662"/>
      <c r="B519" s="666">
        <f t="shared" si="49"/>
        <v>0</v>
      </c>
      <c r="C519" s="735" t="s">
        <v>1642</v>
      </c>
      <c r="D519" s="675">
        <f>[14]Data!R1166</f>
        <v>9554.8700000000008</v>
      </c>
      <c r="E519" s="674" t="s">
        <v>235</v>
      </c>
      <c r="F519" s="663">
        <f t="shared" si="48"/>
        <v>0</v>
      </c>
      <c r="G519" s="684"/>
      <c r="H519" s="667">
        <f t="shared" si="47"/>
        <v>0</v>
      </c>
      <c r="I519" s="675"/>
      <c r="J519" s="667">
        <f t="shared" si="50"/>
        <v>0</v>
      </c>
      <c r="K519" s="667"/>
      <c r="L519" s="667"/>
      <c r="M519" s="667" t="e">
        <f>G519+#REF!+#REF!+#REF!+I519+#REF!+#REF!+#REF!+#REF!+#REF!+#REF!+K519+#REF!+#REF!+#REF!</f>
        <v>#REF!</v>
      </c>
      <c r="N519" s="667" t="e">
        <f t="shared" si="51"/>
        <v>#REF!</v>
      </c>
      <c r="O519" s="665" t="e">
        <f>#REF!+M519</f>
        <v>#REF!</v>
      </c>
      <c r="P519" s="666" t="e">
        <f t="shared" si="52"/>
        <v>#REF!</v>
      </c>
      <c r="Q519" s="672"/>
      <c r="R519" s="668"/>
      <c r="S519" s="676"/>
      <c r="T519" s="676"/>
    </row>
    <row r="520" spans="1:20" s="677" customFormat="1" ht="45.75" hidden="1" customHeight="1">
      <c r="A520" s="662"/>
      <c r="B520" s="666">
        <f t="shared" si="49"/>
        <v>0</v>
      </c>
      <c r="C520" s="735" t="s">
        <v>1643</v>
      </c>
      <c r="D520" s="675">
        <f>[14]Data!R1167</f>
        <v>9758.3700000000008</v>
      </c>
      <c r="E520" s="674" t="s">
        <v>235</v>
      </c>
      <c r="F520" s="663">
        <f t="shared" si="48"/>
        <v>0</v>
      </c>
      <c r="G520" s="684"/>
      <c r="H520" s="667">
        <f t="shared" si="47"/>
        <v>0</v>
      </c>
      <c r="I520" s="675"/>
      <c r="J520" s="667">
        <f t="shared" si="50"/>
        <v>0</v>
      </c>
      <c r="K520" s="667"/>
      <c r="L520" s="667"/>
      <c r="M520" s="667" t="e">
        <f>G520+#REF!+#REF!+#REF!+I520+#REF!+#REF!+#REF!+#REF!+#REF!+#REF!+K520+#REF!+#REF!+#REF!</f>
        <v>#REF!</v>
      </c>
      <c r="N520" s="667" t="e">
        <f t="shared" si="51"/>
        <v>#REF!</v>
      </c>
      <c r="O520" s="665" t="e">
        <f>#REF!+M520</f>
        <v>#REF!</v>
      </c>
      <c r="P520" s="666" t="e">
        <f t="shared" si="52"/>
        <v>#REF!</v>
      </c>
      <c r="Q520" s="672"/>
      <c r="R520" s="668"/>
      <c r="S520" s="676"/>
      <c r="T520" s="676"/>
    </row>
    <row r="521" spans="1:20" s="677" customFormat="1" ht="45.75" hidden="1" customHeight="1">
      <c r="A521" s="662"/>
      <c r="B521" s="666">
        <f t="shared" si="49"/>
        <v>0</v>
      </c>
      <c r="C521" s="735" t="s">
        <v>1644</v>
      </c>
      <c r="D521" s="675">
        <f>[14]Data!R1168</f>
        <v>9961.8700000000008</v>
      </c>
      <c r="E521" s="674" t="s">
        <v>235</v>
      </c>
      <c r="F521" s="663">
        <f t="shared" si="48"/>
        <v>0</v>
      </c>
      <c r="G521" s="684"/>
      <c r="H521" s="667">
        <f t="shared" si="47"/>
        <v>0</v>
      </c>
      <c r="I521" s="675"/>
      <c r="J521" s="667">
        <f t="shared" si="50"/>
        <v>0</v>
      </c>
      <c r="K521" s="667"/>
      <c r="L521" s="667"/>
      <c r="M521" s="667" t="e">
        <f>G521+#REF!+#REF!+#REF!+I521+#REF!+#REF!+#REF!+#REF!+#REF!+#REF!+K521+#REF!+#REF!+#REF!</f>
        <v>#REF!</v>
      </c>
      <c r="N521" s="667" t="e">
        <f t="shared" si="51"/>
        <v>#REF!</v>
      </c>
      <c r="O521" s="665" t="e">
        <f>#REF!+M521</f>
        <v>#REF!</v>
      </c>
      <c r="P521" s="666" t="e">
        <f t="shared" si="52"/>
        <v>#REF!</v>
      </c>
      <c r="Q521" s="672"/>
      <c r="R521" s="668"/>
      <c r="S521" s="676"/>
      <c r="T521" s="676"/>
    </row>
    <row r="522" spans="1:20" s="677" customFormat="1" ht="45.75" hidden="1" customHeight="1">
      <c r="A522" s="662"/>
      <c r="B522" s="666">
        <f t="shared" si="49"/>
        <v>0</v>
      </c>
      <c r="C522" s="663" t="s">
        <v>1417</v>
      </c>
      <c r="D522" s="675">
        <f>[14]Data!R1169</f>
        <v>10165.370000000001</v>
      </c>
      <c r="E522" s="674" t="s">
        <v>235</v>
      </c>
      <c r="F522" s="663">
        <f t="shared" si="48"/>
        <v>0</v>
      </c>
      <c r="G522" s="684"/>
      <c r="H522" s="667">
        <f t="shared" si="47"/>
        <v>0</v>
      </c>
      <c r="I522" s="675"/>
      <c r="J522" s="667">
        <f t="shared" si="50"/>
        <v>0</v>
      </c>
      <c r="K522" s="667"/>
      <c r="L522" s="667"/>
      <c r="M522" s="667" t="e">
        <f>G522+#REF!+#REF!+#REF!+I522+#REF!+#REF!+#REF!+#REF!+#REF!+#REF!+K522+#REF!+#REF!+#REF!</f>
        <v>#REF!</v>
      </c>
      <c r="N522" s="667" t="e">
        <f t="shared" si="51"/>
        <v>#REF!</v>
      </c>
      <c r="O522" s="665" t="e">
        <f>#REF!+M522</f>
        <v>#REF!</v>
      </c>
      <c r="P522" s="666" t="e">
        <f t="shared" si="52"/>
        <v>#REF!</v>
      </c>
      <c r="Q522" s="672"/>
      <c r="R522" s="668"/>
      <c r="S522" s="676"/>
      <c r="T522" s="676"/>
    </row>
    <row r="523" spans="1:20" s="677" customFormat="1" ht="45.75" hidden="1" customHeight="1">
      <c r="A523" s="662"/>
      <c r="B523" s="666">
        <f t="shared" si="49"/>
        <v>0</v>
      </c>
      <c r="C523" s="663" t="s">
        <v>1418</v>
      </c>
      <c r="D523" s="675">
        <f>[14]Data!R1170</f>
        <v>10368.870000000001</v>
      </c>
      <c r="E523" s="674" t="s">
        <v>235</v>
      </c>
      <c r="F523" s="663">
        <f t="shared" si="48"/>
        <v>0</v>
      </c>
      <c r="G523" s="684"/>
      <c r="H523" s="667">
        <f t="shared" si="47"/>
        <v>0</v>
      </c>
      <c r="I523" s="675"/>
      <c r="J523" s="667">
        <f t="shared" si="50"/>
        <v>0</v>
      </c>
      <c r="K523" s="667"/>
      <c r="L523" s="667"/>
      <c r="M523" s="667" t="e">
        <f>G523+#REF!+#REF!+#REF!+I523+#REF!+#REF!+#REF!+#REF!+#REF!+#REF!+K523+#REF!+#REF!+#REF!</f>
        <v>#REF!</v>
      </c>
      <c r="N523" s="667" t="e">
        <f t="shared" si="51"/>
        <v>#REF!</v>
      </c>
      <c r="O523" s="665" t="e">
        <f>#REF!+M523</f>
        <v>#REF!</v>
      </c>
      <c r="P523" s="666" t="e">
        <f t="shared" si="52"/>
        <v>#REF!</v>
      </c>
      <c r="Q523" s="672"/>
      <c r="R523" s="668"/>
      <c r="S523" s="676"/>
      <c r="T523" s="676"/>
    </row>
    <row r="524" spans="1:20" s="677" customFormat="1" ht="45.75" hidden="1" customHeight="1">
      <c r="A524" s="662"/>
      <c r="B524" s="666">
        <f t="shared" si="49"/>
        <v>0</v>
      </c>
      <c r="C524" s="663" t="s">
        <v>1645</v>
      </c>
      <c r="D524" s="675">
        <f>[14]Data!R1171</f>
        <v>10572.37</v>
      </c>
      <c r="E524" s="674" t="s">
        <v>235</v>
      </c>
      <c r="F524" s="663">
        <f t="shared" si="48"/>
        <v>0</v>
      </c>
      <c r="G524" s="684"/>
      <c r="H524" s="667">
        <f t="shared" si="47"/>
        <v>0</v>
      </c>
      <c r="I524" s="675"/>
      <c r="J524" s="667">
        <f t="shared" si="50"/>
        <v>0</v>
      </c>
      <c r="K524" s="667"/>
      <c r="L524" s="667"/>
      <c r="M524" s="667" t="e">
        <f>G524+#REF!+#REF!+#REF!+I524+#REF!+#REF!+#REF!+#REF!+#REF!+#REF!+K524+#REF!+#REF!+#REF!</f>
        <v>#REF!</v>
      </c>
      <c r="N524" s="667" t="e">
        <f t="shared" si="51"/>
        <v>#REF!</v>
      </c>
      <c r="O524" s="665" t="e">
        <f>#REF!+M524</f>
        <v>#REF!</v>
      </c>
      <c r="P524" s="666" t="e">
        <f t="shared" si="52"/>
        <v>#REF!</v>
      </c>
      <c r="Q524" s="672"/>
      <c r="R524" s="668"/>
      <c r="S524" s="676"/>
      <c r="T524" s="676"/>
    </row>
    <row r="525" spans="1:20" s="677" customFormat="1" ht="49.5" hidden="1" customHeight="1">
      <c r="A525" s="662">
        <v>9.1999999999999993</v>
      </c>
      <c r="B525" s="666">
        <f t="shared" si="49"/>
        <v>0</v>
      </c>
      <c r="C525" s="685" t="s">
        <v>1425</v>
      </c>
      <c r="D525" s="675"/>
      <c r="E525" s="674"/>
      <c r="F525" s="663">
        <f t="shared" si="48"/>
        <v>0</v>
      </c>
      <c r="G525" s="684"/>
      <c r="H525" s="667">
        <f t="shared" si="47"/>
        <v>0</v>
      </c>
      <c r="I525" s="675"/>
      <c r="J525" s="667">
        <f t="shared" si="50"/>
        <v>0</v>
      </c>
      <c r="K525" s="667"/>
      <c r="L525" s="667"/>
      <c r="M525" s="667" t="e">
        <f>G525+#REF!+#REF!+#REF!+I525+#REF!+#REF!+#REF!+#REF!+#REF!+#REF!+K525+#REF!+#REF!+#REF!</f>
        <v>#REF!</v>
      </c>
      <c r="N525" s="667" t="e">
        <f t="shared" si="51"/>
        <v>#REF!</v>
      </c>
      <c r="O525" s="665" t="e">
        <f>#REF!+M525</f>
        <v>#REF!</v>
      </c>
      <c r="P525" s="666" t="e">
        <f t="shared" si="52"/>
        <v>#REF!</v>
      </c>
      <c r="Q525" s="672"/>
      <c r="R525" s="668"/>
      <c r="S525" s="676"/>
      <c r="T525" s="676"/>
    </row>
    <row r="526" spans="1:20" s="677" customFormat="1" ht="33" hidden="1" customHeight="1">
      <c r="A526" s="662"/>
      <c r="B526" s="666">
        <f t="shared" si="49"/>
        <v>0</v>
      </c>
      <c r="C526" s="663" t="s">
        <v>1639</v>
      </c>
      <c r="D526" s="675">
        <f>[14]Data!AG352</f>
        <v>6724.67</v>
      </c>
      <c r="E526" s="674" t="s">
        <v>235</v>
      </c>
      <c r="F526" s="663">
        <f t="shared" si="48"/>
        <v>0</v>
      </c>
      <c r="G526" s="684"/>
      <c r="H526" s="667">
        <f t="shared" si="47"/>
        <v>0</v>
      </c>
      <c r="I526" s="675"/>
      <c r="J526" s="667">
        <f t="shared" si="50"/>
        <v>0</v>
      </c>
      <c r="K526" s="667"/>
      <c r="L526" s="667"/>
      <c r="M526" s="667" t="e">
        <f>G526+#REF!+#REF!+#REF!+I526+#REF!+#REF!+#REF!+#REF!+#REF!+#REF!+K526+#REF!+#REF!+#REF!</f>
        <v>#REF!</v>
      </c>
      <c r="N526" s="667" t="e">
        <f t="shared" si="51"/>
        <v>#REF!</v>
      </c>
      <c r="O526" s="665" t="e">
        <f>#REF!+M526</f>
        <v>#REF!</v>
      </c>
      <c r="P526" s="666" t="e">
        <f t="shared" si="52"/>
        <v>#REF!</v>
      </c>
      <c r="Q526" s="672"/>
      <c r="R526" s="668"/>
      <c r="S526" s="676"/>
      <c r="T526" s="676"/>
    </row>
    <row r="527" spans="1:20" s="677" customFormat="1" ht="33" hidden="1" customHeight="1">
      <c r="A527" s="662"/>
      <c r="B527" s="666">
        <f t="shared" si="49"/>
        <v>0</v>
      </c>
      <c r="C527" s="663" t="s">
        <v>1640</v>
      </c>
      <c r="D527" s="675">
        <f>[14]Data!AG353</f>
        <v>6861.87</v>
      </c>
      <c r="E527" s="674" t="s">
        <v>235</v>
      </c>
      <c r="F527" s="663">
        <f t="shared" si="48"/>
        <v>0</v>
      </c>
      <c r="G527" s="684"/>
      <c r="H527" s="667">
        <f t="shared" ref="H527:H590" si="53">G527*D527</f>
        <v>0</v>
      </c>
      <c r="I527" s="675"/>
      <c r="J527" s="667">
        <f t="shared" si="50"/>
        <v>0</v>
      </c>
      <c r="K527" s="667"/>
      <c r="L527" s="667"/>
      <c r="M527" s="667" t="e">
        <f>G527+#REF!+#REF!+#REF!+I527+#REF!+#REF!+#REF!+#REF!+#REF!+#REF!+K527+#REF!+#REF!+#REF!</f>
        <v>#REF!</v>
      </c>
      <c r="N527" s="667" t="e">
        <f t="shared" si="51"/>
        <v>#REF!</v>
      </c>
      <c r="O527" s="665" t="e">
        <f>#REF!+M527</f>
        <v>#REF!</v>
      </c>
      <c r="P527" s="666" t="e">
        <f t="shared" si="52"/>
        <v>#REF!</v>
      </c>
      <c r="Q527" s="672"/>
      <c r="R527" s="668"/>
      <c r="S527" s="676"/>
      <c r="T527" s="676"/>
    </row>
    <row r="528" spans="1:20" s="677" customFormat="1" ht="33" hidden="1" customHeight="1">
      <c r="A528" s="662"/>
      <c r="B528" s="666">
        <f t="shared" si="49"/>
        <v>0</v>
      </c>
      <c r="C528" s="663" t="s">
        <v>1641</v>
      </c>
      <c r="D528" s="675">
        <f>[14]Data!AG354</f>
        <v>6999.07</v>
      </c>
      <c r="E528" s="674" t="s">
        <v>235</v>
      </c>
      <c r="F528" s="663">
        <f t="shared" si="48"/>
        <v>0</v>
      </c>
      <c r="G528" s="684"/>
      <c r="H528" s="667">
        <f t="shared" si="53"/>
        <v>0</v>
      </c>
      <c r="I528" s="675"/>
      <c r="J528" s="667">
        <f t="shared" si="50"/>
        <v>0</v>
      </c>
      <c r="K528" s="667"/>
      <c r="L528" s="667"/>
      <c r="M528" s="667" t="e">
        <f>G528+#REF!+#REF!+#REF!+I528+#REF!+#REF!+#REF!+#REF!+#REF!+#REF!+K528+#REF!+#REF!+#REF!</f>
        <v>#REF!</v>
      </c>
      <c r="N528" s="667" t="e">
        <f t="shared" si="51"/>
        <v>#REF!</v>
      </c>
      <c r="O528" s="665" t="e">
        <f>#REF!+M528</f>
        <v>#REF!</v>
      </c>
      <c r="P528" s="666" t="e">
        <f t="shared" si="52"/>
        <v>#REF!</v>
      </c>
      <c r="Q528" s="672"/>
      <c r="R528" s="668"/>
      <c r="S528" s="676"/>
      <c r="T528" s="676"/>
    </row>
    <row r="529" spans="1:20" s="677" customFormat="1" ht="33" hidden="1" customHeight="1">
      <c r="A529" s="662"/>
      <c r="B529" s="666">
        <f t="shared" si="49"/>
        <v>0</v>
      </c>
      <c r="C529" s="735" t="s">
        <v>1642</v>
      </c>
      <c r="D529" s="675">
        <f>[14]Data!AG355</f>
        <v>7136.27</v>
      </c>
      <c r="E529" s="674" t="s">
        <v>235</v>
      </c>
      <c r="F529" s="663">
        <f t="shared" ref="F529:F592" si="54">B529*D529</f>
        <v>0</v>
      </c>
      <c r="G529" s="684"/>
      <c r="H529" s="667">
        <f t="shared" si="53"/>
        <v>0</v>
      </c>
      <c r="I529" s="675"/>
      <c r="J529" s="667">
        <f t="shared" si="50"/>
        <v>0</v>
      </c>
      <c r="K529" s="667"/>
      <c r="L529" s="667"/>
      <c r="M529" s="667" t="e">
        <f>G529+#REF!+#REF!+#REF!+I529+#REF!+#REF!+#REF!+#REF!+#REF!+#REF!+K529+#REF!+#REF!+#REF!</f>
        <v>#REF!</v>
      </c>
      <c r="N529" s="667" t="e">
        <f t="shared" si="51"/>
        <v>#REF!</v>
      </c>
      <c r="O529" s="665" t="e">
        <f>#REF!+M529</f>
        <v>#REF!</v>
      </c>
      <c r="P529" s="666" t="e">
        <f t="shared" si="52"/>
        <v>#REF!</v>
      </c>
      <c r="Q529" s="672"/>
      <c r="R529" s="668"/>
      <c r="S529" s="676"/>
      <c r="T529" s="676"/>
    </row>
    <row r="530" spans="1:20" s="677" customFormat="1" ht="33" hidden="1" customHeight="1">
      <c r="A530" s="662"/>
      <c r="B530" s="666">
        <f t="shared" si="49"/>
        <v>0</v>
      </c>
      <c r="C530" s="735" t="s">
        <v>1643</v>
      </c>
      <c r="D530" s="675">
        <f>[14]Data!AG356</f>
        <v>7273.47</v>
      </c>
      <c r="E530" s="674" t="s">
        <v>235</v>
      </c>
      <c r="F530" s="663">
        <f t="shared" si="54"/>
        <v>0</v>
      </c>
      <c r="G530" s="684"/>
      <c r="H530" s="667">
        <f t="shared" si="53"/>
        <v>0</v>
      </c>
      <c r="I530" s="675"/>
      <c r="J530" s="667">
        <f t="shared" si="50"/>
        <v>0</v>
      </c>
      <c r="K530" s="667"/>
      <c r="L530" s="667"/>
      <c r="M530" s="667" t="e">
        <f>G530+#REF!+#REF!+#REF!+I530+#REF!+#REF!+#REF!+#REF!+#REF!+#REF!+K530+#REF!+#REF!+#REF!</f>
        <v>#REF!</v>
      </c>
      <c r="N530" s="667" t="e">
        <f t="shared" si="51"/>
        <v>#REF!</v>
      </c>
      <c r="O530" s="665" t="e">
        <f>#REF!+M530</f>
        <v>#REF!</v>
      </c>
      <c r="P530" s="666" t="e">
        <f t="shared" si="52"/>
        <v>#REF!</v>
      </c>
      <c r="Q530" s="672"/>
      <c r="R530" s="668"/>
      <c r="S530" s="676"/>
      <c r="T530" s="676"/>
    </row>
    <row r="531" spans="1:20" s="677" customFormat="1" ht="33" hidden="1" customHeight="1">
      <c r="A531" s="662"/>
      <c r="B531" s="666">
        <f t="shared" si="49"/>
        <v>0</v>
      </c>
      <c r="C531" s="735" t="s">
        <v>1644</v>
      </c>
      <c r="D531" s="675">
        <f>[14]Data!AG357</f>
        <v>7410.67</v>
      </c>
      <c r="E531" s="674"/>
      <c r="F531" s="663">
        <f t="shared" si="54"/>
        <v>0</v>
      </c>
      <c r="G531" s="684"/>
      <c r="H531" s="667">
        <f t="shared" si="53"/>
        <v>0</v>
      </c>
      <c r="I531" s="675"/>
      <c r="J531" s="667">
        <f t="shared" si="50"/>
        <v>0</v>
      </c>
      <c r="K531" s="667"/>
      <c r="L531" s="667"/>
      <c r="M531" s="667" t="e">
        <f>G531+#REF!+#REF!+#REF!+I531+#REF!+#REF!+#REF!+#REF!+#REF!+#REF!+K531+#REF!+#REF!+#REF!</f>
        <v>#REF!</v>
      </c>
      <c r="N531" s="667" t="e">
        <f t="shared" si="51"/>
        <v>#REF!</v>
      </c>
      <c r="O531" s="665" t="e">
        <f>#REF!+M531</f>
        <v>#REF!</v>
      </c>
      <c r="P531" s="666" t="e">
        <f t="shared" si="52"/>
        <v>#REF!</v>
      </c>
      <c r="Q531" s="672"/>
      <c r="R531" s="668"/>
      <c r="S531" s="676"/>
      <c r="T531" s="676"/>
    </row>
    <row r="532" spans="1:20" s="677" customFormat="1" ht="68.25" hidden="1" customHeight="1">
      <c r="A532" s="662">
        <v>10.199999999999999</v>
      </c>
      <c r="B532" s="666">
        <f t="shared" si="49"/>
        <v>0</v>
      </c>
      <c r="C532" s="685" t="s">
        <v>1439</v>
      </c>
      <c r="D532" s="675"/>
      <c r="E532" s="674"/>
      <c r="F532" s="663">
        <f t="shared" si="54"/>
        <v>0</v>
      </c>
      <c r="G532" s="684"/>
      <c r="H532" s="667">
        <f t="shared" si="53"/>
        <v>0</v>
      </c>
      <c r="I532" s="675"/>
      <c r="J532" s="667">
        <f t="shared" si="50"/>
        <v>0</v>
      </c>
      <c r="K532" s="667"/>
      <c r="L532" s="667"/>
      <c r="M532" s="667" t="e">
        <f>G532+#REF!+#REF!+#REF!+I532+#REF!+#REF!+#REF!+#REF!+#REF!+#REF!+K532+#REF!+#REF!+#REF!</f>
        <v>#REF!</v>
      </c>
      <c r="N532" s="667" t="e">
        <f t="shared" si="51"/>
        <v>#REF!</v>
      </c>
      <c r="O532" s="665" t="e">
        <f>#REF!+M532</f>
        <v>#REF!</v>
      </c>
      <c r="P532" s="666" t="e">
        <f t="shared" si="52"/>
        <v>#REF!</v>
      </c>
      <c r="Q532" s="672"/>
      <c r="R532" s="668"/>
      <c r="S532" s="676"/>
      <c r="T532" s="676"/>
    </row>
    <row r="533" spans="1:20" s="677" customFormat="1" ht="33" hidden="1" customHeight="1">
      <c r="A533" s="662"/>
      <c r="B533" s="666">
        <f t="shared" si="49"/>
        <v>0</v>
      </c>
      <c r="C533" s="663" t="s">
        <v>1639</v>
      </c>
      <c r="D533" s="675">
        <f>[14]Data!AG416</f>
        <v>839.14</v>
      </c>
      <c r="E533" s="674" t="s">
        <v>235</v>
      </c>
      <c r="F533" s="663">
        <f t="shared" si="54"/>
        <v>0</v>
      </c>
      <c r="G533" s="684"/>
      <c r="H533" s="667">
        <f t="shared" si="53"/>
        <v>0</v>
      </c>
      <c r="I533" s="675"/>
      <c r="J533" s="667">
        <f t="shared" si="50"/>
        <v>0</v>
      </c>
      <c r="K533" s="667"/>
      <c r="L533" s="667"/>
      <c r="M533" s="667" t="e">
        <f>G533+#REF!+#REF!+#REF!+I533+#REF!+#REF!+#REF!+#REF!+#REF!+#REF!+K533+#REF!+#REF!+#REF!</f>
        <v>#REF!</v>
      </c>
      <c r="N533" s="667" t="e">
        <f t="shared" si="51"/>
        <v>#REF!</v>
      </c>
      <c r="O533" s="665" t="e">
        <f>#REF!+M533</f>
        <v>#REF!</v>
      </c>
      <c r="P533" s="666" t="e">
        <f t="shared" si="52"/>
        <v>#REF!</v>
      </c>
      <c r="Q533" s="672"/>
      <c r="R533" s="668"/>
      <c r="S533" s="676"/>
      <c r="T533" s="676"/>
    </row>
    <row r="534" spans="1:20" s="677" customFormat="1" ht="33" hidden="1" customHeight="1">
      <c r="A534" s="662"/>
      <c r="B534" s="666">
        <f t="shared" si="49"/>
        <v>0</v>
      </c>
      <c r="C534" s="663" t="s">
        <v>1640</v>
      </c>
      <c r="D534" s="675">
        <f>[14]Data!AG417</f>
        <v>854.78</v>
      </c>
      <c r="E534" s="674" t="s">
        <v>235</v>
      </c>
      <c r="F534" s="663">
        <f t="shared" si="54"/>
        <v>0</v>
      </c>
      <c r="G534" s="684"/>
      <c r="H534" s="667">
        <f t="shared" si="53"/>
        <v>0</v>
      </c>
      <c r="I534" s="675"/>
      <c r="J534" s="667">
        <f t="shared" si="50"/>
        <v>0</v>
      </c>
      <c r="K534" s="667"/>
      <c r="L534" s="667"/>
      <c r="M534" s="667" t="e">
        <f>G534+#REF!+#REF!+#REF!+I534+#REF!+#REF!+#REF!+#REF!+#REF!+#REF!+K534+#REF!+#REF!+#REF!</f>
        <v>#REF!</v>
      </c>
      <c r="N534" s="667" t="e">
        <f t="shared" si="51"/>
        <v>#REF!</v>
      </c>
      <c r="O534" s="665" t="e">
        <f>#REF!+M534</f>
        <v>#REF!</v>
      </c>
      <c r="P534" s="666" t="e">
        <f t="shared" si="52"/>
        <v>#REF!</v>
      </c>
      <c r="Q534" s="672"/>
      <c r="R534" s="668"/>
      <c r="S534" s="676"/>
      <c r="T534" s="676"/>
    </row>
    <row r="535" spans="1:20" ht="35.25" hidden="1" customHeight="1">
      <c r="A535" s="662"/>
      <c r="B535" s="666">
        <f t="shared" si="49"/>
        <v>0</v>
      </c>
      <c r="C535" s="663" t="s">
        <v>1641</v>
      </c>
      <c r="D535" s="667"/>
      <c r="E535" s="663" t="s">
        <v>235</v>
      </c>
      <c r="F535" s="663">
        <f t="shared" si="54"/>
        <v>0</v>
      </c>
      <c r="G535" s="690"/>
      <c r="H535" s="667">
        <f t="shared" si="53"/>
        <v>0</v>
      </c>
      <c r="I535" s="667"/>
      <c r="J535" s="667">
        <f t="shared" si="50"/>
        <v>0</v>
      </c>
      <c r="K535" s="667"/>
      <c r="L535" s="667"/>
      <c r="M535" s="667" t="e">
        <f>G535+#REF!+#REF!+#REF!+I535+#REF!+#REF!+#REF!+#REF!+#REF!+#REF!+K535+#REF!+#REF!+#REF!</f>
        <v>#REF!</v>
      </c>
      <c r="N535" s="667" t="e">
        <f t="shared" si="51"/>
        <v>#REF!</v>
      </c>
      <c r="O535" s="665" t="e">
        <f>#REF!+M535</f>
        <v>#REF!</v>
      </c>
      <c r="P535" s="666" t="e">
        <f t="shared" si="52"/>
        <v>#REF!</v>
      </c>
      <c r="Q535" s="672"/>
      <c r="R535" s="668"/>
    </row>
    <row r="536" spans="1:20" s="677" customFormat="1" ht="33" hidden="1" customHeight="1">
      <c r="A536" s="662"/>
      <c r="B536" s="666">
        <f t="shared" si="49"/>
        <v>0</v>
      </c>
      <c r="C536" s="735" t="s">
        <v>1642</v>
      </c>
      <c r="D536" s="675">
        <f>[14]Data!AG419</f>
        <v>886.06</v>
      </c>
      <c r="E536" s="674" t="s">
        <v>235</v>
      </c>
      <c r="F536" s="663">
        <f t="shared" si="54"/>
        <v>0</v>
      </c>
      <c r="G536" s="684"/>
      <c r="H536" s="667">
        <f t="shared" si="53"/>
        <v>0</v>
      </c>
      <c r="I536" s="675"/>
      <c r="J536" s="667">
        <f t="shared" si="50"/>
        <v>0</v>
      </c>
      <c r="K536" s="667"/>
      <c r="L536" s="667"/>
      <c r="M536" s="667" t="e">
        <f>G536+#REF!+#REF!+#REF!+I536+#REF!+#REF!+#REF!+#REF!+#REF!+#REF!+K536+#REF!+#REF!+#REF!</f>
        <v>#REF!</v>
      </c>
      <c r="N536" s="667" t="e">
        <f t="shared" si="51"/>
        <v>#REF!</v>
      </c>
      <c r="O536" s="665" t="e">
        <f>#REF!+M536</f>
        <v>#REF!</v>
      </c>
      <c r="P536" s="666" t="e">
        <f t="shared" si="52"/>
        <v>#REF!</v>
      </c>
      <c r="Q536" s="672"/>
      <c r="R536" s="668"/>
      <c r="S536" s="676"/>
      <c r="T536" s="676"/>
    </row>
    <row r="537" spans="1:20" s="677" customFormat="1" ht="33" hidden="1" customHeight="1">
      <c r="A537" s="662"/>
      <c r="B537" s="666">
        <f t="shared" si="49"/>
        <v>0</v>
      </c>
      <c r="C537" s="735" t="s">
        <v>1643</v>
      </c>
      <c r="D537" s="675">
        <f>[14]Data!AG420</f>
        <v>901.7</v>
      </c>
      <c r="E537" s="674" t="s">
        <v>235</v>
      </c>
      <c r="F537" s="663">
        <f t="shared" si="54"/>
        <v>0</v>
      </c>
      <c r="G537" s="684"/>
      <c r="H537" s="667">
        <f t="shared" si="53"/>
        <v>0</v>
      </c>
      <c r="I537" s="675"/>
      <c r="J537" s="667">
        <f t="shared" si="50"/>
        <v>0</v>
      </c>
      <c r="K537" s="667"/>
      <c r="L537" s="667"/>
      <c r="M537" s="667" t="e">
        <f>G537+#REF!+#REF!+#REF!+I537+#REF!+#REF!+#REF!+#REF!+#REF!+#REF!+K537+#REF!+#REF!+#REF!</f>
        <v>#REF!</v>
      </c>
      <c r="N537" s="667" t="e">
        <f t="shared" si="51"/>
        <v>#REF!</v>
      </c>
      <c r="O537" s="665" t="e">
        <f>#REF!+M537</f>
        <v>#REF!</v>
      </c>
      <c r="P537" s="666" t="e">
        <f t="shared" si="52"/>
        <v>#REF!</v>
      </c>
      <c r="Q537" s="672"/>
      <c r="R537" s="668"/>
      <c r="S537" s="676"/>
      <c r="T537" s="676"/>
    </row>
    <row r="538" spans="1:20" s="677" customFormat="1" ht="62.25" hidden="1" customHeight="1">
      <c r="A538" s="662">
        <v>11.2</v>
      </c>
      <c r="B538" s="666">
        <f t="shared" si="49"/>
        <v>0</v>
      </c>
      <c r="C538" s="685" t="s">
        <v>1446</v>
      </c>
      <c r="D538" s="675"/>
      <c r="E538" s="674"/>
      <c r="F538" s="663">
        <f t="shared" si="54"/>
        <v>0</v>
      </c>
      <c r="G538" s="684"/>
      <c r="H538" s="667">
        <f t="shared" si="53"/>
        <v>0</v>
      </c>
      <c r="I538" s="675"/>
      <c r="J538" s="667">
        <f t="shared" si="50"/>
        <v>0</v>
      </c>
      <c r="K538" s="667"/>
      <c r="L538" s="667"/>
      <c r="M538" s="667" t="e">
        <f>G538+#REF!+#REF!+#REF!+I538+#REF!+#REF!+#REF!+#REF!+#REF!+#REF!+K538+#REF!+#REF!+#REF!</f>
        <v>#REF!</v>
      </c>
      <c r="N538" s="667" t="e">
        <f t="shared" si="51"/>
        <v>#REF!</v>
      </c>
      <c r="O538" s="665" t="e">
        <f>#REF!+M538</f>
        <v>#REF!</v>
      </c>
      <c r="P538" s="666" t="e">
        <f t="shared" si="52"/>
        <v>#REF!</v>
      </c>
      <c r="Q538" s="672"/>
      <c r="R538" s="668"/>
      <c r="S538" s="676"/>
      <c r="T538" s="676"/>
    </row>
    <row r="539" spans="1:20" s="677" customFormat="1" ht="33" hidden="1" customHeight="1">
      <c r="A539" s="662"/>
      <c r="B539" s="666">
        <f t="shared" si="49"/>
        <v>0</v>
      </c>
      <c r="C539" s="663" t="s">
        <v>1639</v>
      </c>
      <c r="D539" s="675">
        <f>[14]Data!AG455</f>
        <v>602.1</v>
      </c>
      <c r="E539" s="674" t="s">
        <v>37</v>
      </c>
      <c r="F539" s="663">
        <f t="shared" si="54"/>
        <v>0</v>
      </c>
      <c r="G539" s="684"/>
      <c r="H539" s="667">
        <f t="shared" si="53"/>
        <v>0</v>
      </c>
      <c r="I539" s="675"/>
      <c r="J539" s="667">
        <f t="shared" si="50"/>
        <v>0</v>
      </c>
      <c r="K539" s="667"/>
      <c r="L539" s="667"/>
      <c r="M539" s="667" t="e">
        <f>G539+#REF!+#REF!+#REF!+I539+#REF!+#REF!+#REF!+#REF!+#REF!+#REF!+K539+#REF!+#REF!+#REF!</f>
        <v>#REF!</v>
      </c>
      <c r="N539" s="667" t="e">
        <f t="shared" si="51"/>
        <v>#REF!</v>
      </c>
      <c r="O539" s="665" t="e">
        <f>#REF!+M539</f>
        <v>#REF!</v>
      </c>
      <c r="P539" s="666" t="e">
        <f t="shared" si="52"/>
        <v>#REF!</v>
      </c>
      <c r="Q539" s="672"/>
      <c r="R539" s="668"/>
      <c r="S539" s="676"/>
      <c r="T539" s="676"/>
    </row>
    <row r="540" spans="1:20" s="677" customFormat="1" ht="33" hidden="1" customHeight="1">
      <c r="A540" s="662"/>
      <c r="B540" s="666">
        <f t="shared" si="49"/>
        <v>0</v>
      </c>
      <c r="C540" s="663" t="s">
        <v>1640</v>
      </c>
      <c r="D540" s="675">
        <f>[14]Data!AG456</f>
        <v>612.39</v>
      </c>
      <c r="E540" s="674" t="s">
        <v>37</v>
      </c>
      <c r="F540" s="663">
        <f t="shared" si="54"/>
        <v>0</v>
      </c>
      <c r="G540" s="684"/>
      <c r="H540" s="667">
        <f t="shared" si="53"/>
        <v>0</v>
      </c>
      <c r="I540" s="675"/>
      <c r="J540" s="667">
        <f t="shared" si="50"/>
        <v>0</v>
      </c>
      <c r="K540" s="667"/>
      <c r="L540" s="667"/>
      <c r="M540" s="667" t="e">
        <f>G540+#REF!+#REF!+#REF!+I540+#REF!+#REF!+#REF!+#REF!+#REF!+#REF!+K540+#REF!+#REF!+#REF!</f>
        <v>#REF!</v>
      </c>
      <c r="N540" s="667" t="e">
        <f t="shared" si="51"/>
        <v>#REF!</v>
      </c>
      <c r="O540" s="665" t="e">
        <f>#REF!+M540</f>
        <v>#REF!</v>
      </c>
      <c r="P540" s="666" t="e">
        <f t="shared" si="52"/>
        <v>#REF!</v>
      </c>
      <c r="Q540" s="672"/>
      <c r="R540" s="668"/>
      <c r="S540" s="676"/>
      <c r="T540" s="676"/>
    </row>
    <row r="541" spans="1:20" s="677" customFormat="1" ht="33" hidden="1" customHeight="1">
      <c r="A541" s="662"/>
      <c r="B541" s="666">
        <f t="shared" si="49"/>
        <v>0</v>
      </c>
      <c r="C541" s="663" t="s">
        <v>1641</v>
      </c>
      <c r="D541" s="675">
        <f>[14]Data!AG457</f>
        <v>622.67999999999995</v>
      </c>
      <c r="E541" s="674" t="s">
        <v>37</v>
      </c>
      <c r="F541" s="663">
        <f t="shared" si="54"/>
        <v>0</v>
      </c>
      <c r="G541" s="684"/>
      <c r="H541" s="667">
        <f t="shared" si="53"/>
        <v>0</v>
      </c>
      <c r="I541" s="675"/>
      <c r="J541" s="667">
        <f t="shared" si="50"/>
        <v>0</v>
      </c>
      <c r="K541" s="667"/>
      <c r="L541" s="667"/>
      <c r="M541" s="667" t="e">
        <f>G541+#REF!+#REF!+#REF!+I541+#REF!+#REF!+#REF!+#REF!+#REF!+#REF!+K541+#REF!+#REF!+#REF!</f>
        <v>#REF!</v>
      </c>
      <c r="N541" s="667" t="e">
        <f t="shared" si="51"/>
        <v>#REF!</v>
      </c>
      <c r="O541" s="665" t="e">
        <f>#REF!+M541</f>
        <v>#REF!</v>
      </c>
      <c r="P541" s="666" t="e">
        <f t="shared" si="52"/>
        <v>#REF!</v>
      </c>
      <c r="Q541" s="672"/>
      <c r="R541" s="668"/>
      <c r="S541" s="676"/>
      <c r="T541" s="676"/>
    </row>
    <row r="542" spans="1:20" s="677" customFormat="1" ht="33" hidden="1" customHeight="1">
      <c r="A542" s="662"/>
      <c r="B542" s="666">
        <f t="shared" si="49"/>
        <v>0</v>
      </c>
      <c r="C542" s="735" t="s">
        <v>1646</v>
      </c>
      <c r="D542" s="675">
        <f>[14]Data!AG458</f>
        <v>632.97</v>
      </c>
      <c r="E542" s="674" t="s">
        <v>37</v>
      </c>
      <c r="F542" s="663">
        <f t="shared" si="54"/>
        <v>0</v>
      </c>
      <c r="G542" s="684"/>
      <c r="H542" s="667">
        <f t="shared" si="53"/>
        <v>0</v>
      </c>
      <c r="I542" s="675"/>
      <c r="J542" s="667">
        <f t="shared" si="50"/>
        <v>0</v>
      </c>
      <c r="K542" s="667"/>
      <c r="L542" s="667"/>
      <c r="M542" s="667" t="e">
        <f>G542+#REF!+#REF!+#REF!+I542+#REF!+#REF!+#REF!+#REF!+#REF!+#REF!+K542+#REF!+#REF!+#REF!</f>
        <v>#REF!</v>
      </c>
      <c r="N542" s="667" t="e">
        <f t="shared" si="51"/>
        <v>#REF!</v>
      </c>
      <c r="O542" s="665" t="e">
        <f>#REF!+M542</f>
        <v>#REF!</v>
      </c>
      <c r="P542" s="666" t="e">
        <f t="shared" si="52"/>
        <v>#REF!</v>
      </c>
      <c r="Q542" s="672"/>
      <c r="R542" s="668"/>
      <c r="S542" s="676"/>
      <c r="T542" s="676"/>
    </row>
    <row r="543" spans="1:20" s="677" customFormat="1" ht="33" hidden="1" customHeight="1">
      <c r="A543" s="662"/>
      <c r="B543" s="666">
        <f t="shared" si="49"/>
        <v>0</v>
      </c>
      <c r="C543" s="735" t="s">
        <v>1643</v>
      </c>
      <c r="D543" s="675">
        <f>[14]Data!AG459</f>
        <v>643.26</v>
      </c>
      <c r="E543" s="674" t="s">
        <v>37</v>
      </c>
      <c r="F543" s="663">
        <f t="shared" si="54"/>
        <v>0</v>
      </c>
      <c r="G543" s="684"/>
      <c r="H543" s="667">
        <f t="shared" si="53"/>
        <v>0</v>
      </c>
      <c r="I543" s="675"/>
      <c r="J543" s="667">
        <f t="shared" si="50"/>
        <v>0</v>
      </c>
      <c r="K543" s="667"/>
      <c r="L543" s="667"/>
      <c r="M543" s="667" t="e">
        <f>G543+#REF!+#REF!+#REF!+I543+#REF!+#REF!+#REF!+#REF!+#REF!+#REF!+K543+#REF!+#REF!+#REF!</f>
        <v>#REF!</v>
      </c>
      <c r="N543" s="667" t="e">
        <f t="shared" si="51"/>
        <v>#REF!</v>
      </c>
      <c r="O543" s="665" t="e">
        <f>#REF!+M543</f>
        <v>#REF!</v>
      </c>
      <c r="P543" s="666" t="e">
        <f t="shared" si="52"/>
        <v>#REF!</v>
      </c>
      <c r="Q543" s="672"/>
      <c r="R543" s="668"/>
      <c r="S543" s="676"/>
      <c r="T543" s="676"/>
    </row>
    <row r="544" spans="1:20" s="677" customFormat="1" ht="45" hidden="1" customHeight="1">
      <c r="A544" s="662"/>
      <c r="B544" s="666">
        <f t="shared" si="49"/>
        <v>0</v>
      </c>
      <c r="C544" s="663" t="s">
        <v>1647</v>
      </c>
      <c r="D544" s="675">
        <v>2796.22</v>
      </c>
      <c r="E544" s="674" t="s">
        <v>16</v>
      </c>
      <c r="F544" s="663">
        <f t="shared" si="54"/>
        <v>0</v>
      </c>
      <c r="G544" s="684"/>
      <c r="H544" s="667">
        <f t="shared" si="53"/>
        <v>0</v>
      </c>
      <c r="I544" s="675"/>
      <c r="J544" s="667">
        <f t="shared" si="50"/>
        <v>0</v>
      </c>
      <c r="K544" s="667"/>
      <c r="L544" s="667"/>
      <c r="M544" s="667" t="e">
        <f>G544+#REF!+#REF!+#REF!+I544+#REF!+#REF!+#REF!+#REF!+#REF!+#REF!+K544+#REF!+#REF!+#REF!</f>
        <v>#REF!</v>
      </c>
      <c r="N544" s="667" t="e">
        <f t="shared" si="51"/>
        <v>#REF!</v>
      </c>
      <c r="O544" s="665" t="e">
        <f>#REF!+M544</f>
        <v>#REF!</v>
      </c>
      <c r="P544" s="666" t="e">
        <f t="shared" si="52"/>
        <v>#REF!</v>
      </c>
      <c r="Q544" s="672"/>
      <c r="R544" s="668"/>
      <c r="S544" s="676"/>
      <c r="T544" s="676"/>
    </row>
    <row r="545" spans="1:20" s="677" customFormat="1" ht="51.75" hidden="1" customHeight="1">
      <c r="A545" s="662"/>
      <c r="B545" s="666">
        <f t="shared" si="49"/>
        <v>0</v>
      </c>
      <c r="C545" s="735" t="s">
        <v>1648</v>
      </c>
      <c r="D545" s="675">
        <f>[14]Data!R154</f>
        <v>156.1</v>
      </c>
      <c r="E545" s="674" t="s">
        <v>235</v>
      </c>
      <c r="F545" s="663">
        <f t="shared" si="54"/>
        <v>0</v>
      </c>
      <c r="G545" s="684"/>
      <c r="H545" s="667">
        <f t="shared" si="53"/>
        <v>0</v>
      </c>
      <c r="I545" s="675"/>
      <c r="J545" s="667">
        <f t="shared" si="50"/>
        <v>0</v>
      </c>
      <c r="K545" s="667"/>
      <c r="L545" s="667"/>
      <c r="M545" s="667" t="e">
        <f>G545+#REF!+#REF!+#REF!+I545+#REF!+#REF!+#REF!+#REF!+#REF!+#REF!+K545+#REF!+#REF!+#REF!</f>
        <v>#REF!</v>
      </c>
      <c r="N545" s="667" t="e">
        <f t="shared" si="51"/>
        <v>#REF!</v>
      </c>
      <c r="O545" s="665" t="e">
        <f>#REF!+M545</f>
        <v>#REF!</v>
      </c>
      <c r="P545" s="666" t="e">
        <f t="shared" si="52"/>
        <v>#REF!</v>
      </c>
      <c r="Q545" s="672"/>
      <c r="R545" s="668"/>
      <c r="S545" s="676"/>
      <c r="T545" s="676"/>
    </row>
    <row r="546" spans="1:20" ht="41.25" hidden="1" customHeight="1">
      <c r="A546" s="667"/>
      <c r="B546" s="666">
        <f t="shared" si="49"/>
        <v>0</v>
      </c>
      <c r="C546" s="663" t="s">
        <v>630</v>
      </c>
      <c r="D546" s="667">
        <f>[14]Data!K1442</f>
        <v>246.58</v>
      </c>
      <c r="E546" s="663" t="s">
        <v>37</v>
      </c>
      <c r="F546" s="663">
        <f t="shared" si="54"/>
        <v>0</v>
      </c>
      <c r="G546" s="665"/>
      <c r="H546" s="667">
        <f t="shared" si="53"/>
        <v>0</v>
      </c>
      <c r="I546" s="667"/>
      <c r="J546" s="667">
        <f t="shared" si="50"/>
        <v>0</v>
      </c>
      <c r="K546" s="667"/>
      <c r="L546" s="667"/>
      <c r="M546" s="667" t="e">
        <f>G546+#REF!+#REF!+#REF!+I546+#REF!+#REF!+#REF!+#REF!+#REF!+#REF!+K546+#REF!+#REF!+#REF!</f>
        <v>#REF!</v>
      </c>
      <c r="N546" s="667" t="e">
        <f t="shared" si="51"/>
        <v>#REF!</v>
      </c>
      <c r="O546" s="665" t="e">
        <f>#REF!+M546</f>
        <v>#REF!</v>
      </c>
      <c r="P546" s="666" t="e">
        <f t="shared" si="52"/>
        <v>#REF!</v>
      </c>
      <c r="Q546" s="672"/>
      <c r="R546" s="668"/>
    </row>
    <row r="547" spans="1:20" ht="42.75" hidden="1" customHeight="1">
      <c r="A547" s="736"/>
      <c r="B547" s="666">
        <f t="shared" si="49"/>
        <v>0</v>
      </c>
      <c r="C547" s="704" t="s">
        <v>1649</v>
      </c>
      <c r="D547" s="703">
        <f>[14]Data!R144</f>
        <v>456.4</v>
      </c>
      <c r="E547" s="704" t="s">
        <v>16</v>
      </c>
      <c r="F547" s="663">
        <f t="shared" si="54"/>
        <v>0</v>
      </c>
      <c r="G547" s="665"/>
      <c r="H547" s="667">
        <f t="shared" si="53"/>
        <v>0</v>
      </c>
      <c r="I547" s="667"/>
      <c r="J547" s="667">
        <f t="shared" si="50"/>
        <v>0</v>
      </c>
      <c r="K547" s="667"/>
      <c r="L547" s="667"/>
      <c r="M547" s="667" t="e">
        <f>G547+#REF!+#REF!+#REF!+I547+#REF!+#REF!+#REF!+#REF!+#REF!+#REF!+K547+#REF!+#REF!+#REF!</f>
        <v>#REF!</v>
      </c>
      <c r="N547" s="667" t="e">
        <f t="shared" si="51"/>
        <v>#REF!</v>
      </c>
      <c r="O547" s="665" t="e">
        <f>#REF!+M547</f>
        <v>#REF!</v>
      </c>
      <c r="P547" s="666" t="e">
        <f t="shared" si="52"/>
        <v>#REF!</v>
      </c>
      <c r="Q547" s="672"/>
      <c r="R547" s="668"/>
    </row>
    <row r="548" spans="1:20" ht="48.75" hidden="1" customHeight="1">
      <c r="A548" s="657"/>
      <c r="B548" s="666">
        <f t="shared" si="49"/>
        <v>0</v>
      </c>
      <c r="C548" s="663" t="s">
        <v>1650</v>
      </c>
      <c r="D548" s="675">
        <f>[14]Data!K368</f>
        <v>6442.78</v>
      </c>
      <c r="E548" s="674" t="s">
        <v>16</v>
      </c>
      <c r="F548" s="663">
        <f t="shared" si="54"/>
        <v>0</v>
      </c>
      <c r="G548" s="675"/>
      <c r="H548" s="667">
        <f t="shared" si="53"/>
        <v>0</v>
      </c>
      <c r="I548" s="675"/>
      <c r="J548" s="667">
        <f t="shared" si="50"/>
        <v>0</v>
      </c>
      <c r="K548" s="667"/>
      <c r="L548" s="667"/>
      <c r="M548" s="667" t="e">
        <f>G548+#REF!+#REF!+#REF!+I548+#REF!+#REF!+#REF!+#REF!+#REF!+#REF!+K548+#REF!+#REF!+#REF!</f>
        <v>#REF!</v>
      </c>
      <c r="N548" s="667" t="e">
        <f t="shared" si="51"/>
        <v>#REF!</v>
      </c>
      <c r="O548" s="665" t="e">
        <f>#REF!+M548</f>
        <v>#REF!</v>
      </c>
      <c r="P548" s="666" t="e">
        <f t="shared" si="52"/>
        <v>#REF!</v>
      </c>
      <c r="Q548" s="672"/>
      <c r="R548" s="668"/>
    </row>
    <row r="549" spans="1:20" s="677" customFormat="1" ht="25.5" hidden="1" customHeight="1">
      <c r="A549" s="737"/>
      <c r="B549" s="666">
        <f t="shared" si="49"/>
        <v>0</v>
      </c>
      <c r="C549" s="663" t="s">
        <v>1651</v>
      </c>
      <c r="D549" s="675">
        <f>[14]Data!K369</f>
        <v>6579.98</v>
      </c>
      <c r="E549" s="674" t="s">
        <v>16</v>
      </c>
      <c r="F549" s="663">
        <f t="shared" si="54"/>
        <v>0</v>
      </c>
      <c r="G549" s="684"/>
      <c r="H549" s="667">
        <f t="shared" si="53"/>
        <v>0</v>
      </c>
      <c r="I549" s="675"/>
      <c r="J549" s="667">
        <f t="shared" si="50"/>
        <v>0</v>
      </c>
      <c r="K549" s="667"/>
      <c r="L549" s="667"/>
      <c r="M549" s="667" t="e">
        <f>G549+#REF!+#REF!+#REF!+I549+#REF!+#REF!+#REF!+#REF!+#REF!+#REF!+K549+#REF!+#REF!+#REF!</f>
        <v>#REF!</v>
      </c>
      <c r="N549" s="667" t="e">
        <f t="shared" si="51"/>
        <v>#REF!</v>
      </c>
      <c r="O549" s="665" t="e">
        <f>#REF!+M549</f>
        <v>#REF!</v>
      </c>
      <c r="P549" s="666" t="e">
        <f t="shared" si="52"/>
        <v>#REF!</v>
      </c>
      <c r="Q549" s="672"/>
      <c r="R549" s="668"/>
      <c r="S549" s="676"/>
      <c r="T549" s="676"/>
    </row>
    <row r="550" spans="1:20" ht="65.25" hidden="1" customHeight="1">
      <c r="A550" s="657"/>
      <c r="B550" s="666">
        <f t="shared" si="49"/>
        <v>0</v>
      </c>
      <c r="C550" s="663" t="s">
        <v>1652</v>
      </c>
      <c r="D550" s="675">
        <f>[14]Data!$K$370</f>
        <v>6717.18</v>
      </c>
      <c r="E550" s="674" t="s">
        <v>16</v>
      </c>
      <c r="F550" s="663">
        <f t="shared" si="54"/>
        <v>0</v>
      </c>
      <c r="G550" s="675"/>
      <c r="H550" s="667">
        <f t="shared" si="53"/>
        <v>0</v>
      </c>
      <c r="I550" s="675"/>
      <c r="J550" s="667">
        <f t="shared" si="50"/>
        <v>0</v>
      </c>
      <c r="K550" s="667"/>
      <c r="L550" s="667"/>
      <c r="M550" s="667" t="e">
        <f>G550+#REF!+#REF!+#REF!+I550+#REF!+#REF!+#REF!+#REF!+#REF!+#REF!+K550+#REF!+#REF!+#REF!</f>
        <v>#REF!</v>
      </c>
      <c r="N550" s="667" t="e">
        <f t="shared" si="51"/>
        <v>#REF!</v>
      </c>
      <c r="O550" s="665" t="e">
        <f>#REF!+M550</f>
        <v>#REF!</v>
      </c>
      <c r="P550" s="666" t="e">
        <f t="shared" si="52"/>
        <v>#REF!</v>
      </c>
      <c r="Q550" s="672"/>
      <c r="R550" s="668"/>
    </row>
    <row r="551" spans="1:20" ht="64.5" hidden="1" customHeight="1">
      <c r="A551" s="657"/>
      <c r="B551" s="666">
        <f t="shared" si="49"/>
        <v>0</v>
      </c>
      <c r="C551" s="674" t="s">
        <v>1653</v>
      </c>
      <c r="D551" s="675">
        <f>[14]Data!K371</f>
        <v>6854.38</v>
      </c>
      <c r="E551" s="674" t="s">
        <v>16</v>
      </c>
      <c r="F551" s="663">
        <f t="shared" si="54"/>
        <v>0</v>
      </c>
      <c r="G551" s="675"/>
      <c r="H551" s="667">
        <f t="shared" si="53"/>
        <v>0</v>
      </c>
      <c r="I551" s="675"/>
      <c r="J551" s="667">
        <f t="shared" si="50"/>
        <v>0</v>
      </c>
      <c r="K551" s="667"/>
      <c r="L551" s="667"/>
      <c r="M551" s="667" t="e">
        <f>G551+#REF!+#REF!+#REF!+I551+#REF!+#REF!+#REF!+#REF!+#REF!+#REF!+K551+#REF!+#REF!+#REF!</f>
        <v>#REF!</v>
      </c>
      <c r="N551" s="667" t="e">
        <f t="shared" si="51"/>
        <v>#REF!</v>
      </c>
      <c r="O551" s="665" t="e">
        <f>#REF!+M551</f>
        <v>#REF!</v>
      </c>
      <c r="P551" s="666" t="e">
        <f t="shared" si="52"/>
        <v>#REF!</v>
      </c>
      <c r="Q551" s="672"/>
      <c r="R551" s="668"/>
    </row>
    <row r="552" spans="1:20" s="677" customFormat="1" ht="46.5" hidden="1" customHeight="1">
      <c r="A552" s="690"/>
      <c r="B552" s="666">
        <f t="shared" si="49"/>
        <v>0</v>
      </c>
      <c r="C552" s="663" t="s">
        <v>1654</v>
      </c>
      <c r="D552" s="675">
        <f>[14]Data!X88</f>
        <v>138.83000000000001</v>
      </c>
      <c r="E552" s="674"/>
      <c r="F552" s="663">
        <f t="shared" si="54"/>
        <v>0</v>
      </c>
      <c r="G552" s="684"/>
      <c r="H552" s="667">
        <f t="shared" si="53"/>
        <v>0</v>
      </c>
      <c r="I552" s="675"/>
      <c r="J552" s="667">
        <f t="shared" si="50"/>
        <v>0</v>
      </c>
      <c r="K552" s="667"/>
      <c r="L552" s="667"/>
      <c r="M552" s="667" t="e">
        <f>G552+#REF!+#REF!+#REF!+I552+#REF!+#REF!+#REF!+#REF!+#REF!+#REF!+K552+#REF!+#REF!+#REF!</f>
        <v>#REF!</v>
      </c>
      <c r="N552" s="667" t="e">
        <f t="shared" si="51"/>
        <v>#REF!</v>
      </c>
      <c r="O552" s="665" t="e">
        <f>#REF!+M552</f>
        <v>#REF!</v>
      </c>
      <c r="P552" s="666" t="e">
        <f t="shared" si="52"/>
        <v>#REF!</v>
      </c>
      <c r="Q552" s="672"/>
      <c r="R552" s="668"/>
      <c r="S552" s="676"/>
      <c r="T552" s="676"/>
    </row>
    <row r="553" spans="1:20" s="677" customFormat="1" ht="57" hidden="1" customHeight="1">
      <c r="A553" s="690"/>
      <c r="B553" s="666">
        <f t="shared" si="49"/>
        <v>0</v>
      </c>
      <c r="C553" s="663" t="s">
        <v>1655</v>
      </c>
      <c r="D553" s="675">
        <f>[14]Data!X118</f>
        <v>64.5</v>
      </c>
      <c r="E553" s="674"/>
      <c r="F553" s="663">
        <f t="shared" si="54"/>
        <v>0</v>
      </c>
      <c r="G553" s="684"/>
      <c r="H553" s="667">
        <f t="shared" si="53"/>
        <v>0</v>
      </c>
      <c r="I553" s="675"/>
      <c r="J553" s="667">
        <f t="shared" si="50"/>
        <v>0</v>
      </c>
      <c r="K553" s="667"/>
      <c r="L553" s="667"/>
      <c r="M553" s="667" t="e">
        <f>G553+#REF!+#REF!+#REF!+I553+#REF!+#REF!+#REF!+#REF!+#REF!+#REF!+K553+#REF!+#REF!+#REF!</f>
        <v>#REF!</v>
      </c>
      <c r="N553" s="667" t="e">
        <f t="shared" si="51"/>
        <v>#REF!</v>
      </c>
      <c r="O553" s="665" t="e">
        <f>#REF!+M553</f>
        <v>#REF!</v>
      </c>
      <c r="P553" s="666" t="e">
        <f t="shared" si="52"/>
        <v>#REF!</v>
      </c>
      <c r="Q553" s="672"/>
      <c r="R553" s="668"/>
      <c r="S553" s="676"/>
      <c r="T553" s="676"/>
    </row>
    <row r="554" spans="1:20" s="677" customFormat="1" ht="60" hidden="1" customHeight="1">
      <c r="A554" s="690"/>
      <c r="B554" s="666">
        <f t="shared" si="49"/>
        <v>0</v>
      </c>
      <c r="C554" s="663" t="s">
        <v>1656</v>
      </c>
      <c r="D554" s="675">
        <f>[14]Data!X133</f>
        <v>96.75</v>
      </c>
      <c r="E554" s="674"/>
      <c r="F554" s="663">
        <f t="shared" si="54"/>
        <v>0</v>
      </c>
      <c r="G554" s="684"/>
      <c r="H554" s="667">
        <f t="shared" si="53"/>
        <v>0</v>
      </c>
      <c r="I554" s="675"/>
      <c r="J554" s="667">
        <f t="shared" si="50"/>
        <v>0</v>
      </c>
      <c r="K554" s="667"/>
      <c r="L554" s="667"/>
      <c r="M554" s="667" t="e">
        <f>G554+#REF!+#REF!+#REF!+I554+#REF!+#REF!+#REF!+#REF!+#REF!+#REF!+K554+#REF!+#REF!+#REF!</f>
        <v>#REF!</v>
      </c>
      <c r="N554" s="667" t="e">
        <f t="shared" si="51"/>
        <v>#REF!</v>
      </c>
      <c r="O554" s="665" t="e">
        <f>#REF!+M554</f>
        <v>#REF!</v>
      </c>
      <c r="P554" s="666" t="e">
        <f t="shared" si="52"/>
        <v>#REF!</v>
      </c>
      <c r="Q554" s="672"/>
      <c r="R554" s="668"/>
      <c r="S554" s="676"/>
      <c r="T554" s="676"/>
    </row>
    <row r="555" spans="1:20" s="677" customFormat="1" ht="25.5" hidden="1" customHeight="1">
      <c r="A555" s="662">
        <v>8.4</v>
      </c>
      <c r="B555" s="666">
        <f t="shared" si="49"/>
        <v>0</v>
      </c>
      <c r="C555" s="685" t="s">
        <v>1657</v>
      </c>
      <c r="D555" s="675"/>
      <c r="E555" s="674"/>
      <c r="F555" s="663">
        <f t="shared" si="54"/>
        <v>0</v>
      </c>
      <c r="G555" s="684"/>
      <c r="H555" s="667">
        <f t="shared" si="53"/>
        <v>0</v>
      </c>
      <c r="I555" s="675"/>
      <c r="J555" s="667">
        <f t="shared" si="50"/>
        <v>0</v>
      </c>
      <c r="K555" s="667"/>
      <c r="L555" s="667"/>
      <c r="M555" s="667" t="e">
        <f>G555+#REF!+#REF!+#REF!+I555+#REF!+#REF!+#REF!+#REF!+#REF!+#REF!+K555+#REF!+#REF!+#REF!</f>
        <v>#REF!</v>
      </c>
      <c r="N555" s="667" t="e">
        <f t="shared" si="51"/>
        <v>#REF!</v>
      </c>
      <c r="O555" s="665" t="e">
        <f>#REF!+M555</f>
        <v>#REF!</v>
      </c>
      <c r="P555" s="666" t="e">
        <f t="shared" si="52"/>
        <v>#REF!</v>
      </c>
      <c r="Q555" s="672"/>
      <c r="R555" s="668"/>
      <c r="S555" s="676"/>
      <c r="T555" s="676"/>
    </row>
    <row r="556" spans="1:20" s="677" customFormat="1" ht="25.5" hidden="1" customHeight="1">
      <c r="A556" s="662"/>
      <c r="B556" s="666">
        <f t="shared" si="49"/>
        <v>0</v>
      </c>
      <c r="C556" s="663" t="s">
        <v>1635</v>
      </c>
      <c r="D556" s="675">
        <f>ROUND([14]Data!K2911,2)</f>
        <v>6854.05</v>
      </c>
      <c r="E556" s="674" t="s">
        <v>16</v>
      </c>
      <c r="F556" s="663">
        <f t="shared" si="54"/>
        <v>0</v>
      </c>
      <c r="G556" s="684"/>
      <c r="H556" s="667">
        <f t="shared" si="53"/>
        <v>0</v>
      </c>
      <c r="I556" s="675"/>
      <c r="J556" s="667">
        <f t="shared" si="50"/>
        <v>0</v>
      </c>
      <c r="K556" s="667"/>
      <c r="L556" s="667"/>
      <c r="M556" s="667" t="e">
        <f>G556+#REF!+#REF!+#REF!+I556+#REF!+#REF!+#REF!+#REF!+#REF!+#REF!+K556+#REF!+#REF!+#REF!</f>
        <v>#REF!</v>
      </c>
      <c r="N556" s="667" t="e">
        <f t="shared" si="51"/>
        <v>#REF!</v>
      </c>
      <c r="O556" s="665" t="e">
        <f>#REF!+M556</f>
        <v>#REF!</v>
      </c>
      <c r="P556" s="666" t="e">
        <f t="shared" si="52"/>
        <v>#REF!</v>
      </c>
      <c r="Q556" s="672"/>
      <c r="R556" s="668"/>
      <c r="S556" s="676"/>
      <c r="T556" s="676"/>
    </row>
    <row r="557" spans="1:20" s="677" customFormat="1" ht="25.5" hidden="1" customHeight="1">
      <c r="A557" s="662"/>
      <c r="B557" s="666">
        <f t="shared" si="49"/>
        <v>0</v>
      </c>
      <c r="C557" s="663" t="s">
        <v>1630</v>
      </c>
      <c r="D557" s="675">
        <f>ROUND([14]Data!K2913,2)</f>
        <v>6957.35</v>
      </c>
      <c r="E557" s="674" t="s">
        <v>16</v>
      </c>
      <c r="F557" s="663">
        <f t="shared" si="54"/>
        <v>0</v>
      </c>
      <c r="G557" s="684"/>
      <c r="H557" s="667">
        <f t="shared" si="53"/>
        <v>0</v>
      </c>
      <c r="I557" s="675"/>
      <c r="J557" s="667">
        <f t="shared" si="50"/>
        <v>0</v>
      </c>
      <c r="K557" s="667"/>
      <c r="L557" s="667"/>
      <c r="M557" s="667" t="e">
        <f>G557+#REF!+#REF!+#REF!+I557+#REF!+#REF!+#REF!+#REF!+#REF!+#REF!+K557+#REF!+#REF!+#REF!</f>
        <v>#REF!</v>
      </c>
      <c r="N557" s="667" t="e">
        <f t="shared" si="51"/>
        <v>#REF!</v>
      </c>
      <c r="O557" s="665" t="e">
        <f>#REF!+M557</f>
        <v>#REF!</v>
      </c>
      <c r="P557" s="666" t="e">
        <f t="shared" si="52"/>
        <v>#REF!</v>
      </c>
      <c r="Q557" s="672"/>
      <c r="R557" s="668"/>
      <c r="S557" s="676"/>
      <c r="T557" s="676"/>
    </row>
    <row r="558" spans="1:20" s="677" customFormat="1" ht="25.5" hidden="1" customHeight="1">
      <c r="A558" s="662"/>
      <c r="B558" s="666">
        <f t="shared" si="49"/>
        <v>0</v>
      </c>
      <c r="C558" s="663" t="s">
        <v>1658</v>
      </c>
      <c r="D558" s="675">
        <f>ROUND([14]Data!K2914,2)</f>
        <v>7160.85</v>
      </c>
      <c r="E558" s="674" t="s">
        <v>16</v>
      </c>
      <c r="F558" s="663">
        <f t="shared" si="54"/>
        <v>0</v>
      </c>
      <c r="G558" s="684"/>
      <c r="H558" s="667">
        <f t="shared" si="53"/>
        <v>0</v>
      </c>
      <c r="I558" s="675"/>
      <c r="J558" s="667">
        <f t="shared" si="50"/>
        <v>0</v>
      </c>
      <c r="K558" s="667"/>
      <c r="L558" s="667"/>
      <c r="M558" s="667" t="e">
        <f>G558+#REF!+#REF!+#REF!+I558+#REF!+#REF!+#REF!+#REF!+#REF!+#REF!+K558+#REF!+#REF!+#REF!</f>
        <v>#REF!</v>
      </c>
      <c r="N558" s="667" t="e">
        <f t="shared" si="51"/>
        <v>#REF!</v>
      </c>
      <c r="O558" s="665" t="e">
        <f>#REF!+M558</f>
        <v>#REF!</v>
      </c>
      <c r="P558" s="666" t="e">
        <f t="shared" si="52"/>
        <v>#REF!</v>
      </c>
      <c r="Q558" s="672"/>
      <c r="R558" s="668"/>
      <c r="S558" s="676"/>
      <c r="T558" s="676"/>
    </row>
    <row r="559" spans="1:20" s="677" customFormat="1" ht="25.5" hidden="1" customHeight="1">
      <c r="A559" s="690"/>
      <c r="B559" s="666">
        <f t="shared" si="49"/>
        <v>0</v>
      </c>
      <c r="C559" s="663" t="s">
        <v>1659</v>
      </c>
      <c r="D559" s="660">
        <f>ROUND([14]Data!K2915,2)</f>
        <v>7364.35</v>
      </c>
      <c r="E559" s="674" t="s">
        <v>16</v>
      </c>
      <c r="F559" s="663">
        <f t="shared" si="54"/>
        <v>0</v>
      </c>
      <c r="G559" s="684"/>
      <c r="H559" s="667">
        <f t="shared" si="53"/>
        <v>0</v>
      </c>
      <c r="I559" s="675"/>
      <c r="J559" s="667">
        <f t="shared" si="50"/>
        <v>0</v>
      </c>
      <c r="K559" s="667"/>
      <c r="L559" s="667"/>
      <c r="M559" s="667" t="e">
        <f>G559+#REF!+#REF!+#REF!+I559+#REF!+#REF!+#REF!+#REF!+#REF!+#REF!+K559+#REF!+#REF!+#REF!</f>
        <v>#REF!</v>
      </c>
      <c r="N559" s="667" t="e">
        <f t="shared" si="51"/>
        <v>#REF!</v>
      </c>
      <c r="O559" s="665" t="e">
        <f>#REF!+M559</f>
        <v>#REF!</v>
      </c>
      <c r="P559" s="666" t="e">
        <f t="shared" si="52"/>
        <v>#REF!</v>
      </c>
      <c r="Q559" s="672"/>
      <c r="R559" s="668"/>
      <c r="S559" s="676"/>
      <c r="T559" s="676"/>
    </row>
    <row r="560" spans="1:20" s="677" customFormat="1" ht="46.5" hidden="1" customHeight="1">
      <c r="A560" s="662">
        <v>8.5</v>
      </c>
      <c r="B560" s="666">
        <f t="shared" si="49"/>
        <v>0</v>
      </c>
      <c r="C560" s="685" t="s">
        <v>1660</v>
      </c>
      <c r="D560" s="675"/>
      <c r="E560" s="674"/>
      <c r="F560" s="663">
        <f t="shared" si="54"/>
        <v>0</v>
      </c>
      <c r="G560" s="684"/>
      <c r="H560" s="667">
        <f t="shared" si="53"/>
        <v>0</v>
      </c>
      <c r="I560" s="675"/>
      <c r="J560" s="667">
        <f t="shared" si="50"/>
        <v>0</v>
      </c>
      <c r="K560" s="667"/>
      <c r="L560" s="667"/>
      <c r="M560" s="667" t="e">
        <f>G560+#REF!+#REF!+#REF!+I560+#REF!+#REF!+#REF!+#REF!+#REF!+#REF!+K560+#REF!+#REF!+#REF!</f>
        <v>#REF!</v>
      </c>
      <c r="N560" s="667" t="e">
        <f t="shared" si="51"/>
        <v>#REF!</v>
      </c>
      <c r="O560" s="665" t="e">
        <f>#REF!+M560</f>
        <v>#REF!</v>
      </c>
      <c r="P560" s="666" t="e">
        <f t="shared" si="52"/>
        <v>#REF!</v>
      </c>
      <c r="Q560" s="672"/>
      <c r="R560" s="668"/>
      <c r="S560" s="676"/>
      <c r="T560" s="676"/>
    </row>
    <row r="561" spans="1:21" s="677" customFormat="1" ht="25.5" hidden="1" customHeight="1">
      <c r="A561" s="662"/>
      <c r="B561" s="666">
        <f t="shared" si="49"/>
        <v>0</v>
      </c>
      <c r="C561" s="663" t="s">
        <v>1661</v>
      </c>
      <c r="D561" s="675">
        <f>ROUND([14]Data!K2931,2)</f>
        <v>615.28</v>
      </c>
      <c r="E561" s="674" t="s">
        <v>61</v>
      </c>
      <c r="F561" s="663">
        <f t="shared" si="54"/>
        <v>0</v>
      </c>
      <c r="G561" s="684"/>
      <c r="H561" s="667">
        <f t="shared" si="53"/>
        <v>0</v>
      </c>
      <c r="I561" s="675"/>
      <c r="J561" s="667">
        <f t="shared" si="50"/>
        <v>0</v>
      </c>
      <c r="K561" s="667"/>
      <c r="L561" s="667"/>
      <c r="M561" s="667" t="e">
        <f>G561+#REF!+#REF!+#REF!+I561+#REF!+#REF!+#REF!+#REF!+#REF!+#REF!+K561+#REF!+#REF!+#REF!</f>
        <v>#REF!</v>
      </c>
      <c r="N561" s="667" t="e">
        <f t="shared" si="51"/>
        <v>#REF!</v>
      </c>
      <c r="O561" s="665" t="e">
        <f>#REF!+M561</f>
        <v>#REF!</v>
      </c>
      <c r="P561" s="666" t="e">
        <f t="shared" si="52"/>
        <v>#REF!</v>
      </c>
      <c r="Q561" s="672"/>
      <c r="R561" s="668"/>
      <c r="S561" s="676"/>
      <c r="T561" s="676"/>
    </row>
    <row r="562" spans="1:21" s="677" customFormat="1" ht="25.5" hidden="1" customHeight="1">
      <c r="A562" s="662"/>
      <c r="B562" s="666">
        <f t="shared" si="49"/>
        <v>0</v>
      </c>
      <c r="C562" s="663" t="s">
        <v>1662</v>
      </c>
      <c r="D562" s="675">
        <f>ROUND([14]Data!K2940,2)</f>
        <v>618.77</v>
      </c>
      <c r="E562" s="674" t="s">
        <v>61</v>
      </c>
      <c r="F562" s="663">
        <f t="shared" si="54"/>
        <v>0</v>
      </c>
      <c r="G562" s="684"/>
      <c r="H562" s="667">
        <f t="shared" si="53"/>
        <v>0</v>
      </c>
      <c r="I562" s="675"/>
      <c r="J562" s="667">
        <f t="shared" si="50"/>
        <v>0</v>
      </c>
      <c r="K562" s="667"/>
      <c r="L562" s="667"/>
      <c r="M562" s="667" t="e">
        <f>G562+#REF!+#REF!+#REF!+I562+#REF!+#REF!+#REF!+#REF!+#REF!+#REF!+K562+#REF!+#REF!+#REF!</f>
        <v>#REF!</v>
      </c>
      <c r="N562" s="667" t="e">
        <f t="shared" si="51"/>
        <v>#REF!</v>
      </c>
      <c r="O562" s="665" t="e">
        <f>#REF!+M562</f>
        <v>#REF!</v>
      </c>
      <c r="P562" s="666" t="e">
        <f t="shared" si="52"/>
        <v>#REF!</v>
      </c>
      <c r="Q562" s="672"/>
      <c r="R562" s="668"/>
      <c r="S562" s="676"/>
      <c r="T562" s="676"/>
    </row>
    <row r="563" spans="1:21" s="677" customFormat="1" ht="25.5" hidden="1" customHeight="1">
      <c r="A563" s="662"/>
      <c r="B563" s="666">
        <f t="shared" si="49"/>
        <v>0</v>
      </c>
      <c r="C563" s="663" t="s">
        <v>1663</v>
      </c>
      <c r="D563" s="675">
        <f>ROUND([14]Data!K2950,2)</f>
        <v>622.26</v>
      </c>
      <c r="E563" s="674" t="s">
        <v>61</v>
      </c>
      <c r="F563" s="663">
        <f t="shared" si="54"/>
        <v>0</v>
      </c>
      <c r="G563" s="684"/>
      <c r="H563" s="667">
        <f t="shared" si="53"/>
        <v>0</v>
      </c>
      <c r="I563" s="675"/>
      <c r="J563" s="667">
        <f t="shared" si="50"/>
        <v>0</v>
      </c>
      <c r="K563" s="667"/>
      <c r="L563" s="667"/>
      <c r="M563" s="667" t="e">
        <f>G563+#REF!+#REF!+#REF!+I563+#REF!+#REF!+#REF!+#REF!+#REF!+#REF!+K563+#REF!+#REF!+#REF!</f>
        <v>#REF!</v>
      </c>
      <c r="N563" s="667" t="e">
        <f t="shared" si="51"/>
        <v>#REF!</v>
      </c>
      <c r="O563" s="665" t="e">
        <f>#REF!+M563</f>
        <v>#REF!</v>
      </c>
      <c r="P563" s="666" t="e">
        <f t="shared" si="52"/>
        <v>#REF!</v>
      </c>
      <c r="Q563" s="672"/>
      <c r="R563" s="668"/>
      <c r="S563" s="676"/>
      <c r="T563" s="676"/>
    </row>
    <row r="564" spans="1:21" s="677" customFormat="1" ht="51" hidden="1" customHeight="1">
      <c r="A564" s="662" t="s">
        <v>1664</v>
      </c>
      <c r="B564" s="666">
        <f t="shared" si="49"/>
        <v>0</v>
      </c>
      <c r="C564" s="685" t="s">
        <v>1665</v>
      </c>
      <c r="D564" s="675"/>
      <c r="E564" s="674"/>
      <c r="F564" s="663">
        <f t="shared" si="54"/>
        <v>0</v>
      </c>
      <c r="G564" s="684"/>
      <c r="H564" s="667">
        <f t="shared" si="53"/>
        <v>0</v>
      </c>
      <c r="I564" s="675"/>
      <c r="J564" s="667">
        <f t="shared" si="50"/>
        <v>0</v>
      </c>
      <c r="K564" s="667"/>
      <c r="L564" s="667"/>
      <c r="M564" s="667" t="e">
        <f>G564+#REF!+#REF!+#REF!+I564+#REF!+#REF!+#REF!+#REF!+#REF!+#REF!+K564+#REF!+#REF!+#REF!</f>
        <v>#REF!</v>
      </c>
      <c r="N564" s="667" t="e">
        <f t="shared" si="51"/>
        <v>#REF!</v>
      </c>
      <c r="O564" s="665" t="e">
        <f>#REF!+M564</f>
        <v>#REF!</v>
      </c>
      <c r="P564" s="666" t="e">
        <f t="shared" si="52"/>
        <v>#REF!</v>
      </c>
      <c r="Q564" s="672"/>
      <c r="R564" s="668"/>
      <c r="S564" s="676"/>
      <c r="T564" s="676"/>
    </row>
    <row r="565" spans="1:21" s="677" customFormat="1" ht="25.5" hidden="1" customHeight="1">
      <c r="A565" s="662"/>
      <c r="B565" s="666">
        <f t="shared" si="49"/>
        <v>0</v>
      </c>
      <c r="C565" s="663" t="s">
        <v>1666</v>
      </c>
      <c r="D565" s="675">
        <f>'[14]pile data ( M20 grade)'!F81</f>
        <v>2644.2</v>
      </c>
      <c r="E565" s="674" t="s">
        <v>61</v>
      </c>
      <c r="F565" s="663">
        <f t="shared" si="54"/>
        <v>0</v>
      </c>
      <c r="G565" s="684"/>
      <c r="H565" s="667">
        <f t="shared" si="53"/>
        <v>0</v>
      </c>
      <c r="I565" s="675"/>
      <c r="J565" s="667">
        <f t="shared" si="50"/>
        <v>0</v>
      </c>
      <c r="K565" s="667"/>
      <c r="L565" s="667"/>
      <c r="M565" s="667" t="e">
        <f>G565+#REF!+#REF!+#REF!+I565+#REF!+#REF!+#REF!+#REF!+#REF!+#REF!+K565+#REF!+#REF!+#REF!</f>
        <v>#REF!</v>
      </c>
      <c r="N565" s="667" t="e">
        <f t="shared" si="51"/>
        <v>#REF!</v>
      </c>
      <c r="O565" s="665" t="e">
        <f>#REF!+M565</f>
        <v>#REF!</v>
      </c>
      <c r="P565" s="666" t="e">
        <f t="shared" si="52"/>
        <v>#REF!</v>
      </c>
      <c r="Q565" s="672"/>
      <c r="R565" s="668"/>
      <c r="S565" s="676"/>
      <c r="T565" s="676"/>
    </row>
    <row r="566" spans="1:21" s="677" customFormat="1" ht="69.75" hidden="1" customHeight="1">
      <c r="A566" s="662"/>
      <c r="B566" s="666">
        <f t="shared" si="49"/>
        <v>0</v>
      </c>
      <c r="C566" s="738" t="s">
        <v>1667</v>
      </c>
      <c r="D566" s="675"/>
      <c r="E566" s="674"/>
      <c r="F566" s="663">
        <f t="shared" si="54"/>
        <v>0</v>
      </c>
      <c r="G566" s="684"/>
      <c r="H566" s="667">
        <f t="shared" si="53"/>
        <v>0</v>
      </c>
      <c r="I566" s="675"/>
      <c r="J566" s="667">
        <f t="shared" si="50"/>
        <v>0</v>
      </c>
      <c r="K566" s="667"/>
      <c r="L566" s="667"/>
      <c r="M566" s="667" t="e">
        <f>G566+#REF!+#REF!+#REF!+I566+#REF!+#REF!+#REF!+#REF!+#REF!+#REF!+K566+#REF!+#REF!+#REF!</f>
        <v>#REF!</v>
      </c>
      <c r="N566" s="667" t="e">
        <f t="shared" si="51"/>
        <v>#REF!</v>
      </c>
      <c r="O566" s="665" t="e">
        <f>#REF!+M566</f>
        <v>#REF!</v>
      </c>
      <c r="P566" s="666" t="e">
        <f t="shared" si="52"/>
        <v>#REF!</v>
      </c>
      <c r="Q566" s="672"/>
      <c r="R566" s="668"/>
      <c r="S566" s="676"/>
      <c r="T566" s="676"/>
    </row>
    <row r="567" spans="1:21" s="677" customFormat="1" ht="25.5" hidden="1" customHeight="1">
      <c r="A567" s="662"/>
      <c r="B567" s="666">
        <f t="shared" si="49"/>
        <v>0</v>
      </c>
      <c r="C567" s="738" t="s">
        <v>1668</v>
      </c>
      <c r="D567" s="739">
        <f>'[14]pile data ( M20 grade)'!F92</f>
        <v>710.92</v>
      </c>
      <c r="E567" s="740" t="s">
        <v>61</v>
      </c>
      <c r="F567" s="663">
        <f t="shared" si="54"/>
        <v>0</v>
      </c>
      <c r="G567" s="684"/>
      <c r="H567" s="667">
        <f t="shared" si="53"/>
        <v>0</v>
      </c>
      <c r="I567" s="675"/>
      <c r="J567" s="667">
        <f t="shared" si="50"/>
        <v>0</v>
      </c>
      <c r="K567" s="667"/>
      <c r="L567" s="667"/>
      <c r="M567" s="667" t="e">
        <f>G567+#REF!+#REF!+#REF!+I567+#REF!+#REF!+#REF!+#REF!+#REF!+#REF!+K567+#REF!+#REF!+#REF!</f>
        <v>#REF!</v>
      </c>
      <c r="N567" s="667" t="e">
        <f t="shared" si="51"/>
        <v>#REF!</v>
      </c>
      <c r="O567" s="665" t="e">
        <f>#REF!+M567</f>
        <v>#REF!</v>
      </c>
      <c r="P567" s="666" t="e">
        <f t="shared" si="52"/>
        <v>#REF!</v>
      </c>
      <c r="Q567" s="672"/>
      <c r="R567" s="668"/>
      <c r="S567" s="676"/>
      <c r="T567" s="676"/>
    </row>
    <row r="568" spans="1:21" s="677" customFormat="1" ht="46.5" hidden="1" customHeight="1">
      <c r="A568" s="662"/>
      <c r="B568" s="666">
        <f t="shared" si="49"/>
        <v>0</v>
      </c>
      <c r="C568" s="738" t="s">
        <v>1669</v>
      </c>
      <c r="D568" s="739">
        <v>70000</v>
      </c>
      <c r="E568" s="741" t="s">
        <v>4</v>
      </c>
      <c r="F568" s="663">
        <f t="shared" si="54"/>
        <v>0</v>
      </c>
      <c r="G568" s="684"/>
      <c r="H568" s="667">
        <f t="shared" si="53"/>
        <v>0</v>
      </c>
      <c r="I568" s="675"/>
      <c r="J568" s="667">
        <f t="shared" si="50"/>
        <v>0</v>
      </c>
      <c r="K568" s="667"/>
      <c r="L568" s="667"/>
      <c r="M568" s="667" t="e">
        <f>G568+#REF!+#REF!+#REF!+I568+#REF!+#REF!+#REF!+#REF!+#REF!+#REF!+K568+#REF!+#REF!+#REF!</f>
        <v>#REF!</v>
      </c>
      <c r="N568" s="667" t="e">
        <f t="shared" si="51"/>
        <v>#REF!</v>
      </c>
      <c r="O568" s="665" t="e">
        <f>#REF!+M568</f>
        <v>#REF!</v>
      </c>
      <c r="P568" s="666" t="e">
        <f t="shared" si="52"/>
        <v>#REF!</v>
      </c>
      <c r="Q568" s="672"/>
      <c r="R568" s="668"/>
      <c r="S568" s="676"/>
      <c r="T568" s="676"/>
    </row>
    <row r="569" spans="1:21" s="677" customFormat="1" ht="27" hidden="1" customHeight="1">
      <c r="A569" s="662"/>
      <c r="B569" s="666">
        <f t="shared" si="49"/>
        <v>0</v>
      </c>
      <c r="C569" s="738" t="s">
        <v>1670</v>
      </c>
      <c r="D569" s="739">
        <v>50000</v>
      </c>
      <c r="E569" s="741" t="s">
        <v>1671</v>
      </c>
      <c r="F569" s="663">
        <f t="shared" si="54"/>
        <v>0</v>
      </c>
      <c r="G569" s="684"/>
      <c r="H569" s="667">
        <f t="shared" si="53"/>
        <v>0</v>
      </c>
      <c r="I569" s="675"/>
      <c r="J569" s="667">
        <f t="shared" si="50"/>
        <v>0</v>
      </c>
      <c r="K569" s="667"/>
      <c r="L569" s="667"/>
      <c r="M569" s="667" t="e">
        <f>G569+#REF!+#REF!+#REF!+I569+#REF!+#REF!+#REF!+#REF!+#REF!+#REF!+K569+#REF!+#REF!+#REF!</f>
        <v>#REF!</v>
      </c>
      <c r="N569" s="667" t="e">
        <f t="shared" si="51"/>
        <v>#REF!</v>
      </c>
      <c r="O569" s="665" t="e">
        <f>#REF!+M569</f>
        <v>#REF!</v>
      </c>
      <c r="P569" s="666" t="e">
        <f t="shared" si="52"/>
        <v>#REF!</v>
      </c>
      <c r="Q569" s="672"/>
      <c r="R569" s="668"/>
      <c r="S569" s="676"/>
      <c r="T569" s="676"/>
    </row>
    <row r="570" spans="1:21" s="677" customFormat="1" ht="37.5" hidden="1" customHeight="1">
      <c r="A570" s="662"/>
      <c r="B570" s="666">
        <f t="shared" si="49"/>
        <v>0</v>
      </c>
      <c r="C570" s="738" t="s">
        <v>1672</v>
      </c>
      <c r="D570" s="739">
        <f>[14]Data!K2448</f>
        <v>686.18</v>
      </c>
      <c r="E570" s="741" t="s">
        <v>37</v>
      </c>
      <c r="F570" s="663">
        <f t="shared" si="54"/>
        <v>0</v>
      </c>
      <c r="G570" s="684"/>
      <c r="H570" s="667">
        <f t="shared" si="53"/>
        <v>0</v>
      </c>
      <c r="I570" s="675"/>
      <c r="J570" s="667">
        <f t="shared" si="50"/>
        <v>0</v>
      </c>
      <c r="K570" s="667"/>
      <c r="L570" s="667"/>
      <c r="M570" s="667" t="e">
        <f>G570+#REF!+#REF!+#REF!+I570+#REF!+#REF!+#REF!+#REF!+#REF!+#REF!+K570+#REF!+#REF!+#REF!</f>
        <v>#REF!</v>
      </c>
      <c r="N570" s="667" t="e">
        <f t="shared" si="51"/>
        <v>#REF!</v>
      </c>
      <c r="O570" s="665" t="e">
        <f>#REF!+M570</f>
        <v>#REF!</v>
      </c>
      <c r="P570" s="666" t="e">
        <f t="shared" si="52"/>
        <v>#REF!</v>
      </c>
      <c r="Q570" s="672"/>
      <c r="R570" s="668"/>
      <c r="S570" s="676"/>
      <c r="T570" s="676"/>
    </row>
    <row r="571" spans="1:21" ht="45.75" customHeight="1">
      <c r="A571" s="662">
        <v>18.100000000000001</v>
      </c>
      <c r="B571" s="666">
        <f t="shared" si="49"/>
        <v>0</v>
      </c>
      <c r="C571" s="685" t="s">
        <v>549</v>
      </c>
      <c r="D571" s="667"/>
      <c r="E571" s="663"/>
      <c r="F571" s="663">
        <f t="shared" si="54"/>
        <v>0</v>
      </c>
      <c r="G571" s="667"/>
      <c r="H571" s="667">
        <f t="shared" si="53"/>
        <v>0</v>
      </c>
      <c r="I571" s="667"/>
      <c r="J571" s="667">
        <f t="shared" si="50"/>
        <v>0</v>
      </c>
      <c r="K571" s="667"/>
      <c r="L571" s="667"/>
      <c r="M571" s="667" t="e">
        <f>G571+#REF!+#REF!+#REF!+I571+#REF!+#REF!+#REF!+#REF!+#REF!+#REF!+K571+#REF!+#REF!+#REF!</f>
        <v>#REF!</v>
      </c>
      <c r="N571" s="667" t="e">
        <f t="shared" si="51"/>
        <v>#REF!</v>
      </c>
      <c r="O571" s="665" t="e">
        <f>#REF!+M571</f>
        <v>#REF!</v>
      </c>
      <c r="P571" s="666" t="e">
        <f t="shared" si="52"/>
        <v>#REF!</v>
      </c>
      <c r="Q571" s="668"/>
      <c r="R571" s="668"/>
      <c r="S571" s="678"/>
      <c r="U571" s="679"/>
    </row>
    <row r="572" spans="1:21" ht="63" customHeight="1">
      <c r="A572" s="662"/>
      <c r="B572" s="666">
        <f t="shared" si="49"/>
        <v>0</v>
      </c>
      <c r="C572" s="663" t="s">
        <v>124</v>
      </c>
      <c r="D572" s="667">
        <f>ROUND([14]Data!I2354,2)</f>
        <v>739.38</v>
      </c>
      <c r="E572" s="663" t="s">
        <v>37</v>
      </c>
      <c r="F572" s="663">
        <f t="shared" si="54"/>
        <v>0</v>
      </c>
      <c r="G572" s="667"/>
      <c r="H572" s="667">
        <f t="shared" si="53"/>
        <v>0</v>
      </c>
      <c r="I572" s="667"/>
      <c r="J572" s="667">
        <f t="shared" si="50"/>
        <v>0</v>
      </c>
      <c r="K572" s="667"/>
      <c r="L572" s="667"/>
      <c r="M572" s="667" t="e">
        <f>G572+#REF!+#REF!+#REF!+I572+#REF!+#REF!+#REF!+#REF!+#REF!+#REF!+K572+#REF!+#REF!+#REF!</f>
        <v>#REF!</v>
      </c>
      <c r="N572" s="667" t="e">
        <f t="shared" si="51"/>
        <v>#REF!</v>
      </c>
      <c r="O572" s="665" t="e">
        <f>#REF!+M572</f>
        <v>#REF!</v>
      </c>
      <c r="P572" s="666" t="e">
        <f t="shared" si="52"/>
        <v>#REF!</v>
      </c>
      <c r="Q572" s="672"/>
      <c r="R572" s="668"/>
    </row>
    <row r="573" spans="1:21" ht="93.75" customHeight="1">
      <c r="A573" s="662"/>
      <c r="B573" s="666">
        <f t="shared" si="49"/>
        <v>11.701000000000001</v>
      </c>
      <c r="C573" s="663" t="s">
        <v>31</v>
      </c>
      <c r="D573" s="667">
        <f>ROUND([14]Data!I2356,2)</f>
        <v>831.23</v>
      </c>
      <c r="E573" s="663" t="s">
        <v>37</v>
      </c>
      <c r="F573" s="663">
        <f t="shared" si="54"/>
        <v>9726.2222300000012</v>
      </c>
      <c r="G573" s="699">
        <f>'Septic Tank'!$G$54</f>
        <v>11.701000000000001</v>
      </c>
      <c r="H573" s="667">
        <f t="shared" si="53"/>
        <v>9726.2222300000012</v>
      </c>
      <c r="I573" s="667"/>
      <c r="J573" s="667">
        <f t="shared" si="50"/>
        <v>0</v>
      </c>
      <c r="K573" s="667"/>
      <c r="L573" s="667"/>
      <c r="M573" s="667" t="e">
        <f>G573+#REF!+#REF!+#REF!+I573+#REF!+#REF!+#REF!+#REF!+#REF!+#REF!+K573+#REF!+#REF!+#REF!</f>
        <v>#REF!</v>
      </c>
      <c r="N573" s="667" t="e">
        <f t="shared" si="51"/>
        <v>#REF!</v>
      </c>
      <c r="O573" s="665" t="e">
        <f>#REF!+M573</f>
        <v>#REF!</v>
      </c>
      <c r="P573" s="666" t="e">
        <f t="shared" si="52"/>
        <v>#REF!</v>
      </c>
      <c r="Q573" s="672"/>
      <c r="R573" s="668"/>
    </row>
    <row r="574" spans="1:21" ht="63" hidden="1" customHeight="1">
      <c r="A574" s="666"/>
      <c r="B574" s="666">
        <f t="shared" si="49"/>
        <v>0</v>
      </c>
      <c r="C574" s="663" t="s">
        <v>131</v>
      </c>
      <c r="D574" s="667">
        <f>ROUND([14]Data!I2358,2)</f>
        <v>997.48</v>
      </c>
      <c r="E574" s="663" t="s">
        <v>37</v>
      </c>
      <c r="F574" s="663">
        <f t="shared" si="54"/>
        <v>0</v>
      </c>
      <c r="G574" s="699"/>
      <c r="H574" s="667">
        <f t="shared" si="53"/>
        <v>0</v>
      </c>
      <c r="I574" s="667"/>
      <c r="J574" s="667">
        <f t="shared" si="50"/>
        <v>0</v>
      </c>
      <c r="K574" s="667"/>
      <c r="L574" s="667"/>
      <c r="M574" s="667" t="e">
        <f>G574+#REF!+#REF!+#REF!+I574+#REF!+#REF!+#REF!+#REF!+#REF!+#REF!+K574+#REF!+#REF!+#REF!</f>
        <v>#REF!</v>
      </c>
      <c r="N574" s="667" t="e">
        <f t="shared" si="51"/>
        <v>#REF!</v>
      </c>
      <c r="O574" s="665" t="e">
        <f>#REF!+M574</f>
        <v>#REF!</v>
      </c>
      <c r="P574" s="666" t="e">
        <f t="shared" si="52"/>
        <v>#REF!</v>
      </c>
      <c r="Q574" s="672"/>
      <c r="R574" s="668"/>
    </row>
    <row r="575" spans="1:21" ht="48" hidden="1" customHeight="1">
      <c r="A575" s="667"/>
      <c r="B575" s="666">
        <f t="shared" si="49"/>
        <v>0</v>
      </c>
      <c r="C575" s="663" t="s">
        <v>1673</v>
      </c>
      <c r="D575" s="667">
        <f>[14]Data!I2360</f>
        <v>914.35</v>
      </c>
      <c r="E575" s="663" t="s">
        <v>37</v>
      </c>
      <c r="F575" s="663">
        <f t="shared" si="54"/>
        <v>0</v>
      </c>
      <c r="G575" s="666"/>
      <c r="H575" s="667">
        <f t="shared" si="53"/>
        <v>0</v>
      </c>
      <c r="I575" s="667"/>
      <c r="J575" s="667">
        <f t="shared" si="50"/>
        <v>0</v>
      </c>
      <c r="K575" s="667"/>
      <c r="L575" s="667"/>
      <c r="M575" s="667" t="e">
        <f>G575+#REF!+#REF!+#REF!+I575+#REF!+#REF!+#REF!+#REF!+#REF!+#REF!+K575+#REF!+#REF!+#REF!</f>
        <v>#REF!</v>
      </c>
      <c r="N575" s="667" t="e">
        <f t="shared" si="51"/>
        <v>#REF!</v>
      </c>
      <c r="O575" s="665" t="e">
        <f>#REF!+M575</f>
        <v>#REF!</v>
      </c>
      <c r="P575" s="666" t="e">
        <f t="shared" si="52"/>
        <v>#REF!</v>
      </c>
      <c r="Q575" s="672"/>
      <c r="R575" s="668"/>
    </row>
    <row r="576" spans="1:21" s="677" customFormat="1" ht="64.5" hidden="1" customHeight="1">
      <c r="A576" s="690"/>
      <c r="B576" s="666">
        <f t="shared" si="49"/>
        <v>0</v>
      </c>
      <c r="C576" s="663" t="s">
        <v>1674</v>
      </c>
      <c r="D576" s="675">
        <f>D574*2</f>
        <v>1994.96</v>
      </c>
      <c r="E576" s="674" t="s">
        <v>37</v>
      </c>
      <c r="F576" s="663">
        <f t="shared" si="54"/>
        <v>0</v>
      </c>
      <c r="G576" s="684"/>
      <c r="H576" s="667">
        <f t="shared" si="53"/>
        <v>0</v>
      </c>
      <c r="I576" s="675"/>
      <c r="J576" s="667">
        <f t="shared" si="50"/>
        <v>0</v>
      </c>
      <c r="K576" s="667"/>
      <c r="L576" s="667"/>
      <c r="M576" s="667" t="e">
        <f>G576+#REF!+#REF!+#REF!+I576+#REF!+#REF!+#REF!+#REF!+#REF!+#REF!+K576+#REF!+#REF!+#REF!</f>
        <v>#REF!</v>
      </c>
      <c r="N576" s="667" t="e">
        <f t="shared" si="51"/>
        <v>#REF!</v>
      </c>
      <c r="O576" s="665" t="e">
        <f>#REF!+M576</f>
        <v>#REF!</v>
      </c>
      <c r="P576" s="666" t="e">
        <f t="shared" si="52"/>
        <v>#REF!</v>
      </c>
      <c r="Q576" s="672"/>
      <c r="R576" s="668"/>
      <c r="S576" s="676"/>
      <c r="T576" s="676"/>
    </row>
    <row r="577" spans="1:21" ht="48" hidden="1" customHeight="1">
      <c r="A577" s="690"/>
      <c r="B577" s="666">
        <f t="shared" si="49"/>
        <v>0</v>
      </c>
      <c r="C577" s="663" t="s">
        <v>1675</v>
      </c>
      <c r="D577" s="667">
        <f>D573*1.5</f>
        <v>1246.845</v>
      </c>
      <c r="E577" s="663" t="s">
        <v>37</v>
      </c>
      <c r="F577" s="663">
        <f t="shared" si="54"/>
        <v>0</v>
      </c>
      <c r="G577" s="690"/>
      <c r="H577" s="667">
        <f t="shared" si="53"/>
        <v>0</v>
      </c>
      <c r="I577" s="667"/>
      <c r="J577" s="667">
        <f t="shared" si="50"/>
        <v>0</v>
      </c>
      <c r="K577" s="667"/>
      <c r="L577" s="667"/>
      <c r="M577" s="667" t="e">
        <f>G577+#REF!+#REF!+#REF!+I577+#REF!+#REF!+#REF!+#REF!+#REF!+#REF!+K577+#REF!+#REF!+#REF!</f>
        <v>#REF!</v>
      </c>
      <c r="N577" s="667" t="e">
        <f t="shared" si="51"/>
        <v>#REF!</v>
      </c>
      <c r="O577" s="665" t="e">
        <f>#REF!+M577</f>
        <v>#REF!</v>
      </c>
      <c r="P577" s="666" t="e">
        <f t="shared" si="52"/>
        <v>#REF!</v>
      </c>
      <c r="Q577" s="672"/>
      <c r="R577" s="668"/>
    </row>
    <row r="578" spans="1:21" s="677" customFormat="1" ht="57" hidden="1" customHeight="1">
      <c r="A578" s="690"/>
      <c r="B578" s="666">
        <f t="shared" si="49"/>
        <v>0</v>
      </c>
      <c r="C578" s="663" t="s">
        <v>1676</v>
      </c>
      <c r="D578" s="675">
        <f>D573*2</f>
        <v>1662.46</v>
      </c>
      <c r="E578" s="674" t="s">
        <v>37</v>
      </c>
      <c r="F578" s="663">
        <f t="shared" si="54"/>
        <v>0</v>
      </c>
      <c r="G578" s="684"/>
      <c r="H578" s="667">
        <f t="shared" si="53"/>
        <v>0</v>
      </c>
      <c r="I578" s="675"/>
      <c r="J578" s="667">
        <f t="shared" si="50"/>
        <v>0</v>
      </c>
      <c r="K578" s="667"/>
      <c r="L578" s="667"/>
      <c r="M578" s="667" t="e">
        <f>G578+#REF!+#REF!+#REF!+I578+#REF!+#REF!+#REF!+#REF!+#REF!+#REF!+K578+#REF!+#REF!+#REF!</f>
        <v>#REF!</v>
      </c>
      <c r="N578" s="667" t="e">
        <f t="shared" si="51"/>
        <v>#REF!</v>
      </c>
      <c r="O578" s="665" t="e">
        <f>#REF!+M578</f>
        <v>#REF!</v>
      </c>
      <c r="P578" s="666" t="e">
        <f t="shared" si="52"/>
        <v>#REF!</v>
      </c>
      <c r="Q578" s="672"/>
      <c r="R578" s="668"/>
      <c r="S578" s="676"/>
      <c r="T578" s="676"/>
    </row>
    <row r="579" spans="1:21" ht="82.5" hidden="1" customHeight="1">
      <c r="A579" s="662">
        <v>21.6</v>
      </c>
      <c r="B579" s="666">
        <f t="shared" ref="B579:B642" si="55">G579</f>
        <v>0</v>
      </c>
      <c r="C579" s="710" t="s">
        <v>1677</v>
      </c>
      <c r="D579" s="667"/>
      <c r="E579" s="663"/>
      <c r="F579" s="663">
        <f t="shared" si="54"/>
        <v>0</v>
      </c>
      <c r="G579" s="667"/>
      <c r="H579" s="667">
        <f t="shared" si="53"/>
        <v>0</v>
      </c>
      <c r="I579" s="667"/>
      <c r="J579" s="667">
        <f t="shared" si="50"/>
        <v>0</v>
      </c>
      <c r="K579" s="667"/>
      <c r="L579" s="667"/>
      <c r="M579" s="667" t="e">
        <f>G579+#REF!+#REF!+#REF!+I579+#REF!+#REF!+#REF!+#REF!+#REF!+#REF!+K579+#REF!+#REF!+#REF!</f>
        <v>#REF!</v>
      </c>
      <c r="N579" s="667" t="e">
        <f t="shared" si="51"/>
        <v>#REF!</v>
      </c>
      <c r="O579" s="665" t="e">
        <f>#REF!+M579</f>
        <v>#REF!</v>
      </c>
      <c r="P579" s="666" t="e">
        <f t="shared" si="52"/>
        <v>#REF!</v>
      </c>
      <c r="Q579" s="668"/>
      <c r="R579" s="668"/>
      <c r="S579" s="678"/>
      <c r="U579" s="679"/>
    </row>
    <row r="580" spans="1:21" ht="45" hidden="1" customHeight="1">
      <c r="A580" s="700"/>
      <c r="B580" s="666">
        <f t="shared" si="55"/>
        <v>0</v>
      </c>
      <c r="C580" s="663" t="s">
        <v>1473</v>
      </c>
      <c r="D580" s="667">
        <f>ROUND([14]Data!K889,2)</f>
        <v>2440.4499999999998</v>
      </c>
      <c r="E580" s="663" t="s">
        <v>522</v>
      </c>
      <c r="F580" s="663">
        <f t="shared" si="54"/>
        <v>0</v>
      </c>
      <c r="G580" s="699"/>
      <c r="H580" s="667">
        <f t="shared" si="53"/>
        <v>0</v>
      </c>
      <c r="I580" s="667"/>
      <c r="J580" s="667">
        <f t="shared" si="50"/>
        <v>0</v>
      </c>
      <c r="K580" s="667"/>
      <c r="L580" s="667"/>
      <c r="M580" s="667" t="e">
        <f>G580+#REF!+#REF!+#REF!+I580+#REF!+#REF!+#REF!+#REF!+#REF!+#REF!+K580+#REF!+#REF!+#REF!</f>
        <v>#REF!</v>
      </c>
      <c r="N580" s="667" t="e">
        <f t="shared" si="51"/>
        <v>#REF!</v>
      </c>
      <c r="O580" s="665" t="e">
        <f>#REF!+M580</f>
        <v>#REF!</v>
      </c>
      <c r="P580" s="666" t="e">
        <f t="shared" si="52"/>
        <v>#REF!</v>
      </c>
      <c r="Q580" s="672"/>
      <c r="R580" s="668"/>
    </row>
    <row r="581" spans="1:21" s="677" customFormat="1" ht="25.5" hidden="1" customHeight="1">
      <c r="A581" s="700"/>
      <c r="B581" s="666">
        <f t="shared" si="55"/>
        <v>0</v>
      </c>
      <c r="C581" s="663" t="s">
        <v>1678</v>
      </c>
      <c r="D581" s="675">
        <f>[14]Data!R864</f>
        <v>2930.64</v>
      </c>
      <c r="E581" s="674" t="s">
        <v>522</v>
      </c>
      <c r="F581" s="663">
        <f t="shared" si="54"/>
        <v>0</v>
      </c>
      <c r="G581" s="684"/>
      <c r="H581" s="667">
        <f t="shared" si="53"/>
        <v>0</v>
      </c>
      <c r="I581" s="675"/>
      <c r="J581" s="667">
        <f t="shared" ref="J581:J590" si="56">I581*D581</f>
        <v>0</v>
      </c>
      <c r="K581" s="667"/>
      <c r="L581" s="667"/>
      <c r="M581" s="667" t="e">
        <f>G581+#REF!+#REF!+#REF!+I581+#REF!+#REF!+#REF!+#REF!+#REF!+#REF!+K581+#REF!+#REF!+#REF!</f>
        <v>#REF!</v>
      </c>
      <c r="N581" s="667" t="e">
        <f t="shared" ref="N581:N644" si="57">M581*D581</f>
        <v>#REF!</v>
      </c>
      <c r="O581" s="665" t="e">
        <f>#REF!+M581</f>
        <v>#REF!</v>
      </c>
      <c r="P581" s="666" t="e">
        <f t="shared" ref="P581:P644" si="58">O581*D581</f>
        <v>#REF!</v>
      </c>
      <c r="Q581" s="672"/>
      <c r="R581" s="668"/>
      <c r="S581" s="676"/>
      <c r="T581" s="676"/>
    </row>
    <row r="582" spans="1:21" s="677" customFormat="1" ht="25.5" hidden="1" customHeight="1">
      <c r="A582" s="700"/>
      <c r="B582" s="666">
        <f t="shared" si="55"/>
        <v>0</v>
      </c>
      <c r="C582" s="663" t="s">
        <v>1679</v>
      </c>
      <c r="D582" s="675">
        <f>[14]Data!K905</f>
        <v>2406.77</v>
      </c>
      <c r="E582" s="674"/>
      <c r="F582" s="663">
        <f t="shared" si="54"/>
        <v>0</v>
      </c>
      <c r="G582" s="684"/>
      <c r="H582" s="667">
        <f t="shared" si="53"/>
        <v>0</v>
      </c>
      <c r="I582" s="675"/>
      <c r="J582" s="667">
        <f t="shared" si="56"/>
        <v>0</v>
      </c>
      <c r="K582" s="667"/>
      <c r="L582" s="667"/>
      <c r="M582" s="667" t="e">
        <f>G582+#REF!+#REF!+#REF!+I582+#REF!+#REF!+#REF!+#REF!+#REF!+#REF!+K582+#REF!+#REF!+#REF!</f>
        <v>#REF!</v>
      </c>
      <c r="N582" s="667" t="e">
        <f t="shared" si="57"/>
        <v>#REF!</v>
      </c>
      <c r="O582" s="665" t="e">
        <f>#REF!+M582</f>
        <v>#REF!</v>
      </c>
      <c r="P582" s="666" t="e">
        <f t="shared" si="58"/>
        <v>#REF!</v>
      </c>
      <c r="Q582" s="672"/>
      <c r="R582" s="668"/>
      <c r="S582" s="676"/>
      <c r="T582" s="676"/>
    </row>
    <row r="583" spans="1:21" s="677" customFormat="1" ht="35.25" hidden="1" customHeight="1">
      <c r="A583" s="690"/>
      <c r="B583" s="666">
        <f t="shared" si="55"/>
        <v>0</v>
      </c>
      <c r="C583" s="663" t="s">
        <v>1475</v>
      </c>
      <c r="D583" s="675">
        <f>ROUND([14]Data!K871,2)</f>
        <v>2460.2199999999998</v>
      </c>
      <c r="E583" s="674" t="s">
        <v>522</v>
      </c>
      <c r="F583" s="663">
        <f t="shared" si="54"/>
        <v>0</v>
      </c>
      <c r="G583" s="684"/>
      <c r="H583" s="667">
        <f t="shared" si="53"/>
        <v>0</v>
      </c>
      <c r="I583" s="675"/>
      <c r="J583" s="667">
        <f t="shared" si="56"/>
        <v>0</v>
      </c>
      <c r="K583" s="667"/>
      <c r="L583" s="667"/>
      <c r="M583" s="667" t="e">
        <f>G583+#REF!+#REF!+#REF!+I583+#REF!+#REF!+#REF!+#REF!+#REF!+#REF!+K583+#REF!+#REF!+#REF!</f>
        <v>#REF!</v>
      </c>
      <c r="N583" s="667" t="e">
        <f t="shared" si="57"/>
        <v>#REF!</v>
      </c>
      <c r="O583" s="665" t="e">
        <f>#REF!+M583</f>
        <v>#REF!</v>
      </c>
      <c r="P583" s="666" t="e">
        <f t="shared" si="58"/>
        <v>#REF!</v>
      </c>
      <c r="Q583" s="672"/>
      <c r="R583" s="668"/>
      <c r="S583" s="676"/>
      <c r="T583" s="676"/>
    </row>
    <row r="584" spans="1:21" s="677" customFormat="1" ht="61.5" hidden="1" customHeight="1">
      <c r="A584" s="690"/>
      <c r="B584" s="666">
        <f t="shared" si="55"/>
        <v>0</v>
      </c>
      <c r="C584" s="685" t="s">
        <v>1680</v>
      </c>
      <c r="D584" s="675"/>
      <c r="E584" s="674"/>
      <c r="F584" s="663">
        <f t="shared" si="54"/>
        <v>0</v>
      </c>
      <c r="G584" s="684"/>
      <c r="H584" s="667">
        <f t="shared" si="53"/>
        <v>0</v>
      </c>
      <c r="I584" s="675"/>
      <c r="J584" s="667">
        <f t="shared" si="56"/>
        <v>0</v>
      </c>
      <c r="K584" s="667"/>
      <c r="L584" s="667"/>
      <c r="M584" s="667" t="e">
        <f>G584+#REF!+#REF!+#REF!+I584+#REF!+#REF!+#REF!+#REF!+#REF!+#REF!+K584+#REF!+#REF!+#REF!</f>
        <v>#REF!</v>
      </c>
      <c r="N584" s="667" t="e">
        <f t="shared" si="57"/>
        <v>#REF!</v>
      </c>
      <c r="O584" s="665" t="e">
        <f>#REF!+M584</f>
        <v>#REF!</v>
      </c>
      <c r="P584" s="666" t="e">
        <f t="shared" si="58"/>
        <v>#REF!</v>
      </c>
      <c r="Q584" s="672"/>
      <c r="R584" s="668"/>
      <c r="S584" s="676"/>
      <c r="T584" s="676"/>
    </row>
    <row r="585" spans="1:21" s="677" customFormat="1" ht="25.5" hidden="1" customHeight="1">
      <c r="A585" s="690"/>
      <c r="B585" s="666">
        <f t="shared" si="55"/>
        <v>0</v>
      </c>
      <c r="C585" s="663" t="s">
        <v>1486</v>
      </c>
      <c r="D585" s="675">
        <f>[14]Data!K1081</f>
        <v>3364.08</v>
      </c>
      <c r="E585" s="674" t="s">
        <v>264</v>
      </c>
      <c r="F585" s="663">
        <f t="shared" si="54"/>
        <v>0</v>
      </c>
      <c r="G585" s="684"/>
      <c r="H585" s="667">
        <f t="shared" si="53"/>
        <v>0</v>
      </c>
      <c r="I585" s="675"/>
      <c r="J585" s="667">
        <f t="shared" si="56"/>
        <v>0</v>
      </c>
      <c r="K585" s="667"/>
      <c r="L585" s="667"/>
      <c r="M585" s="667" t="e">
        <f>G585+#REF!+#REF!+#REF!+I585+#REF!+#REF!+#REF!+#REF!+#REF!+#REF!+K585+#REF!+#REF!+#REF!</f>
        <v>#REF!</v>
      </c>
      <c r="N585" s="667" t="e">
        <f t="shared" si="57"/>
        <v>#REF!</v>
      </c>
      <c r="O585" s="665" t="e">
        <f>#REF!+M585</f>
        <v>#REF!</v>
      </c>
      <c r="P585" s="666" t="e">
        <f t="shared" si="58"/>
        <v>#REF!</v>
      </c>
      <c r="Q585" s="672"/>
      <c r="R585" s="668"/>
      <c r="S585" s="676"/>
      <c r="T585" s="676"/>
    </row>
    <row r="586" spans="1:21" s="677" customFormat="1" ht="25.5" hidden="1" customHeight="1">
      <c r="A586" s="690"/>
      <c r="B586" s="666">
        <f t="shared" si="55"/>
        <v>0</v>
      </c>
      <c r="C586" s="663" t="s">
        <v>1487</v>
      </c>
      <c r="D586" s="675"/>
      <c r="E586" s="674" t="s">
        <v>264</v>
      </c>
      <c r="F586" s="663">
        <f t="shared" si="54"/>
        <v>0</v>
      </c>
      <c r="G586" s="684"/>
      <c r="H586" s="667">
        <f t="shared" si="53"/>
        <v>0</v>
      </c>
      <c r="I586" s="675"/>
      <c r="J586" s="667">
        <f t="shared" si="56"/>
        <v>0</v>
      </c>
      <c r="K586" s="667"/>
      <c r="L586" s="667"/>
      <c r="M586" s="667" t="e">
        <f>G586+#REF!+#REF!+#REF!+I586+#REF!+#REF!+#REF!+#REF!+#REF!+#REF!+K586+#REF!+#REF!+#REF!</f>
        <v>#REF!</v>
      </c>
      <c r="N586" s="667" t="e">
        <f t="shared" si="57"/>
        <v>#REF!</v>
      </c>
      <c r="O586" s="665" t="e">
        <f>#REF!+M586</f>
        <v>#REF!</v>
      </c>
      <c r="P586" s="666" t="e">
        <f t="shared" si="58"/>
        <v>#REF!</v>
      </c>
      <c r="Q586" s="672"/>
      <c r="R586" s="668"/>
      <c r="S586" s="676"/>
      <c r="T586" s="676"/>
    </row>
    <row r="587" spans="1:21" s="677" customFormat="1" ht="31.5" hidden="1" customHeight="1">
      <c r="A587" s="690"/>
      <c r="B587" s="666">
        <f t="shared" si="55"/>
        <v>0</v>
      </c>
      <c r="C587" s="663" t="s">
        <v>1488</v>
      </c>
      <c r="D587" s="675">
        <f>[14]Data!K1097</f>
        <v>3552.27</v>
      </c>
      <c r="E587" s="674" t="s">
        <v>264</v>
      </c>
      <c r="F587" s="663">
        <f t="shared" si="54"/>
        <v>0</v>
      </c>
      <c r="G587" s="684"/>
      <c r="H587" s="667">
        <f t="shared" si="53"/>
        <v>0</v>
      </c>
      <c r="I587" s="675"/>
      <c r="J587" s="667">
        <f t="shared" si="56"/>
        <v>0</v>
      </c>
      <c r="K587" s="667"/>
      <c r="L587" s="667"/>
      <c r="M587" s="667" t="e">
        <f>G587+#REF!+#REF!+#REF!+I587+#REF!+#REF!+#REF!+#REF!+#REF!+#REF!+K587+#REF!+#REF!+#REF!</f>
        <v>#REF!</v>
      </c>
      <c r="N587" s="667" t="e">
        <f t="shared" si="57"/>
        <v>#REF!</v>
      </c>
      <c r="O587" s="665" t="e">
        <f>#REF!+M587</f>
        <v>#REF!</v>
      </c>
      <c r="P587" s="666" t="e">
        <f t="shared" si="58"/>
        <v>#REF!</v>
      </c>
      <c r="Q587" s="672"/>
      <c r="R587" s="668"/>
      <c r="S587" s="676"/>
      <c r="T587" s="676"/>
    </row>
    <row r="588" spans="1:21" s="677" customFormat="1" ht="42" hidden="1" customHeight="1">
      <c r="A588" s="690"/>
      <c r="B588" s="666">
        <f t="shared" si="55"/>
        <v>0</v>
      </c>
      <c r="C588" s="663" t="s">
        <v>1489</v>
      </c>
      <c r="D588" s="675">
        <f>[14]Data!K1112</f>
        <v>2642.35</v>
      </c>
      <c r="E588" s="674" t="s">
        <v>264</v>
      </c>
      <c r="F588" s="663">
        <f t="shared" si="54"/>
        <v>0</v>
      </c>
      <c r="G588" s="684"/>
      <c r="H588" s="667">
        <f t="shared" si="53"/>
        <v>0</v>
      </c>
      <c r="I588" s="675"/>
      <c r="J588" s="667">
        <f t="shared" si="56"/>
        <v>0</v>
      </c>
      <c r="K588" s="667"/>
      <c r="L588" s="667"/>
      <c r="M588" s="667" t="e">
        <f>G588+#REF!+#REF!+#REF!+I588+#REF!+#REF!+#REF!+#REF!+#REF!+#REF!+K588+#REF!+#REF!+#REF!</f>
        <v>#REF!</v>
      </c>
      <c r="N588" s="667" t="e">
        <f t="shared" si="57"/>
        <v>#REF!</v>
      </c>
      <c r="O588" s="665" t="e">
        <f>#REF!+M588</f>
        <v>#REF!</v>
      </c>
      <c r="P588" s="666" t="e">
        <f t="shared" si="58"/>
        <v>#REF!</v>
      </c>
      <c r="Q588" s="672"/>
      <c r="R588" s="668"/>
      <c r="S588" s="676"/>
      <c r="T588" s="676"/>
    </row>
    <row r="589" spans="1:21" s="677" customFormat="1" ht="38.25" hidden="1" customHeight="1">
      <c r="A589" s="690"/>
      <c r="B589" s="666">
        <f t="shared" si="55"/>
        <v>0</v>
      </c>
      <c r="C589" s="663" t="s">
        <v>1681</v>
      </c>
      <c r="D589" s="675">
        <v>2203.2800000000002</v>
      </c>
      <c r="E589" s="674" t="s">
        <v>264</v>
      </c>
      <c r="F589" s="663">
        <f t="shared" si="54"/>
        <v>0</v>
      </c>
      <c r="G589" s="684"/>
      <c r="H589" s="667">
        <f t="shared" si="53"/>
        <v>0</v>
      </c>
      <c r="I589" s="675"/>
      <c r="J589" s="667">
        <f t="shared" si="56"/>
        <v>0</v>
      </c>
      <c r="K589" s="667"/>
      <c r="L589" s="667"/>
      <c r="M589" s="667" t="e">
        <f>G589+#REF!+#REF!+#REF!+I589+#REF!+#REF!+#REF!+#REF!+#REF!+#REF!+K589+#REF!+#REF!+#REF!</f>
        <v>#REF!</v>
      </c>
      <c r="N589" s="667" t="e">
        <f t="shared" si="57"/>
        <v>#REF!</v>
      </c>
      <c r="O589" s="665" t="e">
        <f>#REF!+M589</f>
        <v>#REF!</v>
      </c>
      <c r="P589" s="666" t="e">
        <f t="shared" si="58"/>
        <v>#REF!</v>
      </c>
      <c r="Q589" s="672"/>
      <c r="R589" s="668"/>
      <c r="S589" s="676"/>
      <c r="T589" s="676"/>
    </row>
    <row r="590" spans="1:21" s="677" customFormat="1" ht="46.5" hidden="1" customHeight="1">
      <c r="A590" s="662" t="s">
        <v>1682</v>
      </c>
      <c r="B590" s="666">
        <f t="shared" si="55"/>
        <v>0</v>
      </c>
      <c r="C590" s="663" t="s">
        <v>1683</v>
      </c>
      <c r="D590" s="675">
        <f>ROUND([14]Data!K2877,2)</f>
        <v>2110.4899999999998</v>
      </c>
      <c r="E590" s="674" t="s">
        <v>37</v>
      </c>
      <c r="F590" s="663">
        <f t="shared" si="54"/>
        <v>0</v>
      </c>
      <c r="G590" s="684"/>
      <c r="H590" s="667">
        <f t="shared" si="53"/>
        <v>0</v>
      </c>
      <c r="I590" s="675"/>
      <c r="J590" s="667">
        <f t="shared" si="56"/>
        <v>0</v>
      </c>
      <c r="K590" s="667"/>
      <c r="L590" s="667"/>
      <c r="M590" s="667" t="e">
        <f>G590+#REF!+#REF!+#REF!+I590+#REF!+#REF!+#REF!+#REF!+#REF!+#REF!+K590+#REF!+#REF!+#REF!</f>
        <v>#REF!</v>
      </c>
      <c r="N590" s="667" t="e">
        <f t="shared" si="57"/>
        <v>#REF!</v>
      </c>
      <c r="O590" s="665" t="e">
        <f>#REF!+M590</f>
        <v>#REF!</v>
      </c>
      <c r="P590" s="666" t="e">
        <f t="shared" si="58"/>
        <v>#REF!</v>
      </c>
      <c r="Q590" s="672"/>
      <c r="R590" s="668"/>
      <c r="S590" s="676"/>
      <c r="T590" s="676"/>
    </row>
    <row r="591" spans="1:21" s="677" customFormat="1" ht="78.599999999999994" hidden="1" customHeight="1">
      <c r="A591" s="662"/>
      <c r="B591" s="666">
        <f t="shared" si="55"/>
        <v>0</v>
      </c>
      <c r="C591" s="663" t="s">
        <v>1684</v>
      </c>
      <c r="D591" s="675">
        <f>[14]Data!R2090</f>
        <v>6981.88</v>
      </c>
      <c r="E591" s="674" t="s">
        <v>37</v>
      </c>
      <c r="F591" s="663">
        <f t="shared" si="54"/>
        <v>0</v>
      </c>
      <c r="G591" s="684"/>
      <c r="H591" s="667"/>
      <c r="I591" s="675"/>
      <c r="J591" s="667"/>
      <c r="K591" s="667"/>
      <c r="L591" s="667"/>
      <c r="M591" s="667" t="e">
        <f>G591+#REF!+#REF!+#REF!+I591+#REF!+#REF!+#REF!+#REF!+#REF!+#REF!+K591+#REF!+#REF!+#REF!</f>
        <v>#REF!</v>
      </c>
      <c r="N591" s="667" t="e">
        <f t="shared" si="57"/>
        <v>#REF!</v>
      </c>
      <c r="O591" s="665" t="e">
        <f>#REF!+M591</f>
        <v>#REF!</v>
      </c>
      <c r="P591" s="666" t="e">
        <f t="shared" si="58"/>
        <v>#REF!</v>
      </c>
      <c r="Q591" s="672"/>
      <c r="R591" s="668"/>
      <c r="S591" s="676"/>
      <c r="T591" s="676"/>
    </row>
    <row r="592" spans="1:21" ht="84.75" hidden="1" customHeight="1">
      <c r="A592" s="673"/>
      <c r="B592" s="666">
        <f t="shared" si="55"/>
        <v>0</v>
      </c>
      <c r="C592" s="674" t="s">
        <v>1685</v>
      </c>
      <c r="D592" s="675">
        <f>ROUND([14]Data!K3114,2)</f>
        <v>4024.1</v>
      </c>
      <c r="E592" s="674" t="s">
        <v>37</v>
      </c>
      <c r="F592" s="663">
        <f t="shared" si="54"/>
        <v>0</v>
      </c>
      <c r="G592" s="684"/>
      <c r="H592" s="667">
        <f t="shared" ref="H592:H623" si="59">G592*D592</f>
        <v>0</v>
      </c>
      <c r="I592" s="675"/>
      <c r="J592" s="667">
        <f t="shared" ref="J592:J623" si="60">I592*D592</f>
        <v>0</v>
      </c>
      <c r="K592" s="667"/>
      <c r="L592" s="667"/>
      <c r="M592" s="667" t="e">
        <f>G592+#REF!+#REF!+#REF!+I592+#REF!+#REF!+#REF!+#REF!+#REF!+#REF!+K592+#REF!+#REF!+#REF!</f>
        <v>#REF!</v>
      </c>
      <c r="N592" s="667" t="e">
        <f t="shared" si="57"/>
        <v>#REF!</v>
      </c>
      <c r="O592" s="665" t="e">
        <f>#REF!+M592</f>
        <v>#REF!</v>
      </c>
      <c r="P592" s="666" t="e">
        <f t="shared" si="58"/>
        <v>#REF!</v>
      </c>
      <c r="Q592" s="672"/>
      <c r="R592" s="668"/>
    </row>
    <row r="593" spans="1:20" s="677" customFormat="1" ht="72" hidden="1" customHeight="1">
      <c r="A593" s="662">
        <v>22.8</v>
      </c>
      <c r="B593" s="666">
        <f t="shared" si="55"/>
        <v>0</v>
      </c>
      <c r="C593" s="663" t="s">
        <v>1686</v>
      </c>
      <c r="D593" s="675"/>
      <c r="E593" s="674"/>
      <c r="F593" s="663">
        <f t="shared" ref="F593:F656" si="61">B593*D593</f>
        <v>0</v>
      </c>
      <c r="G593" s="684"/>
      <c r="H593" s="667">
        <f t="shared" si="59"/>
        <v>0</v>
      </c>
      <c r="I593" s="675"/>
      <c r="J593" s="667">
        <f t="shared" si="60"/>
        <v>0</v>
      </c>
      <c r="K593" s="667"/>
      <c r="L593" s="667"/>
      <c r="M593" s="667" t="e">
        <f>G593+#REF!+#REF!+#REF!+I593+#REF!+#REF!+#REF!+#REF!+#REF!+#REF!+K593+#REF!+#REF!+#REF!</f>
        <v>#REF!</v>
      </c>
      <c r="N593" s="667" t="e">
        <f t="shared" si="57"/>
        <v>#REF!</v>
      </c>
      <c r="O593" s="665" t="e">
        <f>#REF!+M593</f>
        <v>#REF!</v>
      </c>
      <c r="P593" s="666" t="e">
        <f t="shared" si="58"/>
        <v>#REF!</v>
      </c>
      <c r="Q593" s="672"/>
      <c r="R593" s="668"/>
      <c r="S593" s="676"/>
      <c r="T593" s="676"/>
    </row>
    <row r="594" spans="1:20" s="677" customFormat="1" ht="35.1" hidden="1" customHeight="1">
      <c r="A594" s="662"/>
      <c r="B594" s="666">
        <f t="shared" si="55"/>
        <v>0</v>
      </c>
      <c r="C594" s="663" t="s">
        <v>1687</v>
      </c>
      <c r="D594" s="675">
        <f>ROUND([14]Data!K2845,2)</f>
        <v>2937.59</v>
      </c>
      <c r="E594" s="674" t="s">
        <v>37</v>
      </c>
      <c r="F594" s="663">
        <f t="shared" si="61"/>
        <v>0</v>
      </c>
      <c r="G594" s="684"/>
      <c r="H594" s="667">
        <f t="shared" si="59"/>
        <v>0</v>
      </c>
      <c r="I594" s="675"/>
      <c r="J594" s="667">
        <f t="shared" si="60"/>
        <v>0</v>
      </c>
      <c r="K594" s="667"/>
      <c r="L594" s="667"/>
      <c r="M594" s="667" t="e">
        <f>G594+#REF!+#REF!+#REF!+I594+#REF!+#REF!+#REF!+#REF!+#REF!+#REF!+K594+#REF!+#REF!+#REF!</f>
        <v>#REF!</v>
      </c>
      <c r="N594" s="667" t="e">
        <f t="shared" si="57"/>
        <v>#REF!</v>
      </c>
      <c r="O594" s="665" t="e">
        <f>#REF!+M594</f>
        <v>#REF!</v>
      </c>
      <c r="P594" s="666" t="e">
        <f t="shared" si="58"/>
        <v>#REF!</v>
      </c>
      <c r="Q594" s="672"/>
      <c r="R594" s="668"/>
      <c r="S594" s="676"/>
      <c r="T594" s="676"/>
    </row>
    <row r="595" spans="1:20" s="677" customFormat="1" ht="35.1" hidden="1" customHeight="1">
      <c r="A595" s="662"/>
      <c r="B595" s="666">
        <f t="shared" si="55"/>
        <v>0</v>
      </c>
      <c r="C595" s="663" t="s">
        <v>1688</v>
      </c>
      <c r="D595" s="675">
        <f>ROUND([14]Data!K2981,2)</f>
        <v>2980.14</v>
      </c>
      <c r="E595" s="674" t="s">
        <v>37</v>
      </c>
      <c r="F595" s="663">
        <f t="shared" si="61"/>
        <v>0</v>
      </c>
      <c r="G595" s="684"/>
      <c r="H595" s="667">
        <f t="shared" si="59"/>
        <v>0</v>
      </c>
      <c r="I595" s="675"/>
      <c r="J595" s="667">
        <f t="shared" si="60"/>
        <v>0</v>
      </c>
      <c r="K595" s="667"/>
      <c r="L595" s="667"/>
      <c r="M595" s="667" t="e">
        <f>G595+#REF!+#REF!+#REF!+I595+#REF!+#REF!+#REF!+#REF!+#REF!+#REF!+K595+#REF!+#REF!+#REF!</f>
        <v>#REF!</v>
      </c>
      <c r="N595" s="667" t="e">
        <f t="shared" si="57"/>
        <v>#REF!</v>
      </c>
      <c r="O595" s="665" t="e">
        <f>#REF!+M595</f>
        <v>#REF!</v>
      </c>
      <c r="P595" s="666" t="e">
        <f t="shared" si="58"/>
        <v>#REF!</v>
      </c>
      <c r="Q595" s="672"/>
      <c r="R595" s="668"/>
      <c r="S595" s="676"/>
      <c r="T595" s="676"/>
    </row>
    <row r="596" spans="1:20" s="677" customFormat="1" ht="28.5" hidden="1" customHeight="1">
      <c r="A596" s="690"/>
      <c r="B596" s="666">
        <f t="shared" si="55"/>
        <v>0</v>
      </c>
      <c r="C596" s="663" t="s">
        <v>1689</v>
      </c>
      <c r="D596" s="675"/>
      <c r="E596" s="674" t="s">
        <v>37</v>
      </c>
      <c r="F596" s="663">
        <f t="shared" si="61"/>
        <v>0</v>
      </c>
      <c r="G596" s="684"/>
      <c r="H596" s="667">
        <f t="shared" si="59"/>
        <v>0</v>
      </c>
      <c r="I596" s="675"/>
      <c r="J596" s="667">
        <f t="shared" si="60"/>
        <v>0</v>
      </c>
      <c r="K596" s="667"/>
      <c r="L596" s="667"/>
      <c r="M596" s="667" t="e">
        <f>G596+#REF!+#REF!+#REF!+I596+#REF!+#REF!+#REF!+#REF!+#REF!+#REF!+K596+#REF!+#REF!+#REF!</f>
        <v>#REF!</v>
      </c>
      <c r="N596" s="667" t="e">
        <f t="shared" si="57"/>
        <v>#REF!</v>
      </c>
      <c r="O596" s="665" t="e">
        <f>#REF!+M596</f>
        <v>#REF!</v>
      </c>
      <c r="P596" s="666" t="e">
        <f t="shared" si="58"/>
        <v>#REF!</v>
      </c>
      <c r="Q596" s="672"/>
      <c r="R596" s="668"/>
      <c r="S596" s="676"/>
      <c r="T596" s="676"/>
    </row>
    <row r="597" spans="1:20" ht="47.25" hidden="1" customHeight="1">
      <c r="A597" s="667"/>
      <c r="B597" s="666">
        <f t="shared" si="55"/>
        <v>0</v>
      </c>
      <c r="C597" s="685" t="s">
        <v>1092</v>
      </c>
      <c r="D597" s="667"/>
      <c r="E597" s="663"/>
      <c r="F597" s="663">
        <f t="shared" si="61"/>
        <v>0</v>
      </c>
      <c r="G597" s="667"/>
      <c r="H597" s="667">
        <f t="shared" si="59"/>
        <v>0</v>
      </c>
      <c r="I597" s="667"/>
      <c r="J597" s="667">
        <f t="shared" si="60"/>
        <v>0</v>
      </c>
      <c r="K597" s="667"/>
      <c r="L597" s="667"/>
      <c r="M597" s="667" t="e">
        <f>G597+#REF!+#REF!+#REF!+I597+#REF!+#REF!+#REF!+#REF!+#REF!+#REF!+K597+#REF!+#REF!+#REF!</f>
        <v>#REF!</v>
      </c>
      <c r="N597" s="667" t="e">
        <f t="shared" si="57"/>
        <v>#REF!</v>
      </c>
      <c r="O597" s="665" t="e">
        <f>#REF!+M597</f>
        <v>#REF!</v>
      </c>
      <c r="P597" s="666" t="e">
        <f t="shared" si="58"/>
        <v>#REF!</v>
      </c>
      <c r="Q597" s="668"/>
      <c r="R597" s="668"/>
    </row>
    <row r="598" spans="1:20" ht="49.5" hidden="1" customHeight="1">
      <c r="A598" s="667"/>
      <c r="B598" s="666">
        <f t="shared" si="55"/>
        <v>0</v>
      </c>
      <c r="C598" s="663" t="s">
        <v>1690</v>
      </c>
      <c r="D598" s="667">
        <f>ROUND([14]Data!K2827,2)</f>
        <v>5724.71</v>
      </c>
      <c r="E598" s="663" t="s">
        <v>37</v>
      </c>
      <c r="F598" s="663">
        <f t="shared" si="61"/>
        <v>0</v>
      </c>
      <c r="G598" s="699"/>
      <c r="H598" s="667">
        <f t="shared" si="59"/>
        <v>0</v>
      </c>
      <c r="I598" s="667"/>
      <c r="J598" s="667">
        <f t="shared" si="60"/>
        <v>0</v>
      </c>
      <c r="K598" s="667"/>
      <c r="L598" s="667"/>
      <c r="M598" s="667" t="e">
        <f>G598+#REF!+#REF!+#REF!+I598+#REF!+#REF!+#REF!+#REF!+#REF!+#REF!+K598+#REF!+#REF!+#REF!</f>
        <v>#REF!</v>
      </c>
      <c r="N598" s="667" t="e">
        <f t="shared" si="57"/>
        <v>#REF!</v>
      </c>
      <c r="O598" s="665" t="e">
        <f>#REF!+M598</f>
        <v>#REF!</v>
      </c>
      <c r="P598" s="666" t="e">
        <f t="shared" si="58"/>
        <v>#REF!</v>
      </c>
      <c r="Q598" s="672"/>
      <c r="R598" s="668"/>
    </row>
    <row r="599" spans="1:20" s="677" customFormat="1" ht="33" hidden="1" customHeight="1">
      <c r="A599" s="690"/>
      <c r="B599" s="666">
        <f t="shared" si="55"/>
        <v>0</v>
      </c>
      <c r="C599" s="663" t="s">
        <v>1691</v>
      </c>
      <c r="D599" s="675"/>
      <c r="E599" s="674"/>
      <c r="F599" s="663">
        <f t="shared" si="61"/>
        <v>0</v>
      </c>
      <c r="G599" s="684"/>
      <c r="H599" s="667">
        <f t="shared" si="59"/>
        <v>0</v>
      </c>
      <c r="I599" s="675"/>
      <c r="J599" s="667">
        <f t="shared" si="60"/>
        <v>0</v>
      </c>
      <c r="K599" s="667"/>
      <c r="L599" s="667"/>
      <c r="M599" s="667" t="e">
        <f>G599+#REF!+#REF!+#REF!+I599+#REF!+#REF!+#REF!+#REF!+#REF!+#REF!+K599+#REF!+#REF!+#REF!</f>
        <v>#REF!</v>
      </c>
      <c r="N599" s="667" t="e">
        <f t="shared" si="57"/>
        <v>#REF!</v>
      </c>
      <c r="O599" s="665" t="e">
        <f>#REF!+M599</f>
        <v>#REF!</v>
      </c>
      <c r="P599" s="666" t="e">
        <f t="shared" si="58"/>
        <v>#REF!</v>
      </c>
      <c r="Q599" s="672"/>
      <c r="R599" s="668"/>
      <c r="S599" s="676"/>
      <c r="T599" s="676"/>
    </row>
    <row r="600" spans="1:20" s="677" customFormat="1" ht="43.5" hidden="1" customHeight="1">
      <c r="A600" s="690"/>
      <c r="B600" s="666">
        <f t="shared" si="55"/>
        <v>0</v>
      </c>
      <c r="C600" s="663" t="s">
        <v>1692</v>
      </c>
      <c r="D600" s="675">
        <f>[14]Data!R2867</f>
        <v>4989.05</v>
      </c>
      <c r="E600" s="674" t="s">
        <v>37</v>
      </c>
      <c r="F600" s="663">
        <f t="shared" si="61"/>
        <v>0</v>
      </c>
      <c r="G600" s="684"/>
      <c r="H600" s="667">
        <f t="shared" si="59"/>
        <v>0</v>
      </c>
      <c r="I600" s="675"/>
      <c r="J600" s="667">
        <f t="shared" si="60"/>
        <v>0</v>
      </c>
      <c r="K600" s="667"/>
      <c r="L600" s="667"/>
      <c r="M600" s="667" t="e">
        <f>G600+#REF!+#REF!+#REF!+I600+#REF!+#REF!+#REF!+#REF!+#REF!+#REF!+K600+#REF!+#REF!+#REF!</f>
        <v>#REF!</v>
      </c>
      <c r="N600" s="667" t="e">
        <f t="shared" si="57"/>
        <v>#REF!</v>
      </c>
      <c r="O600" s="665" t="e">
        <f>#REF!+M600</f>
        <v>#REF!</v>
      </c>
      <c r="P600" s="666" t="e">
        <f t="shared" si="58"/>
        <v>#REF!</v>
      </c>
      <c r="Q600" s="672"/>
      <c r="R600" s="668"/>
      <c r="S600" s="676"/>
      <c r="T600" s="676"/>
    </row>
    <row r="601" spans="1:20" s="677" customFormat="1" ht="46.5" hidden="1" customHeight="1">
      <c r="A601" s="690"/>
      <c r="B601" s="666">
        <f t="shared" si="55"/>
        <v>0</v>
      </c>
      <c r="C601" s="663" t="s">
        <v>1693</v>
      </c>
      <c r="D601" s="675">
        <f>[14]Data!K1000</f>
        <v>4803.54</v>
      </c>
      <c r="E601" s="674"/>
      <c r="F601" s="663">
        <f t="shared" si="61"/>
        <v>0</v>
      </c>
      <c r="G601" s="684"/>
      <c r="H601" s="667">
        <f t="shared" si="59"/>
        <v>0</v>
      </c>
      <c r="I601" s="675"/>
      <c r="J601" s="667">
        <f t="shared" si="60"/>
        <v>0</v>
      </c>
      <c r="K601" s="667"/>
      <c r="L601" s="667"/>
      <c r="M601" s="667" t="e">
        <f>G601+#REF!+#REF!+#REF!+I601+#REF!+#REF!+#REF!+#REF!+#REF!+#REF!+K601+#REF!+#REF!+#REF!</f>
        <v>#REF!</v>
      </c>
      <c r="N601" s="667" t="e">
        <f t="shared" si="57"/>
        <v>#REF!</v>
      </c>
      <c r="O601" s="665" t="e">
        <f>#REF!+M601</f>
        <v>#REF!</v>
      </c>
      <c r="P601" s="666" t="e">
        <f t="shared" si="58"/>
        <v>#REF!</v>
      </c>
      <c r="Q601" s="672"/>
      <c r="R601" s="668"/>
      <c r="S601" s="676"/>
      <c r="T601" s="676"/>
    </row>
    <row r="602" spans="1:20" s="677" customFormat="1" ht="34.5" hidden="1" customHeight="1">
      <c r="A602" s="690"/>
      <c r="B602" s="666">
        <f t="shared" si="55"/>
        <v>0</v>
      </c>
      <c r="C602" s="663" t="s">
        <v>1694</v>
      </c>
      <c r="D602" s="675"/>
      <c r="E602" s="674"/>
      <c r="F602" s="663">
        <f t="shared" si="61"/>
        <v>0</v>
      </c>
      <c r="G602" s="684"/>
      <c r="H602" s="667">
        <f t="shared" si="59"/>
        <v>0</v>
      </c>
      <c r="I602" s="675"/>
      <c r="J602" s="667">
        <f t="shared" si="60"/>
        <v>0</v>
      </c>
      <c r="K602" s="667"/>
      <c r="L602" s="667"/>
      <c r="M602" s="667" t="e">
        <f>G602+#REF!+#REF!+#REF!+I602+#REF!+#REF!+#REF!+#REF!+#REF!+#REF!+K602+#REF!+#REF!+#REF!</f>
        <v>#REF!</v>
      </c>
      <c r="N602" s="667" t="e">
        <f t="shared" si="57"/>
        <v>#REF!</v>
      </c>
      <c r="O602" s="665" t="e">
        <f>#REF!+M602</f>
        <v>#REF!</v>
      </c>
      <c r="P602" s="666" t="e">
        <f t="shared" si="58"/>
        <v>#REF!</v>
      </c>
      <c r="Q602" s="672"/>
      <c r="R602" s="668"/>
      <c r="S602" s="676"/>
      <c r="T602" s="676"/>
    </row>
    <row r="603" spans="1:20" s="677" customFormat="1" ht="59.25" hidden="1" customHeight="1">
      <c r="A603" s="690"/>
      <c r="B603" s="666">
        <f t="shared" si="55"/>
        <v>0</v>
      </c>
      <c r="C603" s="663" t="s">
        <v>1695</v>
      </c>
      <c r="D603" s="675">
        <f>[14]Data!AG2663</f>
        <v>5533.07</v>
      </c>
      <c r="E603" s="742" t="s">
        <v>37</v>
      </c>
      <c r="F603" s="663">
        <f t="shared" si="61"/>
        <v>0</v>
      </c>
      <c r="G603" s="684"/>
      <c r="H603" s="667">
        <f t="shared" si="59"/>
        <v>0</v>
      </c>
      <c r="I603" s="675"/>
      <c r="J603" s="667">
        <f t="shared" si="60"/>
        <v>0</v>
      </c>
      <c r="K603" s="667"/>
      <c r="L603" s="667"/>
      <c r="M603" s="667" t="e">
        <f>G603+#REF!+#REF!+#REF!+I603+#REF!+#REF!+#REF!+#REF!+#REF!+#REF!+K603+#REF!+#REF!+#REF!</f>
        <v>#REF!</v>
      </c>
      <c r="N603" s="667" t="e">
        <f t="shared" si="57"/>
        <v>#REF!</v>
      </c>
      <c r="O603" s="665" t="e">
        <f>#REF!+M603</f>
        <v>#REF!</v>
      </c>
      <c r="P603" s="666" t="e">
        <f t="shared" si="58"/>
        <v>#REF!</v>
      </c>
      <c r="Q603" s="672"/>
      <c r="R603" s="668"/>
      <c r="S603" s="676"/>
      <c r="T603" s="676"/>
    </row>
    <row r="604" spans="1:20" s="677" customFormat="1" ht="59.25" hidden="1" customHeight="1">
      <c r="A604" s="690"/>
      <c r="B604" s="666">
        <f t="shared" si="55"/>
        <v>0</v>
      </c>
      <c r="C604" s="663" t="s">
        <v>1696</v>
      </c>
      <c r="D604" s="675">
        <f>[14]Data!K2647</f>
        <v>5846.33</v>
      </c>
      <c r="E604" s="674" t="s">
        <v>37</v>
      </c>
      <c r="F604" s="663">
        <f t="shared" si="61"/>
        <v>0</v>
      </c>
      <c r="G604" s="684"/>
      <c r="H604" s="667">
        <f t="shared" si="59"/>
        <v>0</v>
      </c>
      <c r="I604" s="675"/>
      <c r="J604" s="667">
        <f t="shared" si="60"/>
        <v>0</v>
      </c>
      <c r="K604" s="667"/>
      <c r="L604" s="667"/>
      <c r="M604" s="667" t="e">
        <f>G604+#REF!+#REF!+#REF!+I604+#REF!+#REF!+#REF!+#REF!+#REF!+#REF!+K604+#REF!+#REF!+#REF!</f>
        <v>#REF!</v>
      </c>
      <c r="N604" s="667" t="e">
        <f t="shared" si="57"/>
        <v>#REF!</v>
      </c>
      <c r="O604" s="665" t="e">
        <f>#REF!+M604</f>
        <v>#REF!</v>
      </c>
      <c r="P604" s="666" t="e">
        <f t="shared" si="58"/>
        <v>#REF!</v>
      </c>
      <c r="Q604" s="672"/>
      <c r="R604" s="668"/>
      <c r="S604" s="676"/>
      <c r="T604" s="676"/>
    </row>
    <row r="605" spans="1:20" s="677" customFormat="1" ht="59.25" hidden="1" customHeight="1">
      <c r="A605" s="690"/>
      <c r="B605" s="666">
        <f t="shared" si="55"/>
        <v>0</v>
      </c>
      <c r="C605" s="663" t="s">
        <v>1697</v>
      </c>
      <c r="D605" s="675">
        <f>[14]Data!K3434</f>
        <v>5051.6899999999996</v>
      </c>
      <c r="E605" s="674" t="s">
        <v>37</v>
      </c>
      <c r="F605" s="663">
        <f t="shared" si="61"/>
        <v>0</v>
      </c>
      <c r="G605" s="696"/>
      <c r="H605" s="667">
        <f t="shared" si="59"/>
        <v>0</v>
      </c>
      <c r="I605" s="675"/>
      <c r="J605" s="667">
        <f t="shared" si="60"/>
        <v>0</v>
      </c>
      <c r="K605" s="667"/>
      <c r="L605" s="667"/>
      <c r="M605" s="667" t="e">
        <f>G605+#REF!+#REF!+#REF!+I605+#REF!+#REF!+#REF!+#REF!+#REF!+#REF!+K605+#REF!+#REF!+#REF!</f>
        <v>#REF!</v>
      </c>
      <c r="N605" s="667" t="e">
        <f t="shared" si="57"/>
        <v>#REF!</v>
      </c>
      <c r="O605" s="665" t="e">
        <f>#REF!+M605</f>
        <v>#REF!</v>
      </c>
      <c r="P605" s="666" t="e">
        <f t="shared" si="58"/>
        <v>#REF!</v>
      </c>
      <c r="Q605" s="672"/>
      <c r="R605" s="668"/>
      <c r="S605" s="676"/>
      <c r="T605" s="676"/>
    </row>
    <row r="606" spans="1:20" s="677" customFormat="1" ht="59.25" hidden="1" customHeight="1">
      <c r="A606" s="690"/>
      <c r="B606" s="666">
        <f t="shared" si="55"/>
        <v>0</v>
      </c>
      <c r="C606" s="743" t="s">
        <v>1698</v>
      </c>
      <c r="D606" s="675">
        <f>[14]Data!R2654</f>
        <v>6199.77</v>
      </c>
      <c r="E606" s="674" t="s">
        <v>37</v>
      </c>
      <c r="F606" s="663">
        <f t="shared" si="61"/>
        <v>0</v>
      </c>
      <c r="G606" s="684"/>
      <c r="H606" s="667">
        <f t="shared" si="59"/>
        <v>0</v>
      </c>
      <c r="I606" s="675"/>
      <c r="J606" s="667">
        <f t="shared" si="60"/>
        <v>0</v>
      </c>
      <c r="K606" s="667"/>
      <c r="L606" s="667"/>
      <c r="M606" s="667" t="e">
        <f>G606+#REF!+#REF!+#REF!+I606+#REF!+#REF!+#REF!+#REF!+#REF!+#REF!+K606+#REF!+#REF!+#REF!</f>
        <v>#REF!</v>
      </c>
      <c r="N606" s="667" t="e">
        <f t="shared" si="57"/>
        <v>#REF!</v>
      </c>
      <c r="O606" s="665" t="e">
        <f>#REF!+M606</f>
        <v>#REF!</v>
      </c>
      <c r="P606" s="666" t="e">
        <f t="shared" si="58"/>
        <v>#REF!</v>
      </c>
      <c r="Q606" s="672"/>
      <c r="R606" s="668"/>
      <c r="S606" s="676"/>
      <c r="T606" s="676"/>
    </row>
    <row r="607" spans="1:20" s="677" customFormat="1" ht="59.25" hidden="1" customHeight="1">
      <c r="A607" s="690"/>
      <c r="B607" s="666">
        <f t="shared" si="55"/>
        <v>0</v>
      </c>
      <c r="C607" s="743" t="s">
        <v>1699</v>
      </c>
      <c r="D607" s="675">
        <f>[14]Data!AG2629</f>
        <v>5298.17</v>
      </c>
      <c r="E607" s="674" t="s">
        <v>37</v>
      </c>
      <c r="F607" s="663">
        <f t="shared" si="61"/>
        <v>0</v>
      </c>
      <c r="G607" s="684"/>
      <c r="H607" s="667">
        <f t="shared" si="59"/>
        <v>0</v>
      </c>
      <c r="I607" s="675"/>
      <c r="J607" s="667">
        <f t="shared" si="60"/>
        <v>0</v>
      </c>
      <c r="K607" s="667"/>
      <c r="L607" s="667"/>
      <c r="M607" s="667" t="e">
        <f>G607+#REF!+#REF!+#REF!+I607+#REF!+#REF!+#REF!+#REF!+#REF!+#REF!+K607+#REF!+#REF!+#REF!</f>
        <v>#REF!</v>
      </c>
      <c r="N607" s="667" t="e">
        <f t="shared" si="57"/>
        <v>#REF!</v>
      </c>
      <c r="O607" s="665" t="e">
        <f>#REF!+M607</f>
        <v>#REF!</v>
      </c>
      <c r="P607" s="666" t="e">
        <f t="shared" si="58"/>
        <v>#REF!</v>
      </c>
      <c r="Q607" s="672"/>
      <c r="R607" s="668"/>
      <c r="S607" s="676"/>
      <c r="T607" s="676"/>
    </row>
    <row r="608" spans="1:20" ht="65.25" hidden="1" customHeight="1">
      <c r="A608" s="667"/>
      <c r="B608" s="666">
        <f t="shared" si="55"/>
        <v>0</v>
      </c>
      <c r="C608" s="663" t="s">
        <v>1700</v>
      </c>
      <c r="D608" s="667">
        <f>[14]Data!K1066</f>
        <v>3424.55</v>
      </c>
      <c r="E608" s="663" t="s">
        <v>37</v>
      </c>
      <c r="F608" s="663">
        <f t="shared" si="61"/>
        <v>0</v>
      </c>
      <c r="G608" s="667"/>
      <c r="H608" s="667">
        <f t="shared" si="59"/>
        <v>0</v>
      </c>
      <c r="I608" s="667"/>
      <c r="J608" s="667">
        <f t="shared" si="60"/>
        <v>0</v>
      </c>
      <c r="K608" s="667"/>
      <c r="L608" s="667"/>
      <c r="M608" s="667" t="e">
        <f>G608+#REF!+#REF!+#REF!+I608+#REF!+#REF!+#REF!+#REF!+#REF!+#REF!+K608+#REF!+#REF!+#REF!</f>
        <v>#REF!</v>
      </c>
      <c r="N608" s="667" t="e">
        <f t="shared" si="57"/>
        <v>#REF!</v>
      </c>
      <c r="O608" s="665" t="e">
        <f>#REF!+M608</f>
        <v>#REF!</v>
      </c>
      <c r="P608" s="666" t="e">
        <f t="shared" si="58"/>
        <v>#REF!</v>
      </c>
      <c r="Q608" s="672"/>
      <c r="R608" s="668"/>
    </row>
    <row r="609" spans="1:21" s="677" customFormat="1" ht="82.5" hidden="1" customHeight="1">
      <c r="A609" s="690"/>
      <c r="B609" s="666">
        <f t="shared" si="55"/>
        <v>0</v>
      </c>
      <c r="C609" s="663" t="s">
        <v>1701</v>
      </c>
      <c r="D609" s="675">
        <f>[14]Data!R1000</f>
        <v>3850.37</v>
      </c>
      <c r="E609" s="674" t="s">
        <v>37</v>
      </c>
      <c r="F609" s="663">
        <f t="shared" si="61"/>
        <v>0</v>
      </c>
      <c r="G609" s="684"/>
      <c r="H609" s="667">
        <f t="shared" si="59"/>
        <v>0</v>
      </c>
      <c r="I609" s="675"/>
      <c r="J609" s="667">
        <f t="shared" si="60"/>
        <v>0</v>
      </c>
      <c r="K609" s="667"/>
      <c r="L609" s="667"/>
      <c r="M609" s="667" t="e">
        <f>G609+#REF!+#REF!+#REF!+I609+#REF!+#REF!+#REF!+#REF!+#REF!+#REF!+K609+#REF!+#REF!+#REF!</f>
        <v>#REF!</v>
      </c>
      <c r="N609" s="667" t="e">
        <f t="shared" si="57"/>
        <v>#REF!</v>
      </c>
      <c r="O609" s="665" t="e">
        <f>#REF!+M609</f>
        <v>#REF!</v>
      </c>
      <c r="P609" s="666" t="e">
        <f t="shared" si="58"/>
        <v>#REF!</v>
      </c>
      <c r="Q609" s="672"/>
      <c r="R609" s="668"/>
      <c r="S609" s="676"/>
      <c r="T609" s="676"/>
    </row>
    <row r="610" spans="1:21" s="677" customFormat="1" ht="63.75" hidden="1" customHeight="1">
      <c r="A610" s="690"/>
      <c r="B610" s="666">
        <f t="shared" si="55"/>
        <v>0</v>
      </c>
      <c r="C610" s="663" t="s">
        <v>1702</v>
      </c>
      <c r="D610" s="667">
        <f>[14]Data!R1077</f>
        <v>3309.65</v>
      </c>
      <c r="E610" s="663" t="s">
        <v>37</v>
      </c>
      <c r="F610" s="663">
        <f t="shared" si="61"/>
        <v>0</v>
      </c>
      <c r="G610" s="699"/>
      <c r="H610" s="667">
        <f t="shared" si="59"/>
        <v>0</v>
      </c>
      <c r="I610" s="667"/>
      <c r="J610" s="667">
        <f t="shared" si="60"/>
        <v>0</v>
      </c>
      <c r="K610" s="667"/>
      <c r="L610" s="667"/>
      <c r="M610" s="667" t="e">
        <f>G610+#REF!+#REF!+#REF!+I610+#REF!+#REF!+#REF!+#REF!+#REF!+#REF!+K610+#REF!+#REF!+#REF!</f>
        <v>#REF!</v>
      </c>
      <c r="N610" s="667" t="e">
        <f t="shared" si="57"/>
        <v>#REF!</v>
      </c>
      <c r="O610" s="665" t="e">
        <f>#REF!+M610</f>
        <v>#REF!</v>
      </c>
      <c r="P610" s="666" t="e">
        <f t="shared" si="58"/>
        <v>#REF!</v>
      </c>
      <c r="Q610" s="672"/>
      <c r="R610" s="668"/>
      <c r="S610" s="676"/>
      <c r="T610" s="676"/>
    </row>
    <row r="611" spans="1:21" s="677" customFormat="1" ht="74.25" hidden="1" customHeight="1">
      <c r="A611" s="690"/>
      <c r="B611" s="666">
        <f t="shared" si="55"/>
        <v>0</v>
      </c>
      <c r="C611" s="663" t="s">
        <v>1703</v>
      </c>
      <c r="D611" s="675"/>
      <c r="E611" s="674" t="s">
        <v>37</v>
      </c>
      <c r="F611" s="663">
        <f t="shared" si="61"/>
        <v>0</v>
      </c>
      <c r="G611" s="675"/>
      <c r="H611" s="667">
        <f t="shared" si="59"/>
        <v>0</v>
      </c>
      <c r="I611" s="675"/>
      <c r="J611" s="667">
        <f t="shared" si="60"/>
        <v>0</v>
      </c>
      <c r="K611" s="667"/>
      <c r="L611" s="667"/>
      <c r="M611" s="667" t="e">
        <f>G611+#REF!+#REF!+#REF!+I611+#REF!+#REF!+#REF!+#REF!+#REF!+#REF!+K611+#REF!+#REF!+#REF!</f>
        <v>#REF!</v>
      </c>
      <c r="N611" s="667" t="e">
        <f t="shared" si="57"/>
        <v>#REF!</v>
      </c>
      <c r="O611" s="665" t="e">
        <f>#REF!+M611</f>
        <v>#REF!</v>
      </c>
      <c r="P611" s="666" t="e">
        <f t="shared" si="58"/>
        <v>#REF!</v>
      </c>
      <c r="Q611" s="672"/>
      <c r="R611" s="668"/>
      <c r="S611" s="676"/>
      <c r="T611" s="676"/>
    </row>
    <row r="612" spans="1:21" s="677" customFormat="1" ht="74.25" hidden="1" customHeight="1">
      <c r="A612" s="690"/>
      <c r="B612" s="666">
        <f t="shared" si="55"/>
        <v>0</v>
      </c>
      <c r="C612" s="663" t="s">
        <v>1704</v>
      </c>
      <c r="D612" s="675">
        <f>[14]Data!R3166</f>
        <v>3117.04</v>
      </c>
      <c r="E612" s="674" t="s">
        <v>37</v>
      </c>
      <c r="F612" s="663">
        <f t="shared" si="61"/>
        <v>0</v>
      </c>
      <c r="G612" s="684"/>
      <c r="H612" s="667">
        <f t="shared" si="59"/>
        <v>0</v>
      </c>
      <c r="I612" s="675"/>
      <c r="J612" s="667">
        <f t="shared" si="60"/>
        <v>0</v>
      </c>
      <c r="K612" s="667"/>
      <c r="L612" s="667"/>
      <c r="M612" s="667" t="e">
        <f>G612+#REF!+#REF!+#REF!+I612+#REF!+#REF!+#REF!+#REF!+#REF!+#REF!+K612+#REF!+#REF!+#REF!</f>
        <v>#REF!</v>
      </c>
      <c r="N612" s="667" t="e">
        <f t="shared" si="57"/>
        <v>#REF!</v>
      </c>
      <c r="O612" s="665" t="e">
        <f>#REF!+M612</f>
        <v>#REF!</v>
      </c>
      <c r="P612" s="666" t="e">
        <f t="shared" si="58"/>
        <v>#REF!</v>
      </c>
      <c r="Q612" s="672"/>
      <c r="R612" s="668"/>
      <c r="S612" s="676"/>
      <c r="T612" s="676"/>
    </row>
    <row r="613" spans="1:21" ht="48.75" hidden="1" customHeight="1">
      <c r="A613" s="662" t="s">
        <v>1095</v>
      </c>
      <c r="B613" s="666">
        <f t="shared" si="55"/>
        <v>0</v>
      </c>
      <c r="C613" s="663" t="s">
        <v>1705</v>
      </c>
      <c r="D613" s="667">
        <f>[14]Data!C704</f>
        <v>3167</v>
      </c>
      <c r="E613" s="663" t="s">
        <v>37</v>
      </c>
      <c r="F613" s="663">
        <f t="shared" si="61"/>
        <v>0</v>
      </c>
      <c r="G613" s="667"/>
      <c r="H613" s="667">
        <f t="shared" si="59"/>
        <v>0</v>
      </c>
      <c r="I613" s="667"/>
      <c r="J613" s="667">
        <f t="shared" si="60"/>
        <v>0</v>
      </c>
      <c r="K613" s="667"/>
      <c r="L613" s="667"/>
      <c r="M613" s="667" t="e">
        <f>G613+#REF!+#REF!+#REF!+I613+#REF!+#REF!+#REF!+#REF!+#REF!+#REF!+K613+#REF!+#REF!+#REF!</f>
        <v>#REF!</v>
      </c>
      <c r="N613" s="667" t="e">
        <f t="shared" si="57"/>
        <v>#REF!</v>
      </c>
      <c r="O613" s="665" t="e">
        <f>#REF!+M613</f>
        <v>#REF!</v>
      </c>
      <c r="P613" s="666" t="e">
        <f t="shared" si="58"/>
        <v>#REF!</v>
      </c>
      <c r="Q613" s="672"/>
      <c r="R613" s="668"/>
    </row>
    <row r="614" spans="1:21" ht="66.75" hidden="1" customHeight="1">
      <c r="A614" s="700" t="s">
        <v>1100</v>
      </c>
      <c r="B614" s="666">
        <f t="shared" si="55"/>
        <v>0</v>
      </c>
      <c r="C614" s="663" t="s">
        <v>507</v>
      </c>
      <c r="D614" s="667">
        <f>ROUND([14]Data!K1185,2)</f>
        <v>708.1</v>
      </c>
      <c r="E614" s="663" t="s">
        <v>37</v>
      </c>
      <c r="F614" s="663">
        <f t="shared" si="61"/>
        <v>0</v>
      </c>
      <c r="G614" s="667"/>
      <c r="H614" s="667">
        <f t="shared" si="59"/>
        <v>0</v>
      </c>
      <c r="I614" s="667"/>
      <c r="J614" s="667">
        <f t="shared" si="60"/>
        <v>0</v>
      </c>
      <c r="K614" s="667"/>
      <c r="L614" s="667"/>
      <c r="M614" s="667" t="e">
        <f>G614+#REF!+#REF!+#REF!+I614+#REF!+#REF!+#REF!+#REF!+#REF!+#REF!+K614+#REF!+#REF!+#REF!</f>
        <v>#REF!</v>
      </c>
      <c r="N614" s="667" t="e">
        <f t="shared" si="57"/>
        <v>#REF!</v>
      </c>
      <c r="O614" s="665" t="e">
        <f>#REF!+M614</f>
        <v>#REF!</v>
      </c>
      <c r="P614" s="666" t="e">
        <f t="shared" si="58"/>
        <v>#REF!</v>
      </c>
      <c r="Q614" s="672"/>
      <c r="R614" s="668"/>
    </row>
    <row r="615" spans="1:21" s="677" customFormat="1" ht="45.75" hidden="1" customHeight="1">
      <c r="A615" s="666"/>
      <c r="B615" s="666">
        <f t="shared" si="55"/>
        <v>0</v>
      </c>
      <c r="C615" s="685" t="s">
        <v>1706</v>
      </c>
      <c r="D615" s="675"/>
      <c r="E615" s="674"/>
      <c r="F615" s="663">
        <f t="shared" si="61"/>
        <v>0</v>
      </c>
      <c r="G615" s="684"/>
      <c r="H615" s="667">
        <f t="shared" si="59"/>
        <v>0</v>
      </c>
      <c r="I615" s="675"/>
      <c r="J615" s="667">
        <f t="shared" si="60"/>
        <v>0</v>
      </c>
      <c r="K615" s="667"/>
      <c r="L615" s="667"/>
      <c r="M615" s="667" t="e">
        <f>G615+#REF!+#REF!+#REF!+I615+#REF!+#REF!+#REF!+#REF!+#REF!+#REF!+K615+#REF!+#REF!+#REF!</f>
        <v>#REF!</v>
      </c>
      <c r="N615" s="667" t="e">
        <f t="shared" si="57"/>
        <v>#REF!</v>
      </c>
      <c r="O615" s="665" t="e">
        <f>#REF!+M615</f>
        <v>#REF!</v>
      </c>
      <c r="P615" s="666" t="e">
        <f t="shared" si="58"/>
        <v>#REF!</v>
      </c>
      <c r="Q615" s="672"/>
      <c r="R615" s="668"/>
      <c r="S615" s="676"/>
      <c r="T615" s="676"/>
    </row>
    <row r="616" spans="1:21" s="677" customFormat="1" ht="39" hidden="1" customHeight="1">
      <c r="A616" s="666"/>
      <c r="B616" s="666">
        <f t="shared" si="55"/>
        <v>0</v>
      </c>
      <c r="C616" s="663" t="s">
        <v>1405</v>
      </c>
      <c r="D616" s="675">
        <f>ROUND([14]Data!K628,2)</f>
        <v>572.35</v>
      </c>
      <c r="E616" s="674" t="s">
        <v>264</v>
      </c>
      <c r="F616" s="663">
        <f t="shared" si="61"/>
        <v>0</v>
      </c>
      <c r="G616" s="684"/>
      <c r="H616" s="667">
        <f t="shared" si="59"/>
        <v>0</v>
      </c>
      <c r="I616" s="675"/>
      <c r="J616" s="667">
        <f t="shared" si="60"/>
        <v>0</v>
      </c>
      <c r="K616" s="667"/>
      <c r="L616" s="667"/>
      <c r="M616" s="667" t="e">
        <f>G616+#REF!+#REF!+#REF!+I616+#REF!+#REF!+#REF!+#REF!+#REF!+#REF!+K616+#REF!+#REF!+#REF!</f>
        <v>#REF!</v>
      </c>
      <c r="N616" s="667" t="e">
        <f t="shared" si="57"/>
        <v>#REF!</v>
      </c>
      <c r="O616" s="665" t="e">
        <f>#REF!+M616</f>
        <v>#REF!</v>
      </c>
      <c r="P616" s="666" t="e">
        <f t="shared" si="58"/>
        <v>#REF!</v>
      </c>
      <c r="Q616" s="672"/>
      <c r="R616" s="668"/>
      <c r="S616" s="676"/>
      <c r="T616" s="676"/>
    </row>
    <row r="617" spans="1:21" s="677" customFormat="1" ht="39" hidden="1" customHeight="1">
      <c r="A617" s="666"/>
      <c r="B617" s="666">
        <f t="shared" si="55"/>
        <v>0</v>
      </c>
      <c r="C617" s="663" t="s">
        <v>1406</v>
      </c>
      <c r="D617" s="675">
        <f>ROUND([14]Data!K629,2)</f>
        <v>576.41999999999996</v>
      </c>
      <c r="E617" s="674" t="s">
        <v>264</v>
      </c>
      <c r="F617" s="663">
        <f t="shared" si="61"/>
        <v>0</v>
      </c>
      <c r="G617" s="684"/>
      <c r="H617" s="667">
        <f t="shared" si="59"/>
        <v>0</v>
      </c>
      <c r="I617" s="675"/>
      <c r="J617" s="667">
        <f t="shared" si="60"/>
        <v>0</v>
      </c>
      <c r="K617" s="667"/>
      <c r="L617" s="667"/>
      <c r="M617" s="667" t="e">
        <f>G617+#REF!+#REF!+#REF!+I617+#REF!+#REF!+#REF!+#REF!+#REF!+#REF!+K617+#REF!+#REF!+#REF!</f>
        <v>#REF!</v>
      </c>
      <c r="N617" s="667" t="e">
        <f t="shared" si="57"/>
        <v>#REF!</v>
      </c>
      <c r="O617" s="665" t="e">
        <f>#REF!+M617</f>
        <v>#REF!</v>
      </c>
      <c r="P617" s="666" t="e">
        <f t="shared" si="58"/>
        <v>#REF!</v>
      </c>
      <c r="Q617" s="672"/>
      <c r="R617" s="668"/>
      <c r="S617" s="676"/>
      <c r="T617" s="676"/>
    </row>
    <row r="618" spans="1:21" s="677" customFormat="1" ht="39" hidden="1" customHeight="1">
      <c r="A618" s="666"/>
      <c r="B618" s="666">
        <f t="shared" si="55"/>
        <v>0</v>
      </c>
      <c r="C618" s="663" t="s">
        <v>1407</v>
      </c>
      <c r="D618" s="675">
        <f>ROUND([14]Data!K630,2)</f>
        <v>580.49</v>
      </c>
      <c r="E618" s="674" t="s">
        <v>264</v>
      </c>
      <c r="F618" s="663">
        <f t="shared" si="61"/>
        <v>0</v>
      </c>
      <c r="G618" s="684"/>
      <c r="H618" s="667">
        <f t="shared" si="59"/>
        <v>0</v>
      </c>
      <c r="I618" s="675"/>
      <c r="J618" s="667">
        <f t="shared" si="60"/>
        <v>0</v>
      </c>
      <c r="K618" s="667"/>
      <c r="L618" s="667"/>
      <c r="M618" s="667" t="e">
        <f>G618+#REF!+#REF!+#REF!+I618+#REF!+#REF!+#REF!+#REF!+#REF!+#REF!+K618+#REF!+#REF!+#REF!</f>
        <v>#REF!</v>
      </c>
      <c r="N618" s="667" t="e">
        <f t="shared" si="57"/>
        <v>#REF!</v>
      </c>
      <c r="O618" s="665" t="e">
        <f>#REF!+M618</f>
        <v>#REF!</v>
      </c>
      <c r="P618" s="666" t="e">
        <f t="shared" si="58"/>
        <v>#REF!</v>
      </c>
      <c r="Q618" s="672"/>
      <c r="R618" s="668"/>
      <c r="S618" s="676"/>
      <c r="T618" s="676"/>
    </row>
    <row r="619" spans="1:21" s="677" customFormat="1" ht="39" hidden="1" customHeight="1">
      <c r="A619" s="666"/>
      <c r="B619" s="666">
        <f t="shared" si="55"/>
        <v>0</v>
      </c>
      <c r="C619" s="663" t="s">
        <v>1408</v>
      </c>
      <c r="D619" s="675">
        <f>ROUND([14]Data!K631,2)</f>
        <v>584.55999999999995</v>
      </c>
      <c r="E619" s="674" t="s">
        <v>264</v>
      </c>
      <c r="F619" s="663">
        <f t="shared" si="61"/>
        <v>0</v>
      </c>
      <c r="G619" s="684"/>
      <c r="H619" s="667">
        <f t="shared" si="59"/>
        <v>0</v>
      </c>
      <c r="I619" s="675"/>
      <c r="J619" s="667">
        <f t="shared" si="60"/>
        <v>0</v>
      </c>
      <c r="K619" s="667"/>
      <c r="L619" s="667"/>
      <c r="M619" s="667" t="e">
        <f>G619+#REF!+#REF!+#REF!+I619+#REF!+#REF!+#REF!+#REF!+#REF!+#REF!+K619+#REF!+#REF!+#REF!</f>
        <v>#REF!</v>
      </c>
      <c r="N619" s="667" t="e">
        <f t="shared" si="57"/>
        <v>#REF!</v>
      </c>
      <c r="O619" s="665" t="e">
        <f>#REF!+M619</f>
        <v>#REF!</v>
      </c>
      <c r="P619" s="666" t="e">
        <f t="shared" si="58"/>
        <v>#REF!</v>
      </c>
      <c r="Q619" s="672"/>
      <c r="R619" s="668"/>
      <c r="S619" s="676"/>
      <c r="T619" s="676"/>
    </row>
    <row r="620" spans="1:21" s="677" customFormat="1" ht="36" hidden="1" customHeight="1">
      <c r="A620" s="690"/>
      <c r="B620" s="666">
        <f t="shared" si="55"/>
        <v>0</v>
      </c>
      <c r="C620" s="663" t="s">
        <v>1409</v>
      </c>
      <c r="D620" s="675">
        <f>ROUND([14]Data!K632,2)</f>
        <v>588.63</v>
      </c>
      <c r="E620" s="674" t="s">
        <v>264</v>
      </c>
      <c r="F620" s="663">
        <f t="shared" si="61"/>
        <v>0</v>
      </c>
      <c r="G620" s="684"/>
      <c r="H620" s="667">
        <f t="shared" si="59"/>
        <v>0</v>
      </c>
      <c r="I620" s="675"/>
      <c r="J620" s="667">
        <f t="shared" si="60"/>
        <v>0</v>
      </c>
      <c r="K620" s="667"/>
      <c r="L620" s="667"/>
      <c r="M620" s="667" t="e">
        <f>G620+#REF!+#REF!+#REF!+I620+#REF!+#REF!+#REF!+#REF!+#REF!+#REF!+K620+#REF!+#REF!+#REF!</f>
        <v>#REF!</v>
      </c>
      <c r="N620" s="667" t="e">
        <f t="shared" si="57"/>
        <v>#REF!</v>
      </c>
      <c r="O620" s="665" t="e">
        <f>#REF!+M620</f>
        <v>#REF!</v>
      </c>
      <c r="P620" s="666" t="e">
        <f t="shared" si="58"/>
        <v>#REF!</v>
      </c>
      <c r="Q620" s="672"/>
      <c r="R620" s="668"/>
      <c r="S620" s="676"/>
      <c r="T620" s="676"/>
    </row>
    <row r="621" spans="1:21" ht="40.5" hidden="1" customHeight="1">
      <c r="A621" s="684"/>
      <c r="B621" s="666">
        <f t="shared" si="55"/>
        <v>0</v>
      </c>
      <c r="C621" s="695" t="s">
        <v>1707</v>
      </c>
      <c r="D621" s="675"/>
      <c r="E621" s="674"/>
      <c r="F621" s="663">
        <f t="shared" si="61"/>
        <v>0</v>
      </c>
      <c r="G621" s="684"/>
      <c r="H621" s="667">
        <f t="shared" si="59"/>
        <v>0</v>
      </c>
      <c r="I621" s="675"/>
      <c r="J621" s="667">
        <f t="shared" si="60"/>
        <v>0</v>
      </c>
      <c r="K621" s="667"/>
      <c r="L621" s="667"/>
      <c r="M621" s="667" t="e">
        <f>G621+#REF!+#REF!+#REF!+I621+#REF!+#REF!+#REF!+#REF!+#REF!+#REF!+K621+#REF!+#REF!+#REF!</f>
        <v>#REF!</v>
      </c>
      <c r="N621" s="667" t="e">
        <f t="shared" si="57"/>
        <v>#REF!</v>
      </c>
      <c r="O621" s="665" t="e">
        <f>#REF!+M621</f>
        <v>#REF!</v>
      </c>
      <c r="P621" s="666" t="e">
        <f t="shared" si="58"/>
        <v>#REF!</v>
      </c>
      <c r="Q621" s="672"/>
      <c r="R621" s="668"/>
      <c r="S621" s="678"/>
      <c r="U621" s="679"/>
    </row>
    <row r="622" spans="1:21" s="677" customFormat="1" ht="39" hidden="1" customHeight="1">
      <c r="A622" s="690"/>
      <c r="B622" s="666">
        <f t="shared" si="55"/>
        <v>0</v>
      </c>
      <c r="C622" s="663" t="s">
        <v>1708</v>
      </c>
      <c r="D622" s="675">
        <f>[14]Data!K590</f>
        <v>529.37</v>
      </c>
      <c r="E622" s="674" t="s">
        <v>264</v>
      </c>
      <c r="F622" s="663">
        <f t="shared" si="61"/>
        <v>0</v>
      </c>
      <c r="G622" s="684"/>
      <c r="H622" s="667">
        <f t="shared" si="59"/>
        <v>0</v>
      </c>
      <c r="I622" s="675"/>
      <c r="J622" s="667">
        <f t="shared" si="60"/>
        <v>0</v>
      </c>
      <c r="K622" s="667"/>
      <c r="L622" s="667"/>
      <c r="M622" s="667" t="e">
        <f>G622+#REF!+#REF!+#REF!+I622+#REF!+#REF!+#REF!+#REF!+#REF!+#REF!+K622+#REF!+#REF!+#REF!</f>
        <v>#REF!</v>
      </c>
      <c r="N622" s="667" t="e">
        <f t="shared" si="57"/>
        <v>#REF!</v>
      </c>
      <c r="O622" s="665" t="e">
        <f>#REF!+M622</f>
        <v>#REF!</v>
      </c>
      <c r="P622" s="666" t="e">
        <f t="shared" si="58"/>
        <v>#REF!</v>
      </c>
      <c r="Q622" s="672"/>
      <c r="R622" s="668"/>
      <c r="S622" s="676"/>
      <c r="T622" s="676"/>
    </row>
    <row r="623" spans="1:21" s="677" customFormat="1" ht="45.75" hidden="1" customHeight="1">
      <c r="A623" s="690"/>
      <c r="B623" s="666">
        <f t="shared" si="55"/>
        <v>0</v>
      </c>
      <c r="C623" s="663" t="s">
        <v>1406</v>
      </c>
      <c r="D623" s="675">
        <f>[14]Data!K591</f>
        <v>533.44000000000005</v>
      </c>
      <c r="E623" s="674" t="s">
        <v>264</v>
      </c>
      <c r="F623" s="663">
        <f t="shared" si="61"/>
        <v>0</v>
      </c>
      <c r="G623" s="684"/>
      <c r="H623" s="667">
        <f t="shared" si="59"/>
        <v>0</v>
      </c>
      <c r="I623" s="675"/>
      <c r="J623" s="667">
        <f t="shared" si="60"/>
        <v>0</v>
      </c>
      <c r="K623" s="667"/>
      <c r="L623" s="667"/>
      <c r="M623" s="667" t="e">
        <f>G623+#REF!+#REF!+#REF!+I623+#REF!+#REF!+#REF!+#REF!+#REF!+#REF!+K623+#REF!+#REF!+#REF!</f>
        <v>#REF!</v>
      </c>
      <c r="N623" s="667" t="e">
        <f t="shared" si="57"/>
        <v>#REF!</v>
      </c>
      <c r="O623" s="665" t="e">
        <f>#REF!+M623</f>
        <v>#REF!</v>
      </c>
      <c r="P623" s="666" t="e">
        <f t="shared" si="58"/>
        <v>#REF!</v>
      </c>
      <c r="Q623" s="672"/>
      <c r="R623" s="668"/>
      <c r="S623" s="676"/>
      <c r="T623" s="676"/>
    </row>
    <row r="624" spans="1:21" s="677" customFormat="1" ht="45.75" hidden="1" customHeight="1">
      <c r="A624" s="690"/>
      <c r="B624" s="666">
        <f t="shared" si="55"/>
        <v>0</v>
      </c>
      <c r="C624" s="663" t="s">
        <v>1407</v>
      </c>
      <c r="D624" s="675">
        <f>[14]Data!K592</f>
        <v>537.51</v>
      </c>
      <c r="E624" s="674" t="s">
        <v>264</v>
      </c>
      <c r="F624" s="663">
        <f t="shared" si="61"/>
        <v>0</v>
      </c>
      <c r="G624" s="684"/>
      <c r="H624" s="667">
        <f t="shared" ref="H624:H655" si="62">G624*D624</f>
        <v>0</v>
      </c>
      <c r="I624" s="675"/>
      <c r="J624" s="667">
        <f t="shared" ref="J624:J655" si="63">I624*D624</f>
        <v>0</v>
      </c>
      <c r="K624" s="667"/>
      <c r="L624" s="667"/>
      <c r="M624" s="667" t="e">
        <f>G624+#REF!+#REF!+#REF!+I624+#REF!+#REF!+#REF!+#REF!+#REF!+#REF!+K624+#REF!+#REF!+#REF!</f>
        <v>#REF!</v>
      </c>
      <c r="N624" s="667" t="e">
        <f t="shared" si="57"/>
        <v>#REF!</v>
      </c>
      <c r="O624" s="665" t="e">
        <f>#REF!+M624</f>
        <v>#REF!</v>
      </c>
      <c r="P624" s="666" t="e">
        <f t="shared" si="58"/>
        <v>#REF!</v>
      </c>
      <c r="Q624" s="672"/>
      <c r="R624" s="668"/>
      <c r="S624" s="676"/>
      <c r="T624" s="676"/>
    </row>
    <row r="625" spans="1:23" s="677" customFormat="1" ht="45.75" hidden="1" customHeight="1">
      <c r="A625" s="690"/>
      <c r="B625" s="666">
        <f t="shared" si="55"/>
        <v>0</v>
      </c>
      <c r="C625" s="663" t="s">
        <v>1408</v>
      </c>
      <c r="D625" s="675">
        <f>[14]Data!K593</f>
        <v>541.58000000000004</v>
      </c>
      <c r="E625" s="674" t="s">
        <v>264</v>
      </c>
      <c r="F625" s="663">
        <f t="shared" si="61"/>
        <v>0</v>
      </c>
      <c r="G625" s="684"/>
      <c r="H625" s="667">
        <f t="shared" si="62"/>
        <v>0</v>
      </c>
      <c r="I625" s="675"/>
      <c r="J625" s="667">
        <f t="shared" si="63"/>
        <v>0</v>
      </c>
      <c r="K625" s="667"/>
      <c r="L625" s="667"/>
      <c r="M625" s="667" t="e">
        <f>G625+#REF!+#REF!+#REF!+I625+#REF!+#REF!+#REF!+#REF!+#REF!+#REF!+K625+#REF!+#REF!+#REF!</f>
        <v>#REF!</v>
      </c>
      <c r="N625" s="667" t="e">
        <f t="shared" si="57"/>
        <v>#REF!</v>
      </c>
      <c r="O625" s="665" t="e">
        <f>#REF!+M625</f>
        <v>#REF!</v>
      </c>
      <c r="P625" s="666" t="e">
        <f t="shared" si="58"/>
        <v>#REF!</v>
      </c>
      <c r="Q625" s="672"/>
      <c r="R625" s="668"/>
      <c r="S625" s="676"/>
      <c r="T625" s="676"/>
    </row>
    <row r="626" spans="1:23" s="677" customFormat="1" ht="36" hidden="1" customHeight="1">
      <c r="A626" s="690"/>
      <c r="B626" s="666">
        <f t="shared" si="55"/>
        <v>0</v>
      </c>
      <c r="C626" s="663" t="s">
        <v>1409</v>
      </c>
      <c r="D626" s="675">
        <f>[14]Data!K594</f>
        <v>545.65</v>
      </c>
      <c r="E626" s="674" t="s">
        <v>264</v>
      </c>
      <c r="F626" s="663">
        <f t="shared" si="61"/>
        <v>0</v>
      </c>
      <c r="G626" s="684"/>
      <c r="H626" s="667">
        <f t="shared" si="62"/>
        <v>0</v>
      </c>
      <c r="I626" s="675"/>
      <c r="J626" s="667">
        <f t="shared" si="63"/>
        <v>0</v>
      </c>
      <c r="K626" s="667"/>
      <c r="L626" s="667"/>
      <c r="M626" s="667" t="e">
        <f>G626+#REF!+#REF!+#REF!+I626+#REF!+#REF!+#REF!+#REF!+#REF!+#REF!+K626+#REF!+#REF!+#REF!</f>
        <v>#REF!</v>
      </c>
      <c r="N626" s="667" t="e">
        <f t="shared" si="57"/>
        <v>#REF!</v>
      </c>
      <c r="O626" s="665" t="e">
        <f>#REF!+M626</f>
        <v>#REF!</v>
      </c>
      <c r="P626" s="666" t="e">
        <f t="shared" si="58"/>
        <v>#REF!</v>
      </c>
      <c r="Q626" s="672"/>
      <c r="R626" s="668"/>
      <c r="S626" s="676"/>
      <c r="T626" s="676"/>
    </row>
    <row r="627" spans="1:23" ht="26.25" hidden="1" customHeight="1">
      <c r="A627" s="684"/>
      <c r="B627" s="666">
        <f t="shared" si="55"/>
        <v>0</v>
      </c>
      <c r="C627" s="695" t="s">
        <v>1709</v>
      </c>
      <c r="D627" s="675"/>
      <c r="E627" s="674"/>
      <c r="F627" s="663">
        <f t="shared" si="61"/>
        <v>0</v>
      </c>
      <c r="G627" s="684"/>
      <c r="H627" s="667">
        <f t="shared" si="62"/>
        <v>0</v>
      </c>
      <c r="I627" s="675"/>
      <c r="J627" s="667">
        <f t="shared" si="63"/>
        <v>0</v>
      </c>
      <c r="K627" s="667"/>
      <c r="L627" s="667"/>
      <c r="M627" s="667" t="e">
        <f>G627+#REF!+#REF!+#REF!+I627+#REF!+#REF!+#REF!+#REF!+#REF!+#REF!+K627+#REF!+#REF!+#REF!</f>
        <v>#REF!</v>
      </c>
      <c r="N627" s="667" t="e">
        <f t="shared" si="57"/>
        <v>#REF!</v>
      </c>
      <c r="O627" s="665" t="e">
        <f>#REF!+M627</f>
        <v>#REF!</v>
      </c>
      <c r="P627" s="666" t="e">
        <f t="shared" si="58"/>
        <v>#REF!</v>
      </c>
      <c r="Q627" s="672"/>
      <c r="R627" s="668"/>
      <c r="S627" s="678"/>
      <c r="U627" s="679"/>
    </row>
    <row r="628" spans="1:23" s="677" customFormat="1" ht="41.25" hidden="1" customHeight="1">
      <c r="A628" s="690"/>
      <c r="B628" s="666">
        <f t="shared" si="55"/>
        <v>0</v>
      </c>
      <c r="C628" s="663" t="s">
        <v>1405</v>
      </c>
      <c r="D628" s="675">
        <f>[14]Data!X589</f>
        <v>558.29999999999995</v>
      </c>
      <c r="E628" s="674" t="s">
        <v>264</v>
      </c>
      <c r="F628" s="663">
        <f t="shared" si="61"/>
        <v>0</v>
      </c>
      <c r="G628" s="684"/>
      <c r="H628" s="667">
        <f t="shared" si="62"/>
        <v>0</v>
      </c>
      <c r="I628" s="675"/>
      <c r="J628" s="667">
        <f t="shared" si="63"/>
        <v>0</v>
      </c>
      <c r="K628" s="667"/>
      <c r="L628" s="667"/>
      <c r="M628" s="667" t="e">
        <f>G628+#REF!+#REF!+#REF!+I628+#REF!+#REF!+#REF!+#REF!+#REF!+#REF!+K628+#REF!+#REF!+#REF!</f>
        <v>#REF!</v>
      </c>
      <c r="N628" s="667" t="e">
        <f t="shared" si="57"/>
        <v>#REF!</v>
      </c>
      <c r="O628" s="665" t="e">
        <f>#REF!+M628</f>
        <v>#REF!</v>
      </c>
      <c r="P628" s="666" t="e">
        <f t="shared" si="58"/>
        <v>#REF!</v>
      </c>
      <c r="Q628" s="672"/>
      <c r="R628" s="668"/>
      <c r="S628" s="676"/>
      <c r="T628" s="676"/>
    </row>
    <row r="629" spans="1:23" s="677" customFormat="1" ht="43.5" hidden="1" customHeight="1">
      <c r="A629" s="690"/>
      <c r="B629" s="666">
        <f t="shared" si="55"/>
        <v>0</v>
      </c>
      <c r="C629" s="663" t="s">
        <v>1406</v>
      </c>
      <c r="D629" s="675">
        <f>[14]Data!X590</f>
        <v>562.42999999999995</v>
      </c>
      <c r="E629" s="674" t="s">
        <v>264</v>
      </c>
      <c r="F629" s="663">
        <f t="shared" si="61"/>
        <v>0</v>
      </c>
      <c r="G629" s="684"/>
      <c r="H629" s="667">
        <f t="shared" si="62"/>
        <v>0</v>
      </c>
      <c r="I629" s="675"/>
      <c r="J629" s="667">
        <f t="shared" si="63"/>
        <v>0</v>
      </c>
      <c r="K629" s="667"/>
      <c r="L629" s="667"/>
      <c r="M629" s="667" t="e">
        <f>G629+#REF!+#REF!+#REF!+I629+#REF!+#REF!+#REF!+#REF!+#REF!+#REF!+K629+#REF!+#REF!+#REF!</f>
        <v>#REF!</v>
      </c>
      <c r="N629" s="667" t="e">
        <f t="shared" si="57"/>
        <v>#REF!</v>
      </c>
      <c r="O629" s="665" t="e">
        <f>#REF!+M629</f>
        <v>#REF!</v>
      </c>
      <c r="P629" s="666" t="e">
        <f t="shared" si="58"/>
        <v>#REF!</v>
      </c>
      <c r="Q629" s="672"/>
      <c r="R629" s="668"/>
      <c r="S629" s="676"/>
      <c r="T629" s="676"/>
    </row>
    <row r="630" spans="1:23" s="677" customFormat="1" ht="36" hidden="1" customHeight="1">
      <c r="A630" s="690"/>
      <c r="B630" s="666">
        <f t="shared" si="55"/>
        <v>0</v>
      </c>
      <c r="C630" s="663" t="s">
        <v>1407</v>
      </c>
      <c r="D630" s="675">
        <f>[14]Data!X591</f>
        <v>570.57000000000005</v>
      </c>
      <c r="E630" s="674" t="s">
        <v>264</v>
      </c>
      <c r="F630" s="663">
        <f t="shared" si="61"/>
        <v>0</v>
      </c>
      <c r="G630" s="684"/>
      <c r="H630" s="667">
        <f t="shared" si="62"/>
        <v>0</v>
      </c>
      <c r="I630" s="675"/>
      <c r="J630" s="667">
        <f t="shared" si="63"/>
        <v>0</v>
      </c>
      <c r="K630" s="667"/>
      <c r="L630" s="667"/>
      <c r="M630" s="667" t="e">
        <f>G630+#REF!+#REF!+#REF!+I630+#REF!+#REF!+#REF!+#REF!+#REF!+#REF!+K630+#REF!+#REF!+#REF!</f>
        <v>#REF!</v>
      </c>
      <c r="N630" s="667" t="e">
        <f t="shared" si="57"/>
        <v>#REF!</v>
      </c>
      <c r="O630" s="665" t="e">
        <f>#REF!+M630</f>
        <v>#REF!</v>
      </c>
      <c r="P630" s="666" t="e">
        <f t="shared" si="58"/>
        <v>#REF!</v>
      </c>
      <c r="Q630" s="672"/>
      <c r="R630" s="668"/>
      <c r="S630" s="676"/>
      <c r="T630" s="676"/>
    </row>
    <row r="631" spans="1:23" s="677" customFormat="1" ht="36" hidden="1" customHeight="1">
      <c r="A631" s="690"/>
      <c r="B631" s="666">
        <f t="shared" si="55"/>
        <v>0</v>
      </c>
      <c r="C631" s="663" t="s">
        <v>1408</v>
      </c>
      <c r="D631" s="675">
        <f>[14]Data!X592</f>
        <v>578.71</v>
      </c>
      <c r="E631" s="674" t="s">
        <v>264</v>
      </c>
      <c r="F631" s="663">
        <f t="shared" si="61"/>
        <v>0</v>
      </c>
      <c r="G631" s="684"/>
      <c r="H631" s="667">
        <f t="shared" si="62"/>
        <v>0</v>
      </c>
      <c r="I631" s="675"/>
      <c r="J631" s="667">
        <f t="shared" si="63"/>
        <v>0</v>
      </c>
      <c r="K631" s="667"/>
      <c r="L631" s="667"/>
      <c r="M631" s="667" t="e">
        <f>G631+#REF!+#REF!+#REF!+I631+#REF!+#REF!+#REF!+#REF!+#REF!+#REF!+K631+#REF!+#REF!+#REF!</f>
        <v>#REF!</v>
      </c>
      <c r="N631" s="667" t="e">
        <f t="shared" si="57"/>
        <v>#REF!</v>
      </c>
      <c r="O631" s="665" t="e">
        <f>#REF!+M631</f>
        <v>#REF!</v>
      </c>
      <c r="P631" s="666" t="e">
        <f t="shared" si="58"/>
        <v>#REF!</v>
      </c>
      <c r="Q631" s="672"/>
      <c r="R631" s="668"/>
      <c r="S631" s="676"/>
      <c r="T631" s="676"/>
    </row>
    <row r="632" spans="1:23" s="677" customFormat="1" ht="36" hidden="1" customHeight="1">
      <c r="A632" s="690"/>
      <c r="B632" s="666">
        <f t="shared" si="55"/>
        <v>0</v>
      </c>
      <c r="C632" s="663" t="s">
        <v>1409</v>
      </c>
      <c r="D632" s="675">
        <f>[14]Data!X593</f>
        <v>586.85</v>
      </c>
      <c r="E632" s="674"/>
      <c r="F632" s="663">
        <f t="shared" si="61"/>
        <v>0</v>
      </c>
      <c r="G632" s="684"/>
      <c r="H632" s="667">
        <f t="shared" si="62"/>
        <v>0</v>
      </c>
      <c r="I632" s="675"/>
      <c r="J632" s="667">
        <f t="shared" si="63"/>
        <v>0</v>
      </c>
      <c r="K632" s="667"/>
      <c r="L632" s="667"/>
      <c r="M632" s="667" t="e">
        <f>G632+#REF!+#REF!+#REF!+I632+#REF!+#REF!+#REF!+#REF!+#REF!+#REF!+K632+#REF!+#REF!+#REF!</f>
        <v>#REF!</v>
      </c>
      <c r="N632" s="667" t="e">
        <f t="shared" si="57"/>
        <v>#REF!</v>
      </c>
      <c r="O632" s="665" t="e">
        <f>#REF!+M632</f>
        <v>#REF!</v>
      </c>
      <c r="P632" s="666" t="e">
        <f t="shared" si="58"/>
        <v>#REF!</v>
      </c>
      <c r="Q632" s="672"/>
      <c r="R632" s="668"/>
      <c r="S632" s="676"/>
      <c r="T632" s="676"/>
    </row>
    <row r="633" spans="1:23" s="677" customFormat="1" ht="45.75" hidden="1" customHeight="1">
      <c r="A633" s="690"/>
      <c r="B633" s="666">
        <f t="shared" si="55"/>
        <v>0</v>
      </c>
      <c r="C633" s="685" t="s">
        <v>1710</v>
      </c>
      <c r="D633" s="675"/>
      <c r="E633" s="674"/>
      <c r="F633" s="663">
        <f t="shared" si="61"/>
        <v>0</v>
      </c>
      <c r="G633" s="684"/>
      <c r="H633" s="667">
        <f t="shared" si="62"/>
        <v>0</v>
      </c>
      <c r="I633" s="675"/>
      <c r="J633" s="667">
        <f t="shared" si="63"/>
        <v>0</v>
      </c>
      <c r="K633" s="667"/>
      <c r="L633" s="667"/>
      <c r="M633" s="667" t="e">
        <f>G633+#REF!+#REF!+#REF!+I633+#REF!+#REF!+#REF!+#REF!+#REF!+#REF!+K633+#REF!+#REF!+#REF!</f>
        <v>#REF!</v>
      </c>
      <c r="N633" s="667" t="e">
        <f t="shared" si="57"/>
        <v>#REF!</v>
      </c>
      <c r="O633" s="665" t="e">
        <f>#REF!+M633</f>
        <v>#REF!</v>
      </c>
      <c r="P633" s="666" t="e">
        <f t="shared" si="58"/>
        <v>#REF!</v>
      </c>
      <c r="Q633" s="672"/>
      <c r="R633" s="668"/>
      <c r="S633" s="676"/>
      <c r="T633" s="676"/>
    </row>
    <row r="634" spans="1:23" s="677" customFormat="1" ht="25.5" hidden="1" customHeight="1">
      <c r="A634" s="690"/>
      <c r="B634" s="666">
        <f t="shared" si="55"/>
        <v>0</v>
      </c>
      <c r="C634" s="663" t="s">
        <v>1405</v>
      </c>
      <c r="D634" s="675">
        <f>[14]Data!K612</f>
        <v>1847.38</v>
      </c>
      <c r="E634" s="674" t="s">
        <v>264</v>
      </c>
      <c r="F634" s="663">
        <f t="shared" si="61"/>
        <v>0</v>
      </c>
      <c r="G634" s="684"/>
      <c r="H634" s="667">
        <f t="shared" si="62"/>
        <v>0</v>
      </c>
      <c r="I634" s="675"/>
      <c r="J634" s="667">
        <f t="shared" si="63"/>
        <v>0</v>
      </c>
      <c r="K634" s="667"/>
      <c r="L634" s="667"/>
      <c r="M634" s="667" t="e">
        <f>G634+#REF!+#REF!+#REF!+I634+#REF!+#REF!+#REF!+#REF!+#REF!+#REF!+K634+#REF!+#REF!+#REF!</f>
        <v>#REF!</v>
      </c>
      <c r="N634" s="667" t="e">
        <f t="shared" si="57"/>
        <v>#REF!</v>
      </c>
      <c r="O634" s="665" t="e">
        <f>#REF!+M634</f>
        <v>#REF!</v>
      </c>
      <c r="P634" s="666" t="e">
        <f t="shared" si="58"/>
        <v>#REF!</v>
      </c>
      <c r="Q634" s="672"/>
      <c r="R634" s="668"/>
      <c r="S634" s="676"/>
      <c r="T634" s="676"/>
    </row>
    <row r="635" spans="1:23" s="677" customFormat="1" ht="25.5" hidden="1" customHeight="1">
      <c r="A635" s="690"/>
      <c r="B635" s="666">
        <f t="shared" si="55"/>
        <v>0</v>
      </c>
      <c r="C635" s="663" t="s">
        <v>1406</v>
      </c>
      <c r="D635" s="675">
        <f>[14]Data!K613</f>
        <v>1855.52</v>
      </c>
      <c r="E635" s="674" t="s">
        <v>264</v>
      </c>
      <c r="F635" s="663">
        <f t="shared" si="61"/>
        <v>0</v>
      </c>
      <c r="G635" s="684"/>
      <c r="H635" s="667">
        <f t="shared" si="62"/>
        <v>0</v>
      </c>
      <c r="I635" s="675"/>
      <c r="J635" s="667">
        <f t="shared" si="63"/>
        <v>0</v>
      </c>
      <c r="K635" s="667"/>
      <c r="L635" s="667"/>
      <c r="M635" s="667" t="e">
        <f>G635+#REF!+#REF!+#REF!+I635+#REF!+#REF!+#REF!+#REF!+#REF!+#REF!+K635+#REF!+#REF!+#REF!</f>
        <v>#REF!</v>
      </c>
      <c r="N635" s="667" t="e">
        <f t="shared" si="57"/>
        <v>#REF!</v>
      </c>
      <c r="O635" s="665" t="e">
        <f>#REF!+M635</f>
        <v>#REF!</v>
      </c>
      <c r="P635" s="666" t="e">
        <f t="shared" si="58"/>
        <v>#REF!</v>
      </c>
      <c r="Q635" s="672"/>
      <c r="R635" s="668"/>
      <c r="S635" s="676"/>
      <c r="T635" s="676"/>
    </row>
    <row r="636" spans="1:23" s="677" customFormat="1" ht="25.5" hidden="1" customHeight="1">
      <c r="A636" s="690"/>
      <c r="B636" s="666">
        <f t="shared" si="55"/>
        <v>0</v>
      </c>
      <c r="C636" s="663" t="s">
        <v>1407</v>
      </c>
      <c r="D636" s="675">
        <f>[14]Data!K614</f>
        <v>1863.66</v>
      </c>
      <c r="E636" s="674" t="s">
        <v>264</v>
      </c>
      <c r="F636" s="663">
        <f t="shared" si="61"/>
        <v>0</v>
      </c>
      <c r="G636" s="684"/>
      <c r="H636" s="667">
        <f t="shared" si="62"/>
        <v>0</v>
      </c>
      <c r="I636" s="675"/>
      <c r="J636" s="667">
        <f t="shared" si="63"/>
        <v>0</v>
      </c>
      <c r="K636" s="667"/>
      <c r="L636" s="667"/>
      <c r="M636" s="667" t="e">
        <f>G636+#REF!+#REF!+#REF!+I636+#REF!+#REF!+#REF!+#REF!+#REF!+#REF!+K636+#REF!+#REF!+#REF!</f>
        <v>#REF!</v>
      </c>
      <c r="N636" s="667" t="e">
        <f t="shared" si="57"/>
        <v>#REF!</v>
      </c>
      <c r="O636" s="665" t="e">
        <f>#REF!+M636</f>
        <v>#REF!</v>
      </c>
      <c r="P636" s="666" t="e">
        <f t="shared" si="58"/>
        <v>#REF!</v>
      </c>
      <c r="Q636" s="672"/>
      <c r="R636" s="668"/>
      <c r="S636" s="676"/>
      <c r="T636" s="676"/>
    </row>
    <row r="637" spans="1:23" s="677" customFormat="1" ht="25.5" hidden="1" customHeight="1">
      <c r="A637" s="690"/>
      <c r="B637" s="666">
        <f t="shared" si="55"/>
        <v>0</v>
      </c>
      <c r="C637" s="663" t="s">
        <v>1408</v>
      </c>
      <c r="D637" s="675">
        <f>[14]Data!K615</f>
        <v>1871.8</v>
      </c>
      <c r="E637" s="674" t="s">
        <v>264</v>
      </c>
      <c r="F637" s="663">
        <f t="shared" si="61"/>
        <v>0</v>
      </c>
      <c r="G637" s="684"/>
      <c r="H637" s="667">
        <f t="shared" si="62"/>
        <v>0</v>
      </c>
      <c r="I637" s="675"/>
      <c r="J637" s="667">
        <f t="shared" si="63"/>
        <v>0</v>
      </c>
      <c r="K637" s="667"/>
      <c r="L637" s="667"/>
      <c r="M637" s="667" t="e">
        <f>G637+#REF!+#REF!+#REF!+I637+#REF!+#REF!+#REF!+#REF!+#REF!+#REF!+K637+#REF!+#REF!+#REF!</f>
        <v>#REF!</v>
      </c>
      <c r="N637" s="667" t="e">
        <f t="shared" si="57"/>
        <v>#REF!</v>
      </c>
      <c r="O637" s="665" t="e">
        <f>#REF!+M637</f>
        <v>#REF!</v>
      </c>
      <c r="P637" s="666" t="e">
        <f t="shared" si="58"/>
        <v>#REF!</v>
      </c>
      <c r="Q637" s="672"/>
      <c r="R637" s="668"/>
      <c r="S637" s="676"/>
      <c r="T637" s="676"/>
    </row>
    <row r="638" spans="1:23" s="677" customFormat="1" ht="25.5" hidden="1" customHeight="1">
      <c r="A638" s="690"/>
      <c r="B638" s="666">
        <f t="shared" si="55"/>
        <v>0</v>
      </c>
      <c r="C638" s="663" t="s">
        <v>1409</v>
      </c>
      <c r="D638" s="675">
        <f>[14]Data!K616</f>
        <v>1879.94</v>
      </c>
      <c r="E638" s="674" t="s">
        <v>264</v>
      </c>
      <c r="F638" s="663">
        <f t="shared" si="61"/>
        <v>0</v>
      </c>
      <c r="G638" s="684"/>
      <c r="H638" s="667">
        <f t="shared" si="62"/>
        <v>0</v>
      </c>
      <c r="I638" s="675"/>
      <c r="J638" s="667">
        <f t="shared" si="63"/>
        <v>0</v>
      </c>
      <c r="K638" s="667"/>
      <c r="L638" s="667"/>
      <c r="M638" s="667" t="e">
        <f>G638+#REF!+#REF!+#REF!+I638+#REF!+#REF!+#REF!+#REF!+#REF!+#REF!+K638+#REF!+#REF!+#REF!</f>
        <v>#REF!</v>
      </c>
      <c r="N638" s="667" t="e">
        <f t="shared" si="57"/>
        <v>#REF!</v>
      </c>
      <c r="O638" s="665" t="e">
        <f>#REF!+M638</f>
        <v>#REF!</v>
      </c>
      <c r="P638" s="666" t="e">
        <f t="shared" si="58"/>
        <v>#REF!</v>
      </c>
      <c r="Q638" s="672"/>
      <c r="R638" s="668"/>
      <c r="S638" s="676"/>
      <c r="T638" s="676"/>
    </row>
    <row r="639" spans="1:23" ht="46.5" hidden="1" customHeight="1">
      <c r="A639" s="662">
        <v>29.8</v>
      </c>
      <c r="B639" s="666">
        <f t="shared" si="55"/>
        <v>0</v>
      </c>
      <c r="C639" s="663" t="s">
        <v>1711</v>
      </c>
      <c r="D639" s="667">
        <f>ROUND([14]Data!K1278,2)</f>
        <v>1237.43</v>
      </c>
      <c r="E639" s="663" t="s">
        <v>37</v>
      </c>
      <c r="F639" s="663">
        <f t="shared" si="61"/>
        <v>0</v>
      </c>
      <c r="G639" s="667"/>
      <c r="H639" s="667">
        <f t="shared" si="62"/>
        <v>0</v>
      </c>
      <c r="I639" s="667"/>
      <c r="J639" s="667">
        <f t="shared" si="63"/>
        <v>0</v>
      </c>
      <c r="K639" s="667"/>
      <c r="L639" s="667"/>
      <c r="M639" s="667" t="e">
        <f>G639+#REF!+#REF!+#REF!+I639+#REF!+#REF!+#REF!+#REF!+#REF!+#REF!+K639+#REF!+#REF!+#REF!</f>
        <v>#REF!</v>
      </c>
      <c r="N639" s="667" t="e">
        <f t="shared" si="57"/>
        <v>#REF!</v>
      </c>
      <c r="O639" s="665" t="e">
        <f>#REF!+M639</f>
        <v>#REF!</v>
      </c>
      <c r="P639" s="666" t="e">
        <f t="shared" si="58"/>
        <v>#REF!</v>
      </c>
      <c r="Q639" s="672"/>
      <c r="R639" s="668"/>
      <c r="W639" s="670">
        <f>43.34+32.51+10.84+3.6</f>
        <v>90.289999999999992</v>
      </c>
    </row>
    <row r="640" spans="1:23" s="677" customFormat="1" ht="25.5" hidden="1" customHeight="1">
      <c r="A640" s="662"/>
      <c r="B640" s="666">
        <f t="shared" si="55"/>
        <v>0</v>
      </c>
      <c r="C640" s="663" t="s">
        <v>1712</v>
      </c>
      <c r="D640" s="675">
        <f>ROUND([14]Data!K1264,2)</f>
        <v>1094.29</v>
      </c>
      <c r="E640" s="674" t="s">
        <v>37</v>
      </c>
      <c r="F640" s="663">
        <f t="shared" si="61"/>
        <v>0</v>
      </c>
      <c r="G640" s="675"/>
      <c r="H640" s="667">
        <f t="shared" si="62"/>
        <v>0</v>
      </c>
      <c r="I640" s="675"/>
      <c r="J640" s="667">
        <f t="shared" si="63"/>
        <v>0</v>
      </c>
      <c r="K640" s="667"/>
      <c r="L640" s="667"/>
      <c r="M640" s="667" t="e">
        <f>G640+#REF!+#REF!+#REF!+I640+#REF!+#REF!+#REF!+#REF!+#REF!+#REF!+K640+#REF!+#REF!+#REF!</f>
        <v>#REF!</v>
      </c>
      <c r="N640" s="667" t="e">
        <f t="shared" si="57"/>
        <v>#REF!</v>
      </c>
      <c r="O640" s="665" t="e">
        <f>#REF!+M640</f>
        <v>#REF!</v>
      </c>
      <c r="P640" s="666" t="e">
        <f t="shared" si="58"/>
        <v>#REF!</v>
      </c>
      <c r="Q640" s="672"/>
      <c r="R640" s="668"/>
      <c r="S640" s="676"/>
      <c r="T640" s="676"/>
    </row>
    <row r="641" spans="1:23" ht="56.25" hidden="1" customHeight="1">
      <c r="A641" s="662">
        <v>29.9</v>
      </c>
      <c r="B641" s="666">
        <f t="shared" si="55"/>
        <v>0</v>
      </c>
      <c r="C641" s="663" t="s">
        <v>137</v>
      </c>
      <c r="D641" s="667">
        <f>ROUND([14]Data!K1264,2)</f>
        <v>1094.29</v>
      </c>
      <c r="E641" s="663" t="s">
        <v>37</v>
      </c>
      <c r="F641" s="663">
        <f t="shared" si="61"/>
        <v>0</v>
      </c>
      <c r="G641" s="667"/>
      <c r="H641" s="667">
        <f t="shared" si="62"/>
        <v>0</v>
      </c>
      <c r="I641" s="667"/>
      <c r="J641" s="667">
        <f t="shared" si="63"/>
        <v>0</v>
      </c>
      <c r="K641" s="667"/>
      <c r="L641" s="667"/>
      <c r="M641" s="667" t="e">
        <f>G641+#REF!+#REF!+#REF!+I641+#REF!+#REF!+#REF!+#REF!+#REF!+#REF!+K641+#REF!+#REF!+#REF!</f>
        <v>#REF!</v>
      </c>
      <c r="N641" s="667" t="e">
        <f t="shared" si="57"/>
        <v>#REF!</v>
      </c>
      <c r="O641" s="665" t="e">
        <f>#REF!+M641</f>
        <v>#REF!</v>
      </c>
      <c r="P641" s="666" t="e">
        <f t="shared" si="58"/>
        <v>#REF!</v>
      </c>
      <c r="Q641" s="672"/>
      <c r="R641" s="668"/>
      <c r="W641" s="670">
        <f>W639+1685</f>
        <v>1775.29</v>
      </c>
    </row>
    <row r="642" spans="1:23" ht="72.75" hidden="1" customHeight="1">
      <c r="A642" s="673">
        <v>38.4</v>
      </c>
      <c r="B642" s="666">
        <f t="shared" si="55"/>
        <v>0</v>
      </c>
      <c r="C642" s="674" t="s">
        <v>1713</v>
      </c>
      <c r="D642" s="675">
        <f>[14]Data!K2725</f>
        <v>114.39</v>
      </c>
      <c r="E642" s="674" t="s">
        <v>37</v>
      </c>
      <c r="F642" s="663">
        <f t="shared" si="61"/>
        <v>0</v>
      </c>
      <c r="G642" s="675"/>
      <c r="H642" s="667">
        <f t="shared" si="62"/>
        <v>0</v>
      </c>
      <c r="I642" s="675"/>
      <c r="J642" s="667">
        <f t="shared" si="63"/>
        <v>0</v>
      </c>
      <c r="K642" s="667"/>
      <c r="L642" s="667"/>
      <c r="M642" s="667" t="e">
        <f>G642+#REF!+#REF!+#REF!+I642+#REF!+#REF!+#REF!+#REF!+#REF!+#REF!+K642+#REF!+#REF!+#REF!</f>
        <v>#REF!</v>
      </c>
      <c r="N642" s="667" t="e">
        <f t="shared" si="57"/>
        <v>#REF!</v>
      </c>
      <c r="O642" s="665" t="e">
        <f>#REF!+M642</f>
        <v>#REF!</v>
      </c>
      <c r="P642" s="666" t="e">
        <f t="shared" si="58"/>
        <v>#REF!</v>
      </c>
      <c r="Q642" s="672"/>
      <c r="R642" s="668"/>
    </row>
    <row r="643" spans="1:23" s="677" customFormat="1" ht="16.5" hidden="1" customHeight="1">
      <c r="A643" s="662">
        <v>38.5</v>
      </c>
      <c r="B643" s="666">
        <f t="shared" ref="B643:B706" si="64">G643</f>
        <v>0</v>
      </c>
      <c r="C643" s="663" t="s">
        <v>1536</v>
      </c>
      <c r="D643" s="675">
        <f>ROUND([14]Data!K1526,2)</f>
        <v>147.27000000000001</v>
      </c>
      <c r="E643" s="674" t="s">
        <v>37</v>
      </c>
      <c r="F643" s="663">
        <f t="shared" si="61"/>
        <v>0</v>
      </c>
      <c r="G643" s="684"/>
      <c r="H643" s="667">
        <f t="shared" si="62"/>
        <v>0</v>
      </c>
      <c r="I643" s="675"/>
      <c r="J643" s="667">
        <f t="shared" si="63"/>
        <v>0</v>
      </c>
      <c r="K643" s="667"/>
      <c r="L643" s="667"/>
      <c r="M643" s="667" t="e">
        <f>G643+#REF!+#REF!+#REF!+I643+#REF!+#REF!+#REF!+#REF!+#REF!+#REF!+K643+#REF!+#REF!+#REF!</f>
        <v>#REF!</v>
      </c>
      <c r="N643" s="667" t="e">
        <f t="shared" si="57"/>
        <v>#REF!</v>
      </c>
      <c r="O643" s="665" t="e">
        <f>#REF!+M643</f>
        <v>#REF!</v>
      </c>
      <c r="P643" s="666" t="e">
        <f t="shared" si="58"/>
        <v>#REF!</v>
      </c>
      <c r="Q643" s="672"/>
      <c r="R643" s="668"/>
      <c r="S643" s="676"/>
      <c r="T643" s="676"/>
    </row>
    <row r="644" spans="1:23" ht="63" hidden="1" customHeight="1">
      <c r="A644" s="662">
        <v>38.6</v>
      </c>
      <c r="B644" s="666">
        <f t="shared" si="64"/>
        <v>0</v>
      </c>
      <c r="C644" s="663" t="s">
        <v>160</v>
      </c>
      <c r="D644" s="667">
        <f>ROUND([14]Data!K2716,2)</f>
        <v>53.72</v>
      </c>
      <c r="E644" s="663" t="s">
        <v>37</v>
      </c>
      <c r="F644" s="663">
        <f t="shared" si="61"/>
        <v>0</v>
      </c>
      <c r="G644" s="699"/>
      <c r="H644" s="667">
        <f t="shared" si="62"/>
        <v>0</v>
      </c>
      <c r="I644" s="667"/>
      <c r="J644" s="667">
        <f t="shared" si="63"/>
        <v>0</v>
      </c>
      <c r="K644" s="667"/>
      <c r="L644" s="667"/>
      <c r="M644" s="667" t="e">
        <f>G644+#REF!+#REF!+#REF!+I644+#REF!+#REF!+#REF!+#REF!+#REF!+#REF!+K644+#REF!+#REF!+#REF!</f>
        <v>#REF!</v>
      </c>
      <c r="N644" s="667" t="e">
        <f t="shared" si="57"/>
        <v>#REF!</v>
      </c>
      <c r="O644" s="665" t="e">
        <f>#REF!+M644</f>
        <v>#REF!</v>
      </c>
      <c r="P644" s="666" t="e">
        <f t="shared" si="58"/>
        <v>#REF!</v>
      </c>
      <c r="Q644" s="672"/>
      <c r="R644" s="668"/>
    </row>
    <row r="645" spans="1:23" s="677" customFormat="1" ht="73.5" hidden="1" customHeight="1">
      <c r="A645" s="662">
        <v>42</v>
      </c>
      <c r="B645" s="666">
        <f t="shared" si="64"/>
        <v>0</v>
      </c>
      <c r="C645" s="663" t="s">
        <v>1714</v>
      </c>
      <c r="D645" s="675">
        <f>ROUND([14]Data!K1582,2)</f>
        <v>80140.5</v>
      </c>
      <c r="E645" s="674" t="s">
        <v>58</v>
      </c>
      <c r="F645" s="663">
        <f t="shared" si="61"/>
        <v>0</v>
      </c>
      <c r="G645" s="660"/>
      <c r="H645" s="667">
        <f t="shared" si="62"/>
        <v>0</v>
      </c>
      <c r="I645" s="675"/>
      <c r="J645" s="667">
        <f t="shared" si="63"/>
        <v>0</v>
      </c>
      <c r="K645" s="667"/>
      <c r="L645" s="667"/>
      <c r="M645" s="667" t="e">
        <f>G645+#REF!+#REF!+#REF!+I645+#REF!+#REF!+#REF!+#REF!+#REF!+#REF!+K645+#REF!+#REF!+#REF!</f>
        <v>#REF!</v>
      </c>
      <c r="N645" s="667" t="e">
        <f t="shared" ref="N645:N708" si="65">M645*D645</f>
        <v>#REF!</v>
      </c>
      <c r="O645" s="665" t="e">
        <f>#REF!+M645</f>
        <v>#REF!</v>
      </c>
      <c r="P645" s="666" t="e">
        <f t="shared" ref="P645:P708" si="66">O645*D645</f>
        <v>#REF!</v>
      </c>
      <c r="Q645" s="672"/>
      <c r="R645" s="668"/>
      <c r="S645" s="676"/>
      <c r="T645" s="676"/>
    </row>
    <row r="646" spans="1:23" ht="66" customHeight="1">
      <c r="A646" s="662">
        <v>43</v>
      </c>
      <c r="B646" s="666">
        <f t="shared" si="64"/>
        <v>0.36684899999999998</v>
      </c>
      <c r="C646" s="663" t="s">
        <v>1715</v>
      </c>
      <c r="D646" s="667">
        <f>ROUND([14]Data!K1608,2)</f>
        <v>78398</v>
      </c>
      <c r="E646" s="663" t="s">
        <v>58</v>
      </c>
      <c r="F646" s="663">
        <f t="shared" si="61"/>
        <v>28760.227901999999</v>
      </c>
      <c r="G646" s="745">
        <f>'Septic Tank'!$G$94</f>
        <v>0.36684899999999998</v>
      </c>
      <c r="H646" s="667">
        <f t="shared" si="62"/>
        <v>28760.227901999999</v>
      </c>
      <c r="I646" s="667"/>
      <c r="J646" s="667">
        <f t="shared" si="63"/>
        <v>0</v>
      </c>
      <c r="K646" s="667"/>
      <c r="L646" s="667"/>
      <c r="M646" s="671" t="e">
        <f>G646+#REF!+#REF!+#REF!+I646+#REF!+#REF!+#REF!+#REF!+#REF!+#REF!+K646+#REF!+#REF!+#REF!</f>
        <v>#REF!</v>
      </c>
      <c r="N646" s="667" t="e">
        <f t="shared" si="65"/>
        <v>#REF!</v>
      </c>
      <c r="O646" s="744" t="e">
        <f>#REF!+M646</f>
        <v>#REF!</v>
      </c>
      <c r="P646" s="666" t="e">
        <f t="shared" si="66"/>
        <v>#REF!</v>
      </c>
      <c r="Q646" s="672"/>
      <c r="R646" s="668"/>
    </row>
    <row r="647" spans="1:23" ht="65.25" hidden="1" customHeight="1">
      <c r="A647" s="662">
        <v>44.6</v>
      </c>
      <c r="B647" s="666">
        <f t="shared" si="64"/>
        <v>0</v>
      </c>
      <c r="C647" s="706" t="s">
        <v>1716</v>
      </c>
      <c r="D647" s="667">
        <f>ROUND([14]Data!K1638,2)</f>
        <v>321.74</v>
      </c>
      <c r="E647" s="663" t="s">
        <v>61</v>
      </c>
      <c r="F647" s="663">
        <f t="shared" si="61"/>
        <v>0</v>
      </c>
      <c r="G647" s="699"/>
      <c r="H647" s="667">
        <f t="shared" si="62"/>
        <v>0</v>
      </c>
      <c r="I647" s="667"/>
      <c r="J647" s="667">
        <f t="shared" si="63"/>
        <v>0</v>
      </c>
      <c r="K647" s="667"/>
      <c r="L647" s="667"/>
      <c r="M647" s="667" t="e">
        <f>G647+#REF!+#REF!+#REF!+I647+#REF!+#REF!+#REF!+#REF!+#REF!+#REF!+K647+#REF!+#REF!+#REF!</f>
        <v>#REF!</v>
      </c>
      <c r="N647" s="667" t="e">
        <f t="shared" si="65"/>
        <v>#REF!</v>
      </c>
      <c r="O647" s="665" t="e">
        <f>#REF!+M647</f>
        <v>#REF!</v>
      </c>
      <c r="P647" s="666" t="e">
        <f t="shared" si="66"/>
        <v>#REF!</v>
      </c>
      <c r="Q647" s="672"/>
      <c r="R647" s="668"/>
    </row>
    <row r="648" spans="1:23" ht="47.25" hidden="1" customHeight="1">
      <c r="A648" s="746">
        <v>50.6</v>
      </c>
      <c r="B648" s="666">
        <f t="shared" si="64"/>
        <v>0</v>
      </c>
      <c r="C648" s="747" t="s">
        <v>71</v>
      </c>
      <c r="D648" s="748">
        <f>ROUND([14]Data!K2392,2)</f>
        <v>386.19</v>
      </c>
      <c r="E648" s="663" t="s">
        <v>37</v>
      </c>
      <c r="F648" s="663">
        <f t="shared" si="61"/>
        <v>0</v>
      </c>
      <c r="G648" s="667"/>
      <c r="H648" s="667">
        <f t="shared" si="62"/>
        <v>0</v>
      </c>
      <c r="I648" s="667"/>
      <c r="J648" s="667">
        <f t="shared" si="63"/>
        <v>0</v>
      </c>
      <c r="K648" s="667"/>
      <c r="L648" s="667"/>
      <c r="M648" s="667" t="e">
        <f>G648+#REF!+#REF!+#REF!+I648+#REF!+#REF!+#REF!+#REF!+#REF!+#REF!+K648+#REF!+#REF!+#REF!</f>
        <v>#REF!</v>
      </c>
      <c r="N648" s="667" t="e">
        <f t="shared" si="65"/>
        <v>#REF!</v>
      </c>
      <c r="O648" s="665" t="e">
        <f>#REF!+M648</f>
        <v>#REF!</v>
      </c>
      <c r="P648" s="666" t="e">
        <f t="shared" si="66"/>
        <v>#REF!</v>
      </c>
      <c r="Q648" s="672"/>
      <c r="R648" s="668"/>
    </row>
    <row r="649" spans="1:23" ht="63.75" hidden="1" customHeight="1">
      <c r="A649" s="662">
        <v>52.4</v>
      </c>
      <c r="B649" s="666">
        <f t="shared" si="64"/>
        <v>0</v>
      </c>
      <c r="C649" s="704" t="s">
        <v>1717</v>
      </c>
      <c r="D649" s="667">
        <f>ROUND([14]Data!K2767,2)</f>
        <v>205.94</v>
      </c>
      <c r="E649" s="663" t="s">
        <v>61</v>
      </c>
      <c r="F649" s="663">
        <f t="shared" si="61"/>
        <v>0</v>
      </c>
      <c r="G649" s="699"/>
      <c r="H649" s="667">
        <f t="shared" si="62"/>
        <v>0</v>
      </c>
      <c r="I649" s="667"/>
      <c r="J649" s="667">
        <f t="shared" si="63"/>
        <v>0</v>
      </c>
      <c r="K649" s="667"/>
      <c r="L649" s="667"/>
      <c r="M649" s="667" t="e">
        <f>G649+#REF!+#REF!+#REF!+I649+#REF!+#REF!+#REF!+#REF!+#REF!+#REF!+K649+#REF!+#REF!+#REF!</f>
        <v>#REF!</v>
      </c>
      <c r="N649" s="667" t="e">
        <f t="shared" si="65"/>
        <v>#REF!</v>
      </c>
      <c r="O649" s="665" t="e">
        <f>#REF!+M649</f>
        <v>#REF!</v>
      </c>
      <c r="P649" s="666" t="e">
        <f t="shared" si="66"/>
        <v>#REF!</v>
      </c>
      <c r="Q649" s="672"/>
      <c r="R649" s="668"/>
    </row>
    <row r="650" spans="1:23" ht="45" customHeight="1">
      <c r="A650" s="662">
        <v>53.4</v>
      </c>
      <c r="B650" s="666">
        <f t="shared" si="64"/>
        <v>2</v>
      </c>
      <c r="C650" s="663" t="s">
        <v>38</v>
      </c>
      <c r="D650" s="667">
        <f>[14]Data!K1951</f>
        <v>1846</v>
      </c>
      <c r="E650" s="663" t="s">
        <v>522</v>
      </c>
      <c r="F650" s="663">
        <f t="shared" si="61"/>
        <v>3692</v>
      </c>
      <c r="G650" s="699">
        <f>'Septic Tank'!$G$56</f>
        <v>2</v>
      </c>
      <c r="H650" s="667">
        <f t="shared" si="62"/>
        <v>3692</v>
      </c>
      <c r="I650" s="667"/>
      <c r="J650" s="667">
        <f t="shared" si="63"/>
        <v>0</v>
      </c>
      <c r="K650" s="667"/>
      <c r="L650" s="667"/>
      <c r="M650" s="667" t="e">
        <f>G650+#REF!+#REF!+#REF!+I650+#REF!+#REF!+#REF!+#REF!+#REF!+#REF!+K650+#REF!+#REF!+#REF!</f>
        <v>#REF!</v>
      </c>
      <c r="N650" s="667" t="e">
        <f t="shared" si="65"/>
        <v>#REF!</v>
      </c>
      <c r="O650" s="665" t="e">
        <f>#REF!+M650</f>
        <v>#REF!</v>
      </c>
      <c r="P650" s="666" t="e">
        <f t="shared" si="66"/>
        <v>#REF!</v>
      </c>
      <c r="Q650" s="672"/>
      <c r="R650" s="668"/>
    </row>
    <row r="651" spans="1:23" ht="45.75" hidden="1" customHeight="1">
      <c r="A651" s="662"/>
      <c r="B651" s="666">
        <f t="shared" si="64"/>
        <v>0</v>
      </c>
      <c r="C651" s="663" t="s">
        <v>1718</v>
      </c>
      <c r="D651" s="667">
        <f>[14]Data!K3569</f>
        <v>3104.82</v>
      </c>
      <c r="E651" s="663" t="s">
        <v>522</v>
      </c>
      <c r="F651" s="663">
        <f t="shared" si="61"/>
        <v>0</v>
      </c>
      <c r="G651" s="749"/>
      <c r="H651" s="667">
        <f t="shared" si="62"/>
        <v>0</v>
      </c>
      <c r="I651" s="667"/>
      <c r="J651" s="667">
        <f t="shared" si="63"/>
        <v>0</v>
      </c>
      <c r="K651" s="667"/>
      <c r="L651" s="667"/>
      <c r="M651" s="667" t="e">
        <f>G651+#REF!+#REF!+#REF!+I651+#REF!+#REF!+#REF!+#REF!+#REF!+#REF!+K651+#REF!+#REF!+#REF!</f>
        <v>#REF!</v>
      </c>
      <c r="N651" s="667" t="e">
        <f t="shared" si="65"/>
        <v>#REF!</v>
      </c>
      <c r="O651" s="665" t="e">
        <f>#REF!+M651</f>
        <v>#REF!</v>
      </c>
      <c r="P651" s="666" t="e">
        <f t="shared" si="66"/>
        <v>#REF!</v>
      </c>
      <c r="Q651" s="672"/>
      <c r="R651" s="668"/>
    </row>
    <row r="652" spans="1:23" s="677" customFormat="1" ht="88.5" hidden="1" customHeight="1">
      <c r="A652" s="662">
        <v>54.3</v>
      </c>
      <c r="B652" s="666">
        <f t="shared" si="64"/>
        <v>0</v>
      </c>
      <c r="C652" s="663" t="s">
        <v>1719</v>
      </c>
      <c r="D652" s="675">
        <f>ROUND([14]Data!K1954,2)</f>
        <v>204</v>
      </c>
      <c r="E652" s="674" t="s">
        <v>522</v>
      </c>
      <c r="F652" s="663">
        <f t="shared" si="61"/>
        <v>0</v>
      </c>
      <c r="G652" s="684"/>
      <c r="H652" s="667">
        <f t="shared" si="62"/>
        <v>0</v>
      </c>
      <c r="I652" s="675"/>
      <c r="J652" s="667">
        <f t="shared" si="63"/>
        <v>0</v>
      </c>
      <c r="K652" s="667"/>
      <c r="L652" s="667"/>
      <c r="M652" s="667" t="e">
        <f>G652+#REF!+#REF!+#REF!+I652+#REF!+#REF!+#REF!+#REF!+#REF!+#REF!+K652+#REF!+#REF!+#REF!</f>
        <v>#REF!</v>
      </c>
      <c r="N652" s="667" t="e">
        <f t="shared" si="65"/>
        <v>#REF!</v>
      </c>
      <c r="O652" s="665" t="e">
        <f>#REF!+M652</f>
        <v>#REF!</v>
      </c>
      <c r="P652" s="666" t="e">
        <f t="shared" si="66"/>
        <v>#REF!</v>
      </c>
      <c r="Q652" s="672"/>
      <c r="R652" s="668"/>
      <c r="S652" s="676"/>
      <c r="T652" s="676"/>
    </row>
    <row r="653" spans="1:23" s="677" customFormat="1" ht="72.75" hidden="1" customHeight="1">
      <c r="A653" s="662">
        <v>56.3</v>
      </c>
      <c r="B653" s="666">
        <f t="shared" si="64"/>
        <v>0</v>
      </c>
      <c r="C653" s="663" t="s">
        <v>1167</v>
      </c>
      <c r="D653" s="675">
        <f>ROUND([14]Data!K1977,2)</f>
        <v>3071.23</v>
      </c>
      <c r="E653" s="674" t="s">
        <v>522</v>
      </c>
      <c r="F653" s="663">
        <f t="shared" si="61"/>
        <v>0</v>
      </c>
      <c r="G653" s="684"/>
      <c r="H653" s="667">
        <f t="shared" si="62"/>
        <v>0</v>
      </c>
      <c r="I653" s="675"/>
      <c r="J653" s="667">
        <f t="shared" si="63"/>
        <v>0</v>
      </c>
      <c r="K653" s="667"/>
      <c r="L653" s="667"/>
      <c r="M653" s="667" t="e">
        <f>G653+#REF!+#REF!+#REF!+I653+#REF!+#REF!+#REF!+#REF!+#REF!+#REF!+K653+#REF!+#REF!+#REF!</f>
        <v>#REF!</v>
      </c>
      <c r="N653" s="667" t="e">
        <f t="shared" si="65"/>
        <v>#REF!</v>
      </c>
      <c r="O653" s="665" t="e">
        <f>#REF!+M653</f>
        <v>#REF!</v>
      </c>
      <c r="P653" s="666" t="e">
        <f t="shared" si="66"/>
        <v>#REF!</v>
      </c>
      <c r="Q653" s="672"/>
      <c r="R653" s="668"/>
      <c r="S653" s="676"/>
      <c r="T653" s="676"/>
    </row>
    <row r="654" spans="1:23" s="677" customFormat="1" ht="86.25" hidden="1" customHeight="1">
      <c r="A654" s="662">
        <v>56.4</v>
      </c>
      <c r="B654" s="666">
        <f t="shared" si="64"/>
        <v>0</v>
      </c>
      <c r="C654" s="663" t="s">
        <v>1720</v>
      </c>
      <c r="D654" s="675">
        <f>ROUND([14]Data!K1998,2)</f>
        <v>4786.87</v>
      </c>
      <c r="E654" s="674" t="s">
        <v>522</v>
      </c>
      <c r="F654" s="663">
        <f t="shared" si="61"/>
        <v>0</v>
      </c>
      <c r="G654" s="684"/>
      <c r="H654" s="667">
        <f t="shared" si="62"/>
        <v>0</v>
      </c>
      <c r="I654" s="675"/>
      <c r="J654" s="667">
        <f t="shared" si="63"/>
        <v>0</v>
      </c>
      <c r="K654" s="667"/>
      <c r="L654" s="667"/>
      <c r="M654" s="667" t="e">
        <f>G654+#REF!+#REF!+#REF!+I654+#REF!+#REF!+#REF!+#REF!+#REF!+#REF!+K654+#REF!+#REF!+#REF!</f>
        <v>#REF!</v>
      </c>
      <c r="N654" s="667" t="e">
        <f t="shared" si="65"/>
        <v>#REF!</v>
      </c>
      <c r="O654" s="665" t="e">
        <f>#REF!+M654</f>
        <v>#REF!</v>
      </c>
      <c r="P654" s="666" t="e">
        <f t="shared" si="66"/>
        <v>#REF!</v>
      </c>
      <c r="Q654" s="672"/>
      <c r="R654" s="668"/>
      <c r="S654" s="676"/>
      <c r="T654" s="676"/>
    </row>
    <row r="655" spans="1:23" ht="43.5" hidden="1" customHeight="1">
      <c r="A655" s="662">
        <v>58.3</v>
      </c>
      <c r="B655" s="666">
        <f t="shared" si="64"/>
        <v>0</v>
      </c>
      <c r="C655" s="685" t="s">
        <v>1721</v>
      </c>
      <c r="D655" s="667"/>
      <c r="E655" s="750"/>
      <c r="F655" s="663">
        <f t="shared" si="61"/>
        <v>0</v>
      </c>
      <c r="G655" s="667"/>
      <c r="H655" s="667">
        <f t="shared" si="62"/>
        <v>0</v>
      </c>
      <c r="I655" s="667"/>
      <c r="J655" s="667">
        <f t="shared" si="63"/>
        <v>0</v>
      </c>
      <c r="K655" s="667"/>
      <c r="L655" s="667"/>
      <c r="M655" s="667" t="e">
        <f>G655+#REF!+#REF!+#REF!+I655+#REF!+#REF!+#REF!+#REF!+#REF!+#REF!+K655+#REF!+#REF!+#REF!</f>
        <v>#REF!</v>
      </c>
      <c r="N655" s="667" t="e">
        <f t="shared" si="65"/>
        <v>#REF!</v>
      </c>
      <c r="O655" s="665" t="e">
        <f>#REF!+M655</f>
        <v>#REF!</v>
      </c>
      <c r="P655" s="666" t="e">
        <f t="shared" si="66"/>
        <v>#REF!</v>
      </c>
      <c r="Q655" s="668"/>
      <c r="R655" s="668"/>
      <c r="S655" s="678"/>
      <c r="U655" s="679"/>
    </row>
    <row r="656" spans="1:23" ht="48" hidden="1" customHeight="1">
      <c r="A656" s="662"/>
      <c r="B656" s="666">
        <f t="shared" si="64"/>
        <v>0</v>
      </c>
      <c r="C656" s="663" t="s">
        <v>1572</v>
      </c>
      <c r="D656" s="667">
        <f>ROUND([14]Data!K2063,2)</f>
        <v>657.29</v>
      </c>
      <c r="E656" s="663" t="s">
        <v>61</v>
      </c>
      <c r="F656" s="663">
        <f t="shared" si="61"/>
        <v>0</v>
      </c>
      <c r="G656" s="699"/>
      <c r="H656" s="667">
        <f t="shared" ref="H656:H684" si="67">G656*D656</f>
        <v>0</v>
      </c>
      <c r="I656" s="667"/>
      <c r="J656" s="667">
        <f t="shared" ref="J656:J684" si="68">I656*D656</f>
        <v>0</v>
      </c>
      <c r="K656" s="667"/>
      <c r="L656" s="667"/>
      <c r="M656" s="667" t="e">
        <f>G656+#REF!+#REF!+#REF!+I656+#REF!+#REF!+#REF!+#REF!+#REF!+#REF!+K656+#REF!+#REF!+#REF!</f>
        <v>#REF!</v>
      </c>
      <c r="N656" s="667" t="e">
        <f t="shared" si="65"/>
        <v>#REF!</v>
      </c>
      <c r="O656" s="665" t="e">
        <f>#REF!+M656</f>
        <v>#REF!</v>
      </c>
      <c r="P656" s="666" t="e">
        <f t="shared" si="66"/>
        <v>#REF!</v>
      </c>
      <c r="Q656" s="672"/>
      <c r="R656" s="668"/>
    </row>
    <row r="657" spans="1:20" ht="48" hidden="1" customHeight="1">
      <c r="A657" s="667"/>
      <c r="B657" s="666">
        <f t="shared" si="64"/>
        <v>0</v>
      </c>
      <c r="C657" s="663" t="s">
        <v>1573</v>
      </c>
      <c r="D657" s="667">
        <f>ROUND([14]Data!K2087,2)</f>
        <v>541.41999999999996</v>
      </c>
      <c r="E657" s="663" t="s">
        <v>61</v>
      </c>
      <c r="F657" s="663">
        <f t="shared" ref="F657:F720" si="69">B657*D657</f>
        <v>0</v>
      </c>
      <c r="G657" s="699"/>
      <c r="H657" s="667">
        <f t="shared" si="67"/>
        <v>0</v>
      </c>
      <c r="I657" s="667"/>
      <c r="J657" s="667">
        <f t="shared" si="68"/>
        <v>0</v>
      </c>
      <c r="K657" s="667"/>
      <c r="L657" s="667"/>
      <c r="M657" s="667" t="e">
        <f>G657+#REF!+#REF!+#REF!+I657+#REF!+#REF!+#REF!+#REF!+#REF!+#REF!+K657+#REF!+#REF!+#REF!</f>
        <v>#REF!</v>
      </c>
      <c r="N657" s="667" t="e">
        <f t="shared" si="65"/>
        <v>#REF!</v>
      </c>
      <c r="O657" s="665" t="e">
        <f>#REF!+M657</f>
        <v>#REF!</v>
      </c>
      <c r="P657" s="666" t="e">
        <f t="shared" si="66"/>
        <v>#REF!</v>
      </c>
      <c r="Q657" s="672"/>
      <c r="R657" s="668"/>
    </row>
    <row r="658" spans="1:20" ht="78.75" hidden="1" customHeight="1">
      <c r="A658" s="662">
        <v>58.4</v>
      </c>
      <c r="B658" s="666">
        <f t="shared" si="64"/>
        <v>0</v>
      </c>
      <c r="C658" s="663" t="s">
        <v>1722</v>
      </c>
      <c r="D658" s="667">
        <f>ROUND([14]Data!K2888,2)</f>
        <v>81.2</v>
      </c>
      <c r="E658" s="750" t="s">
        <v>61</v>
      </c>
      <c r="F658" s="663">
        <f t="shared" si="69"/>
        <v>0</v>
      </c>
      <c r="G658" s="699"/>
      <c r="H658" s="667">
        <f t="shared" si="67"/>
        <v>0</v>
      </c>
      <c r="I658" s="667"/>
      <c r="J658" s="667">
        <f t="shared" si="68"/>
        <v>0</v>
      </c>
      <c r="K658" s="667"/>
      <c r="L658" s="667"/>
      <c r="M658" s="667" t="e">
        <f>G658+#REF!+#REF!+#REF!+I658+#REF!+#REF!+#REF!+#REF!+#REF!+#REF!+K658+#REF!+#REF!+#REF!</f>
        <v>#REF!</v>
      </c>
      <c r="N658" s="667" t="e">
        <f t="shared" si="65"/>
        <v>#REF!</v>
      </c>
      <c r="O658" s="665" t="e">
        <f>#REF!+M658</f>
        <v>#REF!</v>
      </c>
      <c r="P658" s="666" t="e">
        <f t="shared" si="66"/>
        <v>#REF!</v>
      </c>
      <c r="Q658" s="672"/>
      <c r="R658" s="668"/>
    </row>
    <row r="659" spans="1:20" ht="61.5" customHeight="1">
      <c r="A659" s="662">
        <v>58.5</v>
      </c>
      <c r="B659" s="666">
        <f t="shared" si="64"/>
        <v>1</v>
      </c>
      <c r="C659" s="663" t="s">
        <v>1723</v>
      </c>
      <c r="D659" s="667">
        <f>ROUND([14]Data!K2098,2)</f>
        <v>450.1</v>
      </c>
      <c r="E659" s="750" t="s">
        <v>522</v>
      </c>
      <c r="F659" s="663">
        <f t="shared" si="69"/>
        <v>450.1</v>
      </c>
      <c r="G659" s="667">
        <f>'Septic Tank'!$G$88</f>
        <v>1</v>
      </c>
      <c r="H659" s="667">
        <f t="shared" si="67"/>
        <v>450.1</v>
      </c>
      <c r="I659" s="667"/>
      <c r="J659" s="667">
        <f t="shared" si="68"/>
        <v>0</v>
      </c>
      <c r="K659" s="667"/>
      <c r="L659" s="667"/>
      <c r="M659" s="667" t="e">
        <f>G659+#REF!+#REF!+#REF!+I659+#REF!+#REF!+#REF!+#REF!+#REF!+#REF!+K659+#REF!+#REF!+#REF!</f>
        <v>#REF!</v>
      </c>
      <c r="N659" s="667" t="e">
        <f t="shared" si="65"/>
        <v>#REF!</v>
      </c>
      <c r="O659" s="665" t="e">
        <f>#REF!+M659</f>
        <v>#REF!</v>
      </c>
      <c r="P659" s="666" t="e">
        <f t="shared" si="66"/>
        <v>#REF!</v>
      </c>
      <c r="Q659" s="672"/>
      <c r="R659" s="668"/>
    </row>
    <row r="660" spans="1:20" ht="92.25" hidden="1" customHeight="1">
      <c r="A660" s="662"/>
      <c r="B660" s="666">
        <f t="shared" si="64"/>
        <v>0</v>
      </c>
      <c r="C660" s="685" t="s">
        <v>1724</v>
      </c>
      <c r="D660" s="667"/>
      <c r="E660" s="750"/>
      <c r="F660" s="663">
        <f t="shared" si="69"/>
        <v>0</v>
      </c>
      <c r="G660" s="667"/>
      <c r="H660" s="667">
        <f t="shared" si="67"/>
        <v>0</v>
      </c>
      <c r="I660" s="667"/>
      <c r="J660" s="667">
        <f t="shared" si="68"/>
        <v>0</v>
      </c>
      <c r="K660" s="667"/>
      <c r="L660" s="667"/>
      <c r="M660" s="667" t="e">
        <f>G660+#REF!+#REF!+#REF!+I660+#REF!+#REF!+#REF!+#REF!+#REF!+#REF!+K660+#REF!+#REF!+#REF!</f>
        <v>#REF!</v>
      </c>
      <c r="N660" s="667" t="e">
        <f t="shared" si="65"/>
        <v>#REF!</v>
      </c>
      <c r="O660" s="665" t="e">
        <f>#REF!+M660</f>
        <v>#REF!</v>
      </c>
      <c r="P660" s="666" t="e">
        <f t="shared" si="66"/>
        <v>#REF!</v>
      </c>
      <c r="Q660" s="668"/>
      <c r="R660" s="668"/>
    </row>
    <row r="661" spans="1:20" ht="47.25" hidden="1" customHeight="1">
      <c r="A661" s="662"/>
      <c r="B661" s="666">
        <f t="shared" si="64"/>
        <v>0</v>
      </c>
      <c r="C661" s="663" t="s">
        <v>168</v>
      </c>
      <c r="D661" s="667">
        <f>[14]Data!K2261</f>
        <v>1499.29</v>
      </c>
      <c r="E661" s="751" t="s">
        <v>522</v>
      </c>
      <c r="F661" s="663">
        <f t="shared" si="69"/>
        <v>0</v>
      </c>
      <c r="G661" s="667"/>
      <c r="H661" s="667">
        <f t="shared" si="67"/>
        <v>0</v>
      </c>
      <c r="I661" s="667"/>
      <c r="J661" s="667">
        <f t="shared" si="68"/>
        <v>0</v>
      </c>
      <c r="K661" s="667"/>
      <c r="L661" s="667"/>
      <c r="M661" s="667" t="e">
        <f>G661+#REF!+#REF!+#REF!+I661+#REF!+#REF!+#REF!+#REF!+#REF!+#REF!+K661+#REF!+#REF!+#REF!</f>
        <v>#REF!</v>
      </c>
      <c r="N661" s="667" t="e">
        <f t="shared" si="65"/>
        <v>#REF!</v>
      </c>
      <c r="O661" s="665" t="e">
        <f>#REF!+M661</f>
        <v>#REF!</v>
      </c>
      <c r="P661" s="666" t="e">
        <f t="shared" si="66"/>
        <v>#REF!</v>
      </c>
      <c r="Q661" s="672"/>
      <c r="R661" s="668"/>
    </row>
    <row r="662" spans="1:20" ht="47.25" hidden="1" customHeight="1">
      <c r="A662" s="662"/>
      <c r="B662" s="666">
        <f t="shared" si="64"/>
        <v>0</v>
      </c>
      <c r="C662" s="663" t="s">
        <v>170</v>
      </c>
      <c r="D662" s="667">
        <f>[14]Data!K2262</f>
        <v>1503.34</v>
      </c>
      <c r="E662" s="751" t="s">
        <v>522</v>
      </c>
      <c r="F662" s="663">
        <f t="shared" si="69"/>
        <v>0</v>
      </c>
      <c r="G662" s="667"/>
      <c r="H662" s="667">
        <f t="shared" si="67"/>
        <v>0</v>
      </c>
      <c r="I662" s="667"/>
      <c r="J662" s="667">
        <f t="shared" si="68"/>
        <v>0</v>
      </c>
      <c r="K662" s="667"/>
      <c r="L662" s="667"/>
      <c r="M662" s="667" t="e">
        <f>G662+#REF!+#REF!+#REF!+I662+#REF!+#REF!+#REF!+#REF!+#REF!+#REF!+K662+#REF!+#REF!+#REF!</f>
        <v>#REF!</v>
      </c>
      <c r="N662" s="667" t="e">
        <f t="shared" si="65"/>
        <v>#REF!</v>
      </c>
      <c r="O662" s="665" t="e">
        <f>#REF!+M662</f>
        <v>#REF!</v>
      </c>
      <c r="P662" s="666" t="e">
        <f t="shared" si="66"/>
        <v>#REF!</v>
      </c>
      <c r="Q662" s="672"/>
      <c r="R662" s="668"/>
    </row>
    <row r="663" spans="1:20" ht="47.25" hidden="1" customHeight="1">
      <c r="A663" s="667"/>
      <c r="B663" s="666">
        <f t="shared" si="64"/>
        <v>0</v>
      </c>
      <c r="C663" s="663" t="s">
        <v>1591</v>
      </c>
      <c r="D663" s="667">
        <f>[14]Data!K2263</f>
        <v>1531.07</v>
      </c>
      <c r="E663" s="751" t="s">
        <v>522</v>
      </c>
      <c r="F663" s="663">
        <f t="shared" si="69"/>
        <v>0</v>
      </c>
      <c r="G663" s="667"/>
      <c r="H663" s="667">
        <f t="shared" si="67"/>
        <v>0</v>
      </c>
      <c r="I663" s="667"/>
      <c r="J663" s="667">
        <f t="shared" si="68"/>
        <v>0</v>
      </c>
      <c r="K663" s="667"/>
      <c r="L663" s="667"/>
      <c r="M663" s="667" t="e">
        <f>G663+#REF!+#REF!+#REF!+I663+#REF!+#REF!+#REF!+#REF!+#REF!+#REF!+K663+#REF!+#REF!+#REF!</f>
        <v>#REF!</v>
      </c>
      <c r="N663" s="667" t="e">
        <f t="shared" si="65"/>
        <v>#REF!</v>
      </c>
      <c r="O663" s="665" t="e">
        <f>#REF!+M663</f>
        <v>#REF!</v>
      </c>
      <c r="P663" s="666" t="e">
        <f t="shared" si="66"/>
        <v>#REF!</v>
      </c>
      <c r="Q663" s="672"/>
      <c r="R663" s="668"/>
    </row>
    <row r="664" spans="1:20" ht="90.75" hidden="1" customHeight="1">
      <c r="A664" s="662">
        <v>65.099999999999994</v>
      </c>
      <c r="B664" s="666">
        <f t="shared" si="64"/>
        <v>0</v>
      </c>
      <c r="C664" s="663" t="s">
        <v>1725</v>
      </c>
      <c r="D664" s="667">
        <f>[14]Data!K2264</f>
        <v>1565.5</v>
      </c>
      <c r="E664" s="751" t="s">
        <v>522</v>
      </c>
      <c r="F664" s="663">
        <f t="shared" si="69"/>
        <v>0</v>
      </c>
      <c r="G664" s="667"/>
      <c r="H664" s="667">
        <f t="shared" si="67"/>
        <v>0</v>
      </c>
      <c r="I664" s="667"/>
      <c r="J664" s="667">
        <f t="shared" si="68"/>
        <v>0</v>
      </c>
      <c r="K664" s="667"/>
      <c r="L664" s="667"/>
      <c r="M664" s="667" t="e">
        <f>G664+#REF!+#REF!+#REF!+I664+#REF!+#REF!+#REF!+#REF!+#REF!+#REF!+K664+#REF!+#REF!+#REF!</f>
        <v>#REF!</v>
      </c>
      <c r="N664" s="667" t="e">
        <f t="shared" si="65"/>
        <v>#REF!</v>
      </c>
      <c r="O664" s="665" t="e">
        <f>#REF!+M664</f>
        <v>#REF!</v>
      </c>
      <c r="P664" s="666" t="e">
        <f t="shared" si="66"/>
        <v>#REF!</v>
      </c>
      <c r="Q664" s="672"/>
      <c r="R664" s="668"/>
    </row>
    <row r="665" spans="1:20" ht="93" hidden="1" customHeight="1">
      <c r="A665" s="662">
        <v>66.099999999999994</v>
      </c>
      <c r="B665" s="666">
        <f t="shared" si="64"/>
        <v>0</v>
      </c>
      <c r="C665" s="663" t="s">
        <v>1726</v>
      </c>
      <c r="D665" s="667">
        <f>[14]Data!K2265</f>
        <v>2802.19</v>
      </c>
      <c r="E665" s="751" t="s">
        <v>522</v>
      </c>
      <c r="F665" s="663">
        <f t="shared" si="69"/>
        <v>0</v>
      </c>
      <c r="G665" s="667"/>
      <c r="H665" s="667">
        <f t="shared" si="67"/>
        <v>0</v>
      </c>
      <c r="I665" s="667"/>
      <c r="J665" s="667">
        <f t="shared" si="68"/>
        <v>0</v>
      </c>
      <c r="K665" s="667"/>
      <c r="L665" s="667"/>
      <c r="M665" s="667" t="e">
        <f>G665+#REF!+#REF!+#REF!+I665+#REF!+#REF!+#REF!+#REF!+#REF!+#REF!+K665+#REF!+#REF!+#REF!</f>
        <v>#REF!</v>
      </c>
      <c r="N665" s="667" t="e">
        <f t="shared" si="65"/>
        <v>#REF!</v>
      </c>
      <c r="O665" s="665" t="e">
        <f>#REF!+M665</f>
        <v>#REF!</v>
      </c>
      <c r="P665" s="666" t="e">
        <f t="shared" si="66"/>
        <v>#REF!</v>
      </c>
      <c r="Q665" s="672"/>
      <c r="R665" s="668"/>
    </row>
    <row r="666" spans="1:20" ht="120.75" hidden="1" customHeight="1">
      <c r="A666" s="662">
        <v>67.099999999999994</v>
      </c>
      <c r="B666" s="666">
        <f t="shared" si="64"/>
        <v>0</v>
      </c>
      <c r="C666" s="663" t="s">
        <v>1727</v>
      </c>
      <c r="D666" s="667">
        <f>[14]Data!K2266</f>
        <v>764.91</v>
      </c>
      <c r="E666" s="751" t="s">
        <v>522</v>
      </c>
      <c r="F666" s="663">
        <f t="shared" si="69"/>
        <v>0</v>
      </c>
      <c r="G666" s="667"/>
      <c r="H666" s="667">
        <f t="shared" si="67"/>
        <v>0</v>
      </c>
      <c r="I666" s="667"/>
      <c r="J666" s="667">
        <f t="shared" si="68"/>
        <v>0</v>
      </c>
      <c r="K666" s="667"/>
      <c r="L666" s="667"/>
      <c r="M666" s="667" t="e">
        <f>G666+#REF!+#REF!+#REF!+I666+#REF!+#REF!+#REF!+#REF!+#REF!+#REF!+K666+#REF!+#REF!+#REF!</f>
        <v>#REF!</v>
      </c>
      <c r="N666" s="667" t="e">
        <f t="shared" si="65"/>
        <v>#REF!</v>
      </c>
      <c r="O666" s="665" t="e">
        <f>#REF!+M666</f>
        <v>#REF!</v>
      </c>
      <c r="P666" s="666" t="e">
        <f t="shared" si="66"/>
        <v>#REF!</v>
      </c>
      <c r="Q666" s="672"/>
      <c r="R666" s="668"/>
    </row>
    <row r="667" spans="1:20" ht="114.75" hidden="1" customHeight="1">
      <c r="A667" s="662">
        <v>68.2</v>
      </c>
      <c r="B667" s="666">
        <f t="shared" si="64"/>
        <v>0</v>
      </c>
      <c r="C667" s="663" t="s">
        <v>1728</v>
      </c>
      <c r="D667" s="667">
        <f>[14]Data!K2267</f>
        <v>1041.2</v>
      </c>
      <c r="E667" s="751" t="s">
        <v>522</v>
      </c>
      <c r="F667" s="663">
        <f t="shared" si="69"/>
        <v>0</v>
      </c>
      <c r="G667" s="667"/>
      <c r="H667" s="667">
        <f t="shared" si="67"/>
        <v>0</v>
      </c>
      <c r="I667" s="667"/>
      <c r="J667" s="667">
        <f t="shared" si="68"/>
        <v>0</v>
      </c>
      <c r="K667" s="667"/>
      <c r="L667" s="667"/>
      <c r="M667" s="667" t="e">
        <f>G667+#REF!+#REF!+#REF!+I667+#REF!+#REF!+#REF!+#REF!+#REF!+#REF!+K667+#REF!+#REF!+#REF!</f>
        <v>#REF!</v>
      </c>
      <c r="N667" s="667" t="e">
        <f t="shared" si="65"/>
        <v>#REF!</v>
      </c>
      <c r="O667" s="665" t="e">
        <f>#REF!+M667</f>
        <v>#REF!</v>
      </c>
      <c r="P667" s="666" t="e">
        <f t="shared" si="66"/>
        <v>#REF!</v>
      </c>
      <c r="Q667" s="672"/>
      <c r="R667" s="668"/>
    </row>
    <row r="668" spans="1:20" s="677" customFormat="1" ht="60.75" hidden="1" customHeight="1">
      <c r="A668" s="662">
        <v>70.5</v>
      </c>
      <c r="B668" s="666">
        <f t="shared" si="64"/>
        <v>0</v>
      </c>
      <c r="C668" s="663" t="s">
        <v>1729</v>
      </c>
      <c r="D668" s="675">
        <f>[14]Elec.Data!K3781</f>
        <v>501.49</v>
      </c>
      <c r="E668" s="742" t="s">
        <v>522</v>
      </c>
      <c r="F668" s="663">
        <f t="shared" si="69"/>
        <v>0</v>
      </c>
      <c r="G668" s="684"/>
      <c r="H668" s="667">
        <f t="shared" si="67"/>
        <v>0</v>
      </c>
      <c r="I668" s="675"/>
      <c r="J668" s="667">
        <f t="shared" si="68"/>
        <v>0</v>
      </c>
      <c r="K668" s="667"/>
      <c r="L668" s="667"/>
      <c r="M668" s="667" t="e">
        <f>G668+#REF!+#REF!+#REF!+I668+#REF!+#REF!+#REF!+#REF!+#REF!+#REF!+K668+#REF!+#REF!+#REF!</f>
        <v>#REF!</v>
      </c>
      <c r="N668" s="667" t="e">
        <f t="shared" si="65"/>
        <v>#REF!</v>
      </c>
      <c r="O668" s="665" t="e">
        <f>#REF!+M668</f>
        <v>#REF!</v>
      </c>
      <c r="P668" s="666" t="e">
        <f t="shared" si="66"/>
        <v>#REF!</v>
      </c>
      <c r="Q668" s="672"/>
      <c r="R668" s="668"/>
      <c r="S668" s="676"/>
      <c r="T668" s="676"/>
    </row>
    <row r="669" spans="1:20" ht="63.75" hidden="1" customHeight="1">
      <c r="A669" s="667"/>
      <c r="B669" s="666">
        <f t="shared" si="64"/>
        <v>0</v>
      </c>
      <c r="C669" s="663" t="s">
        <v>1730</v>
      </c>
      <c r="D669" s="667">
        <f>ROUND([14]Data!K3038,2)</f>
        <v>1437.4</v>
      </c>
      <c r="E669" s="751" t="s">
        <v>522</v>
      </c>
      <c r="F669" s="663">
        <f t="shared" si="69"/>
        <v>0</v>
      </c>
      <c r="G669" s="667"/>
      <c r="H669" s="667">
        <f t="shared" si="67"/>
        <v>0</v>
      </c>
      <c r="I669" s="667"/>
      <c r="J669" s="667">
        <f t="shared" si="68"/>
        <v>0</v>
      </c>
      <c r="K669" s="667"/>
      <c r="L669" s="667"/>
      <c r="M669" s="667" t="e">
        <f>G669+#REF!+#REF!+#REF!+I669+#REF!+#REF!+#REF!+#REF!+#REF!+#REF!+K669+#REF!+#REF!+#REF!</f>
        <v>#REF!</v>
      </c>
      <c r="N669" s="667" t="e">
        <f t="shared" si="65"/>
        <v>#REF!</v>
      </c>
      <c r="O669" s="665" t="e">
        <f>#REF!+M669</f>
        <v>#REF!</v>
      </c>
      <c r="P669" s="666" t="e">
        <f t="shared" si="66"/>
        <v>#REF!</v>
      </c>
      <c r="Q669" s="672"/>
      <c r="R669" s="668"/>
    </row>
    <row r="670" spans="1:20" ht="87" hidden="1" customHeight="1">
      <c r="A670" s="667"/>
      <c r="B670" s="666">
        <f t="shared" si="64"/>
        <v>0</v>
      </c>
      <c r="C670" s="663" t="s">
        <v>1731</v>
      </c>
      <c r="D670" s="667">
        <f>[14]Data!K2283</f>
        <v>246.68</v>
      </c>
      <c r="E670" s="750" t="s">
        <v>61</v>
      </c>
      <c r="F670" s="663">
        <f t="shared" si="69"/>
        <v>0</v>
      </c>
      <c r="G670" s="749"/>
      <c r="H670" s="667">
        <f t="shared" si="67"/>
        <v>0</v>
      </c>
      <c r="I670" s="667"/>
      <c r="J670" s="667">
        <f t="shared" si="68"/>
        <v>0</v>
      </c>
      <c r="K670" s="667"/>
      <c r="L670" s="667"/>
      <c r="M670" s="667" t="e">
        <f>G670+#REF!+#REF!+#REF!+I670+#REF!+#REF!+#REF!+#REF!+#REF!+#REF!+K670+#REF!+#REF!+#REF!</f>
        <v>#REF!</v>
      </c>
      <c r="N670" s="667" t="e">
        <f t="shared" si="65"/>
        <v>#REF!</v>
      </c>
      <c r="O670" s="665" t="e">
        <f>#REF!+M670</f>
        <v>#REF!</v>
      </c>
      <c r="P670" s="666" t="e">
        <f t="shared" si="66"/>
        <v>#REF!</v>
      </c>
      <c r="Q670" s="672"/>
      <c r="R670" s="668"/>
    </row>
    <row r="671" spans="1:20" s="677" customFormat="1" ht="84.75" hidden="1" customHeight="1">
      <c r="A671" s="662">
        <v>77.5</v>
      </c>
      <c r="B671" s="666">
        <f t="shared" si="64"/>
        <v>0</v>
      </c>
      <c r="C671" s="663" t="s">
        <v>1732</v>
      </c>
      <c r="D671" s="675">
        <f>ROUND([14]Data!K2282,2)</f>
        <v>192.58</v>
      </c>
      <c r="E671" s="752" t="s">
        <v>61</v>
      </c>
      <c r="F671" s="663">
        <f t="shared" si="69"/>
        <v>0</v>
      </c>
      <c r="G671" s="684"/>
      <c r="H671" s="667">
        <f t="shared" si="67"/>
        <v>0</v>
      </c>
      <c r="I671" s="675"/>
      <c r="J671" s="667">
        <f t="shared" si="68"/>
        <v>0</v>
      </c>
      <c r="K671" s="667"/>
      <c r="L671" s="667"/>
      <c r="M671" s="667" t="e">
        <f>G671+#REF!+#REF!+#REF!+I671+#REF!+#REF!+#REF!+#REF!+#REF!+#REF!+K671+#REF!+#REF!+#REF!</f>
        <v>#REF!</v>
      </c>
      <c r="N671" s="667" t="e">
        <f t="shared" si="65"/>
        <v>#REF!</v>
      </c>
      <c r="O671" s="665" t="e">
        <f>#REF!+M671</f>
        <v>#REF!</v>
      </c>
      <c r="P671" s="666" t="e">
        <f t="shared" si="66"/>
        <v>#REF!</v>
      </c>
      <c r="Q671" s="672"/>
      <c r="R671" s="668"/>
      <c r="S671" s="676"/>
      <c r="T671" s="676"/>
    </row>
    <row r="672" spans="1:20" ht="102" hidden="1" customHeight="1">
      <c r="A672" s="673"/>
      <c r="B672" s="666">
        <f t="shared" si="64"/>
        <v>0</v>
      </c>
      <c r="C672" s="674" t="s">
        <v>1731</v>
      </c>
      <c r="D672" s="675">
        <f>ROUND([14]Data!K2283,2)</f>
        <v>246.68</v>
      </c>
      <c r="E672" s="752" t="s">
        <v>61</v>
      </c>
      <c r="F672" s="663">
        <f t="shared" si="69"/>
        <v>0</v>
      </c>
      <c r="G672" s="684"/>
      <c r="H672" s="667">
        <f t="shared" si="67"/>
        <v>0</v>
      </c>
      <c r="I672" s="675"/>
      <c r="J672" s="667">
        <f t="shared" si="68"/>
        <v>0</v>
      </c>
      <c r="K672" s="667"/>
      <c r="L672" s="667"/>
      <c r="M672" s="667" t="e">
        <f>G672+#REF!+#REF!+#REF!+I672+#REF!+#REF!+#REF!+#REF!+#REF!+#REF!+K672+#REF!+#REF!+#REF!</f>
        <v>#REF!</v>
      </c>
      <c r="N672" s="667" t="e">
        <f t="shared" si="65"/>
        <v>#REF!</v>
      </c>
      <c r="O672" s="665" t="e">
        <f>#REF!+M672</f>
        <v>#REF!</v>
      </c>
      <c r="P672" s="666" t="e">
        <f t="shared" si="66"/>
        <v>#REF!</v>
      </c>
      <c r="Q672" s="672"/>
      <c r="R672" s="668"/>
    </row>
    <row r="673" spans="1:20" ht="71.25" hidden="1" customHeight="1">
      <c r="A673" s="662"/>
      <c r="B673" s="666">
        <f t="shared" si="64"/>
        <v>0</v>
      </c>
      <c r="C673" s="663" t="s">
        <v>397</v>
      </c>
      <c r="D673" s="667">
        <f>[14]Elec.Data!K3539</f>
        <v>251.18</v>
      </c>
      <c r="E673" s="750" t="s">
        <v>61</v>
      </c>
      <c r="F673" s="663">
        <f t="shared" si="69"/>
        <v>0</v>
      </c>
      <c r="G673" s="749"/>
      <c r="H673" s="667">
        <f t="shared" si="67"/>
        <v>0</v>
      </c>
      <c r="I673" s="667"/>
      <c r="J673" s="667">
        <f t="shared" si="68"/>
        <v>0</v>
      </c>
      <c r="K673" s="667"/>
      <c r="L673" s="667"/>
      <c r="M673" s="667" t="e">
        <f>G673+#REF!+#REF!+#REF!+I673+#REF!+#REF!+#REF!+#REF!+#REF!+#REF!+K673+#REF!+#REF!+#REF!</f>
        <v>#REF!</v>
      </c>
      <c r="N673" s="667" t="e">
        <f t="shared" si="65"/>
        <v>#REF!</v>
      </c>
      <c r="O673" s="665" t="e">
        <f>#REF!+M673</f>
        <v>#REF!</v>
      </c>
      <c r="P673" s="666" t="e">
        <f t="shared" si="66"/>
        <v>#REF!</v>
      </c>
      <c r="Q673" s="672"/>
      <c r="R673" s="668"/>
    </row>
    <row r="674" spans="1:20" s="677" customFormat="1" ht="91.5" hidden="1" customHeight="1">
      <c r="A674" s="662"/>
      <c r="B674" s="666">
        <f t="shared" si="64"/>
        <v>0</v>
      </c>
      <c r="C674" s="663" t="s">
        <v>1134</v>
      </c>
      <c r="D674" s="667">
        <f>D1058</f>
        <v>209.78</v>
      </c>
      <c r="E674" s="753" t="s">
        <v>61</v>
      </c>
      <c r="F674" s="663">
        <f t="shared" si="69"/>
        <v>0</v>
      </c>
      <c r="G674" s="749"/>
      <c r="H674" s="667">
        <f t="shared" si="67"/>
        <v>0</v>
      </c>
      <c r="I674" s="667"/>
      <c r="J674" s="667">
        <f t="shared" si="68"/>
        <v>0</v>
      </c>
      <c r="K674" s="667"/>
      <c r="L674" s="667"/>
      <c r="M674" s="667" t="e">
        <f>G674+#REF!+#REF!+#REF!+I674+#REF!+#REF!+#REF!+#REF!+#REF!+#REF!+K674+#REF!+#REF!+#REF!</f>
        <v>#REF!</v>
      </c>
      <c r="N674" s="667" t="e">
        <f t="shared" si="65"/>
        <v>#REF!</v>
      </c>
      <c r="O674" s="665" t="e">
        <f>#REF!+M674</f>
        <v>#REF!</v>
      </c>
      <c r="P674" s="666" t="e">
        <f t="shared" si="66"/>
        <v>#REF!</v>
      </c>
      <c r="Q674" s="672"/>
      <c r="R674" s="668"/>
      <c r="S674" s="676"/>
      <c r="T674" s="676"/>
    </row>
    <row r="675" spans="1:20" s="677" customFormat="1" ht="59.25" hidden="1" customHeight="1">
      <c r="A675" s="662"/>
      <c r="B675" s="666">
        <f t="shared" si="64"/>
        <v>0</v>
      </c>
      <c r="C675" s="754" t="s">
        <v>1733</v>
      </c>
      <c r="D675" s="675">
        <f>[14]Elec.Data!R3119</f>
        <v>457.07</v>
      </c>
      <c r="E675" s="755" t="s">
        <v>61</v>
      </c>
      <c r="F675" s="663">
        <f t="shared" si="69"/>
        <v>0</v>
      </c>
      <c r="G675" s="684"/>
      <c r="H675" s="667">
        <f t="shared" si="67"/>
        <v>0</v>
      </c>
      <c r="I675" s="675"/>
      <c r="J675" s="667">
        <f t="shared" si="68"/>
        <v>0</v>
      </c>
      <c r="K675" s="667"/>
      <c r="L675" s="667"/>
      <c r="M675" s="667" t="e">
        <f>G675+#REF!+#REF!+#REF!+I675+#REF!+#REF!+#REF!+#REF!+#REF!+#REF!+K675+#REF!+#REF!+#REF!</f>
        <v>#REF!</v>
      </c>
      <c r="N675" s="667" t="e">
        <f t="shared" si="65"/>
        <v>#REF!</v>
      </c>
      <c r="O675" s="665" t="e">
        <f>#REF!+M675</f>
        <v>#REF!</v>
      </c>
      <c r="P675" s="666" t="e">
        <f t="shared" si="66"/>
        <v>#REF!</v>
      </c>
      <c r="Q675" s="672"/>
      <c r="R675" s="668"/>
      <c r="S675" s="676"/>
      <c r="T675" s="676"/>
    </row>
    <row r="676" spans="1:20" s="677" customFormat="1" ht="66.75" hidden="1" customHeight="1">
      <c r="A676" s="662"/>
      <c r="B676" s="666">
        <f t="shared" si="64"/>
        <v>0</v>
      </c>
      <c r="C676" s="754" t="s">
        <v>1734</v>
      </c>
      <c r="D676" s="675">
        <f>[14]Elec.Data!R3133</f>
        <v>589.27</v>
      </c>
      <c r="E676" s="755" t="s">
        <v>61</v>
      </c>
      <c r="F676" s="663">
        <f t="shared" si="69"/>
        <v>0</v>
      </c>
      <c r="G676" s="684"/>
      <c r="H676" s="667">
        <f t="shared" si="67"/>
        <v>0</v>
      </c>
      <c r="I676" s="675"/>
      <c r="J676" s="667">
        <f t="shared" si="68"/>
        <v>0</v>
      </c>
      <c r="K676" s="667"/>
      <c r="L676" s="667"/>
      <c r="M676" s="667" t="e">
        <f>G676+#REF!+#REF!+#REF!+I676+#REF!+#REF!+#REF!+#REF!+#REF!+#REF!+K676+#REF!+#REF!+#REF!</f>
        <v>#REF!</v>
      </c>
      <c r="N676" s="667" t="e">
        <f t="shared" si="65"/>
        <v>#REF!</v>
      </c>
      <c r="O676" s="665" t="e">
        <f>#REF!+M676</f>
        <v>#REF!</v>
      </c>
      <c r="P676" s="666" t="e">
        <f t="shared" si="66"/>
        <v>#REF!</v>
      </c>
      <c r="Q676" s="672"/>
      <c r="R676" s="668"/>
      <c r="S676" s="676"/>
      <c r="T676" s="676"/>
    </row>
    <row r="677" spans="1:20" ht="42" hidden="1" customHeight="1">
      <c r="A677" s="662">
        <v>112.1</v>
      </c>
      <c r="B677" s="666">
        <f t="shared" si="64"/>
        <v>0</v>
      </c>
      <c r="C677" s="663" t="s">
        <v>1735</v>
      </c>
      <c r="D677" s="667">
        <f>[14]Data!K3018</f>
        <v>1942.75</v>
      </c>
      <c r="E677" s="751" t="s">
        <v>522</v>
      </c>
      <c r="F677" s="663">
        <f t="shared" si="69"/>
        <v>0</v>
      </c>
      <c r="G677" s="667"/>
      <c r="H677" s="667">
        <f t="shared" si="67"/>
        <v>0</v>
      </c>
      <c r="I677" s="667"/>
      <c r="J677" s="667">
        <f t="shared" si="68"/>
        <v>0</v>
      </c>
      <c r="K677" s="667"/>
      <c r="L677" s="667"/>
      <c r="M677" s="667" t="e">
        <f>G677+#REF!+#REF!+#REF!+I677+#REF!+#REF!+#REF!+#REF!+#REF!+#REF!+K677+#REF!+#REF!+#REF!</f>
        <v>#REF!</v>
      </c>
      <c r="N677" s="667" t="e">
        <f t="shared" si="65"/>
        <v>#REF!</v>
      </c>
      <c r="O677" s="665" t="e">
        <f>#REF!+M677</f>
        <v>#REF!</v>
      </c>
      <c r="P677" s="666" t="e">
        <f t="shared" si="66"/>
        <v>#REF!</v>
      </c>
      <c r="Q677" s="672"/>
      <c r="R677" s="668"/>
    </row>
    <row r="678" spans="1:20" s="677" customFormat="1" ht="46.5" hidden="1" customHeight="1">
      <c r="A678" s="662"/>
      <c r="B678" s="666">
        <f t="shared" si="64"/>
        <v>0</v>
      </c>
      <c r="C678" s="685" t="s">
        <v>1736</v>
      </c>
      <c r="D678" s="675"/>
      <c r="E678" s="742"/>
      <c r="F678" s="663">
        <f t="shared" si="69"/>
        <v>0</v>
      </c>
      <c r="G678" s="684"/>
      <c r="H678" s="667">
        <f t="shared" si="67"/>
        <v>0</v>
      </c>
      <c r="I678" s="675"/>
      <c r="J678" s="667">
        <f t="shared" si="68"/>
        <v>0</v>
      </c>
      <c r="K678" s="667"/>
      <c r="L678" s="667"/>
      <c r="M678" s="667" t="e">
        <f>G678+#REF!+#REF!+#REF!+I678+#REF!+#REF!+#REF!+#REF!+#REF!+#REF!+K678+#REF!+#REF!+#REF!</f>
        <v>#REF!</v>
      </c>
      <c r="N678" s="667" t="e">
        <f t="shared" si="65"/>
        <v>#REF!</v>
      </c>
      <c r="O678" s="665" t="e">
        <f>#REF!+M678</f>
        <v>#REF!</v>
      </c>
      <c r="P678" s="666" t="e">
        <f t="shared" si="66"/>
        <v>#REF!</v>
      </c>
      <c r="Q678" s="672"/>
      <c r="R678" s="668"/>
      <c r="S678" s="676"/>
      <c r="T678" s="676"/>
    </row>
    <row r="679" spans="1:20" s="677" customFormat="1" ht="51.75" hidden="1" customHeight="1">
      <c r="A679" s="662"/>
      <c r="B679" s="666">
        <f t="shared" si="64"/>
        <v>0</v>
      </c>
      <c r="C679" s="663" t="s">
        <v>1737</v>
      </c>
      <c r="D679" s="675">
        <f>ROUND([14]Data!K3031,2)</f>
        <v>130</v>
      </c>
      <c r="E679" s="742" t="s">
        <v>522</v>
      </c>
      <c r="F679" s="663">
        <f t="shared" si="69"/>
        <v>0</v>
      </c>
      <c r="G679" s="675"/>
      <c r="H679" s="667">
        <f t="shared" si="67"/>
        <v>0</v>
      </c>
      <c r="I679" s="675"/>
      <c r="J679" s="667">
        <f t="shared" si="68"/>
        <v>0</v>
      </c>
      <c r="K679" s="667"/>
      <c r="L679" s="667"/>
      <c r="M679" s="667" t="e">
        <f>G679+#REF!+#REF!+#REF!+I679+#REF!+#REF!+#REF!+#REF!+#REF!+#REF!+K679+#REF!+#REF!+#REF!</f>
        <v>#REF!</v>
      </c>
      <c r="N679" s="667" t="e">
        <f t="shared" si="65"/>
        <v>#REF!</v>
      </c>
      <c r="O679" s="665" t="e">
        <f>#REF!+M679</f>
        <v>#REF!</v>
      </c>
      <c r="P679" s="666" t="e">
        <f t="shared" si="66"/>
        <v>#REF!</v>
      </c>
      <c r="Q679" s="672"/>
      <c r="R679" s="668"/>
      <c r="S679" s="676"/>
      <c r="T679" s="676"/>
    </row>
    <row r="680" spans="1:20" s="677" customFormat="1" ht="51.75" hidden="1" customHeight="1">
      <c r="A680" s="662"/>
      <c r="B680" s="666">
        <f t="shared" si="64"/>
        <v>0</v>
      </c>
      <c r="C680" s="663" t="s">
        <v>1738</v>
      </c>
      <c r="D680" s="675">
        <f>[14]Data!K3033</f>
        <v>170</v>
      </c>
      <c r="E680" s="742" t="s">
        <v>522</v>
      </c>
      <c r="F680" s="663">
        <f t="shared" si="69"/>
        <v>0</v>
      </c>
      <c r="G680" s="675"/>
      <c r="H680" s="667">
        <f t="shared" si="67"/>
        <v>0</v>
      </c>
      <c r="I680" s="675"/>
      <c r="J680" s="667">
        <f t="shared" si="68"/>
        <v>0</v>
      </c>
      <c r="K680" s="667"/>
      <c r="L680" s="667"/>
      <c r="M680" s="667" t="e">
        <f>G680+#REF!+#REF!+#REF!+I680+#REF!+#REF!+#REF!+#REF!+#REF!+#REF!+K680+#REF!+#REF!+#REF!</f>
        <v>#REF!</v>
      </c>
      <c r="N680" s="667" t="e">
        <f t="shared" si="65"/>
        <v>#REF!</v>
      </c>
      <c r="O680" s="665" t="e">
        <f>#REF!+M680</f>
        <v>#REF!</v>
      </c>
      <c r="P680" s="666" t="e">
        <f t="shared" si="66"/>
        <v>#REF!</v>
      </c>
      <c r="Q680" s="672"/>
      <c r="R680" s="668"/>
      <c r="S680" s="676"/>
      <c r="T680" s="676"/>
    </row>
    <row r="681" spans="1:20" s="677" customFormat="1" ht="39" hidden="1" customHeight="1">
      <c r="A681" s="662"/>
      <c r="B681" s="666">
        <f t="shared" si="64"/>
        <v>0</v>
      </c>
      <c r="C681" s="663" t="s">
        <v>1739</v>
      </c>
      <c r="D681" s="675">
        <f>[14]Data!K3036</f>
        <v>443</v>
      </c>
      <c r="E681" s="742" t="s">
        <v>522</v>
      </c>
      <c r="F681" s="663">
        <f t="shared" si="69"/>
        <v>0</v>
      </c>
      <c r="G681" s="675"/>
      <c r="H681" s="667">
        <f t="shared" si="67"/>
        <v>0</v>
      </c>
      <c r="I681" s="675"/>
      <c r="J681" s="667">
        <f t="shared" si="68"/>
        <v>0</v>
      </c>
      <c r="K681" s="667"/>
      <c r="L681" s="667"/>
      <c r="M681" s="667" t="e">
        <f>G681+#REF!+#REF!+#REF!+I681+#REF!+#REF!+#REF!+#REF!+#REF!+#REF!+K681+#REF!+#REF!+#REF!</f>
        <v>#REF!</v>
      </c>
      <c r="N681" s="667" t="e">
        <f t="shared" si="65"/>
        <v>#REF!</v>
      </c>
      <c r="O681" s="665" t="e">
        <f>#REF!+M681</f>
        <v>#REF!</v>
      </c>
      <c r="P681" s="666" t="e">
        <f t="shared" si="66"/>
        <v>#REF!</v>
      </c>
      <c r="Q681" s="672"/>
      <c r="R681" s="668"/>
      <c r="S681" s="676"/>
      <c r="T681" s="676"/>
    </row>
    <row r="682" spans="1:20" s="677" customFormat="1" ht="67.5" hidden="1" customHeight="1">
      <c r="A682" s="662">
        <v>44.2</v>
      </c>
      <c r="B682" s="666">
        <f t="shared" si="64"/>
        <v>0</v>
      </c>
      <c r="C682" s="685" t="s">
        <v>1740</v>
      </c>
      <c r="D682" s="667"/>
      <c r="E682" s="751"/>
      <c r="F682" s="663">
        <f t="shared" si="69"/>
        <v>0</v>
      </c>
      <c r="G682" s="749"/>
      <c r="H682" s="667">
        <f t="shared" si="67"/>
        <v>0</v>
      </c>
      <c r="I682" s="667"/>
      <c r="J682" s="667">
        <f t="shared" si="68"/>
        <v>0</v>
      </c>
      <c r="K682" s="667"/>
      <c r="L682" s="667"/>
      <c r="M682" s="667" t="e">
        <f>G682+#REF!+#REF!+#REF!+I682+#REF!+#REF!+#REF!+#REF!+#REF!+#REF!+K682+#REF!+#REF!+#REF!</f>
        <v>#REF!</v>
      </c>
      <c r="N682" s="667" t="e">
        <f t="shared" si="65"/>
        <v>#REF!</v>
      </c>
      <c r="O682" s="665" t="e">
        <f>#REF!+M682</f>
        <v>#REF!</v>
      </c>
      <c r="P682" s="666" t="e">
        <f t="shared" si="66"/>
        <v>#REF!</v>
      </c>
      <c r="Q682" s="668"/>
      <c r="R682" s="668"/>
      <c r="S682" s="676"/>
      <c r="T682" s="676"/>
    </row>
    <row r="683" spans="1:20" ht="48.75" hidden="1" customHeight="1">
      <c r="A683" s="662"/>
      <c r="B683" s="666">
        <f t="shared" si="64"/>
        <v>0</v>
      </c>
      <c r="C683" s="663" t="s">
        <v>1741</v>
      </c>
      <c r="D683" s="667">
        <f>[14]Data!R2350</f>
        <v>1968.19</v>
      </c>
      <c r="E683" s="751" t="s">
        <v>522</v>
      </c>
      <c r="F683" s="663">
        <f t="shared" si="69"/>
        <v>0</v>
      </c>
      <c r="G683" s="667"/>
      <c r="H683" s="667">
        <f t="shared" si="67"/>
        <v>0</v>
      </c>
      <c r="I683" s="667"/>
      <c r="J683" s="667">
        <f t="shared" si="68"/>
        <v>0</v>
      </c>
      <c r="K683" s="667"/>
      <c r="L683" s="667"/>
      <c r="M683" s="667" t="e">
        <f>G683+#REF!+#REF!+#REF!+I683+#REF!+#REF!+#REF!+#REF!+#REF!+#REF!+K683+#REF!+#REF!+#REF!</f>
        <v>#REF!</v>
      </c>
      <c r="N683" s="667" t="e">
        <f t="shared" si="65"/>
        <v>#REF!</v>
      </c>
      <c r="O683" s="665" t="e">
        <f>#REF!+M683</f>
        <v>#REF!</v>
      </c>
      <c r="P683" s="666" t="e">
        <f t="shared" si="66"/>
        <v>#REF!</v>
      </c>
      <c r="Q683" s="672"/>
      <c r="R683" s="668"/>
    </row>
    <row r="684" spans="1:20" ht="48.75" hidden="1" customHeight="1">
      <c r="A684" s="662"/>
      <c r="B684" s="666">
        <f t="shared" si="64"/>
        <v>0</v>
      </c>
      <c r="C684" s="663" t="s">
        <v>1742</v>
      </c>
      <c r="D684" s="667">
        <f>[14]Data!R2357</f>
        <v>450.99</v>
      </c>
      <c r="E684" s="751" t="s">
        <v>61</v>
      </c>
      <c r="F684" s="663">
        <f t="shared" si="69"/>
        <v>0</v>
      </c>
      <c r="G684" s="667"/>
      <c r="H684" s="667">
        <f t="shared" si="67"/>
        <v>0</v>
      </c>
      <c r="I684" s="667"/>
      <c r="J684" s="667">
        <f t="shared" si="68"/>
        <v>0</v>
      </c>
      <c r="K684" s="667"/>
      <c r="L684" s="667"/>
      <c r="M684" s="667" t="e">
        <f>G684+#REF!+#REF!+#REF!+I684+#REF!+#REF!+#REF!+#REF!+#REF!+#REF!+K684+#REF!+#REF!+#REF!</f>
        <v>#REF!</v>
      </c>
      <c r="N684" s="667" t="e">
        <f t="shared" si="65"/>
        <v>#REF!</v>
      </c>
      <c r="O684" s="665" t="e">
        <f>#REF!+M684</f>
        <v>#REF!</v>
      </c>
      <c r="P684" s="666" t="e">
        <f t="shared" si="66"/>
        <v>#REF!</v>
      </c>
      <c r="Q684" s="672"/>
      <c r="R684" s="668"/>
    </row>
    <row r="685" spans="1:20" ht="79.900000000000006" hidden="1" customHeight="1">
      <c r="A685" s="662"/>
      <c r="B685" s="666">
        <f t="shared" si="64"/>
        <v>0</v>
      </c>
      <c r="C685" s="663" t="s">
        <v>1743</v>
      </c>
      <c r="D685" s="667">
        <f>[14]Data!R2044</f>
        <v>1297.5899999999999</v>
      </c>
      <c r="E685" s="751" t="s">
        <v>522</v>
      </c>
      <c r="F685" s="663">
        <f t="shared" si="69"/>
        <v>0</v>
      </c>
      <c r="G685" s="667"/>
      <c r="H685" s="667"/>
      <c r="I685" s="667"/>
      <c r="J685" s="667"/>
      <c r="K685" s="667"/>
      <c r="L685" s="667"/>
      <c r="M685" s="667" t="e">
        <f>G685+#REF!+#REF!+#REF!+I685+#REF!+#REF!+#REF!+#REF!+#REF!+#REF!+K685+#REF!+#REF!+#REF!</f>
        <v>#REF!</v>
      </c>
      <c r="N685" s="667" t="e">
        <f t="shared" si="65"/>
        <v>#REF!</v>
      </c>
      <c r="O685" s="665" t="e">
        <f>#REF!+M685</f>
        <v>#REF!</v>
      </c>
      <c r="P685" s="666" t="e">
        <f t="shared" si="66"/>
        <v>#REF!</v>
      </c>
      <c r="Q685" s="672"/>
      <c r="R685" s="668"/>
    </row>
    <row r="686" spans="1:20" s="677" customFormat="1" ht="45.75" hidden="1" customHeight="1">
      <c r="A686" s="662">
        <v>257.10000000000002</v>
      </c>
      <c r="B686" s="666">
        <f t="shared" si="64"/>
        <v>0</v>
      </c>
      <c r="C686" s="663" t="s">
        <v>1744</v>
      </c>
      <c r="D686" s="675">
        <f>ROUND([14]Data!K2703,2)</f>
        <v>239.99</v>
      </c>
      <c r="E686" s="742" t="s">
        <v>61</v>
      </c>
      <c r="F686" s="663">
        <f t="shared" si="69"/>
        <v>0</v>
      </c>
      <c r="G686" s="684"/>
      <c r="H686" s="667">
        <f t="shared" ref="H686:H704" si="70">G686*D686</f>
        <v>0</v>
      </c>
      <c r="I686" s="675"/>
      <c r="J686" s="667">
        <f t="shared" ref="J686:J704" si="71">I686*D686</f>
        <v>0</v>
      </c>
      <c r="K686" s="667"/>
      <c r="L686" s="667"/>
      <c r="M686" s="667" t="e">
        <f>G686+#REF!+#REF!+#REF!+I686+#REF!+#REF!+#REF!+#REF!+#REF!+#REF!+K686+#REF!+#REF!+#REF!</f>
        <v>#REF!</v>
      </c>
      <c r="N686" s="667" t="e">
        <f t="shared" si="65"/>
        <v>#REF!</v>
      </c>
      <c r="O686" s="665" t="e">
        <f>#REF!+M686</f>
        <v>#REF!</v>
      </c>
      <c r="P686" s="666" t="e">
        <f t="shared" si="66"/>
        <v>#REF!</v>
      </c>
      <c r="Q686" s="672"/>
      <c r="R686" s="668"/>
      <c r="S686" s="676"/>
      <c r="T686" s="676"/>
    </row>
    <row r="687" spans="1:20" ht="48.75" hidden="1" customHeight="1">
      <c r="A687" s="662">
        <v>344.2</v>
      </c>
      <c r="B687" s="666">
        <f t="shared" si="64"/>
        <v>0</v>
      </c>
      <c r="C687" s="663" t="s">
        <v>1139</v>
      </c>
      <c r="D687" s="667">
        <f>ROUND([14]Data!K3014,2)</f>
        <v>379.4</v>
      </c>
      <c r="E687" s="751" t="s">
        <v>522</v>
      </c>
      <c r="F687" s="663">
        <f t="shared" si="69"/>
        <v>0</v>
      </c>
      <c r="G687" s="667"/>
      <c r="H687" s="667">
        <f t="shared" si="70"/>
        <v>0</v>
      </c>
      <c r="I687" s="667"/>
      <c r="J687" s="667">
        <f t="shared" si="71"/>
        <v>0</v>
      </c>
      <c r="K687" s="667"/>
      <c r="L687" s="667"/>
      <c r="M687" s="667" t="e">
        <f>G687+#REF!+#REF!+#REF!+I687+#REF!+#REF!+#REF!+#REF!+#REF!+#REF!+K687+#REF!+#REF!+#REF!</f>
        <v>#REF!</v>
      </c>
      <c r="N687" s="667" t="e">
        <f t="shared" si="65"/>
        <v>#REF!</v>
      </c>
      <c r="O687" s="665" t="e">
        <f>#REF!+M687</f>
        <v>#REF!</v>
      </c>
      <c r="P687" s="666" t="e">
        <f t="shared" si="66"/>
        <v>#REF!</v>
      </c>
      <c r="Q687" s="672"/>
      <c r="R687" s="668"/>
    </row>
    <row r="688" spans="1:20" ht="48.75" hidden="1" customHeight="1">
      <c r="A688" s="700">
        <v>383</v>
      </c>
      <c r="B688" s="666">
        <f t="shared" si="64"/>
        <v>0</v>
      </c>
      <c r="C688" s="663" t="s">
        <v>1745</v>
      </c>
      <c r="D688" s="667">
        <f>[14]Data!C764</f>
        <v>1010</v>
      </c>
      <c r="E688" s="663" t="s">
        <v>522</v>
      </c>
      <c r="F688" s="663">
        <f t="shared" si="69"/>
        <v>0</v>
      </c>
      <c r="G688" s="699"/>
      <c r="H688" s="667">
        <f t="shared" si="70"/>
        <v>0</v>
      </c>
      <c r="I688" s="667"/>
      <c r="J688" s="667">
        <f t="shared" si="71"/>
        <v>0</v>
      </c>
      <c r="K688" s="667"/>
      <c r="L688" s="667"/>
      <c r="M688" s="667" t="e">
        <f>G688+#REF!+#REF!+#REF!+I688+#REF!+#REF!+#REF!+#REF!+#REF!+#REF!+K688+#REF!+#REF!+#REF!</f>
        <v>#REF!</v>
      </c>
      <c r="N688" s="667" t="e">
        <f t="shared" si="65"/>
        <v>#REF!</v>
      </c>
      <c r="O688" s="665" t="e">
        <f>#REF!+M688</f>
        <v>#REF!</v>
      </c>
      <c r="P688" s="666" t="e">
        <f t="shared" si="66"/>
        <v>#REF!</v>
      </c>
      <c r="Q688" s="672"/>
      <c r="R688" s="668"/>
    </row>
    <row r="689" spans="1:20" s="677" customFormat="1" ht="44.25" hidden="1" customHeight="1">
      <c r="A689" s="662">
        <v>383.1</v>
      </c>
      <c r="B689" s="666">
        <f t="shared" si="64"/>
        <v>0</v>
      </c>
      <c r="C689" s="663" t="s">
        <v>1746</v>
      </c>
      <c r="D689" s="675">
        <v>235</v>
      </c>
      <c r="E689" s="742" t="s">
        <v>61</v>
      </c>
      <c r="F689" s="663">
        <f t="shared" si="69"/>
        <v>0</v>
      </c>
      <c r="G689" s="684"/>
      <c r="H689" s="667">
        <f t="shared" si="70"/>
        <v>0</v>
      </c>
      <c r="I689" s="675"/>
      <c r="J689" s="667">
        <f t="shared" si="71"/>
        <v>0</v>
      </c>
      <c r="K689" s="667"/>
      <c r="L689" s="667"/>
      <c r="M689" s="667" t="e">
        <f>G689+#REF!+#REF!+#REF!+I689+#REF!+#REF!+#REF!+#REF!+#REF!+#REF!+K689+#REF!+#REF!+#REF!</f>
        <v>#REF!</v>
      </c>
      <c r="N689" s="667" t="e">
        <f t="shared" si="65"/>
        <v>#REF!</v>
      </c>
      <c r="O689" s="665" t="e">
        <f>#REF!+M689</f>
        <v>#REF!</v>
      </c>
      <c r="P689" s="666" t="e">
        <f t="shared" si="66"/>
        <v>#REF!</v>
      </c>
      <c r="Q689" s="672"/>
      <c r="R689" s="668"/>
      <c r="S689" s="676"/>
      <c r="T689" s="676"/>
    </row>
    <row r="690" spans="1:20" s="677" customFormat="1" ht="45" hidden="1" customHeight="1">
      <c r="A690" s="662"/>
      <c r="B690" s="666">
        <f t="shared" si="64"/>
        <v>0</v>
      </c>
      <c r="C690" s="663" t="s">
        <v>1747</v>
      </c>
      <c r="D690" s="675">
        <f>[14]Data!R1912</f>
        <v>273.74</v>
      </c>
      <c r="E690" s="742"/>
      <c r="F690" s="663">
        <f t="shared" si="69"/>
        <v>0</v>
      </c>
      <c r="G690" s="684"/>
      <c r="H690" s="667">
        <f t="shared" si="70"/>
        <v>0</v>
      </c>
      <c r="I690" s="675"/>
      <c r="J690" s="667">
        <f t="shared" si="71"/>
        <v>0</v>
      </c>
      <c r="K690" s="667"/>
      <c r="L690" s="667"/>
      <c r="M690" s="667" t="e">
        <f>G690+#REF!+#REF!+#REF!+I690+#REF!+#REF!+#REF!+#REF!+#REF!+#REF!+K690+#REF!+#REF!+#REF!</f>
        <v>#REF!</v>
      </c>
      <c r="N690" s="667" t="e">
        <f t="shared" si="65"/>
        <v>#REF!</v>
      </c>
      <c r="O690" s="665" t="e">
        <f>#REF!+M690</f>
        <v>#REF!</v>
      </c>
      <c r="P690" s="666" t="e">
        <f t="shared" si="66"/>
        <v>#REF!</v>
      </c>
      <c r="Q690" s="672"/>
      <c r="R690" s="668"/>
      <c r="S690" s="676"/>
      <c r="T690" s="676"/>
    </row>
    <row r="691" spans="1:20" ht="48.75" hidden="1" customHeight="1">
      <c r="A691" s="700">
        <v>384</v>
      </c>
      <c r="B691" s="666">
        <f t="shared" si="64"/>
        <v>0</v>
      </c>
      <c r="C691" s="663" t="s">
        <v>1748</v>
      </c>
      <c r="D691" s="667">
        <f>[14]Data!K3046</f>
        <v>1602.5</v>
      </c>
      <c r="E691" s="753" t="s">
        <v>522</v>
      </c>
      <c r="F691" s="663">
        <f t="shared" si="69"/>
        <v>0</v>
      </c>
      <c r="G691" s="666"/>
      <c r="H691" s="667">
        <f t="shared" si="70"/>
        <v>0</v>
      </c>
      <c r="I691" s="667"/>
      <c r="J691" s="667">
        <f t="shared" si="71"/>
        <v>0</v>
      </c>
      <c r="K691" s="667"/>
      <c r="L691" s="667"/>
      <c r="M691" s="667" t="e">
        <f>G691+#REF!+#REF!+#REF!+I691+#REF!+#REF!+#REF!+#REF!+#REF!+#REF!+K691+#REF!+#REF!+#REF!</f>
        <v>#REF!</v>
      </c>
      <c r="N691" s="667" t="e">
        <f t="shared" si="65"/>
        <v>#REF!</v>
      </c>
      <c r="O691" s="665" t="e">
        <f>#REF!+M691</f>
        <v>#REF!</v>
      </c>
      <c r="P691" s="666" t="e">
        <f t="shared" si="66"/>
        <v>#REF!</v>
      </c>
      <c r="Q691" s="672"/>
      <c r="R691" s="668"/>
    </row>
    <row r="692" spans="1:20" s="677" customFormat="1" ht="33.75" hidden="1" customHeight="1">
      <c r="A692" s="700">
        <v>385</v>
      </c>
      <c r="B692" s="666">
        <f t="shared" si="64"/>
        <v>0</v>
      </c>
      <c r="C692" s="663" t="s">
        <v>1749</v>
      </c>
      <c r="D692" s="675">
        <f>ROUND([14]Data!K2690,2)</f>
        <v>762.6</v>
      </c>
      <c r="E692" s="674" t="s">
        <v>522</v>
      </c>
      <c r="F692" s="663">
        <f t="shared" si="69"/>
        <v>0</v>
      </c>
      <c r="G692" s="684"/>
      <c r="H692" s="667">
        <f t="shared" si="70"/>
        <v>0</v>
      </c>
      <c r="I692" s="675"/>
      <c r="J692" s="667">
        <f t="shared" si="71"/>
        <v>0</v>
      </c>
      <c r="K692" s="667"/>
      <c r="L692" s="667"/>
      <c r="M692" s="667" t="e">
        <f>G692+#REF!+#REF!+#REF!+I692+#REF!+#REF!+#REF!+#REF!+#REF!+#REF!+K692+#REF!+#REF!+#REF!</f>
        <v>#REF!</v>
      </c>
      <c r="N692" s="667" t="e">
        <f t="shared" si="65"/>
        <v>#REF!</v>
      </c>
      <c r="O692" s="665" t="e">
        <f>#REF!+M692</f>
        <v>#REF!</v>
      </c>
      <c r="P692" s="666" t="e">
        <f t="shared" si="66"/>
        <v>#REF!</v>
      </c>
      <c r="Q692" s="672"/>
      <c r="R692" s="668"/>
      <c r="S692" s="676"/>
      <c r="T692" s="676"/>
    </row>
    <row r="693" spans="1:20" s="677" customFormat="1" ht="42" hidden="1" customHeight="1">
      <c r="A693" s="662">
        <v>238.1</v>
      </c>
      <c r="B693" s="666">
        <f t="shared" si="64"/>
        <v>0</v>
      </c>
      <c r="C693" s="663" t="s">
        <v>1750</v>
      </c>
      <c r="D693" s="675">
        <f>ROUND([14]Data!K2778,2)</f>
        <v>2595.25</v>
      </c>
      <c r="E693" s="755" t="s">
        <v>58</v>
      </c>
      <c r="F693" s="663">
        <f t="shared" si="69"/>
        <v>0</v>
      </c>
      <c r="G693" s="701"/>
      <c r="H693" s="667">
        <f t="shared" si="70"/>
        <v>0</v>
      </c>
      <c r="I693" s="675"/>
      <c r="J693" s="667">
        <f t="shared" si="71"/>
        <v>0</v>
      </c>
      <c r="K693" s="667"/>
      <c r="L693" s="667"/>
      <c r="M693" s="667" t="e">
        <f>G693+#REF!+#REF!+#REF!+I693+#REF!+#REF!+#REF!+#REF!+#REF!+#REF!+K693+#REF!+#REF!+#REF!</f>
        <v>#REF!</v>
      </c>
      <c r="N693" s="667" t="e">
        <f t="shared" si="65"/>
        <v>#REF!</v>
      </c>
      <c r="O693" s="665" t="e">
        <f>#REF!+M693</f>
        <v>#REF!</v>
      </c>
      <c r="P693" s="666" t="e">
        <f t="shared" si="66"/>
        <v>#REF!</v>
      </c>
      <c r="Q693" s="672"/>
      <c r="R693" s="668"/>
      <c r="S693" s="676"/>
      <c r="T693" s="676"/>
    </row>
    <row r="694" spans="1:20" ht="58.5" hidden="1" customHeight="1">
      <c r="A694" s="662">
        <v>71.2</v>
      </c>
      <c r="B694" s="666">
        <f t="shared" si="64"/>
        <v>0</v>
      </c>
      <c r="C694" s="663" t="s">
        <v>1181</v>
      </c>
      <c r="D694" s="667">
        <f>[14]Elec.Data!K3210</f>
        <v>2083.67</v>
      </c>
      <c r="E694" s="753" t="s">
        <v>522</v>
      </c>
      <c r="F694" s="663">
        <f t="shared" si="69"/>
        <v>0</v>
      </c>
      <c r="G694" s="699"/>
      <c r="H694" s="667">
        <f t="shared" si="70"/>
        <v>0</v>
      </c>
      <c r="I694" s="667"/>
      <c r="J694" s="667">
        <f t="shared" si="71"/>
        <v>0</v>
      </c>
      <c r="K694" s="667"/>
      <c r="L694" s="667"/>
      <c r="M694" s="667" t="e">
        <f>G694+#REF!+#REF!+#REF!+I694+#REF!+#REF!+#REF!+#REF!+#REF!+#REF!+K694+#REF!+#REF!+#REF!</f>
        <v>#REF!</v>
      </c>
      <c r="N694" s="667" t="e">
        <f t="shared" si="65"/>
        <v>#REF!</v>
      </c>
      <c r="O694" s="665" t="e">
        <f>#REF!+M694</f>
        <v>#REF!</v>
      </c>
      <c r="P694" s="666" t="e">
        <f t="shared" si="66"/>
        <v>#REF!</v>
      </c>
      <c r="Q694" s="672"/>
      <c r="R694" s="668"/>
    </row>
    <row r="695" spans="1:20" ht="47.25" hidden="1" customHeight="1">
      <c r="A695" s="662">
        <v>80.099999999999994</v>
      </c>
      <c r="B695" s="666">
        <f t="shared" si="64"/>
        <v>0</v>
      </c>
      <c r="C695" s="663" t="s">
        <v>1751</v>
      </c>
      <c r="D695" s="667">
        <f>D1040</f>
        <v>1242.21</v>
      </c>
      <c r="E695" s="753" t="s">
        <v>522</v>
      </c>
      <c r="F695" s="663">
        <f t="shared" si="69"/>
        <v>0</v>
      </c>
      <c r="G695" s="699"/>
      <c r="H695" s="667">
        <f t="shared" si="70"/>
        <v>0</v>
      </c>
      <c r="I695" s="667"/>
      <c r="J695" s="667">
        <f t="shared" si="71"/>
        <v>0</v>
      </c>
      <c r="K695" s="667"/>
      <c r="L695" s="667"/>
      <c r="M695" s="667" t="e">
        <f>G695+#REF!+#REF!+#REF!+I695+#REF!+#REF!+#REF!+#REF!+#REF!+#REF!+K695+#REF!+#REF!+#REF!</f>
        <v>#REF!</v>
      </c>
      <c r="N695" s="667" t="e">
        <f t="shared" si="65"/>
        <v>#REF!</v>
      </c>
      <c r="O695" s="665" t="e">
        <f>#REF!+M695</f>
        <v>#REF!</v>
      </c>
      <c r="P695" s="666" t="e">
        <f t="shared" si="66"/>
        <v>#REF!</v>
      </c>
      <c r="Q695" s="672"/>
      <c r="R695" s="668"/>
    </row>
    <row r="696" spans="1:20" s="677" customFormat="1" ht="39.75" hidden="1" customHeight="1">
      <c r="A696" s="662"/>
      <c r="B696" s="666">
        <f t="shared" si="64"/>
        <v>0</v>
      </c>
      <c r="C696" s="663" t="s">
        <v>1752</v>
      </c>
      <c r="D696" s="675">
        <f>[14]Elec.Data!K3419</f>
        <v>776.68</v>
      </c>
      <c r="E696" s="755" t="s">
        <v>522</v>
      </c>
      <c r="F696" s="663">
        <f t="shared" si="69"/>
        <v>0</v>
      </c>
      <c r="G696" s="684"/>
      <c r="H696" s="667">
        <f t="shared" si="70"/>
        <v>0</v>
      </c>
      <c r="I696" s="675"/>
      <c r="J696" s="667">
        <f t="shared" si="71"/>
        <v>0</v>
      </c>
      <c r="K696" s="667"/>
      <c r="L696" s="667"/>
      <c r="M696" s="667" t="e">
        <f>G696+#REF!+#REF!+#REF!+I696+#REF!+#REF!+#REF!+#REF!+#REF!+#REF!+K696+#REF!+#REF!+#REF!</f>
        <v>#REF!</v>
      </c>
      <c r="N696" s="667" t="e">
        <f t="shared" si="65"/>
        <v>#REF!</v>
      </c>
      <c r="O696" s="665" t="e">
        <f>#REF!+M696</f>
        <v>#REF!</v>
      </c>
      <c r="P696" s="666" t="e">
        <f t="shared" si="66"/>
        <v>#REF!</v>
      </c>
      <c r="Q696" s="672"/>
      <c r="R696" s="668"/>
      <c r="S696" s="676"/>
      <c r="T696" s="676"/>
    </row>
    <row r="697" spans="1:20" s="677" customFormat="1" ht="39.75" hidden="1" customHeight="1">
      <c r="A697" s="662"/>
      <c r="B697" s="666">
        <f t="shared" si="64"/>
        <v>0</v>
      </c>
      <c r="C697" s="663" t="s">
        <v>1753</v>
      </c>
      <c r="D697" s="675">
        <f>[14]Elec.Data!K3400</f>
        <v>508.26</v>
      </c>
      <c r="E697" s="755" t="s">
        <v>522</v>
      </c>
      <c r="F697" s="663">
        <f t="shared" si="69"/>
        <v>0</v>
      </c>
      <c r="G697" s="684"/>
      <c r="H697" s="667">
        <f t="shared" si="70"/>
        <v>0</v>
      </c>
      <c r="I697" s="675"/>
      <c r="J697" s="667">
        <f t="shared" si="71"/>
        <v>0</v>
      </c>
      <c r="K697" s="667"/>
      <c r="L697" s="667"/>
      <c r="M697" s="667" t="e">
        <f>G697+#REF!+#REF!+#REF!+I697+#REF!+#REF!+#REF!+#REF!+#REF!+#REF!+K697+#REF!+#REF!+#REF!</f>
        <v>#REF!</v>
      </c>
      <c r="N697" s="667" t="e">
        <f t="shared" si="65"/>
        <v>#REF!</v>
      </c>
      <c r="O697" s="665" t="e">
        <f>#REF!+M697</f>
        <v>#REF!</v>
      </c>
      <c r="P697" s="666" t="e">
        <f t="shared" si="66"/>
        <v>#REF!</v>
      </c>
      <c r="Q697" s="672"/>
      <c r="R697" s="668"/>
      <c r="S697" s="676"/>
      <c r="T697" s="676"/>
    </row>
    <row r="698" spans="1:20" ht="45.75" hidden="1" customHeight="1">
      <c r="A698" s="662">
        <v>87.1</v>
      </c>
      <c r="B698" s="666">
        <f t="shared" si="64"/>
        <v>0</v>
      </c>
      <c r="C698" s="663" t="str">
        <f>C1074</f>
        <v>Supplying and delivery of Three phase ELCB/RCCB</v>
      </c>
      <c r="D698" s="667">
        <f>[14]Elec.Data!K3468</f>
        <v>2972.1</v>
      </c>
      <c r="E698" s="753" t="s">
        <v>522</v>
      </c>
      <c r="F698" s="663">
        <f t="shared" si="69"/>
        <v>0</v>
      </c>
      <c r="G698" s="699"/>
      <c r="H698" s="667">
        <f t="shared" si="70"/>
        <v>0</v>
      </c>
      <c r="I698" s="667"/>
      <c r="J698" s="667">
        <f t="shared" si="71"/>
        <v>0</v>
      </c>
      <c r="K698" s="667"/>
      <c r="L698" s="667"/>
      <c r="M698" s="667" t="e">
        <f>G698+#REF!+#REF!+#REF!+I698+#REF!+#REF!+#REF!+#REF!+#REF!+#REF!+K698+#REF!+#REF!+#REF!</f>
        <v>#REF!</v>
      </c>
      <c r="N698" s="667" t="e">
        <f t="shared" si="65"/>
        <v>#REF!</v>
      </c>
      <c r="O698" s="665" t="e">
        <f>#REF!+M698</f>
        <v>#REF!</v>
      </c>
      <c r="P698" s="666" t="e">
        <f t="shared" si="66"/>
        <v>#REF!</v>
      </c>
      <c r="Q698" s="672"/>
      <c r="R698" s="668"/>
    </row>
    <row r="699" spans="1:20" s="677" customFormat="1" ht="46.5" hidden="1" customHeight="1">
      <c r="A699" s="662"/>
      <c r="B699" s="666">
        <f t="shared" si="64"/>
        <v>0</v>
      </c>
      <c r="C699" s="663" t="s">
        <v>1754</v>
      </c>
      <c r="D699" s="675">
        <f>D1077</f>
        <v>165</v>
      </c>
      <c r="E699" s="755" t="s">
        <v>61</v>
      </c>
      <c r="F699" s="663">
        <f t="shared" si="69"/>
        <v>0</v>
      </c>
      <c r="G699" s="684"/>
      <c r="H699" s="667">
        <f t="shared" si="70"/>
        <v>0</v>
      </c>
      <c r="I699" s="675"/>
      <c r="J699" s="667">
        <f t="shared" si="71"/>
        <v>0</v>
      </c>
      <c r="K699" s="667"/>
      <c r="L699" s="667"/>
      <c r="M699" s="667" t="e">
        <f>G699+#REF!+#REF!+#REF!+I699+#REF!+#REF!+#REF!+#REF!+#REF!+#REF!+K699+#REF!+#REF!+#REF!</f>
        <v>#REF!</v>
      </c>
      <c r="N699" s="667" t="e">
        <f t="shared" si="65"/>
        <v>#REF!</v>
      </c>
      <c r="O699" s="665" t="e">
        <f>#REF!+M699</f>
        <v>#REF!</v>
      </c>
      <c r="P699" s="666" t="e">
        <f t="shared" si="66"/>
        <v>#REF!</v>
      </c>
      <c r="Q699" s="672"/>
      <c r="R699" s="668"/>
      <c r="S699" s="676"/>
      <c r="T699" s="676"/>
    </row>
    <row r="700" spans="1:20" ht="62.25" hidden="1" customHeight="1">
      <c r="A700" s="662"/>
      <c r="B700" s="666">
        <f t="shared" si="64"/>
        <v>0</v>
      </c>
      <c r="C700" s="663" t="s">
        <v>1755</v>
      </c>
      <c r="D700" s="667">
        <f>[14]Data!R1326</f>
        <v>206.91</v>
      </c>
      <c r="E700" s="753" t="s">
        <v>37</v>
      </c>
      <c r="F700" s="663">
        <f t="shared" si="69"/>
        <v>0</v>
      </c>
      <c r="G700" s="690"/>
      <c r="H700" s="667">
        <f t="shared" si="70"/>
        <v>0</v>
      </c>
      <c r="I700" s="667"/>
      <c r="J700" s="667">
        <f t="shared" si="71"/>
        <v>0</v>
      </c>
      <c r="K700" s="667"/>
      <c r="L700" s="667"/>
      <c r="M700" s="667" t="e">
        <f>G700+#REF!+#REF!+#REF!+I700+#REF!+#REF!+#REF!+#REF!+#REF!+#REF!+K700+#REF!+#REF!+#REF!</f>
        <v>#REF!</v>
      </c>
      <c r="N700" s="667" t="e">
        <f t="shared" si="65"/>
        <v>#REF!</v>
      </c>
      <c r="O700" s="665" t="e">
        <f>#REF!+M700</f>
        <v>#REF!</v>
      </c>
      <c r="P700" s="666" t="e">
        <f t="shared" si="66"/>
        <v>#REF!</v>
      </c>
      <c r="Q700" s="672"/>
      <c r="R700" s="668"/>
    </row>
    <row r="701" spans="1:20" ht="59.25" hidden="1" customHeight="1">
      <c r="A701" s="662" t="s">
        <v>1172</v>
      </c>
      <c r="B701" s="666">
        <f t="shared" si="64"/>
        <v>0</v>
      </c>
      <c r="C701" s="663" t="s">
        <v>1756</v>
      </c>
      <c r="D701" s="667">
        <f>[14]Data!K3348</f>
        <v>109.44</v>
      </c>
      <c r="E701" s="753" t="s">
        <v>37</v>
      </c>
      <c r="F701" s="663">
        <f t="shared" si="69"/>
        <v>0</v>
      </c>
      <c r="G701" s="690"/>
      <c r="H701" s="667">
        <f t="shared" si="70"/>
        <v>0</v>
      </c>
      <c r="I701" s="667"/>
      <c r="J701" s="667">
        <f t="shared" si="71"/>
        <v>0</v>
      </c>
      <c r="K701" s="667"/>
      <c r="L701" s="667"/>
      <c r="M701" s="667" t="e">
        <f>G701+#REF!+#REF!+#REF!+I701+#REF!+#REF!+#REF!+#REF!+#REF!+#REF!+K701+#REF!+#REF!+#REF!</f>
        <v>#REF!</v>
      </c>
      <c r="N701" s="667" t="e">
        <f t="shared" si="65"/>
        <v>#REF!</v>
      </c>
      <c r="O701" s="665" t="e">
        <f>#REF!+M701</f>
        <v>#REF!</v>
      </c>
      <c r="P701" s="666" t="e">
        <f t="shared" si="66"/>
        <v>#REF!</v>
      </c>
      <c r="Q701" s="672"/>
      <c r="R701" s="668"/>
    </row>
    <row r="702" spans="1:20" s="677" customFormat="1" ht="81" hidden="1" customHeight="1">
      <c r="A702" s="662"/>
      <c r="B702" s="666">
        <f t="shared" si="64"/>
        <v>0</v>
      </c>
      <c r="C702" s="663" t="str">
        <f>C1075</f>
        <v>2 x 4 Sqmm Copper PVC insulated unsheathed single core 1 KV grade cable for EB service single phase.</v>
      </c>
      <c r="D702" s="675">
        <f>D1075</f>
        <v>142.97999999999999</v>
      </c>
      <c r="E702" s="755" t="s">
        <v>61</v>
      </c>
      <c r="F702" s="663">
        <f t="shared" si="69"/>
        <v>0</v>
      </c>
      <c r="G702" s="684"/>
      <c r="H702" s="667">
        <f t="shared" si="70"/>
        <v>0</v>
      </c>
      <c r="I702" s="675"/>
      <c r="J702" s="667">
        <f t="shared" si="71"/>
        <v>0</v>
      </c>
      <c r="K702" s="667"/>
      <c r="L702" s="667"/>
      <c r="M702" s="667" t="e">
        <f>G702+#REF!+#REF!+#REF!+I702+#REF!+#REF!+#REF!+#REF!+#REF!+#REF!+K702+#REF!+#REF!+#REF!</f>
        <v>#REF!</v>
      </c>
      <c r="N702" s="667" t="e">
        <f t="shared" si="65"/>
        <v>#REF!</v>
      </c>
      <c r="O702" s="665" t="e">
        <f>#REF!+M702</f>
        <v>#REF!</v>
      </c>
      <c r="P702" s="666" t="e">
        <f t="shared" si="66"/>
        <v>#REF!</v>
      </c>
      <c r="Q702" s="672"/>
      <c r="R702" s="668"/>
      <c r="S702" s="676"/>
      <c r="T702" s="676"/>
    </row>
    <row r="703" spans="1:20" s="677" customFormat="1" ht="42.75" hidden="1" customHeight="1">
      <c r="A703" s="662"/>
      <c r="B703" s="666">
        <f t="shared" si="64"/>
        <v>0</v>
      </c>
      <c r="C703" s="663" t="str">
        <f>C1041</f>
        <v>40 mm dia GI pipe "B"class</v>
      </c>
      <c r="D703" s="660">
        <f>D1041</f>
        <v>165</v>
      </c>
      <c r="E703" s="755" t="s">
        <v>61</v>
      </c>
      <c r="F703" s="663">
        <f t="shared" si="69"/>
        <v>0</v>
      </c>
      <c r="G703" s="675"/>
      <c r="H703" s="667">
        <f t="shared" si="70"/>
        <v>0</v>
      </c>
      <c r="I703" s="675"/>
      <c r="J703" s="667">
        <f t="shared" si="71"/>
        <v>0</v>
      </c>
      <c r="K703" s="667"/>
      <c r="L703" s="667"/>
      <c r="M703" s="667" t="e">
        <f>G703+#REF!+#REF!+#REF!+I703+#REF!+#REF!+#REF!+#REF!+#REF!+#REF!+K703+#REF!+#REF!+#REF!</f>
        <v>#REF!</v>
      </c>
      <c r="N703" s="667" t="e">
        <f t="shared" si="65"/>
        <v>#REF!</v>
      </c>
      <c r="O703" s="665" t="e">
        <f>#REF!+M703</f>
        <v>#REF!</v>
      </c>
      <c r="P703" s="666" t="e">
        <f t="shared" si="66"/>
        <v>#REF!</v>
      </c>
      <c r="Q703" s="672"/>
      <c r="R703" s="668"/>
      <c r="S703" s="676"/>
      <c r="T703" s="676"/>
    </row>
    <row r="704" spans="1:20" s="677" customFormat="1" ht="44.25" hidden="1" customHeight="1">
      <c r="A704" s="662"/>
      <c r="B704" s="666">
        <f t="shared" si="64"/>
        <v>0</v>
      </c>
      <c r="C704" s="663" t="s">
        <v>1757</v>
      </c>
      <c r="D704" s="675">
        <f>[14]Elec.Data!K3400</f>
        <v>508.26</v>
      </c>
      <c r="E704" s="674" t="s">
        <v>522</v>
      </c>
      <c r="F704" s="663">
        <f t="shared" si="69"/>
        <v>0</v>
      </c>
      <c r="G704" s="684"/>
      <c r="H704" s="667">
        <f t="shared" si="70"/>
        <v>0</v>
      </c>
      <c r="I704" s="675"/>
      <c r="J704" s="667">
        <f t="shared" si="71"/>
        <v>0</v>
      </c>
      <c r="K704" s="667"/>
      <c r="L704" s="667"/>
      <c r="M704" s="667" t="e">
        <f>G704+#REF!+#REF!+#REF!+I704+#REF!+#REF!+#REF!+#REF!+#REF!+#REF!+K704+#REF!+#REF!+#REF!</f>
        <v>#REF!</v>
      </c>
      <c r="N704" s="667" t="e">
        <f t="shared" si="65"/>
        <v>#REF!</v>
      </c>
      <c r="O704" s="665" t="e">
        <f>#REF!+M704</f>
        <v>#REF!</v>
      </c>
      <c r="P704" s="666" t="e">
        <f t="shared" si="66"/>
        <v>#REF!</v>
      </c>
      <c r="Q704" s="672"/>
      <c r="R704" s="668"/>
      <c r="S704" s="676"/>
      <c r="T704" s="676"/>
    </row>
    <row r="705" spans="1:20" s="677" customFormat="1" ht="44.25" hidden="1" customHeight="1">
      <c r="A705" s="662"/>
      <c r="B705" s="666">
        <f t="shared" si="64"/>
        <v>0</v>
      </c>
      <c r="C705" s="663" t="s">
        <v>1758</v>
      </c>
      <c r="D705" s="675">
        <f>[14]A.DATA!F602</f>
        <v>211</v>
      </c>
      <c r="E705" s="674" t="s">
        <v>61</v>
      </c>
      <c r="F705" s="663">
        <f t="shared" si="69"/>
        <v>0</v>
      </c>
      <c r="G705" s="684"/>
      <c r="H705" s="667"/>
      <c r="I705" s="675"/>
      <c r="J705" s="667"/>
      <c r="K705" s="667"/>
      <c r="L705" s="667"/>
      <c r="M705" s="667" t="e">
        <f>G705+#REF!+#REF!+#REF!+I705+#REF!+#REF!+#REF!+#REF!+#REF!+#REF!+K705+#REF!+#REF!+#REF!</f>
        <v>#REF!</v>
      </c>
      <c r="N705" s="667" t="e">
        <f t="shared" si="65"/>
        <v>#REF!</v>
      </c>
      <c r="O705" s="665" t="e">
        <f>#REF!+M705</f>
        <v>#REF!</v>
      </c>
      <c r="P705" s="666" t="e">
        <f t="shared" si="66"/>
        <v>#REF!</v>
      </c>
      <c r="Q705" s="672"/>
      <c r="R705" s="668"/>
      <c r="S705" s="676"/>
      <c r="T705" s="676"/>
    </row>
    <row r="706" spans="1:20" s="677" customFormat="1" ht="60" hidden="1" customHeight="1">
      <c r="A706" s="662"/>
      <c r="B706" s="666">
        <f t="shared" si="64"/>
        <v>0</v>
      </c>
      <c r="C706" s="663" t="s">
        <v>1759</v>
      </c>
      <c r="D706" s="675">
        <f>[14]Data!R204</f>
        <v>5568.94</v>
      </c>
      <c r="E706" s="674" t="s">
        <v>16</v>
      </c>
      <c r="F706" s="663">
        <f t="shared" si="69"/>
        <v>0</v>
      </c>
      <c r="G706" s="684"/>
      <c r="H706" s="667">
        <f t="shared" ref="H706:H737" si="72">G706*D706</f>
        <v>0</v>
      </c>
      <c r="I706" s="675"/>
      <c r="J706" s="667">
        <f t="shared" ref="J706:J737" si="73">I706*D706</f>
        <v>0</v>
      </c>
      <c r="K706" s="667"/>
      <c r="L706" s="667"/>
      <c r="M706" s="667" t="e">
        <f>G706+#REF!+#REF!+#REF!+I706+#REF!+#REF!+#REF!+#REF!+#REF!+#REF!+K706+#REF!+#REF!+#REF!</f>
        <v>#REF!</v>
      </c>
      <c r="N706" s="667" t="e">
        <f t="shared" si="65"/>
        <v>#REF!</v>
      </c>
      <c r="O706" s="665" t="e">
        <f>#REF!+M706</f>
        <v>#REF!</v>
      </c>
      <c r="P706" s="666" t="e">
        <f t="shared" si="66"/>
        <v>#REF!</v>
      </c>
      <c r="Q706" s="672"/>
      <c r="R706" s="668"/>
      <c r="S706" s="676"/>
      <c r="T706" s="676"/>
    </row>
    <row r="707" spans="1:20" ht="43.5" hidden="1" customHeight="1">
      <c r="A707" s="662">
        <v>448.2</v>
      </c>
      <c r="B707" s="666">
        <f t="shared" ref="B707:B770" si="74">G707</f>
        <v>0</v>
      </c>
      <c r="C707" s="663" t="s">
        <v>1141</v>
      </c>
      <c r="D707" s="667">
        <f>[14]Data!R3123</f>
        <v>122.25</v>
      </c>
      <c r="E707" s="753" t="s">
        <v>522</v>
      </c>
      <c r="F707" s="663">
        <f t="shared" si="69"/>
        <v>0</v>
      </c>
      <c r="G707" s="666"/>
      <c r="H707" s="667">
        <f t="shared" si="72"/>
        <v>0</v>
      </c>
      <c r="I707" s="667"/>
      <c r="J707" s="667">
        <f t="shared" si="73"/>
        <v>0</v>
      </c>
      <c r="K707" s="667"/>
      <c r="L707" s="667"/>
      <c r="M707" s="667" t="e">
        <f>G707+#REF!+#REF!+#REF!+I707+#REF!+#REF!+#REF!+#REF!+#REF!+#REF!+K707+#REF!+#REF!+#REF!</f>
        <v>#REF!</v>
      </c>
      <c r="N707" s="667" t="e">
        <f t="shared" si="65"/>
        <v>#REF!</v>
      </c>
      <c r="O707" s="665" t="e">
        <f>#REF!+M707</f>
        <v>#REF!</v>
      </c>
      <c r="P707" s="666" t="e">
        <f t="shared" si="66"/>
        <v>#REF!</v>
      </c>
      <c r="Q707" s="672"/>
      <c r="R707" s="668"/>
    </row>
    <row r="708" spans="1:20" s="677" customFormat="1" ht="25.5" hidden="1" customHeight="1">
      <c r="A708" s="662"/>
      <c r="B708" s="666">
        <f t="shared" si="74"/>
        <v>0</v>
      </c>
      <c r="C708" s="663" t="s">
        <v>1760</v>
      </c>
      <c r="D708" s="675">
        <f>D1025</f>
        <v>1493.95</v>
      </c>
      <c r="E708" s="742" t="s">
        <v>37</v>
      </c>
      <c r="F708" s="663">
        <f t="shared" si="69"/>
        <v>0</v>
      </c>
      <c r="G708" s="684"/>
      <c r="H708" s="667">
        <f t="shared" si="72"/>
        <v>0</v>
      </c>
      <c r="I708" s="675"/>
      <c r="J708" s="667">
        <f t="shared" si="73"/>
        <v>0</v>
      </c>
      <c r="K708" s="667"/>
      <c r="L708" s="667"/>
      <c r="M708" s="667" t="e">
        <f>G708+#REF!+#REF!+#REF!+I708+#REF!+#REF!+#REF!+#REF!+#REF!+#REF!+K708+#REF!+#REF!+#REF!</f>
        <v>#REF!</v>
      </c>
      <c r="N708" s="667" t="e">
        <f t="shared" si="65"/>
        <v>#REF!</v>
      </c>
      <c r="O708" s="665" t="e">
        <f>#REF!+M708</f>
        <v>#REF!</v>
      </c>
      <c r="P708" s="666" t="e">
        <f t="shared" si="66"/>
        <v>#REF!</v>
      </c>
      <c r="Q708" s="672"/>
      <c r="R708" s="668"/>
      <c r="S708" s="676"/>
      <c r="T708" s="676"/>
    </row>
    <row r="709" spans="1:20" ht="48.75" hidden="1" customHeight="1">
      <c r="A709" s="662"/>
      <c r="B709" s="666">
        <f t="shared" si="74"/>
        <v>0</v>
      </c>
      <c r="C709" s="663" t="s">
        <v>1761</v>
      </c>
      <c r="D709" s="667">
        <f>[14]Data!R2416</f>
        <v>1298.51</v>
      </c>
      <c r="E709" s="751" t="s">
        <v>37</v>
      </c>
      <c r="F709" s="663">
        <f t="shared" si="69"/>
        <v>0</v>
      </c>
      <c r="G709" s="666"/>
      <c r="H709" s="667">
        <f t="shared" si="72"/>
        <v>0</v>
      </c>
      <c r="I709" s="667"/>
      <c r="J709" s="667">
        <f t="shared" si="73"/>
        <v>0</v>
      </c>
      <c r="K709" s="667"/>
      <c r="L709" s="667"/>
      <c r="M709" s="667" t="e">
        <f>G709+#REF!+#REF!+#REF!+I709+#REF!+#REF!+#REF!+#REF!+#REF!+#REF!+K709+#REF!+#REF!+#REF!</f>
        <v>#REF!</v>
      </c>
      <c r="N709" s="667" t="e">
        <f t="shared" ref="N709:N772" si="75">M709*D709</f>
        <v>#REF!</v>
      </c>
      <c r="O709" s="665" t="e">
        <f>#REF!+M709</f>
        <v>#REF!</v>
      </c>
      <c r="P709" s="666" t="e">
        <f t="shared" ref="P709:P772" si="76">O709*D709</f>
        <v>#REF!</v>
      </c>
      <c r="Q709" s="672"/>
      <c r="R709" s="668"/>
    </row>
    <row r="710" spans="1:20" s="677" customFormat="1" ht="72" hidden="1" customHeight="1">
      <c r="A710" s="662"/>
      <c r="B710" s="666">
        <f t="shared" si="74"/>
        <v>0</v>
      </c>
      <c r="C710" s="663" t="s">
        <v>1762</v>
      </c>
      <c r="D710" s="675">
        <v>4500</v>
      </c>
      <c r="E710" s="742" t="s">
        <v>61</v>
      </c>
      <c r="F710" s="663">
        <f t="shared" si="69"/>
        <v>0</v>
      </c>
      <c r="G710" s="684"/>
      <c r="H710" s="667">
        <f t="shared" si="72"/>
        <v>0</v>
      </c>
      <c r="I710" s="675"/>
      <c r="J710" s="667">
        <f t="shared" si="73"/>
        <v>0</v>
      </c>
      <c r="K710" s="667"/>
      <c r="L710" s="667"/>
      <c r="M710" s="667" t="e">
        <f>G710+#REF!+#REF!+#REF!+I710+#REF!+#REF!+#REF!+#REF!+#REF!+#REF!+K710+#REF!+#REF!+#REF!</f>
        <v>#REF!</v>
      </c>
      <c r="N710" s="667" t="e">
        <f t="shared" si="75"/>
        <v>#REF!</v>
      </c>
      <c r="O710" s="665" t="e">
        <f>#REF!+M710</f>
        <v>#REF!</v>
      </c>
      <c r="P710" s="666" t="e">
        <f t="shared" si="76"/>
        <v>#REF!</v>
      </c>
      <c r="Q710" s="672"/>
      <c r="R710" s="668"/>
      <c r="S710" s="676"/>
      <c r="T710" s="676"/>
    </row>
    <row r="711" spans="1:20" ht="49.5" hidden="1" customHeight="1">
      <c r="A711" s="662"/>
      <c r="B711" s="666">
        <f t="shared" si="74"/>
        <v>0</v>
      </c>
      <c r="C711" s="663" t="s">
        <v>1763</v>
      </c>
      <c r="D711" s="667">
        <f>[14]Data!R1272</f>
        <v>1152.25</v>
      </c>
      <c r="E711" s="751" t="s">
        <v>37</v>
      </c>
      <c r="F711" s="663">
        <f t="shared" si="69"/>
        <v>0</v>
      </c>
      <c r="G711" s="666"/>
      <c r="H711" s="667">
        <f t="shared" si="72"/>
        <v>0</v>
      </c>
      <c r="I711" s="667"/>
      <c r="J711" s="667">
        <f t="shared" si="73"/>
        <v>0</v>
      </c>
      <c r="K711" s="667"/>
      <c r="L711" s="667"/>
      <c r="M711" s="667" t="e">
        <f>G711+#REF!+#REF!+#REF!+I711+#REF!+#REF!+#REF!+#REF!+#REF!+#REF!+K711+#REF!+#REF!+#REF!</f>
        <v>#REF!</v>
      </c>
      <c r="N711" s="667" t="e">
        <f t="shared" si="75"/>
        <v>#REF!</v>
      </c>
      <c r="O711" s="665" t="e">
        <f>#REF!+M711</f>
        <v>#REF!</v>
      </c>
      <c r="P711" s="666" t="e">
        <f t="shared" si="76"/>
        <v>#REF!</v>
      </c>
      <c r="Q711" s="672"/>
      <c r="R711" s="668"/>
    </row>
    <row r="712" spans="1:20" s="677" customFormat="1" ht="27.75" hidden="1" customHeight="1">
      <c r="A712" s="662"/>
      <c r="B712" s="666">
        <f t="shared" si="74"/>
        <v>0</v>
      </c>
      <c r="C712" s="663" t="s">
        <v>1764</v>
      </c>
      <c r="D712" s="675">
        <f>[14]Data!R1249</f>
        <v>1327.95</v>
      </c>
      <c r="E712" s="742" t="s">
        <v>37</v>
      </c>
      <c r="F712" s="663">
        <f t="shared" si="69"/>
        <v>0</v>
      </c>
      <c r="G712" s="684"/>
      <c r="H712" s="667">
        <f t="shared" si="72"/>
        <v>0</v>
      </c>
      <c r="I712" s="675"/>
      <c r="J712" s="667">
        <f t="shared" si="73"/>
        <v>0</v>
      </c>
      <c r="K712" s="667"/>
      <c r="L712" s="667"/>
      <c r="M712" s="667" t="e">
        <f>G712+#REF!+#REF!+#REF!+I712+#REF!+#REF!+#REF!+#REF!+#REF!+#REF!+K712+#REF!+#REF!+#REF!</f>
        <v>#REF!</v>
      </c>
      <c r="N712" s="667" t="e">
        <f t="shared" si="75"/>
        <v>#REF!</v>
      </c>
      <c r="O712" s="665" t="e">
        <f>#REF!+M712</f>
        <v>#REF!</v>
      </c>
      <c r="P712" s="666" t="e">
        <f t="shared" si="76"/>
        <v>#REF!</v>
      </c>
      <c r="Q712" s="672"/>
      <c r="R712" s="668"/>
      <c r="S712" s="676"/>
      <c r="T712" s="676"/>
    </row>
    <row r="713" spans="1:20" s="677" customFormat="1" ht="39" hidden="1" customHeight="1">
      <c r="A713" s="662" t="s">
        <v>1765</v>
      </c>
      <c r="B713" s="666">
        <f t="shared" si="74"/>
        <v>0</v>
      </c>
      <c r="C713" s="663" t="s">
        <v>1766</v>
      </c>
      <c r="D713" s="675">
        <f>[14]Data!R1230</f>
        <v>1357.13</v>
      </c>
      <c r="E713" s="742" t="s">
        <v>37</v>
      </c>
      <c r="F713" s="663">
        <f t="shared" si="69"/>
        <v>0</v>
      </c>
      <c r="G713" s="684"/>
      <c r="H713" s="667">
        <f t="shared" si="72"/>
        <v>0</v>
      </c>
      <c r="I713" s="675"/>
      <c r="J713" s="667">
        <f t="shared" si="73"/>
        <v>0</v>
      </c>
      <c r="K713" s="667"/>
      <c r="L713" s="667"/>
      <c r="M713" s="667" t="e">
        <f>G713+#REF!+#REF!+#REF!+I713+#REF!+#REF!+#REF!+#REF!+#REF!+#REF!+K713+#REF!+#REF!+#REF!</f>
        <v>#REF!</v>
      </c>
      <c r="N713" s="667" t="e">
        <f t="shared" si="75"/>
        <v>#REF!</v>
      </c>
      <c r="O713" s="665" t="e">
        <f>#REF!+M713</f>
        <v>#REF!</v>
      </c>
      <c r="P713" s="666" t="e">
        <f t="shared" si="76"/>
        <v>#REF!</v>
      </c>
      <c r="Q713" s="672"/>
      <c r="R713" s="668"/>
      <c r="S713" s="676"/>
      <c r="T713" s="676"/>
    </row>
    <row r="714" spans="1:20" s="677" customFormat="1" ht="66" hidden="1" customHeight="1">
      <c r="A714" s="662"/>
      <c r="B714" s="666">
        <f t="shared" si="74"/>
        <v>0</v>
      </c>
      <c r="C714" s="663" t="s">
        <v>1767</v>
      </c>
      <c r="D714" s="675">
        <f>[14]Data!R1230</f>
        <v>1357.13</v>
      </c>
      <c r="E714" s="742" t="s">
        <v>37</v>
      </c>
      <c r="F714" s="663">
        <f t="shared" si="69"/>
        <v>0</v>
      </c>
      <c r="G714" s="684"/>
      <c r="H714" s="667">
        <f t="shared" si="72"/>
        <v>0</v>
      </c>
      <c r="I714" s="675"/>
      <c r="J714" s="667">
        <f t="shared" si="73"/>
        <v>0</v>
      </c>
      <c r="K714" s="667"/>
      <c r="L714" s="667"/>
      <c r="M714" s="667" t="e">
        <f>G714+#REF!+#REF!+#REF!+I714+#REF!+#REF!+#REF!+#REF!+#REF!+#REF!+K714+#REF!+#REF!+#REF!</f>
        <v>#REF!</v>
      </c>
      <c r="N714" s="667" t="e">
        <f t="shared" si="75"/>
        <v>#REF!</v>
      </c>
      <c r="O714" s="665" t="e">
        <f>#REF!+M714</f>
        <v>#REF!</v>
      </c>
      <c r="P714" s="666" t="e">
        <f t="shared" si="76"/>
        <v>#REF!</v>
      </c>
      <c r="Q714" s="672"/>
      <c r="R714" s="668"/>
      <c r="S714" s="676"/>
      <c r="T714" s="676"/>
    </row>
    <row r="715" spans="1:20" s="677" customFormat="1" ht="46.5" hidden="1" customHeight="1">
      <c r="A715" s="662"/>
      <c r="B715" s="666">
        <f t="shared" si="74"/>
        <v>0</v>
      </c>
      <c r="C715" s="756" t="s">
        <v>1768</v>
      </c>
      <c r="D715" s="675"/>
      <c r="E715" s="742"/>
      <c r="F715" s="663">
        <f t="shared" si="69"/>
        <v>0</v>
      </c>
      <c r="G715" s="684"/>
      <c r="H715" s="667">
        <f t="shared" si="72"/>
        <v>0</v>
      </c>
      <c r="I715" s="675"/>
      <c r="J715" s="667">
        <f t="shared" si="73"/>
        <v>0</v>
      </c>
      <c r="K715" s="667"/>
      <c r="L715" s="667"/>
      <c r="M715" s="667" t="e">
        <f>G715+#REF!+#REF!+#REF!+I715+#REF!+#REF!+#REF!+#REF!+#REF!+#REF!+K715+#REF!+#REF!+#REF!</f>
        <v>#REF!</v>
      </c>
      <c r="N715" s="667" t="e">
        <f t="shared" si="75"/>
        <v>#REF!</v>
      </c>
      <c r="O715" s="665" t="e">
        <f>#REF!+M715</f>
        <v>#REF!</v>
      </c>
      <c r="P715" s="666" t="e">
        <f t="shared" si="76"/>
        <v>#REF!</v>
      </c>
      <c r="Q715" s="672"/>
      <c r="R715" s="668"/>
      <c r="S715" s="676"/>
      <c r="T715" s="676"/>
    </row>
    <row r="716" spans="1:20" s="677" customFormat="1" ht="25.5" hidden="1" customHeight="1">
      <c r="A716" s="662"/>
      <c r="B716" s="666">
        <f t="shared" si="74"/>
        <v>0</v>
      </c>
      <c r="C716" s="738" t="s">
        <v>1769</v>
      </c>
      <c r="D716" s="675">
        <f>[14]Data!X3711</f>
        <v>3584</v>
      </c>
      <c r="E716" s="742"/>
      <c r="F716" s="663">
        <f t="shared" si="69"/>
        <v>0</v>
      </c>
      <c r="G716" s="684"/>
      <c r="H716" s="667">
        <f t="shared" si="72"/>
        <v>0</v>
      </c>
      <c r="I716" s="675"/>
      <c r="J716" s="667">
        <f t="shared" si="73"/>
        <v>0</v>
      </c>
      <c r="K716" s="667"/>
      <c r="L716" s="667"/>
      <c r="M716" s="667" t="e">
        <f>G716+#REF!+#REF!+#REF!+I716+#REF!+#REF!+#REF!+#REF!+#REF!+#REF!+K716+#REF!+#REF!+#REF!</f>
        <v>#REF!</v>
      </c>
      <c r="N716" s="667" t="e">
        <f t="shared" si="75"/>
        <v>#REF!</v>
      </c>
      <c r="O716" s="665" t="e">
        <f>#REF!+M716</f>
        <v>#REF!</v>
      </c>
      <c r="P716" s="666" t="e">
        <f t="shared" si="76"/>
        <v>#REF!</v>
      </c>
      <c r="Q716" s="672"/>
      <c r="R716" s="668"/>
      <c r="S716" s="676"/>
      <c r="T716" s="676"/>
    </row>
    <row r="717" spans="1:20" s="677" customFormat="1" ht="25.5" hidden="1" customHeight="1">
      <c r="A717" s="662"/>
      <c r="B717" s="666">
        <f t="shared" si="74"/>
        <v>0</v>
      </c>
      <c r="C717" s="738" t="s">
        <v>1770</v>
      </c>
      <c r="D717" s="675">
        <f>[14]Data!X3725</f>
        <v>3873</v>
      </c>
      <c r="E717" s="742"/>
      <c r="F717" s="663">
        <f t="shared" si="69"/>
        <v>0</v>
      </c>
      <c r="G717" s="684"/>
      <c r="H717" s="667">
        <f t="shared" si="72"/>
        <v>0</v>
      </c>
      <c r="I717" s="675"/>
      <c r="J717" s="667">
        <f t="shared" si="73"/>
        <v>0</v>
      </c>
      <c r="K717" s="667"/>
      <c r="L717" s="667"/>
      <c r="M717" s="667" t="e">
        <f>G717+#REF!+#REF!+#REF!+I717+#REF!+#REF!+#REF!+#REF!+#REF!+#REF!+K717+#REF!+#REF!+#REF!</f>
        <v>#REF!</v>
      </c>
      <c r="N717" s="667" t="e">
        <f t="shared" si="75"/>
        <v>#REF!</v>
      </c>
      <c r="O717" s="665" t="e">
        <f>#REF!+M717</f>
        <v>#REF!</v>
      </c>
      <c r="P717" s="666" t="e">
        <f t="shared" si="76"/>
        <v>#REF!</v>
      </c>
      <c r="Q717" s="672"/>
      <c r="R717" s="668"/>
      <c r="S717" s="676"/>
      <c r="T717" s="676"/>
    </row>
    <row r="718" spans="1:20" s="677" customFormat="1" ht="25.5" hidden="1" customHeight="1">
      <c r="A718" s="662"/>
      <c r="B718" s="666">
        <f t="shared" si="74"/>
        <v>0</v>
      </c>
      <c r="C718" s="738" t="s">
        <v>1771</v>
      </c>
      <c r="D718" s="675"/>
      <c r="E718" s="742" t="s">
        <v>37</v>
      </c>
      <c r="F718" s="663">
        <f t="shared" si="69"/>
        <v>0</v>
      </c>
      <c r="G718" s="684"/>
      <c r="H718" s="667">
        <f t="shared" si="72"/>
        <v>0</v>
      </c>
      <c r="I718" s="675"/>
      <c r="J718" s="667">
        <f t="shared" si="73"/>
        <v>0</v>
      </c>
      <c r="K718" s="667"/>
      <c r="L718" s="667"/>
      <c r="M718" s="667" t="e">
        <f>G718+#REF!+#REF!+#REF!+I718+#REF!+#REF!+#REF!+#REF!+#REF!+#REF!+K718+#REF!+#REF!+#REF!</f>
        <v>#REF!</v>
      </c>
      <c r="N718" s="667" t="e">
        <f t="shared" si="75"/>
        <v>#REF!</v>
      </c>
      <c r="O718" s="665" t="e">
        <f>#REF!+M718</f>
        <v>#REF!</v>
      </c>
      <c r="P718" s="666" t="e">
        <f t="shared" si="76"/>
        <v>#REF!</v>
      </c>
      <c r="Q718" s="672"/>
      <c r="R718" s="668"/>
      <c r="S718" s="676"/>
      <c r="T718" s="676"/>
    </row>
    <row r="719" spans="1:20" s="677" customFormat="1" ht="25.5" hidden="1" customHeight="1">
      <c r="A719" s="662"/>
      <c r="B719" s="666">
        <f t="shared" si="74"/>
        <v>0</v>
      </c>
      <c r="C719" s="738" t="s">
        <v>1772</v>
      </c>
      <c r="D719" s="675"/>
      <c r="E719" s="742" t="s">
        <v>37</v>
      </c>
      <c r="F719" s="663">
        <f t="shared" si="69"/>
        <v>0</v>
      </c>
      <c r="G719" s="684"/>
      <c r="H719" s="667">
        <f t="shared" si="72"/>
        <v>0</v>
      </c>
      <c r="I719" s="675"/>
      <c r="J719" s="667">
        <f t="shared" si="73"/>
        <v>0</v>
      </c>
      <c r="K719" s="667"/>
      <c r="L719" s="667"/>
      <c r="M719" s="667" t="e">
        <f>G719+#REF!+#REF!+#REF!+I719+#REF!+#REF!+#REF!+#REF!+#REF!+#REF!+K719+#REF!+#REF!+#REF!</f>
        <v>#REF!</v>
      </c>
      <c r="N719" s="667" t="e">
        <f t="shared" si="75"/>
        <v>#REF!</v>
      </c>
      <c r="O719" s="665" t="e">
        <f>#REF!+M719</f>
        <v>#REF!</v>
      </c>
      <c r="P719" s="666" t="e">
        <f t="shared" si="76"/>
        <v>#REF!</v>
      </c>
      <c r="Q719" s="672"/>
      <c r="R719" s="668"/>
      <c r="S719" s="676"/>
      <c r="T719" s="676"/>
    </row>
    <row r="720" spans="1:20" s="677" customFormat="1" ht="46.5" hidden="1" customHeight="1">
      <c r="A720" s="662"/>
      <c r="B720" s="666">
        <f t="shared" si="74"/>
        <v>0</v>
      </c>
      <c r="C720" s="738" t="s">
        <v>1773</v>
      </c>
      <c r="D720" s="739">
        <f>[14]Data!X1293</f>
        <v>1269.1600000000001</v>
      </c>
      <c r="E720" s="741" t="s">
        <v>264</v>
      </c>
      <c r="F720" s="663">
        <f t="shared" si="69"/>
        <v>0</v>
      </c>
      <c r="G720" s="684"/>
      <c r="H720" s="667">
        <f t="shared" si="72"/>
        <v>0</v>
      </c>
      <c r="I720" s="675"/>
      <c r="J720" s="667">
        <f t="shared" si="73"/>
        <v>0</v>
      </c>
      <c r="K720" s="667"/>
      <c r="L720" s="667"/>
      <c r="M720" s="667" t="e">
        <f>G720+#REF!+#REF!+#REF!+I720+#REF!+#REF!+#REF!+#REF!+#REF!+#REF!+K720+#REF!+#REF!+#REF!</f>
        <v>#REF!</v>
      </c>
      <c r="N720" s="667" t="e">
        <f t="shared" si="75"/>
        <v>#REF!</v>
      </c>
      <c r="O720" s="665" t="e">
        <f>#REF!+M720</f>
        <v>#REF!</v>
      </c>
      <c r="P720" s="666" t="e">
        <f t="shared" si="76"/>
        <v>#REF!</v>
      </c>
      <c r="Q720" s="672"/>
      <c r="R720" s="668"/>
      <c r="S720" s="676"/>
      <c r="T720" s="676"/>
    </row>
    <row r="721" spans="1:20" s="677" customFormat="1" ht="46.5" hidden="1" customHeight="1">
      <c r="A721" s="662"/>
      <c r="B721" s="666">
        <f t="shared" si="74"/>
        <v>0</v>
      </c>
      <c r="C721" s="738" t="s">
        <v>1774</v>
      </c>
      <c r="D721" s="739">
        <f>[14]Data!K1292</f>
        <v>2810.78</v>
      </c>
      <c r="E721" s="741" t="s">
        <v>264</v>
      </c>
      <c r="F721" s="663">
        <f t="shared" ref="F721:F784" si="77">B721*D721</f>
        <v>0</v>
      </c>
      <c r="G721" s="684"/>
      <c r="H721" s="667">
        <f t="shared" si="72"/>
        <v>0</v>
      </c>
      <c r="I721" s="675"/>
      <c r="J721" s="667">
        <f t="shared" si="73"/>
        <v>0</v>
      </c>
      <c r="K721" s="667"/>
      <c r="L721" s="667"/>
      <c r="M721" s="667" t="e">
        <f>G721+#REF!+#REF!+#REF!+I721+#REF!+#REF!+#REF!+#REF!+#REF!+#REF!+K721+#REF!+#REF!+#REF!</f>
        <v>#REF!</v>
      </c>
      <c r="N721" s="667" t="e">
        <f t="shared" si="75"/>
        <v>#REF!</v>
      </c>
      <c r="O721" s="665" t="e">
        <f>#REF!+M721</f>
        <v>#REF!</v>
      </c>
      <c r="P721" s="666" t="e">
        <f t="shared" si="76"/>
        <v>#REF!</v>
      </c>
      <c r="Q721" s="672"/>
      <c r="R721" s="668"/>
      <c r="S721" s="676"/>
      <c r="T721" s="676"/>
    </row>
    <row r="722" spans="1:20" s="677" customFormat="1" ht="46.5" hidden="1" customHeight="1">
      <c r="A722" s="662"/>
      <c r="B722" s="666">
        <f t="shared" si="74"/>
        <v>0</v>
      </c>
      <c r="C722" s="663" t="s">
        <v>1775</v>
      </c>
      <c r="D722" s="739">
        <v>3034.4</v>
      </c>
      <c r="E722" s="674" t="s">
        <v>37</v>
      </c>
      <c r="F722" s="663">
        <f t="shared" si="77"/>
        <v>0</v>
      </c>
      <c r="G722" s="684"/>
      <c r="H722" s="667">
        <f t="shared" si="72"/>
        <v>0</v>
      </c>
      <c r="I722" s="675"/>
      <c r="J722" s="667">
        <f t="shared" si="73"/>
        <v>0</v>
      </c>
      <c r="K722" s="667"/>
      <c r="L722" s="667"/>
      <c r="M722" s="667" t="e">
        <f>G722+#REF!+#REF!+#REF!+I722+#REF!+#REF!+#REF!+#REF!+#REF!+#REF!+K722+#REF!+#REF!+#REF!</f>
        <v>#REF!</v>
      </c>
      <c r="N722" s="667" t="e">
        <f t="shared" si="75"/>
        <v>#REF!</v>
      </c>
      <c r="O722" s="665" t="e">
        <f>#REF!+M722</f>
        <v>#REF!</v>
      </c>
      <c r="P722" s="666" t="e">
        <f t="shared" si="76"/>
        <v>#REF!</v>
      </c>
      <c r="Q722" s="672"/>
      <c r="R722" s="668"/>
      <c r="S722" s="676"/>
      <c r="T722" s="676"/>
    </row>
    <row r="723" spans="1:20" s="677" customFormat="1" ht="46.5" hidden="1" customHeight="1">
      <c r="A723" s="662">
        <f>11.6-7.25</f>
        <v>4.3499999999999996</v>
      </c>
      <c r="B723" s="666">
        <f t="shared" si="74"/>
        <v>0</v>
      </c>
      <c r="C723" s="663" t="s">
        <v>1776</v>
      </c>
      <c r="D723" s="739">
        <v>915.02</v>
      </c>
      <c r="E723" s="674" t="s">
        <v>37</v>
      </c>
      <c r="F723" s="663">
        <f t="shared" si="77"/>
        <v>0</v>
      </c>
      <c r="G723" s="684"/>
      <c r="H723" s="667">
        <f t="shared" si="72"/>
        <v>0</v>
      </c>
      <c r="I723" s="675"/>
      <c r="J723" s="667">
        <f t="shared" si="73"/>
        <v>0</v>
      </c>
      <c r="K723" s="667"/>
      <c r="L723" s="667"/>
      <c r="M723" s="667" t="e">
        <f>G723+#REF!+#REF!+#REF!+I723+#REF!+#REF!+#REF!+#REF!+#REF!+#REF!+K723+#REF!+#REF!+#REF!</f>
        <v>#REF!</v>
      </c>
      <c r="N723" s="667" t="e">
        <f t="shared" si="75"/>
        <v>#REF!</v>
      </c>
      <c r="O723" s="665" t="e">
        <f>#REF!+M723</f>
        <v>#REF!</v>
      </c>
      <c r="P723" s="666" t="e">
        <f t="shared" si="76"/>
        <v>#REF!</v>
      </c>
      <c r="Q723" s="672"/>
      <c r="R723" s="668"/>
      <c r="S723" s="676"/>
      <c r="T723" s="676"/>
    </row>
    <row r="724" spans="1:20" s="677" customFormat="1" ht="69.75" hidden="1" customHeight="1">
      <c r="A724" s="662"/>
      <c r="B724" s="666">
        <f t="shared" si="74"/>
        <v>0</v>
      </c>
      <c r="C724" s="663" t="s">
        <v>1777</v>
      </c>
      <c r="D724" s="739">
        <v>990</v>
      </c>
      <c r="E724" s="674" t="s">
        <v>37</v>
      </c>
      <c r="F724" s="663">
        <f t="shared" si="77"/>
        <v>0</v>
      </c>
      <c r="G724" s="684"/>
      <c r="H724" s="667">
        <f t="shared" si="72"/>
        <v>0</v>
      </c>
      <c r="I724" s="675"/>
      <c r="J724" s="667">
        <f t="shared" si="73"/>
        <v>0</v>
      </c>
      <c r="K724" s="667"/>
      <c r="L724" s="667"/>
      <c r="M724" s="667" t="e">
        <f>G724+#REF!+#REF!+#REF!+I724+#REF!+#REF!+#REF!+#REF!+#REF!+#REF!+K724+#REF!+#REF!+#REF!</f>
        <v>#REF!</v>
      </c>
      <c r="N724" s="667" t="e">
        <f t="shared" si="75"/>
        <v>#REF!</v>
      </c>
      <c r="O724" s="665" t="e">
        <f>#REF!+M724</f>
        <v>#REF!</v>
      </c>
      <c r="P724" s="666" t="e">
        <f t="shared" si="76"/>
        <v>#REF!</v>
      </c>
      <c r="Q724" s="672"/>
      <c r="R724" s="668"/>
      <c r="S724" s="676"/>
      <c r="T724" s="676"/>
    </row>
    <row r="725" spans="1:20" s="677" customFormat="1" ht="25.5" hidden="1" customHeight="1">
      <c r="A725" s="662"/>
      <c r="B725" s="666">
        <f t="shared" si="74"/>
        <v>0</v>
      </c>
      <c r="C725" s="663" t="s">
        <v>1778</v>
      </c>
      <c r="D725" s="739">
        <v>905</v>
      </c>
      <c r="E725" s="674" t="s">
        <v>61</v>
      </c>
      <c r="F725" s="663">
        <f t="shared" si="77"/>
        <v>0</v>
      </c>
      <c r="G725" s="684"/>
      <c r="H725" s="667">
        <f t="shared" si="72"/>
        <v>0</v>
      </c>
      <c r="I725" s="675"/>
      <c r="J725" s="667">
        <f t="shared" si="73"/>
        <v>0</v>
      </c>
      <c r="K725" s="667"/>
      <c r="L725" s="667"/>
      <c r="M725" s="667" t="e">
        <f>G725+#REF!+#REF!+#REF!+I725+#REF!+#REF!+#REF!+#REF!+#REF!+#REF!+K725+#REF!+#REF!+#REF!</f>
        <v>#REF!</v>
      </c>
      <c r="N725" s="667" t="e">
        <f t="shared" si="75"/>
        <v>#REF!</v>
      </c>
      <c r="O725" s="665" t="e">
        <f>#REF!+M725</f>
        <v>#REF!</v>
      </c>
      <c r="P725" s="666" t="e">
        <f t="shared" si="76"/>
        <v>#REF!</v>
      </c>
      <c r="Q725" s="672"/>
      <c r="R725" s="668"/>
      <c r="S725" s="676"/>
      <c r="T725" s="676"/>
    </row>
    <row r="726" spans="1:20" s="677" customFormat="1" ht="25.5" hidden="1" customHeight="1">
      <c r="A726" s="662"/>
      <c r="B726" s="666">
        <f t="shared" si="74"/>
        <v>0</v>
      </c>
      <c r="C726" s="663" t="s">
        <v>1779</v>
      </c>
      <c r="D726" s="739">
        <v>8467.2999999999993</v>
      </c>
      <c r="E726" s="674" t="s">
        <v>522</v>
      </c>
      <c r="F726" s="663">
        <f t="shared" si="77"/>
        <v>0</v>
      </c>
      <c r="G726" s="684"/>
      <c r="H726" s="667">
        <f t="shared" si="72"/>
        <v>0</v>
      </c>
      <c r="I726" s="675"/>
      <c r="J726" s="667">
        <f t="shared" si="73"/>
        <v>0</v>
      </c>
      <c r="K726" s="667"/>
      <c r="L726" s="667"/>
      <c r="M726" s="667" t="e">
        <f>G726+#REF!+#REF!+#REF!+I726+#REF!+#REF!+#REF!+#REF!+#REF!+#REF!+K726+#REF!+#REF!+#REF!</f>
        <v>#REF!</v>
      </c>
      <c r="N726" s="667" t="e">
        <f t="shared" si="75"/>
        <v>#REF!</v>
      </c>
      <c r="O726" s="665" t="e">
        <f>#REF!+M726</f>
        <v>#REF!</v>
      </c>
      <c r="P726" s="666" t="e">
        <f t="shared" si="76"/>
        <v>#REF!</v>
      </c>
      <c r="Q726" s="672"/>
      <c r="R726" s="668"/>
      <c r="S726" s="676"/>
      <c r="T726" s="676"/>
    </row>
    <row r="727" spans="1:20" s="677" customFormat="1" ht="93" hidden="1" customHeight="1">
      <c r="A727" s="662"/>
      <c r="B727" s="666">
        <f t="shared" si="74"/>
        <v>0</v>
      </c>
      <c r="C727" s="663" t="s">
        <v>1780</v>
      </c>
      <c r="D727" s="739">
        <v>3409</v>
      </c>
      <c r="E727" s="674" t="s">
        <v>522</v>
      </c>
      <c r="F727" s="663">
        <f t="shared" si="77"/>
        <v>0</v>
      </c>
      <c r="G727" s="684"/>
      <c r="H727" s="667">
        <f t="shared" si="72"/>
        <v>0</v>
      </c>
      <c r="I727" s="675"/>
      <c r="J727" s="667">
        <f t="shared" si="73"/>
        <v>0</v>
      </c>
      <c r="K727" s="667"/>
      <c r="L727" s="667"/>
      <c r="M727" s="667" t="e">
        <f>G727+#REF!+#REF!+#REF!+I727+#REF!+#REF!+#REF!+#REF!+#REF!+#REF!+K727+#REF!+#REF!+#REF!</f>
        <v>#REF!</v>
      </c>
      <c r="N727" s="667" t="e">
        <f t="shared" si="75"/>
        <v>#REF!</v>
      </c>
      <c r="O727" s="665" t="e">
        <f>#REF!+M727</f>
        <v>#REF!</v>
      </c>
      <c r="P727" s="666" t="e">
        <f t="shared" si="76"/>
        <v>#REF!</v>
      </c>
      <c r="Q727" s="672"/>
      <c r="R727" s="668"/>
      <c r="S727" s="676"/>
      <c r="T727" s="676"/>
    </row>
    <row r="728" spans="1:20" s="677" customFormat="1" ht="93" hidden="1" customHeight="1">
      <c r="A728" s="662"/>
      <c r="B728" s="666">
        <f t="shared" si="74"/>
        <v>0</v>
      </c>
      <c r="C728" s="663" t="s">
        <v>1781</v>
      </c>
      <c r="D728" s="739">
        <v>469.42</v>
      </c>
      <c r="E728" s="674" t="s">
        <v>522</v>
      </c>
      <c r="F728" s="663">
        <f t="shared" si="77"/>
        <v>0</v>
      </c>
      <c r="G728" s="684"/>
      <c r="H728" s="667">
        <f t="shared" si="72"/>
        <v>0</v>
      </c>
      <c r="I728" s="675"/>
      <c r="J728" s="667">
        <f t="shared" si="73"/>
        <v>0</v>
      </c>
      <c r="K728" s="667"/>
      <c r="L728" s="667"/>
      <c r="M728" s="667" t="e">
        <f>G728+#REF!+#REF!+#REF!+I728+#REF!+#REF!+#REF!+#REF!+#REF!+#REF!+K728+#REF!+#REF!+#REF!</f>
        <v>#REF!</v>
      </c>
      <c r="N728" s="667" t="e">
        <f t="shared" si="75"/>
        <v>#REF!</v>
      </c>
      <c r="O728" s="665" t="e">
        <f>#REF!+M728</f>
        <v>#REF!</v>
      </c>
      <c r="P728" s="666" t="e">
        <f t="shared" si="76"/>
        <v>#REF!</v>
      </c>
      <c r="Q728" s="672"/>
      <c r="R728" s="668"/>
      <c r="S728" s="676"/>
      <c r="T728" s="676"/>
    </row>
    <row r="729" spans="1:20" s="677" customFormat="1" ht="25.5" hidden="1" customHeight="1">
      <c r="A729" s="662"/>
      <c r="B729" s="666">
        <f t="shared" si="74"/>
        <v>0</v>
      </c>
      <c r="C729" s="663" t="s">
        <v>1782</v>
      </c>
      <c r="D729" s="739"/>
      <c r="E729" s="674"/>
      <c r="F729" s="663">
        <f t="shared" si="77"/>
        <v>0</v>
      </c>
      <c r="G729" s="684"/>
      <c r="H729" s="667">
        <f t="shared" si="72"/>
        <v>0</v>
      </c>
      <c r="I729" s="675"/>
      <c r="J729" s="667">
        <f t="shared" si="73"/>
        <v>0</v>
      </c>
      <c r="K729" s="667"/>
      <c r="L729" s="667"/>
      <c r="M729" s="667" t="e">
        <f>G729+#REF!+#REF!+#REF!+I729+#REF!+#REF!+#REF!+#REF!+#REF!+#REF!+K729+#REF!+#REF!+#REF!</f>
        <v>#REF!</v>
      </c>
      <c r="N729" s="667" t="e">
        <f t="shared" si="75"/>
        <v>#REF!</v>
      </c>
      <c r="O729" s="665" t="e">
        <f>#REF!+M729</f>
        <v>#REF!</v>
      </c>
      <c r="P729" s="666" t="e">
        <f t="shared" si="76"/>
        <v>#REF!</v>
      </c>
      <c r="Q729" s="672"/>
      <c r="R729" s="668"/>
      <c r="S729" s="676"/>
      <c r="T729" s="676"/>
    </row>
    <row r="730" spans="1:20" s="677" customFormat="1" ht="26.25" hidden="1" customHeight="1">
      <c r="A730" s="662"/>
      <c r="B730" s="666">
        <f t="shared" si="74"/>
        <v>0</v>
      </c>
      <c r="C730" s="663" t="s">
        <v>1783</v>
      </c>
      <c r="D730" s="739">
        <v>5640</v>
      </c>
      <c r="E730" s="674" t="s">
        <v>522</v>
      </c>
      <c r="F730" s="663">
        <f t="shared" si="77"/>
        <v>0</v>
      </c>
      <c r="G730" s="684"/>
      <c r="H730" s="667">
        <f t="shared" si="72"/>
        <v>0</v>
      </c>
      <c r="I730" s="675"/>
      <c r="J730" s="667">
        <f t="shared" si="73"/>
        <v>0</v>
      </c>
      <c r="K730" s="667"/>
      <c r="L730" s="667"/>
      <c r="M730" s="667" t="e">
        <f>G730+#REF!+#REF!+#REF!+I730+#REF!+#REF!+#REF!+#REF!+#REF!+#REF!+K730+#REF!+#REF!+#REF!</f>
        <v>#REF!</v>
      </c>
      <c r="N730" s="667" t="e">
        <f t="shared" si="75"/>
        <v>#REF!</v>
      </c>
      <c r="O730" s="665" t="e">
        <f>#REF!+M730</f>
        <v>#REF!</v>
      </c>
      <c r="P730" s="666" t="e">
        <f t="shared" si="76"/>
        <v>#REF!</v>
      </c>
      <c r="Q730" s="672"/>
      <c r="R730" s="668"/>
      <c r="S730" s="676"/>
      <c r="T730" s="676"/>
    </row>
    <row r="731" spans="1:20" s="677" customFormat="1" ht="25.5" hidden="1" customHeight="1">
      <c r="A731" s="662"/>
      <c r="B731" s="666">
        <f t="shared" si="74"/>
        <v>0</v>
      </c>
      <c r="C731" s="663" t="s">
        <v>1784</v>
      </c>
      <c r="D731" s="739">
        <v>1340</v>
      </c>
      <c r="E731" s="674" t="s">
        <v>522</v>
      </c>
      <c r="F731" s="663">
        <f t="shared" si="77"/>
        <v>0</v>
      </c>
      <c r="G731" s="684"/>
      <c r="H731" s="667">
        <f t="shared" si="72"/>
        <v>0</v>
      </c>
      <c r="I731" s="675"/>
      <c r="J731" s="667">
        <f t="shared" si="73"/>
        <v>0</v>
      </c>
      <c r="K731" s="667"/>
      <c r="L731" s="667"/>
      <c r="M731" s="667" t="e">
        <f>G731+#REF!+#REF!+#REF!+I731+#REF!+#REF!+#REF!+#REF!+#REF!+#REF!+K731+#REF!+#REF!+#REF!</f>
        <v>#REF!</v>
      </c>
      <c r="N731" s="667" t="e">
        <f t="shared" si="75"/>
        <v>#REF!</v>
      </c>
      <c r="O731" s="665" t="e">
        <f>#REF!+M731</f>
        <v>#REF!</v>
      </c>
      <c r="P731" s="666" t="e">
        <f t="shared" si="76"/>
        <v>#REF!</v>
      </c>
      <c r="Q731" s="672"/>
      <c r="R731" s="668"/>
      <c r="S731" s="676"/>
      <c r="T731" s="676"/>
    </row>
    <row r="732" spans="1:20" s="677" customFormat="1" ht="25.5" hidden="1" customHeight="1">
      <c r="A732" s="662"/>
      <c r="B732" s="666">
        <f t="shared" si="74"/>
        <v>0</v>
      </c>
      <c r="C732" s="663" t="s">
        <v>1785</v>
      </c>
      <c r="D732" s="739">
        <v>604</v>
      </c>
      <c r="E732" s="674" t="s">
        <v>522</v>
      </c>
      <c r="F732" s="663">
        <f t="shared" si="77"/>
        <v>0</v>
      </c>
      <c r="G732" s="684"/>
      <c r="H732" s="667">
        <f t="shared" si="72"/>
        <v>0</v>
      </c>
      <c r="I732" s="675"/>
      <c r="J732" s="667">
        <f t="shared" si="73"/>
        <v>0</v>
      </c>
      <c r="K732" s="667"/>
      <c r="L732" s="667"/>
      <c r="M732" s="667" t="e">
        <f>G732+#REF!+#REF!+#REF!+I732+#REF!+#REF!+#REF!+#REF!+#REF!+#REF!+K732+#REF!+#REF!+#REF!</f>
        <v>#REF!</v>
      </c>
      <c r="N732" s="667" t="e">
        <f t="shared" si="75"/>
        <v>#REF!</v>
      </c>
      <c r="O732" s="665" t="e">
        <f>#REF!+M732</f>
        <v>#REF!</v>
      </c>
      <c r="P732" s="666" t="e">
        <f t="shared" si="76"/>
        <v>#REF!</v>
      </c>
      <c r="Q732" s="672"/>
      <c r="R732" s="668"/>
      <c r="S732" s="676"/>
      <c r="T732" s="676"/>
    </row>
    <row r="733" spans="1:20" s="677" customFormat="1" ht="69.75" hidden="1" customHeight="1">
      <c r="A733" s="662"/>
      <c r="B733" s="666">
        <f t="shared" si="74"/>
        <v>0</v>
      </c>
      <c r="C733" s="663" t="s">
        <v>1786</v>
      </c>
      <c r="D733" s="739"/>
      <c r="E733" s="674"/>
      <c r="F733" s="663">
        <f t="shared" si="77"/>
        <v>0</v>
      </c>
      <c r="G733" s="684"/>
      <c r="H733" s="667">
        <f t="shared" si="72"/>
        <v>0</v>
      </c>
      <c r="I733" s="675"/>
      <c r="J733" s="667">
        <f t="shared" si="73"/>
        <v>0</v>
      </c>
      <c r="K733" s="667"/>
      <c r="L733" s="667"/>
      <c r="M733" s="667" t="e">
        <f>G733+#REF!+#REF!+#REF!+I733+#REF!+#REF!+#REF!+#REF!+#REF!+#REF!+K733+#REF!+#REF!+#REF!</f>
        <v>#REF!</v>
      </c>
      <c r="N733" s="667" t="e">
        <f t="shared" si="75"/>
        <v>#REF!</v>
      </c>
      <c r="O733" s="665" t="e">
        <f>#REF!+M733</f>
        <v>#REF!</v>
      </c>
      <c r="P733" s="666" t="e">
        <f t="shared" si="76"/>
        <v>#REF!</v>
      </c>
      <c r="Q733" s="672"/>
      <c r="R733" s="668"/>
      <c r="S733" s="676"/>
      <c r="T733" s="676"/>
    </row>
    <row r="734" spans="1:20" s="677" customFormat="1" ht="25.5" hidden="1" customHeight="1">
      <c r="A734" s="662"/>
      <c r="B734" s="666">
        <f t="shared" si="74"/>
        <v>0</v>
      </c>
      <c r="C734" s="663" t="s">
        <v>168</v>
      </c>
      <c r="D734" s="739">
        <v>1000.51</v>
      </c>
      <c r="E734" s="674" t="s">
        <v>522</v>
      </c>
      <c r="F734" s="663">
        <f t="shared" si="77"/>
        <v>0</v>
      </c>
      <c r="G734" s="684"/>
      <c r="H734" s="667">
        <f t="shared" si="72"/>
        <v>0</v>
      </c>
      <c r="I734" s="675"/>
      <c r="J734" s="667">
        <f t="shared" si="73"/>
        <v>0</v>
      </c>
      <c r="K734" s="667"/>
      <c r="L734" s="667"/>
      <c r="M734" s="667" t="e">
        <f>G734+#REF!+#REF!+#REF!+I734+#REF!+#REF!+#REF!+#REF!+#REF!+#REF!+K734+#REF!+#REF!+#REF!</f>
        <v>#REF!</v>
      </c>
      <c r="N734" s="667" t="e">
        <f t="shared" si="75"/>
        <v>#REF!</v>
      </c>
      <c r="O734" s="665" t="e">
        <f>#REF!+M734</f>
        <v>#REF!</v>
      </c>
      <c r="P734" s="666" t="e">
        <f t="shared" si="76"/>
        <v>#REF!</v>
      </c>
      <c r="Q734" s="672"/>
      <c r="R734" s="668"/>
      <c r="S734" s="676"/>
      <c r="T734" s="676"/>
    </row>
    <row r="735" spans="1:20" s="677" customFormat="1" ht="25.5" hidden="1" customHeight="1">
      <c r="A735" s="662"/>
      <c r="B735" s="666">
        <f t="shared" si="74"/>
        <v>0</v>
      </c>
      <c r="C735" s="663" t="s">
        <v>170</v>
      </c>
      <c r="D735" s="739">
        <v>1003.51</v>
      </c>
      <c r="E735" s="674" t="s">
        <v>522</v>
      </c>
      <c r="F735" s="663">
        <f t="shared" si="77"/>
        <v>0</v>
      </c>
      <c r="G735" s="684"/>
      <c r="H735" s="667">
        <f t="shared" si="72"/>
        <v>0</v>
      </c>
      <c r="I735" s="675"/>
      <c r="J735" s="667">
        <f t="shared" si="73"/>
        <v>0</v>
      </c>
      <c r="K735" s="667"/>
      <c r="L735" s="667"/>
      <c r="M735" s="667" t="e">
        <f>G735+#REF!+#REF!+#REF!+I735+#REF!+#REF!+#REF!+#REF!+#REF!+#REF!+K735+#REF!+#REF!+#REF!</f>
        <v>#REF!</v>
      </c>
      <c r="N735" s="667" t="e">
        <f t="shared" si="75"/>
        <v>#REF!</v>
      </c>
      <c r="O735" s="665" t="e">
        <f>#REF!+M735</f>
        <v>#REF!</v>
      </c>
      <c r="P735" s="666" t="e">
        <f t="shared" si="76"/>
        <v>#REF!</v>
      </c>
      <c r="Q735" s="672"/>
      <c r="R735" s="668"/>
      <c r="S735" s="676"/>
      <c r="T735" s="676"/>
    </row>
    <row r="736" spans="1:20" s="677" customFormat="1" ht="116.25" hidden="1" customHeight="1">
      <c r="A736" s="662"/>
      <c r="B736" s="666">
        <f t="shared" si="74"/>
        <v>0</v>
      </c>
      <c r="C736" s="663" t="s">
        <v>1787</v>
      </c>
      <c r="D736" s="739">
        <v>769.3</v>
      </c>
      <c r="E736" s="674" t="s">
        <v>522</v>
      </c>
      <c r="F736" s="663">
        <f t="shared" si="77"/>
        <v>0</v>
      </c>
      <c r="G736" s="684"/>
      <c r="H736" s="667">
        <f t="shared" si="72"/>
        <v>0</v>
      </c>
      <c r="I736" s="675"/>
      <c r="J736" s="667">
        <f t="shared" si="73"/>
        <v>0</v>
      </c>
      <c r="K736" s="667"/>
      <c r="L736" s="667"/>
      <c r="M736" s="667" t="e">
        <f>G736+#REF!+#REF!+#REF!+I736+#REF!+#REF!+#REF!+#REF!+#REF!+#REF!+K736+#REF!+#REF!+#REF!</f>
        <v>#REF!</v>
      </c>
      <c r="N736" s="667" t="e">
        <f t="shared" si="75"/>
        <v>#REF!</v>
      </c>
      <c r="O736" s="665" t="e">
        <f>#REF!+M736</f>
        <v>#REF!</v>
      </c>
      <c r="P736" s="666" t="e">
        <f t="shared" si="76"/>
        <v>#REF!</v>
      </c>
      <c r="Q736" s="672"/>
      <c r="R736" s="668"/>
      <c r="S736" s="676"/>
      <c r="T736" s="676"/>
    </row>
    <row r="737" spans="1:20" s="677" customFormat="1" ht="116.25" hidden="1" customHeight="1">
      <c r="A737" s="662"/>
      <c r="B737" s="666">
        <f t="shared" si="74"/>
        <v>0</v>
      </c>
      <c r="C737" s="663" t="s">
        <v>1788</v>
      </c>
      <c r="D737" s="739">
        <v>536.54999999999995</v>
      </c>
      <c r="E737" s="674" t="s">
        <v>522</v>
      </c>
      <c r="F737" s="663">
        <f t="shared" si="77"/>
        <v>0</v>
      </c>
      <c r="G737" s="684"/>
      <c r="H737" s="667">
        <f t="shared" si="72"/>
        <v>0</v>
      </c>
      <c r="I737" s="675"/>
      <c r="J737" s="667">
        <f t="shared" si="73"/>
        <v>0</v>
      </c>
      <c r="K737" s="667"/>
      <c r="L737" s="667"/>
      <c r="M737" s="667" t="e">
        <f>G737+#REF!+#REF!+#REF!+I737+#REF!+#REF!+#REF!+#REF!+#REF!+#REF!+K737+#REF!+#REF!+#REF!</f>
        <v>#REF!</v>
      </c>
      <c r="N737" s="667" t="e">
        <f t="shared" si="75"/>
        <v>#REF!</v>
      </c>
      <c r="O737" s="665" t="e">
        <f>#REF!+M737</f>
        <v>#REF!</v>
      </c>
      <c r="P737" s="666" t="e">
        <f t="shared" si="76"/>
        <v>#REF!</v>
      </c>
      <c r="Q737" s="672"/>
      <c r="R737" s="668"/>
      <c r="S737" s="676"/>
      <c r="T737" s="676"/>
    </row>
    <row r="738" spans="1:20" s="677" customFormat="1" ht="46.5" hidden="1" customHeight="1">
      <c r="A738" s="662"/>
      <c r="B738" s="666">
        <f t="shared" si="74"/>
        <v>0</v>
      </c>
      <c r="C738" s="663" t="s">
        <v>1789</v>
      </c>
      <c r="D738" s="739">
        <v>627.4</v>
      </c>
      <c r="E738" s="757" t="s">
        <v>1790</v>
      </c>
      <c r="F738" s="663">
        <f t="shared" si="77"/>
        <v>0</v>
      </c>
      <c r="G738" s="684"/>
      <c r="H738" s="667">
        <f t="shared" ref="H738:H769" si="78">G738*D738</f>
        <v>0</v>
      </c>
      <c r="I738" s="675"/>
      <c r="J738" s="667">
        <f t="shared" ref="J738:J769" si="79">I738*D738</f>
        <v>0</v>
      </c>
      <c r="K738" s="667"/>
      <c r="L738" s="667"/>
      <c r="M738" s="667" t="e">
        <f>G738+#REF!+#REF!+#REF!+I738+#REF!+#REF!+#REF!+#REF!+#REF!+#REF!+K738+#REF!+#REF!+#REF!</f>
        <v>#REF!</v>
      </c>
      <c r="N738" s="667" t="e">
        <f t="shared" si="75"/>
        <v>#REF!</v>
      </c>
      <c r="O738" s="665" t="e">
        <f>#REF!+M738</f>
        <v>#REF!</v>
      </c>
      <c r="P738" s="666" t="e">
        <f t="shared" si="76"/>
        <v>#REF!</v>
      </c>
      <c r="Q738" s="672"/>
      <c r="R738" s="668"/>
      <c r="S738" s="676"/>
      <c r="T738" s="676"/>
    </row>
    <row r="739" spans="1:20" s="677" customFormat="1" ht="25.5" hidden="1" customHeight="1">
      <c r="A739" s="662"/>
      <c r="B739" s="666">
        <f t="shared" si="74"/>
        <v>0</v>
      </c>
      <c r="C739" s="663" t="s">
        <v>1791</v>
      </c>
      <c r="D739" s="739">
        <v>435</v>
      </c>
      <c r="E739" s="757" t="s">
        <v>1790</v>
      </c>
      <c r="F739" s="663">
        <f t="shared" si="77"/>
        <v>0</v>
      </c>
      <c r="G739" s="684"/>
      <c r="H739" s="667">
        <f t="shared" si="78"/>
        <v>0</v>
      </c>
      <c r="I739" s="675"/>
      <c r="J739" s="667">
        <f t="shared" si="79"/>
        <v>0</v>
      </c>
      <c r="K739" s="667"/>
      <c r="L739" s="667"/>
      <c r="M739" s="667" t="e">
        <f>G739+#REF!+#REF!+#REF!+I739+#REF!+#REF!+#REF!+#REF!+#REF!+#REF!+K739+#REF!+#REF!+#REF!</f>
        <v>#REF!</v>
      </c>
      <c r="N739" s="667" t="e">
        <f t="shared" si="75"/>
        <v>#REF!</v>
      </c>
      <c r="O739" s="665" t="e">
        <f>#REF!+M739</f>
        <v>#REF!</v>
      </c>
      <c r="P739" s="666" t="e">
        <f t="shared" si="76"/>
        <v>#REF!</v>
      </c>
      <c r="Q739" s="672"/>
      <c r="R739" s="668"/>
      <c r="S739" s="676"/>
      <c r="T739" s="676"/>
    </row>
    <row r="740" spans="1:20" s="677" customFormat="1" ht="25.5" hidden="1" customHeight="1">
      <c r="A740" s="662"/>
      <c r="B740" s="666">
        <f t="shared" si="74"/>
        <v>0</v>
      </c>
      <c r="C740" s="663" t="s">
        <v>1792</v>
      </c>
      <c r="D740" s="739">
        <v>356</v>
      </c>
      <c r="E740" s="757" t="s">
        <v>1790</v>
      </c>
      <c r="F740" s="663">
        <f t="shared" si="77"/>
        <v>0</v>
      </c>
      <c r="G740" s="684"/>
      <c r="H740" s="667">
        <f t="shared" si="78"/>
        <v>0</v>
      </c>
      <c r="I740" s="675"/>
      <c r="J740" s="667">
        <f t="shared" si="79"/>
        <v>0</v>
      </c>
      <c r="K740" s="667"/>
      <c r="L740" s="667"/>
      <c r="M740" s="667" t="e">
        <f>G740+#REF!+#REF!+#REF!+I740+#REF!+#REF!+#REF!+#REF!+#REF!+#REF!+K740+#REF!+#REF!+#REF!</f>
        <v>#REF!</v>
      </c>
      <c r="N740" s="667" t="e">
        <f t="shared" si="75"/>
        <v>#REF!</v>
      </c>
      <c r="O740" s="665" t="e">
        <f>#REF!+M740</f>
        <v>#REF!</v>
      </c>
      <c r="P740" s="666" t="e">
        <f t="shared" si="76"/>
        <v>#REF!</v>
      </c>
      <c r="Q740" s="672"/>
      <c r="R740" s="668"/>
      <c r="S740" s="676"/>
      <c r="T740" s="676"/>
    </row>
    <row r="741" spans="1:20" s="677" customFormat="1" ht="25.5" hidden="1" customHeight="1">
      <c r="A741" s="662"/>
      <c r="B741" s="666">
        <f t="shared" si="74"/>
        <v>0</v>
      </c>
      <c r="C741" s="663" t="s">
        <v>1793</v>
      </c>
      <c r="D741" s="739">
        <v>317</v>
      </c>
      <c r="E741" s="757" t="s">
        <v>1790</v>
      </c>
      <c r="F741" s="663">
        <f t="shared" si="77"/>
        <v>0</v>
      </c>
      <c r="G741" s="684"/>
      <c r="H741" s="667">
        <f t="shared" si="78"/>
        <v>0</v>
      </c>
      <c r="I741" s="675"/>
      <c r="J741" s="667">
        <f t="shared" si="79"/>
        <v>0</v>
      </c>
      <c r="K741" s="667"/>
      <c r="L741" s="667"/>
      <c r="M741" s="667" t="e">
        <f>G741+#REF!+#REF!+#REF!+I741+#REF!+#REF!+#REF!+#REF!+#REF!+#REF!+K741+#REF!+#REF!+#REF!</f>
        <v>#REF!</v>
      </c>
      <c r="N741" s="667" t="e">
        <f t="shared" si="75"/>
        <v>#REF!</v>
      </c>
      <c r="O741" s="665" t="e">
        <f>#REF!+M741</f>
        <v>#REF!</v>
      </c>
      <c r="P741" s="666" t="e">
        <f t="shared" si="76"/>
        <v>#REF!</v>
      </c>
      <c r="Q741" s="672"/>
      <c r="R741" s="668"/>
      <c r="S741" s="676"/>
      <c r="T741" s="676"/>
    </row>
    <row r="742" spans="1:20" s="677" customFormat="1" ht="25.5" hidden="1" customHeight="1">
      <c r="A742" s="662"/>
      <c r="B742" s="666">
        <f t="shared" si="74"/>
        <v>0</v>
      </c>
      <c r="C742" s="663" t="s">
        <v>1794</v>
      </c>
      <c r="D742" s="739">
        <v>176.84</v>
      </c>
      <c r="E742" s="757" t="s">
        <v>61</v>
      </c>
      <c r="F742" s="663">
        <f t="shared" si="77"/>
        <v>0</v>
      </c>
      <c r="G742" s="684"/>
      <c r="H742" s="667">
        <f t="shared" si="78"/>
        <v>0</v>
      </c>
      <c r="I742" s="675"/>
      <c r="J742" s="667">
        <f t="shared" si="79"/>
        <v>0</v>
      </c>
      <c r="K742" s="667"/>
      <c r="L742" s="667"/>
      <c r="M742" s="667" t="e">
        <f>G742+#REF!+#REF!+#REF!+I742+#REF!+#REF!+#REF!+#REF!+#REF!+#REF!+K742+#REF!+#REF!+#REF!</f>
        <v>#REF!</v>
      </c>
      <c r="N742" s="667" t="e">
        <f t="shared" si="75"/>
        <v>#REF!</v>
      </c>
      <c r="O742" s="665" t="e">
        <f>#REF!+M742</f>
        <v>#REF!</v>
      </c>
      <c r="P742" s="666" t="e">
        <f t="shared" si="76"/>
        <v>#REF!</v>
      </c>
      <c r="Q742" s="672"/>
      <c r="R742" s="668"/>
      <c r="S742" s="676"/>
      <c r="T742" s="676"/>
    </row>
    <row r="743" spans="1:20" s="677" customFormat="1" ht="69.75" hidden="1" customHeight="1">
      <c r="A743" s="662"/>
      <c r="B743" s="666">
        <f t="shared" si="74"/>
        <v>0</v>
      </c>
      <c r="C743" s="663" t="s">
        <v>1795</v>
      </c>
      <c r="D743" s="739">
        <v>293.25</v>
      </c>
      <c r="E743" s="757" t="s">
        <v>522</v>
      </c>
      <c r="F743" s="663">
        <f t="shared" si="77"/>
        <v>0</v>
      </c>
      <c r="G743" s="684"/>
      <c r="H743" s="667">
        <f t="shared" si="78"/>
        <v>0</v>
      </c>
      <c r="I743" s="675"/>
      <c r="J743" s="667">
        <f t="shared" si="79"/>
        <v>0</v>
      </c>
      <c r="K743" s="667"/>
      <c r="L743" s="667"/>
      <c r="M743" s="667" t="e">
        <f>G743+#REF!+#REF!+#REF!+I743+#REF!+#REF!+#REF!+#REF!+#REF!+#REF!+K743+#REF!+#REF!+#REF!</f>
        <v>#REF!</v>
      </c>
      <c r="N743" s="667" t="e">
        <f t="shared" si="75"/>
        <v>#REF!</v>
      </c>
      <c r="O743" s="665" t="e">
        <f>#REF!+M743</f>
        <v>#REF!</v>
      </c>
      <c r="P743" s="666" t="e">
        <f t="shared" si="76"/>
        <v>#REF!</v>
      </c>
      <c r="Q743" s="672"/>
      <c r="R743" s="668"/>
      <c r="S743" s="676"/>
      <c r="T743" s="676"/>
    </row>
    <row r="744" spans="1:20" s="677" customFormat="1" ht="69.75" hidden="1" customHeight="1">
      <c r="A744" s="662"/>
      <c r="B744" s="666">
        <f t="shared" si="74"/>
        <v>0</v>
      </c>
      <c r="C744" s="756" t="s">
        <v>1796</v>
      </c>
      <c r="D744" s="684"/>
      <c r="E744" s="674"/>
      <c r="F744" s="663">
        <f t="shared" si="77"/>
        <v>0</v>
      </c>
      <c r="G744" s="684"/>
      <c r="H744" s="667">
        <f t="shared" si="78"/>
        <v>0</v>
      </c>
      <c r="I744" s="675"/>
      <c r="J744" s="667">
        <f t="shared" si="79"/>
        <v>0</v>
      </c>
      <c r="K744" s="667"/>
      <c r="L744" s="667"/>
      <c r="M744" s="667" t="e">
        <f>G744+#REF!+#REF!+#REF!+I744+#REF!+#REF!+#REF!+#REF!+#REF!+#REF!+K744+#REF!+#REF!+#REF!</f>
        <v>#REF!</v>
      </c>
      <c r="N744" s="667" t="e">
        <f t="shared" si="75"/>
        <v>#REF!</v>
      </c>
      <c r="O744" s="665" t="e">
        <f>#REF!+M744</f>
        <v>#REF!</v>
      </c>
      <c r="P744" s="666" t="e">
        <f t="shared" si="76"/>
        <v>#REF!</v>
      </c>
      <c r="Q744" s="672"/>
      <c r="R744" s="668"/>
      <c r="S744" s="676"/>
      <c r="T744" s="676"/>
    </row>
    <row r="745" spans="1:20" s="677" customFormat="1" ht="25.5" hidden="1" customHeight="1">
      <c r="A745" s="662"/>
      <c r="B745" s="666">
        <f t="shared" si="74"/>
        <v>0</v>
      </c>
      <c r="C745" s="738" t="s">
        <v>1797</v>
      </c>
      <c r="D745" s="684">
        <f>[14]Data!R1455</f>
        <v>5611.1</v>
      </c>
      <c r="E745" s="674" t="s">
        <v>37</v>
      </c>
      <c r="F745" s="663">
        <f t="shared" si="77"/>
        <v>0</v>
      </c>
      <c r="G745" s="684"/>
      <c r="H745" s="667">
        <f t="shared" si="78"/>
        <v>0</v>
      </c>
      <c r="I745" s="675"/>
      <c r="J745" s="667">
        <f t="shared" si="79"/>
        <v>0</v>
      </c>
      <c r="K745" s="667"/>
      <c r="L745" s="667"/>
      <c r="M745" s="667" t="e">
        <f>G745+#REF!+#REF!+#REF!+I745+#REF!+#REF!+#REF!+#REF!+#REF!+#REF!+K745+#REF!+#REF!+#REF!</f>
        <v>#REF!</v>
      </c>
      <c r="N745" s="667" t="e">
        <f t="shared" si="75"/>
        <v>#REF!</v>
      </c>
      <c r="O745" s="665" t="e">
        <f>#REF!+M745</f>
        <v>#REF!</v>
      </c>
      <c r="P745" s="666" t="e">
        <f t="shared" si="76"/>
        <v>#REF!</v>
      </c>
      <c r="Q745" s="672"/>
      <c r="R745" s="668"/>
      <c r="S745" s="676"/>
      <c r="T745" s="676"/>
    </row>
    <row r="746" spans="1:20" s="677" customFormat="1" ht="25.5" hidden="1" customHeight="1">
      <c r="A746" s="662"/>
      <c r="B746" s="666">
        <f t="shared" si="74"/>
        <v>0</v>
      </c>
      <c r="C746" s="738" t="s">
        <v>1798</v>
      </c>
      <c r="D746" s="684">
        <f>'[14]Sliding and french window'!F145</f>
        <v>5107.12</v>
      </c>
      <c r="E746" s="674" t="s">
        <v>37</v>
      </c>
      <c r="F746" s="663">
        <f t="shared" si="77"/>
        <v>0</v>
      </c>
      <c r="G746" s="684"/>
      <c r="H746" s="667">
        <f t="shared" si="78"/>
        <v>0</v>
      </c>
      <c r="I746" s="675"/>
      <c r="J746" s="667">
        <f t="shared" si="79"/>
        <v>0</v>
      </c>
      <c r="K746" s="667"/>
      <c r="L746" s="667"/>
      <c r="M746" s="667" t="e">
        <f>G746+#REF!+#REF!+#REF!+I746+#REF!+#REF!+#REF!+#REF!+#REF!+#REF!+K746+#REF!+#REF!+#REF!</f>
        <v>#REF!</v>
      </c>
      <c r="N746" s="667" t="e">
        <f t="shared" si="75"/>
        <v>#REF!</v>
      </c>
      <c r="O746" s="665" t="e">
        <f>#REF!+M746</f>
        <v>#REF!</v>
      </c>
      <c r="P746" s="666" t="e">
        <f t="shared" si="76"/>
        <v>#REF!</v>
      </c>
      <c r="Q746" s="672"/>
      <c r="R746" s="668"/>
      <c r="S746" s="676"/>
      <c r="T746" s="676"/>
    </row>
    <row r="747" spans="1:20" s="677" customFormat="1" ht="25.5" hidden="1" customHeight="1">
      <c r="A747" s="662"/>
      <c r="B747" s="666">
        <f t="shared" si="74"/>
        <v>0</v>
      </c>
      <c r="C747" s="738" t="s">
        <v>1799</v>
      </c>
      <c r="D747" s="684">
        <f>'[14]Sliding and french window'!F32</f>
        <v>4757.03</v>
      </c>
      <c r="E747" s="674" t="s">
        <v>37</v>
      </c>
      <c r="F747" s="663">
        <f t="shared" si="77"/>
        <v>0</v>
      </c>
      <c r="G747" s="684"/>
      <c r="H747" s="667">
        <f t="shared" si="78"/>
        <v>0</v>
      </c>
      <c r="I747" s="675"/>
      <c r="J747" s="667">
        <f t="shared" si="79"/>
        <v>0</v>
      </c>
      <c r="K747" s="667"/>
      <c r="L747" s="667"/>
      <c r="M747" s="667" t="e">
        <f>G747+#REF!+#REF!+#REF!+I747+#REF!+#REF!+#REF!+#REF!+#REF!+#REF!+K747+#REF!+#REF!+#REF!</f>
        <v>#REF!</v>
      </c>
      <c r="N747" s="667" t="e">
        <f t="shared" si="75"/>
        <v>#REF!</v>
      </c>
      <c r="O747" s="665" t="e">
        <f>#REF!+M747</f>
        <v>#REF!</v>
      </c>
      <c r="P747" s="666" t="e">
        <f t="shared" si="76"/>
        <v>#REF!</v>
      </c>
      <c r="Q747" s="672"/>
      <c r="R747" s="668"/>
      <c r="S747" s="676"/>
      <c r="T747" s="676"/>
    </row>
    <row r="748" spans="1:20" s="677" customFormat="1" ht="25.5" hidden="1" customHeight="1">
      <c r="A748" s="662"/>
      <c r="B748" s="666">
        <f t="shared" si="74"/>
        <v>0</v>
      </c>
      <c r="C748" s="738" t="s">
        <v>1800</v>
      </c>
      <c r="D748" s="684">
        <f>'[14]Sliding and french window'!F310</f>
        <v>5118.9399999999996</v>
      </c>
      <c r="E748" s="674" t="s">
        <v>37</v>
      </c>
      <c r="F748" s="663">
        <f t="shared" si="77"/>
        <v>0</v>
      </c>
      <c r="G748" s="684"/>
      <c r="H748" s="667">
        <f t="shared" si="78"/>
        <v>0</v>
      </c>
      <c r="I748" s="675"/>
      <c r="J748" s="667">
        <f t="shared" si="79"/>
        <v>0</v>
      </c>
      <c r="K748" s="667"/>
      <c r="L748" s="667"/>
      <c r="M748" s="667" t="e">
        <f>G748+#REF!+#REF!+#REF!+I748+#REF!+#REF!+#REF!+#REF!+#REF!+#REF!+K748+#REF!+#REF!+#REF!</f>
        <v>#REF!</v>
      </c>
      <c r="N748" s="667" t="e">
        <f t="shared" si="75"/>
        <v>#REF!</v>
      </c>
      <c r="O748" s="665" t="e">
        <f>#REF!+M748</f>
        <v>#REF!</v>
      </c>
      <c r="P748" s="666" t="e">
        <f t="shared" si="76"/>
        <v>#REF!</v>
      </c>
      <c r="Q748" s="672"/>
      <c r="R748" s="668"/>
      <c r="S748" s="676"/>
      <c r="T748" s="676"/>
    </row>
    <row r="749" spans="1:20" s="677" customFormat="1" ht="25.5" hidden="1" customHeight="1">
      <c r="A749" s="662"/>
      <c r="B749" s="666">
        <f t="shared" si="74"/>
        <v>0</v>
      </c>
      <c r="C749" s="738" t="s">
        <v>1801</v>
      </c>
      <c r="D749" s="684">
        <f>'[14]Sliding and french window'!F167</f>
        <v>4446.5</v>
      </c>
      <c r="E749" s="674" t="s">
        <v>37</v>
      </c>
      <c r="F749" s="663">
        <f t="shared" si="77"/>
        <v>0</v>
      </c>
      <c r="G749" s="684"/>
      <c r="H749" s="667">
        <f t="shared" si="78"/>
        <v>0</v>
      </c>
      <c r="I749" s="675"/>
      <c r="J749" s="667">
        <f t="shared" si="79"/>
        <v>0</v>
      </c>
      <c r="K749" s="667"/>
      <c r="L749" s="667"/>
      <c r="M749" s="667" t="e">
        <f>G749+#REF!+#REF!+#REF!+I749+#REF!+#REF!+#REF!+#REF!+#REF!+#REF!+K749+#REF!+#REF!+#REF!</f>
        <v>#REF!</v>
      </c>
      <c r="N749" s="667" t="e">
        <f t="shared" si="75"/>
        <v>#REF!</v>
      </c>
      <c r="O749" s="665" t="e">
        <f>#REF!+M749</f>
        <v>#REF!</v>
      </c>
      <c r="P749" s="666" t="e">
        <f t="shared" si="76"/>
        <v>#REF!</v>
      </c>
      <c r="Q749" s="672"/>
      <c r="R749" s="668"/>
      <c r="S749" s="676"/>
      <c r="T749" s="676"/>
    </row>
    <row r="750" spans="1:20" s="677" customFormat="1" ht="25.5" hidden="1" customHeight="1">
      <c r="A750" s="662"/>
      <c r="B750" s="666">
        <f t="shared" si="74"/>
        <v>0</v>
      </c>
      <c r="C750" s="738" t="s">
        <v>1802</v>
      </c>
      <c r="D750" s="684">
        <f>'[14]Sliding and french window'!F145</f>
        <v>5107.12</v>
      </c>
      <c r="E750" s="674" t="s">
        <v>37</v>
      </c>
      <c r="F750" s="663">
        <f t="shared" si="77"/>
        <v>0</v>
      </c>
      <c r="G750" s="684"/>
      <c r="H750" s="667">
        <f t="shared" si="78"/>
        <v>0</v>
      </c>
      <c r="I750" s="675"/>
      <c r="J750" s="667">
        <f t="shared" si="79"/>
        <v>0</v>
      </c>
      <c r="K750" s="667"/>
      <c r="L750" s="667"/>
      <c r="M750" s="667" t="e">
        <f>G750+#REF!+#REF!+#REF!+I750+#REF!+#REF!+#REF!+#REF!+#REF!+#REF!+K750+#REF!+#REF!+#REF!</f>
        <v>#REF!</v>
      </c>
      <c r="N750" s="667" t="e">
        <f t="shared" si="75"/>
        <v>#REF!</v>
      </c>
      <c r="O750" s="665" t="e">
        <f>#REF!+M750</f>
        <v>#REF!</v>
      </c>
      <c r="P750" s="666" t="e">
        <f t="shared" si="76"/>
        <v>#REF!</v>
      </c>
      <c r="Q750" s="672"/>
      <c r="R750" s="668"/>
      <c r="S750" s="676"/>
      <c r="T750" s="676"/>
    </row>
    <row r="751" spans="1:20" s="677" customFormat="1" ht="25.5" hidden="1" customHeight="1">
      <c r="A751" s="662"/>
      <c r="B751" s="666">
        <f t="shared" si="74"/>
        <v>0</v>
      </c>
      <c r="C751" s="738" t="s">
        <v>1803</v>
      </c>
      <c r="D751" s="684">
        <f>'[14]Sliding and french window'!F46</f>
        <v>4517.32</v>
      </c>
      <c r="E751" s="674" t="s">
        <v>37</v>
      </c>
      <c r="F751" s="663">
        <f t="shared" si="77"/>
        <v>0</v>
      </c>
      <c r="G751" s="684"/>
      <c r="H751" s="667">
        <f t="shared" si="78"/>
        <v>0</v>
      </c>
      <c r="I751" s="675"/>
      <c r="J751" s="667">
        <f t="shared" si="79"/>
        <v>0</v>
      </c>
      <c r="K751" s="667"/>
      <c r="L751" s="667"/>
      <c r="M751" s="667" t="e">
        <f>G751+#REF!+#REF!+#REF!+I751+#REF!+#REF!+#REF!+#REF!+#REF!+#REF!+K751+#REF!+#REF!+#REF!</f>
        <v>#REF!</v>
      </c>
      <c r="N751" s="667" t="e">
        <f t="shared" si="75"/>
        <v>#REF!</v>
      </c>
      <c r="O751" s="665" t="e">
        <f>#REF!+M751</f>
        <v>#REF!</v>
      </c>
      <c r="P751" s="666" t="e">
        <f t="shared" si="76"/>
        <v>#REF!</v>
      </c>
      <c r="Q751" s="672"/>
      <c r="R751" s="668"/>
      <c r="S751" s="676"/>
      <c r="T751" s="676"/>
    </row>
    <row r="752" spans="1:20" s="677" customFormat="1" ht="25.5" hidden="1" customHeight="1">
      <c r="A752" s="662"/>
      <c r="B752" s="666">
        <f t="shared" si="74"/>
        <v>0</v>
      </c>
      <c r="C752" s="738" t="s">
        <v>1804</v>
      </c>
      <c r="D752" s="684">
        <f>'[14]Sliding and french window'!F32</f>
        <v>4757.03</v>
      </c>
      <c r="E752" s="674" t="s">
        <v>37</v>
      </c>
      <c r="F752" s="663">
        <f t="shared" si="77"/>
        <v>0</v>
      </c>
      <c r="G752" s="684"/>
      <c r="H752" s="667">
        <f t="shared" si="78"/>
        <v>0</v>
      </c>
      <c r="I752" s="675"/>
      <c r="J752" s="667">
        <f t="shared" si="79"/>
        <v>0</v>
      </c>
      <c r="K752" s="667"/>
      <c r="L752" s="667"/>
      <c r="M752" s="667" t="e">
        <f>G752+#REF!+#REF!+#REF!+I752+#REF!+#REF!+#REF!+#REF!+#REF!+#REF!+K752+#REF!+#REF!+#REF!</f>
        <v>#REF!</v>
      </c>
      <c r="N752" s="667" t="e">
        <f t="shared" si="75"/>
        <v>#REF!</v>
      </c>
      <c r="O752" s="665" t="e">
        <f>#REF!+M752</f>
        <v>#REF!</v>
      </c>
      <c r="P752" s="666" t="e">
        <f t="shared" si="76"/>
        <v>#REF!</v>
      </c>
      <c r="Q752" s="672"/>
      <c r="R752" s="668"/>
      <c r="S752" s="676"/>
      <c r="T752" s="676"/>
    </row>
    <row r="753" spans="1:20" s="677" customFormat="1" ht="25.5" hidden="1" customHeight="1">
      <c r="A753" s="662"/>
      <c r="B753" s="666">
        <f t="shared" si="74"/>
        <v>0</v>
      </c>
      <c r="C753" s="738" t="s">
        <v>1805</v>
      </c>
      <c r="D753" s="684">
        <f>'[14]Sliding and french window'!F167</f>
        <v>4446.5</v>
      </c>
      <c r="E753" s="674" t="s">
        <v>37</v>
      </c>
      <c r="F753" s="663">
        <f t="shared" si="77"/>
        <v>0</v>
      </c>
      <c r="G753" s="684"/>
      <c r="H753" s="667">
        <f t="shared" si="78"/>
        <v>0</v>
      </c>
      <c r="I753" s="675"/>
      <c r="J753" s="667">
        <f t="shared" si="79"/>
        <v>0</v>
      </c>
      <c r="K753" s="667"/>
      <c r="L753" s="667"/>
      <c r="M753" s="667" t="e">
        <f>G753+#REF!+#REF!+#REF!+I753+#REF!+#REF!+#REF!+#REF!+#REF!+#REF!+K753+#REF!+#REF!+#REF!</f>
        <v>#REF!</v>
      </c>
      <c r="N753" s="667" t="e">
        <f t="shared" si="75"/>
        <v>#REF!</v>
      </c>
      <c r="O753" s="665" t="e">
        <f>#REF!+M753</f>
        <v>#REF!</v>
      </c>
      <c r="P753" s="666" t="e">
        <f t="shared" si="76"/>
        <v>#REF!</v>
      </c>
      <c r="Q753" s="672"/>
      <c r="R753" s="668"/>
      <c r="S753" s="676"/>
      <c r="T753" s="676"/>
    </row>
    <row r="754" spans="1:20" s="677" customFormat="1" ht="25.5" hidden="1" customHeight="1">
      <c r="A754" s="662"/>
      <c r="B754" s="666">
        <f t="shared" si="74"/>
        <v>0</v>
      </c>
      <c r="C754" s="756" t="s">
        <v>1806</v>
      </c>
      <c r="D754" s="684"/>
      <c r="E754" s="674"/>
      <c r="F754" s="663">
        <f t="shared" si="77"/>
        <v>0</v>
      </c>
      <c r="G754" s="684"/>
      <c r="H754" s="667">
        <f t="shared" si="78"/>
        <v>0</v>
      </c>
      <c r="I754" s="675"/>
      <c r="J754" s="667">
        <f t="shared" si="79"/>
        <v>0</v>
      </c>
      <c r="K754" s="667"/>
      <c r="L754" s="667"/>
      <c r="M754" s="667" t="e">
        <f>G754+#REF!+#REF!+#REF!+I754+#REF!+#REF!+#REF!+#REF!+#REF!+#REF!+K754+#REF!+#REF!+#REF!</f>
        <v>#REF!</v>
      </c>
      <c r="N754" s="667" t="e">
        <f t="shared" si="75"/>
        <v>#REF!</v>
      </c>
      <c r="O754" s="665" t="e">
        <f>#REF!+M754</f>
        <v>#REF!</v>
      </c>
      <c r="P754" s="666" t="e">
        <f t="shared" si="76"/>
        <v>#REF!</v>
      </c>
      <c r="Q754" s="672"/>
      <c r="R754" s="668"/>
      <c r="S754" s="676"/>
      <c r="T754" s="676"/>
    </row>
    <row r="755" spans="1:20" s="677" customFormat="1" ht="33" hidden="1" customHeight="1">
      <c r="A755" s="662"/>
      <c r="B755" s="666">
        <f t="shared" si="74"/>
        <v>0</v>
      </c>
      <c r="C755" s="756" t="s">
        <v>1807</v>
      </c>
      <c r="D755" s="758">
        <f>[14]Data!K3999</f>
        <v>4714.8100000000004</v>
      </c>
      <c r="E755" s="674" t="s">
        <v>37</v>
      </c>
      <c r="F755" s="663">
        <f t="shared" si="77"/>
        <v>0</v>
      </c>
      <c r="G755" s="684"/>
      <c r="H755" s="667">
        <f t="shared" si="78"/>
        <v>0</v>
      </c>
      <c r="I755" s="675"/>
      <c r="J755" s="667">
        <f t="shared" si="79"/>
        <v>0</v>
      </c>
      <c r="K755" s="667"/>
      <c r="L755" s="667"/>
      <c r="M755" s="667" t="e">
        <f>G755+#REF!+#REF!+#REF!+I755+#REF!+#REF!+#REF!+#REF!+#REF!+#REF!+K755+#REF!+#REF!+#REF!</f>
        <v>#REF!</v>
      </c>
      <c r="N755" s="667" t="e">
        <f t="shared" si="75"/>
        <v>#REF!</v>
      </c>
      <c r="O755" s="665" t="e">
        <f>#REF!+M755</f>
        <v>#REF!</v>
      </c>
      <c r="P755" s="666" t="e">
        <f t="shared" si="76"/>
        <v>#REF!</v>
      </c>
      <c r="Q755" s="672"/>
      <c r="R755" s="668"/>
      <c r="S755" s="676"/>
      <c r="T755" s="676"/>
    </row>
    <row r="756" spans="1:20" s="677" customFormat="1" ht="33" hidden="1" customHeight="1">
      <c r="A756" s="662"/>
      <c r="B756" s="666">
        <f t="shared" si="74"/>
        <v>0</v>
      </c>
      <c r="C756" s="759" t="s">
        <v>1808</v>
      </c>
      <c r="D756" s="760">
        <f>[14]Data!K4015</f>
        <v>4530.8</v>
      </c>
      <c r="E756" s="674" t="s">
        <v>37</v>
      </c>
      <c r="F756" s="663">
        <f t="shared" si="77"/>
        <v>0</v>
      </c>
      <c r="G756" s="684"/>
      <c r="H756" s="667">
        <f t="shared" si="78"/>
        <v>0</v>
      </c>
      <c r="I756" s="675"/>
      <c r="J756" s="667">
        <f t="shared" si="79"/>
        <v>0</v>
      </c>
      <c r="K756" s="667"/>
      <c r="L756" s="667"/>
      <c r="M756" s="667" t="e">
        <f>G756+#REF!+#REF!+#REF!+I756+#REF!+#REF!+#REF!+#REF!+#REF!+#REF!+K756+#REF!+#REF!+#REF!</f>
        <v>#REF!</v>
      </c>
      <c r="N756" s="667" t="e">
        <f t="shared" si="75"/>
        <v>#REF!</v>
      </c>
      <c r="O756" s="665" t="e">
        <f>#REF!+M756</f>
        <v>#REF!</v>
      </c>
      <c r="P756" s="666" t="e">
        <f t="shared" si="76"/>
        <v>#REF!</v>
      </c>
      <c r="Q756" s="672"/>
      <c r="R756" s="668"/>
      <c r="S756" s="676"/>
      <c r="T756" s="676"/>
    </row>
    <row r="757" spans="1:20" s="677" customFormat="1" ht="33" hidden="1" customHeight="1">
      <c r="A757" s="662"/>
      <c r="B757" s="666">
        <f t="shared" si="74"/>
        <v>0</v>
      </c>
      <c r="C757" s="759" t="s">
        <v>1809</v>
      </c>
      <c r="D757" s="761">
        <f>[14]Data!K4030</f>
        <v>4872.84</v>
      </c>
      <c r="E757" s="674" t="s">
        <v>37</v>
      </c>
      <c r="F757" s="663">
        <f t="shared" si="77"/>
        <v>0</v>
      </c>
      <c r="G757" s="684"/>
      <c r="H757" s="667">
        <f t="shared" si="78"/>
        <v>0</v>
      </c>
      <c r="I757" s="675"/>
      <c r="J757" s="667">
        <f t="shared" si="79"/>
        <v>0</v>
      </c>
      <c r="K757" s="667"/>
      <c r="L757" s="667"/>
      <c r="M757" s="667" t="e">
        <f>G757+#REF!+#REF!+#REF!+I757+#REF!+#REF!+#REF!+#REF!+#REF!+#REF!+K757+#REF!+#REF!+#REF!</f>
        <v>#REF!</v>
      </c>
      <c r="N757" s="667" t="e">
        <f t="shared" si="75"/>
        <v>#REF!</v>
      </c>
      <c r="O757" s="665" t="e">
        <f>#REF!+M757</f>
        <v>#REF!</v>
      </c>
      <c r="P757" s="666" t="e">
        <f t="shared" si="76"/>
        <v>#REF!</v>
      </c>
      <c r="Q757" s="672"/>
      <c r="R757" s="668"/>
      <c r="S757" s="676"/>
      <c r="T757" s="676"/>
    </row>
    <row r="758" spans="1:20" s="677" customFormat="1" ht="33" hidden="1" customHeight="1">
      <c r="A758" s="662"/>
      <c r="B758" s="666">
        <f t="shared" si="74"/>
        <v>0</v>
      </c>
      <c r="C758" s="759" t="s">
        <v>1810</v>
      </c>
      <c r="D758" s="761">
        <f>[14]Data!K4042</f>
        <v>4763.7</v>
      </c>
      <c r="E758" s="674" t="s">
        <v>37</v>
      </c>
      <c r="F758" s="663">
        <f t="shared" si="77"/>
        <v>0</v>
      </c>
      <c r="G758" s="684"/>
      <c r="H758" s="667">
        <f t="shared" si="78"/>
        <v>0</v>
      </c>
      <c r="I758" s="675"/>
      <c r="J758" s="667">
        <f t="shared" si="79"/>
        <v>0</v>
      </c>
      <c r="K758" s="667"/>
      <c r="L758" s="667"/>
      <c r="M758" s="667" t="e">
        <f>G758+#REF!+#REF!+#REF!+I758+#REF!+#REF!+#REF!+#REF!+#REF!+#REF!+K758+#REF!+#REF!+#REF!</f>
        <v>#REF!</v>
      </c>
      <c r="N758" s="667" t="e">
        <f t="shared" si="75"/>
        <v>#REF!</v>
      </c>
      <c r="O758" s="665" t="e">
        <f>#REF!+M758</f>
        <v>#REF!</v>
      </c>
      <c r="P758" s="666" t="e">
        <f t="shared" si="76"/>
        <v>#REF!</v>
      </c>
      <c r="Q758" s="672"/>
      <c r="R758" s="668"/>
      <c r="S758" s="676"/>
      <c r="T758" s="676"/>
    </row>
    <row r="759" spans="1:20" s="677" customFormat="1" ht="25.5" hidden="1" customHeight="1">
      <c r="A759" s="662"/>
      <c r="B759" s="666">
        <f t="shared" si="74"/>
        <v>0</v>
      </c>
      <c r="C759" s="762"/>
      <c r="D759" s="739"/>
      <c r="E759" s="757" t="s">
        <v>522</v>
      </c>
      <c r="F759" s="663">
        <f t="shared" si="77"/>
        <v>0</v>
      </c>
      <c r="G759" s="684"/>
      <c r="H759" s="667">
        <f t="shared" si="78"/>
        <v>0</v>
      </c>
      <c r="I759" s="675"/>
      <c r="J759" s="667">
        <f t="shared" si="79"/>
        <v>0</v>
      </c>
      <c r="K759" s="667"/>
      <c r="L759" s="667"/>
      <c r="M759" s="667" t="e">
        <f>G759+#REF!+#REF!+#REF!+I759+#REF!+#REF!+#REF!+#REF!+#REF!+#REF!+K759+#REF!+#REF!+#REF!</f>
        <v>#REF!</v>
      </c>
      <c r="N759" s="667" t="e">
        <f t="shared" si="75"/>
        <v>#REF!</v>
      </c>
      <c r="O759" s="665" t="e">
        <f>#REF!+M759</f>
        <v>#REF!</v>
      </c>
      <c r="P759" s="666" t="e">
        <f t="shared" si="76"/>
        <v>#REF!</v>
      </c>
      <c r="Q759" s="672"/>
      <c r="R759" s="668"/>
      <c r="S759" s="676"/>
      <c r="T759" s="676"/>
    </row>
    <row r="760" spans="1:20" s="677" customFormat="1" ht="93" hidden="1" customHeight="1">
      <c r="A760" s="662"/>
      <c r="B760" s="666">
        <f t="shared" si="74"/>
        <v>0</v>
      </c>
      <c r="C760" s="663" t="s">
        <v>1811</v>
      </c>
      <c r="D760" s="739">
        <v>6950</v>
      </c>
      <c r="E760" s="757" t="s">
        <v>522</v>
      </c>
      <c r="F760" s="663">
        <f t="shared" si="77"/>
        <v>0</v>
      </c>
      <c r="G760" s="684"/>
      <c r="H760" s="667">
        <f t="shared" si="78"/>
        <v>0</v>
      </c>
      <c r="I760" s="675"/>
      <c r="J760" s="667">
        <f t="shared" si="79"/>
        <v>0</v>
      </c>
      <c r="K760" s="667"/>
      <c r="L760" s="667"/>
      <c r="M760" s="667" t="e">
        <f>G760+#REF!+#REF!+#REF!+I760+#REF!+#REF!+#REF!+#REF!+#REF!+#REF!+K760+#REF!+#REF!+#REF!</f>
        <v>#REF!</v>
      </c>
      <c r="N760" s="667" t="e">
        <f t="shared" si="75"/>
        <v>#REF!</v>
      </c>
      <c r="O760" s="665" t="e">
        <f>#REF!+M760</f>
        <v>#REF!</v>
      </c>
      <c r="P760" s="666" t="e">
        <f t="shared" si="76"/>
        <v>#REF!</v>
      </c>
      <c r="Q760" s="672"/>
      <c r="R760" s="668"/>
      <c r="S760" s="676"/>
      <c r="T760" s="676"/>
    </row>
    <row r="761" spans="1:20" s="677" customFormat="1" ht="46.5" hidden="1" customHeight="1">
      <c r="A761" s="662"/>
      <c r="B761" s="666">
        <f t="shared" si="74"/>
        <v>0</v>
      </c>
      <c r="C761" s="663" t="s">
        <v>1812</v>
      </c>
      <c r="D761" s="739">
        <v>634</v>
      </c>
      <c r="E761" s="757" t="s">
        <v>522</v>
      </c>
      <c r="F761" s="663">
        <f t="shared" si="77"/>
        <v>0</v>
      </c>
      <c r="G761" s="684"/>
      <c r="H761" s="667">
        <f t="shared" si="78"/>
        <v>0</v>
      </c>
      <c r="I761" s="675"/>
      <c r="J761" s="667">
        <f t="shared" si="79"/>
        <v>0</v>
      </c>
      <c r="K761" s="667"/>
      <c r="L761" s="667"/>
      <c r="M761" s="667" t="e">
        <f>G761+#REF!+#REF!+#REF!+I761+#REF!+#REF!+#REF!+#REF!+#REF!+#REF!+K761+#REF!+#REF!+#REF!</f>
        <v>#REF!</v>
      </c>
      <c r="N761" s="667" t="e">
        <f t="shared" si="75"/>
        <v>#REF!</v>
      </c>
      <c r="O761" s="665" t="e">
        <f>#REF!+M761</f>
        <v>#REF!</v>
      </c>
      <c r="P761" s="666" t="e">
        <f t="shared" si="76"/>
        <v>#REF!</v>
      </c>
      <c r="Q761" s="672"/>
      <c r="R761" s="668"/>
      <c r="S761" s="676"/>
      <c r="T761" s="676"/>
    </row>
    <row r="762" spans="1:20" s="677" customFormat="1" ht="69.75" hidden="1" customHeight="1">
      <c r="A762" s="662"/>
      <c r="B762" s="666">
        <f t="shared" si="74"/>
        <v>0</v>
      </c>
      <c r="C762" s="663" t="s">
        <v>1813</v>
      </c>
      <c r="D762" s="739">
        <v>9470</v>
      </c>
      <c r="E762" s="757" t="s">
        <v>522</v>
      </c>
      <c r="F762" s="663">
        <f t="shared" si="77"/>
        <v>0</v>
      </c>
      <c r="G762" s="684"/>
      <c r="H762" s="667">
        <f t="shared" si="78"/>
        <v>0</v>
      </c>
      <c r="I762" s="675"/>
      <c r="J762" s="667">
        <f t="shared" si="79"/>
        <v>0</v>
      </c>
      <c r="K762" s="667"/>
      <c r="L762" s="667"/>
      <c r="M762" s="667" t="e">
        <f>G762+#REF!+#REF!+#REF!+I762+#REF!+#REF!+#REF!+#REF!+#REF!+#REF!+K762+#REF!+#REF!+#REF!</f>
        <v>#REF!</v>
      </c>
      <c r="N762" s="667" t="e">
        <f t="shared" si="75"/>
        <v>#REF!</v>
      </c>
      <c r="O762" s="665" t="e">
        <f>#REF!+M762</f>
        <v>#REF!</v>
      </c>
      <c r="P762" s="666" t="e">
        <f t="shared" si="76"/>
        <v>#REF!</v>
      </c>
      <c r="Q762" s="672"/>
      <c r="R762" s="668"/>
      <c r="S762" s="676"/>
      <c r="T762" s="676"/>
    </row>
    <row r="763" spans="1:20" s="677" customFormat="1" ht="46.5" hidden="1" customHeight="1">
      <c r="A763" s="662"/>
      <c r="B763" s="666">
        <f t="shared" si="74"/>
        <v>0</v>
      </c>
      <c r="C763" s="663" t="s">
        <v>1814</v>
      </c>
      <c r="D763" s="739">
        <v>123622</v>
      </c>
      <c r="E763" s="757" t="s">
        <v>522</v>
      </c>
      <c r="F763" s="663">
        <f t="shared" si="77"/>
        <v>0</v>
      </c>
      <c r="G763" s="684"/>
      <c r="H763" s="667">
        <f t="shared" si="78"/>
        <v>0</v>
      </c>
      <c r="I763" s="675"/>
      <c r="J763" s="667">
        <f t="shared" si="79"/>
        <v>0</v>
      </c>
      <c r="K763" s="667"/>
      <c r="L763" s="667"/>
      <c r="M763" s="667" t="e">
        <f>G763+#REF!+#REF!+#REF!+I763+#REF!+#REF!+#REF!+#REF!+#REF!+#REF!+K763+#REF!+#REF!+#REF!</f>
        <v>#REF!</v>
      </c>
      <c r="N763" s="667" t="e">
        <f t="shared" si="75"/>
        <v>#REF!</v>
      </c>
      <c r="O763" s="665" t="e">
        <f>#REF!+M763</f>
        <v>#REF!</v>
      </c>
      <c r="P763" s="666" t="e">
        <f t="shared" si="76"/>
        <v>#REF!</v>
      </c>
      <c r="Q763" s="672"/>
      <c r="R763" s="668"/>
      <c r="S763" s="676"/>
      <c r="T763" s="676"/>
    </row>
    <row r="764" spans="1:20" s="677" customFormat="1" ht="69.75" hidden="1" customHeight="1">
      <c r="A764" s="662"/>
      <c r="B764" s="666">
        <f t="shared" si="74"/>
        <v>0</v>
      </c>
      <c r="C764" s="663" t="s">
        <v>1815</v>
      </c>
      <c r="D764" s="739">
        <v>704.75</v>
      </c>
      <c r="E764" s="674" t="s">
        <v>522</v>
      </c>
      <c r="F764" s="663">
        <f t="shared" si="77"/>
        <v>0</v>
      </c>
      <c r="G764" s="684"/>
      <c r="H764" s="667">
        <f t="shared" si="78"/>
        <v>0</v>
      </c>
      <c r="I764" s="675"/>
      <c r="J764" s="667">
        <f t="shared" si="79"/>
        <v>0</v>
      </c>
      <c r="K764" s="667"/>
      <c r="L764" s="667"/>
      <c r="M764" s="667" t="e">
        <f>G764+#REF!+#REF!+#REF!+I764+#REF!+#REF!+#REF!+#REF!+#REF!+#REF!+K764+#REF!+#REF!+#REF!</f>
        <v>#REF!</v>
      </c>
      <c r="N764" s="667" t="e">
        <f t="shared" si="75"/>
        <v>#REF!</v>
      </c>
      <c r="O764" s="665" t="e">
        <f>#REF!+M764</f>
        <v>#REF!</v>
      </c>
      <c r="P764" s="666" t="e">
        <f t="shared" si="76"/>
        <v>#REF!</v>
      </c>
      <c r="Q764" s="672"/>
      <c r="R764" s="668"/>
      <c r="S764" s="676"/>
      <c r="T764" s="676"/>
    </row>
    <row r="765" spans="1:20" s="677" customFormat="1" ht="69.75" hidden="1" customHeight="1">
      <c r="A765" s="662"/>
      <c r="B765" s="666">
        <f t="shared" si="74"/>
        <v>0</v>
      </c>
      <c r="C765" s="663" t="s">
        <v>1816</v>
      </c>
      <c r="D765" s="739">
        <v>514.85</v>
      </c>
      <c r="E765" s="674" t="s">
        <v>522</v>
      </c>
      <c r="F765" s="663">
        <f t="shared" si="77"/>
        <v>0</v>
      </c>
      <c r="G765" s="684"/>
      <c r="H765" s="667">
        <f t="shared" si="78"/>
        <v>0</v>
      </c>
      <c r="I765" s="675"/>
      <c r="J765" s="667">
        <f t="shared" si="79"/>
        <v>0</v>
      </c>
      <c r="K765" s="667"/>
      <c r="L765" s="667"/>
      <c r="M765" s="667" t="e">
        <f>G765+#REF!+#REF!+#REF!+I765+#REF!+#REF!+#REF!+#REF!+#REF!+#REF!+K765+#REF!+#REF!+#REF!</f>
        <v>#REF!</v>
      </c>
      <c r="N765" s="667" t="e">
        <f t="shared" si="75"/>
        <v>#REF!</v>
      </c>
      <c r="O765" s="665" t="e">
        <f>#REF!+M765</f>
        <v>#REF!</v>
      </c>
      <c r="P765" s="666" t="e">
        <f t="shared" si="76"/>
        <v>#REF!</v>
      </c>
      <c r="Q765" s="672"/>
      <c r="R765" s="668"/>
      <c r="S765" s="676"/>
      <c r="T765" s="676"/>
    </row>
    <row r="766" spans="1:20" s="677" customFormat="1" ht="25.5" hidden="1" customHeight="1">
      <c r="A766" s="662"/>
      <c r="B766" s="666">
        <f t="shared" si="74"/>
        <v>0</v>
      </c>
      <c r="C766" s="762" t="s">
        <v>1817</v>
      </c>
      <c r="D766" s="739">
        <v>473.5</v>
      </c>
      <c r="E766" s="757" t="s">
        <v>61</v>
      </c>
      <c r="F766" s="663">
        <f t="shared" si="77"/>
        <v>0</v>
      </c>
      <c r="G766" s="684"/>
      <c r="H766" s="667">
        <f t="shared" si="78"/>
        <v>0</v>
      </c>
      <c r="I766" s="675"/>
      <c r="J766" s="667">
        <f t="shared" si="79"/>
        <v>0</v>
      </c>
      <c r="K766" s="667"/>
      <c r="L766" s="667"/>
      <c r="M766" s="667" t="e">
        <f>G766+#REF!+#REF!+#REF!+I766+#REF!+#REF!+#REF!+#REF!+#REF!+#REF!+K766+#REF!+#REF!+#REF!</f>
        <v>#REF!</v>
      </c>
      <c r="N766" s="667" t="e">
        <f t="shared" si="75"/>
        <v>#REF!</v>
      </c>
      <c r="O766" s="665" t="e">
        <f>#REF!+M766</f>
        <v>#REF!</v>
      </c>
      <c r="P766" s="666" t="e">
        <f t="shared" si="76"/>
        <v>#REF!</v>
      </c>
      <c r="Q766" s="672"/>
      <c r="R766" s="668"/>
      <c r="S766" s="676"/>
      <c r="T766" s="676"/>
    </row>
    <row r="767" spans="1:20" s="677" customFormat="1" ht="46.5" hidden="1" customHeight="1">
      <c r="A767" s="662"/>
      <c r="B767" s="666">
        <f t="shared" si="74"/>
        <v>0</v>
      </c>
      <c r="C767" s="762" t="s">
        <v>1818</v>
      </c>
      <c r="D767" s="739">
        <v>952</v>
      </c>
      <c r="E767" s="757" t="s">
        <v>522</v>
      </c>
      <c r="F767" s="663">
        <f t="shared" si="77"/>
        <v>0</v>
      </c>
      <c r="G767" s="684"/>
      <c r="H767" s="667">
        <f t="shared" si="78"/>
        <v>0</v>
      </c>
      <c r="I767" s="675"/>
      <c r="J767" s="667">
        <f t="shared" si="79"/>
        <v>0</v>
      </c>
      <c r="K767" s="667"/>
      <c r="L767" s="667"/>
      <c r="M767" s="667" t="e">
        <f>G767+#REF!+#REF!+#REF!+I767+#REF!+#REF!+#REF!+#REF!+#REF!+#REF!+K767+#REF!+#REF!+#REF!</f>
        <v>#REF!</v>
      </c>
      <c r="N767" s="667" t="e">
        <f t="shared" si="75"/>
        <v>#REF!</v>
      </c>
      <c r="O767" s="665" t="e">
        <f>#REF!+M767</f>
        <v>#REF!</v>
      </c>
      <c r="P767" s="666" t="e">
        <f t="shared" si="76"/>
        <v>#REF!</v>
      </c>
      <c r="Q767" s="672"/>
      <c r="R767" s="668"/>
      <c r="S767" s="676"/>
      <c r="T767" s="676"/>
    </row>
    <row r="768" spans="1:20" s="677" customFormat="1" ht="25.5" hidden="1" customHeight="1">
      <c r="A768" s="662"/>
      <c r="B768" s="666">
        <f t="shared" si="74"/>
        <v>0</v>
      </c>
      <c r="C768" s="762" t="s">
        <v>1819</v>
      </c>
      <c r="D768" s="739">
        <v>11481.8</v>
      </c>
      <c r="E768" s="757" t="s">
        <v>522</v>
      </c>
      <c r="F768" s="663">
        <f t="shared" si="77"/>
        <v>0</v>
      </c>
      <c r="G768" s="684"/>
      <c r="H768" s="667">
        <f t="shared" si="78"/>
        <v>0</v>
      </c>
      <c r="I768" s="675"/>
      <c r="J768" s="667">
        <f t="shared" si="79"/>
        <v>0</v>
      </c>
      <c r="K768" s="667"/>
      <c r="L768" s="667"/>
      <c r="M768" s="667" t="e">
        <f>G768+#REF!+#REF!+#REF!+I768+#REF!+#REF!+#REF!+#REF!+#REF!+#REF!+K768+#REF!+#REF!+#REF!</f>
        <v>#REF!</v>
      </c>
      <c r="N768" s="667" t="e">
        <f t="shared" si="75"/>
        <v>#REF!</v>
      </c>
      <c r="O768" s="665" t="e">
        <f>#REF!+M768</f>
        <v>#REF!</v>
      </c>
      <c r="P768" s="666" t="e">
        <f t="shared" si="76"/>
        <v>#REF!</v>
      </c>
      <c r="Q768" s="672"/>
      <c r="R768" s="668"/>
      <c r="S768" s="676"/>
      <c r="T768" s="676"/>
    </row>
    <row r="769" spans="1:20" s="677" customFormat="1" ht="46.5" hidden="1" customHeight="1">
      <c r="A769" s="662"/>
      <c r="B769" s="666">
        <f t="shared" si="74"/>
        <v>0</v>
      </c>
      <c r="C769" s="762" t="s">
        <v>1820</v>
      </c>
      <c r="D769" s="739">
        <v>5325.6</v>
      </c>
      <c r="E769" s="757" t="s">
        <v>522</v>
      </c>
      <c r="F769" s="663">
        <f t="shared" si="77"/>
        <v>0</v>
      </c>
      <c r="G769" s="684"/>
      <c r="H769" s="667">
        <f t="shared" si="78"/>
        <v>0</v>
      </c>
      <c r="I769" s="675"/>
      <c r="J769" s="667">
        <f t="shared" si="79"/>
        <v>0</v>
      </c>
      <c r="K769" s="667"/>
      <c r="L769" s="667"/>
      <c r="M769" s="667" t="e">
        <f>G769+#REF!+#REF!+#REF!+I769+#REF!+#REF!+#REF!+#REF!+#REF!+#REF!+K769+#REF!+#REF!+#REF!</f>
        <v>#REF!</v>
      </c>
      <c r="N769" s="667" t="e">
        <f t="shared" si="75"/>
        <v>#REF!</v>
      </c>
      <c r="O769" s="665" t="e">
        <f>#REF!+M769</f>
        <v>#REF!</v>
      </c>
      <c r="P769" s="666" t="e">
        <f t="shared" si="76"/>
        <v>#REF!</v>
      </c>
      <c r="Q769" s="672"/>
      <c r="R769" s="668"/>
      <c r="S769" s="676"/>
      <c r="T769" s="676"/>
    </row>
    <row r="770" spans="1:20" s="677" customFormat="1" ht="46.5" hidden="1" customHeight="1">
      <c r="A770" s="662"/>
      <c r="B770" s="666">
        <f t="shared" si="74"/>
        <v>0</v>
      </c>
      <c r="C770" s="762" t="s">
        <v>1821</v>
      </c>
      <c r="D770" s="739">
        <v>8254.6</v>
      </c>
      <c r="E770" s="757" t="s">
        <v>522</v>
      </c>
      <c r="F770" s="663">
        <f t="shared" si="77"/>
        <v>0</v>
      </c>
      <c r="G770" s="684"/>
      <c r="H770" s="667">
        <f t="shared" ref="H770:H801" si="80">G770*D770</f>
        <v>0</v>
      </c>
      <c r="I770" s="675"/>
      <c r="J770" s="667">
        <f t="shared" ref="J770:J801" si="81">I770*D770</f>
        <v>0</v>
      </c>
      <c r="K770" s="667"/>
      <c r="L770" s="667"/>
      <c r="M770" s="667" t="e">
        <f>G770+#REF!+#REF!+#REF!+I770+#REF!+#REF!+#REF!+#REF!+#REF!+#REF!+K770+#REF!+#REF!+#REF!</f>
        <v>#REF!</v>
      </c>
      <c r="N770" s="667" t="e">
        <f t="shared" si="75"/>
        <v>#REF!</v>
      </c>
      <c r="O770" s="665" t="e">
        <f>#REF!+M770</f>
        <v>#REF!</v>
      </c>
      <c r="P770" s="666" t="e">
        <f t="shared" si="76"/>
        <v>#REF!</v>
      </c>
      <c r="Q770" s="672"/>
      <c r="R770" s="668"/>
      <c r="S770" s="676"/>
      <c r="T770" s="676"/>
    </row>
    <row r="771" spans="1:20" s="677" customFormat="1" ht="46.5" hidden="1" customHeight="1">
      <c r="A771" s="662"/>
      <c r="B771" s="666">
        <f t="shared" ref="B771:B834" si="82">G771</f>
        <v>0</v>
      </c>
      <c r="C771" s="762" t="s">
        <v>1822</v>
      </c>
      <c r="D771" s="739">
        <v>6588</v>
      </c>
      <c r="E771" s="757" t="s">
        <v>522</v>
      </c>
      <c r="F771" s="663">
        <f t="shared" si="77"/>
        <v>0</v>
      </c>
      <c r="G771" s="684"/>
      <c r="H771" s="667">
        <f t="shared" si="80"/>
        <v>0</v>
      </c>
      <c r="I771" s="675"/>
      <c r="J771" s="667">
        <f t="shared" si="81"/>
        <v>0</v>
      </c>
      <c r="K771" s="667"/>
      <c r="L771" s="667"/>
      <c r="M771" s="667" t="e">
        <f>G771+#REF!+#REF!+#REF!+I771+#REF!+#REF!+#REF!+#REF!+#REF!+#REF!+K771+#REF!+#REF!+#REF!</f>
        <v>#REF!</v>
      </c>
      <c r="N771" s="667" t="e">
        <f t="shared" si="75"/>
        <v>#REF!</v>
      </c>
      <c r="O771" s="665" t="e">
        <f>#REF!+M771</f>
        <v>#REF!</v>
      </c>
      <c r="P771" s="666" t="e">
        <f t="shared" si="76"/>
        <v>#REF!</v>
      </c>
      <c r="Q771" s="672"/>
      <c r="R771" s="668"/>
      <c r="S771" s="676"/>
      <c r="T771" s="676"/>
    </row>
    <row r="772" spans="1:20" s="677" customFormat="1" ht="46.5" hidden="1" customHeight="1">
      <c r="A772" s="662"/>
      <c r="B772" s="666">
        <f t="shared" si="82"/>
        <v>0</v>
      </c>
      <c r="C772" s="762" t="s">
        <v>1823</v>
      </c>
      <c r="D772" s="739">
        <v>593</v>
      </c>
      <c r="E772" s="763" t="s">
        <v>522</v>
      </c>
      <c r="F772" s="663">
        <f t="shared" si="77"/>
        <v>0</v>
      </c>
      <c r="G772" s="684"/>
      <c r="H772" s="667">
        <f t="shared" si="80"/>
        <v>0</v>
      </c>
      <c r="I772" s="675"/>
      <c r="J772" s="667">
        <f t="shared" si="81"/>
        <v>0</v>
      </c>
      <c r="K772" s="667"/>
      <c r="L772" s="667"/>
      <c r="M772" s="667" t="e">
        <f>G772+#REF!+#REF!+#REF!+I772+#REF!+#REF!+#REF!+#REF!+#REF!+#REF!+K772+#REF!+#REF!+#REF!</f>
        <v>#REF!</v>
      </c>
      <c r="N772" s="667" t="e">
        <f t="shared" si="75"/>
        <v>#REF!</v>
      </c>
      <c r="O772" s="665" t="e">
        <f>#REF!+M772</f>
        <v>#REF!</v>
      </c>
      <c r="P772" s="666" t="e">
        <f t="shared" si="76"/>
        <v>#REF!</v>
      </c>
      <c r="Q772" s="672"/>
      <c r="R772" s="668"/>
      <c r="S772" s="676"/>
      <c r="T772" s="676"/>
    </row>
    <row r="773" spans="1:20" s="677" customFormat="1" ht="25.5" hidden="1" customHeight="1">
      <c r="A773" s="662"/>
      <c r="B773" s="666">
        <f t="shared" si="82"/>
        <v>0</v>
      </c>
      <c r="C773" s="738" t="s">
        <v>1824</v>
      </c>
      <c r="D773" s="739"/>
      <c r="E773" s="741"/>
      <c r="F773" s="663">
        <f t="shared" si="77"/>
        <v>0</v>
      </c>
      <c r="G773" s="684"/>
      <c r="H773" s="667">
        <f t="shared" si="80"/>
        <v>0</v>
      </c>
      <c r="I773" s="675"/>
      <c r="J773" s="667">
        <f t="shared" si="81"/>
        <v>0</v>
      </c>
      <c r="K773" s="667"/>
      <c r="L773" s="667"/>
      <c r="M773" s="667" t="e">
        <f>G773+#REF!+#REF!+#REF!+I773+#REF!+#REF!+#REF!+#REF!+#REF!+#REF!+K773+#REF!+#REF!+#REF!</f>
        <v>#REF!</v>
      </c>
      <c r="N773" s="667" t="e">
        <f t="shared" ref="N773:N836" si="83">M773*D773</f>
        <v>#REF!</v>
      </c>
      <c r="O773" s="665" t="e">
        <f>#REF!+M773</f>
        <v>#REF!</v>
      </c>
      <c r="P773" s="666" t="e">
        <f t="shared" ref="P773:P836" si="84">O773*D773</f>
        <v>#REF!</v>
      </c>
      <c r="Q773" s="672"/>
      <c r="R773" s="668"/>
      <c r="S773" s="676"/>
      <c r="T773" s="676"/>
    </row>
    <row r="774" spans="1:20" s="677" customFormat="1" ht="25.5" hidden="1" customHeight="1">
      <c r="A774" s="662"/>
      <c r="B774" s="666">
        <f t="shared" si="82"/>
        <v>0</v>
      </c>
      <c r="C774" s="738" t="s">
        <v>1825</v>
      </c>
      <c r="D774" s="739">
        <v>6300</v>
      </c>
      <c r="E774" s="741" t="s">
        <v>37</v>
      </c>
      <c r="F774" s="663">
        <f t="shared" si="77"/>
        <v>0</v>
      </c>
      <c r="G774" s="684"/>
      <c r="H774" s="667">
        <f t="shared" si="80"/>
        <v>0</v>
      </c>
      <c r="I774" s="675"/>
      <c r="J774" s="667">
        <f t="shared" si="81"/>
        <v>0</v>
      </c>
      <c r="K774" s="667"/>
      <c r="L774" s="667"/>
      <c r="M774" s="667" t="e">
        <f>G774+#REF!+#REF!+#REF!+I774+#REF!+#REF!+#REF!+#REF!+#REF!+#REF!+K774+#REF!+#REF!+#REF!</f>
        <v>#REF!</v>
      </c>
      <c r="N774" s="667" t="e">
        <f t="shared" si="83"/>
        <v>#REF!</v>
      </c>
      <c r="O774" s="665" t="e">
        <f>#REF!+M774</f>
        <v>#REF!</v>
      </c>
      <c r="P774" s="666" t="e">
        <f t="shared" si="84"/>
        <v>#REF!</v>
      </c>
      <c r="Q774" s="672"/>
      <c r="R774" s="668"/>
      <c r="S774" s="676"/>
      <c r="T774" s="676"/>
    </row>
    <row r="775" spans="1:20" s="677" customFormat="1" ht="25.5" hidden="1" customHeight="1">
      <c r="A775" s="662"/>
      <c r="B775" s="666">
        <f t="shared" si="82"/>
        <v>0</v>
      </c>
      <c r="C775" s="738" t="s">
        <v>1826</v>
      </c>
      <c r="D775" s="739">
        <v>6300</v>
      </c>
      <c r="E775" s="741" t="s">
        <v>37</v>
      </c>
      <c r="F775" s="663">
        <f t="shared" si="77"/>
        <v>0</v>
      </c>
      <c r="G775" s="684"/>
      <c r="H775" s="667">
        <f t="shared" si="80"/>
        <v>0</v>
      </c>
      <c r="I775" s="675"/>
      <c r="J775" s="667">
        <f t="shared" si="81"/>
        <v>0</v>
      </c>
      <c r="K775" s="667"/>
      <c r="L775" s="667"/>
      <c r="M775" s="667" t="e">
        <f>G775+#REF!+#REF!+#REF!+I775+#REF!+#REF!+#REF!+#REF!+#REF!+#REF!+K775+#REF!+#REF!+#REF!</f>
        <v>#REF!</v>
      </c>
      <c r="N775" s="667" t="e">
        <f t="shared" si="83"/>
        <v>#REF!</v>
      </c>
      <c r="O775" s="665" t="e">
        <f>#REF!+M775</f>
        <v>#REF!</v>
      </c>
      <c r="P775" s="666" t="e">
        <f t="shared" si="84"/>
        <v>#REF!</v>
      </c>
      <c r="Q775" s="672"/>
      <c r="R775" s="668"/>
      <c r="S775" s="676"/>
      <c r="T775" s="676"/>
    </row>
    <row r="776" spans="1:20" s="677" customFormat="1" ht="25.5" hidden="1" customHeight="1">
      <c r="A776" s="662"/>
      <c r="B776" s="666">
        <f t="shared" si="82"/>
        <v>0</v>
      </c>
      <c r="C776" s="738" t="s">
        <v>1827</v>
      </c>
      <c r="D776" s="739">
        <v>6300</v>
      </c>
      <c r="E776" s="741" t="s">
        <v>37</v>
      </c>
      <c r="F776" s="663">
        <f t="shared" si="77"/>
        <v>0</v>
      </c>
      <c r="G776" s="684"/>
      <c r="H776" s="667">
        <f t="shared" si="80"/>
        <v>0</v>
      </c>
      <c r="I776" s="675"/>
      <c r="J776" s="667">
        <f t="shared" si="81"/>
        <v>0</v>
      </c>
      <c r="K776" s="667"/>
      <c r="L776" s="667"/>
      <c r="M776" s="667" t="e">
        <f>G776+#REF!+#REF!+#REF!+I776+#REF!+#REF!+#REF!+#REF!+#REF!+#REF!+K776+#REF!+#REF!+#REF!</f>
        <v>#REF!</v>
      </c>
      <c r="N776" s="667" t="e">
        <f t="shared" si="83"/>
        <v>#REF!</v>
      </c>
      <c r="O776" s="665" t="e">
        <f>#REF!+M776</f>
        <v>#REF!</v>
      </c>
      <c r="P776" s="666" t="e">
        <f t="shared" si="84"/>
        <v>#REF!</v>
      </c>
      <c r="Q776" s="672"/>
      <c r="R776" s="668"/>
      <c r="S776" s="676"/>
      <c r="T776" s="676"/>
    </row>
    <row r="777" spans="1:20" s="677" customFormat="1" ht="25.5" hidden="1" customHeight="1">
      <c r="A777" s="662"/>
      <c r="B777" s="666">
        <f t="shared" si="82"/>
        <v>0</v>
      </c>
      <c r="C777" s="738" t="s">
        <v>1828</v>
      </c>
      <c r="D777" s="739">
        <v>6300</v>
      </c>
      <c r="E777" s="741" t="s">
        <v>37</v>
      </c>
      <c r="F777" s="663">
        <f t="shared" si="77"/>
        <v>0</v>
      </c>
      <c r="G777" s="684"/>
      <c r="H777" s="667">
        <f t="shared" si="80"/>
        <v>0</v>
      </c>
      <c r="I777" s="675"/>
      <c r="J777" s="667">
        <f t="shared" si="81"/>
        <v>0</v>
      </c>
      <c r="K777" s="667"/>
      <c r="L777" s="667"/>
      <c r="M777" s="667" t="e">
        <f>G777+#REF!+#REF!+#REF!+I777+#REF!+#REF!+#REF!+#REF!+#REF!+#REF!+K777+#REF!+#REF!+#REF!</f>
        <v>#REF!</v>
      </c>
      <c r="N777" s="667" t="e">
        <f t="shared" si="83"/>
        <v>#REF!</v>
      </c>
      <c r="O777" s="665" t="e">
        <f>#REF!+M777</f>
        <v>#REF!</v>
      </c>
      <c r="P777" s="666" t="e">
        <f t="shared" si="84"/>
        <v>#REF!</v>
      </c>
      <c r="Q777" s="672"/>
      <c r="R777" s="668"/>
      <c r="S777" s="676"/>
      <c r="T777" s="676"/>
    </row>
    <row r="778" spans="1:20" s="677" customFormat="1" ht="25.5" hidden="1" customHeight="1">
      <c r="A778" s="662"/>
      <c r="B778" s="666">
        <f t="shared" si="82"/>
        <v>0</v>
      </c>
      <c r="C778" s="738" t="s">
        <v>1829</v>
      </c>
      <c r="D778" s="739">
        <v>6300</v>
      </c>
      <c r="E778" s="741" t="s">
        <v>37</v>
      </c>
      <c r="F778" s="663">
        <f t="shared" si="77"/>
        <v>0</v>
      </c>
      <c r="G778" s="684"/>
      <c r="H778" s="667">
        <f t="shared" si="80"/>
        <v>0</v>
      </c>
      <c r="I778" s="675"/>
      <c r="J778" s="667">
        <f t="shared" si="81"/>
        <v>0</v>
      </c>
      <c r="K778" s="667"/>
      <c r="L778" s="667"/>
      <c r="M778" s="667" t="e">
        <f>G778+#REF!+#REF!+#REF!+I778+#REF!+#REF!+#REF!+#REF!+#REF!+#REF!+K778+#REF!+#REF!+#REF!</f>
        <v>#REF!</v>
      </c>
      <c r="N778" s="667" t="e">
        <f t="shared" si="83"/>
        <v>#REF!</v>
      </c>
      <c r="O778" s="665" t="e">
        <f>#REF!+M778</f>
        <v>#REF!</v>
      </c>
      <c r="P778" s="666" t="e">
        <f t="shared" si="84"/>
        <v>#REF!</v>
      </c>
      <c r="Q778" s="672"/>
      <c r="R778" s="668"/>
      <c r="S778" s="676"/>
      <c r="T778" s="676"/>
    </row>
    <row r="779" spans="1:20" s="677" customFormat="1" ht="25.5" hidden="1" customHeight="1">
      <c r="A779" s="662"/>
      <c r="B779" s="666">
        <f t="shared" si="82"/>
        <v>0</v>
      </c>
      <c r="C779" s="738" t="s">
        <v>1830</v>
      </c>
      <c r="D779" s="739">
        <v>6300</v>
      </c>
      <c r="E779" s="741" t="s">
        <v>37</v>
      </c>
      <c r="F779" s="663">
        <f t="shared" si="77"/>
        <v>0</v>
      </c>
      <c r="G779" s="684"/>
      <c r="H779" s="667">
        <f t="shared" si="80"/>
        <v>0</v>
      </c>
      <c r="I779" s="675"/>
      <c r="J779" s="667">
        <f t="shared" si="81"/>
        <v>0</v>
      </c>
      <c r="K779" s="667"/>
      <c r="L779" s="667"/>
      <c r="M779" s="667" t="e">
        <f>G779+#REF!+#REF!+#REF!+I779+#REF!+#REF!+#REF!+#REF!+#REF!+#REF!+K779+#REF!+#REF!+#REF!</f>
        <v>#REF!</v>
      </c>
      <c r="N779" s="667" t="e">
        <f t="shared" si="83"/>
        <v>#REF!</v>
      </c>
      <c r="O779" s="665" t="e">
        <f>#REF!+M779</f>
        <v>#REF!</v>
      </c>
      <c r="P779" s="666" t="e">
        <f t="shared" si="84"/>
        <v>#REF!</v>
      </c>
      <c r="Q779" s="672"/>
      <c r="R779" s="668"/>
      <c r="S779" s="676"/>
      <c r="T779" s="676"/>
    </row>
    <row r="780" spans="1:20" s="677" customFormat="1" ht="25.5" hidden="1" customHeight="1">
      <c r="A780" s="662"/>
      <c r="B780" s="666">
        <f t="shared" si="82"/>
        <v>0</v>
      </c>
      <c r="C780" s="738" t="s">
        <v>1831</v>
      </c>
      <c r="D780" s="739">
        <v>6300</v>
      </c>
      <c r="E780" s="741" t="s">
        <v>37</v>
      </c>
      <c r="F780" s="663">
        <f t="shared" si="77"/>
        <v>0</v>
      </c>
      <c r="G780" s="684"/>
      <c r="H780" s="667">
        <f t="shared" si="80"/>
        <v>0</v>
      </c>
      <c r="I780" s="675"/>
      <c r="J780" s="667">
        <f t="shared" si="81"/>
        <v>0</v>
      </c>
      <c r="K780" s="667"/>
      <c r="L780" s="667"/>
      <c r="M780" s="667" t="e">
        <f>G780+#REF!+#REF!+#REF!+I780+#REF!+#REF!+#REF!+#REF!+#REF!+#REF!+K780+#REF!+#REF!+#REF!</f>
        <v>#REF!</v>
      </c>
      <c r="N780" s="667" t="e">
        <f t="shared" si="83"/>
        <v>#REF!</v>
      </c>
      <c r="O780" s="665" t="e">
        <f>#REF!+M780</f>
        <v>#REF!</v>
      </c>
      <c r="P780" s="666" t="e">
        <f t="shared" si="84"/>
        <v>#REF!</v>
      </c>
      <c r="Q780" s="672"/>
      <c r="R780" s="668"/>
      <c r="S780" s="676"/>
      <c r="T780" s="676"/>
    </row>
    <row r="781" spans="1:20" s="677" customFormat="1" ht="25.5" hidden="1" customHeight="1">
      <c r="A781" s="662"/>
      <c r="B781" s="666">
        <f t="shared" si="82"/>
        <v>0</v>
      </c>
      <c r="C781" s="738" t="s">
        <v>1832</v>
      </c>
      <c r="D781" s="739">
        <v>6300</v>
      </c>
      <c r="E781" s="741" t="s">
        <v>37</v>
      </c>
      <c r="F781" s="663">
        <f t="shared" si="77"/>
        <v>0</v>
      </c>
      <c r="G781" s="684"/>
      <c r="H781" s="667">
        <f t="shared" si="80"/>
        <v>0</v>
      </c>
      <c r="I781" s="675"/>
      <c r="J781" s="667">
        <f t="shared" si="81"/>
        <v>0</v>
      </c>
      <c r="K781" s="667"/>
      <c r="L781" s="667"/>
      <c r="M781" s="667" t="e">
        <f>G781+#REF!+#REF!+#REF!+I781+#REF!+#REF!+#REF!+#REF!+#REF!+#REF!+K781+#REF!+#REF!+#REF!</f>
        <v>#REF!</v>
      </c>
      <c r="N781" s="667" t="e">
        <f t="shared" si="83"/>
        <v>#REF!</v>
      </c>
      <c r="O781" s="665" t="e">
        <f>#REF!+M781</f>
        <v>#REF!</v>
      </c>
      <c r="P781" s="666" t="e">
        <f t="shared" si="84"/>
        <v>#REF!</v>
      </c>
      <c r="Q781" s="672"/>
      <c r="R781" s="668"/>
      <c r="S781" s="676"/>
      <c r="T781" s="676"/>
    </row>
    <row r="782" spans="1:20" s="677" customFormat="1" ht="26.25" hidden="1" customHeight="1">
      <c r="A782" s="662"/>
      <c r="B782" s="666">
        <f t="shared" si="82"/>
        <v>0</v>
      </c>
      <c r="C782" s="685" t="s">
        <v>1833</v>
      </c>
      <c r="D782" s="739"/>
      <c r="E782" s="741"/>
      <c r="F782" s="663">
        <f t="shared" si="77"/>
        <v>0</v>
      </c>
      <c r="G782" s="684"/>
      <c r="H782" s="667">
        <f t="shared" si="80"/>
        <v>0</v>
      </c>
      <c r="I782" s="675"/>
      <c r="J782" s="667">
        <f t="shared" si="81"/>
        <v>0</v>
      </c>
      <c r="K782" s="667"/>
      <c r="L782" s="667"/>
      <c r="M782" s="667" t="e">
        <f>G782+#REF!+#REF!+#REF!+I782+#REF!+#REF!+#REF!+#REF!+#REF!+#REF!+K782+#REF!+#REF!+#REF!</f>
        <v>#REF!</v>
      </c>
      <c r="N782" s="667" t="e">
        <f t="shared" si="83"/>
        <v>#REF!</v>
      </c>
      <c r="O782" s="665" t="e">
        <f>#REF!+M782</f>
        <v>#REF!</v>
      </c>
      <c r="P782" s="666" t="e">
        <f t="shared" si="84"/>
        <v>#REF!</v>
      </c>
      <c r="Q782" s="672"/>
      <c r="R782" s="668"/>
      <c r="S782" s="676"/>
      <c r="T782" s="676"/>
    </row>
    <row r="783" spans="1:20" s="677" customFormat="1" ht="25.5" hidden="1" customHeight="1">
      <c r="A783" s="662"/>
      <c r="B783" s="666">
        <f t="shared" si="82"/>
        <v>0</v>
      </c>
      <c r="C783" s="738" t="s">
        <v>1834</v>
      </c>
      <c r="D783" s="739">
        <v>8520</v>
      </c>
      <c r="E783" s="741" t="s">
        <v>522</v>
      </c>
      <c r="F783" s="663">
        <f t="shared" si="77"/>
        <v>0</v>
      </c>
      <c r="G783" s="684"/>
      <c r="H783" s="667">
        <f t="shared" si="80"/>
        <v>0</v>
      </c>
      <c r="I783" s="675"/>
      <c r="J783" s="667">
        <f t="shared" si="81"/>
        <v>0</v>
      </c>
      <c r="K783" s="667"/>
      <c r="L783" s="667"/>
      <c r="M783" s="667" t="e">
        <f>G783+#REF!+#REF!+#REF!+I783+#REF!+#REF!+#REF!+#REF!+#REF!+#REF!+K783+#REF!+#REF!+#REF!</f>
        <v>#REF!</v>
      </c>
      <c r="N783" s="667" t="e">
        <f t="shared" si="83"/>
        <v>#REF!</v>
      </c>
      <c r="O783" s="665" t="e">
        <f>#REF!+M783</f>
        <v>#REF!</v>
      </c>
      <c r="P783" s="666" t="e">
        <f t="shared" si="84"/>
        <v>#REF!</v>
      </c>
      <c r="Q783" s="672"/>
      <c r="R783" s="668"/>
      <c r="S783" s="676"/>
      <c r="T783" s="676"/>
    </row>
    <row r="784" spans="1:20" s="677" customFormat="1" ht="46.5" hidden="1" customHeight="1">
      <c r="A784" s="662"/>
      <c r="B784" s="666">
        <f t="shared" si="82"/>
        <v>0</v>
      </c>
      <c r="C784" s="685" t="s">
        <v>1835</v>
      </c>
      <c r="D784" s="739"/>
      <c r="E784" s="741"/>
      <c r="F784" s="663">
        <f t="shared" si="77"/>
        <v>0</v>
      </c>
      <c r="G784" s="684"/>
      <c r="H784" s="667">
        <f t="shared" si="80"/>
        <v>0</v>
      </c>
      <c r="I784" s="675"/>
      <c r="J784" s="667">
        <f t="shared" si="81"/>
        <v>0</v>
      </c>
      <c r="K784" s="667"/>
      <c r="L784" s="667"/>
      <c r="M784" s="667" t="e">
        <f>G784+#REF!+#REF!+#REF!+I784+#REF!+#REF!+#REF!+#REF!+#REF!+#REF!+K784+#REF!+#REF!+#REF!</f>
        <v>#REF!</v>
      </c>
      <c r="N784" s="667" t="e">
        <f t="shared" si="83"/>
        <v>#REF!</v>
      </c>
      <c r="O784" s="665" t="e">
        <f>#REF!+M784</f>
        <v>#REF!</v>
      </c>
      <c r="P784" s="666" t="e">
        <f t="shared" si="84"/>
        <v>#REF!</v>
      </c>
      <c r="Q784" s="672"/>
      <c r="R784" s="668"/>
      <c r="S784" s="676"/>
      <c r="T784" s="676"/>
    </row>
    <row r="785" spans="1:20" s="677" customFormat="1" ht="25.5" hidden="1" customHeight="1">
      <c r="A785" s="662"/>
      <c r="B785" s="666">
        <f t="shared" si="82"/>
        <v>0</v>
      </c>
      <c r="C785" s="738" t="s">
        <v>1836</v>
      </c>
      <c r="D785" s="739">
        <f>[14]Data!K2492</f>
        <v>4353.33</v>
      </c>
      <c r="E785" s="741" t="s">
        <v>37</v>
      </c>
      <c r="F785" s="663">
        <f t="shared" ref="F785:F844" si="85">B785*D785</f>
        <v>0</v>
      </c>
      <c r="G785" s="684"/>
      <c r="H785" s="667">
        <f t="shared" si="80"/>
        <v>0</v>
      </c>
      <c r="I785" s="675"/>
      <c r="J785" s="667">
        <f t="shared" si="81"/>
        <v>0</v>
      </c>
      <c r="K785" s="667"/>
      <c r="L785" s="667"/>
      <c r="M785" s="667" t="e">
        <f>G785+#REF!+#REF!+#REF!+I785+#REF!+#REF!+#REF!+#REF!+#REF!+#REF!+K785+#REF!+#REF!+#REF!</f>
        <v>#REF!</v>
      </c>
      <c r="N785" s="667" t="e">
        <f t="shared" si="83"/>
        <v>#REF!</v>
      </c>
      <c r="O785" s="665" t="e">
        <f>#REF!+M785</f>
        <v>#REF!</v>
      </c>
      <c r="P785" s="666" t="e">
        <f t="shared" si="84"/>
        <v>#REF!</v>
      </c>
      <c r="Q785" s="672"/>
      <c r="R785" s="668"/>
      <c r="S785" s="676"/>
      <c r="T785" s="676"/>
    </row>
    <row r="786" spans="1:20" s="677" customFormat="1" ht="25.5" hidden="1" customHeight="1">
      <c r="A786" s="662"/>
      <c r="B786" s="666">
        <f t="shared" si="82"/>
        <v>0</v>
      </c>
      <c r="C786" s="738" t="s">
        <v>1837</v>
      </c>
      <c r="D786" s="675">
        <v>5654</v>
      </c>
      <c r="E786" s="742" t="s">
        <v>1838</v>
      </c>
      <c r="F786" s="663">
        <f t="shared" si="85"/>
        <v>0</v>
      </c>
      <c r="G786" s="684"/>
      <c r="H786" s="667">
        <f t="shared" si="80"/>
        <v>0</v>
      </c>
      <c r="I786" s="675"/>
      <c r="J786" s="667">
        <f t="shared" si="81"/>
        <v>0</v>
      </c>
      <c r="K786" s="667"/>
      <c r="L786" s="667"/>
      <c r="M786" s="667" t="e">
        <f>G786+#REF!+#REF!+#REF!+I786+#REF!+#REF!+#REF!+#REF!+#REF!+#REF!+K786+#REF!+#REF!+#REF!</f>
        <v>#REF!</v>
      </c>
      <c r="N786" s="667" t="e">
        <f t="shared" si="83"/>
        <v>#REF!</v>
      </c>
      <c r="O786" s="665" t="e">
        <f>#REF!+M786</f>
        <v>#REF!</v>
      </c>
      <c r="P786" s="666" t="e">
        <f t="shared" si="84"/>
        <v>#REF!</v>
      </c>
      <c r="Q786" s="672"/>
      <c r="R786" s="668"/>
      <c r="S786" s="676"/>
      <c r="T786" s="676"/>
    </row>
    <row r="787" spans="1:20" s="677" customFormat="1" ht="81.75" hidden="1" customHeight="1">
      <c r="A787" s="662"/>
      <c r="B787" s="666">
        <f t="shared" si="82"/>
        <v>0</v>
      </c>
      <c r="C787" s="764" t="s">
        <v>1839</v>
      </c>
      <c r="D787" s="675">
        <v>6500</v>
      </c>
      <c r="E787" s="765" t="s">
        <v>37</v>
      </c>
      <c r="F787" s="663">
        <f t="shared" si="85"/>
        <v>0</v>
      </c>
      <c r="G787" s="684"/>
      <c r="H787" s="667">
        <f t="shared" si="80"/>
        <v>0</v>
      </c>
      <c r="I787" s="675"/>
      <c r="J787" s="667">
        <f t="shared" si="81"/>
        <v>0</v>
      </c>
      <c r="K787" s="667"/>
      <c r="L787" s="667"/>
      <c r="M787" s="667" t="e">
        <f>G787+#REF!+#REF!+#REF!+I787+#REF!+#REF!+#REF!+#REF!+#REF!+#REF!+K787+#REF!+#REF!+#REF!</f>
        <v>#REF!</v>
      </c>
      <c r="N787" s="667" t="e">
        <f t="shared" si="83"/>
        <v>#REF!</v>
      </c>
      <c r="O787" s="665" t="e">
        <f>#REF!+M787</f>
        <v>#REF!</v>
      </c>
      <c r="P787" s="666" t="e">
        <f t="shared" si="84"/>
        <v>#REF!</v>
      </c>
      <c r="Q787" s="672"/>
      <c r="R787" s="668"/>
      <c r="S787" s="676"/>
      <c r="T787" s="676"/>
    </row>
    <row r="788" spans="1:20" s="677" customFormat="1" ht="65.25" hidden="1" customHeight="1">
      <c r="A788" s="662"/>
      <c r="B788" s="666">
        <f t="shared" si="82"/>
        <v>0</v>
      </c>
      <c r="C788" s="764" t="s">
        <v>1840</v>
      </c>
      <c r="D788" s="675">
        <v>6000</v>
      </c>
      <c r="E788" s="765" t="s">
        <v>37</v>
      </c>
      <c r="F788" s="663">
        <f t="shared" si="85"/>
        <v>0</v>
      </c>
      <c r="G788" s="684"/>
      <c r="H788" s="667">
        <f t="shared" si="80"/>
        <v>0</v>
      </c>
      <c r="I788" s="675"/>
      <c r="J788" s="667">
        <f t="shared" si="81"/>
        <v>0</v>
      </c>
      <c r="K788" s="667"/>
      <c r="L788" s="667"/>
      <c r="M788" s="667" t="e">
        <f>G788+#REF!+#REF!+#REF!+I788+#REF!+#REF!+#REF!+#REF!+#REF!+#REF!+K788+#REF!+#REF!+#REF!</f>
        <v>#REF!</v>
      </c>
      <c r="N788" s="667" t="e">
        <f t="shared" si="83"/>
        <v>#REF!</v>
      </c>
      <c r="O788" s="665" t="e">
        <f>#REF!+M788</f>
        <v>#REF!</v>
      </c>
      <c r="P788" s="666" t="e">
        <f t="shared" si="84"/>
        <v>#REF!</v>
      </c>
      <c r="Q788" s="672"/>
      <c r="R788" s="668"/>
      <c r="S788" s="676"/>
      <c r="T788" s="676"/>
    </row>
    <row r="789" spans="1:20" s="677" customFormat="1" ht="46.5" hidden="1" customHeight="1">
      <c r="A789" s="662"/>
      <c r="B789" s="666">
        <f t="shared" si="82"/>
        <v>0</v>
      </c>
      <c r="C789" s="738" t="s">
        <v>1841</v>
      </c>
      <c r="D789" s="739">
        <v>2286.4499999999998</v>
      </c>
      <c r="E789" s="741" t="s">
        <v>522</v>
      </c>
      <c r="F789" s="663">
        <f t="shared" si="85"/>
        <v>0</v>
      </c>
      <c r="G789" s="684"/>
      <c r="H789" s="667">
        <f t="shared" si="80"/>
        <v>0</v>
      </c>
      <c r="I789" s="675"/>
      <c r="J789" s="667">
        <f t="shared" si="81"/>
        <v>0</v>
      </c>
      <c r="K789" s="667"/>
      <c r="L789" s="667"/>
      <c r="M789" s="667" t="e">
        <f>G789+#REF!+#REF!+#REF!+I789+#REF!+#REF!+#REF!+#REF!+#REF!+#REF!+K789+#REF!+#REF!+#REF!</f>
        <v>#REF!</v>
      </c>
      <c r="N789" s="667" t="e">
        <f t="shared" si="83"/>
        <v>#REF!</v>
      </c>
      <c r="O789" s="665" t="e">
        <f>#REF!+M789</f>
        <v>#REF!</v>
      </c>
      <c r="P789" s="666" t="e">
        <f t="shared" si="84"/>
        <v>#REF!</v>
      </c>
      <c r="Q789" s="672"/>
      <c r="R789" s="668"/>
      <c r="S789" s="676"/>
      <c r="T789" s="676"/>
    </row>
    <row r="790" spans="1:20" s="677" customFormat="1" ht="86.25" hidden="1" customHeight="1">
      <c r="A790" s="662"/>
      <c r="B790" s="666">
        <f t="shared" si="82"/>
        <v>0</v>
      </c>
      <c r="C790" s="743" t="s">
        <v>1842</v>
      </c>
      <c r="D790" s="684">
        <v>2240</v>
      </c>
      <c r="E790" s="766" t="s">
        <v>37</v>
      </c>
      <c r="F790" s="663">
        <f t="shared" si="85"/>
        <v>0</v>
      </c>
      <c r="G790" s="684"/>
      <c r="H790" s="667">
        <f t="shared" si="80"/>
        <v>0</v>
      </c>
      <c r="I790" s="675"/>
      <c r="J790" s="667">
        <f t="shared" si="81"/>
        <v>0</v>
      </c>
      <c r="K790" s="667"/>
      <c r="L790" s="667"/>
      <c r="M790" s="667" t="e">
        <f>G790+#REF!+#REF!+#REF!+I790+#REF!+#REF!+#REF!+#REF!+#REF!+#REF!+K790+#REF!+#REF!+#REF!</f>
        <v>#REF!</v>
      </c>
      <c r="N790" s="667" t="e">
        <f t="shared" si="83"/>
        <v>#REF!</v>
      </c>
      <c r="O790" s="665" t="e">
        <f>#REF!+M790</f>
        <v>#REF!</v>
      </c>
      <c r="P790" s="666" t="e">
        <f t="shared" si="84"/>
        <v>#REF!</v>
      </c>
      <c r="Q790" s="672"/>
      <c r="R790" s="668"/>
      <c r="S790" s="676"/>
      <c r="T790" s="676"/>
    </row>
    <row r="791" spans="1:20" s="677" customFormat="1" ht="46.5" hidden="1" customHeight="1">
      <c r="A791" s="662"/>
      <c r="B791" s="666">
        <f t="shared" si="82"/>
        <v>0</v>
      </c>
      <c r="C791" s="685" t="s">
        <v>1843</v>
      </c>
      <c r="D791" s="739"/>
      <c r="E791" s="741"/>
      <c r="F791" s="663">
        <f t="shared" si="85"/>
        <v>0</v>
      </c>
      <c r="G791" s="684"/>
      <c r="H791" s="667">
        <f t="shared" si="80"/>
        <v>0</v>
      </c>
      <c r="I791" s="675"/>
      <c r="J791" s="667">
        <f t="shared" si="81"/>
        <v>0</v>
      </c>
      <c r="K791" s="667"/>
      <c r="L791" s="667"/>
      <c r="M791" s="667" t="e">
        <f>G791+#REF!+#REF!+#REF!+I791+#REF!+#REF!+#REF!+#REF!+#REF!+#REF!+K791+#REF!+#REF!+#REF!</f>
        <v>#REF!</v>
      </c>
      <c r="N791" s="667" t="e">
        <f t="shared" si="83"/>
        <v>#REF!</v>
      </c>
      <c r="O791" s="665" t="e">
        <f>#REF!+M791</f>
        <v>#REF!</v>
      </c>
      <c r="P791" s="666" t="e">
        <f t="shared" si="84"/>
        <v>#REF!</v>
      </c>
      <c r="Q791" s="672"/>
      <c r="R791" s="668"/>
      <c r="S791" s="676"/>
      <c r="T791" s="676"/>
    </row>
    <row r="792" spans="1:20" s="677" customFormat="1" ht="25.5" hidden="1" customHeight="1">
      <c r="A792" s="662"/>
      <c r="B792" s="666">
        <f t="shared" si="82"/>
        <v>0</v>
      </c>
      <c r="C792" s="663" t="s">
        <v>1844</v>
      </c>
      <c r="D792" s="739">
        <f>[14]Data!X3628</f>
        <v>2795.43</v>
      </c>
      <c r="E792" s="741" t="s">
        <v>37</v>
      </c>
      <c r="F792" s="663">
        <f t="shared" si="85"/>
        <v>0</v>
      </c>
      <c r="G792" s="684"/>
      <c r="H792" s="667">
        <f t="shared" si="80"/>
        <v>0</v>
      </c>
      <c r="I792" s="675"/>
      <c r="J792" s="667">
        <f t="shared" si="81"/>
        <v>0</v>
      </c>
      <c r="K792" s="667"/>
      <c r="L792" s="667"/>
      <c r="M792" s="667" t="e">
        <f>G792+#REF!+#REF!+#REF!+I792+#REF!+#REF!+#REF!+#REF!+#REF!+#REF!+K792+#REF!+#REF!+#REF!</f>
        <v>#REF!</v>
      </c>
      <c r="N792" s="667" t="e">
        <f t="shared" si="83"/>
        <v>#REF!</v>
      </c>
      <c r="O792" s="665" t="e">
        <f>#REF!+M792</f>
        <v>#REF!</v>
      </c>
      <c r="P792" s="666" t="e">
        <f t="shared" si="84"/>
        <v>#REF!</v>
      </c>
      <c r="Q792" s="672"/>
      <c r="R792" s="668"/>
      <c r="S792" s="676"/>
      <c r="T792" s="676"/>
    </row>
    <row r="793" spans="1:20" s="677" customFormat="1" ht="45" hidden="1" customHeight="1">
      <c r="A793" s="662"/>
      <c r="B793" s="666">
        <f t="shared" si="82"/>
        <v>0</v>
      </c>
      <c r="C793" s="663" t="s">
        <v>1845</v>
      </c>
      <c r="D793" s="739">
        <f>[14]Data!K3533</f>
        <v>3127.38</v>
      </c>
      <c r="E793" s="741" t="s">
        <v>37</v>
      </c>
      <c r="F793" s="663">
        <f t="shared" si="85"/>
        <v>0</v>
      </c>
      <c r="G793" s="684"/>
      <c r="H793" s="667">
        <f t="shared" si="80"/>
        <v>0</v>
      </c>
      <c r="I793" s="675"/>
      <c r="J793" s="667">
        <f t="shared" si="81"/>
        <v>0</v>
      </c>
      <c r="K793" s="667"/>
      <c r="L793" s="667"/>
      <c r="M793" s="667" t="e">
        <f>G793+#REF!+#REF!+#REF!+I793+#REF!+#REF!+#REF!+#REF!+#REF!+#REF!+K793+#REF!+#REF!+#REF!</f>
        <v>#REF!</v>
      </c>
      <c r="N793" s="667" t="e">
        <f t="shared" si="83"/>
        <v>#REF!</v>
      </c>
      <c r="O793" s="665" t="e">
        <f>#REF!+M793</f>
        <v>#REF!</v>
      </c>
      <c r="P793" s="666" t="e">
        <f t="shared" si="84"/>
        <v>#REF!</v>
      </c>
      <c r="Q793" s="672"/>
      <c r="R793" s="668"/>
      <c r="S793" s="676"/>
      <c r="T793" s="676"/>
    </row>
    <row r="794" spans="1:20" s="677" customFormat="1" ht="25.5" hidden="1" customHeight="1">
      <c r="A794" s="662"/>
      <c r="B794" s="666">
        <f t="shared" si="82"/>
        <v>0</v>
      </c>
      <c r="C794" s="663" t="s">
        <v>1846</v>
      </c>
      <c r="D794" s="739">
        <f>[14]Data!K3549</f>
        <v>2997.34</v>
      </c>
      <c r="E794" s="741" t="s">
        <v>37</v>
      </c>
      <c r="F794" s="663">
        <f t="shared" si="85"/>
        <v>0</v>
      </c>
      <c r="G794" s="684"/>
      <c r="H794" s="667">
        <f t="shared" si="80"/>
        <v>0</v>
      </c>
      <c r="I794" s="675"/>
      <c r="J794" s="667">
        <f t="shared" si="81"/>
        <v>0</v>
      </c>
      <c r="K794" s="667"/>
      <c r="L794" s="667"/>
      <c r="M794" s="667" t="e">
        <f>G794+#REF!+#REF!+#REF!+I794+#REF!+#REF!+#REF!+#REF!+#REF!+#REF!+K794+#REF!+#REF!+#REF!</f>
        <v>#REF!</v>
      </c>
      <c r="N794" s="667" t="e">
        <f t="shared" si="83"/>
        <v>#REF!</v>
      </c>
      <c r="O794" s="665" t="e">
        <f>#REF!+M794</f>
        <v>#REF!</v>
      </c>
      <c r="P794" s="666" t="e">
        <f t="shared" si="84"/>
        <v>#REF!</v>
      </c>
      <c r="Q794" s="672"/>
      <c r="R794" s="668"/>
      <c r="S794" s="676"/>
      <c r="T794" s="676"/>
    </row>
    <row r="795" spans="1:20" s="677" customFormat="1" ht="25.5" hidden="1" customHeight="1">
      <c r="A795" s="662"/>
      <c r="B795" s="666">
        <f t="shared" si="82"/>
        <v>0</v>
      </c>
      <c r="C795" s="663" t="s">
        <v>1847</v>
      </c>
      <c r="D795" s="739">
        <v>2225.27</v>
      </c>
      <c r="E795" s="741" t="s">
        <v>37</v>
      </c>
      <c r="F795" s="663">
        <f t="shared" si="85"/>
        <v>0</v>
      </c>
      <c r="G795" s="684"/>
      <c r="H795" s="667">
        <f t="shared" si="80"/>
        <v>0</v>
      </c>
      <c r="I795" s="675"/>
      <c r="J795" s="667">
        <f t="shared" si="81"/>
        <v>0</v>
      </c>
      <c r="K795" s="667"/>
      <c r="L795" s="667"/>
      <c r="M795" s="667" t="e">
        <f>G795+#REF!+#REF!+#REF!+I795+#REF!+#REF!+#REF!+#REF!+#REF!+#REF!+K795+#REF!+#REF!+#REF!</f>
        <v>#REF!</v>
      </c>
      <c r="N795" s="667" t="e">
        <f t="shared" si="83"/>
        <v>#REF!</v>
      </c>
      <c r="O795" s="665" t="e">
        <f>#REF!+M795</f>
        <v>#REF!</v>
      </c>
      <c r="P795" s="666" t="e">
        <f t="shared" si="84"/>
        <v>#REF!</v>
      </c>
      <c r="Q795" s="672"/>
      <c r="R795" s="668"/>
      <c r="S795" s="676"/>
      <c r="T795" s="676"/>
    </row>
    <row r="796" spans="1:20" s="677" customFormat="1" ht="48" hidden="1" customHeight="1">
      <c r="A796" s="662"/>
      <c r="B796" s="666">
        <f t="shared" si="82"/>
        <v>0</v>
      </c>
      <c r="C796" s="663" t="s">
        <v>1848</v>
      </c>
      <c r="D796" s="739">
        <f>[14]Data!X3549</f>
        <v>2959.11</v>
      </c>
      <c r="E796" s="741" t="s">
        <v>37</v>
      </c>
      <c r="F796" s="663">
        <f t="shared" si="85"/>
        <v>0</v>
      </c>
      <c r="G796" s="684"/>
      <c r="H796" s="667">
        <f t="shared" si="80"/>
        <v>0</v>
      </c>
      <c r="I796" s="675"/>
      <c r="J796" s="667">
        <f t="shared" si="81"/>
        <v>0</v>
      </c>
      <c r="K796" s="667"/>
      <c r="L796" s="667"/>
      <c r="M796" s="667" t="e">
        <f>G796+#REF!+#REF!+#REF!+I796+#REF!+#REF!+#REF!+#REF!+#REF!+#REF!+K796+#REF!+#REF!+#REF!</f>
        <v>#REF!</v>
      </c>
      <c r="N796" s="667" t="e">
        <f t="shared" si="83"/>
        <v>#REF!</v>
      </c>
      <c r="O796" s="665" t="e">
        <f>#REF!+M796</f>
        <v>#REF!</v>
      </c>
      <c r="P796" s="666" t="e">
        <f t="shared" si="84"/>
        <v>#REF!</v>
      </c>
      <c r="Q796" s="672"/>
      <c r="R796" s="668"/>
      <c r="S796" s="676"/>
      <c r="T796" s="676"/>
    </row>
    <row r="797" spans="1:20" s="677" customFormat="1" ht="25.5" hidden="1" customHeight="1">
      <c r="A797" s="662"/>
      <c r="B797" s="666">
        <f t="shared" si="82"/>
        <v>0</v>
      </c>
      <c r="C797" s="663" t="s">
        <v>1849</v>
      </c>
      <c r="D797" s="739">
        <f>[14]Data!X3565</f>
        <v>3204.22</v>
      </c>
      <c r="E797" s="741" t="s">
        <v>37</v>
      </c>
      <c r="F797" s="663">
        <f t="shared" si="85"/>
        <v>0</v>
      </c>
      <c r="G797" s="684"/>
      <c r="H797" s="667">
        <f t="shared" si="80"/>
        <v>0</v>
      </c>
      <c r="I797" s="675"/>
      <c r="J797" s="667">
        <f t="shared" si="81"/>
        <v>0</v>
      </c>
      <c r="K797" s="667"/>
      <c r="L797" s="667"/>
      <c r="M797" s="667" t="e">
        <f>G797+#REF!+#REF!+#REF!+I797+#REF!+#REF!+#REF!+#REF!+#REF!+#REF!+K797+#REF!+#REF!+#REF!</f>
        <v>#REF!</v>
      </c>
      <c r="N797" s="667" t="e">
        <f t="shared" si="83"/>
        <v>#REF!</v>
      </c>
      <c r="O797" s="665" t="e">
        <f>#REF!+M797</f>
        <v>#REF!</v>
      </c>
      <c r="P797" s="666" t="e">
        <f t="shared" si="84"/>
        <v>#REF!</v>
      </c>
      <c r="Q797" s="672"/>
      <c r="R797" s="668"/>
      <c r="S797" s="676"/>
      <c r="T797" s="676"/>
    </row>
    <row r="798" spans="1:20" s="677" customFormat="1" ht="25.5" hidden="1" customHeight="1">
      <c r="A798" s="662"/>
      <c r="B798" s="666">
        <f t="shared" si="82"/>
        <v>0</v>
      </c>
      <c r="C798" s="663" t="s">
        <v>1850</v>
      </c>
      <c r="D798" s="739">
        <f>[14]Data!X3581</f>
        <v>3167.17</v>
      </c>
      <c r="E798" s="741" t="s">
        <v>37</v>
      </c>
      <c r="F798" s="663">
        <f t="shared" si="85"/>
        <v>0</v>
      </c>
      <c r="G798" s="684"/>
      <c r="H798" s="667">
        <f t="shared" si="80"/>
        <v>0</v>
      </c>
      <c r="I798" s="675"/>
      <c r="J798" s="667">
        <f t="shared" si="81"/>
        <v>0</v>
      </c>
      <c r="K798" s="667"/>
      <c r="L798" s="667"/>
      <c r="M798" s="667" t="e">
        <f>G798+#REF!+#REF!+#REF!+I798+#REF!+#REF!+#REF!+#REF!+#REF!+#REF!+K798+#REF!+#REF!+#REF!</f>
        <v>#REF!</v>
      </c>
      <c r="N798" s="667" t="e">
        <f t="shared" si="83"/>
        <v>#REF!</v>
      </c>
      <c r="O798" s="665" t="e">
        <f>#REF!+M798</f>
        <v>#REF!</v>
      </c>
      <c r="P798" s="666" t="e">
        <f t="shared" si="84"/>
        <v>#REF!</v>
      </c>
      <c r="Q798" s="672"/>
      <c r="R798" s="668"/>
      <c r="S798" s="676"/>
      <c r="T798" s="676"/>
    </row>
    <row r="799" spans="1:20" s="677" customFormat="1" ht="25.5" hidden="1" customHeight="1">
      <c r="A799" s="662"/>
      <c r="B799" s="666">
        <f t="shared" si="82"/>
        <v>0</v>
      </c>
      <c r="C799" s="663" t="s">
        <v>1851</v>
      </c>
      <c r="D799" s="739">
        <f>[14]Data!X3596</f>
        <v>2939.44</v>
      </c>
      <c r="E799" s="741" t="s">
        <v>37</v>
      </c>
      <c r="F799" s="663">
        <f t="shared" si="85"/>
        <v>0</v>
      </c>
      <c r="G799" s="684"/>
      <c r="H799" s="667">
        <f t="shared" si="80"/>
        <v>0</v>
      </c>
      <c r="I799" s="675"/>
      <c r="J799" s="667">
        <f t="shared" si="81"/>
        <v>0</v>
      </c>
      <c r="K799" s="667"/>
      <c r="L799" s="667"/>
      <c r="M799" s="667" t="e">
        <f>G799+#REF!+#REF!+#REF!+I799+#REF!+#REF!+#REF!+#REF!+#REF!+#REF!+K799+#REF!+#REF!+#REF!</f>
        <v>#REF!</v>
      </c>
      <c r="N799" s="667" t="e">
        <f t="shared" si="83"/>
        <v>#REF!</v>
      </c>
      <c r="O799" s="665" t="e">
        <f>#REF!+M799</f>
        <v>#REF!</v>
      </c>
      <c r="P799" s="666" t="e">
        <f t="shared" si="84"/>
        <v>#REF!</v>
      </c>
      <c r="Q799" s="672"/>
      <c r="R799" s="668"/>
      <c r="S799" s="676"/>
      <c r="T799" s="676"/>
    </row>
    <row r="800" spans="1:20" s="677" customFormat="1" ht="25.5" hidden="1" customHeight="1">
      <c r="A800" s="662"/>
      <c r="B800" s="666">
        <f t="shared" si="82"/>
        <v>0</v>
      </c>
      <c r="C800" s="663" t="s">
        <v>1852</v>
      </c>
      <c r="D800" s="739">
        <f>[14]Data!X3613</f>
        <v>3007.4</v>
      </c>
      <c r="E800" s="741" t="s">
        <v>37</v>
      </c>
      <c r="F800" s="663">
        <f t="shared" si="85"/>
        <v>0</v>
      </c>
      <c r="G800" s="684"/>
      <c r="H800" s="667">
        <f t="shared" si="80"/>
        <v>0</v>
      </c>
      <c r="I800" s="675"/>
      <c r="J800" s="667">
        <f t="shared" si="81"/>
        <v>0</v>
      </c>
      <c r="K800" s="667"/>
      <c r="L800" s="667"/>
      <c r="M800" s="667" t="e">
        <f>G800+#REF!+#REF!+#REF!+I800+#REF!+#REF!+#REF!+#REF!+#REF!+#REF!+K800+#REF!+#REF!+#REF!</f>
        <v>#REF!</v>
      </c>
      <c r="N800" s="667" t="e">
        <f t="shared" si="83"/>
        <v>#REF!</v>
      </c>
      <c r="O800" s="665" t="e">
        <f>#REF!+M800</f>
        <v>#REF!</v>
      </c>
      <c r="P800" s="666" t="e">
        <f t="shared" si="84"/>
        <v>#REF!</v>
      </c>
      <c r="Q800" s="672"/>
      <c r="R800" s="668"/>
      <c r="S800" s="676"/>
      <c r="T800" s="676"/>
    </row>
    <row r="801" spans="1:20" s="677" customFormat="1" ht="46.5" hidden="1" customHeight="1">
      <c r="A801" s="662"/>
      <c r="B801" s="666">
        <f t="shared" si="82"/>
        <v>0</v>
      </c>
      <c r="C801" s="663" t="s">
        <v>1853</v>
      </c>
      <c r="D801" s="675">
        <f>[14]Data!K2353</f>
        <v>30.62</v>
      </c>
      <c r="E801" s="742" t="s">
        <v>37</v>
      </c>
      <c r="F801" s="663">
        <f t="shared" si="85"/>
        <v>0</v>
      </c>
      <c r="G801" s="684"/>
      <c r="H801" s="667">
        <f t="shared" si="80"/>
        <v>0</v>
      </c>
      <c r="I801" s="675"/>
      <c r="J801" s="667">
        <f t="shared" si="81"/>
        <v>0</v>
      </c>
      <c r="K801" s="667"/>
      <c r="L801" s="667"/>
      <c r="M801" s="667" t="e">
        <f>G801+#REF!+#REF!+#REF!+I801+#REF!+#REF!+#REF!+#REF!+#REF!+#REF!+K801+#REF!+#REF!+#REF!</f>
        <v>#REF!</v>
      </c>
      <c r="N801" s="667" t="e">
        <f t="shared" si="83"/>
        <v>#REF!</v>
      </c>
      <c r="O801" s="665" t="e">
        <f>#REF!+M801</f>
        <v>#REF!</v>
      </c>
      <c r="P801" s="666" t="e">
        <f t="shared" si="84"/>
        <v>#REF!</v>
      </c>
      <c r="Q801" s="672"/>
      <c r="R801" s="668"/>
      <c r="S801" s="676"/>
      <c r="T801" s="676"/>
    </row>
    <row r="802" spans="1:20" s="677" customFormat="1" ht="46.5" hidden="1" customHeight="1">
      <c r="A802" s="662"/>
      <c r="B802" s="666">
        <f t="shared" si="82"/>
        <v>0</v>
      </c>
      <c r="C802" s="756" t="s">
        <v>1854</v>
      </c>
      <c r="D802" s="675"/>
      <c r="E802" s="742"/>
      <c r="F802" s="663">
        <f t="shared" si="85"/>
        <v>0</v>
      </c>
      <c r="G802" s="675"/>
      <c r="H802" s="667">
        <f t="shared" ref="H802:H833" si="86">G802*D802</f>
        <v>0</v>
      </c>
      <c r="I802" s="675"/>
      <c r="J802" s="667">
        <f t="shared" ref="J802:J833" si="87">I802*D802</f>
        <v>0</v>
      </c>
      <c r="K802" s="667"/>
      <c r="L802" s="667"/>
      <c r="M802" s="667" t="e">
        <f>G802+#REF!+#REF!+#REF!+I802+#REF!+#REF!+#REF!+#REF!+#REF!+#REF!+K802+#REF!+#REF!+#REF!</f>
        <v>#REF!</v>
      </c>
      <c r="N802" s="667" t="e">
        <f t="shared" si="83"/>
        <v>#REF!</v>
      </c>
      <c r="O802" s="665" t="e">
        <f>#REF!+M802</f>
        <v>#REF!</v>
      </c>
      <c r="P802" s="666" t="e">
        <f t="shared" si="84"/>
        <v>#REF!</v>
      </c>
      <c r="Q802" s="672"/>
      <c r="R802" s="668"/>
      <c r="S802" s="676"/>
      <c r="T802" s="676"/>
    </row>
    <row r="803" spans="1:20" s="677" customFormat="1" ht="46.5" hidden="1" customHeight="1">
      <c r="A803" s="662"/>
      <c r="B803" s="666">
        <f t="shared" si="82"/>
        <v>0</v>
      </c>
      <c r="C803" s="663" t="s">
        <v>1405</v>
      </c>
      <c r="D803" s="675">
        <f>[14]Data!AD1196</f>
        <v>1917.28</v>
      </c>
      <c r="E803" s="742" t="s">
        <v>37</v>
      </c>
      <c r="F803" s="663">
        <f t="shared" si="85"/>
        <v>0</v>
      </c>
      <c r="G803" s="660"/>
      <c r="H803" s="667">
        <f t="shared" si="86"/>
        <v>0</v>
      </c>
      <c r="I803" s="675"/>
      <c r="J803" s="667">
        <f t="shared" si="87"/>
        <v>0</v>
      </c>
      <c r="K803" s="667"/>
      <c r="L803" s="667"/>
      <c r="M803" s="667" t="e">
        <f>G803+#REF!+#REF!+#REF!+I803+#REF!+#REF!+#REF!+#REF!+#REF!+#REF!+K803+#REF!+#REF!+#REF!</f>
        <v>#REF!</v>
      </c>
      <c r="N803" s="667" t="e">
        <f t="shared" si="83"/>
        <v>#REF!</v>
      </c>
      <c r="O803" s="665" t="e">
        <f>#REF!+M803</f>
        <v>#REF!</v>
      </c>
      <c r="P803" s="666" t="e">
        <f t="shared" si="84"/>
        <v>#REF!</v>
      </c>
      <c r="Q803" s="672"/>
      <c r="R803" s="668"/>
      <c r="S803" s="676"/>
      <c r="T803" s="676"/>
    </row>
    <row r="804" spans="1:20" s="677" customFormat="1" ht="46.5" hidden="1" customHeight="1">
      <c r="A804" s="662"/>
      <c r="B804" s="666">
        <f t="shared" si="82"/>
        <v>0</v>
      </c>
      <c r="C804" s="663" t="s">
        <v>1406</v>
      </c>
      <c r="D804" s="675">
        <f>[14]Data!AD1198</f>
        <v>1923.42</v>
      </c>
      <c r="E804" s="742" t="s">
        <v>37</v>
      </c>
      <c r="F804" s="663">
        <f t="shared" si="85"/>
        <v>0</v>
      </c>
      <c r="G804" s="660"/>
      <c r="H804" s="667">
        <f t="shared" si="86"/>
        <v>0</v>
      </c>
      <c r="I804" s="675"/>
      <c r="J804" s="667">
        <f t="shared" si="87"/>
        <v>0</v>
      </c>
      <c r="K804" s="667"/>
      <c r="L804" s="667"/>
      <c r="M804" s="667" t="e">
        <f>G804+#REF!+#REF!+#REF!+I804+#REF!+#REF!+#REF!+#REF!+#REF!+#REF!+K804+#REF!+#REF!+#REF!</f>
        <v>#REF!</v>
      </c>
      <c r="N804" s="667" t="e">
        <f t="shared" si="83"/>
        <v>#REF!</v>
      </c>
      <c r="O804" s="665" t="e">
        <f>#REF!+M804</f>
        <v>#REF!</v>
      </c>
      <c r="P804" s="666" t="e">
        <f t="shared" si="84"/>
        <v>#REF!</v>
      </c>
      <c r="Q804" s="672"/>
      <c r="R804" s="668"/>
      <c r="S804" s="676"/>
      <c r="T804" s="676"/>
    </row>
    <row r="805" spans="1:20" s="677" customFormat="1" ht="46.5" hidden="1" customHeight="1">
      <c r="A805" s="662"/>
      <c r="B805" s="666">
        <f t="shared" si="82"/>
        <v>0</v>
      </c>
      <c r="C805" s="663" t="s">
        <v>1407</v>
      </c>
      <c r="D805" s="675">
        <f>[14]Data!AD1199</f>
        <v>1927.49</v>
      </c>
      <c r="E805" s="742" t="s">
        <v>37</v>
      </c>
      <c r="F805" s="663">
        <f t="shared" si="85"/>
        <v>0</v>
      </c>
      <c r="G805" s="660"/>
      <c r="H805" s="667">
        <f t="shared" si="86"/>
        <v>0</v>
      </c>
      <c r="I805" s="675"/>
      <c r="J805" s="667">
        <f t="shared" si="87"/>
        <v>0</v>
      </c>
      <c r="K805" s="667"/>
      <c r="L805" s="667"/>
      <c r="M805" s="667" t="e">
        <f>G805+#REF!+#REF!+#REF!+I805+#REF!+#REF!+#REF!+#REF!+#REF!+#REF!+K805+#REF!+#REF!+#REF!</f>
        <v>#REF!</v>
      </c>
      <c r="N805" s="667" t="e">
        <f t="shared" si="83"/>
        <v>#REF!</v>
      </c>
      <c r="O805" s="665" t="e">
        <f>#REF!+M805</f>
        <v>#REF!</v>
      </c>
      <c r="P805" s="666" t="e">
        <f t="shared" si="84"/>
        <v>#REF!</v>
      </c>
      <c r="Q805" s="672"/>
      <c r="R805" s="668"/>
      <c r="S805" s="676"/>
      <c r="T805" s="676"/>
    </row>
    <row r="806" spans="1:20" s="677" customFormat="1" ht="6" hidden="1" customHeight="1">
      <c r="A806" s="662"/>
      <c r="B806" s="666">
        <f t="shared" si="82"/>
        <v>0</v>
      </c>
      <c r="C806" s="663" t="s">
        <v>1408</v>
      </c>
      <c r="D806" s="675">
        <f>[14]Data!AD1200</f>
        <v>1931.56</v>
      </c>
      <c r="E806" s="742" t="s">
        <v>37</v>
      </c>
      <c r="F806" s="663">
        <f t="shared" si="85"/>
        <v>0</v>
      </c>
      <c r="G806" s="675"/>
      <c r="H806" s="667">
        <f t="shared" si="86"/>
        <v>0</v>
      </c>
      <c r="I806" s="675"/>
      <c r="J806" s="667">
        <f t="shared" si="87"/>
        <v>0</v>
      </c>
      <c r="K806" s="667"/>
      <c r="L806" s="667"/>
      <c r="M806" s="667" t="e">
        <f>G806+#REF!+#REF!+#REF!+I806+#REF!+#REF!+#REF!+#REF!+#REF!+#REF!+K806+#REF!+#REF!+#REF!</f>
        <v>#REF!</v>
      </c>
      <c r="N806" s="667" t="e">
        <f t="shared" si="83"/>
        <v>#REF!</v>
      </c>
      <c r="O806" s="665" t="e">
        <f>#REF!+M806</f>
        <v>#REF!</v>
      </c>
      <c r="P806" s="666" t="e">
        <f t="shared" si="84"/>
        <v>#REF!</v>
      </c>
      <c r="Q806" s="672"/>
      <c r="R806" s="668"/>
      <c r="S806" s="676"/>
      <c r="T806" s="676"/>
    </row>
    <row r="807" spans="1:20" ht="57.75" hidden="1" customHeight="1">
      <c r="A807" s="662"/>
      <c r="B807" s="666">
        <f t="shared" si="82"/>
        <v>0</v>
      </c>
      <c r="C807" s="756" t="s">
        <v>1855</v>
      </c>
      <c r="D807" s="667"/>
      <c r="E807" s="751"/>
      <c r="F807" s="663">
        <f t="shared" si="85"/>
        <v>0</v>
      </c>
      <c r="G807" s="667"/>
      <c r="H807" s="667">
        <f t="shared" si="86"/>
        <v>0</v>
      </c>
      <c r="I807" s="667"/>
      <c r="J807" s="667">
        <f t="shared" si="87"/>
        <v>0</v>
      </c>
      <c r="K807" s="667"/>
      <c r="L807" s="667"/>
      <c r="M807" s="667" t="e">
        <f>G807+#REF!+#REF!+#REF!+I807+#REF!+#REF!+#REF!+#REF!+#REF!+#REF!+K807+#REF!+#REF!+#REF!</f>
        <v>#REF!</v>
      </c>
      <c r="N807" s="667" t="e">
        <f t="shared" si="83"/>
        <v>#REF!</v>
      </c>
      <c r="O807" s="665" t="e">
        <f>#REF!+M807</f>
        <v>#REF!</v>
      </c>
      <c r="P807" s="666" t="e">
        <f t="shared" si="84"/>
        <v>#REF!</v>
      </c>
      <c r="Q807" s="668"/>
      <c r="R807" s="668"/>
    </row>
    <row r="808" spans="1:20" ht="48.75" hidden="1" customHeight="1">
      <c r="A808" s="662"/>
      <c r="B808" s="666">
        <f t="shared" si="82"/>
        <v>0</v>
      </c>
      <c r="C808" s="663" t="s">
        <v>1405</v>
      </c>
      <c r="D808" s="667">
        <f>[14]Data!AK1197</f>
        <v>1050.31</v>
      </c>
      <c r="E808" s="751" t="s">
        <v>37</v>
      </c>
      <c r="F808" s="663">
        <f t="shared" si="85"/>
        <v>0</v>
      </c>
      <c r="G808" s="667"/>
      <c r="H808" s="667">
        <f t="shared" si="86"/>
        <v>0</v>
      </c>
      <c r="I808" s="667"/>
      <c r="J808" s="667">
        <f t="shared" si="87"/>
        <v>0</v>
      </c>
      <c r="K808" s="667"/>
      <c r="L808" s="667"/>
      <c r="M808" s="667" t="e">
        <f>G808+#REF!+#REF!+#REF!+I808+#REF!+#REF!+#REF!+#REF!+#REF!+#REF!+K808+#REF!+#REF!+#REF!</f>
        <v>#REF!</v>
      </c>
      <c r="N808" s="667" t="e">
        <f t="shared" si="83"/>
        <v>#REF!</v>
      </c>
      <c r="O808" s="665" t="e">
        <f>#REF!+M808</f>
        <v>#REF!</v>
      </c>
      <c r="P808" s="666" t="e">
        <f t="shared" si="84"/>
        <v>#REF!</v>
      </c>
      <c r="Q808" s="672"/>
      <c r="R808" s="668"/>
    </row>
    <row r="809" spans="1:20" ht="48.75" hidden="1" customHeight="1">
      <c r="A809" s="662"/>
      <c r="B809" s="666">
        <f t="shared" si="82"/>
        <v>0</v>
      </c>
      <c r="C809" s="663" t="s">
        <v>1406</v>
      </c>
      <c r="D809" s="667">
        <f>[14]Data!AK1198</f>
        <v>1052.3499999999999</v>
      </c>
      <c r="E809" s="751" t="s">
        <v>37</v>
      </c>
      <c r="F809" s="663">
        <f t="shared" si="85"/>
        <v>0</v>
      </c>
      <c r="G809" s="667"/>
      <c r="H809" s="667">
        <f t="shared" si="86"/>
        <v>0</v>
      </c>
      <c r="I809" s="667"/>
      <c r="J809" s="667">
        <f t="shared" si="87"/>
        <v>0</v>
      </c>
      <c r="K809" s="667"/>
      <c r="L809" s="667"/>
      <c r="M809" s="667" t="e">
        <f>G809+#REF!+#REF!+#REF!+I809+#REF!+#REF!+#REF!+#REF!+#REF!+#REF!+K809+#REF!+#REF!+#REF!</f>
        <v>#REF!</v>
      </c>
      <c r="N809" s="667" t="e">
        <f t="shared" si="83"/>
        <v>#REF!</v>
      </c>
      <c r="O809" s="665" t="e">
        <f>#REF!+M809</f>
        <v>#REF!</v>
      </c>
      <c r="P809" s="666" t="e">
        <f t="shared" si="84"/>
        <v>#REF!</v>
      </c>
      <c r="Q809" s="672"/>
      <c r="R809" s="668"/>
    </row>
    <row r="810" spans="1:20" ht="48.75" hidden="1" customHeight="1">
      <c r="A810" s="662"/>
      <c r="B810" s="666">
        <f t="shared" si="82"/>
        <v>0</v>
      </c>
      <c r="C810" s="663" t="s">
        <v>1407</v>
      </c>
      <c r="D810" s="667">
        <f>[14]Data!AK1199</f>
        <v>1054.3900000000001</v>
      </c>
      <c r="E810" s="751" t="s">
        <v>37</v>
      </c>
      <c r="F810" s="663">
        <f t="shared" si="85"/>
        <v>0</v>
      </c>
      <c r="G810" s="667"/>
      <c r="H810" s="667">
        <f t="shared" si="86"/>
        <v>0</v>
      </c>
      <c r="I810" s="667"/>
      <c r="J810" s="667">
        <f t="shared" si="87"/>
        <v>0</v>
      </c>
      <c r="K810" s="667"/>
      <c r="L810" s="667"/>
      <c r="M810" s="667" t="e">
        <f>G810+#REF!+#REF!+#REF!+I810+#REF!+#REF!+#REF!+#REF!+#REF!+#REF!+K810+#REF!+#REF!+#REF!</f>
        <v>#REF!</v>
      </c>
      <c r="N810" s="667" t="e">
        <f t="shared" si="83"/>
        <v>#REF!</v>
      </c>
      <c r="O810" s="665" t="e">
        <f>#REF!+M810</f>
        <v>#REF!</v>
      </c>
      <c r="P810" s="666" t="e">
        <f t="shared" si="84"/>
        <v>#REF!</v>
      </c>
      <c r="Q810" s="672"/>
      <c r="R810" s="668"/>
    </row>
    <row r="811" spans="1:20" ht="48.75" hidden="1" customHeight="1">
      <c r="A811" s="662"/>
      <c r="B811" s="666">
        <f t="shared" si="82"/>
        <v>0</v>
      </c>
      <c r="C811" s="663" t="s">
        <v>1856</v>
      </c>
      <c r="D811" s="667">
        <f>[14]Data!AK1200</f>
        <v>1056.3399999999999</v>
      </c>
      <c r="E811" s="751" t="s">
        <v>37</v>
      </c>
      <c r="F811" s="663">
        <f t="shared" si="85"/>
        <v>0</v>
      </c>
      <c r="G811" s="667"/>
      <c r="H811" s="667">
        <f t="shared" si="86"/>
        <v>0</v>
      </c>
      <c r="I811" s="667"/>
      <c r="J811" s="667">
        <f t="shared" si="87"/>
        <v>0</v>
      </c>
      <c r="K811" s="667"/>
      <c r="L811" s="667"/>
      <c r="M811" s="667" t="e">
        <f>G811+#REF!+#REF!+#REF!+I811+#REF!+#REF!+#REF!+#REF!+#REF!+#REF!+K811+#REF!+#REF!+#REF!</f>
        <v>#REF!</v>
      </c>
      <c r="N811" s="667" t="e">
        <f t="shared" si="83"/>
        <v>#REF!</v>
      </c>
      <c r="O811" s="665" t="e">
        <f>#REF!+M811</f>
        <v>#REF!</v>
      </c>
      <c r="P811" s="666" t="e">
        <f t="shared" si="84"/>
        <v>#REF!</v>
      </c>
      <c r="Q811" s="672"/>
      <c r="R811" s="668"/>
    </row>
    <row r="812" spans="1:20" s="677" customFormat="1" ht="39" hidden="1" customHeight="1">
      <c r="A812" s="662"/>
      <c r="B812" s="666">
        <f t="shared" si="82"/>
        <v>0</v>
      </c>
      <c r="C812" s="685" t="s">
        <v>1857</v>
      </c>
      <c r="D812" s="739"/>
      <c r="E812" s="741"/>
      <c r="F812" s="663">
        <f t="shared" si="85"/>
        <v>0</v>
      </c>
      <c r="G812" s="684"/>
      <c r="H812" s="667">
        <f t="shared" si="86"/>
        <v>0</v>
      </c>
      <c r="I812" s="675"/>
      <c r="J812" s="667">
        <f t="shared" si="87"/>
        <v>0</v>
      </c>
      <c r="K812" s="667"/>
      <c r="L812" s="667"/>
      <c r="M812" s="667" t="e">
        <f>G812+#REF!+#REF!+#REF!+I812+#REF!+#REF!+#REF!+#REF!+#REF!+#REF!+K812+#REF!+#REF!+#REF!</f>
        <v>#REF!</v>
      </c>
      <c r="N812" s="667" t="e">
        <f t="shared" si="83"/>
        <v>#REF!</v>
      </c>
      <c r="O812" s="665" t="e">
        <f>#REF!+M812</f>
        <v>#REF!</v>
      </c>
      <c r="P812" s="666" t="e">
        <f t="shared" si="84"/>
        <v>#REF!</v>
      </c>
      <c r="Q812" s="672"/>
      <c r="R812" s="668"/>
      <c r="S812" s="676"/>
      <c r="T812" s="676"/>
    </row>
    <row r="813" spans="1:20" s="677" customFormat="1" ht="45" hidden="1" customHeight="1">
      <c r="A813" s="662"/>
      <c r="B813" s="666">
        <f t="shared" si="82"/>
        <v>0</v>
      </c>
      <c r="C813" s="663" t="s">
        <v>1858</v>
      </c>
      <c r="D813" s="675">
        <f>[14]Data!X3126</f>
        <v>3402.37</v>
      </c>
      <c r="E813" s="742" t="s">
        <v>264</v>
      </c>
      <c r="F813" s="663">
        <f t="shared" si="85"/>
        <v>0</v>
      </c>
      <c r="G813" s="684"/>
      <c r="H813" s="667">
        <f t="shared" si="86"/>
        <v>0</v>
      </c>
      <c r="I813" s="675"/>
      <c r="J813" s="667">
        <f t="shared" si="87"/>
        <v>0</v>
      </c>
      <c r="K813" s="667"/>
      <c r="L813" s="667"/>
      <c r="M813" s="667" t="e">
        <f>G813+#REF!+#REF!+#REF!+I813+#REF!+#REF!+#REF!+#REF!+#REF!+#REF!+K813+#REF!+#REF!+#REF!</f>
        <v>#REF!</v>
      </c>
      <c r="N813" s="667" t="e">
        <f t="shared" si="83"/>
        <v>#REF!</v>
      </c>
      <c r="O813" s="665" t="e">
        <f>#REF!+M813</f>
        <v>#REF!</v>
      </c>
      <c r="P813" s="666" t="e">
        <f t="shared" si="84"/>
        <v>#REF!</v>
      </c>
      <c r="Q813" s="672"/>
      <c r="R813" s="668"/>
      <c r="S813" s="676"/>
      <c r="T813" s="676"/>
    </row>
    <row r="814" spans="1:20" s="677" customFormat="1" ht="49.5" hidden="1" customHeight="1">
      <c r="A814" s="662"/>
      <c r="B814" s="666">
        <f t="shared" si="82"/>
        <v>0</v>
      </c>
      <c r="C814" s="738" t="s">
        <v>1859</v>
      </c>
      <c r="D814" s="684">
        <v>3358.02</v>
      </c>
      <c r="E814" s="741" t="s">
        <v>37</v>
      </c>
      <c r="F814" s="663">
        <f t="shared" si="85"/>
        <v>0</v>
      </c>
      <c r="G814" s="684"/>
      <c r="H814" s="667">
        <f t="shared" si="86"/>
        <v>0</v>
      </c>
      <c r="I814" s="675"/>
      <c r="J814" s="667">
        <f t="shared" si="87"/>
        <v>0</v>
      </c>
      <c r="K814" s="667"/>
      <c r="L814" s="667"/>
      <c r="M814" s="667" t="e">
        <f>G814+#REF!+#REF!+#REF!+I814+#REF!+#REF!+#REF!+#REF!+#REF!+#REF!+K814+#REF!+#REF!+#REF!</f>
        <v>#REF!</v>
      </c>
      <c r="N814" s="667" t="e">
        <f t="shared" si="83"/>
        <v>#REF!</v>
      </c>
      <c r="O814" s="665" t="e">
        <f>#REF!+M814</f>
        <v>#REF!</v>
      </c>
      <c r="P814" s="666" t="e">
        <f t="shared" si="84"/>
        <v>#REF!</v>
      </c>
      <c r="Q814" s="672"/>
      <c r="R814" s="668"/>
      <c r="S814" s="676"/>
      <c r="T814" s="676"/>
    </row>
    <row r="815" spans="1:20" s="677" customFormat="1" ht="41.25" hidden="1" customHeight="1">
      <c r="A815" s="662"/>
      <c r="B815" s="666">
        <f t="shared" si="82"/>
        <v>0</v>
      </c>
      <c r="C815" s="738" t="s">
        <v>1860</v>
      </c>
      <c r="D815" s="684">
        <v>3828.85</v>
      </c>
      <c r="E815" s="741" t="s">
        <v>37</v>
      </c>
      <c r="F815" s="663">
        <f t="shared" si="85"/>
        <v>0</v>
      </c>
      <c r="G815" s="684"/>
      <c r="H815" s="667">
        <f t="shared" si="86"/>
        <v>0</v>
      </c>
      <c r="I815" s="675"/>
      <c r="J815" s="667">
        <f t="shared" si="87"/>
        <v>0</v>
      </c>
      <c r="K815" s="667"/>
      <c r="L815" s="667"/>
      <c r="M815" s="667" t="e">
        <f>G815+#REF!+#REF!+#REF!+I815+#REF!+#REF!+#REF!+#REF!+#REF!+#REF!+K815+#REF!+#REF!+#REF!</f>
        <v>#REF!</v>
      </c>
      <c r="N815" s="667" t="e">
        <f t="shared" si="83"/>
        <v>#REF!</v>
      </c>
      <c r="O815" s="665" t="e">
        <f>#REF!+M815</f>
        <v>#REF!</v>
      </c>
      <c r="P815" s="666" t="e">
        <f t="shared" si="84"/>
        <v>#REF!</v>
      </c>
      <c r="Q815" s="672"/>
      <c r="R815" s="668"/>
      <c r="S815" s="676"/>
      <c r="T815" s="676"/>
    </row>
    <row r="816" spans="1:20" s="677" customFormat="1" ht="41.25" hidden="1" customHeight="1">
      <c r="A816" s="662"/>
      <c r="B816" s="666">
        <f t="shared" si="82"/>
        <v>0</v>
      </c>
      <c r="C816" s="756" t="s">
        <v>1861</v>
      </c>
      <c r="D816" s="684">
        <f>[14]Data!X3168</f>
        <v>3283.94</v>
      </c>
      <c r="E816" s="741" t="s">
        <v>37</v>
      </c>
      <c r="F816" s="663">
        <f t="shared" si="85"/>
        <v>0</v>
      </c>
      <c r="G816" s="684"/>
      <c r="H816" s="667">
        <f t="shared" si="86"/>
        <v>0</v>
      </c>
      <c r="I816" s="675"/>
      <c r="J816" s="667">
        <f t="shared" si="87"/>
        <v>0</v>
      </c>
      <c r="K816" s="667"/>
      <c r="L816" s="667"/>
      <c r="M816" s="667" t="e">
        <f>G816+#REF!+#REF!+#REF!+I816+#REF!+#REF!+#REF!+#REF!+#REF!+#REF!+K816+#REF!+#REF!+#REF!</f>
        <v>#REF!</v>
      </c>
      <c r="N816" s="667" t="e">
        <f t="shared" si="83"/>
        <v>#REF!</v>
      </c>
      <c r="O816" s="665" t="e">
        <f>#REF!+M816</f>
        <v>#REF!</v>
      </c>
      <c r="P816" s="666" t="e">
        <f t="shared" si="84"/>
        <v>#REF!</v>
      </c>
      <c r="Q816" s="672"/>
      <c r="R816" s="668"/>
      <c r="S816" s="676"/>
      <c r="T816" s="676"/>
    </row>
    <row r="817" spans="1:20" s="677" customFormat="1" ht="42" hidden="1" customHeight="1">
      <c r="A817" s="662"/>
      <c r="B817" s="666">
        <f t="shared" si="82"/>
        <v>0</v>
      </c>
      <c r="C817" s="756" t="s">
        <v>1862</v>
      </c>
      <c r="D817" s="739"/>
      <c r="E817" s="741"/>
      <c r="F817" s="663">
        <f t="shared" si="85"/>
        <v>0</v>
      </c>
      <c r="G817" s="684"/>
      <c r="H817" s="667">
        <f t="shared" si="86"/>
        <v>0</v>
      </c>
      <c r="I817" s="675"/>
      <c r="J817" s="667">
        <f t="shared" si="87"/>
        <v>0</v>
      </c>
      <c r="K817" s="667"/>
      <c r="L817" s="667"/>
      <c r="M817" s="667" t="e">
        <f>G817+#REF!+#REF!+#REF!+I817+#REF!+#REF!+#REF!+#REF!+#REF!+#REF!+K817+#REF!+#REF!+#REF!</f>
        <v>#REF!</v>
      </c>
      <c r="N817" s="667" t="e">
        <f t="shared" si="83"/>
        <v>#REF!</v>
      </c>
      <c r="O817" s="665" t="e">
        <f>#REF!+M817</f>
        <v>#REF!</v>
      </c>
      <c r="P817" s="666" t="e">
        <f t="shared" si="84"/>
        <v>#REF!</v>
      </c>
      <c r="Q817" s="672"/>
      <c r="R817" s="668"/>
      <c r="S817" s="676"/>
      <c r="T817" s="676"/>
    </row>
    <row r="818" spans="1:20" s="677" customFormat="1" ht="42" hidden="1" customHeight="1">
      <c r="A818" s="662"/>
      <c r="B818" s="666">
        <f t="shared" si="82"/>
        <v>0</v>
      </c>
      <c r="C818" s="738" t="s">
        <v>1863</v>
      </c>
      <c r="D818" s="739">
        <f>[14]Data!R1479</f>
        <v>4535.8900000000003</v>
      </c>
      <c r="E818" s="741" t="s">
        <v>37</v>
      </c>
      <c r="F818" s="663">
        <f t="shared" si="85"/>
        <v>0</v>
      </c>
      <c r="G818" s="684"/>
      <c r="H818" s="667">
        <f t="shared" si="86"/>
        <v>0</v>
      </c>
      <c r="I818" s="675"/>
      <c r="J818" s="667">
        <f t="shared" si="87"/>
        <v>0</v>
      </c>
      <c r="K818" s="667"/>
      <c r="L818" s="667"/>
      <c r="M818" s="667" t="e">
        <f>G818+#REF!+#REF!+#REF!+I818+#REF!+#REF!+#REF!+#REF!+#REF!+#REF!+K818+#REF!+#REF!+#REF!</f>
        <v>#REF!</v>
      </c>
      <c r="N818" s="667" t="e">
        <f t="shared" si="83"/>
        <v>#REF!</v>
      </c>
      <c r="O818" s="665" t="e">
        <f>#REF!+M818</f>
        <v>#REF!</v>
      </c>
      <c r="P818" s="666" t="e">
        <f t="shared" si="84"/>
        <v>#REF!</v>
      </c>
      <c r="Q818" s="672"/>
      <c r="R818" s="668"/>
      <c r="S818" s="676"/>
      <c r="T818" s="676"/>
    </row>
    <row r="819" spans="1:20" s="677" customFormat="1" ht="42" hidden="1" customHeight="1">
      <c r="A819" s="662"/>
      <c r="B819" s="666">
        <f t="shared" si="82"/>
        <v>0</v>
      </c>
      <c r="C819" s="738" t="s">
        <v>1864</v>
      </c>
      <c r="D819" s="739">
        <f>[14]Data!X1440</f>
        <v>5059.03</v>
      </c>
      <c r="E819" s="741" t="s">
        <v>37</v>
      </c>
      <c r="F819" s="663">
        <f t="shared" si="85"/>
        <v>0</v>
      </c>
      <c r="G819" s="684"/>
      <c r="H819" s="667">
        <f t="shared" si="86"/>
        <v>0</v>
      </c>
      <c r="I819" s="675"/>
      <c r="J819" s="667">
        <f t="shared" si="87"/>
        <v>0</v>
      </c>
      <c r="K819" s="667"/>
      <c r="L819" s="667"/>
      <c r="M819" s="667" t="e">
        <f>G819+#REF!+#REF!+#REF!+I819+#REF!+#REF!+#REF!+#REF!+#REF!+#REF!+K819+#REF!+#REF!+#REF!</f>
        <v>#REF!</v>
      </c>
      <c r="N819" s="667" t="e">
        <f t="shared" si="83"/>
        <v>#REF!</v>
      </c>
      <c r="O819" s="665" t="e">
        <f>#REF!+M819</f>
        <v>#REF!</v>
      </c>
      <c r="P819" s="666" t="e">
        <f t="shared" si="84"/>
        <v>#REF!</v>
      </c>
      <c r="Q819" s="672"/>
      <c r="R819" s="668"/>
      <c r="S819" s="676"/>
      <c r="T819" s="676"/>
    </row>
    <row r="820" spans="1:20" s="677" customFormat="1" ht="23.1" hidden="1" customHeight="1">
      <c r="A820" s="662"/>
      <c r="B820" s="666">
        <f t="shared" si="82"/>
        <v>0</v>
      </c>
      <c r="C820" s="738" t="s">
        <v>1865</v>
      </c>
      <c r="D820" s="739">
        <f>[14]Data!X1447</f>
        <v>4748.82</v>
      </c>
      <c r="E820" s="741" t="s">
        <v>37</v>
      </c>
      <c r="F820" s="663">
        <f t="shared" si="85"/>
        <v>0</v>
      </c>
      <c r="G820" s="684"/>
      <c r="H820" s="667">
        <f t="shared" si="86"/>
        <v>0</v>
      </c>
      <c r="I820" s="675"/>
      <c r="J820" s="667">
        <f t="shared" si="87"/>
        <v>0</v>
      </c>
      <c r="K820" s="667"/>
      <c r="L820" s="667"/>
      <c r="M820" s="667" t="e">
        <f>G820+#REF!+#REF!+#REF!+I820+#REF!+#REF!+#REF!+#REF!+#REF!+#REF!+K820+#REF!+#REF!+#REF!</f>
        <v>#REF!</v>
      </c>
      <c r="N820" s="667" t="e">
        <f t="shared" si="83"/>
        <v>#REF!</v>
      </c>
      <c r="O820" s="665" t="e">
        <f>#REF!+M820</f>
        <v>#REF!</v>
      </c>
      <c r="P820" s="666" t="e">
        <f t="shared" si="84"/>
        <v>#REF!</v>
      </c>
      <c r="Q820" s="672"/>
      <c r="R820" s="668"/>
      <c r="S820" s="676"/>
      <c r="T820" s="676"/>
    </row>
    <row r="821" spans="1:20" s="677" customFormat="1" ht="23.1" hidden="1" customHeight="1">
      <c r="A821" s="662"/>
      <c r="B821" s="666">
        <f t="shared" si="82"/>
        <v>0</v>
      </c>
      <c r="C821" s="738" t="s">
        <v>1866</v>
      </c>
      <c r="D821" s="739">
        <f>[14]Data!R1479</f>
        <v>4535.8900000000003</v>
      </c>
      <c r="E821" s="741" t="s">
        <v>37</v>
      </c>
      <c r="F821" s="663">
        <f t="shared" si="85"/>
        <v>0</v>
      </c>
      <c r="G821" s="684"/>
      <c r="H821" s="667">
        <f t="shared" si="86"/>
        <v>0</v>
      </c>
      <c r="I821" s="675"/>
      <c r="J821" s="667">
        <f t="shared" si="87"/>
        <v>0</v>
      </c>
      <c r="K821" s="667"/>
      <c r="L821" s="667"/>
      <c r="M821" s="667" t="e">
        <f>G821+#REF!+#REF!+#REF!+I821+#REF!+#REF!+#REF!+#REF!+#REF!+#REF!+K821+#REF!+#REF!+#REF!</f>
        <v>#REF!</v>
      </c>
      <c r="N821" s="667" t="e">
        <f t="shared" si="83"/>
        <v>#REF!</v>
      </c>
      <c r="O821" s="665" t="e">
        <f>#REF!+M821</f>
        <v>#REF!</v>
      </c>
      <c r="P821" s="666" t="e">
        <f t="shared" si="84"/>
        <v>#REF!</v>
      </c>
      <c r="Q821" s="672"/>
      <c r="R821" s="668"/>
      <c r="S821" s="676"/>
      <c r="T821" s="676"/>
    </row>
    <row r="822" spans="1:20" s="677" customFormat="1" ht="25.5" hidden="1" customHeight="1">
      <c r="A822" s="662"/>
      <c r="B822" s="666">
        <f t="shared" si="82"/>
        <v>0</v>
      </c>
      <c r="C822" s="756" t="str">
        <f>'[9]Bldg+Dev'!$B$566</f>
        <v>Supply &amp; Fixing of MS door  (for lockup door )</v>
      </c>
      <c r="D822" s="675"/>
      <c r="E822" s="742"/>
      <c r="F822" s="663">
        <f t="shared" si="85"/>
        <v>0</v>
      </c>
      <c r="G822" s="684"/>
      <c r="H822" s="667">
        <f t="shared" si="86"/>
        <v>0</v>
      </c>
      <c r="I822" s="675"/>
      <c r="J822" s="667">
        <f t="shared" si="87"/>
        <v>0</v>
      </c>
      <c r="K822" s="667"/>
      <c r="L822" s="667"/>
      <c r="M822" s="667" t="e">
        <f>G822+#REF!+#REF!+#REF!+I822+#REF!+#REF!+#REF!+#REF!+#REF!+#REF!+K822+#REF!+#REF!+#REF!</f>
        <v>#REF!</v>
      </c>
      <c r="N822" s="667" t="e">
        <f t="shared" si="83"/>
        <v>#REF!</v>
      </c>
      <c r="O822" s="665" t="e">
        <f>#REF!+M822</f>
        <v>#REF!</v>
      </c>
      <c r="P822" s="666" t="e">
        <f t="shared" si="84"/>
        <v>#REF!</v>
      </c>
      <c r="Q822" s="672"/>
      <c r="R822" s="668"/>
      <c r="S822" s="676"/>
      <c r="T822" s="676"/>
    </row>
    <row r="823" spans="1:20" s="677" customFormat="1" ht="25.5" hidden="1" customHeight="1">
      <c r="A823" s="662"/>
      <c r="B823" s="666">
        <f t="shared" si="82"/>
        <v>0</v>
      </c>
      <c r="C823" s="663" t="s">
        <v>1867</v>
      </c>
      <c r="D823" s="675">
        <f>D1011</f>
        <v>0</v>
      </c>
      <c r="E823" s="742" t="s">
        <v>992</v>
      </c>
      <c r="F823" s="663">
        <f t="shared" si="85"/>
        <v>0</v>
      </c>
      <c r="G823" s="684"/>
      <c r="H823" s="667">
        <f t="shared" si="86"/>
        <v>0</v>
      </c>
      <c r="I823" s="675"/>
      <c r="J823" s="667">
        <f t="shared" si="87"/>
        <v>0</v>
      </c>
      <c r="K823" s="667"/>
      <c r="L823" s="667"/>
      <c r="M823" s="667" t="e">
        <f>G823+#REF!+#REF!+#REF!+I823+#REF!+#REF!+#REF!+#REF!+#REF!+#REF!+K823+#REF!+#REF!+#REF!</f>
        <v>#REF!</v>
      </c>
      <c r="N823" s="667" t="e">
        <f t="shared" si="83"/>
        <v>#REF!</v>
      </c>
      <c r="O823" s="665" t="e">
        <f>#REF!+M823</f>
        <v>#REF!</v>
      </c>
      <c r="P823" s="666" t="e">
        <f t="shared" si="84"/>
        <v>#REF!</v>
      </c>
      <c r="Q823" s="672"/>
      <c r="R823" s="668"/>
      <c r="S823" s="676"/>
      <c r="T823" s="676"/>
    </row>
    <row r="824" spans="1:20" s="677" customFormat="1" ht="25.5" hidden="1" customHeight="1">
      <c r="A824" s="662"/>
      <c r="B824" s="666">
        <f t="shared" si="82"/>
        <v>0</v>
      </c>
      <c r="C824" s="663" t="s">
        <v>1868</v>
      </c>
      <c r="D824" s="675">
        <f>D1012</f>
        <v>0</v>
      </c>
      <c r="E824" s="742" t="s">
        <v>522</v>
      </c>
      <c r="F824" s="663">
        <f t="shared" si="85"/>
        <v>0</v>
      </c>
      <c r="G824" s="684"/>
      <c r="H824" s="667">
        <f t="shared" si="86"/>
        <v>0</v>
      </c>
      <c r="I824" s="675"/>
      <c r="J824" s="667">
        <f t="shared" si="87"/>
        <v>0</v>
      </c>
      <c r="K824" s="667"/>
      <c r="L824" s="667"/>
      <c r="M824" s="667" t="e">
        <f>G824+#REF!+#REF!+#REF!+I824+#REF!+#REF!+#REF!+#REF!+#REF!+#REF!+K824+#REF!+#REF!+#REF!</f>
        <v>#REF!</v>
      </c>
      <c r="N824" s="667" t="e">
        <f t="shared" si="83"/>
        <v>#REF!</v>
      </c>
      <c r="O824" s="665" t="e">
        <f>#REF!+M824</f>
        <v>#REF!</v>
      </c>
      <c r="P824" s="666" t="e">
        <f t="shared" si="84"/>
        <v>#REF!</v>
      </c>
      <c r="Q824" s="672"/>
      <c r="R824" s="668"/>
      <c r="S824" s="676"/>
      <c r="T824" s="676"/>
    </row>
    <row r="825" spans="1:20" s="677" customFormat="1" ht="69.75" hidden="1" customHeight="1">
      <c r="A825" s="662"/>
      <c r="B825" s="666">
        <f t="shared" si="82"/>
        <v>0</v>
      </c>
      <c r="C825" s="685" t="s">
        <v>1869</v>
      </c>
      <c r="D825" s="675"/>
      <c r="E825" s="742"/>
      <c r="F825" s="663">
        <f t="shared" si="85"/>
        <v>0</v>
      </c>
      <c r="G825" s="684"/>
      <c r="H825" s="667">
        <f t="shared" si="86"/>
        <v>0</v>
      </c>
      <c r="I825" s="675"/>
      <c r="J825" s="667">
        <f t="shared" si="87"/>
        <v>0</v>
      </c>
      <c r="K825" s="667"/>
      <c r="L825" s="667"/>
      <c r="M825" s="667" t="e">
        <f>G825+#REF!+#REF!+#REF!+I825+#REF!+#REF!+#REF!+#REF!+#REF!+#REF!+K825+#REF!+#REF!+#REF!</f>
        <v>#REF!</v>
      </c>
      <c r="N825" s="667" t="e">
        <f t="shared" si="83"/>
        <v>#REF!</v>
      </c>
      <c r="O825" s="665" t="e">
        <f>#REF!+M825</f>
        <v>#REF!</v>
      </c>
      <c r="P825" s="666" t="e">
        <f t="shared" si="84"/>
        <v>#REF!</v>
      </c>
      <c r="Q825" s="672"/>
      <c r="R825" s="668"/>
      <c r="S825" s="676"/>
      <c r="T825" s="676"/>
    </row>
    <row r="826" spans="1:20" s="677" customFormat="1" ht="51" hidden="1" customHeight="1">
      <c r="A826" s="662"/>
      <c r="B826" s="666">
        <f t="shared" si="82"/>
        <v>0</v>
      </c>
      <c r="C826" s="663" t="s">
        <v>1870</v>
      </c>
      <c r="D826" s="675">
        <v>3004.33</v>
      </c>
      <c r="E826" s="742" t="s">
        <v>37</v>
      </c>
      <c r="F826" s="663">
        <f t="shared" si="85"/>
        <v>0</v>
      </c>
      <c r="G826" s="684"/>
      <c r="H826" s="667">
        <f t="shared" si="86"/>
        <v>0</v>
      </c>
      <c r="I826" s="675"/>
      <c r="J826" s="667">
        <f t="shared" si="87"/>
        <v>0</v>
      </c>
      <c r="K826" s="667"/>
      <c r="L826" s="667"/>
      <c r="M826" s="667" t="e">
        <f>G826+#REF!+#REF!+#REF!+I826+#REF!+#REF!+#REF!+#REF!+#REF!+#REF!+K826+#REF!+#REF!+#REF!</f>
        <v>#REF!</v>
      </c>
      <c r="N826" s="667" t="e">
        <f t="shared" si="83"/>
        <v>#REF!</v>
      </c>
      <c r="O826" s="665" t="e">
        <f>#REF!+M826</f>
        <v>#REF!</v>
      </c>
      <c r="P826" s="666" t="e">
        <f t="shared" si="84"/>
        <v>#REF!</v>
      </c>
      <c r="Q826" s="672"/>
      <c r="R826" s="668"/>
      <c r="S826" s="676"/>
      <c r="T826" s="676"/>
    </row>
    <row r="827" spans="1:20" ht="51" hidden="1" customHeight="1">
      <c r="A827" s="662"/>
      <c r="B827" s="666">
        <f t="shared" si="82"/>
        <v>0</v>
      </c>
      <c r="C827" s="663" t="s">
        <v>1871</v>
      </c>
      <c r="D827" s="667">
        <f>D1013</f>
        <v>4353.33</v>
      </c>
      <c r="E827" s="751" t="s">
        <v>37</v>
      </c>
      <c r="F827" s="663">
        <f t="shared" si="85"/>
        <v>0</v>
      </c>
      <c r="G827" s="690"/>
      <c r="H827" s="667">
        <f t="shared" si="86"/>
        <v>0</v>
      </c>
      <c r="I827" s="667"/>
      <c r="J827" s="667">
        <f t="shared" si="87"/>
        <v>0</v>
      </c>
      <c r="K827" s="667"/>
      <c r="L827" s="667"/>
      <c r="M827" s="667" t="e">
        <f>G827+#REF!+#REF!+#REF!+I827+#REF!+#REF!+#REF!+#REF!+#REF!+#REF!+K827+#REF!+#REF!+#REF!</f>
        <v>#REF!</v>
      </c>
      <c r="N827" s="667" t="e">
        <f t="shared" si="83"/>
        <v>#REF!</v>
      </c>
      <c r="O827" s="665" t="e">
        <f>#REF!+M827</f>
        <v>#REF!</v>
      </c>
      <c r="P827" s="666" t="e">
        <f t="shared" si="84"/>
        <v>#REF!</v>
      </c>
      <c r="Q827" s="672"/>
      <c r="R827" s="668"/>
    </row>
    <row r="828" spans="1:20" s="677" customFormat="1" ht="51" hidden="1" customHeight="1">
      <c r="A828" s="662"/>
      <c r="B828" s="666">
        <f t="shared" si="82"/>
        <v>0</v>
      </c>
      <c r="C828" s="663" t="s">
        <v>1872</v>
      </c>
      <c r="D828" s="675">
        <f>SP!D1014</f>
        <v>4626.8100000000004</v>
      </c>
      <c r="E828" s="742" t="s">
        <v>37</v>
      </c>
      <c r="F828" s="663">
        <f t="shared" si="85"/>
        <v>0</v>
      </c>
      <c r="G828" s="684"/>
      <c r="H828" s="667">
        <f t="shared" si="86"/>
        <v>0</v>
      </c>
      <c r="I828" s="675"/>
      <c r="J828" s="667">
        <f t="shared" si="87"/>
        <v>0</v>
      </c>
      <c r="K828" s="667"/>
      <c r="L828" s="667"/>
      <c r="M828" s="667" t="e">
        <f>G828+#REF!+#REF!+#REF!+I828+#REF!+#REF!+#REF!+#REF!+#REF!+#REF!+K828+#REF!+#REF!+#REF!</f>
        <v>#REF!</v>
      </c>
      <c r="N828" s="667" t="e">
        <f t="shared" si="83"/>
        <v>#REF!</v>
      </c>
      <c r="O828" s="665" t="e">
        <f>#REF!+M828</f>
        <v>#REF!</v>
      </c>
      <c r="P828" s="666" t="e">
        <f t="shared" si="84"/>
        <v>#REF!</v>
      </c>
      <c r="Q828" s="672"/>
      <c r="R828" s="668"/>
      <c r="S828" s="676"/>
      <c r="T828" s="676"/>
    </row>
    <row r="829" spans="1:20" s="677" customFormat="1" ht="42" hidden="1" customHeight="1">
      <c r="A829" s="662"/>
      <c r="B829" s="666">
        <f t="shared" si="82"/>
        <v>0</v>
      </c>
      <c r="C829" s="663" t="s">
        <v>1873</v>
      </c>
      <c r="D829" s="675">
        <f>D1015</f>
        <v>3971.57</v>
      </c>
      <c r="E829" s="742" t="s">
        <v>37</v>
      </c>
      <c r="F829" s="663">
        <f t="shared" si="85"/>
        <v>0</v>
      </c>
      <c r="G829" s="684"/>
      <c r="H829" s="667">
        <f t="shared" si="86"/>
        <v>0</v>
      </c>
      <c r="I829" s="675"/>
      <c r="J829" s="667">
        <f t="shared" si="87"/>
        <v>0</v>
      </c>
      <c r="K829" s="667"/>
      <c r="L829" s="667"/>
      <c r="M829" s="667" t="e">
        <f>G829+#REF!+#REF!+#REF!+I829+#REF!+#REF!+#REF!+#REF!+#REF!+#REF!+K829+#REF!+#REF!+#REF!</f>
        <v>#REF!</v>
      </c>
      <c r="N829" s="667" t="e">
        <f t="shared" si="83"/>
        <v>#REF!</v>
      </c>
      <c r="O829" s="665" t="e">
        <f>#REF!+M829</f>
        <v>#REF!</v>
      </c>
      <c r="P829" s="666" t="e">
        <f t="shared" si="84"/>
        <v>#REF!</v>
      </c>
      <c r="Q829" s="672"/>
      <c r="R829" s="668"/>
      <c r="S829" s="676"/>
      <c r="T829" s="676"/>
    </row>
    <row r="830" spans="1:20" s="677" customFormat="1" ht="50.25" hidden="1" customHeight="1">
      <c r="A830" s="662"/>
      <c r="B830" s="666">
        <f t="shared" si="82"/>
        <v>0</v>
      </c>
      <c r="C830" s="685" t="s">
        <v>1874</v>
      </c>
      <c r="D830" s="739">
        <f>[14]Data!J3859</f>
        <v>4173.82</v>
      </c>
      <c r="E830" s="743" t="s">
        <v>37</v>
      </c>
      <c r="F830" s="663">
        <f t="shared" si="85"/>
        <v>0</v>
      </c>
      <c r="G830" s="684"/>
      <c r="H830" s="667">
        <f t="shared" si="86"/>
        <v>0</v>
      </c>
      <c r="I830" s="675"/>
      <c r="J830" s="667">
        <f t="shared" si="87"/>
        <v>0</v>
      </c>
      <c r="K830" s="667"/>
      <c r="L830" s="667"/>
      <c r="M830" s="667" t="e">
        <f>G830+#REF!+#REF!+#REF!+I830+#REF!+#REF!+#REF!+#REF!+#REF!+#REF!+K830+#REF!+#REF!+#REF!</f>
        <v>#REF!</v>
      </c>
      <c r="N830" s="667" t="e">
        <f t="shared" si="83"/>
        <v>#REF!</v>
      </c>
      <c r="O830" s="665" t="e">
        <f>#REF!+M830</f>
        <v>#REF!</v>
      </c>
      <c r="P830" s="666" t="e">
        <f t="shared" si="84"/>
        <v>#REF!</v>
      </c>
      <c r="Q830" s="672"/>
      <c r="R830" s="668"/>
      <c r="S830" s="676"/>
      <c r="T830" s="676"/>
    </row>
    <row r="831" spans="1:20" s="677" customFormat="1" ht="42" hidden="1" customHeight="1">
      <c r="A831" s="662"/>
      <c r="B831" s="666">
        <f t="shared" si="82"/>
        <v>0</v>
      </c>
      <c r="C831" s="685" t="s">
        <v>1875</v>
      </c>
      <c r="D831" s="739">
        <f>[14]Data!J3880</f>
        <v>3464.01</v>
      </c>
      <c r="E831" s="743" t="s">
        <v>37</v>
      </c>
      <c r="F831" s="663">
        <f t="shared" si="85"/>
        <v>0</v>
      </c>
      <c r="G831" s="684"/>
      <c r="H831" s="667">
        <f t="shared" si="86"/>
        <v>0</v>
      </c>
      <c r="I831" s="675"/>
      <c r="J831" s="667">
        <f t="shared" si="87"/>
        <v>0</v>
      </c>
      <c r="K831" s="667"/>
      <c r="L831" s="667"/>
      <c r="M831" s="667" t="e">
        <f>G831+#REF!+#REF!+#REF!+I831+#REF!+#REF!+#REF!+#REF!+#REF!+#REF!+K831+#REF!+#REF!+#REF!</f>
        <v>#REF!</v>
      </c>
      <c r="N831" s="667" t="e">
        <f t="shared" si="83"/>
        <v>#REF!</v>
      </c>
      <c r="O831" s="665" t="e">
        <f>#REF!+M831</f>
        <v>#REF!</v>
      </c>
      <c r="P831" s="666" t="e">
        <f t="shared" si="84"/>
        <v>#REF!</v>
      </c>
      <c r="Q831" s="672"/>
      <c r="R831" s="668"/>
      <c r="S831" s="676"/>
      <c r="T831" s="676"/>
    </row>
    <row r="832" spans="1:20" s="677" customFormat="1" ht="52.5" hidden="1" customHeight="1">
      <c r="A832" s="662"/>
      <c r="B832" s="666">
        <f t="shared" si="82"/>
        <v>0</v>
      </c>
      <c r="C832" s="715" t="s">
        <v>1876</v>
      </c>
      <c r="D832" s="767">
        <v>61.8</v>
      </c>
      <c r="E832" s="768" t="s">
        <v>522</v>
      </c>
      <c r="F832" s="663">
        <f t="shared" si="85"/>
        <v>0</v>
      </c>
      <c r="G832" s="684"/>
      <c r="H832" s="667">
        <f t="shared" si="86"/>
        <v>0</v>
      </c>
      <c r="I832" s="675"/>
      <c r="J832" s="667">
        <f t="shared" si="87"/>
        <v>0</v>
      </c>
      <c r="K832" s="667"/>
      <c r="L832" s="667"/>
      <c r="M832" s="667" t="e">
        <f>G832+#REF!+#REF!+#REF!+I832+#REF!+#REF!+#REF!+#REF!+#REF!+#REF!+K832+#REF!+#REF!+#REF!</f>
        <v>#REF!</v>
      </c>
      <c r="N832" s="667" t="e">
        <f t="shared" si="83"/>
        <v>#REF!</v>
      </c>
      <c r="O832" s="665" t="e">
        <f>#REF!+M832</f>
        <v>#REF!</v>
      </c>
      <c r="P832" s="666" t="e">
        <f t="shared" si="84"/>
        <v>#REF!</v>
      </c>
      <c r="Q832" s="672"/>
      <c r="R832" s="668"/>
      <c r="S832" s="676"/>
      <c r="T832" s="676"/>
    </row>
    <row r="833" spans="1:20" s="677" customFormat="1" ht="59.25" hidden="1" customHeight="1">
      <c r="A833" s="662"/>
      <c r="B833" s="666">
        <f t="shared" si="82"/>
        <v>0</v>
      </c>
      <c r="C833" s="663" t="s">
        <v>1877</v>
      </c>
      <c r="D833" s="739">
        <v>405</v>
      </c>
      <c r="E833" s="674" t="s">
        <v>61</v>
      </c>
      <c r="F833" s="663">
        <f t="shared" si="85"/>
        <v>0</v>
      </c>
      <c r="G833" s="684"/>
      <c r="H833" s="667">
        <f t="shared" si="86"/>
        <v>0</v>
      </c>
      <c r="I833" s="675"/>
      <c r="J833" s="667">
        <f t="shared" si="87"/>
        <v>0</v>
      </c>
      <c r="K833" s="667"/>
      <c r="L833" s="667"/>
      <c r="M833" s="667" t="e">
        <f>G833+#REF!+#REF!+#REF!+I833+#REF!+#REF!+#REF!+#REF!+#REF!+#REF!+K833+#REF!+#REF!+#REF!</f>
        <v>#REF!</v>
      </c>
      <c r="N833" s="667" t="e">
        <f t="shared" si="83"/>
        <v>#REF!</v>
      </c>
      <c r="O833" s="665" t="e">
        <f>#REF!+M833</f>
        <v>#REF!</v>
      </c>
      <c r="P833" s="666" t="e">
        <f t="shared" si="84"/>
        <v>#REF!</v>
      </c>
      <c r="Q833" s="672"/>
      <c r="R833" s="668"/>
      <c r="S833" s="676"/>
      <c r="T833" s="676"/>
    </row>
    <row r="834" spans="1:20" s="677" customFormat="1" ht="45.75" hidden="1" customHeight="1">
      <c r="A834" s="662"/>
      <c r="B834" s="666">
        <f t="shared" si="82"/>
        <v>0</v>
      </c>
      <c r="C834" s="663" t="s">
        <v>1878</v>
      </c>
      <c r="D834" s="684">
        <v>325</v>
      </c>
      <c r="E834" s="766" t="s">
        <v>37</v>
      </c>
      <c r="F834" s="663">
        <f t="shared" si="85"/>
        <v>0</v>
      </c>
      <c r="G834" s="684"/>
      <c r="H834" s="667">
        <f t="shared" ref="H834:H852" si="88">G834*D834</f>
        <v>0</v>
      </c>
      <c r="I834" s="675"/>
      <c r="J834" s="667">
        <f t="shared" ref="J834:J852" si="89">I834*D834</f>
        <v>0</v>
      </c>
      <c r="K834" s="667"/>
      <c r="L834" s="667"/>
      <c r="M834" s="667" t="e">
        <f>G834+#REF!+#REF!+#REF!+I834+#REF!+#REF!+#REF!+#REF!+#REF!+#REF!+K834+#REF!+#REF!+#REF!</f>
        <v>#REF!</v>
      </c>
      <c r="N834" s="667" t="e">
        <f t="shared" si="83"/>
        <v>#REF!</v>
      </c>
      <c r="O834" s="665" t="e">
        <f>#REF!+M834</f>
        <v>#REF!</v>
      </c>
      <c r="P834" s="666" t="e">
        <f t="shared" si="84"/>
        <v>#REF!</v>
      </c>
      <c r="Q834" s="672"/>
      <c r="R834" s="668"/>
      <c r="S834" s="676"/>
      <c r="T834" s="676"/>
    </row>
    <row r="835" spans="1:20" s="677" customFormat="1" ht="37.5" hidden="1" customHeight="1">
      <c r="A835" s="662"/>
      <c r="B835" s="666">
        <f t="shared" ref="B835:B898" si="90">G835</f>
        <v>0</v>
      </c>
      <c r="C835" s="663" t="s">
        <v>1879</v>
      </c>
      <c r="D835" s="684">
        <v>35</v>
      </c>
      <c r="E835" s="766" t="s">
        <v>37</v>
      </c>
      <c r="F835" s="663">
        <f t="shared" si="85"/>
        <v>0</v>
      </c>
      <c r="G835" s="684"/>
      <c r="H835" s="667">
        <f t="shared" si="88"/>
        <v>0</v>
      </c>
      <c r="I835" s="675"/>
      <c r="J835" s="667">
        <f t="shared" si="89"/>
        <v>0</v>
      </c>
      <c r="K835" s="667"/>
      <c r="L835" s="667"/>
      <c r="M835" s="667" t="e">
        <f>G835+#REF!+#REF!+#REF!+I835+#REF!+#REF!+#REF!+#REF!+#REF!+#REF!+K835+#REF!+#REF!+#REF!</f>
        <v>#REF!</v>
      </c>
      <c r="N835" s="667" t="e">
        <f t="shared" si="83"/>
        <v>#REF!</v>
      </c>
      <c r="O835" s="665" t="e">
        <f>#REF!+M835</f>
        <v>#REF!</v>
      </c>
      <c r="P835" s="666" t="e">
        <f t="shared" si="84"/>
        <v>#REF!</v>
      </c>
      <c r="Q835" s="672"/>
      <c r="R835" s="668"/>
      <c r="S835" s="676"/>
      <c r="T835" s="676"/>
    </row>
    <row r="836" spans="1:20" s="677" customFormat="1" ht="63.75" hidden="1" customHeight="1">
      <c r="A836" s="662"/>
      <c r="B836" s="666">
        <f t="shared" si="90"/>
        <v>0</v>
      </c>
      <c r="C836" s="738" t="s">
        <v>1880</v>
      </c>
      <c r="D836" s="696">
        <f>[14]Data!AQ3116</f>
        <v>231</v>
      </c>
      <c r="E836" s="741" t="s">
        <v>522</v>
      </c>
      <c r="F836" s="663">
        <f t="shared" si="85"/>
        <v>0</v>
      </c>
      <c r="G836" s="684"/>
      <c r="H836" s="667">
        <f t="shared" si="88"/>
        <v>0</v>
      </c>
      <c r="I836" s="675"/>
      <c r="J836" s="667">
        <f t="shared" si="89"/>
        <v>0</v>
      </c>
      <c r="K836" s="667"/>
      <c r="L836" s="667"/>
      <c r="M836" s="667" t="e">
        <f>G836+#REF!+#REF!+#REF!+I836+#REF!+#REF!+#REF!+#REF!+#REF!+#REF!+K836+#REF!+#REF!+#REF!</f>
        <v>#REF!</v>
      </c>
      <c r="N836" s="667" t="e">
        <f t="shared" si="83"/>
        <v>#REF!</v>
      </c>
      <c r="O836" s="665" t="e">
        <f>#REF!+M836</f>
        <v>#REF!</v>
      </c>
      <c r="P836" s="666" t="e">
        <f t="shared" si="84"/>
        <v>#REF!</v>
      </c>
      <c r="Q836" s="672"/>
      <c r="R836" s="668"/>
      <c r="S836" s="676"/>
      <c r="T836" s="676"/>
    </row>
    <row r="837" spans="1:20" s="677" customFormat="1" ht="55.5" hidden="1" customHeight="1">
      <c r="A837" s="662"/>
      <c r="B837" s="666">
        <f t="shared" si="90"/>
        <v>0</v>
      </c>
      <c r="C837" s="738" t="s">
        <v>1881</v>
      </c>
      <c r="D837" s="696">
        <f>[14]Data!AR3116</f>
        <v>220</v>
      </c>
      <c r="E837" s="741" t="s">
        <v>522</v>
      </c>
      <c r="F837" s="663">
        <f t="shared" si="85"/>
        <v>0</v>
      </c>
      <c r="G837" s="684"/>
      <c r="H837" s="667">
        <f t="shared" si="88"/>
        <v>0</v>
      </c>
      <c r="I837" s="675"/>
      <c r="J837" s="667">
        <f t="shared" si="89"/>
        <v>0</v>
      </c>
      <c r="K837" s="667"/>
      <c r="L837" s="667"/>
      <c r="M837" s="667" t="e">
        <f>G837+#REF!+#REF!+#REF!+I837+#REF!+#REF!+#REF!+#REF!+#REF!+#REF!+K837+#REF!+#REF!+#REF!</f>
        <v>#REF!</v>
      </c>
      <c r="N837" s="667" t="e">
        <f t="shared" ref="N837:N900" si="91">M837*D837</f>
        <v>#REF!</v>
      </c>
      <c r="O837" s="665" t="e">
        <f>#REF!+M837</f>
        <v>#REF!</v>
      </c>
      <c r="P837" s="666" t="e">
        <f t="shared" ref="P837:P900" si="92">O837*D837</f>
        <v>#REF!</v>
      </c>
      <c r="Q837" s="672"/>
      <c r="R837" s="668"/>
      <c r="S837" s="676"/>
      <c r="T837" s="676"/>
    </row>
    <row r="838" spans="1:20" s="677" customFormat="1" ht="63" hidden="1" customHeight="1">
      <c r="A838" s="662"/>
      <c r="B838" s="666">
        <f t="shared" si="90"/>
        <v>0</v>
      </c>
      <c r="C838" s="738" t="s">
        <v>1882</v>
      </c>
      <c r="D838" s="696">
        <f>[14]Elec.Data!R3638</f>
        <v>2808.14</v>
      </c>
      <c r="E838" s="674" t="s">
        <v>522</v>
      </c>
      <c r="F838" s="663">
        <f t="shared" si="85"/>
        <v>0</v>
      </c>
      <c r="G838" s="660"/>
      <c r="H838" s="667">
        <f t="shared" si="88"/>
        <v>0</v>
      </c>
      <c r="I838" s="675"/>
      <c r="J838" s="667">
        <f t="shared" si="89"/>
        <v>0</v>
      </c>
      <c r="K838" s="667"/>
      <c r="L838" s="667"/>
      <c r="M838" s="667" t="e">
        <f>G838+#REF!+#REF!+#REF!+I838+#REF!+#REF!+#REF!+#REF!+#REF!+#REF!+K838+#REF!+#REF!+#REF!</f>
        <v>#REF!</v>
      </c>
      <c r="N838" s="667" t="e">
        <f t="shared" si="91"/>
        <v>#REF!</v>
      </c>
      <c r="O838" s="665" t="e">
        <f>#REF!+M838</f>
        <v>#REF!</v>
      </c>
      <c r="P838" s="666" t="e">
        <f t="shared" si="92"/>
        <v>#REF!</v>
      </c>
      <c r="Q838" s="672"/>
      <c r="R838" s="668"/>
      <c r="S838" s="676"/>
      <c r="T838" s="676"/>
    </row>
    <row r="839" spans="1:20" s="677" customFormat="1" ht="45.75" hidden="1" customHeight="1">
      <c r="A839" s="662"/>
      <c r="B839" s="666">
        <f t="shared" si="90"/>
        <v>0</v>
      </c>
      <c r="C839" s="663" t="s">
        <v>1883</v>
      </c>
      <c r="D839" s="660">
        <f>[14]Data!R2365</f>
        <v>343.98</v>
      </c>
      <c r="E839" s="674" t="s">
        <v>61</v>
      </c>
      <c r="F839" s="663">
        <f t="shared" si="85"/>
        <v>0</v>
      </c>
      <c r="G839" s="684"/>
      <c r="H839" s="667">
        <f t="shared" si="88"/>
        <v>0</v>
      </c>
      <c r="I839" s="675"/>
      <c r="J839" s="667">
        <f t="shared" si="89"/>
        <v>0</v>
      </c>
      <c r="K839" s="667"/>
      <c r="L839" s="667"/>
      <c r="M839" s="667" t="e">
        <f>G839+#REF!+#REF!+#REF!+I839+#REF!+#REF!+#REF!+#REF!+#REF!+#REF!+K839+#REF!+#REF!+#REF!</f>
        <v>#REF!</v>
      </c>
      <c r="N839" s="667" t="e">
        <f t="shared" si="91"/>
        <v>#REF!</v>
      </c>
      <c r="O839" s="665" t="e">
        <f>#REF!+M839</f>
        <v>#REF!</v>
      </c>
      <c r="P839" s="666" t="e">
        <f t="shared" si="92"/>
        <v>#REF!</v>
      </c>
      <c r="Q839" s="672"/>
      <c r="R839" s="668"/>
      <c r="S839" s="676"/>
      <c r="T839" s="676"/>
    </row>
    <row r="840" spans="1:20" ht="61.15" hidden="1" customHeight="1">
      <c r="A840" s="662"/>
      <c r="B840" s="666">
        <f t="shared" si="90"/>
        <v>0</v>
      </c>
      <c r="C840" s="663" t="s">
        <v>1884</v>
      </c>
      <c r="D840" s="769">
        <f>[14]Data!X1347</f>
        <v>1324.24</v>
      </c>
      <c r="E840" s="663" t="s">
        <v>264</v>
      </c>
      <c r="F840" s="663">
        <f t="shared" si="85"/>
        <v>0</v>
      </c>
      <c r="G840" s="690"/>
      <c r="H840" s="667">
        <f t="shared" si="88"/>
        <v>0</v>
      </c>
      <c r="I840" s="667"/>
      <c r="J840" s="667">
        <f t="shared" si="89"/>
        <v>0</v>
      </c>
      <c r="K840" s="667"/>
      <c r="L840" s="667"/>
      <c r="M840" s="667" t="e">
        <f>G840+#REF!+#REF!+#REF!+I840+#REF!+#REF!+#REF!+#REF!+#REF!+#REF!+K840+#REF!+#REF!+#REF!</f>
        <v>#REF!</v>
      </c>
      <c r="N840" s="667" t="e">
        <f t="shared" si="91"/>
        <v>#REF!</v>
      </c>
      <c r="O840" s="665" t="e">
        <f>#REF!+M840</f>
        <v>#REF!</v>
      </c>
      <c r="P840" s="666" t="e">
        <f t="shared" si="92"/>
        <v>#REF!</v>
      </c>
      <c r="Q840" s="672"/>
      <c r="R840" s="668"/>
    </row>
    <row r="841" spans="1:20" s="677" customFormat="1" ht="40.15" hidden="1" customHeight="1">
      <c r="A841" s="662" t="s">
        <v>1885</v>
      </c>
      <c r="B841" s="666">
        <f t="shared" si="90"/>
        <v>0</v>
      </c>
      <c r="C841" s="663" t="s">
        <v>1886</v>
      </c>
      <c r="D841" s="675">
        <f>[14]Data!K1797</f>
        <v>1920</v>
      </c>
      <c r="E841" s="674" t="s">
        <v>522</v>
      </c>
      <c r="F841" s="663">
        <f t="shared" si="85"/>
        <v>0</v>
      </c>
      <c r="G841" s="684"/>
      <c r="H841" s="667">
        <f t="shared" si="88"/>
        <v>0</v>
      </c>
      <c r="I841" s="675"/>
      <c r="J841" s="667">
        <f t="shared" si="89"/>
        <v>0</v>
      </c>
      <c r="K841" s="667"/>
      <c r="L841" s="667"/>
      <c r="M841" s="667" t="e">
        <f>G841+#REF!+#REF!+#REF!+I841+#REF!+#REF!+#REF!+#REF!+#REF!+#REF!+K841+#REF!+#REF!+#REF!</f>
        <v>#REF!</v>
      </c>
      <c r="N841" s="667" t="e">
        <f t="shared" si="91"/>
        <v>#REF!</v>
      </c>
      <c r="O841" s="665" t="e">
        <f>#REF!+M841</f>
        <v>#REF!</v>
      </c>
      <c r="P841" s="666" t="e">
        <f t="shared" si="92"/>
        <v>#REF!</v>
      </c>
      <c r="Q841" s="672"/>
      <c r="R841" s="668"/>
      <c r="S841" s="676"/>
      <c r="T841" s="676"/>
    </row>
    <row r="842" spans="1:20" ht="60.75" customHeight="1">
      <c r="A842" s="662"/>
      <c r="B842" s="666">
        <f t="shared" si="90"/>
        <v>0</v>
      </c>
      <c r="C842" s="685" t="s">
        <v>1887</v>
      </c>
      <c r="D842" s="667"/>
      <c r="E842" s="663"/>
      <c r="F842" s="663">
        <f t="shared" si="85"/>
        <v>0</v>
      </c>
      <c r="G842" s="667"/>
      <c r="H842" s="667">
        <f t="shared" si="88"/>
        <v>0</v>
      </c>
      <c r="I842" s="667"/>
      <c r="J842" s="667">
        <f t="shared" si="89"/>
        <v>0</v>
      </c>
      <c r="K842" s="667"/>
      <c r="L842" s="667"/>
      <c r="M842" s="667" t="e">
        <f>G842+#REF!+#REF!+#REF!+I842+#REF!+#REF!+#REF!+#REF!+#REF!+#REF!+K842+#REF!+#REF!+#REF!</f>
        <v>#REF!</v>
      </c>
      <c r="N842" s="667" t="e">
        <f t="shared" si="91"/>
        <v>#REF!</v>
      </c>
      <c r="O842" s="665" t="e">
        <f>#REF!+M842</f>
        <v>#REF!</v>
      </c>
      <c r="P842" s="666" t="e">
        <f t="shared" si="92"/>
        <v>#REF!</v>
      </c>
      <c r="Q842" s="668"/>
      <c r="R842" s="668"/>
    </row>
    <row r="843" spans="1:20" ht="50.25" customHeight="1">
      <c r="A843" s="662"/>
      <c r="B843" s="666">
        <f t="shared" si="90"/>
        <v>40</v>
      </c>
      <c r="C843" s="663" t="s">
        <v>1888</v>
      </c>
      <c r="D843" s="769">
        <v>444.77</v>
      </c>
      <c r="E843" s="663" t="s">
        <v>61</v>
      </c>
      <c r="F843" s="663">
        <f t="shared" si="85"/>
        <v>17790.8</v>
      </c>
      <c r="G843" s="699">
        <f>'Septic Tank'!$G$101</f>
        <v>40</v>
      </c>
      <c r="H843" s="667">
        <f t="shared" si="88"/>
        <v>17790.8</v>
      </c>
      <c r="I843" s="667"/>
      <c r="J843" s="667">
        <f t="shared" si="89"/>
        <v>0</v>
      </c>
      <c r="K843" s="667"/>
      <c r="L843" s="667"/>
      <c r="M843" s="667" t="e">
        <f>G843+#REF!+#REF!+#REF!+I843+#REF!+#REF!+#REF!+#REF!+#REF!+#REF!+K843+#REF!+#REF!+#REF!</f>
        <v>#REF!</v>
      </c>
      <c r="N843" s="667" t="e">
        <f t="shared" si="91"/>
        <v>#REF!</v>
      </c>
      <c r="O843" s="665" t="e">
        <f>#REF!+M843</f>
        <v>#REF!</v>
      </c>
      <c r="P843" s="666" t="e">
        <f t="shared" si="92"/>
        <v>#REF!</v>
      </c>
      <c r="Q843" s="672"/>
      <c r="R843" s="668"/>
    </row>
    <row r="844" spans="1:20" ht="35.25" customHeight="1">
      <c r="A844" s="662"/>
      <c r="B844" s="666">
        <f t="shared" si="90"/>
        <v>10</v>
      </c>
      <c r="C844" s="663" t="s">
        <v>1889</v>
      </c>
      <c r="D844" s="769">
        <v>754.84</v>
      </c>
      <c r="E844" s="663" t="s">
        <v>61</v>
      </c>
      <c r="F844" s="663">
        <f t="shared" si="85"/>
        <v>7548.4000000000005</v>
      </c>
      <c r="G844" s="699">
        <f>'Septic Tank'!$G$104</f>
        <v>10</v>
      </c>
      <c r="H844" s="667">
        <f t="shared" si="88"/>
        <v>7548.4000000000005</v>
      </c>
      <c r="I844" s="667"/>
      <c r="J844" s="667">
        <f t="shared" si="89"/>
        <v>0</v>
      </c>
      <c r="K844" s="667"/>
      <c r="L844" s="667"/>
      <c r="M844" s="667" t="e">
        <f>G844+#REF!+#REF!+#REF!+I844+#REF!+#REF!+#REF!+#REF!+#REF!+#REF!+K844+#REF!+#REF!+#REF!</f>
        <v>#REF!</v>
      </c>
      <c r="N844" s="667" t="e">
        <f t="shared" si="91"/>
        <v>#REF!</v>
      </c>
      <c r="O844" s="665" t="e">
        <f>#REF!+M844</f>
        <v>#REF!</v>
      </c>
      <c r="P844" s="666" t="e">
        <f t="shared" si="92"/>
        <v>#REF!</v>
      </c>
      <c r="Q844" s="672"/>
      <c r="R844" s="668"/>
    </row>
    <row r="845" spans="1:20" ht="50.25" hidden="1" customHeight="1">
      <c r="A845" s="662"/>
      <c r="B845" s="666">
        <f t="shared" si="90"/>
        <v>0</v>
      </c>
      <c r="C845" s="685" t="s">
        <v>1890</v>
      </c>
      <c r="D845" s="769"/>
      <c r="E845" s="663"/>
      <c r="F845" s="663">
        <f t="shared" ref="F845:F898" si="93">H845</f>
        <v>0</v>
      </c>
      <c r="G845" s="699"/>
      <c r="H845" s="667">
        <f t="shared" si="88"/>
        <v>0</v>
      </c>
      <c r="I845" s="667"/>
      <c r="J845" s="667">
        <f t="shared" si="89"/>
        <v>0</v>
      </c>
      <c r="K845" s="667"/>
      <c r="L845" s="667"/>
      <c r="M845" s="667" t="e">
        <f>G845+#REF!+#REF!+#REF!+I845+#REF!+#REF!+#REF!+#REF!+#REF!+#REF!+K845+#REF!+#REF!+#REF!</f>
        <v>#REF!</v>
      </c>
      <c r="N845" s="667" t="e">
        <f t="shared" si="91"/>
        <v>#REF!</v>
      </c>
      <c r="O845" s="665" t="e">
        <f>#REF!+M845</f>
        <v>#REF!</v>
      </c>
      <c r="P845" s="666" t="e">
        <f t="shared" si="92"/>
        <v>#REF!</v>
      </c>
      <c r="Q845" s="668"/>
      <c r="R845" s="668"/>
    </row>
    <row r="846" spans="1:20" ht="57.75" hidden="1" customHeight="1">
      <c r="A846" s="662"/>
      <c r="B846" s="666">
        <f t="shared" si="90"/>
        <v>0</v>
      </c>
      <c r="C846" s="770" t="s">
        <v>1891</v>
      </c>
      <c r="D846" s="769">
        <v>248</v>
      </c>
      <c r="E846" s="663" t="s">
        <v>522</v>
      </c>
      <c r="F846" s="663">
        <f t="shared" si="93"/>
        <v>0</v>
      </c>
      <c r="G846" s="699"/>
      <c r="H846" s="667">
        <f t="shared" si="88"/>
        <v>0</v>
      </c>
      <c r="I846" s="667"/>
      <c r="J846" s="667">
        <f t="shared" si="89"/>
        <v>0</v>
      </c>
      <c r="K846" s="667"/>
      <c r="L846" s="667"/>
      <c r="M846" s="667" t="e">
        <f>G846+#REF!+#REF!+#REF!+I846+#REF!+#REF!+#REF!+#REF!+#REF!+#REF!+K846+#REF!+#REF!+#REF!</f>
        <v>#REF!</v>
      </c>
      <c r="N846" s="667" t="e">
        <f t="shared" si="91"/>
        <v>#REF!</v>
      </c>
      <c r="O846" s="665" t="e">
        <f>#REF!+M846</f>
        <v>#REF!</v>
      </c>
      <c r="P846" s="666" t="e">
        <f t="shared" si="92"/>
        <v>#REF!</v>
      </c>
      <c r="Q846" s="672"/>
      <c r="R846" s="668"/>
    </row>
    <row r="847" spans="1:20" ht="63.75" hidden="1" customHeight="1">
      <c r="A847" s="662"/>
      <c r="B847" s="666">
        <f t="shared" si="90"/>
        <v>0</v>
      </c>
      <c r="C847" s="708" t="s">
        <v>1892</v>
      </c>
      <c r="D847" s="769">
        <v>1048</v>
      </c>
      <c r="E847" s="663" t="s">
        <v>522</v>
      </c>
      <c r="F847" s="663">
        <f t="shared" si="93"/>
        <v>0</v>
      </c>
      <c r="G847" s="699"/>
      <c r="H847" s="667">
        <f t="shared" si="88"/>
        <v>0</v>
      </c>
      <c r="I847" s="667"/>
      <c r="J847" s="667">
        <f t="shared" si="89"/>
        <v>0</v>
      </c>
      <c r="K847" s="667"/>
      <c r="L847" s="667"/>
      <c r="M847" s="667" t="e">
        <f>G847+#REF!+#REF!+#REF!+I847+#REF!+#REF!+#REF!+#REF!+#REF!+#REF!+K847+#REF!+#REF!+#REF!</f>
        <v>#REF!</v>
      </c>
      <c r="N847" s="667" t="e">
        <f t="shared" si="91"/>
        <v>#REF!</v>
      </c>
      <c r="O847" s="665" t="e">
        <f>#REF!+M847</f>
        <v>#REF!</v>
      </c>
      <c r="P847" s="666" t="e">
        <f t="shared" si="92"/>
        <v>#REF!</v>
      </c>
      <c r="Q847" s="672"/>
      <c r="R847" s="668"/>
    </row>
    <row r="848" spans="1:20" ht="51.75" hidden="1" customHeight="1">
      <c r="A848" s="662"/>
      <c r="B848" s="666">
        <f t="shared" si="90"/>
        <v>0</v>
      </c>
      <c r="C848" s="685" t="s">
        <v>1893</v>
      </c>
      <c r="D848" s="769"/>
      <c r="E848" s="663"/>
      <c r="F848" s="663">
        <f t="shared" si="93"/>
        <v>0</v>
      </c>
      <c r="G848" s="699"/>
      <c r="H848" s="667">
        <f t="shared" si="88"/>
        <v>0</v>
      </c>
      <c r="I848" s="667"/>
      <c r="J848" s="667">
        <f t="shared" si="89"/>
        <v>0</v>
      </c>
      <c r="K848" s="667"/>
      <c r="L848" s="667"/>
      <c r="M848" s="667" t="e">
        <f>G848+#REF!+#REF!+#REF!+I848+#REF!+#REF!+#REF!+#REF!+#REF!+#REF!+K848+#REF!+#REF!+#REF!</f>
        <v>#REF!</v>
      </c>
      <c r="N848" s="667" t="e">
        <f t="shared" si="91"/>
        <v>#REF!</v>
      </c>
      <c r="O848" s="665" t="e">
        <f>#REF!+M848</f>
        <v>#REF!</v>
      </c>
      <c r="P848" s="666" t="e">
        <f t="shared" si="92"/>
        <v>#REF!</v>
      </c>
      <c r="Q848" s="668"/>
      <c r="R848" s="668"/>
    </row>
    <row r="849" spans="1:20" ht="52.5" hidden="1" customHeight="1">
      <c r="A849" s="662"/>
      <c r="B849" s="666">
        <f t="shared" si="90"/>
        <v>0</v>
      </c>
      <c r="C849" s="663" t="s">
        <v>1894</v>
      </c>
      <c r="D849" s="769">
        <v>303</v>
      </c>
      <c r="E849" s="663" t="s">
        <v>522</v>
      </c>
      <c r="F849" s="663">
        <f t="shared" si="93"/>
        <v>0</v>
      </c>
      <c r="G849" s="699"/>
      <c r="H849" s="667">
        <f t="shared" si="88"/>
        <v>0</v>
      </c>
      <c r="I849" s="667"/>
      <c r="J849" s="667">
        <f t="shared" si="89"/>
        <v>0</v>
      </c>
      <c r="K849" s="667"/>
      <c r="L849" s="667"/>
      <c r="M849" s="667" t="e">
        <f>G849+#REF!+#REF!+#REF!+I849+#REF!+#REF!+#REF!+#REF!+#REF!+#REF!+K849+#REF!+#REF!+#REF!</f>
        <v>#REF!</v>
      </c>
      <c r="N849" s="667" t="e">
        <f t="shared" si="91"/>
        <v>#REF!</v>
      </c>
      <c r="O849" s="665" t="e">
        <f>#REF!+M849</f>
        <v>#REF!</v>
      </c>
      <c r="P849" s="666" t="e">
        <f t="shared" si="92"/>
        <v>#REF!</v>
      </c>
      <c r="Q849" s="672"/>
      <c r="R849" s="668"/>
    </row>
    <row r="850" spans="1:20" ht="65.25" hidden="1" customHeight="1">
      <c r="A850" s="662"/>
      <c r="B850" s="666">
        <f t="shared" si="90"/>
        <v>0</v>
      </c>
      <c r="C850" s="663" t="s">
        <v>1895</v>
      </c>
      <c r="D850" s="771">
        <v>827</v>
      </c>
      <c r="E850" s="663" t="s">
        <v>522</v>
      </c>
      <c r="F850" s="663">
        <f t="shared" si="93"/>
        <v>0</v>
      </c>
      <c r="G850" s="699"/>
      <c r="H850" s="667">
        <f t="shared" si="88"/>
        <v>0</v>
      </c>
      <c r="I850" s="667"/>
      <c r="J850" s="667">
        <f t="shared" si="89"/>
        <v>0</v>
      </c>
      <c r="K850" s="667"/>
      <c r="L850" s="667"/>
      <c r="M850" s="667" t="e">
        <f>G850+#REF!+#REF!+#REF!+I850+#REF!+#REF!+#REF!+#REF!+#REF!+#REF!+K850+#REF!+#REF!+#REF!</f>
        <v>#REF!</v>
      </c>
      <c r="N850" s="667" t="e">
        <f t="shared" si="91"/>
        <v>#REF!</v>
      </c>
      <c r="O850" s="665" t="e">
        <f>#REF!+M850</f>
        <v>#REF!</v>
      </c>
      <c r="P850" s="666" t="e">
        <f t="shared" si="92"/>
        <v>#REF!</v>
      </c>
      <c r="Q850" s="672"/>
      <c r="R850" s="668"/>
    </row>
    <row r="851" spans="1:20" ht="86.25" hidden="1" customHeight="1">
      <c r="A851" s="662"/>
      <c r="B851" s="666">
        <f t="shared" si="90"/>
        <v>0</v>
      </c>
      <c r="C851" s="663" t="s">
        <v>1896</v>
      </c>
      <c r="D851" s="769">
        <f>[14]Data!R1978</f>
        <v>3040.4</v>
      </c>
      <c r="E851" s="663" t="s">
        <v>522</v>
      </c>
      <c r="F851" s="663">
        <f t="shared" si="93"/>
        <v>0</v>
      </c>
      <c r="G851" s="666"/>
      <c r="H851" s="667">
        <f t="shared" si="88"/>
        <v>0</v>
      </c>
      <c r="I851" s="667"/>
      <c r="J851" s="667">
        <f t="shared" si="89"/>
        <v>0</v>
      </c>
      <c r="K851" s="667"/>
      <c r="L851" s="667"/>
      <c r="M851" s="667" t="e">
        <f>G851+#REF!+#REF!+#REF!+I851+#REF!+#REF!+#REF!+#REF!+#REF!+#REF!+K851+#REF!+#REF!+#REF!</f>
        <v>#REF!</v>
      </c>
      <c r="N851" s="667" t="e">
        <f t="shared" si="91"/>
        <v>#REF!</v>
      </c>
      <c r="O851" s="665" t="e">
        <f>#REF!+M851</f>
        <v>#REF!</v>
      </c>
      <c r="P851" s="666" t="e">
        <f t="shared" si="92"/>
        <v>#REF!</v>
      </c>
      <c r="Q851" s="672"/>
      <c r="R851" s="668"/>
    </row>
    <row r="852" spans="1:20" ht="84.75" hidden="1" customHeight="1">
      <c r="A852" s="662"/>
      <c r="B852" s="666">
        <f t="shared" si="90"/>
        <v>0</v>
      </c>
      <c r="C852" s="663" t="s">
        <v>1897</v>
      </c>
      <c r="D852" s="769">
        <f>[14]Data!R1999</f>
        <v>4756.41</v>
      </c>
      <c r="E852" s="663" t="s">
        <v>522</v>
      </c>
      <c r="F852" s="663">
        <f t="shared" si="93"/>
        <v>0</v>
      </c>
      <c r="G852" s="666"/>
      <c r="H852" s="667">
        <f t="shared" si="88"/>
        <v>0</v>
      </c>
      <c r="I852" s="667"/>
      <c r="J852" s="667">
        <f t="shared" si="89"/>
        <v>0</v>
      </c>
      <c r="K852" s="667"/>
      <c r="L852" s="667"/>
      <c r="M852" s="667" t="e">
        <f>G852+#REF!+#REF!+#REF!+I852+#REF!+#REF!+#REF!+#REF!+#REF!+#REF!+K852+#REF!+#REF!+#REF!</f>
        <v>#REF!</v>
      </c>
      <c r="N852" s="667" t="e">
        <f t="shared" si="91"/>
        <v>#REF!</v>
      </c>
      <c r="O852" s="665" t="e">
        <f>#REF!+M852</f>
        <v>#REF!</v>
      </c>
      <c r="P852" s="666" t="e">
        <f t="shared" si="92"/>
        <v>#REF!</v>
      </c>
      <c r="Q852" s="672"/>
      <c r="R852" s="668"/>
    </row>
    <row r="853" spans="1:20" ht="84.75" hidden="1" customHeight="1">
      <c r="A853" s="662"/>
      <c r="B853" s="666">
        <f t="shared" si="90"/>
        <v>0</v>
      </c>
      <c r="C853" s="663" t="s">
        <v>1898</v>
      </c>
      <c r="D853" s="769">
        <f>[14]Data!R2018</f>
        <v>6501.3</v>
      </c>
      <c r="E853" s="663" t="s">
        <v>522</v>
      </c>
      <c r="F853" s="663">
        <f t="shared" si="93"/>
        <v>0</v>
      </c>
      <c r="G853" s="666"/>
      <c r="H853" s="667"/>
      <c r="I853" s="667"/>
      <c r="J853" s="667"/>
      <c r="K853" s="667"/>
      <c r="L853" s="667"/>
      <c r="M853" s="667" t="e">
        <f>G853+#REF!+#REF!+#REF!+I853+#REF!+#REF!+#REF!+#REF!+#REF!+#REF!+K853+#REF!+#REF!+#REF!</f>
        <v>#REF!</v>
      </c>
      <c r="N853" s="667" t="e">
        <f t="shared" si="91"/>
        <v>#REF!</v>
      </c>
      <c r="O853" s="665" t="e">
        <f>#REF!+M853</f>
        <v>#REF!</v>
      </c>
      <c r="P853" s="666" t="e">
        <f t="shared" si="92"/>
        <v>#REF!</v>
      </c>
      <c r="Q853" s="672"/>
      <c r="R853" s="668"/>
    </row>
    <row r="854" spans="1:20" ht="61.5" hidden="1" customHeight="1">
      <c r="A854" s="662"/>
      <c r="B854" s="666">
        <f t="shared" si="90"/>
        <v>0</v>
      </c>
      <c r="C854" s="663" t="s">
        <v>1899</v>
      </c>
      <c r="D854" s="769">
        <f>[14]Data!R2037</f>
        <v>6861.3</v>
      </c>
      <c r="E854" s="663" t="s">
        <v>522</v>
      </c>
      <c r="F854" s="663">
        <f t="shared" si="93"/>
        <v>0</v>
      </c>
      <c r="G854" s="666"/>
      <c r="H854" s="667">
        <f t="shared" ref="H854:H885" si="94">G854*D854</f>
        <v>0</v>
      </c>
      <c r="I854" s="667"/>
      <c r="J854" s="667">
        <f t="shared" ref="J854:J885" si="95">I854*D854</f>
        <v>0</v>
      </c>
      <c r="K854" s="667"/>
      <c r="L854" s="667"/>
      <c r="M854" s="667" t="e">
        <f>G854+#REF!+#REF!+#REF!+I854+#REF!+#REF!+#REF!+#REF!+#REF!+#REF!+K854+#REF!+#REF!+#REF!</f>
        <v>#REF!</v>
      </c>
      <c r="N854" s="667" t="e">
        <f t="shared" si="91"/>
        <v>#REF!</v>
      </c>
      <c r="O854" s="665" t="e">
        <f>#REF!+M854</f>
        <v>#REF!</v>
      </c>
      <c r="P854" s="666" t="e">
        <f t="shared" si="92"/>
        <v>#REF!</v>
      </c>
      <c r="Q854" s="672"/>
      <c r="R854" s="668"/>
    </row>
    <row r="855" spans="1:20" s="677" customFormat="1" ht="38.25" hidden="1" customHeight="1">
      <c r="A855" s="662"/>
      <c r="B855" s="666">
        <f t="shared" si="90"/>
        <v>0</v>
      </c>
      <c r="C855" s="685" t="s">
        <v>1857</v>
      </c>
      <c r="D855" s="739"/>
      <c r="E855" s="674"/>
      <c r="F855" s="663">
        <f t="shared" si="93"/>
        <v>0</v>
      </c>
      <c r="G855" s="684"/>
      <c r="H855" s="667">
        <f t="shared" si="94"/>
        <v>0</v>
      </c>
      <c r="I855" s="675"/>
      <c r="J855" s="667">
        <f t="shared" si="95"/>
        <v>0</v>
      </c>
      <c r="K855" s="667"/>
      <c r="L855" s="667"/>
      <c r="M855" s="667" t="e">
        <f>G855+#REF!+#REF!+#REF!+I855+#REF!+#REF!+#REF!+#REF!+#REF!+#REF!+K855+#REF!+#REF!+#REF!</f>
        <v>#REF!</v>
      </c>
      <c r="N855" s="667" t="e">
        <f t="shared" si="91"/>
        <v>#REF!</v>
      </c>
      <c r="O855" s="665" t="e">
        <f>#REF!+M855</f>
        <v>#REF!</v>
      </c>
      <c r="P855" s="666" t="e">
        <f t="shared" si="92"/>
        <v>#REF!</v>
      </c>
      <c r="Q855" s="672"/>
      <c r="R855" s="668"/>
      <c r="S855" s="676"/>
      <c r="T855" s="676"/>
    </row>
    <row r="856" spans="1:20" s="677" customFormat="1" ht="45.75" hidden="1" customHeight="1">
      <c r="A856" s="662"/>
      <c r="B856" s="666">
        <f t="shared" si="90"/>
        <v>0</v>
      </c>
      <c r="C856" s="663" t="s">
        <v>1900</v>
      </c>
      <c r="D856" s="761">
        <f>'[10]doors &amp; windows'!$F$979</f>
        <v>2729.4446820175435</v>
      </c>
      <c r="E856" s="766" t="s">
        <v>37</v>
      </c>
      <c r="F856" s="663">
        <f t="shared" si="93"/>
        <v>0</v>
      </c>
      <c r="G856" s="684"/>
      <c r="H856" s="667">
        <f t="shared" si="94"/>
        <v>0</v>
      </c>
      <c r="I856" s="675"/>
      <c r="J856" s="667">
        <f t="shared" si="95"/>
        <v>0</v>
      </c>
      <c r="K856" s="667"/>
      <c r="L856" s="667"/>
      <c r="M856" s="667" t="e">
        <f>G856+#REF!+#REF!+#REF!+I856+#REF!+#REF!+#REF!+#REF!+#REF!+#REF!+K856+#REF!+#REF!+#REF!</f>
        <v>#REF!</v>
      </c>
      <c r="N856" s="667" t="e">
        <f t="shared" si="91"/>
        <v>#REF!</v>
      </c>
      <c r="O856" s="665" t="e">
        <f>#REF!+M856</f>
        <v>#REF!</v>
      </c>
      <c r="P856" s="666" t="e">
        <f t="shared" si="92"/>
        <v>#REF!</v>
      </c>
      <c r="Q856" s="672"/>
      <c r="R856" s="668"/>
      <c r="S856" s="676"/>
      <c r="T856" s="676"/>
    </row>
    <row r="857" spans="1:20" s="677" customFormat="1" ht="45.75" hidden="1" customHeight="1">
      <c r="A857" s="662"/>
      <c r="B857" s="666">
        <f t="shared" si="90"/>
        <v>0</v>
      </c>
      <c r="C857" s="663" t="s">
        <v>1901</v>
      </c>
      <c r="D857" s="739">
        <f>'[10]doors &amp; windows'!$F$942</f>
        <v>3025.6259868421052</v>
      </c>
      <c r="E857" s="766" t="s">
        <v>37</v>
      </c>
      <c r="F857" s="663">
        <f t="shared" si="93"/>
        <v>0</v>
      </c>
      <c r="G857" s="684"/>
      <c r="H857" s="667">
        <f t="shared" si="94"/>
        <v>0</v>
      </c>
      <c r="I857" s="675"/>
      <c r="J857" s="667">
        <f t="shared" si="95"/>
        <v>0</v>
      </c>
      <c r="K857" s="667"/>
      <c r="L857" s="667"/>
      <c r="M857" s="667" t="e">
        <f>G857+#REF!+#REF!+#REF!+I857+#REF!+#REF!+#REF!+#REF!+#REF!+#REF!+K857+#REF!+#REF!+#REF!</f>
        <v>#REF!</v>
      </c>
      <c r="N857" s="667" t="e">
        <f t="shared" si="91"/>
        <v>#REF!</v>
      </c>
      <c r="O857" s="665" t="e">
        <f>#REF!+M857</f>
        <v>#REF!</v>
      </c>
      <c r="P857" s="666" t="e">
        <f t="shared" si="92"/>
        <v>#REF!</v>
      </c>
      <c r="Q857" s="672"/>
      <c r="R857" s="668"/>
      <c r="S857" s="676"/>
      <c r="T857" s="676"/>
    </row>
    <row r="858" spans="1:20" s="677" customFormat="1" ht="45.75" hidden="1" customHeight="1">
      <c r="A858" s="662"/>
      <c r="B858" s="666">
        <f t="shared" si="90"/>
        <v>0</v>
      </c>
      <c r="C858" s="663" t="s">
        <v>1902</v>
      </c>
      <c r="D858" s="739">
        <f>'[10]doors &amp; windows'!$F$1014</f>
        <v>3025.6259868421048</v>
      </c>
      <c r="E858" s="766" t="s">
        <v>37</v>
      </c>
      <c r="F858" s="663">
        <f t="shared" si="93"/>
        <v>0</v>
      </c>
      <c r="G858" s="684"/>
      <c r="H858" s="667">
        <f t="shared" si="94"/>
        <v>0</v>
      </c>
      <c r="I858" s="675"/>
      <c r="J858" s="667">
        <f t="shared" si="95"/>
        <v>0</v>
      </c>
      <c r="K858" s="667"/>
      <c r="L858" s="667"/>
      <c r="M858" s="667" t="e">
        <f>G858+#REF!+#REF!+#REF!+I858+#REF!+#REF!+#REF!+#REF!+#REF!+#REF!+K858+#REF!+#REF!+#REF!</f>
        <v>#REF!</v>
      </c>
      <c r="N858" s="667" t="e">
        <f t="shared" si="91"/>
        <v>#REF!</v>
      </c>
      <c r="O858" s="665" t="e">
        <f>#REF!+M858</f>
        <v>#REF!</v>
      </c>
      <c r="P858" s="666" t="e">
        <f t="shared" si="92"/>
        <v>#REF!</v>
      </c>
      <c r="Q858" s="672"/>
      <c r="R858" s="668"/>
      <c r="S858" s="676"/>
      <c r="T858" s="676"/>
    </row>
    <row r="859" spans="1:20" s="677" customFormat="1" ht="45.75" hidden="1" customHeight="1">
      <c r="A859" s="662"/>
      <c r="B859" s="666">
        <f t="shared" si="90"/>
        <v>0</v>
      </c>
      <c r="C859" s="663" t="s">
        <v>1903</v>
      </c>
      <c r="D859" s="739">
        <f>'[10]doors &amp; windows'!$F$1050</f>
        <v>3553.6057186234821</v>
      </c>
      <c r="E859" s="766" t="s">
        <v>37</v>
      </c>
      <c r="F859" s="663">
        <f t="shared" si="93"/>
        <v>0</v>
      </c>
      <c r="G859" s="684"/>
      <c r="H859" s="667">
        <f t="shared" si="94"/>
        <v>0</v>
      </c>
      <c r="I859" s="675"/>
      <c r="J859" s="667">
        <f t="shared" si="95"/>
        <v>0</v>
      </c>
      <c r="K859" s="667"/>
      <c r="L859" s="667"/>
      <c r="M859" s="667" t="e">
        <f>G859+#REF!+#REF!+#REF!+I859+#REF!+#REF!+#REF!+#REF!+#REF!+#REF!+K859+#REF!+#REF!+#REF!</f>
        <v>#REF!</v>
      </c>
      <c r="N859" s="667" t="e">
        <f t="shared" si="91"/>
        <v>#REF!</v>
      </c>
      <c r="O859" s="665" t="e">
        <f>#REF!+M859</f>
        <v>#REF!</v>
      </c>
      <c r="P859" s="666" t="e">
        <f t="shared" si="92"/>
        <v>#REF!</v>
      </c>
      <c r="Q859" s="672"/>
      <c r="R859" s="668"/>
      <c r="S859" s="676"/>
      <c r="T859" s="676"/>
    </row>
    <row r="860" spans="1:20" s="677" customFormat="1" ht="45.75" hidden="1" customHeight="1">
      <c r="A860" s="662"/>
      <c r="B860" s="666">
        <f t="shared" si="90"/>
        <v>0</v>
      </c>
      <c r="C860" s="663" t="s">
        <v>1904</v>
      </c>
      <c r="D860" s="739">
        <f>[14]Data!X3143</f>
        <v>3717.9</v>
      </c>
      <c r="E860" s="766" t="s">
        <v>37</v>
      </c>
      <c r="F860" s="663">
        <f t="shared" si="93"/>
        <v>0</v>
      </c>
      <c r="G860" s="684"/>
      <c r="H860" s="667">
        <f t="shared" si="94"/>
        <v>0</v>
      </c>
      <c r="I860" s="675"/>
      <c r="J860" s="667">
        <f t="shared" si="95"/>
        <v>0</v>
      </c>
      <c r="K860" s="667"/>
      <c r="L860" s="667"/>
      <c r="M860" s="667" t="e">
        <f>G860+#REF!+#REF!+#REF!+I860+#REF!+#REF!+#REF!+#REF!+#REF!+#REF!+K860+#REF!+#REF!+#REF!</f>
        <v>#REF!</v>
      </c>
      <c r="N860" s="667" t="e">
        <f t="shared" si="91"/>
        <v>#REF!</v>
      </c>
      <c r="O860" s="665" t="e">
        <f>#REF!+M860</f>
        <v>#REF!</v>
      </c>
      <c r="P860" s="666" t="e">
        <f t="shared" si="92"/>
        <v>#REF!</v>
      </c>
      <c r="Q860" s="672"/>
      <c r="R860" s="668"/>
      <c r="S860" s="676"/>
      <c r="T860" s="676"/>
    </row>
    <row r="861" spans="1:20" s="677" customFormat="1" ht="110.25" hidden="1" customHeight="1">
      <c r="A861" s="662"/>
      <c r="B861" s="666">
        <f t="shared" si="90"/>
        <v>0</v>
      </c>
      <c r="C861" s="685" t="s">
        <v>1905</v>
      </c>
      <c r="D861" s="739"/>
      <c r="E861" s="752"/>
      <c r="F861" s="663">
        <f t="shared" si="93"/>
        <v>0</v>
      </c>
      <c r="G861" s="684"/>
      <c r="H861" s="667">
        <f t="shared" si="94"/>
        <v>0</v>
      </c>
      <c r="I861" s="675"/>
      <c r="J861" s="667">
        <f t="shared" si="95"/>
        <v>0</v>
      </c>
      <c r="K861" s="667"/>
      <c r="L861" s="667"/>
      <c r="M861" s="667" t="e">
        <f>G861+#REF!+#REF!+#REF!+I861+#REF!+#REF!+#REF!+#REF!+#REF!+#REF!+K861+#REF!+#REF!+#REF!</f>
        <v>#REF!</v>
      </c>
      <c r="N861" s="667" t="e">
        <f t="shared" si="91"/>
        <v>#REF!</v>
      </c>
      <c r="O861" s="665" t="e">
        <f>#REF!+M861</f>
        <v>#REF!</v>
      </c>
      <c r="P861" s="666" t="e">
        <f t="shared" si="92"/>
        <v>#REF!</v>
      </c>
      <c r="Q861" s="672"/>
      <c r="R861" s="668"/>
      <c r="S861" s="676"/>
      <c r="T861" s="676"/>
    </row>
    <row r="862" spans="1:20" s="677" customFormat="1" ht="51" hidden="1" customHeight="1">
      <c r="A862" s="662"/>
      <c r="B862" s="666">
        <f t="shared" si="90"/>
        <v>0</v>
      </c>
      <c r="C862" s="663" t="s">
        <v>168</v>
      </c>
      <c r="D862" s="739">
        <f>'[14]  Coastal  Elec.Data '!K2860</f>
        <v>1493.27</v>
      </c>
      <c r="E862" s="742" t="s">
        <v>522</v>
      </c>
      <c r="F862" s="663">
        <f t="shared" si="93"/>
        <v>0</v>
      </c>
      <c r="G862" s="684"/>
      <c r="H862" s="667">
        <f t="shared" si="94"/>
        <v>0</v>
      </c>
      <c r="I862" s="675"/>
      <c r="J862" s="667">
        <f t="shared" si="95"/>
        <v>0</v>
      </c>
      <c r="K862" s="667"/>
      <c r="L862" s="667"/>
      <c r="M862" s="667" t="e">
        <f>G862+#REF!+#REF!+#REF!+I862+#REF!+#REF!+#REF!+#REF!+#REF!+#REF!+K862+#REF!+#REF!+#REF!</f>
        <v>#REF!</v>
      </c>
      <c r="N862" s="667" t="e">
        <f t="shared" si="91"/>
        <v>#REF!</v>
      </c>
      <c r="O862" s="665" t="e">
        <f>#REF!+M862</f>
        <v>#REF!</v>
      </c>
      <c r="P862" s="666" t="e">
        <f t="shared" si="92"/>
        <v>#REF!</v>
      </c>
      <c r="Q862" s="672"/>
      <c r="R862" s="668"/>
      <c r="S862" s="676"/>
      <c r="T862" s="676"/>
    </row>
    <row r="863" spans="1:20" s="677" customFormat="1" ht="51" hidden="1" customHeight="1">
      <c r="A863" s="662"/>
      <c r="B863" s="666">
        <f t="shared" si="90"/>
        <v>0</v>
      </c>
      <c r="C863" s="663" t="s">
        <v>170</v>
      </c>
      <c r="D863" s="739">
        <f>'[14]  Coastal  Elec.Data '!K2884</f>
        <v>1496.32</v>
      </c>
      <c r="E863" s="742" t="s">
        <v>522</v>
      </c>
      <c r="F863" s="663">
        <f t="shared" si="93"/>
        <v>0</v>
      </c>
      <c r="G863" s="684"/>
      <c r="H863" s="667">
        <f t="shared" si="94"/>
        <v>0</v>
      </c>
      <c r="I863" s="675"/>
      <c r="J863" s="667">
        <f t="shared" si="95"/>
        <v>0</v>
      </c>
      <c r="K863" s="667"/>
      <c r="L863" s="667"/>
      <c r="M863" s="667" t="e">
        <f>G863+#REF!+#REF!+#REF!+I863+#REF!+#REF!+#REF!+#REF!+#REF!+#REF!+K863+#REF!+#REF!+#REF!</f>
        <v>#REF!</v>
      </c>
      <c r="N863" s="667" t="e">
        <f t="shared" si="91"/>
        <v>#REF!</v>
      </c>
      <c r="O863" s="665" t="e">
        <f>#REF!+M863</f>
        <v>#REF!</v>
      </c>
      <c r="P863" s="666" t="e">
        <f t="shared" si="92"/>
        <v>#REF!</v>
      </c>
      <c r="Q863" s="672"/>
      <c r="R863" s="668"/>
      <c r="S863" s="676"/>
      <c r="T863" s="676"/>
    </row>
    <row r="864" spans="1:20" s="677" customFormat="1" ht="51" hidden="1" customHeight="1">
      <c r="A864" s="690"/>
      <c r="B864" s="666">
        <f t="shared" si="90"/>
        <v>0</v>
      </c>
      <c r="C864" s="663" t="s">
        <v>1591</v>
      </c>
      <c r="D864" s="739">
        <f>'[14]  Coastal  Elec.Data '!K2899</f>
        <v>1526.05</v>
      </c>
      <c r="E864" s="742" t="s">
        <v>522</v>
      </c>
      <c r="F864" s="663">
        <f t="shared" si="93"/>
        <v>0</v>
      </c>
      <c r="G864" s="684"/>
      <c r="H864" s="667">
        <f t="shared" si="94"/>
        <v>0</v>
      </c>
      <c r="I864" s="675"/>
      <c r="J864" s="667">
        <f t="shared" si="95"/>
        <v>0</v>
      </c>
      <c r="K864" s="667"/>
      <c r="L864" s="667"/>
      <c r="M864" s="667" t="e">
        <f>G864+#REF!+#REF!+#REF!+I864+#REF!+#REF!+#REF!+#REF!+#REF!+#REF!+K864+#REF!+#REF!+#REF!</f>
        <v>#REF!</v>
      </c>
      <c r="N864" s="667" t="e">
        <f t="shared" si="91"/>
        <v>#REF!</v>
      </c>
      <c r="O864" s="665" t="e">
        <f>#REF!+M864</f>
        <v>#REF!</v>
      </c>
      <c r="P864" s="666" t="e">
        <f t="shared" si="92"/>
        <v>#REF!</v>
      </c>
      <c r="Q864" s="672"/>
      <c r="R864" s="668"/>
      <c r="S864" s="676"/>
      <c r="T864" s="676"/>
    </row>
    <row r="865" spans="1:20" s="677" customFormat="1" ht="108" hidden="1" customHeight="1">
      <c r="A865" s="662"/>
      <c r="B865" s="666">
        <f t="shared" si="90"/>
        <v>0</v>
      </c>
      <c r="C865" s="663" t="s">
        <v>1906</v>
      </c>
      <c r="D865" s="739">
        <f>'[14]  Coastal  Elec.Data '!K2921</f>
        <v>1547.28</v>
      </c>
      <c r="E865" s="742" t="s">
        <v>522</v>
      </c>
      <c r="F865" s="663">
        <f t="shared" si="93"/>
        <v>0</v>
      </c>
      <c r="G865" s="684"/>
      <c r="H865" s="667">
        <f t="shared" si="94"/>
        <v>0</v>
      </c>
      <c r="I865" s="675"/>
      <c r="J865" s="667">
        <f t="shared" si="95"/>
        <v>0</v>
      </c>
      <c r="K865" s="667"/>
      <c r="L865" s="667"/>
      <c r="M865" s="667" t="e">
        <f>G865+#REF!+#REF!+#REF!+I865+#REF!+#REF!+#REF!+#REF!+#REF!+#REF!+K865+#REF!+#REF!+#REF!</f>
        <v>#REF!</v>
      </c>
      <c r="N865" s="667" t="e">
        <f t="shared" si="91"/>
        <v>#REF!</v>
      </c>
      <c r="O865" s="665" t="e">
        <f>#REF!+M865</f>
        <v>#REF!</v>
      </c>
      <c r="P865" s="666" t="e">
        <f t="shared" si="92"/>
        <v>#REF!</v>
      </c>
      <c r="Q865" s="672"/>
      <c r="R865" s="668"/>
      <c r="S865" s="676"/>
      <c r="T865" s="676"/>
    </row>
    <row r="866" spans="1:20" s="677" customFormat="1" ht="105" hidden="1" customHeight="1">
      <c r="A866" s="662"/>
      <c r="B866" s="666">
        <f t="shared" si="90"/>
        <v>0</v>
      </c>
      <c r="C866" s="663" t="s">
        <v>1907</v>
      </c>
      <c r="D866" s="739">
        <f>'[14]  Coastal  Elec.Data '!K2945</f>
        <v>2795.01</v>
      </c>
      <c r="E866" s="742" t="s">
        <v>522</v>
      </c>
      <c r="F866" s="663">
        <f t="shared" si="93"/>
        <v>0</v>
      </c>
      <c r="G866" s="684"/>
      <c r="H866" s="667">
        <f t="shared" si="94"/>
        <v>0</v>
      </c>
      <c r="I866" s="675"/>
      <c r="J866" s="667">
        <f t="shared" si="95"/>
        <v>0</v>
      </c>
      <c r="K866" s="667"/>
      <c r="L866" s="667"/>
      <c r="M866" s="667" t="e">
        <f>G866+#REF!+#REF!+#REF!+I866+#REF!+#REF!+#REF!+#REF!+#REF!+#REF!+K866+#REF!+#REF!+#REF!</f>
        <v>#REF!</v>
      </c>
      <c r="N866" s="667" t="e">
        <f t="shared" si="91"/>
        <v>#REF!</v>
      </c>
      <c r="O866" s="665" t="e">
        <f>#REF!+M866</f>
        <v>#REF!</v>
      </c>
      <c r="P866" s="666" t="e">
        <f t="shared" si="92"/>
        <v>#REF!</v>
      </c>
      <c r="Q866" s="672"/>
      <c r="R866" s="668"/>
      <c r="S866" s="676"/>
      <c r="T866" s="676"/>
    </row>
    <row r="867" spans="1:20" s="677" customFormat="1" ht="113.25" hidden="1" customHeight="1">
      <c r="A867" s="662">
        <v>67.099999999999994</v>
      </c>
      <c r="B867" s="666">
        <f t="shared" si="90"/>
        <v>0</v>
      </c>
      <c r="C867" s="663" t="s">
        <v>1727</v>
      </c>
      <c r="D867" s="739">
        <f>'[14]  Coastal  Elec.Data '!K2977</f>
        <v>764.91</v>
      </c>
      <c r="E867" s="742" t="s">
        <v>522</v>
      </c>
      <c r="F867" s="663">
        <f t="shared" si="93"/>
        <v>0</v>
      </c>
      <c r="G867" s="684"/>
      <c r="H867" s="667">
        <f t="shared" si="94"/>
        <v>0</v>
      </c>
      <c r="I867" s="675"/>
      <c r="J867" s="667">
        <f t="shared" si="95"/>
        <v>0</v>
      </c>
      <c r="K867" s="667"/>
      <c r="L867" s="667"/>
      <c r="M867" s="667" t="e">
        <f>G867+#REF!+#REF!+#REF!+I867+#REF!+#REF!+#REF!+#REF!+#REF!+#REF!+K867+#REF!+#REF!+#REF!</f>
        <v>#REF!</v>
      </c>
      <c r="N867" s="667" t="e">
        <f t="shared" si="91"/>
        <v>#REF!</v>
      </c>
      <c r="O867" s="665" t="e">
        <f>#REF!+M867</f>
        <v>#REF!</v>
      </c>
      <c r="P867" s="666" t="e">
        <f t="shared" si="92"/>
        <v>#REF!</v>
      </c>
      <c r="Q867" s="672"/>
      <c r="R867" s="668"/>
      <c r="S867" s="676"/>
      <c r="T867" s="676"/>
    </row>
    <row r="868" spans="1:20" s="677" customFormat="1" ht="126" hidden="1" customHeight="1">
      <c r="A868" s="662"/>
      <c r="B868" s="666">
        <f t="shared" si="90"/>
        <v>0</v>
      </c>
      <c r="C868" s="663" t="s">
        <v>1908</v>
      </c>
      <c r="D868" s="739">
        <f>'[14]  Coastal  Elec.Data '!K2965</f>
        <v>1037.46</v>
      </c>
      <c r="E868" s="742" t="s">
        <v>522</v>
      </c>
      <c r="F868" s="663">
        <f t="shared" si="93"/>
        <v>0</v>
      </c>
      <c r="G868" s="684"/>
      <c r="H868" s="667">
        <f t="shared" si="94"/>
        <v>0</v>
      </c>
      <c r="I868" s="675"/>
      <c r="J868" s="667">
        <f t="shared" si="95"/>
        <v>0</v>
      </c>
      <c r="K868" s="667"/>
      <c r="L868" s="667"/>
      <c r="M868" s="667" t="e">
        <f>G868+#REF!+#REF!+#REF!+I868+#REF!+#REF!+#REF!+#REF!+#REF!+#REF!+K868+#REF!+#REF!+#REF!</f>
        <v>#REF!</v>
      </c>
      <c r="N868" s="667" t="e">
        <f t="shared" si="91"/>
        <v>#REF!</v>
      </c>
      <c r="O868" s="665" t="e">
        <f>#REF!+M868</f>
        <v>#REF!</v>
      </c>
      <c r="P868" s="666" t="e">
        <f t="shared" si="92"/>
        <v>#REF!</v>
      </c>
      <c r="Q868" s="672"/>
      <c r="R868" s="668"/>
      <c r="S868" s="676"/>
      <c r="T868" s="676"/>
    </row>
    <row r="869" spans="1:20" s="677" customFormat="1" ht="59.25" hidden="1" customHeight="1">
      <c r="A869" s="662"/>
      <c r="B869" s="666">
        <f t="shared" si="90"/>
        <v>0</v>
      </c>
      <c r="C869" s="663" t="s">
        <v>1909</v>
      </c>
      <c r="D869" s="739">
        <f>'[14]  Coastal  Elec.Data '!K2988</f>
        <v>133.5</v>
      </c>
      <c r="E869" s="742" t="s">
        <v>522</v>
      </c>
      <c r="F869" s="663">
        <f t="shared" si="93"/>
        <v>0</v>
      </c>
      <c r="G869" s="684"/>
      <c r="H869" s="667">
        <f t="shared" si="94"/>
        <v>0</v>
      </c>
      <c r="I869" s="675"/>
      <c r="J869" s="667">
        <f t="shared" si="95"/>
        <v>0</v>
      </c>
      <c r="K869" s="667"/>
      <c r="L869" s="667"/>
      <c r="M869" s="667" t="e">
        <f>G869+#REF!+#REF!+#REF!+I869+#REF!+#REF!+#REF!+#REF!+#REF!+#REF!+K869+#REF!+#REF!+#REF!</f>
        <v>#REF!</v>
      </c>
      <c r="N869" s="667" t="e">
        <f t="shared" si="91"/>
        <v>#REF!</v>
      </c>
      <c r="O869" s="665" t="e">
        <f>#REF!+M869</f>
        <v>#REF!</v>
      </c>
      <c r="P869" s="666" t="e">
        <f t="shared" si="92"/>
        <v>#REF!</v>
      </c>
      <c r="Q869" s="672"/>
      <c r="R869" s="668"/>
      <c r="S869" s="676"/>
      <c r="T869" s="676"/>
    </row>
    <row r="870" spans="1:20" s="677" customFormat="1" ht="85.5" hidden="1" customHeight="1">
      <c r="A870" s="662"/>
      <c r="B870" s="666">
        <f t="shared" si="90"/>
        <v>0</v>
      </c>
      <c r="C870" s="663" t="s">
        <v>1910</v>
      </c>
      <c r="D870" s="739">
        <f>[14]Data!R1609</f>
        <v>78609.3</v>
      </c>
      <c r="E870" s="674" t="s">
        <v>58</v>
      </c>
      <c r="F870" s="663">
        <f t="shared" si="93"/>
        <v>0</v>
      </c>
      <c r="G870" s="701"/>
      <c r="H870" s="667">
        <f t="shared" si="94"/>
        <v>0</v>
      </c>
      <c r="I870" s="675"/>
      <c r="J870" s="667">
        <f t="shared" si="95"/>
        <v>0</v>
      </c>
      <c r="K870" s="667"/>
      <c r="L870" s="667"/>
      <c r="M870" s="667" t="e">
        <f>G870+#REF!+#REF!+#REF!+I870+#REF!+#REF!+#REF!+#REF!+#REF!+#REF!+K870+#REF!+#REF!+#REF!</f>
        <v>#REF!</v>
      </c>
      <c r="N870" s="667" t="e">
        <f t="shared" si="91"/>
        <v>#REF!</v>
      </c>
      <c r="O870" s="665" t="e">
        <f>#REF!+M870</f>
        <v>#REF!</v>
      </c>
      <c r="P870" s="666" t="e">
        <f t="shared" si="92"/>
        <v>#REF!</v>
      </c>
      <c r="Q870" s="672"/>
      <c r="R870" s="668"/>
      <c r="S870" s="676"/>
      <c r="T870" s="676"/>
    </row>
    <row r="871" spans="1:20" s="677" customFormat="1" ht="75" hidden="1" customHeight="1">
      <c r="A871" s="662"/>
      <c r="B871" s="666">
        <f t="shared" si="90"/>
        <v>0</v>
      </c>
      <c r="C871" s="663" t="s">
        <v>1911</v>
      </c>
      <c r="D871" s="739">
        <f>[14]Data!R1640</f>
        <v>326.29000000000002</v>
      </c>
      <c r="E871" s="674" t="s">
        <v>61</v>
      </c>
      <c r="F871" s="663">
        <f t="shared" si="93"/>
        <v>0</v>
      </c>
      <c r="G871" s="684"/>
      <c r="H871" s="667">
        <f t="shared" si="94"/>
        <v>0</v>
      </c>
      <c r="I871" s="675"/>
      <c r="J871" s="667">
        <f t="shared" si="95"/>
        <v>0</v>
      </c>
      <c r="K871" s="667"/>
      <c r="L871" s="667"/>
      <c r="M871" s="667" t="e">
        <f>G871+#REF!+#REF!+#REF!+I871+#REF!+#REF!+#REF!+#REF!+#REF!+#REF!+K871+#REF!+#REF!+#REF!</f>
        <v>#REF!</v>
      </c>
      <c r="N871" s="667" t="e">
        <f t="shared" si="91"/>
        <v>#REF!</v>
      </c>
      <c r="O871" s="665" t="e">
        <f>#REF!+M871</f>
        <v>#REF!</v>
      </c>
      <c r="P871" s="666" t="e">
        <f t="shared" si="92"/>
        <v>#REF!</v>
      </c>
      <c r="Q871" s="672"/>
      <c r="R871" s="668"/>
      <c r="S871" s="676"/>
      <c r="T871" s="676"/>
    </row>
    <row r="872" spans="1:20" s="677" customFormat="1" ht="54" hidden="1" customHeight="1">
      <c r="A872" s="662"/>
      <c r="B872" s="666">
        <f t="shared" si="90"/>
        <v>0</v>
      </c>
      <c r="C872" s="685" t="s">
        <v>1912</v>
      </c>
      <c r="D872" s="739">
        <f>[14]Data!K2331</f>
        <v>33.229999999999997</v>
      </c>
      <c r="E872" s="674"/>
      <c r="F872" s="663">
        <f t="shared" si="93"/>
        <v>0</v>
      </c>
      <c r="G872" s="684"/>
      <c r="H872" s="667">
        <f t="shared" si="94"/>
        <v>0</v>
      </c>
      <c r="I872" s="675"/>
      <c r="J872" s="667">
        <f t="shared" si="95"/>
        <v>0</v>
      </c>
      <c r="K872" s="667"/>
      <c r="L872" s="667"/>
      <c r="M872" s="667" t="e">
        <f>G872+#REF!+#REF!+#REF!+I872+#REF!+#REF!+#REF!+#REF!+#REF!+#REF!+K872+#REF!+#REF!+#REF!</f>
        <v>#REF!</v>
      </c>
      <c r="N872" s="667" t="e">
        <f t="shared" si="91"/>
        <v>#REF!</v>
      </c>
      <c r="O872" s="665" t="e">
        <f>#REF!+M872</f>
        <v>#REF!</v>
      </c>
      <c r="P872" s="666" t="e">
        <f t="shared" si="92"/>
        <v>#REF!</v>
      </c>
      <c r="Q872" s="672"/>
      <c r="R872" s="668"/>
      <c r="S872" s="676"/>
      <c r="T872" s="676"/>
    </row>
    <row r="873" spans="1:20" s="677" customFormat="1" ht="54" hidden="1" customHeight="1">
      <c r="A873" s="662"/>
      <c r="B873" s="666">
        <f t="shared" si="90"/>
        <v>0</v>
      </c>
      <c r="C873" s="756" t="s">
        <v>1913</v>
      </c>
      <c r="D873" s="739"/>
      <c r="E873" s="674"/>
      <c r="F873" s="663">
        <f t="shared" si="93"/>
        <v>0</v>
      </c>
      <c r="G873" s="684"/>
      <c r="H873" s="667">
        <f t="shared" si="94"/>
        <v>0</v>
      </c>
      <c r="I873" s="675"/>
      <c r="J873" s="667">
        <f t="shared" si="95"/>
        <v>0</v>
      </c>
      <c r="K873" s="667"/>
      <c r="L873" s="667"/>
      <c r="M873" s="667" t="e">
        <f>G873+#REF!+#REF!+#REF!+I873+#REF!+#REF!+#REF!+#REF!+#REF!+#REF!+K873+#REF!+#REF!+#REF!</f>
        <v>#REF!</v>
      </c>
      <c r="N873" s="667" t="e">
        <f t="shared" si="91"/>
        <v>#REF!</v>
      </c>
      <c r="O873" s="665" t="e">
        <f>#REF!+M873</f>
        <v>#REF!</v>
      </c>
      <c r="P873" s="666" t="e">
        <f t="shared" si="92"/>
        <v>#REF!</v>
      </c>
      <c r="Q873" s="672"/>
      <c r="R873" s="668"/>
      <c r="S873" s="676"/>
      <c r="T873" s="676"/>
    </row>
    <row r="874" spans="1:20" s="677" customFormat="1" ht="45" hidden="1" customHeight="1">
      <c r="A874" s="662"/>
      <c r="B874" s="666">
        <f t="shared" si="90"/>
        <v>0</v>
      </c>
      <c r="C874" s="663" t="s">
        <v>1556</v>
      </c>
      <c r="D874" s="739">
        <f>[14]Data!K1890</f>
        <v>225.97</v>
      </c>
      <c r="E874" s="674" t="s">
        <v>61</v>
      </c>
      <c r="F874" s="663">
        <f t="shared" si="93"/>
        <v>0</v>
      </c>
      <c r="G874" s="684"/>
      <c r="H874" s="667">
        <f t="shared" si="94"/>
        <v>0</v>
      </c>
      <c r="I874" s="675"/>
      <c r="J874" s="667">
        <f t="shared" si="95"/>
        <v>0</v>
      </c>
      <c r="K874" s="667"/>
      <c r="L874" s="667"/>
      <c r="M874" s="667" t="e">
        <f>G874+#REF!+#REF!+#REF!+I874+#REF!+#REF!+#REF!+#REF!+#REF!+#REF!+K874+#REF!+#REF!+#REF!</f>
        <v>#REF!</v>
      </c>
      <c r="N874" s="667" t="e">
        <f t="shared" si="91"/>
        <v>#REF!</v>
      </c>
      <c r="O874" s="665" t="e">
        <f>#REF!+M874</f>
        <v>#REF!</v>
      </c>
      <c r="P874" s="666" t="e">
        <f t="shared" si="92"/>
        <v>#REF!</v>
      </c>
      <c r="Q874" s="672"/>
      <c r="R874" s="668"/>
      <c r="S874" s="676"/>
      <c r="T874" s="676"/>
    </row>
    <row r="875" spans="1:20" s="677" customFormat="1" ht="45" hidden="1" customHeight="1">
      <c r="A875" s="662"/>
      <c r="B875" s="666">
        <f t="shared" si="90"/>
        <v>0</v>
      </c>
      <c r="C875" s="663" t="s">
        <v>1557</v>
      </c>
      <c r="D875" s="739">
        <f>[14]Data!K1882</f>
        <v>208.73</v>
      </c>
      <c r="E875" s="674" t="s">
        <v>61</v>
      </c>
      <c r="F875" s="663">
        <f t="shared" si="93"/>
        <v>0</v>
      </c>
      <c r="G875" s="684"/>
      <c r="H875" s="667">
        <f t="shared" si="94"/>
        <v>0</v>
      </c>
      <c r="I875" s="675"/>
      <c r="J875" s="667">
        <f t="shared" si="95"/>
        <v>0</v>
      </c>
      <c r="K875" s="667"/>
      <c r="L875" s="667"/>
      <c r="M875" s="667" t="e">
        <f>G875+#REF!+#REF!+#REF!+I875+#REF!+#REF!+#REF!+#REF!+#REF!+#REF!+K875+#REF!+#REF!+#REF!</f>
        <v>#REF!</v>
      </c>
      <c r="N875" s="667" t="e">
        <f t="shared" si="91"/>
        <v>#REF!</v>
      </c>
      <c r="O875" s="665" t="e">
        <f>#REF!+M875</f>
        <v>#REF!</v>
      </c>
      <c r="P875" s="666" t="e">
        <f t="shared" si="92"/>
        <v>#REF!</v>
      </c>
      <c r="Q875" s="672"/>
      <c r="R875" s="668"/>
      <c r="S875" s="676"/>
      <c r="T875" s="676"/>
    </row>
    <row r="876" spans="1:20" s="677" customFormat="1" ht="53.25" hidden="1" customHeight="1">
      <c r="A876" s="662"/>
      <c r="B876" s="666">
        <f t="shared" si="90"/>
        <v>0</v>
      </c>
      <c r="C876" s="663" t="s">
        <v>1914</v>
      </c>
      <c r="D876" s="739">
        <f>[14]Data!K2767</f>
        <v>205.94</v>
      </c>
      <c r="E876" s="674" t="s">
        <v>61</v>
      </c>
      <c r="F876" s="663">
        <f t="shared" si="93"/>
        <v>0</v>
      </c>
      <c r="G876" s="684"/>
      <c r="H876" s="667">
        <f t="shared" si="94"/>
        <v>0</v>
      </c>
      <c r="I876" s="675"/>
      <c r="J876" s="667">
        <f t="shared" si="95"/>
        <v>0</v>
      </c>
      <c r="K876" s="667"/>
      <c r="L876" s="667"/>
      <c r="M876" s="667" t="e">
        <f>G876+#REF!+#REF!+#REF!+I876+#REF!+#REF!+#REF!+#REF!+#REF!+#REF!+K876+#REF!+#REF!+#REF!</f>
        <v>#REF!</v>
      </c>
      <c r="N876" s="667" t="e">
        <f t="shared" si="91"/>
        <v>#REF!</v>
      </c>
      <c r="O876" s="665" t="e">
        <f>#REF!+M876</f>
        <v>#REF!</v>
      </c>
      <c r="P876" s="666" t="e">
        <f t="shared" si="92"/>
        <v>#REF!</v>
      </c>
      <c r="Q876" s="672"/>
      <c r="R876" s="668"/>
      <c r="S876" s="676"/>
      <c r="T876" s="676"/>
    </row>
    <row r="877" spans="1:20" s="677" customFormat="1" ht="21" hidden="1" customHeight="1">
      <c r="A877" s="662"/>
      <c r="B877" s="666">
        <f t="shared" si="90"/>
        <v>0</v>
      </c>
      <c r="C877" s="756" t="s">
        <v>184</v>
      </c>
      <c r="D877" s="739">
        <f>[14]Data!K3648</f>
        <v>334.22</v>
      </c>
      <c r="E877" s="742" t="s">
        <v>37</v>
      </c>
      <c r="F877" s="663">
        <f t="shared" si="93"/>
        <v>0</v>
      </c>
      <c r="G877" s="684"/>
      <c r="H877" s="667">
        <f t="shared" si="94"/>
        <v>0</v>
      </c>
      <c r="I877" s="675"/>
      <c r="J877" s="667">
        <f t="shared" si="95"/>
        <v>0</v>
      </c>
      <c r="K877" s="667"/>
      <c r="L877" s="667"/>
      <c r="M877" s="667" t="e">
        <f>G877+#REF!+#REF!+#REF!+I877+#REF!+#REF!+#REF!+#REF!+#REF!+#REF!+K877+#REF!+#REF!+#REF!</f>
        <v>#REF!</v>
      </c>
      <c r="N877" s="667" t="e">
        <f t="shared" si="91"/>
        <v>#REF!</v>
      </c>
      <c r="O877" s="665" t="e">
        <f>#REF!+M877</f>
        <v>#REF!</v>
      </c>
      <c r="P877" s="666" t="e">
        <f t="shared" si="92"/>
        <v>#REF!</v>
      </c>
      <c r="Q877" s="672"/>
      <c r="R877" s="668"/>
      <c r="S877" s="676"/>
      <c r="T877" s="676"/>
    </row>
    <row r="878" spans="1:20" ht="48.75" hidden="1" customHeight="1">
      <c r="A878" s="662"/>
      <c r="B878" s="666">
        <f t="shared" si="90"/>
        <v>0</v>
      </c>
      <c r="C878" s="738" t="s">
        <v>1915</v>
      </c>
      <c r="D878" s="769">
        <f>[14]Data!AF3115</f>
        <v>467</v>
      </c>
      <c r="E878" s="751" t="s">
        <v>522</v>
      </c>
      <c r="F878" s="663">
        <f t="shared" si="93"/>
        <v>0</v>
      </c>
      <c r="G878" s="699"/>
      <c r="H878" s="667">
        <f t="shared" si="94"/>
        <v>0</v>
      </c>
      <c r="I878" s="667"/>
      <c r="J878" s="667">
        <f t="shared" si="95"/>
        <v>0</v>
      </c>
      <c r="K878" s="667"/>
      <c r="L878" s="667"/>
      <c r="M878" s="667" t="e">
        <f>G878+#REF!+#REF!+#REF!+I878+#REF!+#REF!+#REF!+#REF!+#REF!+#REF!+K878+#REF!+#REF!+#REF!</f>
        <v>#REF!</v>
      </c>
      <c r="N878" s="667" t="e">
        <f t="shared" si="91"/>
        <v>#REF!</v>
      </c>
      <c r="O878" s="665" t="e">
        <f>#REF!+M878</f>
        <v>#REF!</v>
      </c>
      <c r="P878" s="666" t="e">
        <f t="shared" si="92"/>
        <v>#REF!</v>
      </c>
      <c r="Q878" s="672"/>
      <c r="R878" s="668"/>
    </row>
    <row r="879" spans="1:20" ht="48.75" hidden="1" customHeight="1">
      <c r="A879" s="662"/>
      <c r="B879" s="666">
        <f t="shared" si="90"/>
        <v>0</v>
      </c>
      <c r="C879" s="738" t="s">
        <v>1916</v>
      </c>
      <c r="D879" s="769">
        <f>[14]Data!AH3115</f>
        <v>419</v>
      </c>
      <c r="E879" s="751" t="s">
        <v>522</v>
      </c>
      <c r="F879" s="663">
        <f t="shared" si="93"/>
        <v>0</v>
      </c>
      <c r="G879" s="699"/>
      <c r="H879" s="667">
        <f t="shared" si="94"/>
        <v>0</v>
      </c>
      <c r="I879" s="667"/>
      <c r="J879" s="667">
        <f t="shared" si="95"/>
        <v>0</v>
      </c>
      <c r="K879" s="667"/>
      <c r="L879" s="667"/>
      <c r="M879" s="667" t="e">
        <f>G879+#REF!+#REF!+#REF!+I879+#REF!+#REF!+#REF!+#REF!+#REF!+#REF!+K879+#REF!+#REF!+#REF!</f>
        <v>#REF!</v>
      </c>
      <c r="N879" s="667" t="e">
        <f t="shared" si="91"/>
        <v>#REF!</v>
      </c>
      <c r="O879" s="665" t="e">
        <f>#REF!+M879</f>
        <v>#REF!</v>
      </c>
      <c r="P879" s="666" t="e">
        <f t="shared" si="92"/>
        <v>#REF!</v>
      </c>
      <c r="Q879" s="672"/>
      <c r="R879" s="668"/>
    </row>
    <row r="880" spans="1:20" s="677" customFormat="1" ht="25.5" hidden="1" customHeight="1">
      <c r="A880" s="662"/>
      <c r="B880" s="666">
        <f t="shared" si="90"/>
        <v>0</v>
      </c>
      <c r="C880" s="663" t="s">
        <v>1917</v>
      </c>
      <c r="D880" s="739">
        <v>51.4</v>
      </c>
      <c r="E880" s="766" t="s">
        <v>165</v>
      </c>
      <c r="F880" s="663">
        <f t="shared" si="93"/>
        <v>0</v>
      </c>
      <c r="G880" s="684"/>
      <c r="H880" s="667">
        <f t="shared" si="94"/>
        <v>0</v>
      </c>
      <c r="I880" s="675"/>
      <c r="J880" s="667">
        <f t="shared" si="95"/>
        <v>0</v>
      </c>
      <c r="K880" s="667"/>
      <c r="L880" s="667"/>
      <c r="M880" s="667" t="e">
        <f>G880+#REF!+#REF!+#REF!+I880+#REF!+#REF!+#REF!+#REF!+#REF!+#REF!+K880+#REF!+#REF!+#REF!</f>
        <v>#REF!</v>
      </c>
      <c r="N880" s="667" t="e">
        <f t="shared" si="91"/>
        <v>#REF!</v>
      </c>
      <c r="O880" s="665" t="e">
        <f>#REF!+M880</f>
        <v>#REF!</v>
      </c>
      <c r="P880" s="666" t="e">
        <f t="shared" si="92"/>
        <v>#REF!</v>
      </c>
      <c r="Q880" s="672"/>
      <c r="R880" s="668"/>
      <c r="S880" s="676"/>
      <c r="T880" s="676"/>
    </row>
    <row r="881" spans="1:20" s="677" customFormat="1" ht="46.5" hidden="1" customHeight="1">
      <c r="A881" s="662"/>
      <c r="B881" s="666">
        <f t="shared" si="90"/>
        <v>0</v>
      </c>
      <c r="C881" s="663" t="s">
        <v>1918</v>
      </c>
      <c r="D881" s="739">
        <f>[14]Data!AD1229</f>
        <v>1322.54</v>
      </c>
      <c r="E881" s="742" t="s">
        <v>37</v>
      </c>
      <c r="F881" s="663">
        <f t="shared" si="93"/>
        <v>0</v>
      </c>
      <c r="G881" s="675"/>
      <c r="H881" s="667">
        <f t="shared" si="94"/>
        <v>0</v>
      </c>
      <c r="I881" s="675"/>
      <c r="J881" s="667">
        <f t="shared" si="95"/>
        <v>0</v>
      </c>
      <c r="K881" s="667"/>
      <c r="L881" s="667"/>
      <c r="M881" s="667" t="e">
        <f>G881+#REF!+#REF!+#REF!+I881+#REF!+#REF!+#REF!+#REF!+#REF!+#REF!+K881+#REF!+#REF!+#REF!</f>
        <v>#REF!</v>
      </c>
      <c r="N881" s="667" t="e">
        <f t="shared" si="91"/>
        <v>#REF!</v>
      </c>
      <c r="O881" s="665" t="e">
        <f>#REF!+M881</f>
        <v>#REF!</v>
      </c>
      <c r="P881" s="666" t="e">
        <f t="shared" si="92"/>
        <v>#REF!</v>
      </c>
      <c r="Q881" s="672"/>
      <c r="R881" s="668"/>
      <c r="S881" s="676"/>
      <c r="T881" s="676"/>
    </row>
    <row r="882" spans="1:20" s="677" customFormat="1" ht="104.25" hidden="1" customHeight="1">
      <c r="A882" s="662"/>
      <c r="B882" s="666">
        <f t="shared" si="90"/>
        <v>0</v>
      </c>
      <c r="C882" s="685" t="s">
        <v>1919</v>
      </c>
      <c r="D882" s="707"/>
      <c r="E882" s="772"/>
      <c r="F882" s="663">
        <f t="shared" si="93"/>
        <v>0</v>
      </c>
      <c r="G882" s="707"/>
      <c r="H882" s="667">
        <f t="shared" si="94"/>
        <v>0</v>
      </c>
      <c r="I882" s="675"/>
      <c r="J882" s="667">
        <f t="shared" si="95"/>
        <v>0</v>
      </c>
      <c r="K882" s="667"/>
      <c r="L882" s="667"/>
      <c r="M882" s="667" t="e">
        <f>G882+#REF!+#REF!+#REF!+I882+#REF!+#REF!+#REF!+#REF!+#REF!+#REF!+K882+#REF!+#REF!+#REF!</f>
        <v>#REF!</v>
      </c>
      <c r="N882" s="667" t="e">
        <f t="shared" si="91"/>
        <v>#REF!</v>
      </c>
      <c r="O882" s="665" t="e">
        <f>#REF!+M882</f>
        <v>#REF!</v>
      </c>
      <c r="P882" s="666" t="e">
        <f t="shared" si="92"/>
        <v>#REF!</v>
      </c>
      <c r="Q882" s="672"/>
      <c r="R882" s="668"/>
      <c r="T882" s="676"/>
    </row>
    <row r="883" spans="1:20" s="677" customFormat="1" ht="25.5" hidden="1" customHeight="1">
      <c r="A883" s="662"/>
      <c r="B883" s="666">
        <f t="shared" si="90"/>
        <v>0</v>
      </c>
      <c r="C883" s="685" t="s">
        <v>1920</v>
      </c>
      <c r="D883" s="660">
        <f>'[14]pile data ( M20 grade)'!F17</f>
        <v>2977.36</v>
      </c>
      <c r="E883" s="674" t="s">
        <v>61</v>
      </c>
      <c r="F883" s="663">
        <f t="shared" si="93"/>
        <v>0</v>
      </c>
      <c r="G883" s="660"/>
      <c r="H883" s="667">
        <f t="shared" si="94"/>
        <v>0</v>
      </c>
      <c r="I883" s="675"/>
      <c r="J883" s="667">
        <f t="shared" si="95"/>
        <v>0</v>
      </c>
      <c r="K883" s="667"/>
      <c r="L883" s="667"/>
      <c r="M883" s="667" t="e">
        <f>G883+#REF!+#REF!+#REF!+I883+#REF!+#REF!+#REF!+#REF!+#REF!+#REF!+K883+#REF!+#REF!+#REF!</f>
        <v>#REF!</v>
      </c>
      <c r="N883" s="667" t="e">
        <f t="shared" si="91"/>
        <v>#REF!</v>
      </c>
      <c r="O883" s="665" t="e">
        <f>#REF!+M883</f>
        <v>#REF!</v>
      </c>
      <c r="P883" s="666" t="e">
        <f t="shared" si="92"/>
        <v>#REF!</v>
      </c>
      <c r="Q883" s="672"/>
      <c r="R883" s="668"/>
      <c r="S883" s="676"/>
      <c r="T883" s="676"/>
    </row>
    <row r="884" spans="1:20" s="677" customFormat="1" ht="25.5" hidden="1" customHeight="1">
      <c r="A884" s="662"/>
      <c r="B884" s="666">
        <f t="shared" si="90"/>
        <v>0</v>
      </c>
      <c r="C884" s="685" t="s">
        <v>1921</v>
      </c>
      <c r="D884" s="660">
        <f>'[14]pile data ( M20 grade)'!F81</f>
        <v>2644.2</v>
      </c>
      <c r="E884" s="674" t="s">
        <v>61</v>
      </c>
      <c r="F884" s="663">
        <f t="shared" si="93"/>
        <v>0</v>
      </c>
      <c r="G884" s="660"/>
      <c r="H884" s="667">
        <f t="shared" si="94"/>
        <v>0</v>
      </c>
      <c r="I884" s="675"/>
      <c r="J884" s="667">
        <f t="shared" si="95"/>
        <v>0</v>
      </c>
      <c r="K884" s="667"/>
      <c r="L884" s="667"/>
      <c r="M884" s="667" t="e">
        <f>G884+#REF!+#REF!+#REF!+I884+#REF!+#REF!+#REF!+#REF!+#REF!+#REF!+K884+#REF!+#REF!+#REF!</f>
        <v>#REF!</v>
      </c>
      <c r="N884" s="667" t="e">
        <f t="shared" si="91"/>
        <v>#REF!</v>
      </c>
      <c r="O884" s="665" t="e">
        <f>#REF!+M884</f>
        <v>#REF!</v>
      </c>
      <c r="P884" s="666" t="e">
        <f t="shared" si="92"/>
        <v>#REF!</v>
      </c>
      <c r="Q884" s="672"/>
      <c r="R884" s="668"/>
      <c r="S884" s="676"/>
      <c r="T884" s="676"/>
    </row>
    <row r="885" spans="1:20" s="677" customFormat="1" ht="25.5" hidden="1" customHeight="1">
      <c r="A885" s="662"/>
      <c r="B885" s="666">
        <f t="shared" si="90"/>
        <v>0</v>
      </c>
      <c r="C885" s="685" t="s">
        <v>1922</v>
      </c>
      <c r="D885" s="660">
        <f>'[14]pile data ( M20 grade)'!F141</f>
        <v>2345.71</v>
      </c>
      <c r="E885" s="674" t="s">
        <v>61</v>
      </c>
      <c r="F885" s="663">
        <f t="shared" si="93"/>
        <v>0</v>
      </c>
      <c r="G885" s="660"/>
      <c r="H885" s="667">
        <f t="shared" si="94"/>
        <v>0</v>
      </c>
      <c r="I885" s="675"/>
      <c r="J885" s="667">
        <f t="shared" si="95"/>
        <v>0</v>
      </c>
      <c r="K885" s="667"/>
      <c r="L885" s="667"/>
      <c r="M885" s="667" t="e">
        <f>G885+#REF!+#REF!+#REF!+I885+#REF!+#REF!+#REF!+#REF!+#REF!+#REF!+K885+#REF!+#REF!+#REF!</f>
        <v>#REF!</v>
      </c>
      <c r="N885" s="667" t="e">
        <f t="shared" si="91"/>
        <v>#REF!</v>
      </c>
      <c r="O885" s="665" t="e">
        <f>#REF!+M885</f>
        <v>#REF!</v>
      </c>
      <c r="P885" s="666" t="e">
        <f t="shared" si="92"/>
        <v>#REF!</v>
      </c>
      <c r="Q885" s="672"/>
      <c r="R885" s="668"/>
      <c r="S885" s="676"/>
      <c r="T885" s="676"/>
    </row>
    <row r="886" spans="1:20" s="677" customFormat="1" ht="69.75" hidden="1" customHeight="1">
      <c r="A886" s="662"/>
      <c r="B886" s="666">
        <f t="shared" si="90"/>
        <v>0</v>
      </c>
      <c r="C886" s="685" t="s">
        <v>1923</v>
      </c>
      <c r="D886" s="660">
        <f>'[11]pile data'!G83</f>
        <v>0</v>
      </c>
      <c r="E886" s="674"/>
      <c r="F886" s="663">
        <f t="shared" si="93"/>
        <v>0</v>
      </c>
      <c r="G886" s="660"/>
      <c r="H886" s="667">
        <f t="shared" ref="H886:H916" si="96">G886*D886</f>
        <v>0</v>
      </c>
      <c r="I886" s="675"/>
      <c r="J886" s="667">
        <f t="shared" ref="J886:J908" si="97">I886*D886</f>
        <v>0</v>
      </c>
      <c r="K886" s="667"/>
      <c r="L886" s="667"/>
      <c r="M886" s="667" t="e">
        <f>G886+#REF!+#REF!+#REF!+I886+#REF!+#REF!+#REF!+#REF!+#REF!+#REF!+K886+#REF!+#REF!+#REF!</f>
        <v>#REF!</v>
      </c>
      <c r="N886" s="667" t="e">
        <f t="shared" si="91"/>
        <v>#REF!</v>
      </c>
      <c r="O886" s="665" t="e">
        <f>#REF!+M886</f>
        <v>#REF!</v>
      </c>
      <c r="P886" s="666" t="e">
        <f t="shared" si="92"/>
        <v>#REF!</v>
      </c>
      <c r="Q886" s="672"/>
      <c r="R886" s="668"/>
      <c r="S886" s="676"/>
      <c r="T886" s="676"/>
    </row>
    <row r="887" spans="1:20" s="677" customFormat="1" ht="93" hidden="1" customHeight="1">
      <c r="A887" s="662"/>
      <c r="B887" s="666">
        <f t="shared" si="90"/>
        <v>0</v>
      </c>
      <c r="C887" s="685" t="s">
        <v>1924</v>
      </c>
      <c r="D887" s="707"/>
      <c r="E887" s="772"/>
      <c r="F887" s="663">
        <f t="shared" si="93"/>
        <v>0</v>
      </c>
      <c r="G887" s="707"/>
      <c r="H887" s="667">
        <f t="shared" si="96"/>
        <v>0</v>
      </c>
      <c r="I887" s="675"/>
      <c r="J887" s="667">
        <f t="shared" si="97"/>
        <v>0</v>
      </c>
      <c r="K887" s="667"/>
      <c r="L887" s="667"/>
      <c r="M887" s="667" t="e">
        <f>G887+#REF!+#REF!+#REF!+I887+#REF!+#REF!+#REF!+#REF!+#REF!+#REF!+K887+#REF!+#REF!+#REF!</f>
        <v>#REF!</v>
      </c>
      <c r="N887" s="667" t="e">
        <f t="shared" si="91"/>
        <v>#REF!</v>
      </c>
      <c r="O887" s="665" t="e">
        <f>#REF!+M887</f>
        <v>#REF!</v>
      </c>
      <c r="P887" s="666" t="e">
        <f t="shared" si="92"/>
        <v>#REF!</v>
      </c>
      <c r="Q887" s="672"/>
      <c r="R887" s="668"/>
    </row>
    <row r="888" spans="1:20" s="677" customFormat="1" ht="25.5" hidden="1" customHeight="1">
      <c r="A888" s="662"/>
      <c r="B888" s="666">
        <f t="shared" si="90"/>
        <v>0</v>
      </c>
      <c r="C888" s="685" t="s">
        <v>1920</v>
      </c>
      <c r="D888" s="660">
        <f>'[14]pile data ( M20 grade)'!F28</f>
        <v>876.36</v>
      </c>
      <c r="E888" s="674" t="s">
        <v>61</v>
      </c>
      <c r="F888" s="663">
        <f t="shared" si="93"/>
        <v>0</v>
      </c>
      <c r="G888" s="660"/>
      <c r="H888" s="667">
        <f t="shared" si="96"/>
        <v>0</v>
      </c>
      <c r="I888" s="675"/>
      <c r="J888" s="667">
        <f t="shared" si="97"/>
        <v>0</v>
      </c>
      <c r="K888" s="667"/>
      <c r="L888" s="667"/>
      <c r="M888" s="667" t="e">
        <f>G888+#REF!+#REF!+#REF!+I888+#REF!+#REF!+#REF!+#REF!+#REF!+#REF!+K888+#REF!+#REF!+#REF!</f>
        <v>#REF!</v>
      </c>
      <c r="N888" s="667" t="e">
        <f t="shared" si="91"/>
        <v>#REF!</v>
      </c>
      <c r="O888" s="665" t="e">
        <f>#REF!+M888</f>
        <v>#REF!</v>
      </c>
      <c r="P888" s="666" t="e">
        <f t="shared" si="92"/>
        <v>#REF!</v>
      </c>
      <c r="Q888" s="672"/>
      <c r="R888" s="668"/>
      <c r="S888" s="676"/>
      <c r="T888" s="676"/>
    </row>
    <row r="889" spans="1:20" s="677" customFormat="1" ht="25.5" hidden="1" customHeight="1">
      <c r="A889" s="662"/>
      <c r="B889" s="666">
        <f t="shared" si="90"/>
        <v>0</v>
      </c>
      <c r="C889" s="685" t="s">
        <v>1921</v>
      </c>
      <c r="D889" s="660">
        <f>'[14]pile data ( M20 grade)'!F92</f>
        <v>710.92</v>
      </c>
      <c r="E889" s="674" t="s">
        <v>61</v>
      </c>
      <c r="F889" s="663">
        <f t="shared" si="93"/>
        <v>0</v>
      </c>
      <c r="G889" s="660"/>
      <c r="H889" s="667">
        <f t="shared" si="96"/>
        <v>0</v>
      </c>
      <c r="I889" s="675"/>
      <c r="J889" s="667">
        <f t="shared" si="97"/>
        <v>0</v>
      </c>
      <c r="K889" s="667"/>
      <c r="L889" s="667"/>
      <c r="M889" s="667" t="e">
        <f>G889+#REF!+#REF!+#REF!+I889+#REF!+#REF!+#REF!+#REF!+#REF!+#REF!+K889+#REF!+#REF!+#REF!</f>
        <v>#REF!</v>
      </c>
      <c r="N889" s="667" t="e">
        <f t="shared" si="91"/>
        <v>#REF!</v>
      </c>
      <c r="O889" s="665" t="e">
        <f>#REF!+M889</f>
        <v>#REF!</v>
      </c>
      <c r="P889" s="666" t="e">
        <f t="shared" si="92"/>
        <v>#REF!</v>
      </c>
      <c r="Q889" s="672"/>
      <c r="R889" s="668"/>
      <c r="S889" s="676"/>
      <c r="T889" s="676"/>
    </row>
    <row r="890" spans="1:20" s="677" customFormat="1" ht="25.5" hidden="1" customHeight="1">
      <c r="A890" s="662"/>
      <c r="B890" s="666">
        <f t="shared" si="90"/>
        <v>0</v>
      </c>
      <c r="C890" s="685" t="s">
        <v>1922</v>
      </c>
      <c r="D890" s="660">
        <f>'[14]pile data ( M20 grade)'!F152</f>
        <v>563.37</v>
      </c>
      <c r="E890" s="674" t="s">
        <v>61</v>
      </c>
      <c r="F890" s="663">
        <f t="shared" si="93"/>
        <v>0</v>
      </c>
      <c r="G890" s="660"/>
      <c r="H890" s="667">
        <f t="shared" si="96"/>
        <v>0</v>
      </c>
      <c r="I890" s="675"/>
      <c r="J890" s="667">
        <f t="shared" si="97"/>
        <v>0</v>
      </c>
      <c r="K890" s="667"/>
      <c r="L890" s="667"/>
      <c r="M890" s="667" t="e">
        <f>G890+#REF!+#REF!+#REF!+I890+#REF!+#REF!+#REF!+#REF!+#REF!+#REF!+K890+#REF!+#REF!+#REF!</f>
        <v>#REF!</v>
      </c>
      <c r="N890" s="667" t="e">
        <f t="shared" si="91"/>
        <v>#REF!</v>
      </c>
      <c r="O890" s="665" t="e">
        <f>#REF!+M890</f>
        <v>#REF!</v>
      </c>
      <c r="P890" s="666" t="e">
        <f t="shared" si="92"/>
        <v>#REF!</v>
      </c>
      <c r="Q890" s="672"/>
      <c r="R890" s="668"/>
      <c r="S890" s="676"/>
      <c r="T890" s="676"/>
    </row>
    <row r="891" spans="1:20" s="677" customFormat="1" ht="93" hidden="1" customHeight="1">
      <c r="A891" s="662"/>
      <c r="B891" s="666">
        <f t="shared" si="90"/>
        <v>0</v>
      </c>
      <c r="C891" s="685" t="s">
        <v>1925</v>
      </c>
      <c r="D891" s="660">
        <v>40000</v>
      </c>
      <c r="E891" s="674" t="s">
        <v>54</v>
      </c>
      <c r="F891" s="663">
        <f t="shared" si="93"/>
        <v>0</v>
      </c>
      <c r="G891" s="660"/>
      <c r="H891" s="667">
        <f t="shared" si="96"/>
        <v>0</v>
      </c>
      <c r="I891" s="675"/>
      <c r="J891" s="667">
        <f t="shared" si="97"/>
        <v>0</v>
      </c>
      <c r="K891" s="667"/>
      <c r="L891" s="667"/>
      <c r="M891" s="667" t="e">
        <f>G891+#REF!+#REF!+#REF!+I891+#REF!+#REF!+#REF!+#REF!+#REF!+#REF!+K891+#REF!+#REF!+#REF!</f>
        <v>#REF!</v>
      </c>
      <c r="N891" s="667" t="e">
        <f t="shared" si="91"/>
        <v>#REF!</v>
      </c>
      <c r="O891" s="665" t="e">
        <f>#REF!+M891</f>
        <v>#REF!</v>
      </c>
      <c r="P891" s="666" t="e">
        <f t="shared" si="92"/>
        <v>#REF!</v>
      </c>
      <c r="Q891" s="672"/>
      <c r="R891" s="668"/>
      <c r="S891" s="676"/>
      <c r="T891" s="676"/>
    </row>
    <row r="892" spans="1:20" s="677" customFormat="1" ht="162.75" hidden="1" customHeight="1">
      <c r="A892" s="662"/>
      <c r="B892" s="666">
        <f t="shared" si="90"/>
        <v>0</v>
      </c>
      <c r="C892" s="685" t="s">
        <v>1926</v>
      </c>
      <c r="D892" s="660">
        <v>70000</v>
      </c>
      <c r="E892" s="674" t="s">
        <v>54</v>
      </c>
      <c r="F892" s="663">
        <f t="shared" si="93"/>
        <v>0</v>
      </c>
      <c r="G892" s="660"/>
      <c r="H892" s="667">
        <f t="shared" si="96"/>
        <v>0</v>
      </c>
      <c r="I892" s="675"/>
      <c r="J892" s="667">
        <f t="shared" si="97"/>
        <v>0</v>
      </c>
      <c r="K892" s="667"/>
      <c r="L892" s="667"/>
      <c r="M892" s="667" t="e">
        <f>G892+#REF!+#REF!+#REF!+I892+#REF!+#REF!+#REF!+#REF!+#REF!+#REF!+K892+#REF!+#REF!+#REF!</f>
        <v>#REF!</v>
      </c>
      <c r="N892" s="667" t="e">
        <f t="shared" si="91"/>
        <v>#REF!</v>
      </c>
      <c r="O892" s="665" t="e">
        <f>#REF!+M892</f>
        <v>#REF!</v>
      </c>
      <c r="P892" s="666" t="e">
        <f t="shared" si="92"/>
        <v>#REF!</v>
      </c>
      <c r="Q892" s="672"/>
      <c r="R892" s="668"/>
      <c r="S892" s="676"/>
      <c r="T892" s="676"/>
    </row>
    <row r="893" spans="1:20" s="677" customFormat="1" ht="39.75" hidden="1" customHeight="1">
      <c r="A893" s="662"/>
      <c r="B893" s="666">
        <f t="shared" si="90"/>
        <v>0</v>
      </c>
      <c r="C893" s="663" t="s">
        <v>1927</v>
      </c>
      <c r="D893" s="739">
        <v>713.54</v>
      </c>
      <c r="E893" s="708" t="s">
        <v>37</v>
      </c>
      <c r="F893" s="663">
        <f t="shared" si="93"/>
        <v>0</v>
      </c>
      <c r="G893" s="660"/>
      <c r="H893" s="667">
        <f t="shared" si="96"/>
        <v>0</v>
      </c>
      <c r="I893" s="675"/>
      <c r="J893" s="667">
        <f t="shared" si="97"/>
        <v>0</v>
      </c>
      <c r="K893" s="667"/>
      <c r="L893" s="667"/>
      <c r="M893" s="667" t="e">
        <f>G893+#REF!+#REF!+#REF!+I893+#REF!+#REF!+#REF!+#REF!+#REF!+#REF!+K893+#REF!+#REF!+#REF!</f>
        <v>#REF!</v>
      </c>
      <c r="N893" s="667" t="e">
        <f t="shared" si="91"/>
        <v>#REF!</v>
      </c>
      <c r="O893" s="665" t="e">
        <f>#REF!+M893</f>
        <v>#REF!</v>
      </c>
      <c r="P893" s="666" t="e">
        <f t="shared" si="92"/>
        <v>#REF!</v>
      </c>
      <c r="Q893" s="672"/>
      <c r="R893" s="668"/>
      <c r="S893" s="676"/>
      <c r="T893" s="676"/>
    </row>
    <row r="894" spans="1:20" s="677" customFormat="1" ht="93" hidden="1" customHeight="1">
      <c r="A894" s="662"/>
      <c r="B894" s="666">
        <f t="shared" si="90"/>
        <v>0</v>
      </c>
      <c r="C894" s="685" t="s">
        <v>1928</v>
      </c>
      <c r="D894" s="773"/>
      <c r="E894" s="708"/>
      <c r="F894" s="663">
        <f t="shared" si="93"/>
        <v>0</v>
      </c>
      <c r="G894" s="660"/>
      <c r="H894" s="667">
        <f t="shared" si="96"/>
        <v>0</v>
      </c>
      <c r="I894" s="675"/>
      <c r="J894" s="667">
        <f t="shared" si="97"/>
        <v>0</v>
      </c>
      <c r="K894" s="667"/>
      <c r="L894" s="667"/>
      <c r="M894" s="667" t="e">
        <f>G894+#REF!+#REF!+#REF!+I894+#REF!+#REF!+#REF!+#REF!+#REF!+#REF!+K894+#REF!+#REF!+#REF!</f>
        <v>#REF!</v>
      </c>
      <c r="N894" s="667" t="e">
        <f t="shared" si="91"/>
        <v>#REF!</v>
      </c>
      <c r="O894" s="665" t="e">
        <f>#REF!+M894</f>
        <v>#REF!</v>
      </c>
      <c r="P894" s="666" t="e">
        <f t="shared" si="92"/>
        <v>#REF!</v>
      </c>
      <c r="Q894" s="672"/>
      <c r="R894" s="668"/>
      <c r="S894" s="676"/>
      <c r="T894" s="676"/>
    </row>
    <row r="895" spans="1:20" s="677" customFormat="1" ht="25.5" hidden="1" customHeight="1">
      <c r="A895" s="662"/>
      <c r="B895" s="666">
        <f t="shared" si="90"/>
        <v>0</v>
      </c>
      <c r="C895" s="708" t="s">
        <v>168</v>
      </c>
      <c r="D895" s="773">
        <f>[14]Elec.Data!K3815</f>
        <v>830.11</v>
      </c>
      <c r="E895" s="708" t="s">
        <v>522</v>
      </c>
      <c r="F895" s="663">
        <f t="shared" si="93"/>
        <v>0</v>
      </c>
      <c r="G895" s="660"/>
      <c r="H895" s="667">
        <f t="shared" si="96"/>
        <v>0</v>
      </c>
      <c r="I895" s="675"/>
      <c r="J895" s="667">
        <f t="shared" si="97"/>
        <v>0</v>
      </c>
      <c r="K895" s="667"/>
      <c r="L895" s="667"/>
      <c r="M895" s="667" t="e">
        <f>G895+#REF!+#REF!+#REF!+I895+#REF!+#REF!+#REF!+#REF!+#REF!+#REF!+K895+#REF!+#REF!+#REF!</f>
        <v>#REF!</v>
      </c>
      <c r="N895" s="667" t="e">
        <f t="shared" si="91"/>
        <v>#REF!</v>
      </c>
      <c r="O895" s="665" t="e">
        <f>#REF!+M895</f>
        <v>#REF!</v>
      </c>
      <c r="P895" s="666" t="e">
        <f t="shared" si="92"/>
        <v>#REF!</v>
      </c>
      <c r="Q895" s="672"/>
      <c r="R895" s="668"/>
      <c r="S895" s="676"/>
      <c r="T895" s="676"/>
    </row>
    <row r="896" spans="1:20" s="677" customFormat="1" ht="25.5" hidden="1" customHeight="1">
      <c r="A896" s="662"/>
      <c r="B896" s="666">
        <f t="shared" si="90"/>
        <v>0</v>
      </c>
      <c r="C896" s="708" t="s">
        <v>170</v>
      </c>
      <c r="D896" s="773">
        <f>[14]Elec.Data!K3841</f>
        <v>833.16</v>
      </c>
      <c r="E896" s="708" t="s">
        <v>522</v>
      </c>
      <c r="F896" s="663">
        <f t="shared" si="93"/>
        <v>0</v>
      </c>
      <c r="G896" s="660"/>
      <c r="H896" s="667">
        <f t="shared" si="96"/>
        <v>0</v>
      </c>
      <c r="I896" s="675"/>
      <c r="J896" s="667">
        <f t="shared" si="97"/>
        <v>0</v>
      </c>
      <c r="K896" s="667"/>
      <c r="L896" s="667"/>
      <c r="M896" s="667" t="e">
        <f>G896+#REF!+#REF!+#REF!+I896+#REF!+#REF!+#REF!+#REF!+#REF!+#REF!+K896+#REF!+#REF!+#REF!</f>
        <v>#REF!</v>
      </c>
      <c r="N896" s="667" t="e">
        <f t="shared" si="91"/>
        <v>#REF!</v>
      </c>
      <c r="O896" s="665" t="e">
        <f>#REF!+M896</f>
        <v>#REF!</v>
      </c>
      <c r="P896" s="666" t="e">
        <f t="shared" si="92"/>
        <v>#REF!</v>
      </c>
      <c r="Q896" s="672"/>
      <c r="R896" s="668"/>
      <c r="S896" s="676"/>
      <c r="T896" s="676"/>
    </row>
    <row r="897" spans="1:20" s="677" customFormat="1" ht="87" hidden="1" customHeight="1">
      <c r="A897" s="662"/>
      <c r="B897" s="666">
        <f t="shared" si="90"/>
        <v>0</v>
      </c>
      <c r="C897" s="708" t="s">
        <v>1929</v>
      </c>
      <c r="D897" s="773">
        <f>[14]Elec.Data!K3918</f>
        <v>638.45000000000005</v>
      </c>
      <c r="E897" s="708" t="s">
        <v>522</v>
      </c>
      <c r="F897" s="663">
        <f t="shared" si="93"/>
        <v>0</v>
      </c>
      <c r="G897" s="660"/>
      <c r="H897" s="667">
        <f t="shared" si="96"/>
        <v>0</v>
      </c>
      <c r="I897" s="675"/>
      <c r="J897" s="667">
        <f t="shared" si="97"/>
        <v>0</v>
      </c>
      <c r="K897" s="667"/>
      <c r="L897" s="667"/>
      <c r="M897" s="667" t="e">
        <f>G897+#REF!+#REF!+#REF!+I897+#REF!+#REF!+#REF!+#REF!+#REF!+#REF!+K897+#REF!+#REF!+#REF!</f>
        <v>#REF!</v>
      </c>
      <c r="N897" s="667" t="e">
        <f t="shared" si="91"/>
        <v>#REF!</v>
      </c>
      <c r="O897" s="665" t="e">
        <f>#REF!+M897</f>
        <v>#REF!</v>
      </c>
      <c r="P897" s="666" t="e">
        <f t="shared" si="92"/>
        <v>#REF!</v>
      </c>
      <c r="Q897" s="672"/>
      <c r="R897" s="668"/>
      <c r="S897" s="676"/>
      <c r="T897" s="676"/>
    </row>
    <row r="898" spans="1:20" s="677" customFormat="1" ht="87" hidden="1" customHeight="1">
      <c r="A898" s="662"/>
      <c r="B898" s="666">
        <f t="shared" si="90"/>
        <v>0</v>
      </c>
      <c r="C898" s="708" t="s">
        <v>1930</v>
      </c>
      <c r="D898" s="773">
        <f>[14]Elec.Data!K2977</f>
        <v>764.91</v>
      </c>
      <c r="E898" s="708" t="s">
        <v>522</v>
      </c>
      <c r="F898" s="663">
        <f t="shared" si="93"/>
        <v>0</v>
      </c>
      <c r="G898" s="660"/>
      <c r="H898" s="667">
        <f t="shared" si="96"/>
        <v>0</v>
      </c>
      <c r="I898" s="675"/>
      <c r="J898" s="667">
        <f t="shared" si="97"/>
        <v>0</v>
      </c>
      <c r="K898" s="667"/>
      <c r="L898" s="667"/>
      <c r="M898" s="667" t="e">
        <f>G898+#REF!+#REF!+#REF!+I898+#REF!+#REF!+#REF!+#REF!+#REF!+#REF!+K898+#REF!+#REF!+#REF!</f>
        <v>#REF!</v>
      </c>
      <c r="N898" s="667" t="e">
        <f t="shared" si="91"/>
        <v>#REF!</v>
      </c>
      <c r="O898" s="665" t="e">
        <f>#REF!+M898</f>
        <v>#REF!</v>
      </c>
      <c r="P898" s="666" t="e">
        <f t="shared" si="92"/>
        <v>#REF!</v>
      </c>
      <c r="Q898" s="672"/>
      <c r="R898" s="668"/>
      <c r="S898" s="676"/>
      <c r="T898" s="676"/>
    </row>
    <row r="899" spans="1:20" s="677" customFormat="1" ht="65.25" hidden="1" customHeight="1">
      <c r="A899" s="662"/>
      <c r="B899" s="666">
        <f t="shared" ref="B899:B962" si="98">G899</f>
        <v>0</v>
      </c>
      <c r="C899" s="774" t="s">
        <v>1931</v>
      </c>
      <c r="D899" s="775">
        <f>[14]Elec.Data!K3879</f>
        <v>917.46</v>
      </c>
      <c r="E899" s="776" t="s">
        <v>1790</v>
      </c>
      <c r="F899" s="663">
        <f t="shared" ref="F899:F962" si="99">H899</f>
        <v>0</v>
      </c>
      <c r="G899" s="660"/>
      <c r="H899" s="667">
        <f t="shared" si="96"/>
        <v>0</v>
      </c>
      <c r="I899" s="675"/>
      <c r="J899" s="667">
        <f t="shared" si="97"/>
        <v>0</v>
      </c>
      <c r="K899" s="667"/>
      <c r="L899" s="667"/>
      <c r="M899" s="667" t="e">
        <f>G899+#REF!+#REF!+#REF!+I899+#REF!+#REF!+#REF!+#REF!+#REF!+#REF!+K899+#REF!+#REF!+#REF!</f>
        <v>#REF!</v>
      </c>
      <c r="N899" s="667" t="e">
        <f t="shared" si="91"/>
        <v>#REF!</v>
      </c>
      <c r="O899" s="665" t="e">
        <f>#REF!+M899</f>
        <v>#REF!</v>
      </c>
      <c r="P899" s="666" t="e">
        <f t="shared" si="92"/>
        <v>#REF!</v>
      </c>
      <c r="Q899" s="672"/>
      <c r="R899" s="668"/>
      <c r="S899" s="676"/>
      <c r="T899" s="676"/>
    </row>
    <row r="900" spans="1:20" s="677" customFormat="1" ht="43.5" hidden="1" customHeight="1">
      <c r="A900" s="662"/>
      <c r="B900" s="666">
        <f t="shared" si="98"/>
        <v>0</v>
      </c>
      <c r="C900" s="708" t="s">
        <v>1932</v>
      </c>
      <c r="D900" s="775">
        <f>[14]Data!R2654</f>
        <v>6199.77</v>
      </c>
      <c r="E900" s="776" t="s">
        <v>37</v>
      </c>
      <c r="F900" s="663">
        <f t="shared" si="99"/>
        <v>0</v>
      </c>
      <c r="G900" s="660"/>
      <c r="H900" s="667">
        <f t="shared" si="96"/>
        <v>0</v>
      </c>
      <c r="I900" s="675"/>
      <c r="J900" s="667">
        <f t="shared" si="97"/>
        <v>0</v>
      </c>
      <c r="K900" s="667"/>
      <c r="L900" s="667"/>
      <c r="M900" s="667" t="e">
        <f>G900+#REF!+#REF!+#REF!+I900+#REF!+#REF!+#REF!+#REF!+#REF!+#REF!+K900+#REF!+#REF!+#REF!</f>
        <v>#REF!</v>
      </c>
      <c r="N900" s="667" t="e">
        <f t="shared" si="91"/>
        <v>#REF!</v>
      </c>
      <c r="O900" s="665" t="e">
        <f>#REF!+M900</f>
        <v>#REF!</v>
      </c>
      <c r="P900" s="666" t="e">
        <f t="shared" si="92"/>
        <v>#REF!</v>
      </c>
      <c r="Q900" s="672"/>
      <c r="R900" s="668"/>
      <c r="S900" s="676"/>
      <c r="T900" s="676"/>
    </row>
    <row r="901" spans="1:20" s="677" customFormat="1" ht="26.25" hidden="1" customHeight="1">
      <c r="A901" s="662"/>
      <c r="B901" s="666">
        <f t="shared" si="98"/>
        <v>0</v>
      </c>
      <c r="C901" s="663" t="s">
        <v>1933</v>
      </c>
      <c r="D901" s="775">
        <f>[14]Data!K3738</f>
        <v>82.53</v>
      </c>
      <c r="E901" s="674" t="s">
        <v>37</v>
      </c>
      <c r="F901" s="663">
        <f t="shared" si="99"/>
        <v>0</v>
      </c>
      <c r="G901" s="660"/>
      <c r="H901" s="667">
        <f t="shared" si="96"/>
        <v>0</v>
      </c>
      <c r="I901" s="675"/>
      <c r="J901" s="667">
        <f t="shared" si="97"/>
        <v>0</v>
      </c>
      <c r="K901" s="667"/>
      <c r="L901" s="667"/>
      <c r="M901" s="667" t="e">
        <f>G901+#REF!+#REF!+#REF!+I901+#REF!+#REF!+#REF!+#REF!+#REF!+#REF!+K901+#REF!+#REF!+#REF!</f>
        <v>#REF!</v>
      </c>
      <c r="N901" s="667" t="e">
        <f t="shared" ref="N901:N964" si="100">M901*D901</f>
        <v>#REF!</v>
      </c>
      <c r="O901" s="665" t="e">
        <f>#REF!+M901</f>
        <v>#REF!</v>
      </c>
      <c r="P901" s="666" t="e">
        <f t="shared" ref="P901:P964" si="101">O901*D901</f>
        <v>#REF!</v>
      </c>
      <c r="Q901" s="672"/>
      <c r="R901" s="668"/>
      <c r="S901" s="676"/>
      <c r="T901" s="676"/>
    </row>
    <row r="902" spans="1:20" s="677" customFormat="1" ht="54" hidden="1" customHeight="1">
      <c r="A902" s="662"/>
      <c r="B902" s="666">
        <f t="shared" si="98"/>
        <v>0</v>
      </c>
      <c r="C902" s="777" t="s">
        <v>1934</v>
      </c>
      <c r="D902" s="775">
        <f>[14]Data!K3792</f>
        <v>3709.53</v>
      </c>
      <c r="E902" s="778" t="s">
        <v>37</v>
      </c>
      <c r="F902" s="663">
        <f t="shared" si="99"/>
        <v>0</v>
      </c>
      <c r="G902" s="660"/>
      <c r="H902" s="667">
        <f t="shared" si="96"/>
        <v>0</v>
      </c>
      <c r="I902" s="675"/>
      <c r="J902" s="667">
        <f t="shared" si="97"/>
        <v>0</v>
      </c>
      <c r="K902" s="667"/>
      <c r="L902" s="667"/>
      <c r="M902" s="667" t="e">
        <f>G902+#REF!+#REF!+#REF!+I902+#REF!+#REF!+#REF!+#REF!+#REF!+#REF!+K902+#REF!+#REF!+#REF!</f>
        <v>#REF!</v>
      </c>
      <c r="N902" s="667" t="e">
        <f t="shared" si="100"/>
        <v>#REF!</v>
      </c>
      <c r="O902" s="665" t="e">
        <f>#REF!+M902</f>
        <v>#REF!</v>
      </c>
      <c r="P902" s="666" t="e">
        <f t="shared" si="101"/>
        <v>#REF!</v>
      </c>
      <c r="Q902" s="672"/>
      <c r="R902" s="668"/>
      <c r="S902" s="676"/>
      <c r="T902" s="676"/>
    </row>
    <row r="903" spans="1:20" s="677" customFormat="1" ht="72" hidden="1" customHeight="1">
      <c r="A903" s="662"/>
      <c r="B903" s="666">
        <f t="shared" si="98"/>
        <v>0</v>
      </c>
      <c r="C903" s="777" t="s">
        <v>1935</v>
      </c>
      <c r="D903" s="775">
        <f>[14]Data!X3668</f>
        <v>5543.77</v>
      </c>
      <c r="E903" s="778" t="s">
        <v>37</v>
      </c>
      <c r="F903" s="663">
        <f t="shared" si="99"/>
        <v>0</v>
      </c>
      <c r="G903" s="660"/>
      <c r="H903" s="667">
        <f t="shared" si="96"/>
        <v>0</v>
      </c>
      <c r="I903" s="675"/>
      <c r="J903" s="667">
        <f t="shared" si="97"/>
        <v>0</v>
      </c>
      <c r="K903" s="667"/>
      <c r="L903" s="667"/>
      <c r="M903" s="667" t="e">
        <f>G903+#REF!+#REF!+#REF!+I903+#REF!+#REF!+#REF!+#REF!+#REF!+#REF!+K903+#REF!+#REF!+#REF!</f>
        <v>#REF!</v>
      </c>
      <c r="N903" s="667" t="e">
        <f t="shared" si="100"/>
        <v>#REF!</v>
      </c>
      <c r="O903" s="665" t="e">
        <f>#REF!+M903</f>
        <v>#REF!</v>
      </c>
      <c r="P903" s="666" t="e">
        <f t="shared" si="101"/>
        <v>#REF!</v>
      </c>
      <c r="Q903" s="672"/>
      <c r="R903" s="668"/>
      <c r="S903" s="676"/>
      <c r="T903" s="676"/>
    </row>
    <row r="904" spans="1:20" s="677" customFormat="1" ht="69" hidden="1" customHeight="1">
      <c r="A904" s="662"/>
      <c r="B904" s="666">
        <f t="shared" si="98"/>
        <v>0</v>
      </c>
      <c r="C904" s="777" t="s">
        <v>1936</v>
      </c>
      <c r="D904" s="775">
        <f>[14]Data!X3696</f>
        <v>7170.69</v>
      </c>
      <c r="E904" s="778" t="s">
        <v>37</v>
      </c>
      <c r="F904" s="663">
        <f t="shared" si="99"/>
        <v>0</v>
      </c>
      <c r="G904" s="660"/>
      <c r="H904" s="667">
        <f t="shared" si="96"/>
        <v>0</v>
      </c>
      <c r="I904" s="675"/>
      <c r="J904" s="667">
        <f t="shared" si="97"/>
        <v>0</v>
      </c>
      <c r="K904" s="667"/>
      <c r="L904" s="667"/>
      <c r="M904" s="667" t="e">
        <f>G904+#REF!+#REF!+#REF!+I904+#REF!+#REF!+#REF!+#REF!+#REF!+#REF!+K904+#REF!+#REF!+#REF!</f>
        <v>#REF!</v>
      </c>
      <c r="N904" s="667" t="e">
        <f t="shared" si="100"/>
        <v>#REF!</v>
      </c>
      <c r="O904" s="665" t="e">
        <f>#REF!+M904</f>
        <v>#REF!</v>
      </c>
      <c r="P904" s="666" t="e">
        <f t="shared" si="101"/>
        <v>#REF!</v>
      </c>
      <c r="Q904" s="672"/>
      <c r="R904" s="668"/>
      <c r="S904" s="676"/>
      <c r="T904" s="676"/>
    </row>
    <row r="905" spans="1:20" s="677" customFormat="1" ht="66" hidden="1" customHeight="1">
      <c r="A905" s="662"/>
      <c r="B905" s="666">
        <f t="shared" si="98"/>
        <v>0</v>
      </c>
      <c r="C905" s="777" t="s">
        <v>1937</v>
      </c>
      <c r="D905" s="775">
        <f>[14]Data!K3837</f>
        <v>1269.1600000000001</v>
      </c>
      <c r="E905" s="776" t="s">
        <v>37</v>
      </c>
      <c r="F905" s="663">
        <f t="shared" si="99"/>
        <v>0</v>
      </c>
      <c r="G905" s="660"/>
      <c r="H905" s="667">
        <f t="shared" si="96"/>
        <v>0</v>
      </c>
      <c r="I905" s="675"/>
      <c r="J905" s="667">
        <f t="shared" si="97"/>
        <v>0</v>
      </c>
      <c r="K905" s="667"/>
      <c r="L905" s="667"/>
      <c r="M905" s="667" t="e">
        <f>G905+#REF!+#REF!+#REF!+I905+#REF!+#REF!+#REF!+#REF!+#REF!+#REF!+K905+#REF!+#REF!+#REF!</f>
        <v>#REF!</v>
      </c>
      <c r="N905" s="667" t="e">
        <f t="shared" si="100"/>
        <v>#REF!</v>
      </c>
      <c r="O905" s="665" t="e">
        <f>#REF!+M905</f>
        <v>#REF!</v>
      </c>
      <c r="P905" s="666" t="e">
        <f t="shared" si="101"/>
        <v>#REF!</v>
      </c>
      <c r="Q905" s="672"/>
      <c r="R905" s="668"/>
      <c r="S905" s="676"/>
      <c r="T905" s="676"/>
    </row>
    <row r="906" spans="1:20" s="677" customFormat="1" ht="76.5" hidden="1" customHeight="1">
      <c r="A906" s="662"/>
      <c r="B906" s="666">
        <f t="shared" si="98"/>
        <v>0</v>
      </c>
      <c r="C906" s="743" t="s">
        <v>1938</v>
      </c>
      <c r="D906" s="775">
        <f>[14]Data!K3814</f>
        <v>1536.83</v>
      </c>
      <c r="E906" s="776" t="s">
        <v>37</v>
      </c>
      <c r="F906" s="663">
        <f t="shared" si="99"/>
        <v>0</v>
      </c>
      <c r="G906" s="660"/>
      <c r="H906" s="667">
        <f t="shared" si="96"/>
        <v>0</v>
      </c>
      <c r="I906" s="675"/>
      <c r="J906" s="667">
        <f t="shared" si="97"/>
        <v>0</v>
      </c>
      <c r="K906" s="667"/>
      <c r="L906" s="667"/>
      <c r="M906" s="667" t="e">
        <f>G906+#REF!+#REF!+#REF!+I906+#REF!+#REF!+#REF!+#REF!+#REF!+#REF!+K906+#REF!+#REF!+#REF!</f>
        <v>#REF!</v>
      </c>
      <c r="N906" s="667" t="e">
        <f t="shared" si="100"/>
        <v>#REF!</v>
      </c>
      <c r="O906" s="665" t="e">
        <f>#REF!+M906</f>
        <v>#REF!</v>
      </c>
      <c r="P906" s="666" t="e">
        <f t="shared" si="101"/>
        <v>#REF!</v>
      </c>
      <c r="Q906" s="672"/>
      <c r="R906" s="668"/>
      <c r="S906" s="676"/>
      <c r="T906" s="676"/>
    </row>
    <row r="907" spans="1:20" s="677" customFormat="1" ht="129" hidden="1" customHeight="1">
      <c r="A907" s="662"/>
      <c r="B907" s="666">
        <f t="shared" si="98"/>
        <v>0</v>
      </c>
      <c r="C907" s="663" t="s">
        <v>1939</v>
      </c>
      <c r="D907" s="771">
        <v>1692</v>
      </c>
      <c r="E907" s="779" t="s">
        <v>522</v>
      </c>
      <c r="F907" s="663">
        <f t="shared" si="99"/>
        <v>0</v>
      </c>
      <c r="G907" s="667"/>
      <c r="H907" s="667">
        <f t="shared" si="96"/>
        <v>0</v>
      </c>
      <c r="I907" s="667"/>
      <c r="J907" s="667">
        <f t="shared" si="97"/>
        <v>0</v>
      </c>
      <c r="K907" s="667"/>
      <c r="L907" s="667"/>
      <c r="M907" s="667" t="e">
        <f>G907+#REF!+#REF!+#REF!+I907+#REF!+#REF!+#REF!+#REF!+#REF!+#REF!+K907+#REF!+#REF!+#REF!</f>
        <v>#REF!</v>
      </c>
      <c r="N907" s="667" t="e">
        <f t="shared" si="100"/>
        <v>#REF!</v>
      </c>
      <c r="O907" s="665" t="e">
        <f>#REF!+M907</f>
        <v>#REF!</v>
      </c>
      <c r="P907" s="666" t="e">
        <f t="shared" si="101"/>
        <v>#REF!</v>
      </c>
      <c r="Q907" s="672"/>
      <c r="R907" s="668"/>
      <c r="S907" s="676"/>
      <c r="T907" s="676"/>
    </row>
    <row r="908" spans="1:20" s="677" customFormat="1" ht="94.5" hidden="1" customHeight="1">
      <c r="A908" s="662"/>
      <c r="B908" s="666">
        <f t="shared" si="98"/>
        <v>0</v>
      </c>
      <c r="C908" s="780" t="s">
        <v>1940</v>
      </c>
      <c r="D908" s="781">
        <f>[14]Elec.Data!K4087</f>
        <v>34310</v>
      </c>
      <c r="E908" s="780" t="s">
        <v>522</v>
      </c>
      <c r="F908" s="663">
        <f t="shared" si="99"/>
        <v>0</v>
      </c>
      <c r="G908" s="675"/>
      <c r="H908" s="667">
        <f t="shared" si="96"/>
        <v>0</v>
      </c>
      <c r="I908" s="675"/>
      <c r="J908" s="667">
        <f t="shared" si="97"/>
        <v>0</v>
      </c>
      <c r="K908" s="667"/>
      <c r="L908" s="667"/>
      <c r="M908" s="667" t="e">
        <f>G908+#REF!+#REF!+#REF!+I908+#REF!+#REF!+#REF!+#REF!+#REF!+#REF!+K908+#REF!+#REF!+#REF!</f>
        <v>#REF!</v>
      </c>
      <c r="N908" s="667" t="e">
        <f t="shared" si="100"/>
        <v>#REF!</v>
      </c>
      <c r="O908" s="665" t="e">
        <f>#REF!+M908</f>
        <v>#REF!</v>
      </c>
      <c r="P908" s="666" t="e">
        <f t="shared" si="101"/>
        <v>#REF!</v>
      </c>
      <c r="Q908" s="672"/>
      <c r="R908" s="668"/>
      <c r="S908" s="676"/>
      <c r="T908" s="676"/>
    </row>
    <row r="909" spans="1:20" s="677" customFormat="1" ht="89.25" hidden="1" customHeight="1">
      <c r="A909" s="662"/>
      <c r="B909" s="666">
        <f t="shared" si="98"/>
        <v>0</v>
      </c>
      <c r="C909" s="674" t="s">
        <v>1941</v>
      </c>
      <c r="D909" s="781">
        <v>8100</v>
      </c>
      <c r="E909" s="780" t="s">
        <v>522</v>
      </c>
      <c r="F909" s="663">
        <f t="shared" si="99"/>
        <v>0</v>
      </c>
      <c r="G909" s="675"/>
      <c r="H909" s="667">
        <f t="shared" si="96"/>
        <v>0</v>
      </c>
      <c r="I909" s="675"/>
      <c r="J909" s="667"/>
      <c r="K909" s="667"/>
      <c r="L909" s="667"/>
      <c r="M909" s="667" t="e">
        <f>G909+#REF!+#REF!+#REF!+I909+#REF!+#REF!+#REF!+#REF!+#REF!+#REF!+K909+#REF!+#REF!+#REF!</f>
        <v>#REF!</v>
      </c>
      <c r="N909" s="667" t="e">
        <f t="shared" si="100"/>
        <v>#REF!</v>
      </c>
      <c r="O909" s="665" t="e">
        <f>#REF!+M909</f>
        <v>#REF!</v>
      </c>
      <c r="P909" s="666" t="e">
        <f t="shared" si="101"/>
        <v>#REF!</v>
      </c>
      <c r="Q909" s="672"/>
      <c r="R909" s="668"/>
      <c r="S909" s="676"/>
      <c r="T909" s="676"/>
    </row>
    <row r="910" spans="1:20" ht="117.75" hidden="1" customHeight="1">
      <c r="A910" s="673"/>
      <c r="B910" s="666">
        <f t="shared" si="98"/>
        <v>0</v>
      </c>
      <c r="C910" s="674" t="s">
        <v>1942</v>
      </c>
      <c r="D910" s="660">
        <v>829</v>
      </c>
      <c r="E910" s="742" t="s">
        <v>522</v>
      </c>
      <c r="F910" s="663">
        <f t="shared" si="99"/>
        <v>0</v>
      </c>
      <c r="G910" s="675"/>
      <c r="H910" s="667">
        <f t="shared" si="96"/>
        <v>0</v>
      </c>
      <c r="I910" s="675">
        <f>'PAVER ROAD'!$G$48</f>
        <v>237.21999999999997</v>
      </c>
      <c r="J910" s="667">
        <f t="shared" ref="J910:J916" si="102">I910*D910</f>
        <v>196655.37999999998</v>
      </c>
      <c r="K910" s="667"/>
      <c r="L910" s="667"/>
      <c r="M910" s="667" t="e">
        <f>G910+#REF!+#REF!+#REF!+I910+#REF!+#REF!+#REF!+#REF!+#REF!+#REF!+K910+#REF!+#REF!+#REF!</f>
        <v>#REF!</v>
      </c>
      <c r="N910" s="667" t="e">
        <f t="shared" si="100"/>
        <v>#REF!</v>
      </c>
      <c r="O910" s="665" t="e">
        <f>#REF!+M910</f>
        <v>#REF!</v>
      </c>
      <c r="P910" s="666" t="e">
        <f t="shared" si="101"/>
        <v>#REF!</v>
      </c>
      <c r="Q910" s="672"/>
      <c r="R910" s="668"/>
    </row>
    <row r="911" spans="1:20" s="677" customFormat="1" ht="45" hidden="1" customHeight="1">
      <c r="A911" s="662"/>
      <c r="B911" s="666">
        <f t="shared" si="98"/>
        <v>0</v>
      </c>
      <c r="C911" s="782" t="s">
        <v>1943</v>
      </c>
      <c r="D911" s="783">
        <f>[14]Elec.Data!R3646</f>
        <v>8624.34</v>
      </c>
      <c r="E911" s="780" t="s">
        <v>522</v>
      </c>
      <c r="F911" s="663">
        <f t="shared" si="99"/>
        <v>0</v>
      </c>
      <c r="G911" s="675"/>
      <c r="H911" s="667">
        <f t="shared" si="96"/>
        <v>0</v>
      </c>
      <c r="I911" s="675"/>
      <c r="J911" s="667">
        <f t="shared" si="102"/>
        <v>0</v>
      </c>
      <c r="K911" s="667"/>
      <c r="L911" s="667"/>
      <c r="M911" s="667" t="e">
        <f>G911+#REF!+#REF!+#REF!+I911+#REF!+#REF!+#REF!+#REF!+#REF!+#REF!+K911+#REF!+#REF!+#REF!</f>
        <v>#REF!</v>
      </c>
      <c r="N911" s="667" t="e">
        <f t="shared" si="100"/>
        <v>#REF!</v>
      </c>
      <c r="O911" s="665" t="e">
        <f>#REF!+M911</f>
        <v>#REF!</v>
      </c>
      <c r="P911" s="666" t="e">
        <f t="shared" si="101"/>
        <v>#REF!</v>
      </c>
      <c r="Q911" s="672"/>
      <c r="R911" s="668"/>
      <c r="S911" s="676"/>
      <c r="T911" s="676"/>
    </row>
    <row r="912" spans="1:20" s="677" customFormat="1" ht="111" hidden="1" customHeight="1">
      <c r="A912" s="673">
        <v>21.6</v>
      </c>
      <c r="B912" s="666">
        <f t="shared" si="98"/>
        <v>0</v>
      </c>
      <c r="C912" s="695" t="s">
        <v>1944</v>
      </c>
      <c r="D912" s="675"/>
      <c r="E912" s="674"/>
      <c r="F912" s="663">
        <f t="shared" si="99"/>
        <v>0</v>
      </c>
      <c r="G912" s="675"/>
      <c r="H912" s="667">
        <f t="shared" si="96"/>
        <v>0</v>
      </c>
      <c r="I912" s="675"/>
      <c r="J912" s="667">
        <f t="shared" si="102"/>
        <v>0</v>
      </c>
      <c r="K912" s="667"/>
      <c r="L912" s="667"/>
      <c r="M912" s="667" t="e">
        <f>G912+#REF!+#REF!+#REF!+I912+#REF!+#REF!+#REF!+#REF!+#REF!+#REF!+K912+#REF!+#REF!+#REF!</f>
        <v>#REF!</v>
      </c>
      <c r="N912" s="667" t="e">
        <f t="shared" si="100"/>
        <v>#REF!</v>
      </c>
      <c r="O912" s="665" t="e">
        <f>#REF!+M912</f>
        <v>#REF!</v>
      </c>
      <c r="P912" s="666" t="e">
        <f t="shared" si="101"/>
        <v>#REF!</v>
      </c>
      <c r="Q912" s="672"/>
      <c r="R912" s="668"/>
      <c r="S912" s="676"/>
      <c r="T912" s="676"/>
    </row>
    <row r="913" spans="1:20" s="677" customFormat="1" ht="45" hidden="1" customHeight="1">
      <c r="A913" s="784"/>
      <c r="B913" s="666">
        <f t="shared" si="98"/>
        <v>0</v>
      </c>
      <c r="C913" s="674" t="s">
        <v>1473</v>
      </c>
      <c r="D913" s="675">
        <f>[14]Data!K3950</f>
        <v>2468.8000000000002</v>
      </c>
      <c r="E913" s="674" t="s">
        <v>522</v>
      </c>
      <c r="F913" s="663">
        <f t="shared" si="99"/>
        <v>0</v>
      </c>
      <c r="G913" s="675"/>
      <c r="H913" s="667">
        <f t="shared" si="96"/>
        <v>0</v>
      </c>
      <c r="I913" s="675"/>
      <c r="J913" s="667">
        <f t="shared" si="102"/>
        <v>0</v>
      </c>
      <c r="K913" s="667"/>
      <c r="L913" s="667"/>
      <c r="M913" s="667" t="e">
        <f>G913+#REF!+#REF!+#REF!+I913+#REF!+#REF!+#REF!+#REF!+#REF!+#REF!+K913+#REF!+#REF!+#REF!</f>
        <v>#REF!</v>
      </c>
      <c r="N913" s="667" t="e">
        <f t="shared" si="100"/>
        <v>#REF!</v>
      </c>
      <c r="O913" s="665" t="e">
        <f>#REF!+M913</f>
        <v>#REF!</v>
      </c>
      <c r="P913" s="666" t="e">
        <f t="shared" si="101"/>
        <v>#REF!</v>
      </c>
      <c r="Q913" s="672"/>
      <c r="R913" s="668"/>
      <c r="S913" s="676"/>
      <c r="T913" s="676"/>
    </row>
    <row r="914" spans="1:20" s="677" customFormat="1" ht="45" hidden="1" customHeight="1">
      <c r="A914" s="700"/>
      <c r="B914" s="666">
        <f t="shared" si="98"/>
        <v>0</v>
      </c>
      <c r="C914" s="663" t="s">
        <v>1678</v>
      </c>
      <c r="D914" s="675">
        <f>[14]Data!K3983</f>
        <v>2980.71</v>
      </c>
      <c r="E914" s="674" t="s">
        <v>522</v>
      </c>
      <c r="F914" s="663">
        <f t="shared" si="99"/>
        <v>0</v>
      </c>
      <c r="G914" s="675"/>
      <c r="H914" s="667">
        <f t="shared" si="96"/>
        <v>0</v>
      </c>
      <c r="I914" s="675"/>
      <c r="J914" s="667">
        <f t="shared" si="102"/>
        <v>0</v>
      </c>
      <c r="K914" s="667"/>
      <c r="L914" s="667"/>
      <c r="M914" s="667" t="e">
        <f>G914+#REF!+#REF!+#REF!+I914+#REF!+#REF!+#REF!+#REF!+#REF!+#REF!+K914+#REF!+#REF!+#REF!</f>
        <v>#REF!</v>
      </c>
      <c r="N914" s="667" t="e">
        <f t="shared" si="100"/>
        <v>#REF!</v>
      </c>
      <c r="O914" s="665" t="e">
        <f>#REF!+M914</f>
        <v>#REF!</v>
      </c>
      <c r="P914" s="666" t="e">
        <f t="shared" si="101"/>
        <v>#REF!</v>
      </c>
      <c r="Q914" s="672"/>
      <c r="R914" s="668"/>
      <c r="S914" s="676"/>
      <c r="T914" s="676"/>
    </row>
    <row r="915" spans="1:20" s="677" customFormat="1" ht="45" hidden="1" customHeight="1">
      <c r="A915" s="700"/>
      <c r="B915" s="666">
        <f t="shared" si="98"/>
        <v>0</v>
      </c>
      <c r="C915" s="663" t="s">
        <v>1679</v>
      </c>
      <c r="D915" s="675">
        <f>[14]Data!K3966</f>
        <v>2433.96</v>
      </c>
      <c r="E915" s="674"/>
      <c r="F915" s="663">
        <f t="shared" si="99"/>
        <v>0</v>
      </c>
      <c r="G915" s="675"/>
      <c r="H915" s="667">
        <f t="shared" si="96"/>
        <v>0</v>
      </c>
      <c r="I915" s="675"/>
      <c r="J915" s="667">
        <f t="shared" si="102"/>
        <v>0</v>
      </c>
      <c r="K915" s="667"/>
      <c r="L915" s="667"/>
      <c r="M915" s="667" t="e">
        <f>G915+#REF!+#REF!+#REF!+I915+#REF!+#REF!+#REF!+#REF!+#REF!+#REF!+K915+#REF!+#REF!+#REF!</f>
        <v>#REF!</v>
      </c>
      <c r="N915" s="667" t="e">
        <f t="shared" si="100"/>
        <v>#REF!</v>
      </c>
      <c r="O915" s="665" t="e">
        <f>#REF!+M915</f>
        <v>#REF!</v>
      </c>
      <c r="P915" s="666" t="e">
        <f t="shared" si="101"/>
        <v>#REF!</v>
      </c>
      <c r="Q915" s="672"/>
      <c r="R915" s="668"/>
      <c r="S915" s="676"/>
      <c r="T915" s="676"/>
    </row>
    <row r="916" spans="1:20" s="677" customFormat="1" ht="54.75" hidden="1" customHeight="1">
      <c r="A916" s="700"/>
      <c r="B916" s="666">
        <f t="shared" si="98"/>
        <v>0</v>
      </c>
      <c r="C916" s="663" t="s">
        <v>1475</v>
      </c>
      <c r="D916" s="675">
        <f>[14]Data!K3932</f>
        <v>2489.5700000000002</v>
      </c>
      <c r="E916" s="674" t="s">
        <v>522</v>
      </c>
      <c r="F916" s="663">
        <f t="shared" si="99"/>
        <v>0</v>
      </c>
      <c r="G916" s="660"/>
      <c r="H916" s="667">
        <f t="shared" si="96"/>
        <v>0</v>
      </c>
      <c r="I916" s="675"/>
      <c r="J916" s="667">
        <f t="shared" si="102"/>
        <v>0</v>
      </c>
      <c r="K916" s="667"/>
      <c r="L916" s="667"/>
      <c r="M916" s="667" t="e">
        <f>G916+#REF!+#REF!+#REF!+I916+#REF!+#REF!+#REF!+#REF!+#REF!+#REF!+K916+#REF!+#REF!+#REF!</f>
        <v>#REF!</v>
      </c>
      <c r="N916" s="667" t="e">
        <f t="shared" si="100"/>
        <v>#REF!</v>
      </c>
      <c r="O916" s="665" t="e">
        <f>#REF!+M916</f>
        <v>#REF!</v>
      </c>
      <c r="P916" s="666" t="e">
        <f t="shared" si="101"/>
        <v>#REF!</v>
      </c>
      <c r="Q916" s="672"/>
      <c r="R916" s="668"/>
      <c r="S916" s="676"/>
      <c r="T916" s="676"/>
    </row>
    <row r="917" spans="1:20" s="677" customFormat="1" ht="54.75" hidden="1" customHeight="1">
      <c r="A917" s="700"/>
      <c r="B917" s="666">
        <f t="shared" si="98"/>
        <v>0</v>
      </c>
      <c r="C917" s="663" t="s">
        <v>1945</v>
      </c>
      <c r="D917" s="666">
        <v>134</v>
      </c>
      <c r="E917" s="674" t="s">
        <v>522</v>
      </c>
      <c r="F917" s="663">
        <f t="shared" si="99"/>
        <v>0</v>
      </c>
      <c r="G917" s="660"/>
      <c r="H917" s="667"/>
      <c r="I917" s="675"/>
      <c r="J917" s="667"/>
      <c r="K917" s="667"/>
      <c r="L917" s="667"/>
      <c r="M917" s="667" t="e">
        <f>G917+#REF!+#REF!+#REF!+I917+#REF!+#REF!+#REF!+#REF!+#REF!+#REF!+K917+#REF!+#REF!+#REF!</f>
        <v>#REF!</v>
      </c>
      <c r="N917" s="667" t="e">
        <f t="shared" si="100"/>
        <v>#REF!</v>
      </c>
      <c r="O917" s="665" t="e">
        <f>#REF!+M917</f>
        <v>#REF!</v>
      </c>
      <c r="P917" s="666" t="e">
        <f t="shared" si="101"/>
        <v>#REF!</v>
      </c>
      <c r="Q917" s="672"/>
      <c r="R917" s="668"/>
      <c r="S917" s="676"/>
      <c r="T917" s="676"/>
    </row>
    <row r="918" spans="1:20" s="677" customFormat="1" ht="54.75" hidden="1" customHeight="1">
      <c r="A918" s="700"/>
      <c r="B918" s="666">
        <f t="shared" si="98"/>
        <v>0</v>
      </c>
      <c r="C918" s="663" t="s">
        <v>1946</v>
      </c>
      <c r="D918" s="666">
        <v>170</v>
      </c>
      <c r="E918" s="674" t="s">
        <v>522</v>
      </c>
      <c r="F918" s="663">
        <f t="shared" si="99"/>
        <v>0</v>
      </c>
      <c r="G918" s="660"/>
      <c r="H918" s="667"/>
      <c r="I918" s="675"/>
      <c r="J918" s="667"/>
      <c r="K918" s="667"/>
      <c r="L918" s="667"/>
      <c r="M918" s="667" t="e">
        <f>G918+#REF!+#REF!+#REF!+I918+#REF!+#REF!+#REF!+#REF!+#REF!+#REF!+K918+#REF!+#REF!+#REF!</f>
        <v>#REF!</v>
      </c>
      <c r="N918" s="667" t="e">
        <f t="shared" si="100"/>
        <v>#REF!</v>
      </c>
      <c r="O918" s="665" t="e">
        <f>#REF!+M918</f>
        <v>#REF!</v>
      </c>
      <c r="P918" s="666" t="e">
        <f t="shared" si="101"/>
        <v>#REF!</v>
      </c>
      <c r="Q918" s="672"/>
      <c r="R918" s="668"/>
      <c r="S918" s="676"/>
      <c r="T918" s="676"/>
    </row>
    <row r="919" spans="1:20" s="677" customFormat="1" ht="54.75" hidden="1" customHeight="1">
      <c r="A919" s="700"/>
      <c r="B919" s="666">
        <f t="shared" si="98"/>
        <v>0</v>
      </c>
      <c r="C919" s="663" t="s">
        <v>1947</v>
      </c>
      <c r="D919" s="666">
        <f>[14]Elec.Data!K3787</f>
        <v>663.89</v>
      </c>
      <c r="E919" s="674" t="s">
        <v>522</v>
      </c>
      <c r="F919" s="663">
        <f t="shared" si="99"/>
        <v>0</v>
      </c>
      <c r="G919" s="660"/>
      <c r="H919" s="667"/>
      <c r="I919" s="675"/>
      <c r="J919" s="667"/>
      <c r="K919" s="667"/>
      <c r="L919" s="667"/>
      <c r="M919" s="667" t="e">
        <f>G919+#REF!+#REF!+#REF!+I919+#REF!+#REF!+#REF!+#REF!+#REF!+#REF!+K919+#REF!+#REF!+#REF!</f>
        <v>#REF!</v>
      </c>
      <c r="N919" s="667" t="e">
        <f t="shared" si="100"/>
        <v>#REF!</v>
      </c>
      <c r="O919" s="665" t="e">
        <f>#REF!+M919</f>
        <v>#REF!</v>
      </c>
      <c r="P919" s="666" t="e">
        <f t="shared" si="101"/>
        <v>#REF!</v>
      </c>
      <c r="Q919" s="672"/>
      <c r="R919" s="668"/>
      <c r="S919" s="676"/>
      <c r="T919" s="676"/>
    </row>
    <row r="920" spans="1:20" s="677" customFormat="1" ht="54.75" hidden="1" customHeight="1">
      <c r="A920" s="700"/>
      <c r="B920" s="666">
        <f t="shared" si="98"/>
        <v>0</v>
      </c>
      <c r="C920" s="663" t="s">
        <v>1948</v>
      </c>
      <c r="D920" s="666">
        <v>431</v>
      </c>
      <c r="E920" s="674" t="s">
        <v>522</v>
      </c>
      <c r="F920" s="663">
        <f t="shared" si="99"/>
        <v>0</v>
      </c>
      <c r="G920" s="660"/>
      <c r="H920" s="667"/>
      <c r="I920" s="675"/>
      <c r="J920" s="667"/>
      <c r="K920" s="667"/>
      <c r="L920" s="667"/>
      <c r="M920" s="667" t="e">
        <f>G920+#REF!+#REF!+#REF!+I920+#REF!+#REF!+#REF!+#REF!+#REF!+#REF!+K920+#REF!+#REF!+#REF!</f>
        <v>#REF!</v>
      </c>
      <c r="N920" s="667" t="e">
        <f t="shared" si="100"/>
        <v>#REF!</v>
      </c>
      <c r="O920" s="665" t="e">
        <f>#REF!+M920</f>
        <v>#REF!</v>
      </c>
      <c r="P920" s="666" t="e">
        <f t="shared" si="101"/>
        <v>#REF!</v>
      </c>
      <c r="Q920" s="672"/>
      <c r="R920" s="668"/>
      <c r="S920" s="676"/>
      <c r="T920" s="676"/>
    </row>
    <row r="921" spans="1:20" s="677" customFormat="1" ht="54.75" hidden="1" customHeight="1">
      <c r="A921" s="700"/>
      <c r="B921" s="666">
        <f t="shared" si="98"/>
        <v>0</v>
      </c>
      <c r="C921" s="663" t="s">
        <v>1949</v>
      </c>
      <c r="D921" s="666">
        <f>1182+[14]Elec.Data!K3619</f>
        <v>3274</v>
      </c>
      <c r="E921" s="674" t="s">
        <v>522</v>
      </c>
      <c r="F921" s="663">
        <f t="shared" si="99"/>
        <v>0</v>
      </c>
      <c r="G921" s="660"/>
      <c r="H921" s="667"/>
      <c r="I921" s="675"/>
      <c r="J921" s="667"/>
      <c r="K921" s="667"/>
      <c r="L921" s="667"/>
      <c r="M921" s="667" t="e">
        <f>G921+#REF!+#REF!+#REF!+I921+#REF!+#REF!+#REF!+#REF!+#REF!+#REF!+K921+#REF!+#REF!+#REF!</f>
        <v>#REF!</v>
      </c>
      <c r="N921" s="667" t="e">
        <f t="shared" si="100"/>
        <v>#REF!</v>
      </c>
      <c r="O921" s="665" t="e">
        <f>#REF!+M921</f>
        <v>#REF!</v>
      </c>
      <c r="P921" s="666" t="e">
        <f t="shared" si="101"/>
        <v>#REF!</v>
      </c>
      <c r="Q921" s="672"/>
      <c r="R921" s="668"/>
      <c r="S921" s="676"/>
      <c r="T921" s="676"/>
    </row>
    <row r="922" spans="1:20" s="677" customFormat="1" ht="60.75" hidden="1" customHeight="1">
      <c r="A922" s="700"/>
      <c r="B922" s="666">
        <f t="shared" si="98"/>
        <v>0</v>
      </c>
      <c r="C922" s="663" t="s">
        <v>1950</v>
      </c>
      <c r="D922" s="666">
        <v>5500</v>
      </c>
      <c r="E922" s="674" t="s">
        <v>522</v>
      </c>
      <c r="F922" s="663">
        <f t="shared" si="99"/>
        <v>0</v>
      </c>
      <c r="G922" s="660"/>
      <c r="H922" s="667">
        <f>G922*D922</f>
        <v>0</v>
      </c>
      <c r="I922" s="675"/>
      <c r="J922" s="667">
        <f>I922*D922</f>
        <v>0</v>
      </c>
      <c r="K922" s="667"/>
      <c r="L922" s="667"/>
      <c r="M922" s="667" t="e">
        <f>G922+#REF!+#REF!+#REF!+I922+#REF!+#REF!+#REF!+#REF!+#REF!+#REF!+K922+#REF!+#REF!+#REF!</f>
        <v>#REF!</v>
      </c>
      <c r="N922" s="667" t="e">
        <f t="shared" si="100"/>
        <v>#REF!</v>
      </c>
      <c r="O922" s="665" t="e">
        <f>#REF!+M922</f>
        <v>#REF!</v>
      </c>
      <c r="P922" s="666" t="e">
        <f t="shared" si="101"/>
        <v>#REF!</v>
      </c>
      <c r="Q922" s="672"/>
      <c r="R922" s="668"/>
      <c r="S922" s="676"/>
      <c r="T922" s="676"/>
    </row>
    <row r="923" spans="1:20" s="677" customFormat="1" ht="60.75" hidden="1" customHeight="1">
      <c r="A923" s="700"/>
      <c r="B923" s="666">
        <f t="shared" si="98"/>
        <v>0</v>
      </c>
      <c r="C923" s="663" t="s">
        <v>1951</v>
      </c>
      <c r="D923" s="666">
        <v>5800</v>
      </c>
      <c r="E923" s="674" t="s">
        <v>522</v>
      </c>
      <c r="F923" s="663">
        <f t="shared" si="99"/>
        <v>0</v>
      </c>
      <c r="G923" s="660"/>
      <c r="H923" s="667">
        <f>G923*D923</f>
        <v>0</v>
      </c>
      <c r="I923" s="675"/>
      <c r="J923" s="667">
        <f>I923*D923</f>
        <v>0</v>
      </c>
      <c r="K923" s="667"/>
      <c r="L923" s="667"/>
      <c r="M923" s="667" t="e">
        <f>G923+#REF!+#REF!+#REF!+I923+#REF!+#REF!+#REF!+#REF!+#REF!+#REF!+K923+#REF!+#REF!+#REF!</f>
        <v>#REF!</v>
      </c>
      <c r="N923" s="667" t="e">
        <f t="shared" si="100"/>
        <v>#REF!</v>
      </c>
      <c r="O923" s="665" t="e">
        <f>#REF!+M923</f>
        <v>#REF!</v>
      </c>
      <c r="P923" s="666" t="e">
        <f t="shared" si="101"/>
        <v>#REF!</v>
      </c>
      <c r="Q923" s="672"/>
      <c r="R923" s="668"/>
      <c r="S923" s="676"/>
      <c r="T923" s="676"/>
    </row>
    <row r="924" spans="1:20" s="677" customFormat="1" ht="60.75" hidden="1" customHeight="1">
      <c r="A924" s="700"/>
      <c r="B924" s="666">
        <f t="shared" si="98"/>
        <v>0</v>
      </c>
      <c r="C924" s="663" t="s">
        <v>1952</v>
      </c>
      <c r="D924" s="666">
        <v>1535.1</v>
      </c>
      <c r="E924" s="674" t="s">
        <v>204</v>
      </c>
      <c r="F924" s="663">
        <f t="shared" si="99"/>
        <v>0</v>
      </c>
      <c r="G924" s="660"/>
      <c r="H924" s="667">
        <f>G924*D924</f>
        <v>0</v>
      </c>
      <c r="I924" s="675"/>
      <c r="J924" s="667">
        <f>I924*D924</f>
        <v>0</v>
      </c>
      <c r="K924" s="667"/>
      <c r="L924" s="667"/>
      <c r="M924" s="667" t="e">
        <f>G924+#REF!+#REF!+#REF!+I924+#REF!+#REF!+#REF!+#REF!+#REF!+#REF!+K924+#REF!+#REF!+#REF!</f>
        <v>#REF!</v>
      </c>
      <c r="N924" s="667" t="e">
        <f t="shared" si="100"/>
        <v>#REF!</v>
      </c>
      <c r="O924" s="665" t="e">
        <f>#REF!+M924</f>
        <v>#REF!</v>
      </c>
      <c r="P924" s="666" t="e">
        <f t="shared" si="101"/>
        <v>#REF!</v>
      </c>
      <c r="Q924" s="672"/>
      <c r="R924" s="668"/>
      <c r="S924" s="676"/>
      <c r="T924" s="676"/>
    </row>
    <row r="925" spans="1:20" s="677" customFormat="1" ht="83.25" hidden="1" customHeight="1">
      <c r="A925" s="700"/>
      <c r="B925" s="666">
        <f t="shared" si="98"/>
        <v>0</v>
      </c>
      <c r="C925" s="663" t="s">
        <v>1953</v>
      </c>
      <c r="D925" s="666">
        <v>1938.65</v>
      </c>
      <c r="E925" s="674" t="str">
        <f>E924</f>
        <v>cum</v>
      </c>
      <c r="F925" s="663">
        <f t="shared" si="99"/>
        <v>0</v>
      </c>
      <c r="G925" s="660"/>
      <c r="H925" s="667">
        <f>G925*D925</f>
        <v>0</v>
      </c>
      <c r="I925" s="675"/>
      <c r="J925" s="667">
        <f>I925*D925</f>
        <v>0</v>
      </c>
      <c r="K925" s="667"/>
      <c r="L925" s="667"/>
      <c r="M925" s="667" t="e">
        <f>G925+#REF!+#REF!+#REF!+I925+#REF!+#REF!+#REF!+#REF!+#REF!+#REF!+K925+#REF!+#REF!+#REF!</f>
        <v>#REF!</v>
      </c>
      <c r="N925" s="667" t="e">
        <f t="shared" si="100"/>
        <v>#REF!</v>
      </c>
      <c r="O925" s="665" t="e">
        <f>#REF!+M925</f>
        <v>#REF!</v>
      </c>
      <c r="P925" s="666" t="e">
        <f t="shared" si="101"/>
        <v>#REF!</v>
      </c>
      <c r="Q925" s="672"/>
      <c r="R925" s="668"/>
      <c r="S925" s="676"/>
      <c r="T925" s="676"/>
    </row>
    <row r="926" spans="1:20" s="677" customFormat="1" ht="34.9" hidden="1" customHeight="1">
      <c r="A926" s="700"/>
      <c r="B926" s="666">
        <f t="shared" si="98"/>
        <v>0</v>
      </c>
      <c r="C926" s="785" t="s">
        <v>1954</v>
      </c>
      <c r="D926" s="666"/>
      <c r="E926" s="674"/>
      <c r="F926" s="663">
        <f t="shared" si="99"/>
        <v>0</v>
      </c>
      <c r="G926" s="660"/>
      <c r="H926" s="667"/>
      <c r="I926" s="675"/>
      <c r="J926" s="667"/>
      <c r="K926" s="667"/>
      <c r="L926" s="667"/>
      <c r="M926" s="667" t="e">
        <f>G926+#REF!+#REF!+#REF!+I926+#REF!+#REF!+#REF!+#REF!+#REF!+#REF!+K926+#REF!+#REF!+#REF!</f>
        <v>#REF!</v>
      </c>
      <c r="N926" s="667" t="e">
        <f t="shared" si="100"/>
        <v>#REF!</v>
      </c>
      <c r="O926" s="665" t="e">
        <f>#REF!+M926</f>
        <v>#REF!</v>
      </c>
      <c r="P926" s="666" t="e">
        <f t="shared" si="101"/>
        <v>#REF!</v>
      </c>
      <c r="Q926" s="672"/>
      <c r="R926" s="668"/>
      <c r="S926" s="676"/>
      <c r="T926" s="676"/>
    </row>
    <row r="927" spans="1:20" s="677" customFormat="1" ht="93" hidden="1">
      <c r="A927" s="700">
        <f>Borewell!$A$8</f>
        <v>1</v>
      </c>
      <c r="B927" s="666">
        <f t="shared" si="98"/>
        <v>0</v>
      </c>
      <c r="C927" s="663" t="str">
        <f>Borewell!$B$8</f>
        <v>Drilling of Borewell any where in Tamilnadu including transportation from one place to another with in Tamilnadu in alluvial soil sedimentary strator etc., all complete.</v>
      </c>
      <c r="D927" s="666"/>
      <c r="E927" s="674"/>
      <c r="F927" s="663">
        <f t="shared" si="99"/>
        <v>0</v>
      </c>
      <c r="G927" s="660"/>
      <c r="H927" s="667"/>
      <c r="I927" s="675"/>
      <c r="J927" s="667"/>
      <c r="K927" s="667"/>
      <c r="L927" s="667"/>
      <c r="M927" s="667" t="e">
        <f>G927+#REF!+#REF!+#REF!+I927+#REF!+#REF!+#REF!+#REF!+#REF!+#REF!+K927+#REF!+#REF!+#REF!</f>
        <v>#REF!</v>
      </c>
      <c r="N927" s="667" t="e">
        <f t="shared" si="100"/>
        <v>#REF!</v>
      </c>
      <c r="O927" s="665" t="e">
        <f>#REF!+M927</f>
        <v>#REF!</v>
      </c>
      <c r="P927" s="666" t="e">
        <f t="shared" si="101"/>
        <v>#REF!</v>
      </c>
      <c r="Q927" s="672"/>
      <c r="R927" s="668"/>
      <c r="S927" s="676"/>
      <c r="T927" s="676"/>
    </row>
    <row r="928" spans="1:20" s="677" customFormat="1" ht="45" hidden="1" customHeight="1">
      <c r="A928" s="700"/>
      <c r="B928" s="666">
        <f t="shared" si="98"/>
        <v>0</v>
      </c>
      <c r="C928" s="663" t="str">
        <f>Borewell!$B$9</f>
        <v>a) Up to 60mt. depth ending below ground level.</v>
      </c>
      <c r="D928" s="666">
        <v>1536.1</v>
      </c>
      <c r="E928" s="674" t="str">
        <f>Borewell!$I$10</f>
        <v>Rmt</v>
      </c>
      <c r="F928" s="663">
        <f t="shared" si="99"/>
        <v>0</v>
      </c>
      <c r="G928" s="660"/>
      <c r="H928" s="667"/>
      <c r="I928" s="675"/>
      <c r="J928" s="667"/>
      <c r="K928" s="667"/>
      <c r="L928" s="667"/>
      <c r="M928" s="667" t="e">
        <f>G928+#REF!+#REF!+#REF!+I928+#REF!+#REF!+#REF!+#REF!+#REF!+#REF!+K928+#REF!+#REF!+#REF!</f>
        <v>#REF!</v>
      </c>
      <c r="N928" s="667" t="e">
        <f t="shared" si="100"/>
        <v>#REF!</v>
      </c>
      <c r="O928" s="665" t="e">
        <f>#REF!+M928</f>
        <v>#REF!</v>
      </c>
      <c r="P928" s="666" t="e">
        <f t="shared" si="101"/>
        <v>#REF!</v>
      </c>
      <c r="Q928" s="672"/>
      <c r="R928" s="668"/>
      <c r="S928" s="676"/>
      <c r="T928" s="676"/>
    </row>
    <row r="929" spans="1:20" s="677" customFormat="1" ht="83.25" hidden="1" customHeight="1">
      <c r="A929" s="700"/>
      <c r="B929" s="666">
        <f t="shared" si="98"/>
        <v>0</v>
      </c>
      <c r="C929" s="663" t="str">
        <f>Borewell!$B$12</f>
        <v>b) From 60mt.up to 90mt. depth ending from ground level.</v>
      </c>
      <c r="D929" s="666">
        <v>1663.6</v>
      </c>
      <c r="E929" s="674" t="str">
        <f>Borewell!$I$13</f>
        <v>Rmt</v>
      </c>
      <c r="F929" s="663">
        <f t="shared" si="99"/>
        <v>0</v>
      </c>
      <c r="G929" s="660"/>
      <c r="H929" s="667"/>
      <c r="I929" s="675"/>
      <c r="J929" s="667"/>
      <c r="K929" s="667"/>
      <c r="L929" s="667"/>
      <c r="M929" s="667" t="e">
        <f>G929+#REF!+#REF!+#REF!+I929+#REF!+#REF!+#REF!+#REF!+#REF!+#REF!+K929+#REF!+#REF!+#REF!</f>
        <v>#REF!</v>
      </c>
      <c r="N929" s="667" t="e">
        <f t="shared" si="100"/>
        <v>#REF!</v>
      </c>
      <c r="O929" s="665" t="e">
        <f>#REF!+M929</f>
        <v>#REF!</v>
      </c>
      <c r="P929" s="666" t="e">
        <f t="shared" si="101"/>
        <v>#REF!</v>
      </c>
      <c r="Q929" s="672"/>
      <c r="R929" s="668"/>
      <c r="S929" s="676"/>
      <c r="T929" s="676"/>
    </row>
    <row r="930" spans="1:20" s="677" customFormat="1" ht="83.25" hidden="1" customHeight="1">
      <c r="A930" s="700">
        <f>Borewell!$A$15</f>
        <v>2</v>
      </c>
      <c r="B930" s="666">
        <f t="shared" si="98"/>
        <v>0</v>
      </c>
      <c r="C930" s="663" t="str">
        <f>Borewell!$B$15</f>
        <v>Reaming from 140/150mm dia. pilot bore to 300mm dia. bore as direct by the TNPHC officers.</v>
      </c>
      <c r="D930" s="666"/>
      <c r="E930" s="674"/>
      <c r="F930" s="663">
        <f t="shared" si="99"/>
        <v>0</v>
      </c>
      <c r="G930" s="660"/>
      <c r="H930" s="667"/>
      <c r="I930" s="675"/>
      <c r="J930" s="667"/>
      <c r="K930" s="667"/>
      <c r="L930" s="667"/>
      <c r="M930" s="667" t="e">
        <f>G930+#REF!+#REF!+#REF!+I930+#REF!+#REF!+#REF!+#REF!+#REF!+#REF!+K930+#REF!+#REF!+#REF!</f>
        <v>#REF!</v>
      </c>
      <c r="N930" s="667" t="e">
        <f t="shared" si="100"/>
        <v>#REF!</v>
      </c>
      <c r="O930" s="665" t="e">
        <f>#REF!+M930</f>
        <v>#REF!</v>
      </c>
      <c r="P930" s="666" t="e">
        <f t="shared" si="101"/>
        <v>#REF!</v>
      </c>
      <c r="Q930" s="672"/>
      <c r="R930" s="668"/>
      <c r="S930" s="676"/>
      <c r="T930" s="676"/>
    </row>
    <row r="931" spans="1:20" s="677" customFormat="1" ht="45" hidden="1" customHeight="1">
      <c r="A931" s="700"/>
      <c r="B931" s="666">
        <f t="shared" si="98"/>
        <v>0</v>
      </c>
      <c r="C931" s="663" t="str">
        <f>Borewell!$B$16</f>
        <v>a) Up to 60mt. depth ending below ground level.</v>
      </c>
      <c r="D931" s="666">
        <v>385.7</v>
      </c>
      <c r="E931" s="674" t="str">
        <f>Borewell!$I$17</f>
        <v>Rmt</v>
      </c>
      <c r="F931" s="663">
        <f t="shared" si="99"/>
        <v>0</v>
      </c>
      <c r="G931" s="660"/>
      <c r="H931" s="667"/>
      <c r="I931" s="675"/>
      <c r="J931" s="667"/>
      <c r="K931" s="667"/>
      <c r="L931" s="667"/>
      <c r="M931" s="667" t="e">
        <f>G931+#REF!+#REF!+#REF!+I931+#REF!+#REF!+#REF!+#REF!+#REF!+#REF!+K931+#REF!+#REF!+#REF!</f>
        <v>#REF!</v>
      </c>
      <c r="N931" s="667" t="e">
        <f t="shared" si="100"/>
        <v>#REF!</v>
      </c>
      <c r="O931" s="665" t="e">
        <f>#REF!+M931</f>
        <v>#REF!</v>
      </c>
      <c r="P931" s="666" t="e">
        <f t="shared" si="101"/>
        <v>#REF!</v>
      </c>
      <c r="Q931" s="672"/>
      <c r="R931" s="668"/>
      <c r="S931" s="676"/>
      <c r="T931" s="676"/>
    </row>
    <row r="932" spans="1:20" s="677" customFormat="1" ht="83.25" hidden="1" customHeight="1">
      <c r="A932" s="700"/>
      <c r="B932" s="666">
        <f t="shared" si="98"/>
        <v>0</v>
      </c>
      <c r="C932" s="663" t="str">
        <f>Borewell!$B$19</f>
        <v>b) From 60mt.up to 90mt. depth ending from ground level.</v>
      </c>
      <c r="D932" s="666">
        <v>409.5</v>
      </c>
      <c r="E932" s="674" t="str">
        <f>Borewell!$I$20</f>
        <v>Rmt</v>
      </c>
      <c r="F932" s="663">
        <f t="shared" si="99"/>
        <v>0</v>
      </c>
      <c r="G932" s="660"/>
      <c r="H932" s="667"/>
      <c r="I932" s="675"/>
      <c r="J932" s="667"/>
      <c r="K932" s="667"/>
      <c r="L932" s="667"/>
      <c r="M932" s="667" t="e">
        <f>G932+#REF!+#REF!+#REF!+I932+#REF!+#REF!+#REF!+#REF!+#REF!+#REF!+K932+#REF!+#REF!+#REF!</f>
        <v>#REF!</v>
      </c>
      <c r="N932" s="667" t="e">
        <f t="shared" si="100"/>
        <v>#REF!</v>
      </c>
      <c r="O932" s="665" t="e">
        <f>#REF!+M932</f>
        <v>#REF!</v>
      </c>
      <c r="P932" s="666" t="e">
        <f t="shared" si="101"/>
        <v>#REF!</v>
      </c>
      <c r="Q932" s="672"/>
      <c r="R932" s="668"/>
      <c r="S932" s="676"/>
      <c r="T932" s="676"/>
    </row>
    <row r="933" spans="1:20" s="677" customFormat="1" ht="83.25" hidden="1" customHeight="1">
      <c r="A933" s="700">
        <f>Borewell!$A$22</f>
        <v>3</v>
      </c>
      <c r="B933" s="666">
        <f t="shared" si="98"/>
        <v>0</v>
      </c>
      <c r="C933" s="663" t="str">
        <f>Borewell!$B$22</f>
        <v>Labour charges for inserting 150mm PVC casing pipes assembly in the drilled hole including jointing the pipes etc., all complete.</v>
      </c>
      <c r="D933" s="666">
        <v>346.3</v>
      </c>
      <c r="E933" s="674" t="str">
        <f>Borewell!$I$23</f>
        <v>Rmt</v>
      </c>
      <c r="F933" s="663">
        <f t="shared" si="99"/>
        <v>0</v>
      </c>
      <c r="G933" s="660"/>
      <c r="H933" s="667"/>
      <c r="I933" s="675"/>
      <c r="J933" s="667"/>
      <c r="K933" s="667"/>
      <c r="L933" s="667"/>
      <c r="M933" s="667" t="e">
        <f>G933+#REF!+#REF!+#REF!+I933+#REF!+#REF!+#REF!+#REF!+#REF!+#REF!+K933+#REF!+#REF!+#REF!</f>
        <v>#REF!</v>
      </c>
      <c r="N933" s="667" t="e">
        <f t="shared" si="100"/>
        <v>#REF!</v>
      </c>
      <c r="O933" s="665" t="e">
        <f>#REF!+M933</f>
        <v>#REF!</v>
      </c>
      <c r="P933" s="666" t="e">
        <f t="shared" si="101"/>
        <v>#REF!</v>
      </c>
      <c r="Q933" s="672"/>
      <c r="R933" s="668"/>
      <c r="S933" s="676"/>
      <c r="T933" s="676"/>
    </row>
    <row r="934" spans="1:20" s="677" customFormat="1" ht="83.25" hidden="1" customHeight="1">
      <c r="A934" s="700">
        <f>Borewell!$A$25</f>
        <v>4</v>
      </c>
      <c r="B934" s="666">
        <f t="shared" si="98"/>
        <v>0</v>
      </c>
      <c r="C934" s="663" t="str">
        <f>Borewell!$B$25</f>
        <v>Supplying and delivery of 150mm dia PVC casing pipe wih ribs of PVC casing pipe suitable for medium with in 3m length all complete with ribs (R.S) up to 250m. (7.5 to 8.5mm wall thick)</v>
      </c>
      <c r="D934" s="666">
        <v>969</v>
      </c>
      <c r="E934" s="674" t="str">
        <f>Borewell!$I$26</f>
        <v>Rmt</v>
      </c>
      <c r="F934" s="663">
        <f t="shared" si="99"/>
        <v>0</v>
      </c>
      <c r="G934" s="660"/>
      <c r="H934" s="667"/>
      <c r="I934" s="675"/>
      <c r="J934" s="667"/>
      <c r="K934" s="667"/>
      <c r="L934" s="667"/>
      <c r="M934" s="667" t="e">
        <f>G934+#REF!+#REF!+#REF!+I934+#REF!+#REF!+#REF!+#REF!+#REF!+#REF!+K934+#REF!+#REF!+#REF!</f>
        <v>#REF!</v>
      </c>
      <c r="N934" s="667" t="e">
        <f t="shared" si="100"/>
        <v>#REF!</v>
      </c>
      <c r="O934" s="665" t="e">
        <f>#REF!+M934</f>
        <v>#REF!</v>
      </c>
      <c r="P934" s="666" t="e">
        <f t="shared" si="101"/>
        <v>#REF!</v>
      </c>
      <c r="Q934" s="672"/>
      <c r="R934" s="668"/>
      <c r="S934" s="676"/>
      <c r="T934" s="676"/>
    </row>
    <row r="935" spans="1:20" s="677" customFormat="1" ht="97.15" hidden="1" customHeight="1">
      <c r="A935" s="700">
        <f>Borewell!$A$28</f>
        <v>5</v>
      </c>
      <c r="B935" s="666">
        <f t="shared" si="98"/>
        <v>0</v>
      </c>
      <c r="C935" s="663" t="str">
        <f>Borewell!$B$28</f>
        <v>Supplying and delivery of 150mm dia PVC casing pipe PVC plain casing pipe suitable for medium with in 3m length etc., Casing medium above 80m.(7.5mm to 8.5mm wall thick.</v>
      </c>
      <c r="D935" s="666">
        <v>807</v>
      </c>
      <c r="E935" s="674" t="str">
        <f>Borewell!$I$29</f>
        <v>Rmt</v>
      </c>
      <c r="F935" s="663">
        <f t="shared" si="99"/>
        <v>0</v>
      </c>
      <c r="G935" s="660"/>
      <c r="H935" s="667"/>
      <c r="I935" s="675"/>
      <c r="J935" s="667"/>
      <c r="K935" s="667"/>
      <c r="L935" s="667"/>
      <c r="M935" s="667" t="e">
        <f>G935+#REF!+#REF!+#REF!+I935+#REF!+#REF!+#REF!+#REF!+#REF!+#REF!+K935+#REF!+#REF!+#REF!</f>
        <v>#REF!</v>
      </c>
      <c r="N935" s="667" t="e">
        <f t="shared" si="100"/>
        <v>#REF!</v>
      </c>
      <c r="O935" s="665" t="e">
        <f>#REF!+M935</f>
        <v>#REF!</v>
      </c>
      <c r="P935" s="666" t="e">
        <f t="shared" si="101"/>
        <v>#REF!</v>
      </c>
      <c r="Q935" s="672"/>
      <c r="R935" s="668"/>
      <c r="S935" s="676"/>
      <c r="T935" s="676"/>
    </row>
    <row r="936" spans="1:20" s="677" customFormat="1" ht="83.25" hidden="1" customHeight="1">
      <c r="A936" s="700">
        <f>Borewell!$A$31</f>
        <v>6</v>
      </c>
      <c r="B936" s="666">
        <f t="shared" si="98"/>
        <v>0</v>
      </c>
      <c r="C936" s="663" t="str">
        <f>Borewell!$B$31</f>
        <v>Charges for developing of bore well with air compressor of 600 CFM capacity (minimum 8 hours) including etc., all complete for existing bore.</v>
      </c>
      <c r="D936" s="666">
        <v>2263.9</v>
      </c>
      <c r="E936" s="674" t="str">
        <f>Borewell!$I$32</f>
        <v>Hrs.</v>
      </c>
      <c r="F936" s="663">
        <f t="shared" si="99"/>
        <v>0</v>
      </c>
      <c r="G936" s="660"/>
      <c r="H936" s="667"/>
      <c r="I936" s="675"/>
      <c r="J936" s="667"/>
      <c r="K936" s="667"/>
      <c r="L936" s="667"/>
      <c r="M936" s="667" t="e">
        <f>G936+#REF!+#REF!+#REF!+I936+#REF!+#REF!+#REF!+#REF!+#REF!+#REF!+K936+#REF!+#REF!+#REF!</f>
        <v>#REF!</v>
      </c>
      <c r="N936" s="667" t="e">
        <f t="shared" si="100"/>
        <v>#REF!</v>
      </c>
      <c r="O936" s="665" t="e">
        <f>#REF!+M936</f>
        <v>#REF!</v>
      </c>
      <c r="P936" s="666" t="e">
        <f t="shared" si="101"/>
        <v>#REF!</v>
      </c>
      <c r="Q936" s="672"/>
      <c r="R936" s="668"/>
      <c r="S936" s="676"/>
      <c r="T936" s="676"/>
    </row>
    <row r="937" spans="1:20" s="677" customFormat="1" ht="83.25" hidden="1" customHeight="1">
      <c r="A937" s="700">
        <f>Borewell!$A$34</f>
        <v>7</v>
      </c>
      <c r="B937" s="666">
        <f t="shared" si="98"/>
        <v>0</v>
      </c>
      <c r="C937" s="663" t="str">
        <f>Borewell!$B$34</f>
        <v>Supply and delivery of PVC end cap suitable for 150 PVC casing pipe of approved quality etc., all complete.</v>
      </c>
      <c r="D937" s="666">
        <v>105</v>
      </c>
      <c r="E937" s="674" t="str">
        <f>Borewell!$I$35</f>
        <v>No</v>
      </c>
      <c r="F937" s="663">
        <f t="shared" si="99"/>
        <v>0</v>
      </c>
      <c r="G937" s="660"/>
      <c r="H937" s="667"/>
      <c r="I937" s="675"/>
      <c r="J937" s="667"/>
      <c r="K937" s="667"/>
      <c r="L937" s="667"/>
      <c r="M937" s="667" t="e">
        <f>G937+#REF!+#REF!+#REF!+I937+#REF!+#REF!+#REF!+#REF!+#REF!+#REF!+K937+#REF!+#REF!+#REF!</f>
        <v>#REF!</v>
      </c>
      <c r="N937" s="667" t="e">
        <f t="shared" si="100"/>
        <v>#REF!</v>
      </c>
      <c r="O937" s="665" t="e">
        <f>#REF!+M937</f>
        <v>#REF!</v>
      </c>
      <c r="P937" s="666" t="e">
        <f t="shared" si="101"/>
        <v>#REF!</v>
      </c>
      <c r="Q937" s="672"/>
      <c r="R937" s="668"/>
      <c r="S937" s="676"/>
      <c r="T937" s="676"/>
    </row>
    <row r="938" spans="1:20" s="677" customFormat="1" ht="83.25" hidden="1" customHeight="1">
      <c r="A938" s="700">
        <f>Borewell!$A$37</f>
        <v>8</v>
      </c>
      <c r="B938" s="666">
        <f t="shared" si="98"/>
        <v>0</v>
      </c>
      <c r="C938" s="663" t="str">
        <f>Borewell!$B$37</f>
        <v>Supplying and fixing of MS bore well clamp set etc., all complete.</v>
      </c>
      <c r="D938" s="666">
        <v>937</v>
      </c>
      <c r="E938" s="674" t="str">
        <f>Borewell!$I$38</f>
        <v>No</v>
      </c>
      <c r="F938" s="663">
        <f t="shared" si="99"/>
        <v>0</v>
      </c>
      <c r="G938" s="660"/>
      <c r="H938" s="667"/>
      <c r="I938" s="675"/>
      <c r="J938" s="667"/>
      <c r="K938" s="667"/>
      <c r="L938" s="667"/>
      <c r="M938" s="667" t="e">
        <f>G938+#REF!+#REF!+#REF!+I938+#REF!+#REF!+#REF!+#REF!+#REF!+#REF!+K938+#REF!+#REF!+#REF!</f>
        <v>#REF!</v>
      </c>
      <c r="N938" s="667" t="e">
        <f t="shared" si="100"/>
        <v>#REF!</v>
      </c>
      <c r="O938" s="665" t="e">
        <f>#REF!+M938</f>
        <v>#REF!</v>
      </c>
      <c r="P938" s="666" t="e">
        <f t="shared" si="101"/>
        <v>#REF!</v>
      </c>
      <c r="Q938" s="672"/>
      <c r="R938" s="668"/>
      <c r="S938" s="676"/>
      <c r="T938" s="676"/>
    </row>
    <row r="939" spans="1:20" s="677" customFormat="1" ht="34.9" hidden="1" customHeight="1">
      <c r="A939" s="700"/>
      <c r="B939" s="666">
        <f t="shared" si="98"/>
        <v>0</v>
      </c>
      <c r="C939" s="785" t="s">
        <v>1955</v>
      </c>
      <c r="D939" s="666"/>
      <c r="E939" s="674"/>
      <c r="F939" s="663">
        <f t="shared" si="99"/>
        <v>0</v>
      </c>
      <c r="G939" s="660"/>
      <c r="H939" s="667"/>
      <c r="I939" s="675"/>
      <c r="J939" s="667"/>
      <c r="K939" s="667"/>
      <c r="L939" s="667"/>
      <c r="M939" s="667" t="e">
        <f>G939+#REF!+#REF!+#REF!+I939+#REF!+#REF!+#REF!+#REF!+#REF!+#REF!+K939+#REF!+#REF!+#REF!</f>
        <v>#REF!</v>
      </c>
      <c r="N939" s="667" t="e">
        <f t="shared" si="100"/>
        <v>#REF!</v>
      </c>
      <c r="O939" s="665" t="e">
        <f>#REF!+M939</f>
        <v>#REF!</v>
      </c>
      <c r="P939" s="666" t="e">
        <f t="shared" si="101"/>
        <v>#REF!</v>
      </c>
      <c r="Q939" s="672"/>
      <c r="R939" s="668"/>
      <c r="S939" s="676"/>
      <c r="T939" s="676"/>
    </row>
    <row r="940" spans="1:20" s="677" customFormat="1" ht="60" hidden="1" customHeight="1">
      <c r="A940" s="700">
        <f>'Ext. WS'!$A$7</f>
        <v>1</v>
      </c>
      <c r="B940" s="666">
        <f t="shared" si="98"/>
        <v>0</v>
      </c>
      <c r="C940" s="663" t="str">
        <f>'Ext. WS'!$B$7</f>
        <v xml:space="preserve">Supplying and delivery of single phase 2.0 HP submersible pumpset etc.,all complete </v>
      </c>
      <c r="D940" s="666">
        <v>22539</v>
      </c>
      <c r="E940" s="674" t="str">
        <f>'Ext. WS'!$H$11</f>
        <v>Nos.</v>
      </c>
      <c r="F940" s="663">
        <f t="shared" si="99"/>
        <v>0</v>
      </c>
      <c r="G940" s="660"/>
      <c r="H940" s="667"/>
      <c r="I940" s="675"/>
      <c r="J940" s="667"/>
      <c r="K940" s="667">
        <f>'Ext. WS'!$G$11</f>
        <v>2</v>
      </c>
      <c r="L940" s="667">
        <f t="shared" ref="L940:L976" si="103">K940*D940</f>
        <v>45078</v>
      </c>
      <c r="M940" s="667" t="e">
        <f>G940+#REF!+#REF!+#REF!+I940+#REF!+#REF!+#REF!+#REF!+#REF!+#REF!+K940+#REF!+#REF!+#REF!</f>
        <v>#REF!</v>
      </c>
      <c r="N940" s="667" t="e">
        <f t="shared" si="100"/>
        <v>#REF!</v>
      </c>
      <c r="O940" s="665" t="e">
        <f>#REF!+M940</f>
        <v>#REF!</v>
      </c>
      <c r="P940" s="666" t="e">
        <f t="shared" si="101"/>
        <v>#REF!</v>
      </c>
      <c r="Q940" s="672"/>
      <c r="R940" s="668"/>
      <c r="S940" s="676"/>
      <c r="T940" s="676"/>
    </row>
    <row r="941" spans="1:20" s="677" customFormat="1" ht="83.25" hidden="1" customHeight="1">
      <c r="A941" s="700">
        <f>'Ext. WS'!$A$12</f>
        <v>2</v>
      </c>
      <c r="B941" s="666">
        <f t="shared" si="98"/>
        <v>0</v>
      </c>
      <c r="C941" s="663" t="str">
        <f>'Ext. WS'!$B$12</f>
        <v>Supplying and delivery of wall mount type Control panel board for single phase 2.0 HP openwell submersible pumpset etc.,all complete</v>
      </c>
      <c r="D941" s="666">
        <v>7105</v>
      </c>
      <c r="E941" s="674" t="str">
        <f>'Ext. WS'!$H$14</f>
        <v>Nos.</v>
      </c>
      <c r="F941" s="663">
        <f t="shared" si="99"/>
        <v>0</v>
      </c>
      <c r="G941" s="660"/>
      <c r="H941" s="667"/>
      <c r="I941" s="675"/>
      <c r="J941" s="667"/>
      <c r="K941" s="667">
        <f>'Ext. WS'!$G$14</f>
        <v>2</v>
      </c>
      <c r="L941" s="667">
        <f t="shared" si="103"/>
        <v>14210</v>
      </c>
      <c r="M941" s="667" t="e">
        <f>G941+#REF!+#REF!+#REF!+I941+#REF!+#REF!+#REF!+#REF!+#REF!+#REF!+K941+#REF!+#REF!+#REF!</f>
        <v>#REF!</v>
      </c>
      <c r="N941" s="667" t="e">
        <f t="shared" si="100"/>
        <v>#REF!</v>
      </c>
      <c r="O941" s="665" t="e">
        <f>#REF!+M941</f>
        <v>#REF!</v>
      </c>
      <c r="P941" s="666" t="e">
        <f t="shared" si="101"/>
        <v>#REF!</v>
      </c>
      <c r="Q941" s="672"/>
      <c r="R941" s="668"/>
      <c r="S941" s="676"/>
      <c r="T941" s="676"/>
    </row>
    <row r="942" spans="1:20" s="677" customFormat="1" ht="83.25" hidden="1" customHeight="1">
      <c r="A942" s="700">
        <f>'Ext. WS'!$A$15</f>
        <v>3</v>
      </c>
      <c r="B942" s="666">
        <f t="shared" si="98"/>
        <v>0</v>
      </c>
      <c r="C942" s="663" t="str">
        <f>'Ext. WS'!$B$15</f>
        <v>Supplying and delivery of wall mount type Control panel board for single phase 2.0 HP submersible pumpset etc.,all complete</v>
      </c>
      <c r="D942" s="666">
        <v>7105</v>
      </c>
      <c r="E942" s="674" t="str">
        <f>'Ext. WS'!$H$17</f>
        <v>Nos.</v>
      </c>
      <c r="F942" s="663">
        <f t="shared" si="99"/>
        <v>0</v>
      </c>
      <c r="G942" s="660"/>
      <c r="H942" s="667"/>
      <c r="I942" s="675"/>
      <c r="J942" s="667"/>
      <c r="K942" s="667">
        <f>'Ext. WS'!$G$17</f>
        <v>1</v>
      </c>
      <c r="L942" s="667">
        <f t="shared" si="103"/>
        <v>7105</v>
      </c>
      <c r="M942" s="667" t="e">
        <f>G942+#REF!+#REF!+#REF!+I942+#REF!+#REF!+#REF!+#REF!+#REF!+#REF!+K942+#REF!+#REF!+#REF!</f>
        <v>#REF!</v>
      </c>
      <c r="N942" s="667" t="e">
        <f t="shared" si="100"/>
        <v>#REF!</v>
      </c>
      <c r="O942" s="665" t="e">
        <f>#REF!+M942</f>
        <v>#REF!</v>
      </c>
      <c r="P942" s="666" t="e">
        <f t="shared" si="101"/>
        <v>#REF!</v>
      </c>
      <c r="Q942" s="672"/>
      <c r="R942" s="668"/>
      <c r="S942" s="676"/>
      <c r="T942" s="676"/>
    </row>
    <row r="943" spans="1:20" s="677" customFormat="1" ht="60" hidden="1" customHeight="1">
      <c r="A943" s="700" t="e">
        <f>'Ext. WS'!#REF!</f>
        <v>#REF!</v>
      </c>
      <c r="B943" s="666">
        <f t="shared" si="98"/>
        <v>0</v>
      </c>
      <c r="C943" s="663" t="e">
        <f>'Ext. WS'!#REF!</f>
        <v>#REF!</v>
      </c>
      <c r="D943" s="666">
        <v>7391.8</v>
      </c>
      <c r="E943" s="674" t="e">
        <f>'Ext. WS'!#REF!</f>
        <v>#REF!</v>
      </c>
      <c r="F943" s="663">
        <f t="shared" si="99"/>
        <v>0</v>
      </c>
      <c r="G943" s="660"/>
      <c r="H943" s="667"/>
      <c r="I943" s="675"/>
      <c r="J943" s="667"/>
      <c r="K943" s="667" t="e">
        <f>'Ext. WS'!#REF!</f>
        <v>#REF!</v>
      </c>
      <c r="L943" s="667" t="e">
        <f t="shared" si="103"/>
        <v>#REF!</v>
      </c>
      <c r="M943" s="667" t="e">
        <f>G943+#REF!+#REF!+#REF!+I943+#REF!+#REF!+#REF!+#REF!+#REF!+#REF!+K943+#REF!+#REF!+#REF!</f>
        <v>#REF!</v>
      </c>
      <c r="N943" s="667" t="e">
        <f t="shared" si="100"/>
        <v>#REF!</v>
      </c>
      <c r="O943" s="665" t="e">
        <f>#REF!+M943</f>
        <v>#REF!</v>
      </c>
      <c r="P943" s="666" t="e">
        <f t="shared" si="101"/>
        <v>#REF!</v>
      </c>
      <c r="Q943" s="672"/>
      <c r="R943" s="668"/>
      <c r="S943" s="676"/>
      <c r="T943" s="676"/>
    </row>
    <row r="944" spans="1:20" s="677" customFormat="1" ht="60" hidden="1" customHeight="1">
      <c r="A944" s="700">
        <f>'Ext. WS'!$A$18</f>
        <v>4</v>
      </c>
      <c r="B944" s="666">
        <f t="shared" si="98"/>
        <v>0</v>
      </c>
      <c r="C944" s="663" t="str">
        <f>'Ext. WS'!$B$18</f>
        <v>Labour charges for erection of submersible pumpset etc., all complete</v>
      </c>
      <c r="D944" s="666">
        <v>10051.1</v>
      </c>
      <c r="E944" s="674" t="str">
        <f>'Ext. WS'!$H$20</f>
        <v>No.</v>
      </c>
      <c r="F944" s="663">
        <f t="shared" si="99"/>
        <v>0</v>
      </c>
      <c r="G944" s="660"/>
      <c r="H944" s="667"/>
      <c r="I944" s="675"/>
      <c r="J944" s="667"/>
      <c r="K944" s="667">
        <f>'Ext. WS'!$G$20</f>
        <v>1</v>
      </c>
      <c r="L944" s="667">
        <f t="shared" si="103"/>
        <v>10051.1</v>
      </c>
      <c r="M944" s="667" t="e">
        <f>G944+#REF!+#REF!+#REF!+I944+#REF!+#REF!+#REF!+#REF!+#REF!+#REF!+K944+#REF!+#REF!+#REF!</f>
        <v>#REF!</v>
      </c>
      <c r="N944" s="667" t="e">
        <f t="shared" si="100"/>
        <v>#REF!</v>
      </c>
      <c r="O944" s="665" t="e">
        <f>#REF!+M944</f>
        <v>#REF!</v>
      </c>
      <c r="P944" s="666" t="e">
        <f t="shared" si="101"/>
        <v>#REF!</v>
      </c>
      <c r="Q944" s="672"/>
      <c r="R944" s="668"/>
      <c r="S944" s="676"/>
      <c r="T944" s="676"/>
    </row>
    <row r="945" spans="1:20" s="677" customFormat="1" ht="60" hidden="1" customHeight="1">
      <c r="A945" s="700">
        <f>'Ext. WS'!$A$21</f>
        <v>5</v>
      </c>
      <c r="B945" s="666">
        <f t="shared" si="98"/>
        <v>0</v>
      </c>
      <c r="C945" s="663" t="str">
        <f>'Ext. WS'!$B$21</f>
        <v>Supply of 3 core 4 sqmm PVC insulated flat cable for submersible pumpset etc.,all complete</v>
      </c>
      <c r="D945" s="666">
        <v>161</v>
      </c>
      <c r="E945" s="674" t="str">
        <f>'Ext. WS'!$H$24</f>
        <v>Rmt</v>
      </c>
      <c r="F945" s="663">
        <f t="shared" si="99"/>
        <v>0</v>
      </c>
      <c r="G945" s="660"/>
      <c r="H945" s="667"/>
      <c r="I945" s="675"/>
      <c r="J945" s="667"/>
      <c r="K945" s="667">
        <f>'Ext. WS'!$G$24</f>
        <v>190</v>
      </c>
      <c r="L945" s="667">
        <f t="shared" si="103"/>
        <v>30590</v>
      </c>
      <c r="M945" s="667" t="e">
        <f>G945+#REF!+#REF!+#REF!+I945+#REF!+#REF!+#REF!+#REF!+#REF!+#REF!+K945+#REF!+#REF!+#REF!</f>
        <v>#REF!</v>
      </c>
      <c r="N945" s="667" t="e">
        <f t="shared" si="100"/>
        <v>#REF!</v>
      </c>
      <c r="O945" s="665" t="e">
        <f>#REF!+M945</f>
        <v>#REF!</v>
      </c>
      <c r="P945" s="666" t="e">
        <f t="shared" si="101"/>
        <v>#REF!</v>
      </c>
      <c r="Q945" s="672"/>
      <c r="R945" s="668"/>
      <c r="S945" s="676"/>
      <c r="T945" s="676"/>
    </row>
    <row r="946" spans="1:20" s="677" customFormat="1" ht="60" hidden="1" customHeight="1">
      <c r="A946" s="700">
        <f>'Ext. WS'!$A$25</f>
        <v>8</v>
      </c>
      <c r="B946" s="666">
        <f t="shared" si="98"/>
        <v>0</v>
      </c>
      <c r="C946" s="663" t="str">
        <f>'Ext. WS'!$B$25</f>
        <v>Supplying of 14mm dia. of Nylon rope etc., all complete.</v>
      </c>
      <c r="D946" s="666">
        <v>60</v>
      </c>
      <c r="E946" s="674" t="str">
        <f>'Ext. WS'!$H$27</f>
        <v>Rmt</v>
      </c>
      <c r="F946" s="663">
        <f t="shared" si="99"/>
        <v>0</v>
      </c>
      <c r="G946" s="660"/>
      <c r="H946" s="667"/>
      <c r="I946" s="675"/>
      <c r="J946" s="667"/>
      <c r="K946" s="667">
        <f>'Ext. WS'!$G$27</f>
        <v>180</v>
      </c>
      <c r="L946" s="667">
        <f t="shared" si="103"/>
        <v>10800</v>
      </c>
      <c r="M946" s="667" t="e">
        <f>G946+#REF!+#REF!+#REF!+I946+#REF!+#REF!+#REF!+#REF!+#REF!+#REF!+K946+#REF!+#REF!+#REF!</f>
        <v>#REF!</v>
      </c>
      <c r="N946" s="667" t="e">
        <f t="shared" si="100"/>
        <v>#REF!</v>
      </c>
      <c r="O946" s="665" t="e">
        <f>#REF!+M946</f>
        <v>#REF!</v>
      </c>
      <c r="P946" s="666" t="e">
        <f t="shared" si="101"/>
        <v>#REF!</v>
      </c>
      <c r="Q946" s="672"/>
      <c r="R946" s="668"/>
      <c r="S946" s="676"/>
      <c r="T946" s="676"/>
    </row>
    <row r="947" spans="1:20" s="677" customFormat="1" ht="60" hidden="1" customHeight="1">
      <c r="A947" s="700">
        <f>'Ext. WS'!$A$28</f>
        <v>9</v>
      </c>
      <c r="B947" s="666">
        <f t="shared" si="98"/>
        <v>0</v>
      </c>
      <c r="C947" s="663" t="str">
        <f>'Ext. WS'!$B$28</f>
        <v>Supplying and laying of the 32mm UPVC pipe etc., all complete. (Below Ground Level)</v>
      </c>
      <c r="D947" s="666">
        <f>114.8+26.41+190.79+17.4</f>
        <v>349.4</v>
      </c>
      <c r="E947" s="674" t="str">
        <f>'Ext. WS'!$H$30</f>
        <v>Rmt</v>
      </c>
      <c r="F947" s="663">
        <f t="shared" si="99"/>
        <v>0</v>
      </c>
      <c r="G947" s="660"/>
      <c r="H947" s="667"/>
      <c r="I947" s="675"/>
      <c r="J947" s="667"/>
      <c r="K947" s="667">
        <f>'Ext. WS'!$G$30</f>
        <v>170</v>
      </c>
      <c r="L947" s="667">
        <f t="shared" si="103"/>
        <v>59397.999999999993</v>
      </c>
      <c r="M947" s="667" t="e">
        <f>G947+#REF!+#REF!+#REF!+I947+#REF!+#REF!+#REF!+#REF!+#REF!+#REF!+K947+#REF!+#REF!+#REF!</f>
        <v>#REF!</v>
      </c>
      <c r="N947" s="667" t="e">
        <f t="shared" si="100"/>
        <v>#REF!</v>
      </c>
      <c r="O947" s="665" t="e">
        <f>#REF!+M947</f>
        <v>#REF!</v>
      </c>
      <c r="P947" s="666" t="e">
        <f t="shared" si="101"/>
        <v>#REF!</v>
      </c>
      <c r="Q947" s="672"/>
      <c r="R947" s="668"/>
      <c r="S947" s="676"/>
      <c r="T947" s="676"/>
    </row>
    <row r="948" spans="1:20" s="677" customFormat="1" ht="45" hidden="1" customHeight="1">
      <c r="A948" s="700">
        <f>'Ext. WS'!$A$31</f>
        <v>10</v>
      </c>
      <c r="B948" s="666">
        <f t="shared" si="98"/>
        <v>0</v>
      </c>
      <c r="C948" s="663" t="str">
        <f>'Ext. WS'!$B$31</f>
        <v>Supplying of 32mm dia. Cast Iron Adopter</v>
      </c>
      <c r="D948" s="666">
        <v>600</v>
      </c>
      <c r="E948" s="674" t="str">
        <f>'Ext. WS'!$H$33</f>
        <v>No.</v>
      </c>
      <c r="F948" s="663">
        <f t="shared" si="99"/>
        <v>0</v>
      </c>
      <c r="G948" s="660"/>
      <c r="H948" s="667"/>
      <c r="I948" s="675"/>
      <c r="J948" s="667"/>
      <c r="K948" s="667">
        <f>'Ext. WS'!$G$33</f>
        <v>1</v>
      </c>
      <c r="L948" s="667">
        <f t="shared" si="103"/>
        <v>600</v>
      </c>
      <c r="M948" s="667" t="e">
        <f>G948+#REF!+#REF!+#REF!+I948+#REF!+#REF!+#REF!+#REF!+#REF!+#REF!+K948+#REF!+#REF!+#REF!</f>
        <v>#REF!</v>
      </c>
      <c r="N948" s="667" t="e">
        <f t="shared" si="100"/>
        <v>#REF!</v>
      </c>
      <c r="O948" s="665" t="e">
        <f>#REF!+M948</f>
        <v>#REF!</v>
      </c>
      <c r="P948" s="666" t="e">
        <f t="shared" si="101"/>
        <v>#REF!</v>
      </c>
      <c r="Q948" s="672"/>
      <c r="R948" s="668"/>
      <c r="S948" s="676"/>
      <c r="T948" s="676"/>
    </row>
    <row r="949" spans="1:20" s="677" customFormat="1" ht="60" hidden="1" customHeight="1">
      <c r="A949" s="700">
        <f>'Ext. WS'!$A$34</f>
        <v>11</v>
      </c>
      <c r="B949" s="666">
        <f t="shared" si="98"/>
        <v>0</v>
      </c>
      <c r="C949" s="663" t="str">
        <f>'Ext. WS'!$B$34</f>
        <v>Supplying and delivery of following dia. PVC and GI Pipes</v>
      </c>
      <c r="D949" s="666"/>
      <c r="E949" s="674"/>
      <c r="F949" s="663">
        <f t="shared" si="99"/>
        <v>0</v>
      </c>
      <c r="G949" s="660"/>
      <c r="H949" s="667"/>
      <c r="I949" s="675"/>
      <c r="J949" s="667"/>
      <c r="K949" s="667"/>
      <c r="L949" s="667">
        <f t="shared" si="103"/>
        <v>0</v>
      </c>
      <c r="M949" s="667" t="e">
        <f>G949+#REF!+#REF!+#REF!+I949+#REF!+#REF!+#REF!+#REF!+#REF!+#REF!+K949+#REF!+#REF!+#REF!</f>
        <v>#REF!</v>
      </c>
      <c r="N949" s="667" t="e">
        <f t="shared" si="100"/>
        <v>#REF!</v>
      </c>
      <c r="O949" s="665" t="e">
        <f>#REF!+M949</f>
        <v>#REF!</v>
      </c>
      <c r="P949" s="666" t="e">
        <f t="shared" si="101"/>
        <v>#REF!</v>
      </c>
      <c r="Q949" s="672"/>
      <c r="R949" s="668"/>
      <c r="S949" s="676"/>
      <c r="T949" s="676"/>
    </row>
    <row r="950" spans="1:20" s="677" customFormat="1" ht="45" hidden="1" customHeight="1">
      <c r="A950" s="700"/>
      <c r="B950" s="666">
        <f t="shared" si="98"/>
        <v>0</v>
      </c>
      <c r="C950" s="663" t="e">
        <f>'Ext. WS'!#REF!</f>
        <v>#REF!</v>
      </c>
      <c r="D950" s="666">
        <v>96.6</v>
      </c>
      <c r="E950" s="674" t="e">
        <f>'Ext. WS'!#REF!</f>
        <v>#REF!</v>
      </c>
      <c r="F950" s="663">
        <f t="shared" si="99"/>
        <v>0</v>
      </c>
      <c r="G950" s="660"/>
      <c r="H950" s="667"/>
      <c r="I950" s="675"/>
      <c r="J950" s="667"/>
      <c r="K950" s="667" t="e">
        <f>'Ext. WS'!#REF!</f>
        <v>#REF!</v>
      </c>
      <c r="L950" s="667" t="e">
        <f t="shared" si="103"/>
        <v>#REF!</v>
      </c>
      <c r="M950" s="667" t="e">
        <f>G950+#REF!+#REF!+#REF!+I950+#REF!+#REF!+#REF!+#REF!+#REF!+#REF!+K950+#REF!+#REF!+#REF!</f>
        <v>#REF!</v>
      </c>
      <c r="N950" s="667" t="e">
        <f t="shared" si="100"/>
        <v>#REF!</v>
      </c>
      <c r="O950" s="665" t="e">
        <f>#REF!+M950</f>
        <v>#REF!</v>
      </c>
      <c r="P950" s="666" t="e">
        <f t="shared" si="101"/>
        <v>#REF!</v>
      </c>
      <c r="Q950" s="672"/>
      <c r="R950" s="668"/>
      <c r="S950" s="676"/>
      <c r="T950" s="676"/>
    </row>
    <row r="951" spans="1:20" s="677" customFormat="1" ht="45" hidden="1" customHeight="1">
      <c r="A951" s="700"/>
      <c r="B951" s="666">
        <f t="shared" si="98"/>
        <v>0</v>
      </c>
      <c r="C951" s="663" t="str">
        <f>'Ext. WS'!$B$35</f>
        <v>b) 32mm dia. G.I pipe (B class)</v>
      </c>
      <c r="D951" s="666">
        <v>151.4</v>
      </c>
      <c r="E951" s="674" t="str">
        <f>'Ext. WS'!$H$37</f>
        <v>Rmt</v>
      </c>
      <c r="F951" s="663">
        <f t="shared" si="99"/>
        <v>0</v>
      </c>
      <c r="G951" s="660"/>
      <c r="H951" s="667"/>
      <c r="I951" s="675"/>
      <c r="J951" s="667"/>
      <c r="K951" s="667">
        <f>'Ext. WS'!$G$37</f>
        <v>3</v>
      </c>
      <c r="L951" s="667">
        <f t="shared" si="103"/>
        <v>454.20000000000005</v>
      </c>
      <c r="M951" s="667" t="e">
        <f>G951+#REF!+#REF!+#REF!+I951+#REF!+#REF!+#REF!+#REF!+#REF!+#REF!+K951+#REF!+#REF!+#REF!</f>
        <v>#REF!</v>
      </c>
      <c r="N951" s="667" t="e">
        <f t="shared" si="100"/>
        <v>#REF!</v>
      </c>
      <c r="O951" s="665" t="e">
        <f>#REF!+M951</f>
        <v>#REF!</v>
      </c>
      <c r="P951" s="666" t="e">
        <f t="shared" si="101"/>
        <v>#REF!</v>
      </c>
      <c r="Q951" s="672"/>
      <c r="R951" s="668"/>
      <c r="S951" s="676"/>
      <c r="T951" s="676"/>
    </row>
    <row r="952" spans="1:20" s="677" customFormat="1" ht="45" hidden="1" customHeight="1">
      <c r="A952" s="700"/>
      <c r="B952" s="666">
        <f t="shared" si="98"/>
        <v>0</v>
      </c>
      <c r="C952" s="663" t="e">
        <f>'Ext. WS'!#REF!</f>
        <v>#REF!</v>
      </c>
      <c r="D952" s="666">
        <v>163</v>
      </c>
      <c r="E952" s="674" t="e">
        <f>'Ext. WS'!#REF!</f>
        <v>#REF!</v>
      </c>
      <c r="F952" s="663">
        <f t="shared" si="99"/>
        <v>0</v>
      </c>
      <c r="G952" s="660"/>
      <c r="H952" s="667"/>
      <c r="I952" s="675"/>
      <c r="J952" s="667"/>
      <c r="K952" s="667"/>
      <c r="L952" s="667">
        <f t="shared" si="103"/>
        <v>0</v>
      </c>
      <c r="M952" s="667" t="e">
        <f>G952+#REF!+#REF!+#REF!+I952+#REF!+#REF!+#REF!+#REF!+#REF!+#REF!+K952+#REF!+#REF!+#REF!</f>
        <v>#REF!</v>
      </c>
      <c r="N952" s="667" t="e">
        <f t="shared" si="100"/>
        <v>#REF!</v>
      </c>
      <c r="O952" s="665" t="e">
        <f>#REF!+M952</f>
        <v>#REF!</v>
      </c>
      <c r="P952" s="666" t="e">
        <f t="shared" si="101"/>
        <v>#REF!</v>
      </c>
      <c r="Q952" s="672"/>
      <c r="R952" s="668"/>
      <c r="S952" s="676"/>
      <c r="T952" s="676"/>
    </row>
    <row r="953" spans="1:20" s="677" customFormat="1" ht="60" hidden="1" customHeight="1">
      <c r="A953" s="700">
        <f>'Ext. WS'!$A$38</f>
        <v>12</v>
      </c>
      <c r="B953" s="666">
        <f t="shared" si="98"/>
        <v>0</v>
      </c>
      <c r="C953" s="663" t="str">
        <f>'Ext. WS'!$B$38</f>
        <v>Labour charges for following dia. of PVC/GI pipes (Below Ground level)</v>
      </c>
      <c r="D953" s="666"/>
      <c r="E953" s="674"/>
      <c r="F953" s="663">
        <f t="shared" si="99"/>
        <v>0</v>
      </c>
      <c r="G953" s="660"/>
      <c r="H953" s="667"/>
      <c r="I953" s="675"/>
      <c r="J953" s="667"/>
      <c r="K953" s="667"/>
      <c r="L953" s="667">
        <f t="shared" si="103"/>
        <v>0</v>
      </c>
      <c r="M953" s="667" t="e">
        <f>G953+#REF!+#REF!+#REF!+I953+#REF!+#REF!+#REF!+#REF!+#REF!+#REF!+K953+#REF!+#REF!+#REF!</f>
        <v>#REF!</v>
      </c>
      <c r="N953" s="667" t="e">
        <f t="shared" si="100"/>
        <v>#REF!</v>
      </c>
      <c r="O953" s="665" t="e">
        <f>#REF!+M953</f>
        <v>#REF!</v>
      </c>
      <c r="P953" s="666" t="e">
        <f t="shared" si="101"/>
        <v>#REF!</v>
      </c>
      <c r="Q953" s="672"/>
      <c r="R953" s="668"/>
      <c r="S953" s="676"/>
      <c r="T953" s="676"/>
    </row>
    <row r="954" spans="1:20" s="677" customFormat="1" ht="45" hidden="1" customHeight="1">
      <c r="A954" s="700"/>
      <c r="B954" s="666">
        <f t="shared" si="98"/>
        <v>0</v>
      </c>
      <c r="C954" s="663" t="e">
        <f>'Ext. WS'!#REF!</f>
        <v>#REF!</v>
      </c>
      <c r="D954" s="666">
        <f>10.2+21.13+152.15</f>
        <v>183.48000000000002</v>
      </c>
      <c r="E954" s="674" t="e">
        <f>'Ext. WS'!#REF!</f>
        <v>#REF!</v>
      </c>
      <c r="F954" s="663">
        <f t="shared" si="99"/>
        <v>0</v>
      </c>
      <c r="G954" s="660"/>
      <c r="H954" s="667"/>
      <c r="I954" s="675"/>
      <c r="J954" s="667"/>
      <c r="K954" s="667" t="e">
        <f>'Ext. WS'!#REF!</f>
        <v>#REF!</v>
      </c>
      <c r="L954" s="667" t="e">
        <f t="shared" si="103"/>
        <v>#REF!</v>
      </c>
      <c r="M954" s="667" t="e">
        <f>G954+#REF!+#REF!+#REF!+I954+#REF!+#REF!+#REF!+#REF!+#REF!+#REF!+K954+#REF!+#REF!+#REF!</f>
        <v>#REF!</v>
      </c>
      <c r="N954" s="667" t="e">
        <f t="shared" si="100"/>
        <v>#REF!</v>
      </c>
      <c r="O954" s="665" t="e">
        <f>#REF!+M954</f>
        <v>#REF!</v>
      </c>
      <c r="P954" s="666" t="e">
        <f t="shared" si="101"/>
        <v>#REF!</v>
      </c>
      <c r="Q954" s="672"/>
      <c r="R954" s="668"/>
      <c r="S954" s="676"/>
      <c r="T954" s="676"/>
    </row>
    <row r="955" spans="1:20" s="677" customFormat="1" ht="45" hidden="1" customHeight="1">
      <c r="A955" s="700"/>
      <c r="B955" s="666">
        <f t="shared" si="98"/>
        <v>0</v>
      </c>
      <c r="C955" s="663" t="str">
        <f>'Ext. WS'!$B$39</f>
        <v xml:space="preserve">b) 32mm dia. G.I pipe </v>
      </c>
      <c r="D955" s="666">
        <f>17.4+190.79+26.41</f>
        <v>234.6</v>
      </c>
      <c r="E955" s="674" t="str">
        <f>'Ext. WS'!$H$40</f>
        <v>Rmt</v>
      </c>
      <c r="F955" s="663">
        <f t="shared" si="99"/>
        <v>0</v>
      </c>
      <c r="G955" s="660"/>
      <c r="H955" s="667"/>
      <c r="I955" s="675"/>
      <c r="J955" s="667"/>
      <c r="K955" s="667">
        <f>'Ext. WS'!$G$40</f>
        <v>5.5</v>
      </c>
      <c r="L955" s="667">
        <f t="shared" si="103"/>
        <v>1290.3</v>
      </c>
      <c r="M955" s="667" t="e">
        <f>G955+#REF!+#REF!+#REF!+I955+#REF!+#REF!+#REF!+#REF!+#REF!+#REF!+K955+#REF!+#REF!+#REF!</f>
        <v>#REF!</v>
      </c>
      <c r="N955" s="667" t="e">
        <f t="shared" si="100"/>
        <v>#REF!</v>
      </c>
      <c r="O955" s="665" t="e">
        <f>#REF!+M955</f>
        <v>#REF!</v>
      </c>
      <c r="P955" s="666" t="e">
        <f t="shared" si="101"/>
        <v>#REF!</v>
      </c>
      <c r="Q955" s="672"/>
      <c r="R955" s="668"/>
      <c r="S955" s="676"/>
      <c r="T955" s="676"/>
    </row>
    <row r="956" spans="1:20" s="677" customFormat="1" ht="45" hidden="1" customHeight="1">
      <c r="A956" s="700"/>
      <c r="B956" s="666">
        <f t="shared" si="98"/>
        <v>0</v>
      </c>
      <c r="C956" s="663" t="e">
        <f>'Ext. WS'!#REF!</f>
        <v>#REF!</v>
      </c>
      <c r="D956" s="666">
        <f>17.4+190.79+26.41</f>
        <v>234.6</v>
      </c>
      <c r="E956" s="674" t="e">
        <f>'Ext. WS'!#REF!</f>
        <v>#REF!</v>
      </c>
      <c r="F956" s="663">
        <f t="shared" si="99"/>
        <v>0</v>
      </c>
      <c r="G956" s="660"/>
      <c r="H956" s="667"/>
      <c r="I956" s="675"/>
      <c r="J956" s="667"/>
      <c r="K956" s="667"/>
      <c r="L956" s="667">
        <f t="shared" si="103"/>
        <v>0</v>
      </c>
      <c r="M956" s="667" t="e">
        <f>G956+#REF!+#REF!+#REF!+I956+#REF!+#REF!+#REF!+#REF!+#REF!+#REF!+K956+#REF!+#REF!+#REF!</f>
        <v>#REF!</v>
      </c>
      <c r="N956" s="667" t="e">
        <f t="shared" si="100"/>
        <v>#REF!</v>
      </c>
      <c r="O956" s="665" t="e">
        <f>#REF!+M956</f>
        <v>#REF!</v>
      </c>
      <c r="P956" s="666" t="e">
        <f t="shared" si="101"/>
        <v>#REF!</v>
      </c>
      <c r="Q956" s="672"/>
      <c r="R956" s="668"/>
      <c r="S956" s="676"/>
      <c r="T956" s="676"/>
    </row>
    <row r="957" spans="1:20" s="677" customFormat="1" ht="45" hidden="1" customHeight="1">
      <c r="A957" s="700" t="e">
        <f>'Ext. WS'!#REF!</f>
        <v>#REF!</v>
      </c>
      <c r="B957" s="666">
        <f t="shared" si="98"/>
        <v>0</v>
      </c>
      <c r="C957" s="663" t="e">
        <f>'Ext. WS'!#REF!</f>
        <v>#REF!</v>
      </c>
      <c r="D957" s="666"/>
      <c r="E957" s="674"/>
      <c r="F957" s="663">
        <f t="shared" si="99"/>
        <v>0</v>
      </c>
      <c r="G957" s="660"/>
      <c r="H957" s="667"/>
      <c r="I957" s="675"/>
      <c r="J957" s="667"/>
      <c r="K957" s="667"/>
      <c r="L957" s="667">
        <f t="shared" si="103"/>
        <v>0</v>
      </c>
      <c r="M957" s="667" t="e">
        <f>G957+#REF!+#REF!+#REF!+I957+#REF!+#REF!+#REF!+#REF!+#REF!+#REF!+K957+#REF!+#REF!+#REF!</f>
        <v>#REF!</v>
      </c>
      <c r="N957" s="667" t="e">
        <f t="shared" si="100"/>
        <v>#REF!</v>
      </c>
      <c r="O957" s="665" t="e">
        <f>#REF!+M957</f>
        <v>#REF!</v>
      </c>
      <c r="P957" s="666" t="e">
        <f t="shared" si="101"/>
        <v>#REF!</v>
      </c>
      <c r="Q957" s="672"/>
      <c r="R957" s="668"/>
      <c r="S957" s="676"/>
      <c r="T957" s="676"/>
    </row>
    <row r="958" spans="1:20" s="677" customFormat="1" ht="45" hidden="1" customHeight="1">
      <c r="A958" s="700"/>
      <c r="B958" s="666">
        <f t="shared" si="98"/>
        <v>0</v>
      </c>
      <c r="C958" s="663" t="e">
        <f>'Ext. WS'!#REF!</f>
        <v>#REF!</v>
      </c>
      <c r="D958" s="666">
        <v>10</v>
      </c>
      <c r="E958" s="674" t="e">
        <f>'Ext. WS'!#REF!</f>
        <v>#REF!</v>
      </c>
      <c r="F958" s="663">
        <f t="shared" si="99"/>
        <v>0</v>
      </c>
      <c r="G958" s="660"/>
      <c r="H958" s="667"/>
      <c r="I958" s="675"/>
      <c r="J958" s="667"/>
      <c r="K958" s="667" t="e">
        <f>'Ext. WS'!#REF!</f>
        <v>#REF!</v>
      </c>
      <c r="L958" s="667" t="e">
        <f t="shared" si="103"/>
        <v>#REF!</v>
      </c>
      <c r="M958" s="667" t="e">
        <f>G958+#REF!+#REF!+#REF!+I958+#REF!+#REF!+#REF!+#REF!+#REF!+#REF!+K958+#REF!+#REF!+#REF!</f>
        <v>#REF!</v>
      </c>
      <c r="N958" s="667" t="e">
        <f t="shared" si="100"/>
        <v>#REF!</v>
      </c>
      <c r="O958" s="665" t="e">
        <f>#REF!+M958</f>
        <v>#REF!</v>
      </c>
      <c r="P958" s="666" t="e">
        <f t="shared" si="101"/>
        <v>#REF!</v>
      </c>
      <c r="Q958" s="672"/>
      <c r="R958" s="668"/>
      <c r="S958" s="676"/>
      <c r="T958" s="676"/>
    </row>
    <row r="959" spans="1:20" s="677" customFormat="1" ht="45" hidden="1" customHeight="1">
      <c r="A959" s="700"/>
      <c r="B959" s="666">
        <f t="shared" si="98"/>
        <v>0</v>
      </c>
      <c r="C959" s="663" t="e">
        <f>'Ext. WS'!#REF!</f>
        <v>#REF!</v>
      </c>
      <c r="D959" s="666">
        <v>19.2</v>
      </c>
      <c r="E959" s="674" t="e">
        <f>'Ext. WS'!#REF!</f>
        <v>#REF!</v>
      </c>
      <c r="F959" s="663">
        <f t="shared" si="99"/>
        <v>0</v>
      </c>
      <c r="G959" s="660"/>
      <c r="H959" s="667"/>
      <c r="I959" s="675"/>
      <c r="J959" s="667"/>
      <c r="K959" s="667" t="e">
        <f>'Ext. WS'!#REF!</f>
        <v>#REF!</v>
      </c>
      <c r="L959" s="667" t="e">
        <f t="shared" si="103"/>
        <v>#REF!</v>
      </c>
      <c r="M959" s="667" t="e">
        <f>G959+#REF!+#REF!+#REF!+I959+#REF!+#REF!+#REF!+#REF!+#REF!+#REF!+K959+#REF!+#REF!+#REF!</f>
        <v>#REF!</v>
      </c>
      <c r="N959" s="667" t="e">
        <f t="shared" si="100"/>
        <v>#REF!</v>
      </c>
      <c r="O959" s="665" t="e">
        <f>#REF!+M959</f>
        <v>#REF!</v>
      </c>
      <c r="P959" s="666" t="e">
        <f t="shared" si="101"/>
        <v>#REF!</v>
      </c>
      <c r="Q959" s="672"/>
      <c r="R959" s="668"/>
      <c r="S959" s="676"/>
      <c r="T959" s="676"/>
    </row>
    <row r="960" spans="1:20" s="677" customFormat="1" ht="45" hidden="1" customHeight="1">
      <c r="A960" s="700"/>
      <c r="B960" s="666">
        <f t="shared" si="98"/>
        <v>0</v>
      </c>
      <c r="C960" s="663" t="e">
        <f>'Ext. WS'!#REF!</f>
        <v>#REF!</v>
      </c>
      <c r="D960" s="666">
        <v>21.9</v>
      </c>
      <c r="E960" s="674" t="e">
        <f>'Ext. WS'!#REF!</f>
        <v>#REF!</v>
      </c>
      <c r="F960" s="663">
        <f t="shared" si="99"/>
        <v>0</v>
      </c>
      <c r="G960" s="660"/>
      <c r="H960" s="667"/>
      <c r="I960" s="675"/>
      <c r="J960" s="667"/>
      <c r="K960" s="667" t="e">
        <f>'Ext. WS'!#REF!</f>
        <v>#REF!</v>
      </c>
      <c r="L960" s="667" t="e">
        <f t="shared" si="103"/>
        <v>#REF!</v>
      </c>
      <c r="M960" s="667" t="e">
        <f>G960+#REF!+#REF!+#REF!+I960+#REF!+#REF!+#REF!+#REF!+#REF!+#REF!+K960+#REF!+#REF!+#REF!</f>
        <v>#REF!</v>
      </c>
      <c r="N960" s="667" t="e">
        <f t="shared" si="100"/>
        <v>#REF!</v>
      </c>
      <c r="O960" s="665" t="e">
        <f>#REF!+M960</f>
        <v>#REF!</v>
      </c>
      <c r="P960" s="666" t="e">
        <f t="shared" si="101"/>
        <v>#REF!</v>
      </c>
      <c r="Q960" s="672"/>
      <c r="R960" s="668"/>
      <c r="S960" s="676"/>
      <c r="T960" s="676"/>
    </row>
    <row r="961" spans="1:20" s="677" customFormat="1" ht="45" hidden="1" customHeight="1">
      <c r="A961" s="700"/>
      <c r="B961" s="666">
        <f t="shared" si="98"/>
        <v>0</v>
      </c>
      <c r="C961" s="663" t="e">
        <f>'Ext. WS'!#REF!</f>
        <v>#REF!</v>
      </c>
      <c r="D961" s="666">
        <v>12.7</v>
      </c>
      <c r="E961" s="674" t="e">
        <f>'Ext. WS'!#REF!</f>
        <v>#REF!</v>
      </c>
      <c r="F961" s="663">
        <f t="shared" si="99"/>
        <v>0</v>
      </c>
      <c r="G961" s="660"/>
      <c r="H961" s="667"/>
      <c r="I961" s="675"/>
      <c r="J961" s="667"/>
      <c r="K961" s="667" t="e">
        <f>'Ext. WS'!#REF!</f>
        <v>#REF!</v>
      </c>
      <c r="L961" s="667" t="e">
        <f t="shared" si="103"/>
        <v>#REF!</v>
      </c>
      <c r="M961" s="667" t="e">
        <f>G961+#REF!+#REF!+#REF!+I961+#REF!+#REF!+#REF!+#REF!+#REF!+#REF!+K961+#REF!+#REF!+#REF!</f>
        <v>#REF!</v>
      </c>
      <c r="N961" s="667" t="e">
        <f t="shared" si="100"/>
        <v>#REF!</v>
      </c>
      <c r="O961" s="665" t="e">
        <f>#REF!+M961</f>
        <v>#REF!</v>
      </c>
      <c r="P961" s="666" t="e">
        <f t="shared" si="101"/>
        <v>#REF!</v>
      </c>
      <c r="Q961" s="672"/>
      <c r="R961" s="668"/>
      <c r="S961" s="676"/>
      <c r="T961" s="676"/>
    </row>
    <row r="962" spans="1:20" s="677" customFormat="1" ht="45" hidden="1" customHeight="1">
      <c r="A962" s="700"/>
      <c r="B962" s="666">
        <f t="shared" si="98"/>
        <v>0</v>
      </c>
      <c r="C962" s="663" t="e">
        <f>'Ext. WS'!#REF!</f>
        <v>#REF!</v>
      </c>
      <c r="D962" s="666">
        <v>16</v>
      </c>
      <c r="E962" s="674" t="e">
        <f>'Ext. WS'!#REF!</f>
        <v>#REF!</v>
      </c>
      <c r="F962" s="663">
        <f t="shared" si="99"/>
        <v>0</v>
      </c>
      <c r="G962" s="660"/>
      <c r="H962" s="667"/>
      <c r="I962" s="675"/>
      <c r="J962" s="667"/>
      <c r="K962" s="667" t="e">
        <f>'Ext. WS'!#REF!</f>
        <v>#REF!</v>
      </c>
      <c r="L962" s="667" t="e">
        <f t="shared" si="103"/>
        <v>#REF!</v>
      </c>
      <c r="M962" s="667" t="e">
        <f>G962+#REF!+#REF!+#REF!+I962+#REF!+#REF!+#REF!+#REF!+#REF!+#REF!+K962+#REF!+#REF!+#REF!</f>
        <v>#REF!</v>
      </c>
      <c r="N962" s="667" t="e">
        <f t="shared" si="100"/>
        <v>#REF!</v>
      </c>
      <c r="O962" s="665" t="e">
        <f>#REF!+M962</f>
        <v>#REF!</v>
      </c>
      <c r="P962" s="666" t="e">
        <f t="shared" si="101"/>
        <v>#REF!</v>
      </c>
      <c r="Q962" s="672"/>
      <c r="R962" s="668"/>
      <c r="S962" s="676"/>
      <c r="T962" s="676"/>
    </row>
    <row r="963" spans="1:20" s="677" customFormat="1" ht="45" hidden="1" customHeight="1">
      <c r="A963" s="700"/>
      <c r="B963" s="666">
        <f t="shared" ref="B963:B1008" si="104">G963</f>
        <v>0</v>
      </c>
      <c r="C963" s="663" t="e">
        <f>'Ext. WS'!#REF!</f>
        <v>#REF!</v>
      </c>
      <c r="D963" s="666">
        <v>16</v>
      </c>
      <c r="E963" s="674" t="e">
        <f>'Ext. WS'!#REF!</f>
        <v>#REF!</v>
      </c>
      <c r="F963" s="663">
        <f t="shared" ref="F963:F1008" si="105">H963</f>
        <v>0</v>
      </c>
      <c r="G963" s="660"/>
      <c r="H963" s="667"/>
      <c r="I963" s="675"/>
      <c r="J963" s="667"/>
      <c r="K963" s="667" t="e">
        <f>'Ext. WS'!#REF!</f>
        <v>#REF!</v>
      </c>
      <c r="L963" s="667" t="e">
        <f t="shared" si="103"/>
        <v>#REF!</v>
      </c>
      <c r="M963" s="667" t="e">
        <f>G963+#REF!+#REF!+#REF!+I963+#REF!+#REF!+#REF!+#REF!+#REF!+#REF!+K963+#REF!+#REF!+#REF!</f>
        <v>#REF!</v>
      </c>
      <c r="N963" s="667" t="e">
        <f t="shared" si="100"/>
        <v>#REF!</v>
      </c>
      <c r="O963" s="665" t="e">
        <f>#REF!+M963</f>
        <v>#REF!</v>
      </c>
      <c r="P963" s="666" t="e">
        <f t="shared" si="101"/>
        <v>#REF!</v>
      </c>
      <c r="Q963" s="672"/>
      <c r="R963" s="668"/>
      <c r="S963" s="676"/>
      <c r="T963" s="676"/>
    </row>
    <row r="964" spans="1:20" s="677" customFormat="1" ht="45" hidden="1" customHeight="1">
      <c r="A964" s="700" t="e">
        <f>'Ext. WS'!#REF!</f>
        <v>#REF!</v>
      </c>
      <c r="B964" s="666">
        <f t="shared" si="104"/>
        <v>0</v>
      </c>
      <c r="C964" s="663" t="e">
        <f>'Ext. WS'!#REF!</f>
        <v>#REF!</v>
      </c>
      <c r="D964" s="666"/>
      <c r="E964" s="674"/>
      <c r="F964" s="663">
        <f t="shared" si="105"/>
        <v>0</v>
      </c>
      <c r="G964" s="660"/>
      <c r="H964" s="667"/>
      <c r="I964" s="675"/>
      <c r="J964" s="667"/>
      <c r="K964" s="667"/>
      <c r="L964" s="667">
        <f t="shared" si="103"/>
        <v>0</v>
      </c>
      <c r="M964" s="667" t="e">
        <f>G964+#REF!+#REF!+#REF!+I964+#REF!+#REF!+#REF!+#REF!+#REF!+#REF!+K964+#REF!+#REF!+#REF!</f>
        <v>#REF!</v>
      </c>
      <c r="N964" s="667" t="e">
        <f t="shared" si="100"/>
        <v>#REF!</v>
      </c>
      <c r="O964" s="665" t="e">
        <f>#REF!+M964</f>
        <v>#REF!</v>
      </c>
      <c r="P964" s="666" t="e">
        <f t="shared" si="101"/>
        <v>#REF!</v>
      </c>
      <c r="Q964" s="672"/>
      <c r="R964" s="668"/>
      <c r="S964" s="676"/>
      <c r="T964" s="676"/>
    </row>
    <row r="965" spans="1:20" s="677" customFormat="1" ht="45" hidden="1" customHeight="1">
      <c r="A965" s="700"/>
      <c r="B965" s="666">
        <f t="shared" si="104"/>
        <v>0</v>
      </c>
      <c r="C965" s="663" t="e">
        <f>'Ext. WS'!#REF!</f>
        <v>#REF!</v>
      </c>
      <c r="D965" s="666">
        <v>87</v>
      </c>
      <c r="E965" s="674" t="e">
        <f>'Ext. WS'!#REF!</f>
        <v>#REF!</v>
      </c>
      <c r="F965" s="663">
        <f t="shared" si="105"/>
        <v>0</v>
      </c>
      <c r="G965" s="660"/>
      <c r="H965" s="667"/>
      <c r="I965" s="675"/>
      <c r="J965" s="667"/>
      <c r="K965" s="667" t="e">
        <f>'Ext. WS'!#REF!</f>
        <v>#REF!</v>
      </c>
      <c r="L965" s="667" t="e">
        <f t="shared" si="103"/>
        <v>#REF!</v>
      </c>
      <c r="M965" s="667" t="e">
        <f>G965+#REF!+#REF!+#REF!+I965+#REF!+#REF!+#REF!+#REF!+#REF!+#REF!+K965+#REF!+#REF!+#REF!</f>
        <v>#REF!</v>
      </c>
      <c r="N965" s="667" t="e">
        <f t="shared" ref="N965:N1008" si="106">M965*D965</f>
        <v>#REF!</v>
      </c>
      <c r="O965" s="665" t="e">
        <f>#REF!+M965</f>
        <v>#REF!</v>
      </c>
      <c r="P965" s="666" t="e">
        <f t="shared" ref="P965:P1008" si="107">O965*D965</f>
        <v>#REF!</v>
      </c>
      <c r="Q965" s="672"/>
      <c r="R965" s="668"/>
      <c r="S965" s="676"/>
      <c r="T965" s="676"/>
    </row>
    <row r="966" spans="1:20" s="677" customFormat="1" ht="45" hidden="1" customHeight="1">
      <c r="A966" s="700"/>
      <c r="B966" s="666">
        <f t="shared" si="104"/>
        <v>0</v>
      </c>
      <c r="C966" s="663" t="e">
        <f>'Ext. WS'!#REF!</f>
        <v>#REF!</v>
      </c>
      <c r="D966" s="666">
        <v>197.5</v>
      </c>
      <c r="E966" s="674" t="e">
        <f>'Ext. WS'!#REF!</f>
        <v>#REF!</v>
      </c>
      <c r="F966" s="663">
        <f t="shared" si="105"/>
        <v>0</v>
      </c>
      <c r="G966" s="660"/>
      <c r="H966" s="667"/>
      <c r="I966" s="675"/>
      <c r="J966" s="667"/>
      <c r="K966" s="667" t="e">
        <f>'Ext. WS'!#REF!</f>
        <v>#REF!</v>
      </c>
      <c r="L966" s="667" t="e">
        <f t="shared" si="103"/>
        <v>#REF!</v>
      </c>
      <c r="M966" s="667" t="e">
        <f>G966+#REF!+#REF!+#REF!+I966+#REF!+#REF!+#REF!+#REF!+#REF!+#REF!+K966+#REF!+#REF!+#REF!</f>
        <v>#REF!</v>
      </c>
      <c r="N966" s="667" t="e">
        <f t="shared" si="106"/>
        <v>#REF!</v>
      </c>
      <c r="O966" s="665" t="e">
        <f>#REF!+M966</f>
        <v>#REF!</v>
      </c>
      <c r="P966" s="666" t="e">
        <f t="shared" si="107"/>
        <v>#REF!</v>
      </c>
      <c r="Q966" s="672"/>
      <c r="R966" s="668"/>
      <c r="S966" s="676"/>
      <c r="T966" s="676"/>
    </row>
    <row r="967" spans="1:20" s="677" customFormat="1" ht="45" hidden="1" customHeight="1">
      <c r="A967" s="700"/>
      <c r="B967" s="666">
        <f t="shared" si="104"/>
        <v>0</v>
      </c>
      <c r="C967" s="663" t="e">
        <f>'Ext. WS'!#REF!</f>
        <v>#REF!</v>
      </c>
      <c r="D967" s="666">
        <v>69.8</v>
      </c>
      <c r="E967" s="674" t="e">
        <f>'Ext. WS'!#REF!</f>
        <v>#REF!</v>
      </c>
      <c r="F967" s="663">
        <f t="shared" si="105"/>
        <v>0</v>
      </c>
      <c r="G967" s="660"/>
      <c r="H967" s="667"/>
      <c r="I967" s="675"/>
      <c r="J967" s="667"/>
      <c r="K967" s="667" t="e">
        <f>'Ext. WS'!#REF!</f>
        <v>#REF!</v>
      </c>
      <c r="L967" s="667" t="e">
        <f t="shared" si="103"/>
        <v>#REF!</v>
      </c>
      <c r="M967" s="667" t="e">
        <f>G967+#REF!+#REF!+#REF!+I967+#REF!+#REF!+#REF!+#REF!+#REF!+#REF!+K967+#REF!+#REF!+#REF!</f>
        <v>#REF!</v>
      </c>
      <c r="N967" s="667" t="e">
        <f t="shared" si="106"/>
        <v>#REF!</v>
      </c>
      <c r="O967" s="665" t="e">
        <f>#REF!+M967</f>
        <v>#REF!</v>
      </c>
      <c r="P967" s="666" t="e">
        <f t="shared" si="107"/>
        <v>#REF!</v>
      </c>
      <c r="Q967" s="672"/>
      <c r="R967" s="668"/>
      <c r="S967" s="676"/>
      <c r="T967" s="676"/>
    </row>
    <row r="968" spans="1:20" s="677" customFormat="1" ht="45" hidden="1" customHeight="1">
      <c r="A968" s="700"/>
      <c r="B968" s="666">
        <f t="shared" si="104"/>
        <v>0</v>
      </c>
      <c r="C968" s="663" t="e">
        <f>'Ext. WS'!#REF!</f>
        <v>#REF!</v>
      </c>
      <c r="D968" s="666">
        <v>110.2</v>
      </c>
      <c r="E968" s="674" t="e">
        <f>'Ext. WS'!#REF!</f>
        <v>#REF!</v>
      </c>
      <c r="F968" s="663">
        <f t="shared" si="105"/>
        <v>0</v>
      </c>
      <c r="G968" s="660"/>
      <c r="H968" s="667"/>
      <c r="I968" s="675"/>
      <c r="J968" s="667"/>
      <c r="K968" s="667" t="e">
        <f>'Ext. WS'!#REF!</f>
        <v>#REF!</v>
      </c>
      <c r="L968" s="667" t="e">
        <f t="shared" si="103"/>
        <v>#REF!</v>
      </c>
      <c r="M968" s="667" t="e">
        <f>G968+#REF!+#REF!+#REF!+I968+#REF!+#REF!+#REF!+#REF!+#REF!+#REF!+K968+#REF!+#REF!+#REF!</f>
        <v>#REF!</v>
      </c>
      <c r="N968" s="667" t="e">
        <f t="shared" si="106"/>
        <v>#REF!</v>
      </c>
      <c r="O968" s="665" t="e">
        <f>#REF!+M968</f>
        <v>#REF!</v>
      </c>
      <c r="P968" s="666" t="e">
        <f t="shared" si="107"/>
        <v>#REF!</v>
      </c>
      <c r="Q968" s="672"/>
      <c r="R968" s="668"/>
      <c r="S968" s="676"/>
      <c r="T968" s="676"/>
    </row>
    <row r="969" spans="1:20" s="677" customFormat="1" ht="45" hidden="1" customHeight="1">
      <c r="A969" s="700"/>
      <c r="B969" s="666">
        <f t="shared" si="104"/>
        <v>0</v>
      </c>
      <c r="C969" s="663" t="e">
        <f>'Ext. WS'!#REF!</f>
        <v>#REF!</v>
      </c>
      <c r="D969" s="666">
        <v>127.5</v>
      </c>
      <c r="E969" s="674" t="e">
        <f>'Ext. WS'!#REF!</f>
        <v>#REF!</v>
      </c>
      <c r="F969" s="663">
        <f t="shared" si="105"/>
        <v>0</v>
      </c>
      <c r="G969" s="660"/>
      <c r="H969" s="667"/>
      <c r="I969" s="675"/>
      <c r="J969" s="667"/>
      <c r="K969" s="667" t="e">
        <f>'Ext. WS'!#REF!</f>
        <v>#REF!</v>
      </c>
      <c r="L969" s="667" t="e">
        <f t="shared" si="103"/>
        <v>#REF!</v>
      </c>
      <c r="M969" s="667" t="e">
        <f>G969+#REF!+#REF!+#REF!+I969+#REF!+#REF!+#REF!+#REF!+#REF!+#REF!+K969+#REF!+#REF!+#REF!</f>
        <v>#REF!</v>
      </c>
      <c r="N969" s="667" t="e">
        <f t="shared" si="106"/>
        <v>#REF!</v>
      </c>
      <c r="O969" s="665" t="e">
        <f>#REF!+M969</f>
        <v>#REF!</v>
      </c>
      <c r="P969" s="666" t="e">
        <f t="shared" si="107"/>
        <v>#REF!</v>
      </c>
      <c r="Q969" s="672"/>
      <c r="R969" s="668"/>
      <c r="S969" s="676"/>
      <c r="T969" s="676"/>
    </row>
    <row r="970" spans="1:20" s="677" customFormat="1" ht="45" hidden="1" customHeight="1">
      <c r="A970" s="700"/>
      <c r="B970" s="666">
        <f t="shared" si="104"/>
        <v>0</v>
      </c>
      <c r="C970" s="663" t="e">
        <f>'Ext. WS'!#REF!</f>
        <v>#REF!</v>
      </c>
      <c r="D970" s="666">
        <v>58.1</v>
      </c>
      <c r="E970" s="674" t="e">
        <f>'Ext. WS'!#REF!</f>
        <v>#REF!</v>
      </c>
      <c r="F970" s="663">
        <f t="shared" si="105"/>
        <v>0</v>
      </c>
      <c r="G970" s="660"/>
      <c r="H970" s="667"/>
      <c r="I970" s="675"/>
      <c r="J970" s="667"/>
      <c r="K970" s="667" t="e">
        <f>'Ext. WS'!#REF!</f>
        <v>#REF!</v>
      </c>
      <c r="L970" s="667" t="e">
        <f t="shared" si="103"/>
        <v>#REF!</v>
      </c>
      <c r="M970" s="667" t="e">
        <f>G970+#REF!+#REF!+#REF!+I970+#REF!+#REF!+#REF!+#REF!+#REF!+#REF!+K970+#REF!+#REF!+#REF!</f>
        <v>#REF!</v>
      </c>
      <c r="N970" s="667" t="e">
        <f t="shared" si="106"/>
        <v>#REF!</v>
      </c>
      <c r="O970" s="665" t="e">
        <f>#REF!+M970</f>
        <v>#REF!</v>
      </c>
      <c r="P970" s="666" t="e">
        <f t="shared" si="107"/>
        <v>#REF!</v>
      </c>
      <c r="Q970" s="672"/>
      <c r="R970" s="668"/>
      <c r="S970" s="676"/>
      <c r="T970" s="676"/>
    </row>
    <row r="971" spans="1:20" s="677" customFormat="1" ht="45" hidden="1" customHeight="1">
      <c r="A971" s="700"/>
      <c r="B971" s="666">
        <f t="shared" si="104"/>
        <v>0</v>
      </c>
      <c r="C971" s="663" t="e">
        <f>'Ext. WS'!#REF!</f>
        <v>#REF!</v>
      </c>
      <c r="D971" s="666">
        <v>87</v>
      </c>
      <c r="E971" s="674" t="e">
        <f>'Ext. WS'!#REF!</f>
        <v>#REF!</v>
      </c>
      <c r="F971" s="663">
        <f t="shared" si="105"/>
        <v>0</v>
      </c>
      <c r="G971" s="660"/>
      <c r="H971" s="667"/>
      <c r="I971" s="675"/>
      <c r="J971" s="667"/>
      <c r="K971" s="667" t="e">
        <f>'Ext. WS'!#REF!</f>
        <v>#REF!</v>
      </c>
      <c r="L971" s="667" t="e">
        <f t="shared" si="103"/>
        <v>#REF!</v>
      </c>
      <c r="M971" s="667" t="e">
        <f>G971+#REF!+#REF!+#REF!+I971+#REF!+#REF!+#REF!+#REF!+#REF!+#REF!+K971+#REF!+#REF!+#REF!</f>
        <v>#REF!</v>
      </c>
      <c r="N971" s="667" t="e">
        <f t="shared" si="106"/>
        <v>#REF!</v>
      </c>
      <c r="O971" s="665" t="e">
        <f>#REF!+M971</f>
        <v>#REF!</v>
      </c>
      <c r="P971" s="666" t="e">
        <f t="shared" si="107"/>
        <v>#REF!</v>
      </c>
      <c r="Q971" s="672"/>
      <c r="R971" s="668"/>
      <c r="S971" s="676"/>
      <c r="T971" s="676"/>
    </row>
    <row r="972" spans="1:20" s="677" customFormat="1" ht="45" hidden="1" customHeight="1">
      <c r="A972" s="700"/>
      <c r="B972" s="666">
        <f t="shared" si="104"/>
        <v>0</v>
      </c>
      <c r="C972" s="663" t="e">
        <f>'Ext. WS'!#REF!</f>
        <v>#REF!</v>
      </c>
      <c r="D972" s="666">
        <v>69.8</v>
      </c>
      <c r="E972" s="674" t="e">
        <f>'Ext. WS'!#REF!</f>
        <v>#REF!</v>
      </c>
      <c r="F972" s="663">
        <f t="shared" si="105"/>
        <v>0</v>
      </c>
      <c r="G972" s="660"/>
      <c r="H972" s="667"/>
      <c r="I972" s="675"/>
      <c r="J972" s="667"/>
      <c r="K972" s="667" t="e">
        <f>'Ext. WS'!#REF!</f>
        <v>#REF!</v>
      </c>
      <c r="L972" s="667" t="e">
        <f t="shared" si="103"/>
        <v>#REF!</v>
      </c>
      <c r="M972" s="667" t="e">
        <f>G972+#REF!+#REF!+#REF!+I972+#REF!+#REF!+#REF!+#REF!+#REF!+#REF!+K972+#REF!+#REF!+#REF!</f>
        <v>#REF!</v>
      </c>
      <c r="N972" s="667" t="e">
        <f t="shared" si="106"/>
        <v>#REF!</v>
      </c>
      <c r="O972" s="665" t="e">
        <f>#REF!+M972</f>
        <v>#REF!</v>
      </c>
      <c r="P972" s="666" t="e">
        <f t="shared" si="107"/>
        <v>#REF!</v>
      </c>
      <c r="Q972" s="672"/>
      <c r="R972" s="668"/>
      <c r="S972" s="676"/>
      <c r="T972" s="676"/>
    </row>
    <row r="973" spans="1:20" s="677" customFormat="1" ht="45" hidden="1" customHeight="1">
      <c r="A973" s="700"/>
      <c r="B973" s="666">
        <f t="shared" si="104"/>
        <v>0</v>
      </c>
      <c r="C973" s="663" t="e">
        <f>'Ext. WS'!#REF!</f>
        <v>#REF!</v>
      </c>
      <c r="D973" s="666">
        <v>753</v>
      </c>
      <c r="E973" s="674" t="e">
        <f>'Ext. WS'!#REF!</f>
        <v>#REF!</v>
      </c>
      <c r="F973" s="663">
        <f t="shared" si="105"/>
        <v>0</v>
      </c>
      <c r="G973" s="660"/>
      <c r="H973" s="667"/>
      <c r="I973" s="675"/>
      <c r="J973" s="667"/>
      <c r="K973" s="667" t="e">
        <f>'Ext. WS'!#REF!</f>
        <v>#REF!</v>
      </c>
      <c r="L973" s="667" t="e">
        <f t="shared" si="103"/>
        <v>#REF!</v>
      </c>
      <c r="M973" s="667" t="e">
        <f>G973+#REF!+#REF!+#REF!+I973+#REF!+#REF!+#REF!+#REF!+#REF!+#REF!+K973+#REF!+#REF!+#REF!</f>
        <v>#REF!</v>
      </c>
      <c r="N973" s="667" t="e">
        <f t="shared" si="106"/>
        <v>#REF!</v>
      </c>
      <c r="O973" s="665" t="e">
        <f>#REF!+M973</f>
        <v>#REF!</v>
      </c>
      <c r="P973" s="666" t="e">
        <f t="shared" si="107"/>
        <v>#REF!</v>
      </c>
      <c r="Q973" s="672"/>
      <c r="R973" s="668"/>
      <c r="S973" s="676"/>
      <c r="T973" s="676"/>
    </row>
    <row r="974" spans="1:20" s="677" customFormat="1" ht="45" hidden="1" customHeight="1">
      <c r="A974" s="700"/>
      <c r="B974" s="666">
        <f t="shared" si="104"/>
        <v>0</v>
      </c>
      <c r="C974" s="663" t="e">
        <f>'Ext. WS'!#REF!</f>
        <v>#REF!</v>
      </c>
      <c r="D974" s="666">
        <v>968</v>
      </c>
      <c r="E974" s="674" t="e">
        <f>'Ext. WS'!#REF!</f>
        <v>#REF!</v>
      </c>
      <c r="F974" s="663">
        <f t="shared" si="105"/>
        <v>0</v>
      </c>
      <c r="G974" s="660"/>
      <c r="H974" s="667"/>
      <c r="I974" s="675"/>
      <c r="J974" s="667"/>
      <c r="K974" s="667" t="e">
        <f>'Ext. WS'!#REF!</f>
        <v>#REF!</v>
      </c>
      <c r="L974" s="667" t="e">
        <f t="shared" si="103"/>
        <v>#REF!</v>
      </c>
      <c r="M974" s="667" t="e">
        <f>G974+#REF!+#REF!+#REF!+I974+#REF!+#REF!+#REF!+#REF!+#REF!+#REF!+K974+#REF!+#REF!+#REF!</f>
        <v>#REF!</v>
      </c>
      <c r="N974" s="667" t="e">
        <f t="shared" si="106"/>
        <v>#REF!</v>
      </c>
      <c r="O974" s="665" t="e">
        <f>#REF!+M974</f>
        <v>#REF!</v>
      </c>
      <c r="P974" s="666" t="e">
        <f t="shared" si="107"/>
        <v>#REF!</v>
      </c>
      <c r="Q974" s="672"/>
      <c r="R974" s="668"/>
      <c r="S974" s="676"/>
      <c r="T974" s="676"/>
    </row>
    <row r="975" spans="1:20" s="677" customFormat="1" ht="45" hidden="1" customHeight="1">
      <c r="A975" s="700"/>
      <c r="B975" s="666">
        <f t="shared" si="104"/>
        <v>0</v>
      </c>
      <c r="C975" s="663" t="e">
        <f>'Ext. WS'!#REF!</f>
        <v>#REF!</v>
      </c>
      <c r="D975" s="666">
        <v>2082</v>
      </c>
      <c r="E975" s="674" t="e">
        <f>'Ext. WS'!#REF!</f>
        <v>#REF!</v>
      </c>
      <c r="F975" s="663">
        <f t="shared" si="105"/>
        <v>0</v>
      </c>
      <c r="G975" s="660"/>
      <c r="H975" s="667"/>
      <c r="I975" s="675"/>
      <c r="J975" s="667"/>
      <c r="K975" s="667" t="e">
        <f>'Ext. WS'!#REF!</f>
        <v>#REF!</v>
      </c>
      <c r="L975" s="667" t="e">
        <f t="shared" si="103"/>
        <v>#REF!</v>
      </c>
      <c r="M975" s="667" t="e">
        <f>G975+#REF!+#REF!+#REF!+I975+#REF!+#REF!+#REF!+#REF!+#REF!+#REF!+K975+#REF!+#REF!+#REF!</f>
        <v>#REF!</v>
      </c>
      <c r="N975" s="667" t="e">
        <f t="shared" si="106"/>
        <v>#REF!</v>
      </c>
      <c r="O975" s="665" t="e">
        <f>#REF!+M975</f>
        <v>#REF!</v>
      </c>
      <c r="P975" s="666" t="e">
        <f t="shared" si="107"/>
        <v>#REF!</v>
      </c>
      <c r="Q975" s="672"/>
      <c r="R975" s="668"/>
      <c r="S975" s="676"/>
      <c r="T975" s="676"/>
    </row>
    <row r="976" spans="1:20" s="677" customFormat="1" ht="45" hidden="1" customHeight="1">
      <c r="A976" s="700"/>
      <c r="B976" s="666">
        <f t="shared" si="104"/>
        <v>0</v>
      </c>
      <c r="C976" s="663" t="e">
        <f>'Ext. WS'!#REF!</f>
        <v>#REF!</v>
      </c>
      <c r="D976" s="666">
        <v>434</v>
      </c>
      <c r="E976" s="674" t="e">
        <f>'Ext. WS'!#REF!</f>
        <v>#REF!</v>
      </c>
      <c r="F976" s="663">
        <f t="shared" si="105"/>
        <v>0</v>
      </c>
      <c r="G976" s="660"/>
      <c r="H976" s="667"/>
      <c r="I976" s="675"/>
      <c r="J976" s="667"/>
      <c r="K976" s="667" t="e">
        <f>'Ext. WS'!#REF!</f>
        <v>#REF!</v>
      </c>
      <c r="L976" s="667" t="e">
        <f t="shared" si="103"/>
        <v>#REF!</v>
      </c>
      <c r="M976" s="667" t="e">
        <f>G976+#REF!+#REF!+#REF!+I976+#REF!+#REF!+#REF!+#REF!+#REF!+#REF!+K976+#REF!+#REF!+#REF!</f>
        <v>#REF!</v>
      </c>
      <c r="N976" s="667" t="e">
        <f t="shared" si="106"/>
        <v>#REF!</v>
      </c>
      <c r="O976" s="665" t="e">
        <f>#REF!+M976</f>
        <v>#REF!</v>
      </c>
      <c r="P976" s="666" t="e">
        <f t="shared" si="107"/>
        <v>#REF!</v>
      </c>
      <c r="Q976" s="672"/>
      <c r="R976" s="668"/>
      <c r="S976" s="676"/>
      <c r="T976" s="676"/>
    </row>
    <row r="977" spans="1:20" s="677" customFormat="1" ht="34.9" hidden="1" customHeight="1">
      <c r="A977" s="700"/>
      <c r="B977" s="666">
        <f t="shared" si="104"/>
        <v>0</v>
      </c>
      <c r="C977" s="785" t="s">
        <v>1956</v>
      </c>
      <c r="D977" s="666"/>
      <c r="E977" s="674"/>
      <c r="F977" s="663">
        <f t="shared" si="105"/>
        <v>0</v>
      </c>
      <c r="G977" s="660"/>
      <c r="H977" s="667"/>
      <c r="I977" s="675"/>
      <c r="J977" s="667"/>
      <c r="K977" s="667"/>
      <c r="L977" s="667"/>
      <c r="M977" s="667" t="e">
        <f>G977+#REF!+#REF!+#REF!+I977+#REF!+#REF!+#REF!+#REF!+#REF!+#REF!+K977+#REF!+#REF!+#REF!</f>
        <v>#REF!</v>
      </c>
      <c r="N977" s="667" t="e">
        <f t="shared" si="106"/>
        <v>#REF!</v>
      </c>
      <c r="O977" s="665" t="e">
        <f>#REF!+M977</f>
        <v>#REF!</v>
      </c>
      <c r="P977" s="666" t="e">
        <f t="shared" si="107"/>
        <v>#REF!</v>
      </c>
      <c r="Q977" s="672"/>
      <c r="R977" s="668"/>
      <c r="S977" s="676"/>
      <c r="T977" s="676"/>
    </row>
    <row r="978" spans="1:20" s="677" customFormat="1" ht="83.25" hidden="1" customHeight="1">
      <c r="A978" s="700">
        <f>'Ext. Elec.'!$A$7</f>
        <v>1</v>
      </c>
      <c r="B978" s="666">
        <f t="shared" si="104"/>
        <v>0</v>
      </c>
      <c r="C978" s="663" t="str">
        <f>'Ext. Elec.'!$B$7</f>
        <v>Supplying and fixing of MS angle of size 50 x 50 x 5 mm MS angle to hold LTUG cable in OH portion etc., all complete</v>
      </c>
      <c r="D978" s="666">
        <v>44.7</v>
      </c>
      <c r="E978" s="674" t="str">
        <f>'Ext. Elec.'!$H$14</f>
        <v>Kg</v>
      </c>
      <c r="F978" s="663">
        <f t="shared" si="105"/>
        <v>0</v>
      </c>
      <c r="G978" s="660"/>
      <c r="H978" s="667"/>
      <c r="I978" s="675"/>
      <c r="J978" s="667"/>
      <c r="K978" s="667"/>
      <c r="L978" s="667"/>
      <c r="M978" s="667" t="e">
        <f>G978+#REF!+#REF!+#REF!+I978+#REF!+#REF!+#REF!+#REF!+#REF!+#REF!+K978+#REF!+#REF!+#REF!</f>
        <v>#REF!</v>
      </c>
      <c r="N978" s="667" t="e">
        <f t="shared" si="106"/>
        <v>#REF!</v>
      </c>
      <c r="O978" s="665" t="e">
        <f>#REF!+M978</f>
        <v>#REF!</v>
      </c>
      <c r="P978" s="666" t="e">
        <f t="shared" si="107"/>
        <v>#REF!</v>
      </c>
      <c r="Q978" s="672"/>
      <c r="R978" s="668"/>
      <c r="S978" s="676"/>
      <c r="T978" s="676"/>
    </row>
    <row r="979" spans="1:20" s="677" customFormat="1" ht="83.25" hidden="1" customHeight="1">
      <c r="A979" s="700">
        <f>'Ext. Elec.'!$A$15</f>
        <v>2</v>
      </c>
      <c r="B979" s="666">
        <f t="shared" si="104"/>
        <v>0</v>
      </c>
      <c r="C979" s="663" t="str">
        <f>'Ext. Elec.'!$B$15</f>
        <v>Supplying of 50 mm dia  GI pipe (Above Ground Level) approved quality</v>
      </c>
      <c r="D979" s="666"/>
      <c r="E979" s="674"/>
      <c r="F979" s="663">
        <f t="shared" si="105"/>
        <v>0</v>
      </c>
      <c r="G979" s="660"/>
      <c r="H979" s="667"/>
      <c r="I979" s="675"/>
      <c r="J979" s="667"/>
      <c r="K979" s="667"/>
      <c r="L979" s="667"/>
      <c r="M979" s="667" t="e">
        <f>G979+#REF!+#REF!+#REF!+I979+#REF!+#REF!+#REF!+#REF!+#REF!+#REF!+K979+#REF!+#REF!+#REF!</f>
        <v>#REF!</v>
      </c>
      <c r="N979" s="667" t="e">
        <f t="shared" si="106"/>
        <v>#REF!</v>
      </c>
      <c r="O979" s="665" t="e">
        <f>#REF!+M979</f>
        <v>#REF!</v>
      </c>
      <c r="P979" s="666" t="e">
        <f t="shared" si="107"/>
        <v>#REF!</v>
      </c>
      <c r="Q979" s="672"/>
      <c r="R979" s="668"/>
      <c r="S979" s="676"/>
      <c r="T979" s="676"/>
    </row>
    <row r="980" spans="1:20" s="677" customFormat="1" ht="45" hidden="1" customHeight="1">
      <c r="A980" s="700"/>
      <c r="B980" s="666">
        <f t="shared" si="104"/>
        <v>0</v>
      </c>
      <c r="C980" s="663" t="str">
        <f>'Ext. Elec.'!$B$16</f>
        <v>a) 50 mm dia  GI pipe (Above Ground Level)</v>
      </c>
      <c r="D980" s="666">
        <v>207</v>
      </c>
      <c r="E980" s="674" t="str">
        <f>'Ext. Elec.'!$H$20</f>
        <v>Rmt</v>
      </c>
      <c r="F980" s="663">
        <f t="shared" si="105"/>
        <v>0</v>
      </c>
      <c r="G980" s="660"/>
      <c r="H980" s="667"/>
      <c r="I980" s="675"/>
      <c r="J980" s="667"/>
      <c r="K980" s="667"/>
      <c r="L980" s="667"/>
      <c r="M980" s="667" t="e">
        <f>G980+#REF!+#REF!+#REF!+I980+#REF!+#REF!+#REF!+#REF!+#REF!+#REF!+K980+#REF!+#REF!+#REF!</f>
        <v>#REF!</v>
      </c>
      <c r="N980" s="667" t="e">
        <f t="shared" si="106"/>
        <v>#REF!</v>
      </c>
      <c r="O980" s="665" t="e">
        <f>#REF!+M980</f>
        <v>#REF!</v>
      </c>
      <c r="P980" s="666" t="e">
        <f t="shared" si="107"/>
        <v>#REF!</v>
      </c>
      <c r="Q980" s="672"/>
      <c r="R980" s="668"/>
      <c r="S980" s="676"/>
      <c r="T980" s="676"/>
    </row>
    <row r="981" spans="1:20" s="677" customFormat="1" ht="45" hidden="1" customHeight="1">
      <c r="A981" s="700"/>
      <c r="B981" s="666">
        <f t="shared" si="104"/>
        <v>0</v>
      </c>
      <c r="C981" s="663" t="str">
        <f>'Ext. Elec.'!$B$21</f>
        <v>b) 50 mm dia  GI Bend ( PWD 51)</v>
      </c>
      <c r="D981" s="666">
        <v>115.2</v>
      </c>
      <c r="E981" s="674" t="str">
        <f>'Ext. Elec.'!$H$24</f>
        <v>Nos.</v>
      </c>
      <c r="F981" s="663">
        <f t="shared" si="105"/>
        <v>0</v>
      </c>
      <c r="G981" s="660"/>
      <c r="H981" s="667"/>
      <c r="I981" s="675"/>
      <c r="J981" s="667"/>
      <c r="K981" s="667"/>
      <c r="L981" s="667"/>
      <c r="M981" s="667" t="e">
        <f>G981+#REF!+#REF!+#REF!+I981+#REF!+#REF!+#REF!+#REF!+#REF!+#REF!+K981+#REF!+#REF!+#REF!</f>
        <v>#REF!</v>
      </c>
      <c r="N981" s="667" t="e">
        <f t="shared" si="106"/>
        <v>#REF!</v>
      </c>
      <c r="O981" s="665" t="e">
        <f>#REF!+M981</f>
        <v>#REF!</v>
      </c>
      <c r="P981" s="666" t="e">
        <f t="shared" si="107"/>
        <v>#REF!</v>
      </c>
      <c r="Q981" s="672"/>
      <c r="R981" s="668"/>
      <c r="S981" s="676"/>
      <c r="T981" s="676"/>
    </row>
    <row r="982" spans="1:20" s="677" customFormat="1" ht="83.25" hidden="1" customHeight="1">
      <c r="A982" s="700">
        <f>'Ext. Elec.'!$A$25</f>
        <v>3</v>
      </c>
      <c r="B982" s="666">
        <f t="shared" si="104"/>
        <v>0</v>
      </c>
      <c r="C982" s="663" t="str">
        <f>'Ext. Elec.'!$B$25</f>
        <v xml:space="preserve">Run of 4 Wires of 4 sqmm PVC insulated single core multi strand fire retardant flexible copper cable with ISI mark confirming IS: 694:1990.
</v>
      </c>
      <c r="D982" s="666">
        <v>234.5</v>
      </c>
      <c r="E982" s="674" t="str">
        <f>'Ext. Elec.'!$H$30</f>
        <v>Rmt</v>
      </c>
      <c r="F982" s="663">
        <f t="shared" si="105"/>
        <v>0</v>
      </c>
      <c r="G982" s="660"/>
      <c r="H982" s="667"/>
      <c r="I982" s="675"/>
      <c r="J982" s="667"/>
      <c r="K982" s="667"/>
      <c r="L982" s="667"/>
      <c r="M982" s="667" t="e">
        <f>G982+#REF!+#REF!+#REF!+I982+#REF!+#REF!+#REF!+#REF!+#REF!+#REF!+K982+#REF!+#REF!+#REF!</f>
        <v>#REF!</v>
      </c>
      <c r="N982" s="667" t="e">
        <f t="shared" si="106"/>
        <v>#REF!</v>
      </c>
      <c r="O982" s="665" t="e">
        <f>#REF!+M982</f>
        <v>#REF!</v>
      </c>
      <c r="P982" s="666" t="e">
        <f t="shared" si="107"/>
        <v>#REF!</v>
      </c>
      <c r="Q982" s="672"/>
      <c r="R982" s="668"/>
      <c r="S982" s="676"/>
      <c r="T982" s="676"/>
    </row>
    <row r="983" spans="1:20" s="677" customFormat="1" ht="129.6" hidden="1" customHeight="1">
      <c r="A983" s="700">
        <f>'Ext. Elec.'!$A$31</f>
        <v>4</v>
      </c>
      <c r="B983" s="666">
        <f t="shared" si="104"/>
        <v>0</v>
      </c>
      <c r="C983" s="663" t="str">
        <f>'Ext. Elec.'!$B$31</f>
        <v xml:space="preserve">Supplying of 3.5 core of 50 sqmm PVC armoued ALTUG cable ncluding cost of all materials etc all complete complying with relevant standard specifications and as directed by the departmental officers      (CER NO : 371/18-19)     </v>
      </c>
      <c r="D983" s="666"/>
      <c r="E983" s="674"/>
      <c r="F983" s="663">
        <f t="shared" si="105"/>
        <v>0</v>
      </c>
      <c r="G983" s="660"/>
      <c r="H983" s="667"/>
      <c r="I983" s="675"/>
      <c r="J983" s="667"/>
      <c r="K983" s="667"/>
      <c r="L983" s="667"/>
      <c r="M983" s="667" t="e">
        <f>G983+#REF!+#REF!+#REF!+I983+#REF!+#REF!+#REF!+#REF!+#REF!+#REF!+K983+#REF!+#REF!+#REF!</f>
        <v>#REF!</v>
      </c>
      <c r="N983" s="667" t="e">
        <f t="shared" si="106"/>
        <v>#REF!</v>
      </c>
      <c r="O983" s="665" t="e">
        <f>#REF!+M983</f>
        <v>#REF!</v>
      </c>
      <c r="P983" s="666" t="e">
        <f t="shared" si="107"/>
        <v>#REF!</v>
      </c>
      <c r="Q983" s="672"/>
      <c r="R983" s="668"/>
      <c r="S983" s="676"/>
      <c r="T983" s="676"/>
    </row>
    <row r="984" spans="1:20" s="677" customFormat="1" ht="45" hidden="1" customHeight="1">
      <c r="A984" s="700"/>
      <c r="B984" s="666">
        <f t="shared" si="104"/>
        <v>0</v>
      </c>
      <c r="C984" s="663" t="str">
        <f>'Ext. Elec.'!$B$32</f>
        <v>a) above  Ground Level</v>
      </c>
      <c r="D984" s="666">
        <v>294</v>
      </c>
      <c r="E984" s="674" t="str">
        <f>'Ext. Elec.'!$H$35</f>
        <v>Rmt</v>
      </c>
      <c r="F984" s="663">
        <f t="shared" si="105"/>
        <v>0</v>
      </c>
      <c r="G984" s="660"/>
      <c r="H984" s="667"/>
      <c r="I984" s="675"/>
      <c r="J984" s="667"/>
      <c r="K984" s="667"/>
      <c r="L984" s="667"/>
      <c r="M984" s="667" t="e">
        <f>G984+#REF!+#REF!+#REF!+I984+#REF!+#REF!+#REF!+#REF!+#REF!+#REF!+K984+#REF!+#REF!+#REF!</f>
        <v>#REF!</v>
      </c>
      <c r="N984" s="667" t="e">
        <f t="shared" si="106"/>
        <v>#REF!</v>
      </c>
      <c r="O984" s="665" t="e">
        <f>#REF!+M984</f>
        <v>#REF!</v>
      </c>
      <c r="P984" s="666" t="e">
        <f t="shared" si="107"/>
        <v>#REF!</v>
      </c>
      <c r="Q984" s="672"/>
      <c r="R984" s="668"/>
      <c r="S984" s="676"/>
      <c r="T984" s="676"/>
    </row>
    <row r="985" spans="1:20" s="677" customFormat="1" ht="83.25" hidden="1" customHeight="1">
      <c r="A985" s="700">
        <f>'Ext. Elec.'!$A$36</f>
        <v>5</v>
      </c>
      <c r="B985" s="666">
        <f t="shared" si="104"/>
        <v>0</v>
      </c>
      <c r="C985" s="663" t="str">
        <f>'Ext. Elec.'!$B$36</f>
        <v xml:space="preserve">Supply and fixing of Brass cable gland suitable for 3.5 core 50 sqmm PVC armoured ALTUG cable( CER NO : 371/18-19)     
</v>
      </c>
      <c r="D985" s="666">
        <v>380.7</v>
      </c>
      <c r="E985" s="674" t="str">
        <f>'Ext. Elec.'!$H$38</f>
        <v>Nos</v>
      </c>
      <c r="F985" s="663">
        <f t="shared" si="105"/>
        <v>0</v>
      </c>
      <c r="G985" s="660"/>
      <c r="H985" s="667"/>
      <c r="I985" s="675"/>
      <c r="J985" s="667"/>
      <c r="K985" s="667"/>
      <c r="L985" s="667"/>
      <c r="M985" s="667" t="e">
        <f>G985+#REF!+#REF!+#REF!+I985+#REF!+#REF!+#REF!+#REF!+#REF!+#REF!+K985+#REF!+#REF!+#REF!</f>
        <v>#REF!</v>
      </c>
      <c r="N985" s="667" t="e">
        <f t="shared" si="106"/>
        <v>#REF!</v>
      </c>
      <c r="O985" s="665" t="e">
        <f>#REF!+M985</f>
        <v>#REF!</v>
      </c>
      <c r="P985" s="666" t="e">
        <f t="shared" si="107"/>
        <v>#REF!</v>
      </c>
      <c r="Q985" s="672"/>
      <c r="R985" s="668"/>
      <c r="S985" s="676"/>
      <c r="T985" s="676"/>
    </row>
    <row r="986" spans="1:20" s="677" customFormat="1" ht="115.15" hidden="1" customHeight="1">
      <c r="A986" s="700">
        <f>'Ext. Elec.'!$A$39</f>
        <v>6</v>
      </c>
      <c r="B986" s="666">
        <f t="shared" si="104"/>
        <v>0</v>
      </c>
      <c r="C986" s="663" t="str">
        <f>'Ext. Elec.'!$B$39</f>
        <v xml:space="preserve">Supply and providing cable end termination of 3 1/2 x 50 sqmm PVC LTUG Aluminium armoured cable with necessary aluminium cable sockets by crimping etc. with electrical connection complete(CER NO : 371/18-19)     
</v>
      </c>
      <c r="D986" s="666">
        <v>229</v>
      </c>
      <c r="E986" s="674" t="str">
        <f>'Ext. Elec.'!$H$41</f>
        <v>Nos</v>
      </c>
      <c r="F986" s="663">
        <f t="shared" si="105"/>
        <v>0</v>
      </c>
      <c r="G986" s="660"/>
      <c r="H986" s="667"/>
      <c r="I986" s="675"/>
      <c r="J986" s="667"/>
      <c r="K986" s="667"/>
      <c r="L986" s="667"/>
      <c r="M986" s="667" t="e">
        <f>G986+#REF!+#REF!+#REF!+I986+#REF!+#REF!+#REF!+#REF!+#REF!+#REF!+K986+#REF!+#REF!+#REF!</f>
        <v>#REF!</v>
      </c>
      <c r="N986" s="667" t="e">
        <f t="shared" si="106"/>
        <v>#REF!</v>
      </c>
      <c r="O986" s="665" t="e">
        <f>#REF!+M986</f>
        <v>#REF!</v>
      </c>
      <c r="P986" s="666" t="e">
        <f t="shared" si="107"/>
        <v>#REF!</v>
      </c>
      <c r="Q986" s="672"/>
      <c r="R986" s="668"/>
      <c r="S986" s="676"/>
      <c r="T986" s="676"/>
    </row>
    <row r="987" spans="1:20" s="677" customFormat="1" ht="126" hidden="1" customHeight="1">
      <c r="A987" s="700">
        <f>'Ext. Elec.'!$A$42</f>
        <v>7</v>
      </c>
      <c r="B987" s="666">
        <f t="shared" si="104"/>
        <v>0</v>
      </c>
      <c r="C987" s="663" t="str">
        <f>'Ext. Elec.'!$B$42</f>
        <v xml:space="preserve">Supplying and fixing of 3 Nos. of 100 amps 500 volts grade porcelain fuse unit on suitable teakwood plank varnished to be fixed on the top of pole/EB street pole with necessary clamps including cost of materials etc., all complete.( CER NO : 371/18-19)  </v>
      </c>
      <c r="D987" s="666">
        <v>1415.3</v>
      </c>
      <c r="E987" s="674" t="str">
        <f>'Ext. Elec.'!$H$44</f>
        <v>No.</v>
      </c>
      <c r="F987" s="663">
        <f t="shared" si="105"/>
        <v>0</v>
      </c>
      <c r="G987" s="660"/>
      <c r="H987" s="667"/>
      <c r="I987" s="675"/>
      <c r="J987" s="667"/>
      <c r="K987" s="667"/>
      <c r="L987" s="667"/>
      <c r="M987" s="667" t="e">
        <f>G987+#REF!+#REF!+#REF!+I987+#REF!+#REF!+#REF!+#REF!+#REF!+#REF!+K987+#REF!+#REF!+#REF!</f>
        <v>#REF!</v>
      </c>
      <c r="N987" s="667" t="e">
        <f t="shared" si="106"/>
        <v>#REF!</v>
      </c>
      <c r="O987" s="665" t="e">
        <f>#REF!+M987</f>
        <v>#REF!</v>
      </c>
      <c r="P987" s="666" t="e">
        <f t="shared" si="107"/>
        <v>#REF!</v>
      </c>
      <c r="Q987" s="672"/>
      <c r="R987" s="668"/>
      <c r="S987" s="676"/>
      <c r="T987" s="676"/>
    </row>
    <row r="988" spans="1:20" s="677" customFormat="1" ht="83.25" hidden="1" customHeight="1">
      <c r="A988" s="700">
        <f>'Ext. Elec.'!$A$45</f>
        <v>8</v>
      </c>
      <c r="B988" s="666">
        <f t="shared" si="104"/>
        <v>0</v>
      </c>
      <c r="C988" s="663" t="str">
        <f>'Ext. Elec.'!$B$45</f>
        <v xml:space="preserve">Labour charges for laying of  3.5 core 50 sqmm PVC armoured ALTUG Cable
a) Above Ground Level( CER NO : 371/18-19)  </v>
      </c>
      <c r="D988" s="666">
        <v>100.75</v>
      </c>
      <c r="E988" s="674" t="str">
        <f>'Ext. Elec.'!$H$47</f>
        <v>Rmt</v>
      </c>
      <c r="F988" s="663">
        <f t="shared" si="105"/>
        <v>0</v>
      </c>
      <c r="G988" s="660"/>
      <c r="H988" s="667"/>
      <c r="I988" s="675"/>
      <c r="J988" s="667"/>
      <c r="K988" s="667"/>
      <c r="L988" s="667"/>
      <c r="M988" s="667" t="e">
        <f>G988+#REF!+#REF!+#REF!+I988+#REF!+#REF!+#REF!+#REF!+#REF!+#REF!+K988+#REF!+#REF!+#REF!</f>
        <v>#REF!</v>
      </c>
      <c r="N988" s="667" t="e">
        <f t="shared" si="106"/>
        <v>#REF!</v>
      </c>
      <c r="O988" s="665" t="e">
        <f>#REF!+M988</f>
        <v>#REF!</v>
      </c>
      <c r="P988" s="666" t="e">
        <f t="shared" si="107"/>
        <v>#REF!</v>
      </c>
      <c r="Q988" s="672"/>
      <c r="R988" s="668"/>
      <c r="S988" s="676"/>
      <c r="T988" s="676"/>
    </row>
    <row r="989" spans="1:20" s="677" customFormat="1" ht="60" hidden="1" customHeight="1">
      <c r="A989" s="700">
        <f>'Ext. Elec.'!$A$54</f>
        <v>9</v>
      </c>
      <c r="B989" s="666">
        <f t="shared" si="104"/>
        <v>0</v>
      </c>
      <c r="C989" s="663" t="str">
        <f>'Ext. Elec.'!$B$54</f>
        <v xml:space="preserve">Supplying and fixing of single pole 6 Amps to 32 Amps MCB( CER NO : 371/18-19)  </v>
      </c>
      <c r="D989" s="666">
        <v>125</v>
      </c>
      <c r="E989" s="674" t="str">
        <f>'Ext. Elec.'!$H$56</f>
        <v>Nos</v>
      </c>
      <c r="F989" s="663">
        <f t="shared" si="105"/>
        <v>0</v>
      </c>
      <c r="G989" s="660"/>
      <c r="H989" s="667"/>
      <c r="I989" s="675"/>
      <c r="J989" s="667"/>
      <c r="K989" s="667"/>
      <c r="L989" s="667"/>
      <c r="M989" s="667" t="e">
        <f>G989+#REF!+#REF!+#REF!+I989+#REF!+#REF!+#REF!+#REF!+#REF!+#REF!+K989+#REF!+#REF!+#REF!</f>
        <v>#REF!</v>
      </c>
      <c r="N989" s="667" t="e">
        <f t="shared" si="106"/>
        <v>#REF!</v>
      </c>
      <c r="O989" s="665" t="e">
        <f>#REF!+M989</f>
        <v>#REF!</v>
      </c>
      <c r="P989" s="666" t="e">
        <f t="shared" si="107"/>
        <v>#REF!</v>
      </c>
      <c r="Q989" s="672"/>
      <c r="R989" s="668"/>
      <c r="S989" s="676"/>
      <c r="T989" s="676"/>
    </row>
    <row r="990" spans="1:20" s="677" customFormat="1" ht="83.25" hidden="1" customHeight="1">
      <c r="A990" s="700">
        <f>'Ext. Elec.'!$A$57</f>
        <v>10</v>
      </c>
      <c r="B990" s="666">
        <f t="shared" si="104"/>
        <v>0</v>
      </c>
      <c r="C990" s="663" t="str">
        <f>'Ext. Elec.'!$B$57</f>
        <v xml:space="preserve">Supplying and fixing of 4' 18 W LED Tube light fittings etc.,( CER NO : 371/18-19)  </v>
      </c>
      <c r="D990" s="666">
        <f>[14]Elec.Data!K3787</f>
        <v>663.89</v>
      </c>
      <c r="E990" s="674" t="str">
        <f>'Ext. Elec.'!$H$66</f>
        <v>Nos</v>
      </c>
      <c r="F990" s="663">
        <f t="shared" si="105"/>
        <v>0</v>
      </c>
      <c r="G990" s="660"/>
      <c r="H990" s="667"/>
      <c r="I990" s="675"/>
      <c r="J990" s="667"/>
      <c r="K990" s="667"/>
      <c r="L990" s="667"/>
      <c r="M990" s="667" t="e">
        <f>G990+#REF!+#REF!+#REF!+I990+#REF!+#REF!+#REF!+#REF!+#REF!+#REF!+K990+#REF!+#REF!+#REF!</f>
        <v>#REF!</v>
      </c>
      <c r="N990" s="667" t="e">
        <f t="shared" si="106"/>
        <v>#REF!</v>
      </c>
      <c r="O990" s="665" t="e">
        <f>#REF!+M990</f>
        <v>#REF!</v>
      </c>
      <c r="P990" s="666" t="e">
        <f t="shared" si="107"/>
        <v>#REF!</v>
      </c>
      <c r="Q990" s="672"/>
      <c r="R990" s="668"/>
      <c r="S990" s="676"/>
      <c r="T990" s="676"/>
    </row>
    <row r="991" spans="1:20" s="677" customFormat="1" ht="60" hidden="1" customHeight="1">
      <c r="A991" s="700">
        <f>'Ext. Elec.'!$A$67</f>
        <v>11</v>
      </c>
      <c r="B991" s="666">
        <f t="shared" si="104"/>
        <v>0</v>
      </c>
      <c r="C991" s="663" t="str">
        <f>'Ext. Elec.'!$B$67</f>
        <v xml:space="preserve">Supplying and fixing of 12 w LED Bulb etc., all complete.( CER NO : 371/18-19)  </v>
      </c>
      <c r="D991" s="666">
        <v>170</v>
      </c>
      <c r="E991" s="674" t="str">
        <f>'Ext. Elec.'!$H$75</f>
        <v>Nos</v>
      </c>
      <c r="F991" s="663">
        <f t="shared" si="105"/>
        <v>0</v>
      </c>
      <c r="G991" s="660"/>
      <c r="H991" s="667"/>
      <c r="I991" s="675"/>
      <c r="J991" s="667"/>
      <c r="K991" s="667"/>
      <c r="L991" s="667"/>
      <c r="M991" s="667" t="e">
        <f>G991+#REF!+#REF!+#REF!+I991+#REF!+#REF!+#REF!+#REF!+#REF!+#REF!+K991+#REF!+#REF!+#REF!</f>
        <v>#REF!</v>
      </c>
      <c r="N991" s="667" t="e">
        <f t="shared" si="106"/>
        <v>#REF!</v>
      </c>
      <c r="O991" s="665" t="e">
        <f>#REF!+M991</f>
        <v>#REF!</v>
      </c>
      <c r="P991" s="666" t="e">
        <f t="shared" si="107"/>
        <v>#REF!</v>
      </c>
      <c r="Q991" s="672"/>
      <c r="R991" s="668"/>
      <c r="S991" s="676"/>
      <c r="T991" s="676"/>
    </row>
    <row r="992" spans="1:20" s="677" customFormat="1" ht="60" hidden="1" customHeight="1">
      <c r="A992" s="700">
        <f>'Ext. Elec.'!$A$76</f>
        <v>12</v>
      </c>
      <c r="B992" s="666">
        <f t="shared" si="104"/>
        <v>0</v>
      </c>
      <c r="C992" s="663" t="str">
        <f>'Ext. Elec.'!$B$76</f>
        <v xml:space="preserve">Supplying and fixing of Following watt LED Lamp etc., all complete.( CER NO : 371/18-19)  </v>
      </c>
      <c r="D992" s="666"/>
      <c r="E992" s="674"/>
      <c r="F992" s="663">
        <f t="shared" si="105"/>
        <v>0</v>
      </c>
      <c r="G992" s="660"/>
      <c r="H992" s="667"/>
      <c r="I992" s="675"/>
      <c r="J992" s="667"/>
      <c r="K992" s="667"/>
      <c r="L992" s="667"/>
      <c r="M992" s="667" t="e">
        <f>G992+#REF!+#REF!+#REF!+I992+#REF!+#REF!+#REF!+#REF!+#REF!+#REF!+K992+#REF!+#REF!+#REF!</f>
        <v>#REF!</v>
      </c>
      <c r="N992" s="667" t="e">
        <f t="shared" si="106"/>
        <v>#REF!</v>
      </c>
      <c r="O992" s="665" t="e">
        <f>#REF!+M992</f>
        <v>#REF!</v>
      </c>
      <c r="P992" s="666" t="e">
        <f t="shared" si="107"/>
        <v>#REF!</v>
      </c>
      <c r="Q992" s="672"/>
      <c r="R992" s="668"/>
      <c r="S992" s="676"/>
      <c r="T992" s="676"/>
    </row>
    <row r="993" spans="1:20" s="677" customFormat="1" ht="45" hidden="1" customHeight="1">
      <c r="A993" s="700"/>
      <c r="B993" s="666">
        <f t="shared" si="104"/>
        <v>0</v>
      </c>
      <c r="C993" s="663" t="str">
        <f>'Ext. Elec.'!$B$77</f>
        <v>a) 9W LED Bulb</v>
      </c>
      <c r="D993" s="666">
        <v>134</v>
      </c>
      <c r="E993" s="674" t="str">
        <f>'Ext. Elec.'!$H$83</f>
        <v>Nos</v>
      </c>
      <c r="F993" s="663">
        <f t="shared" si="105"/>
        <v>0</v>
      </c>
      <c r="G993" s="660"/>
      <c r="H993" s="667"/>
      <c r="I993" s="675"/>
      <c r="J993" s="667"/>
      <c r="K993" s="667"/>
      <c r="L993" s="667"/>
      <c r="M993" s="667" t="e">
        <f>G993+#REF!+#REF!+#REF!+I993+#REF!+#REF!+#REF!+#REF!+#REF!+#REF!+K993+#REF!+#REF!+#REF!</f>
        <v>#REF!</v>
      </c>
      <c r="N993" s="667" t="e">
        <f t="shared" si="106"/>
        <v>#REF!</v>
      </c>
      <c r="O993" s="665" t="e">
        <f>#REF!+M993</f>
        <v>#REF!</v>
      </c>
      <c r="P993" s="666" t="e">
        <f t="shared" si="107"/>
        <v>#REF!</v>
      </c>
      <c r="Q993" s="672"/>
      <c r="R993" s="668"/>
      <c r="S993" s="676"/>
      <c r="T993" s="676"/>
    </row>
    <row r="994" spans="1:20" s="677" customFormat="1" ht="83.25" hidden="1" customHeight="1">
      <c r="A994" s="700">
        <f>'Ext. Elec.'!$A$84</f>
        <v>13</v>
      </c>
      <c r="B994" s="666">
        <f t="shared" si="104"/>
        <v>0</v>
      </c>
      <c r="C994" s="663" t="str">
        <f>'Ext. Elec.'!$B$84</f>
        <v xml:space="preserve">Supplying and fixing of BulkHead Fittings suitable for 12 w LED Bulb etc., all complete.( CER NO : 371/18-19)  </v>
      </c>
      <c r="D994" s="666">
        <v>431</v>
      </c>
      <c r="E994" s="674" t="str">
        <f>'Ext. Elec.'!$H$89</f>
        <v>Nos</v>
      </c>
      <c r="F994" s="663">
        <f t="shared" si="105"/>
        <v>0</v>
      </c>
      <c r="G994" s="660"/>
      <c r="H994" s="667"/>
      <c r="I994" s="675"/>
      <c r="J994" s="667"/>
      <c r="K994" s="667"/>
      <c r="L994" s="667"/>
      <c r="M994" s="667" t="e">
        <f>G994+#REF!+#REF!+#REF!+I994+#REF!+#REF!+#REF!+#REF!+#REF!+#REF!+K994+#REF!+#REF!+#REF!</f>
        <v>#REF!</v>
      </c>
      <c r="N994" s="667" t="e">
        <f t="shared" si="106"/>
        <v>#REF!</v>
      </c>
      <c r="O994" s="665" t="e">
        <f>#REF!+M994</f>
        <v>#REF!</v>
      </c>
      <c r="P994" s="666" t="e">
        <f t="shared" si="107"/>
        <v>#REF!</v>
      </c>
      <c r="Q994" s="672"/>
      <c r="R994" s="668"/>
      <c r="S994" s="676"/>
      <c r="T994" s="676"/>
    </row>
    <row r="995" spans="1:20" s="677" customFormat="1" ht="83.25" hidden="1" customHeight="1">
      <c r="A995" s="700">
        <f>'Ext. Elec.'!$A$90</f>
        <v>14</v>
      </c>
      <c r="B995" s="666">
        <f t="shared" si="104"/>
        <v>0</v>
      </c>
      <c r="C995" s="663" t="str">
        <f>'Ext. Elec.'!$B$90</f>
        <v xml:space="preserve">Supply and fixing of 25w LED street light  fitting including all labour charges for LED street light  fittings etc.all complete </v>
      </c>
      <c r="D995" s="666">
        <v>2780</v>
      </c>
      <c r="E995" s="674" t="str">
        <f>'Ext. Elec.'!$H$94</f>
        <v>Nos</v>
      </c>
      <c r="F995" s="663">
        <f t="shared" si="105"/>
        <v>0</v>
      </c>
      <c r="G995" s="660"/>
      <c r="H995" s="667"/>
      <c r="I995" s="675"/>
      <c r="J995" s="667"/>
      <c r="K995" s="667"/>
      <c r="L995" s="667"/>
      <c r="M995" s="667" t="e">
        <f>G995+#REF!+#REF!+#REF!+I995+#REF!+#REF!+#REF!+#REF!+#REF!+#REF!+K995+#REF!+#REF!+#REF!</f>
        <v>#REF!</v>
      </c>
      <c r="N995" s="667" t="e">
        <f t="shared" si="106"/>
        <v>#REF!</v>
      </c>
      <c r="O995" s="665" t="e">
        <f>#REF!+M995</f>
        <v>#REF!</v>
      </c>
      <c r="P995" s="666" t="e">
        <f t="shared" si="107"/>
        <v>#REF!</v>
      </c>
      <c r="Q995" s="672"/>
      <c r="R995" s="668"/>
      <c r="S995" s="676"/>
      <c r="T995" s="676"/>
    </row>
    <row r="996" spans="1:20" s="677" customFormat="1" ht="152.44999999999999" hidden="1" customHeight="1">
      <c r="A996" s="700">
        <f>'Ext. Elec.'!$A$95</f>
        <v>15</v>
      </c>
      <c r="B996" s="666">
        <f t="shared" si="104"/>
        <v>0</v>
      </c>
      <c r="C996" s="663" t="str">
        <f>'Ext. Elec.'!$B$95</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D996" s="666">
        <v>140.25</v>
      </c>
      <c r="E996" s="674" t="str">
        <f>'Ext. Elec.'!$H$97</f>
        <v>Nos</v>
      </c>
      <c r="F996" s="663">
        <f t="shared" si="105"/>
        <v>0</v>
      </c>
      <c r="G996" s="660"/>
      <c r="H996" s="667"/>
      <c r="I996" s="675"/>
      <c r="J996" s="667"/>
      <c r="K996" s="667"/>
      <c r="L996" s="667"/>
      <c r="M996" s="667" t="e">
        <f>G996+#REF!+#REF!+#REF!+I996+#REF!+#REF!+#REF!+#REF!+#REF!+#REF!+K996+#REF!+#REF!+#REF!</f>
        <v>#REF!</v>
      </c>
      <c r="N996" s="667" t="e">
        <f t="shared" si="106"/>
        <v>#REF!</v>
      </c>
      <c r="O996" s="665" t="e">
        <f>#REF!+M996</f>
        <v>#REF!</v>
      </c>
      <c r="P996" s="666" t="e">
        <f t="shared" si="107"/>
        <v>#REF!</v>
      </c>
      <c r="Q996" s="672"/>
      <c r="R996" s="668"/>
      <c r="S996" s="676"/>
      <c r="T996" s="676"/>
    </row>
    <row r="997" spans="1:20" s="677" customFormat="1" ht="60" hidden="1" customHeight="1">
      <c r="A997" s="700">
        <f>'Ext. Elec.'!$A$98</f>
        <v>16</v>
      </c>
      <c r="B997" s="666">
        <f t="shared" si="104"/>
        <v>0</v>
      </c>
      <c r="C997" s="663" t="str">
        <f>'Ext. Elec.'!$B$98</f>
        <v>Supplying &amp; fixing of 500 watt Focus light fittings etc., all complete.</v>
      </c>
      <c r="D997" s="666">
        <v>800</v>
      </c>
      <c r="E997" s="674" t="str">
        <f>'Ext. Elec.'!$H$100</f>
        <v>Nos</v>
      </c>
      <c r="F997" s="663">
        <f t="shared" si="105"/>
        <v>0</v>
      </c>
      <c r="G997" s="660"/>
      <c r="H997" s="667"/>
      <c r="I997" s="675"/>
      <c r="J997" s="667"/>
      <c r="K997" s="667"/>
      <c r="L997" s="667"/>
      <c r="M997" s="667" t="e">
        <f>G997+#REF!+#REF!+#REF!+I997+#REF!+#REF!+#REF!+#REF!+#REF!+#REF!+K997+#REF!+#REF!+#REF!</f>
        <v>#REF!</v>
      </c>
      <c r="N997" s="667" t="e">
        <f t="shared" si="106"/>
        <v>#REF!</v>
      </c>
      <c r="O997" s="665" t="e">
        <f>#REF!+M997</f>
        <v>#REF!</v>
      </c>
      <c r="P997" s="666" t="e">
        <f t="shared" si="107"/>
        <v>#REF!</v>
      </c>
      <c r="Q997" s="672"/>
      <c r="R997" s="668"/>
      <c r="S997" s="676"/>
      <c r="T997" s="676"/>
    </row>
    <row r="998" spans="1:20" s="677" customFormat="1" ht="60" hidden="1" customHeight="1">
      <c r="A998" s="700">
        <f>'Ext. Elec.'!$A$101</f>
        <v>17</v>
      </c>
      <c r="B998" s="666">
        <f t="shared" si="104"/>
        <v>0</v>
      </c>
      <c r="C998" s="663" t="str">
        <f>'Ext. Elec.'!$B$101</f>
        <v>Supplying and fixing of 250 watt sodium vapour fitting and lamp etc., all complete.</v>
      </c>
      <c r="D998" s="666">
        <v>3529</v>
      </c>
      <c r="E998" s="674" t="str">
        <f>'Ext. Elec.'!$H$103</f>
        <v>No</v>
      </c>
      <c r="F998" s="663">
        <f t="shared" si="105"/>
        <v>0</v>
      </c>
      <c r="G998" s="660"/>
      <c r="H998" s="667"/>
      <c r="I998" s="675"/>
      <c r="J998" s="667"/>
      <c r="K998" s="667"/>
      <c r="L998" s="667"/>
      <c r="M998" s="667" t="e">
        <f>G998+#REF!+#REF!+#REF!+I998+#REF!+#REF!+#REF!+#REF!+#REF!+#REF!+K998+#REF!+#REF!+#REF!</f>
        <v>#REF!</v>
      </c>
      <c r="N998" s="667" t="e">
        <f t="shared" si="106"/>
        <v>#REF!</v>
      </c>
      <c r="O998" s="665" t="e">
        <f>#REF!+M998</f>
        <v>#REF!</v>
      </c>
      <c r="P998" s="666" t="e">
        <f t="shared" si="107"/>
        <v>#REF!</v>
      </c>
      <c r="Q998" s="672"/>
      <c r="R998" s="668"/>
      <c r="S998" s="676"/>
      <c r="T998" s="676"/>
    </row>
    <row r="999" spans="1:20" s="677" customFormat="1" ht="60" hidden="1" customHeight="1">
      <c r="A999" s="700">
        <f>'Ext. Elec.'!$A$104</f>
        <v>18</v>
      </c>
      <c r="B999" s="666">
        <f t="shared" si="104"/>
        <v>0</v>
      </c>
      <c r="C999" s="663" t="str">
        <f>'Ext. Elec.'!$B$104</f>
        <v>Supplying &amp; fixing  of  12" dome light fittings and 9watts led bulb etc., all complete.</v>
      </c>
      <c r="D999" s="666">
        <v>750</v>
      </c>
      <c r="E999" s="674" t="str">
        <f>'Ext. Elec.'!$H$106</f>
        <v>Nos</v>
      </c>
      <c r="F999" s="663">
        <f t="shared" si="105"/>
        <v>0</v>
      </c>
      <c r="G999" s="660"/>
      <c r="H999" s="667"/>
      <c r="I999" s="675"/>
      <c r="J999" s="667"/>
      <c r="K999" s="667"/>
      <c r="L999" s="667"/>
      <c r="M999" s="667" t="e">
        <f>G999+#REF!+#REF!+#REF!+I999+#REF!+#REF!+#REF!+#REF!+#REF!+#REF!+K999+#REF!+#REF!+#REF!</f>
        <v>#REF!</v>
      </c>
      <c r="N999" s="667" t="e">
        <f t="shared" si="106"/>
        <v>#REF!</v>
      </c>
      <c r="O999" s="665" t="e">
        <f>#REF!+M999</f>
        <v>#REF!</v>
      </c>
      <c r="P999" s="666" t="e">
        <f t="shared" si="107"/>
        <v>#REF!</v>
      </c>
      <c r="Q999" s="672"/>
      <c r="R999" s="668"/>
      <c r="S999" s="676"/>
      <c r="T999" s="676"/>
    </row>
    <row r="1000" spans="1:20" s="677" customFormat="1" ht="60" hidden="1" customHeight="1">
      <c r="A1000" s="700">
        <f>'Ext. Elec.'!$A$107</f>
        <v>19</v>
      </c>
      <c r="B1000" s="666">
        <f t="shared" si="104"/>
        <v>0</v>
      </c>
      <c r="C1000" s="663" t="str">
        <f>'Ext. Elec.'!$B$107</f>
        <v>Supplying &amp; fixing of spot light fittings and led bulb etc., all complete.</v>
      </c>
      <c r="D1000" s="666">
        <v>475</v>
      </c>
      <c r="E1000" s="674" t="str">
        <f>'Ext. Elec.'!$H$109</f>
        <v>Nos</v>
      </c>
      <c r="F1000" s="663">
        <f t="shared" si="105"/>
        <v>0</v>
      </c>
      <c r="G1000" s="660"/>
      <c r="H1000" s="667"/>
      <c r="I1000" s="675"/>
      <c r="J1000" s="667"/>
      <c r="K1000" s="667"/>
      <c r="L1000" s="667"/>
      <c r="M1000" s="667" t="e">
        <f>G1000+#REF!+#REF!+#REF!+I1000+#REF!+#REF!+#REF!+#REF!+#REF!+#REF!+K1000+#REF!+#REF!+#REF!</f>
        <v>#REF!</v>
      </c>
      <c r="N1000" s="667" t="e">
        <f t="shared" si="106"/>
        <v>#REF!</v>
      </c>
      <c r="O1000" s="665" t="e">
        <f>#REF!+M1000</f>
        <v>#REF!</v>
      </c>
      <c r="P1000" s="666" t="e">
        <f t="shared" si="107"/>
        <v>#REF!</v>
      </c>
      <c r="Q1000" s="672"/>
      <c r="R1000" s="668"/>
      <c r="S1000" s="676"/>
      <c r="T1000" s="676"/>
    </row>
    <row r="1001" spans="1:20" s="677" customFormat="1" ht="186" hidden="1">
      <c r="A1001" s="700">
        <f>'Ext. Elec.'!$A$110</f>
        <v>20</v>
      </c>
      <c r="B1001" s="666">
        <f t="shared" si="104"/>
        <v>0</v>
      </c>
      <c r="C1001" s="663" t="str">
        <f>'Ext. Elec.'!$B$110</f>
        <v>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v>
      </c>
      <c r="D1001" s="666">
        <v>12940</v>
      </c>
      <c r="E1001" s="674" t="str">
        <f>'Ext. Elec.'!$H$112</f>
        <v>No</v>
      </c>
      <c r="F1001" s="663">
        <f t="shared" si="105"/>
        <v>0</v>
      </c>
      <c r="G1001" s="660"/>
      <c r="H1001" s="667"/>
      <c r="I1001" s="675"/>
      <c r="J1001" s="667"/>
      <c r="K1001" s="667"/>
      <c r="L1001" s="667"/>
      <c r="M1001" s="667" t="e">
        <f>G1001+#REF!+#REF!+#REF!+I1001+#REF!+#REF!+#REF!+#REF!+#REF!+#REF!+K1001+#REF!+#REF!+#REF!</f>
        <v>#REF!</v>
      </c>
      <c r="N1001" s="667" t="e">
        <f t="shared" si="106"/>
        <v>#REF!</v>
      </c>
      <c r="O1001" s="665" t="e">
        <f>#REF!+M1001</f>
        <v>#REF!</v>
      </c>
      <c r="P1001" s="666" t="e">
        <f t="shared" si="107"/>
        <v>#REF!</v>
      </c>
      <c r="Q1001" s="672"/>
      <c r="R1001" s="668"/>
      <c r="S1001" s="676"/>
      <c r="T1001" s="676"/>
    </row>
    <row r="1002" spans="1:20" s="677" customFormat="1" ht="34.9" hidden="1" customHeight="1">
      <c r="A1002" s="700"/>
      <c r="B1002" s="666">
        <f t="shared" si="104"/>
        <v>0</v>
      </c>
      <c r="C1002" s="785" t="s">
        <v>1957</v>
      </c>
      <c r="D1002" s="666"/>
      <c r="E1002" s="674"/>
      <c r="F1002" s="663">
        <f t="shared" si="105"/>
        <v>0</v>
      </c>
      <c r="G1002" s="660"/>
      <c r="H1002" s="667"/>
      <c r="I1002" s="675"/>
      <c r="J1002" s="667"/>
      <c r="K1002" s="667"/>
      <c r="L1002" s="667"/>
      <c r="M1002" s="667" t="e">
        <f>G1002+#REF!+#REF!+#REF!+I1002+#REF!+#REF!+#REF!+#REF!+#REF!+#REF!+K1002+#REF!+#REF!+#REF!</f>
        <v>#REF!</v>
      </c>
      <c r="N1002" s="667" t="e">
        <f t="shared" si="106"/>
        <v>#REF!</v>
      </c>
      <c r="O1002" s="665" t="e">
        <f>#REF!+M1002</f>
        <v>#REF!</v>
      </c>
      <c r="P1002" s="666" t="e">
        <f t="shared" si="107"/>
        <v>#REF!</v>
      </c>
      <c r="Q1002" s="672"/>
      <c r="R1002" s="668"/>
      <c r="S1002" s="676"/>
      <c r="T1002" s="676"/>
    </row>
    <row r="1003" spans="1:20" s="677" customFormat="1" ht="128.44999999999999" hidden="1" customHeight="1">
      <c r="A1003" s="700">
        <f>'L &amp; N'!$A$7</f>
        <v>1</v>
      </c>
      <c r="B1003" s="666">
        <f t="shared" si="104"/>
        <v>0</v>
      </c>
      <c r="C1003" s="663">
        <f>'L &amp; N'!$B$7:$I$7</f>
        <v>0</v>
      </c>
      <c r="D1003" s="666"/>
      <c r="E1003" s="674"/>
      <c r="F1003" s="663">
        <f t="shared" si="105"/>
        <v>0</v>
      </c>
      <c r="G1003" s="660"/>
      <c r="H1003" s="667"/>
      <c r="I1003" s="675"/>
      <c r="J1003" s="667"/>
      <c r="K1003" s="667"/>
      <c r="L1003" s="667"/>
      <c r="M1003" s="667" t="e">
        <f>G1003+#REF!+#REF!+#REF!+I1003+#REF!+#REF!+#REF!+#REF!+#REF!+#REF!+K1003+#REF!+#REF!+#REF!</f>
        <v>#REF!</v>
      </c>
      <c r="N1003" s="667" t="e">
        <f t="shared" si="106"/>
        <v>#REF!</v>
      </c>
      <c r="O1003" s="665" t="e">
        <f>#REF!+M1003</f>
        <v>#REF!</v>
      </c>
      <c r="P1003" s="666" t="e">
        <f t="shared" si="107"/>
        <v>#REF!</v>
      </c>
      <c r="Q1003" s="672"/>
      <c r="R1003" s="668"/>
      <c r="S1003" s="676"/>
      <c r="T1003" s="676"/>
    </row>
    <row r="1004" spans="1:20" s="677" customFormat="1" ht="45" hidden="1" customHeight="1">
      <c r="A1004" s="700"/>
      <c r="B1004" s="666">
        <f t="shared" si="104"/>
        <v>0</v>
      </c>
      <c r="C1004" s="663" t="str">
        <f>'L &amp; N'!$B$8</f>
        <v>a) 30cm Letters (12")</v>
      </c>
      <c r="D1004" s="666">
        <v>1250</v>
      </c>
      <c r="E1004" s="674" t="str">
        <f>'L &amp; N'!$J$10</f>
        <v>Nos.</v>
      </c>
      <c r="F1004" s="663">
        <f t="shared" si="105"/>
        <v>0</v>
      </c>
      <c r="G1004" s="660"/>
      <c r="H1004" s="667"/>
      <c r="I1004" s="675"/>
      <c r="J1004" s="667"/>
      <c r="K1004" s="667"/>
      <c r="L1004" s="667"/>
      <c r="M1004" s="667" t="e">
        <f>G1004+#REF!+#REF!+#REF!+I1004+#REF!+#REF!+#REF!+#REF!+#REF!+#REF!+K1004+#REF!+#REF!+#REF!</f>
        <v>#REF!</v>
      </c>
      <c r="N1004" s="667" t="e">
        <f t="shared" si="106"/>
        <v>#REF!</v>
      </c>
      <c r="O1004" s="665" t="e">
        <f>#REF!+M1004</f>
        <v>#REF!</v>
      </c>
      <c r="P1004" s="666" t="e">
        <f t="shared" si="107"/>
        <v>#REF!</v>
      </c>
      <c r="Q1004" s="672"/>
      <c r="R1004" s="668"/>
      <c r="S1004" s="676"/>
      <c r="T1004" s="676"/>
    </row>
    <row r="1005" spans="1:20" s="677" customFormat="1" ht="45" hidden="1" customHeight="1">
      <c r="A1005" s="700"/>
      <c r="B1005" s="666">
        <f t="shared" si="104"/>
        <v>0</v>
      </c>
      <c r="C1005" s="663" t="str">
        <f>'L &amp; N'!$B$12</f>
        <v>b) 23cm Letters (9")</v>
      </c>
      <c r="D1005" s="666">
        <v>1092</v>
      </c>
      <c r="E1005" s="674" t="str">
        <f>'L &amp; N'!$J$14</f>
        <v>Nos</v>
      </c>
      <c r="F1005" s="663">
        <f t="shared" si="105"/>
        <v>0</v>
      </c>
      <c r="G1005" s="660"/>
      <c r="H1005" s="667"/>
      <c r="I1005" s="675"/>
      <c r="J1005" s="667"/>
      <c r="K1005" s="667"/>
      <c r="L1005" s="667"/>
      <c r="M1005" s="667" t="e">
        <f>G1005+#REF!+#REF!+#REF!+I1005+#REF!+#REF!+#REF!+#REF!+#REF!+#REF!+K1005+#REF!+#REF!+#REF!</f>
        <v>#REF!</v>
      </c>
      <c r="N1005" s="667" t="e">
        <f t="shared" si="106"/>
        <v>#REF!</v>
      </c>
      <c r="O1005" s="665" t="e">
        <f>#REF!+M1005</f>
        <v>#REF!</v>
      </c>
      <c r="P1005" s="666" t="e">
        <f t="shared" si="107"/>
        <v>#REF!</v>
      </c>
      <c r="Q1005" s="672"/>
      <c r="R1005" s="668"/>
      <c r="S1005" s="676"/>
      <c r="T1005" s="676"/>
    </row>
    <row r="1006" spans="1:20" s="677" customFormat="1" ht="45" hidden="1" customHeight="1">
      <c r="A1006" s="700">
        <f>'L &amp; N'!$A$16</f>
        <v>2</v>
      </c>
      <c r="B1006" s="666">
        <f t="shared" si="104"/>
        <v>0</v>
      </c>
      <c r="C1006" s="663">
        <f>'L &amp; N'!$B$16:$I$16</f>
        <v>0</v>
      </c>
      <c r="D1006" s="666">
        <v>3000</v>
      </c>
      <c r="E1006" s="674" t="str">
        <f>'L &amp; N'!$J$18</f>
        <v>No.</v>
      </c>
      <c r="F1006" s="663">
        <f t="shared" si="105"/>
        <v>0</v>
      </c>
      <c r="G1006" s="660"/>
      <c r="H1006" s="667"/>
      <c r="I1006" s="675"/>
      <c r="J1006" s="667"/>
      <c r="K1006" s="667"/>
      <c r="L1006" s="667"/>
      <c r="M1006" s="667" t="e">
        <f>G1006+#REF!+#REF!+#REF!+I1006+#REF!+#REF!+#REF!+#REF!+#REF!+#REF!+K1006+#REF!+#REF!+#REF!</f>
        <v>#REF!</v>
      </c>
      <c r="N1006" s="667" t="e">
        <f t="shared" si="106"/>
        <v>#REF!</v>
      </c>
      <c r="O1006" s="665" t="e">
        <f>#REF!+M1006</f>
        <v>#REF!</v>
      </c>
      <c r="P1006" s="666" t="e">
        <f t="shared" si="107"/>
        <v>#REF!</v>
      </c>
      <c r="Q1006" s="672"/>
      <c r="R1006" s="668"/>
      <c r="S1006" s="676"/>
      <c r="T1006" s="676"/>
    </row>
    <row r="1007" spans="1:20" s="677" customFormat="1" ht="45" hidden="1" customHeight="1">
      <c r="A1007" s="700">
        <f>'L &amp; N'!$A$20</f>
        <v>3</v>
      </c>
      <c r="B1007" s="666">
        <f t="shared" si="104"/>
        <v>0</v>
      </c>
      <c r="C1007" s="663">
        <f>'L &amp; N'!$B$20:$I$20</f>
        <v>0</v>
      </c>
      <c r="D1007" s="666">
        <v>4500</v>
      </c>
      <c r="E1007" s="674" t="str">
        <f>'L &amp; N'!$J$22</f>
        <v>No.</v>
      </c>
      <c r="F1007" s="663">
        <f t="shared" si="105"/>
        <v>0</v>
      </c>
      <c r="G1007" s="660"/>
      <c r="H1007" s="667"/>
      <c r="I1007" s="675"/>
      <c r="J1007" s="667"/>
      <c r="K1007" s="667"/>
      <c r="L1007" s="667"/>
      <c r="M1007" s="667" t="e">
        <f>G1007+#REF!+#REF!+#REF!+I1007+#REF!+#REF!+#REF!+#REF!+#REF!+#REF!+K1007+#REF!+#REF!+#REF!</f>
        <v>#REF!</v>
      </c>
      <c r="N1007" s="667" t="e">
        <f t="shared" si="106"/>
        <v>#REF!</v>
      </c>
      <c r="O1007" s="665" t="e">
        <f>#REF!+M1007</f>
        <v>#REF!</v>
      </c>
      <c r="P1007" s="666" t="e">
        <f t="shared" si="107"/>
        <v>#REF!</v>
      </c>
      <c r="Q1007" s="672"/>
      <c r="R1007" s="668"/>
      <c r="S1007" s="676"/>
      <c r="T1007" s="676"/>
    </row>
    <row r="1008" spans="1:20" s="677" customFormat="1" ht="60" hidden="1" customHeight="1">
      <c r="A1008" s="700">
        <f>'L &amp; N'!$A$24</f>
        <v>4</v>
      </c>
      <c r="B1008" s="666">
        <f t="shared" si="104"/>
        <v>0</v>
      </c>
      <c r="C1008" s="663">
        <f>'L &amp; N'!$B$24:$I$24</f>
        <v>0</v>
      </c>
      <c r="D1008" s="666">
        <v>5</v>
      </c>
      <c r="E1008" s="674" t="str">
        <f>'L &amp; N'!$J$27</f>
        <v>Sq. Inch</v>
      </c>
      <c r="F1008" s="663">
        <f t="shared" si="105"/>
        <v>0</v>
      </c>
      <c r="G1008" s="660"/>
      <c r="H1008" s="667"/>
      <c r="I1008" s="675"/>
      <c r="J1008" s="667"/>
      <c r="K1008" s="667"/>
      <c r="L1008" s="667"/>
      <c r="M1008" s="667" t="e">
        <f>G1008+#REF!+#REF!+#REF!+I1008+#REF!+#REF!+#REF!+#REF!+#REF!+#REF!+K1008+#REF!+#REF!+#REF!</f>
        <v>#REF!</v>
      </c>
      <c r="N1008" s="667" t="e">
        <f t="shared" si="106"/>
        <v>#REF!</v>
      </c>
      <c r="O1008" s="665" t="e">
        <f>#REF!+M1008</f>
        <v>#REF!</v>
      </c>
      <c r="P1008" s="666" t="e">
        <f t="shared" si="107"/>
        <v>#REF!</v>
      </c>
      <c r="Q1008" s="672"/>
      <c r="R1008" s="668"/>
      <c r="S1008" s="676"/>
      <c r="T1008" s="676"/>
    </row>
    <row r="1009" spans="1:20" ht="43.5" customHeight="1">
      <c r="A1009" s="690"/>
      <c r="B1009" s="690"/>
      <c r="C1009" s="808" t="s">
        <v>57</v>
      </c>
      <c r="D1009" s="675">
        <f>ROUND([14]Data!K1206,2)</f>
        <v>0</v>
      </c>
      <c r="E1009" s="674"/>
      <c r="F1009" s="685">
        <f>SUM(F16:F1008)</f>
        <v>223760.69939339999</v>
      </c>
      <c r="G1009" s="786"/>
      <c r="H1009" s="736">
        <f>SUM(H6:H1008)</f>
        <v>223760.69939339999</v>
      </c>
      <c r="I1009" s="786"/>
      <c r="J1009" s="736">
        <f>SUM(J6:J1008)</f>
        <v>241717.06327999997</v>
      </c>
      <c r="K1009" s="736"/>
      <c r="L1009" s="736" t="e">
        <f>SUM(L6:L1008)</f>
        <v>#REF!</v>
      </c>
      <c r="M1009" s="736"/>
      <c r="N1009" s="736" t="e">
        <f>SUM(N6:N1008)</f>
        <v>#REF!</v>
      </c>
      <c r="O1009" s="665" t="s">
        <v>1363</v>
      </c>
      <c r="P1009" s="736" t="e">
        <f>SUM(P6:P1008)</f>
        <v>#REF!</v>
      </c>
      <c r="Q1009" s="672" t="e">
        <f>'[14]G. Abstractfinal'!F22</f>
        <v>#REF!</v>
      </c>
      <c r="R1009" s="786" t="e">
        <f>P1009-Q1009</f>
        <v>#REF!</v>
      </c>
    </row>
    <row r="1010" spans="1:20" s="677" customFormat="1" ht="23.25">
      <c r="A1010" s="787"/>
      <c r="B1010" s="787"/>
      <c r="C1010" s="788"/>
      <c r="D1010" s="787"/>
      <c r="E1010" s="789"/>
      <c r="F1010" s="789"/>
      <c r="G1010" s="691"/>
      <c r="H1010" s="667">
        <f t="shared" ref="H1010:H1041" si="108">G1010*D1010</f>
        <v>0</v>
      </c>
      <c r="I1010" s="790"/>
      <c r="J1010" s="667">
        <f t="shared" ref="J1010:J1041" si="109">I1010*D1010</f>
        <v>0</v>
      </c>
      <c r="K1010" s="667"/>
      <c r="L1010" s="667"/>
      <c r="M1010" s="667"/>
      <c r="N1010" s="667">
        <v>9671124.4900000002</v>
      </c>
      <c r="O1010" s="665" t="e">
        <f>#REF!+#REF!+I1010+#REF!+#REF!+G1010</f>
        <v>#REF!</v>
      </c>
      <c r="P1010" s="666" t="e">
        <f>O1010*D1010</f>
        <v>#REF!</v>
      </c>
      <c r="Q1010" s="672"/>
      <c r="R1010" s="668"/>
      <c r="S1010" s="676"/>
      <c r="T1010" s="676"/>
    </row>
    <row r="1011" spans="1:20" s="677" customFormat="1">
      <c r="A1011" s="787"/>
      <c r="B1011" s="787"/>
      <c r="C1011" s="663" t="s">
        <v>1867</v>
      </c>
      <c r="D1011" s="690"/>
      <c r="E1011" s="708" t="s">
        <v>522</v>
      </c>
      <c r="F1011" s="806"/>
      <c r="G1011" s="790"/>
      <c r="H1011" s="667">
        <f t="shared" si="108"/>
        <v>0</v>
      </c>
      <c r="I1011" s="675"/>
      <c r="J1011" s="667">
        <f t="shared" si="109"/>
        <v>0</v>
      </c>
      <c r="K1011" s="667"/>
      <c r="L1011" s="667"/>
      <c r="M1011" s="667"/>
      <c r="N1011" s="667" t="e">
        <f>N1009-N1010</f>
        <v>#REF!</v>
      </c>
      <c r="O1011" s="665" t="e">
        <f>#REF!+#REF!+I1011+#REF!+#REF!+G1011</f>
        <v>#REF!</v>
      </c>
      <c r="P1011" s="666" t="e">
        <f>#REF!+N1009</f>
        <v>#REF!</v>
      </c>
      <c r="Q1011" s="672"/>
      <c r="R1011" s="668"/>
      <c r="S1011" s="676"/>
      <c r="T1011" s="676"/>
    </row>
    <row r="1012" spans="1:20" s="677" customFormat="1">
      <c r="A1012" s="787"/>
      <c r="B1012" s="787"/>
      <c r="C1012" s="663" t="s">
        <v>1868</v>
      </c>
      <c r="D1012" s="690"/>
      <c r="E1012" s="708" t="s">
        <v>522</v>
      </c>
      <c r="F1012" s="806"/>
      <c r="G1012" s="790"/>
      <c r="H1012" s="667">
        <f t="shared" si="108"/>
        <v>0</v>
      </c>
      <c r="I1012" s="675"/>
      <c r="J1012" s="667">
        <f t="shared" si="109"/>
        <v>0</v>
      </c>
      <c r="K1012" s="667"/>
      <c r="L1012" s="667"/>
      <c r="M1012" s="667"/>
      <c r="N1012" s="667"/>
      <c r="O1012" s="665" t="e">
        <f>#REF!+#REF!+I1012+#REF!+#REF!+G1012</f>
        <v>#REF!</v>
      </c>
      <c r="P1012" s="666" t="e">
        <f>P1009-P1011</f>
        <v>#REF!</v>
      </c>
      <c r="Q1012" s="672"/>
      <c r="R1012" s="668"/>
      <c r="S1012" s="676"/>
      <c r="T1012" s="676"/>
    </row>
    <row r="1013" spans="1:20" s="677" customFormat="1">
      <c r="A1013" s="787"/>
      <c r="B1013" s="787"/>
      <c r="C1013" s="663" t="s">
        <v>1871</v>
      </c>
      <c r="D1013" s="690">
        <f>[14]Data!K2492</f>
        <v>4353.33</v>
      </c>
      <c r="E1013" s="789" t="s">
        <v>37</v>
      </c>
      <c r="F1013" s="789"/>
      <c r="G1013" s="691"/>
      <c r="H1013" s="667">
        <f t="shared" si="108"/>
        <v>0</v>
      </c>
      <c r="I1013" s="675"/>
      <c r="J1013" s="667">
        <f t="shared" si="109"/>
        <v>0</v>
      </c>
      <c r="K1013" s="667"/>
      <c r="L1013" s="667"/>
      <c r="M1013" s="667"/>
      <c r="N1013" s="667"/>
      <c r="O1013" s="665" t="e">
        <f>#REF!+#REF!+I1013+#REF!+#REF!+G1013</f>
        <v>#REF!</v>
      </c>
      <c r="P1013" s="666" t="e">
        <f t="shared" ref="P1013:P1044" si="110">O1013*D1013</f>
        <v>#REF!</v>
      </c>
      <c r="Q1013" s="672"/>
      <c r="R1013" s="668"/>
      <c r="S1013" s="676"/>
      <c r="T1013" s="676"/>
    </row>
    <row r="1014" spans="1:20" s="677" customFormat="1">
      <c r="A1014" s="787"/>
      <c r="B1014" s="787"/>
      <c r="C1014" s="663" t="s">
        <v>1872</v>
      </c>
      <c r="D1014" s="690">
        <f>[14]Data!K2515</f>
        <v>4626.8100000000004</v>
      </c>
      <c r="E1014" s="789" t="s">
        <v>37</v>
      </c>
      <c r="F1014" s="789"/>
      <c r="G1014" s="691"/>
      <c r="H1014" s="667">
        <f t="shared" si="108"/>
        <v>0</v>
      </c>
      <c r="I1014" s="675"/>
      <c r="J1014" s="667">
        <f t="shared" si="109"/>
        <v>0</v>
      </c>
      <c r="K1014" s="667"/>
      <c r="L1014" s="667"/>
      <c r="M1014" s="667"/>
      <c r="N1014" s="667"/>
      <c r="O1014" s="665" t="e">
        <f>#REF!+#REF!+I1014+#REF!+#REF!+G1014</f>
        <v>#REF!</v>
      </c>
      <c r="P1014" s="666" t="e">
        <f t="shared" si="110"/>
        <v>#REF!</v>
      </c>
      <c r="Q1014" s="672"/>
      <c r="R1014" s="668"/>
      <c r="S1014" s="676"/>
      <c r="T1014" s="676"/>
    </row>
    <row r="1015" spans="1:20" s="677" customFormat="1">
      <c r="A1015" s="787"/>
      <c r="B1015" s="787"/>
      <c r="C1015" s="663" t="s">
        <v>1873</v>
      </c>
      <c r="D1015" s="690">
        <f>[14]Data!R2580</f>
        <v>3971.57</v>
      </c>
      <c r="E1015" s="789" t="s">
        <v>37</v>
      </c>
      <c r="F1015" s="789"/>
      <c r="G1015" s="691"/>
      <c r="H1015" s="667">
        <f t="shared" si="108"/>
        <v>0</v>
      </c>
      <c r="I1015" s="675"/>
      <c r="J1015" s="667">
        <f t="shared" si="109"/>
        <v>0</v>
      </c>
      <c r="K1015" s="667"/>
      <c r="L1015" s="667"/>
      <c r="M1015" s="667"/>
      <c r="N1015" s="667"/>
      <c r="O1015" s="665" t="e">
        <f>#REF!+#REF!+I1015+#REF!+#REF!+G1015</f>
        <v>#REF!</v>
      </c>
      <c r="P1015" s="666" t="e">
        <f t="shared" si="110"/>
        <v>#REF!</v>
      </c>
      <c r="Q1015" s="672"/>
      <c r="R1015" s="668"/>
      <c r="S1015" s="676"/>
      <c r="T1015" s="676"/>
    </row>
    <row r="1016" spans="1:20" s="677" customFormat="1">
      <c r="A1016" s="787"/>
      <c r="B1016" s="787"/>
      <c r="C1016" s="663" t="s">
        <v>1870</v>
      </c>
      <c r="D1016" s="690"/>
      <c r="E1016" s="789" t="s">
        <v>37</v>
      </c>
      <c r="F1016" s="789"/>
      <c r="G1016" s="691"/>
      <c r="H1016" s="667">
        <f t="shared" si="108"/>
        <v>0</v>
      </c>
      <c r="I1016" s="675"/>
      <c r="J1016" s="667">
        <f t="shared" si="109"/>
        <v>0</v>
      </c>
      <c r="K1016" s="667"/>
      <c r="L1016" s="667"/>
      <c r="M1016" s="667"/>
      <c r="N1016" s="667"/>
      <c r="O1016" s="665" t="e">
        <f>#REF!+#REF!+I1016+#REF!+#REF!+G1016</f>
        <v>#REF!</v>
      </c>
      <c r="P1016" s="666" t="e">
        <f t="shared" si="110"/>
        <v>#REF!</v>
      </c>
      <c r="Q1016" s="672"/>
      <c r="R1016" s="668"/>
      <c r="S1016" s="676"/>
      <c r="T1016" s="676"/>
    </row>
    <row r="1017" spans="1:20" s="677" customFormat="1">
      <c r="A1017" s="787"/>
      <c r="B1017" s="787"/>
      <c r="C1017" s="663" t="s">
        <v>1958</v>
      </c>
      <c r="D1017" s="690"/>
      <c r="E1017" s="789" t="s">
        <v>37</v>
      </c>
      <c r="F1017" s="789"/>
      <c r="G1017" s="691"/>
      <c r="H1017" s="667">
        <f t="shared" si="108"/>
        <v>0</v>
      </c>
      <c r="I1017" s="675"/>
      <c r="J1017" s="667">
        <f t="shared" si="109"/>
        <v>0</v>
      </c>
      <c r="K1017" s="667"/>
      <c r="L1017" s="667"/>
      <c r="M1017" s="667"/>
      <c r="N1017" s="667"/>
      <c r="O1017" s="665" t="e">
        <f>#REF!+#REF!+I1017+#REF!+#REF!+G1017</f>
        <v>#REF!</v>
      </c>
      <c r="P1017" s="666" t="e">
        <f t="shared" si="110"/>
        <v>#REF!</v>
      </c>
      <c r="Q1017" s="672"/>
      <c r="R1017" s="668"/>
      <c r="S1017" s="676"/>
      <c r="T1017" s="676"/>
    </row>
    <row r="1018" spans="1:20" s="677" customFormat="1" ht="46.5">
      <c r="A1018" s="787"/>
      <c r="B1018" s="787"/>
      <c r="C1018" s="663" t="s">
        <v>1959</v>
      </c>
      <c r="D1018" s="690"/>
      <c r="E1018" s="789" t="s">
        <v>37</v>
      </c>
      <c r="F1018" s="789"/>
      <c r="G1018" s="691"/>
      <c r="H1018" s="667">
        <f t="shared" si="108"/>
        <v>0</v>
      </c>
      <c r="I1018" s="675"/>
      <c r="J1018" s="667">
        <f t="shared" si="109"/>
        <v>0</v>
      </c>
      <c r="K1018" s="667"/>
      <c r="L1018" s="667"/>
      <c r="M1018" s="667"/>
      <c r="N1018" s="667"/>
      <c r="O1018" s="665" t="e">
        <f>#REF!+#REF!+I1018+#REF!+#REF!+G1018</f>
        <v>#REF!</v>
      </c>
      <c r="P1018" s="666" t="e">
        <f t="shared" si="110"/>
        <v>#REF!</v>
      </c>
      <c r="Q1018" s="672"/>
      <c r="R1018" s="668"/>
      <c r="S1018" s="676"/>
      <c r="T1018" s="676"/>
    </row>
    <row r="1019" spans="1:20" s="677" customFormat="1" ht="46.5">
      <c r="A1019" s="787"/>
      <c r="B1019" s="787"/>
      <c r="C1019" s="663" t="s">
        <v>1960</v>
      </c>
      <c r="D1019" s="690"/>
      <c r="E1019" s="789" t="s">
        <v>37</v>
      </c>
      <c r="F1019" s="789"/>
      <c r="G1019" s="691"/>
      <c r="H1019" s="667">
        <f t="shared" si="108"/>
        <v>0</v>
      </c>
      <c r="I1019" s="675"/>
      <c r="J1019" s="667">
        <f t="shared" si="109"/>
        <v>0</v>
      </c>
      <c r="K1019" s="667"/>
      <c r="L1019" s="667"/>
      <c r="M1019" s="667"/>
      <c r="N1019" s="667"/>
      <c r="O1019" s="665" t="e">
        <f>#REF!+#REF!+I1019+#REF!+#REF!+G1019</f>
        <v>#REF!</v>
      </c>
      <c r="P1019" s="666" t="e">
        <f t="shared" si="110"/>
        <v>#REF!</v>
      </c>
      <c r="Q1019" s="672"/>
      <c r="R1019" s="668"/>
      <c r="S1019" s="676"/>
      <c r="T1019" s="676"/>
    </row>
    <row r="1020" spans="1:20" s="677" customFormat="1">
      <c r="A1020" s="787"/>
      <c r="B1020" s="787"/>
      <c r="C1020" s="663" t="s">
        <v>1961</v>
      </c>
      <c r="D1020" s="690">
        <f>8.2*1500</f>
        <v>12299.999999999998</v>
      </c>
      <c r="E1020" s="789" t="s">
        <v>522</v>
      </c>
      <c r="F1020" s="789"/>
      <c r="G1020" s="691"/>
      <c r="H1020" s="667">
        <f t="shared" si="108"/>
        <v>0</v>
      </c>
      <c r="I1020" s="675"/>
      <c r="J1020" s="667">
        <f t="shared" si="109"/>
        <v>0</v>
      </c>
      <c r="K1020" s="667"/>
      <c r="L1020" s="667"/>
      <c r="M1020" s="667"/>
      <c r="N1020" s="667"/>
      <c r="O1020" s="665" t="e">
        <f>#REF!+#REF!+I1020+#REF!+#REF!+G1020</f>
        <v>#REF!</v>
      </c>
      <c r="P1020" s="666" t="e">
        <f t="shared" si="110"/>
        <v>#REF!</v>
      </c>
      <c r="Q1020" s="672"/>
      <c r="R1020" s="668"/>
      <c r="S1020" s="676"/>
      <c r="T1020" s="676"/>
    </row>
    <row r="1021" spans="1:20" s="677" customFormat="1">
      <c r="A1021" s="787"/>
      <c r="B1021" s="787"/>
      <c r="C1021" s="663" t="s">
        <v>1962</v>
      </c>
      <c r="D1021" s="690">
        <f>[14]Data!K2435</f>
        <v>1335.94</v>
      </c>
      <c r="E1021" s="789" t="s">
        <v>37</v>
      </c>
      <c r="F1021" s="789"/>
      <c r="G1021" s="691"/>
      <c r="H1021" s="667">
        <f t="shared" si="108"/>
        <v>0</v>
      </c>
      <c r="I1021" s="675"/>
      <c r="J1021" s="667">
        <f t="shared" si="109"/>
        <v>0</v>
      </c>
      <c r="K1021" s="667"/>
      <c r="L1021" s="667"/>
      <c r="M1021" s="667"/>
      <c r="N1021" s="667"/>
      <c r="O1021" s="665" t="e">
        <f>#REF!+#REF!+I1021+#REF!+#REF!+G1021</f>
        <v>#REF!</v>
      </c>
      <c r="P1021" s="666" t="e">
        <f t="shared" si="110"/>
        <v>#REF!</v>
      </c>
      <c r="Q1021" s="672"/>
      <c r="R1021" s="668"/>
      <c r="S1021" s="676"/>
      <c r="T1021" s="676"/>
    </row>
    <row r="1022" spans="1:20" s="677" customFormat="1">
      <c r="A1022" s="787"/>
      <c r="B1022" s="787"/>
      <c r="C1022" s="663" t="s">
        <v>1767</v>
      </c>
      <c r="D1022" s="690">
        <f>[14]Data!R1230</f>
        <v>1357.13</v>
      </c>
      <c r="E1022" s="789" t="s">
        <v>37</v>
      </c>
      <c r="F1022" s="789"/>
      <c r="G1022" s="691"/>
      <c r="H1022" s="667">
        <f t="shared" si="108"/>
        <v>0</v>
      </c>
      <c r="I1022" s="675"/>
      <c r="J1022" s="667">
        <f t="shared" si="109"/>
        <v>0</v>
      </c>
      <c r="K1022" s="667"/>
      <c r="L1022" s="667"/>
      <c r="M1022" s="667"/>
      <c r="N1022" s="667"/>
      <c r="O1022" s="665" t="e">
        <f>#REF!+#REF!+I1022+#REF!+#REF!+G1022</f>
        <v>#REF!</v>
      </c>
      <c r="P1022" s="666" t="e">
        <f t="shared" si="110"/>
        <v>#REF!</v>
      </c>
      <c r="Q1022" s="672"/>
      <c r="R1022" s="668"/>
      <c r="S1022" s="676"/>
      <c r="T1022" s="676"/>
    </row>
    <row r="1023" spans="1:20" s="677" customFormat="1" ht="23.25">
      <c r="A1023" s="787"/>
      <c r="B1023" s="787"/>
      <c r="C1023" s="663" t="s">
        <v>1963</v>
      </c>
      <c r="D1023" s="690">
        <f>[14]Data!R1272</f>
        <v>1152.25</v>
      </c>
      <c r="E1023" s="789" t="s">
        <v>37</v>
      </c>
      <c r="F1023" s="789"/>
      <c r="G1023" s="691"/>
      <c r="H1023" s="667">
        <f t="shared" si="108"/>
        <v>0</v>
      </c>
      <c r="I1023" s="691"/>
      <c r="J1023" s="667">
        <f t="shared" si="109"/>
        <v>0</v>
      </c>
      <c r="K1023" s="667"/>
      <c r="L1023" s="667"/>
      <c r="M1023" s="667"/>
      <c r="N1023" s="667"/>
      <c r="O1023" s="665" t="e">
        <f>#REF!+#REF!+I1023+#REF!+#REF!+G1023</f>
        <v>#REF!</v>
      </c>
      <c r="P1023" s="666" t="e">
        <f t="shared" si="110"/>
        <v>#REF!</v>
      </c>
      <c r="Q1023" s="672"/>
      <c r="R1023" s="668"/>
      <c r="S1023" s="676"/>
      <c r="T1023" s="676"/>
    </row>
    <row r="1024" spans="1:20" s="677" customFormat="1" ht="23.25">
      <c r="A1024" s="787"/>
      <c r="B1024" s="787"/>
      <c r="C1024" s="663" t="s">
        <v>1964</v>
      </c>
      <c r="D1024" s="690">
        <f>[14]Data!R2442</f>
        <v>1509.19</v>
      </c>
      <c r="E1024" s="789" t="s">
        <v>37</v>
      </c>
      <c r="F1024" s="789"/>
      <c r="G1024" s="691"/>
      <c r="H1024" s="667">
        <f t="shared" si="108"/>
        <v>0</v>
      </c>
      <c r="I1024" s="691"/>
      <c r="J1024" s="667">
        <f t="shared" si="109"/>
        <v>0</v>
      </c>
      <c r="K1024" s="667"/>
      <c r="L1024" s="667"/>
      <c r="M1024" s="667"/>
      <c r="N1024" s="667"/>
      <c r="O1024" s="665" t="e">
        <f>#REF!+#REF!+I1024+#REF!+#REF!+G1024</f>
        <v>#REF!</v>
      </c>
      <c r="P1024" s="666" t="e">
        <f t="shared" si="110"/>
        <v>#REF!</v>
      </c>
      <c r="Q1024" s="672"/>
      <c r="R1024" s="668"/>
      <c r="S1024" s="676"/>
      <c r="T1024" s="676"/>
    </row>
    <row r="1025" spans="1:20" s="677" customFormat="1" ht="23.25">
      <c r="A1025" s="787"/>
      <c r="B1025" s="787"/>
      <c r="C1025" s="663" t="s">
        <v>1965</v>
      </c>
      <c r="D1025" s="690">
        <f>[14]Data!AD1257</f>
        <v>1493.95</v>
      </c>
      <c r="E1025" s="789" t="s">
        <v>37</v>
      </c>
      <c r="F1025" s="789"/>
      <c r="G1025" s="691"/>
      <c r="H1025" s="667">
        <f t="shared" si="108"/>
        <v>0</v>
      </c>
      <c r="I1025" s="691"/>
      <c r="J1025" s="667">
        <f t="shared" si="109"/>
        <v>0</v>
      </c>
      <c r="K1025" s="667"/>
      <c r="L1025" s="667"/>
      <c r="M1025" s="667"/>
      <c r="N1025" s="667"/>
      <c r="O1025" s="665" t="e">
        <f>#REF!+#REF!+I1025+#REF!+#REF!+G1025</f>
        <v>#REF!</v>
      </c>
      <c r="P1025" s="666" t="e">
        <f t="shared" si="110"/>
        <v>#REF!</v>
      </c>
      <c r="Q1025" s="672"/>
      <c r="R1025" s="668"/>
      <c r="S1025" s="676"/>
      <c r="T1025" s="676"/>
    </row>
    <row r="1026" spans="1:20" s="677" customFormat="1" ht="23.25">
      <c r="A1026" s="787"/>
      <c r="B1026" s="787"/>
      <c r="C1026" s="791" t="s">
        <v>1966</v>
      </c>
      <c r="D1026" s="787">
        <f>[14]Data!K1442</f>
        <v>246.58</v>
      </c>
      <c r="E1026" s="789" t="s">
        <v>37</v>
      </c>
      <c r="F1026" s="789"/>
      <c r="G1026" s="691"/>
      <c r="H1026" s="667">
        <f t="shared" si="108"/>
        <v>0</v>
      </c>
      <c r="I1026" s="691"/>
      <c r="J1026" s="667">
        <f t="shared" si="109"/>
        <v>0</v>
      </c>
      <c r="K1026" s="667"/>
      <c r="L1026" s="667"/>
      <c r="M1026" s="667"/>
      <c r="N1026" s="667"/>
      <c r="O1026" s="665" t="e">
        <f>#REF!+#REF!+I1026+#REF!+#REF!+G1026</f>
        <v>#REF!</v>
      </c>
      <c r="P1026" s="666" t="e">
        <f t="shared" si="110"/>
        <v>#REF!</v>
      </c>
      <c r="Q1026" s="672"/>
      <c r="R1026" s="668"/>
      <c r="S1026" s="676"/>
      <c r="T1026" s="676"/>
    </row>
    <row r="1027" spans="1:20" s="677" customFormat="1" ht="23.25">
      <c r="A1027" s="787"/>
      <c r="B1027" s="787"/>
      <c r="C1027" s="791" t="s">
        <v>1967</v>
      </c>
      <c r="D1027" s="787">
        <f>5000*8.2</f>
        <v>41000</v>
      </c>
      <c r="E1027" s="789" t="s">
        <v>522</v>
      </c>
      <c r="F1027" s="789"/>
      <c r="G1027" s="691"/>
      <c r="H1027" s="667">
        <f t="shared" si="108"/>
        <v>0</v>
      </c>
      <c r="I1027" s="691"/>
      <c r="J1027" s="667">
        <f t="shared" si="109"/>
        <v>0</v>
      </c>
      <c r="K1027" s="667"/>
      <c r="L1027" s="667"/>
      <c r="M1027" s="667"/>
      <c r="N1027" s="667"/>
      <c r="O1027" s="665" t="e">
        <f>#REF!+#REF!+I1027+#REF!+#REF!+G1027</f>
        <v>#REF!</v>
      </c>
      <c r="P1027" s="666" t="e">
        <f t="shared" si="110"/>
        <v>#REF!</v>
      </c>
      <c r="Q1027" s="672"/>
      <c r="R1027" s="668"/>
      <c r="S1027" s="676"/>
      <c r="T1027" s="676"/>
    </row>
    <row r="1028" spans="1:20" s="677" customFormat="1" ht="23.25">
      <c r="A1028" s="787"/>
      <c r="B1028" s="787"/>
      <c r="C1028" s="791" t="str">
        <f>[14]Data!O2626</f>
        <v>T.W DOOR SHUTTER TWO LEAVES(1200 X 2100 mm ) with Brass Fittings</v>
      </c>
      <c r="D1028" s="787">
        <f>[14]Data!R2654</f>
        <v>6199.77</v>
      </c>
      <c r="E1028" s="789" t="s">
        <v>37</v>
      </c>
      <c r="F1028" s="789"/>
      <c r="G1028" s="691"/>
      <c r="H1028" s="667">
        <f t="shared" si="108"/>
        <v>0</v>
      </c>
      <c r="I1028" s="691"/>
      <c r="J1028" s="667">
        <f t="shared" si="109"/>
        <v>0</v>
      </c>
      <c r="K1028" s="667"/>
      <c r="L1028" s="667"/>
      <c r="M1028" s="667"/>
      <c r="N1028" s="667"/>
      <c r="O1028" s="665" t="e">
        <f>#REF!+#REF!+I1028+#REF!+#REF!+G1028</f>
        <v>#REF!</v>
      </c>
      <c r="P1028" s="666" t="e">
        <f t="shared" si="110"/>
        <v>#REF!</v>
      </c>
      <c r="Q1028" s="672"/>
      <c r="R1028" s="668"/>
      <c r="S1028" s="676"/>
      <c r="T1028" s="676"/>
    </row>
    <row r="1029" spans="1:20" s="677" customFormat="1" ht="23.25">
      <c r="A1029" s="787"/>
      <c r="B1029" s="787"/>
      <c r="C1029" s="791" t="s">
        <v>1968</v>
      </c>
      <c r="D1029" s="787">
        <f>[14]Data!R1124</f>
        <v>5040.1899999999996</v>
      </c>
      <c r="E1029" s="789" t="s">
        <v>37</v>
      </c>
      <c r="F1029" s="789"/>
      <c r="G1029" s="691"/>
      <c r="H1029" s="667">
        <f t="shared" si="108"/>
        <v>0</v>
      </c>
      <c r="I1029" s="691"/>
      <c r="J1029" s="667">
        <f t="shared" si="109"/>
        <v>0</v>
      </c>
      <c r="K1029" s="667"/>
      <c r="L1029" s="667"/>
      <c r="M1029" s="667"/>
      <c r="N1029" s="667"/>
      <c r="O1029" s="665" t="e">
        <f>#REF!+#REF!+I1029+#REF!+#REF!+G1029</f>
        <v>#REF!</v>
      </c>
      <c r="P1029" s="666" t="e">
        <f t="shared" si="110"/>
        <v>#REF!</v>
      </c>
      <c r="Q1029" s="672"/>
      <c r="R1029" s="668"/>
      <c r="S1029" s="676"/>
      <c r="T1029" s="676"/>
    </row>
    <row r="1030" spans="1:20" s="677" customFormat="1" ht="23.25">
      <c r="A1030" s="787"/>
      <c r="B1030" s="787"/>
      <c r="C1030" s="791" t="s">
        <v>1969</v>
      </c>
      <c r="D1030" s="787">
        <f>[14]Data!R3203</f>
        <v>6182.41</v>
      </c>
      <c r="E1030" s="789" t="s">
        <v>37</v>
      </c>
      <c r="F1030" s="789"/>
      <c r="G1030" s="691"/>
      <c r="H1030" s="667">
        <f t="shared" si="108"/>
        <v>0</v>
      </c>
      <c r="I1030" s="691"/>
      <c r="J1030" s="667">
        <f t="shared" si="109"/>
        <v>0</v>
      </c>
      <c r="K1030" s="667"/>
      <c r="L1030" s="667"/>
      <c r="M1030" s="667"/>
      <c r="N1030" s="667"/>
      <c r="O1030" s="665" t="e">
        <f>#REF!+#REF!+I1030+#REF!+#REF!+G1030</f>
        <v>#REF!</v>
      </c>
      <c r="P1030" s="666" t="e">
        <f t="shared" si="110"/>
        <v>#REF!</v>
      </c>
      <c r="Q1030" s="672"/>
      <c r="R1030" s="668"/>
      <c r="S1030" s="676"/>
      <c r="T1030" s="676"/>
    </row>
    <row r="1031" spans="1:20" s="677" customFormat="1" ht="23.25">
      <c r="A1031" s="787"/>
      <c r="B1031" s="787"/>
      <c r="C1031" s="791" t="s">
        <v>1970</v>
      </c>
      <c r="D1031" s="787">
        <f>[14]Data!R3272</f>
        <v>6164.11</v>
      </c>
      <c r="E1031" s="789" t="s">
        <v>37</v>
      </c>
      <c r="F1031" s="789"/>
      <c r="G1031" s="691"/>
      <c r="H1031" s="667">
        <f t="shared" si="108"/>
        <v>0</v>
      </c>
      <c r="I1031" s="691"/>
      <c r="J1031" s="667">
        <f t="shared" si="109"/>
        <v>0</v>
      </c>
      <c r="K1031" s="667"/>
      <c r="L1031" s="667"/>
      <c r="M1031" s="667"/>
      <c r="N1031" s="667"/>
      <c r="O1031" s="665" t="e">
        <f>#REF!+#REF!+I1031+#REF!+#REF!+G1031</f>
        <v>#REF!</v>
      </c>
      <c r="P1031" s="666" t="e">
        <f t="shared" si="110"/>
        <v>#REF!</v>
      </c>
      <c r="Q1031" s="672"/>
      <c r="R1031" s="668"/>
      <c r="S1031" s="676"/>
      <c r="T1031" s="676"/>
    </row>
    <row r="1032" spans="1:20" s="677" customFormat="1" ht="23.25">
      <c r="A1032" s="787"/>
      <c r="B1032" s="787"/>
      <c r="C1032" s="791" t="s">
        <v>1971</v>
      </c>
      <c r="D1032" s="787">
        <f>[14]Data!K3331</f>
        <v>4845.1099999999997</v>
      </c>
      <c r="E1032" s="789" t="s">
        <v>37</v>
      </c>
      <c r="F1032" s="789"/>
      <c r="G1032" s="691"/>
      <c r="H1032" s="667">
        <f t="shared" si="108"/>
        <v>0</v>
      </c>
      <c r="I1032" s="691"/>
      <c r="J1032" s="667">
        <f t="shared" si="109"/>
        <v>0</v>
      </c>
      <c r="K1032" s="667"/>
      <c r="L1032" s="667"/>
      <c r="M1032" s="667"/>
      <c r="N1032" s="667"/>
      <c r="O1032" s="665" t="e">
        <f>#REF!+#REF!+I1032+#REF!+#REF!+G1032</f>
        <v>#REF!</v>
      </c>
      <c r="P1032" s="666" t="e">
        <f t="shared" si="110"/>
        <v>#REF!</v>
      </c>
      <c r="Q1032" s="672"/>
      <c r="R1032" s="668"/>
      <c r="S1032" s="676"/>
      <c r="T1032" s="676"/>
    </row>
    <row r="1033" spans="1:20" s="677" customFormat="1" ht="69.75">
      <c r="A1033" s="787"/>
      <c r="B1033" s="787"/>
      <c r="C1033" s="685" t="s">
        <v>1972</v>
      </c>
      <c r="D1033" s="787">
        <f>[14]Data!R3339</f>
        <v>4942.12</v>
      </c>
      <c r="E1033" s="789" t="s">
        <v>37</v>
      </c>
      <c r="F1033" s="789"/>
      <c r="G1033" s="691"/>
      <c r="H1033" s="667">
        <f t="shared" si="108"/>
        <v>0</v>
      </c>
      <c r="I1033" s="691"/>
      <c r="J1033" s="667">
        <f t="shared" si="109"/>
        <v>0</v>
      </c>
      <c r="K1033" s="667"/>
      <c r="L1033" s="667"/>
      <c r="M1033" s="667"/>
      <c r="N1033" s="667"/>
      <c r="O1033" s="665" t="e">
        <f>#REF!+#REF!+I1033+#REF!+#REF!+G1033</f>
        <v>#REF!</v>
      </c>
      <c r="P1033" s="666" t="e">
        <f t="shared" si="110"/>
        <v>#REF!</v>
      </c>
      <c r="Q1033" s="672"/>
      <c r="R1033" s="668"/>
      <c r="S1033" s="676"/>
      <c r="T1033" s="676"/>
    </row>
    <row r="1034" spans="1:20" s="677" customFormat="1" ht="69.75">
      <c r="A1034" s="787"/>
      <c r="B1034" s="787"/>
      <c r="C1034" s="685" t="s">
        <v>1973</v>
      </c>
      <c r="D1034" s="787">
        <f>[14]Data!R3452</f>
        <v>5792.32</v>
      </c>
      <c r="E1034" s="789" t="s">
        <v>37</v>
      </c>
      <c r="F1034" s="789"/>
      <c r="G1034" s="691"/>
      <c r="H1034" s="667">
        <f t="shared" si="108"/>
        <v>0</v>
      </c>
      <c r="I1034" s="691"/>
      <c r="J1034" s="667">
        <f t="shared" si="109"/>
        <v>0</v>
      </c>
      <c r="K1034" s="667"/>
      <c r="L1034" s="667"/>
      <c r="M1034" s="667"/>
      <c r="N1034" s="667"/>
      <c r="O1034" s="665" t="e">
        <f>#REF!+#REF!+I1034+#REF!+#REF!+G1034</f>
        <v>#REF!</v>
      </c>
      <c r="P1034" s="666" t="e">
        <f t="shared" si="110"/>
        <v>#REF!</v>
      </c>
      <c r="Q1034" s="672"/>
      <c r="R1034" s="668"/>
      <c r="S1034" s="676"/>
      <c r="T1034" s="676"/>
    </row>
    <row r="1035" spans="1:20" s="677" customFormat="1" ht="46.5">
      <c r="A1035" s="787"/>
      <c r="B1035" s="787"/>
      <c r="C1035" s="663" t="s">
        <v>1974</v>
      </c>
      <c r="D1035" s="787">
        <f>[14]Data!K3434</f>
        <v>5051.6899999999996</v>
      </c>
      <c r="E1035" s="789" t="s">
        <v>37</v>
      </c>
      <c r="F1035" s="789"/>
      <c r="G1035" s="691"/>
      <c r="H1035" s="667">
        <f t="shared" si="108"/>
        <v>0</v>
      </c>
      <c r="I1035" s="691"/>
      <c r="J1035" s="667">
        <f t="shared" si="109"/>
        <v>0</v>
      </c>
      <c r="K1035" s="667"/>
      <c r="L1035" s="667"/>
      <c r="M1035" s="667"/>
      <c r="N1035" s="667"/>
      <c r="O1035" s="665" t="e">
        <f>#REF!+#REF!+I1035+#REF!+#REF!+G1035</f>
        <v>#REF!</v>
      </c>
      <c r="P1035" s="666" t="e">
        <f t="shared" si="110"/>
        <v>#REF!</v>
      </c>
      <c r="Q1035" s="672"/>
      <c r="R1035" s="668"/>
      <c r="S1035" s="676"/>
      <c r="T1035" s="676"/>
    </row>
    <row r="1036" spans="1:20" s="677" customFormat="1" ht="23.25">
      <c r="A1036" s="787"/>
      <c r="B1036" s="787"/>
      <c r="C1036" s="791" t="s">
        <v>1975</v>
      </c>
      <c r="D1036" s="787">
        <f>[14]Data!R3374</f>
        <v>5522.66</v>
      </c>
      <c r="E1036" s="789" t="s">
        <v>37</v>
      </c>
      <c r="F1036" s="789"/>
      <c r="G1036" s="691"/>
      <c r="H1036" s="667">
        <f t="shared" si="108"/>
        <v>0</v>
      </c>
      <c r="I1036" s="691"/>
      <c r="J1036" s="667">
        <f t="shared" si="109"/>
        <v>0</v>
      </c>
      <c r="K1036" s="667"/>
      <c r="L1036" s="667"/>
      <c r="M1036" s="667"/>
      <c r="N1036" s="667"/>
      <c r="O1036" s="665" t="e">
        <f>#REF!+#REF!+I1036+#REF!+#REF!+G1036</f>
        <v>#REF!</v>
      </c>
      <c r="P1036" s="666" t="e">
        <f t="shared" si="110"/>
        <v>#REF!</v>
      </c>
      <c r="Q1036" s="672"/>
      <c r="R1036" s="668"/>
      <c r="S1036" s="676"/>
      <c r="T1036" s="676"/>
    </row>
    <row r="1037" spans="1:20" s="677" customFormat="1" ht="23.25">
      <c r="A1037" s="787"/>
      <c r="B1037" s="787"/>
      <c r="C1037" s="791" t="s">
        <v>1976</v>
      </c>
      <c r="D1037" s="787">
        <f>[14]Data!R3408</f>
        <v>4897.2299999999996</v>
      </c>
      <c r="E1037" s="789" t="s">
        <v>37</v>
      </c>
      <c r="F1037" s="789"/>
      <c r="G1037" s="691"/>
      <c r="H1037" s="667">
        <f t="shared" si="108"/>
        <v>0</v>
      </c>
      <c r="I1037" s="691"/>
      <c r="J1037" s="667">
        <f t="shared" si="109"/>
        <v>0</v>
      </c>
      <c r="K1037" s="667"/>
      <c r="L1037" s="667"/>
      <c r="M1037" s="667"/>
      <c r="N1037" s="667"/>
      <c r="O1037" s="665" t="e">
        <f>#REF!+#REF!+I1037+#REF!+#REF!+G1037</f>
        <v>#REF!</v>
      </c>
      <c r="P1037" s="666" t="e">
        <f t="shared" si="110"/>
        <v>#REF!</v>
      </c>
      <c r="Q1037" s="672"/>
      <c r="R1037" s="668"/>
      <c r="S1037" s="676"/>
      <c r="T1037" s="676"/>
    </row>
    <row r="1038" spans="1:20" s="677" customFormat="1" ht="23.25">
      <c r="A1038" s="787"/>
      <c r="B1038" s="787"/>
      <c r="C1038" s="791" t="s">
        <v>1977</v>
      </c>
      <c r="D1038" s="787">
        <f>[14]Data!R3305</f>
        <v>5445.16</v>
      </c>
      <c r="E1038" s="789" t="s">
        <v>37</v>
      </c>
      <c r="F1038" s="789"/>
      <c r="G1038" s="691"/>
      <c r="H1038" s="667">
        <f t="shared" si="108"/>
        <v>0</v>
      </c>
      <c r="I1038" s="691"/>
      <c r="J1038" s="667">
        <f t="shared" si="109"/>
        <v>0</v>
      </c>
      <c r="K1038" s="667"/>
      <c r="L1038" s="667"/>
      <c r="M1038" s="667"/>
      <c r="N1038" s="667"/>
      <c r="O1038" s="665" t="e">
        <f>#REF!+#REF!+I1038+#REF!+#REF!+G1038</f>
        <v>#REF!</v>
      </c>
      <c r="P1038" s="666" t="e">
        <f t="shared" si="110"/>
        <v>#REF!</v>
      </c>
      <c r="Q1038" s="672"/>
      <c r="R1038" s="668"/>
      <c r="S1038" s="676"/>
      <c r="T1038" s="676"/>
    </row>
    <row r="1039" spans="1:20" s="677" customFormat="1" ht="23.25">
      <c r="A1039" s="787"/>
      <c r="B1039" s="787"/>
      <c r="C1039" s="791" t="s">
        <v>1978</v>
      </c>
      <c r="D1039" s="787">
        <f>[14]Data!R3339</f>
        <v>4942.12</v>
      </c>
      <c r="E1039" s="789" t="s">
        <v>37</v>
      </c>
      <c r="F1039" s="789"/>
      <c r="G1039" s="691"/>
      <c r="H1039" s="667">
        <f t="shared" si="108"/>
        <v>0</v>
      </c>
      <c r="I1039" s="691"/>
      <c r="J1039" s="667">
        <f t="shared" si="109"/>
        <v>0</v>
      </c>
      <c r="K1039" s="667"/>
      <c r="L1039" s="667"/>
      <c r="M1039" s="667"/>
      <c r="N1039" s="667"/>
      <c r="O1039" s="665" t="e">
        <f>#REF!+#REF!+I1039+#REF!+#REF!+G1039</f>
        <v>#REF!</v>
      </c>
      <c r="P1039" s="666" t="e">
        <f t="shared" si="110"/>
        <v>#REF!</v>
      </c>
      <c r="Q1039" s="672"/>
      <c r="R1039" s="668"/>
      <c r="S1039" s="676"/>
      <c r="T1039" s="676"/>
    </row>
    <row r="1040" spans="1:20" s="677" customFormat="1" ht="23.25">
      <c r="A1040" s="787"/>
      <c r="B1040" s="787"/>
      <c r="C1040" s="791" t="s">
        <v>1979</v>
      </c>
      <c r="D1040" s="787">
        <f>[14]Elec.Data!K3481</f>
        <v>1242.21</v>
      </c>
      <c r="E1040" s="789" t="s">
        <v>522</v>
      </c>
      <c r="F1040" s="789"/>
      <c r="G1040" s="691"/>
      <c r="H1040" s="667">
        <f t="shared" si="108"/>
        <v>0</v>
      </c>
      <c r="I1040" s="691"/>
      <c r="J1040" s="667">
        <f t="shared" si="109"/>
        <v>0</v>
      </c>
      <c r="K1040" s="667"/>
      <c r="L1040" s="667"/>
      <c r="M1040" s="667"/>
      <c r="N1040" s="667"/>
      <c r="O1040" s="665" t="e">
        <f>#REF!+#REF!+I1040+#REF!+#REF!+G1040</f>
        <v>#REF!</v>
      </c>
      <c r="P1040" s="666" t="e">
        <f t="shared" si="110"/>
        <v>#REF!</v>
      </c>
      <c r="Q1040" s="672"/>
      <c r="R1040" s="668"/>
      <c r="S1040" s="676"/>
      <c r="T1040" s="676"/>
    </row>
    <row r="1041" spans="1:20" s="677" customFormat="1" ht="23.25">
      <c r="A1041" s="787"/>
      <c r="B1041" s="787"/>
      <c r="C1041" s="791" t="s">
        <v>584</v>
      </c>
      <c r="D1041" s="787">
        <f>[14]Elec.Data!K3547</f>
        <v>165</v>
      </c>
      <c r="E1041" s="789" t="s">
        <v>61</v>
      </c>
      <c r="F1041" s="789"/>
      <c r="G1041" s="691"/>
      <c r="H1041" s="667">
        <f t="shared" si="108"/>
        <v>0</v>
      </c>
      <c r="I1041" s="691"/>
      <c r="J1041" s="667">
        <f t="shared" si="109"/>
        <v>0</v>
      </c>
      <c r="K1041" s="667"/>
      <c r="L1041" s="667"/>
      <c r="M1041" s="667"/>
      <c r="N1041" s="667"/>
      <c r="O1041" s="665" t="e">
        <f>#REF!+#REF!+I1041+#REF!+#REF!+G1041</f>
        <v>#REF!</v>
      </c>
      <c r="P1041" s="666" t="e">
        <f t="shared" si="110"/>
        <v>#REF!</v>
      </c>
      <c r="Q1041" s="672"/>
      <c r="R1041" s="668"/>
      <c r="S1041" s="676"/>
      <c r="T1041" s="676"/>
    </row>
    <row r="1042" spans="1:20" s="677" customFormat="1" ht="23.25">
      <c r="A1042" s="787"/>
      <c r="B1042" s="787"/>
      <c r="C1042" s="747" t="s">
        <v>1980</v>
      </c>
      <c r="D1042" s="787">
        <f>[14]Elec.Data!K3468</f>
        <v>2972.1</v>
      </c>
      <c r="E1042" s="789" t="s">
        <v>522</v>
      </c>
      <c r="F1042" s="789"/>
      <c r="G1042" s="691"/>
      <c r="H1042" s="667">
        <f t="shared" ref="H1042:H1073" si="111">G1042*D1042</f>
        <v>0</v>
      </c>
      <c r="I1042" s="691"/>
      <c r="J1042" s="667">
        <f t="shared" ref="J1042:J1073" si="112">I1042*D1042</f>
        <v>0</v>
      </c>
      <c r="K1042" s="667"/>
      <c r="L1042" s="667"/>
      <c r="M1042" s="667"/>
      <c r="N1042" s="667"/>
      <c r="O1042" s="665" t="e">
        <f>#REF!+#REF!+I1042+#REF!+#REF!+G1042</f>
        <v>#REF!</v>
      </c>
      <c r="P1042" s="666" t="e">
        <f t="shared" si="110"/>
        <v>#REF!</v>
      </c>
      <c r="Q1042" s="672"/>
      <c r="R1042" s="668"/>
      <c r="S1042" s="676"/>
      <c r="T1042" s="676"/>
    </row>
    <row r="1043" spans="1:20" s="677" customFormat="1" ht="23.25">
      <c r="A1043" s="787"/>
      <c r="B1043" s="787"/>
      <c r="C1043" s="791" t="s">
        <v>1981</v>
      </c>
      <c r="D1043" s="787">
        <f>[14]Data!K2981</f>
        <v>2980.14</v>
      </c>
      <c r="E1043" s="789" t="s">
        <v>37</v>
      </c>
      <c r="F1043" s="789"/>
      <c r="G1043" s="691"/>
      <c r="H1043" s="667">
        <f t="shared" si="111"/>
        <v>0</v>
      </c>
      <c r="I1043" s="691"/>
      <c r="J1043" s="667">
        <f t="shared" si="112"/>
        <v>0</v>
      </c>
      <c r="K1043" s="667"/>
      <c r="L1043" s="667"/>
      <c r="M1043" s="667"/>
      <c r="N1043" s="667"/>
      <c r="O1043" s="665" t="e">
        <f>#REF!+#REF!+I1043+#REF!+#REF!+G1043</f>
        <v>#REF!</v>
      </c>
      <c r="P1043" s="666" t="e">
        <f t="shared" si="110"/>
        <v>#REF!</v>
      </c>
      <c r="Q1043" s="672"/>
      <c r="R1043" s="668"/>
      <c r="S1043" s="676"/>
      <c r="T1043" s="676"/>
    </row>
    <row r="1044" spans="1:20" s="677" customFormat="1" ht="23.25">
      <c r="A1044" s="787"/>
      <c r="B1044" s="787"/>
      <c r="C1044" s="791" t="s">
        <v>1982</v>
      </c>
      <c r="D1044" s="787">
        <f>[14]Data!K2845</f>
        <v>2937.59</v>
      </c>
      <c r="E1044" s="789" t="s">
        <v>37</v>
      </c>
      <c r="F1044" s="789"/>
      <c r="G1044" s="691"/>
      <c r="H1044" s="667">
        <f t="shared" si="111"/>
        <v>0</v>
      </c>
      <c r="I1044" s="691"/>
      <c r="J1044" s="667">
        <f t="shared" si="112"/>
        <v>0</v>
      </c>
      <c r="K1044" s="667"/>
      <c r="L1044" s="667"/>
      <c r="M1044" s="667"/>
      <c r="N1044" s="667"/>
      <c r="O1044" s="665" t="e">
        <f>#REF!+#REF!+I1044+#REF!+#REF!+G1044</f>
        <v>#REF!</v>
      </c>
      <c r="P1044" s="666" t="e">
        <f t="shared" si="110"/>
        <v>#REF!</v>
      </c>
      <c r="Q1044" s="672"/>
      <c r="R1044" s="668"/>
      <c r="S1044" s="676"/>
      <c r="T1044" s="676"/>
    </row>
    <row r="1045" spans="1:20" s="677" customFormat="1" ht="23.25">
      <c r="A1045" s="787"/>
      <c r="B1045" s="787"/>
      <c r="C1045" s="791" t="s">
        <v>1983</v>
      </c>
      <c r="D1045" s="787">
        <f>[14]Data!R2988</f>
        <v>2863.99</v>
      </c>
      <c r="E1045" s="789" t="s">
        <v>37</v>
      </c>
      <c r="F1045" s="789"/>
      <c r="G1045" s="691"/>
      <c r="H1045" s="667">
        <f t="shared" si="111"/>
        <v>0</v>
      </c>
      <c r="I1045" s="691"/>
      <c r="J1045" s="667">
        <f t="shared" si="112"/>
        <v>0</v>
      </c>
      <c r="K1045" s="667"/>
      <c r="L1045" s="667"/>
      <c r="M1045" s="667"/>
      <c r="N1045" s="667"/>
      <c r="O1045" s="665" t="e">
        <f>#REF!+#REF!+I1045+#REF!+#REF!+G1045</f>
        <v>#REF!</v>
      </c>
      <c r="P1045" s="666" t="e">
        <f t="shared" ref="P1045:P1076" si="113">O1045*D1045</f>
        <v>#REF!</v>
      </c>
      <c r="Q1045" s="672"/>
      <c r="R1045" s="668"/>
      <c r="S1045" s="676"/>
      <c r="T1045" s="676"/>
    </row>
    <row r="1046" spans="1:20" s="677" customFormat="1" ht="23.25">
      <c r="A1046" s="787"/>
      <c r="B1046" s="787"/>
      <c r="C1046" s="791" t="s">
        <v>1984</v>
      </c>
      <c r="D1046" s="787">
        <f>[14]Data!K3085</f>
        <v>3082.51</v>
      </c>
      <c r="E1046" s="789" t="s">
        <v>37</v>
      </c>
      <c r="F1046" s="789"/>
      <c r="G1046" s="691"/>
      <c r="H1046" s="667">
        <f t="shared" si="111"/>
        <v>0</v>
      </c>
      <c r="I1046" s="691"/>
      <c r="J1046" s="667">
        <f t="shared" si="112"/>
        <v>0</v>
      </c>
      <c r="K1046" s="667"/>
      <c r="L1046" s="667"/>
      <c r="M1046" s="667"/>
      <c r="N1046" s="667"/>
      <c r="O1046" s="665" t="e">
        <f>#REF!+#REF!+I1046+#REF!+#REF!+G1046</f>
        <v>#REF!</v>
      </c>
      <c r="P1046" s="666" t="e">
        <f t="shared" si="113"/>
        <v>#REF!</v>
      </c>
      <c r="Q1046" s="672"/>
      <c r="R1046" s="668"/>
      <c r="S1046" s="676"/>
      <c r="T1046" s="676"/>
    </row>
    <row r="1047" spans="1:20" s="677" customFormat="1" ht="23.25">
      <c r="A1047" s="787"/>
      <c r="B1047" s="787"/>
      <c r="C1047" s="791" t="s">
        <v>1985</v>
      </c>
      <c r="D1047" s="787">
        <f>[14]Data!K3066</f>
        <v>3205.31</v>
      </c>
      <c r="E1047" s="789" t="s">
        <v>37</v>
      </c>
      <c r="F1047" s="789"/>
      <c r="G1047" s="691"/>
      <c r="H1047" s="667">
        <f t="shared" si="111"/>
        <v>0</v>
      </c>
      <c r="I1047" s="691"/>
      <c r="J1047" s="667">
        <f t="shared" si="112"/>
        <v>0</v>
      </c>
      <c r="K1047" s="667"/>
      <c r="L1047" s="667"/>
      <c r="M1047" s="667"/>
      <c r="N1047" s="667"/>
      <c r="O1047" s="665" t="e">
        <f>#REF!+#REF!+I1047+#REF!+#REF!+G1047</f>
        <v>#REF!</v>
      </c>
      <c r="P1047" s="666" t="e">
        <f t="shared" si="113"/>
        <v>#REF!</v>
      </c>
      <c r="Q1047" s="672"/>
      <c r="R1047" s="668"/>
      <c r="S1047" s="676"/>
      <c r="T1047" s="676"/>
    </row>
    <row r="1048" spans="1:20" s="677" customFormat="1" ht="23.25">
      <c r="A1048" s="787"/>
      <c r="B1048" s="787"/>
      <c r="C1048" s="791" t="s">
        <v>1986</v>
      </c>
      <c r="D1048" s="787">
        <f>[14]Data!R3073</f>
        <v>3027.67</v>
      </c>
      <c r="E1048" s="789" t="s">
        <v>37</v>
      </c>
      <c r="F1048" s="789"/>
      <c r="G1048" s="691"/>
      <c r="H1048" s="667">
        <f t="shared" si="111"/>
        <v>0</v>
      </c>
      <c r="I1048" s="691"/>
      <c r="J1048" s="667">
        <f t="shared" si="112"/>
        <v>0</v>
      </c>
      <c r="K1048" s="667"/>
      <c r="L1048" s="667"/>
      <c r="M1048" s="667"/>
      <c r="N1048" s="667"/>
      <c r="O1048" s="665" t="e">
        <f>#REF!+#REF!+I1048+#REF!+#REF!+G1048</f>
        <v>#REF!</v>
      </c>
      <c r="P1048" s="666" t="e">
        <f t="shared" si="113"/>
        <v>#REF!</v>
      </c>
      <c r="Q1048" s="672"/>
      <c r="R1048" s="668"/>
      <c r="S1048" s="676"/>
      <c r="T1048" s="676"/>
    </row>
    <row r="1049" spans="1:20" s="677" customFormat="1" ht="46.5">
      <c r="A1049" s="787"/>
      <c r="B1049" s="787"/>
      <c r="C1049" s="792" t="s">
        <v>1987</v>
      </c>
      <c r="D1049" s="787">
        <f>[14]Data!K2877</f>
        <v>2110.4899999999998</v>
      </c>
      <c r="E1049" s="789" t="s">
        <v>37</v>
      </c>
      <c r="F1049" s="789"/>
      <c r="G1049" s="691"/>
      <c r="H1049" s="667">
        <f t="shared" si="111"/>
        <v>0</v>
      </c>
      <c r="I1049" s="691"/>
      <c r="J1049" s="667">
        <f t="shared" si="112"/>
        <v>0</v>
      </c>
      <c r="K1049" s="667"/>
      <c r="L1049" s="667"/>
      <c r="M1049" s="667"/>
      <c r="N1049" s="667"/>
      <c r="O1049" s="665" t="e">
        <f>#REF!+#REF!+I1049+#REF!+#REF!+G1049</f>
        <v>#REF!</v>
      </c>
      <c r="P1049" s="666" t="e">
        <f t="shared" si="113"/>
        <v>#REF!</v>
      </c>
      <c r="Q1049" s="672"/>
      <c r="R1049" s="668"/>
      <c r="S1049" s="676"/>
      <c r="T1049" s="676"/>
    </row>
    <row r="1050" spans="1:20" s="677" customFormat="1" ht="23.25">
      <c r="A1050" s="787"/>
      <c r="B1050" s="787"/>
      <c r="C1050" s="791" t="s">
        <v>1988</v>
      </c>
      <c r="D1050" s="787">
        <f>[14]Data!K1154</f>
        <v>109.86</v>
      </c>
      <c r="E1050" s="789"/>
      <c r="F1050" s="789"/>
      <c r="G1050" s="691"/>
      <c r="H1050" s="667">
        <f t="shared" si="111"/>
        <v>0</v>
      </c>
      <c r="I1050" s="691"/>
      <c r="J1050" s="667">
        <f t="shared" si="112"/>
        <v>0</v>
      </c>
      <c r="K1050" s="667"/>
      <c r="L1050" s="667"/>
      <c r="M1050" s="667"/>
      <c r="N1050" s="667"/>
      <c r="O1050" s="665" t="e">
        <f>#REF!+#REF!+I1050+#REF!+#REF!+G1050</f>
        <v>#REF!</v>
      </c>
      <c r="P1050" s="666" t="e">
        <f t="shared" si="113"/>
        <v>#REF!</v>
      </c>
      <c r="Q1050" s="672"/>
      <c r="R1050" s="668"/>
      <c r="S1050" s="676"/>
      <c r="T1050" s="676"/>
    </row>
    <row r="1051" spans="1:20" s="677" customFormat="1" ht="23.25">
      <c r="A1051" s="787"/>
      <c r="B1051" s="787"/>
      <c r="C1051" s="791" t="s">
        <v>1989</v>
      </c>
      <c r="D1051" s="787">
        <f>[14]Data!K1167</f>
        <v>172.13</v>
      </c>
      <c r="E1051" s="789"/>
      <c r="F1051" s="789"/>
      <c r="G1051" s="691"/>
      <c r="H1051" s="667">
        <f t="shared" si="111"/>
        <v>0</v>
      </c>
      <c r="I1051" s="691"/>
      <c r="J1051" s="667">
        <f t="shared" si="112"/>
        <v>0</v>
      </c>
      <c r="K1051" s="667"/>
      <c r="L1051" s="667"/>
      <c r="M1051" s="667"/>
      <c r="N1051" s="667"/>
      <c r="O1051" s="665" t="e">
        <f>#REF!+#REF!+I1051+#REF!+#REF!+G1051</f>
        <v>#REF!</v>
      </c>
      <c r="P1051" s="666" t="e">
        <f t="shared" si="113"/>
        <v>#REF!</v>
      </c>
      <c r="Q1051" s="672"/>
      <c r="R1051" s="668"/>
      <c r="S1051" s="676"/>
      <c r="T1051" s="676"/>
    </row>
    <row r="1052" spans="1:20" s="677" customFormat="1" ht="23.25">
      <c r="A1052" s="787"/>
      <c r="B1052" s="787"/>
      <c r="C1052" s="791" t="s">
        <v>1990</v>
      </c>
      <c r="D1052" s="787">
        <f>[14]Data!K2448</f>
        <v>686.18</v>
      </c>
      <c r="E1052" s="789"/>
      <c r="F1052" s="789"/>
      <c r="G1052" s="691"/>
      <c r="H1052" s="667">
        <f t="shared" si="111"/>
        <v>0</v>
      </c>
      <c r="I1052" s="691"/>
      <c r="J1052" s="667">
        <f t="shared" si="112"/>
        <v>0</v>
      </c>
      <c r="K1052" s="667"/>
      <c r="L1052" s="667"/>
      <c r="M1052" s="667"/>
      <c r="N1052" s="667"/>
      <c r="O1052" s="665" t="e">
        <f>#REF!+#REF!+I1052+#REF!+#REF!+G1052</f>
        <v>#REF!</v>
      </c>
      <c r="P1052" s="666" t="e">
        <f t="shared" si="113"/>
        <v>#REF!</v>
      </c>
      <c r="Q1052" s="672"/>
      <c r="R1052" s="668"/>
      <c r="S1052" s="676"/>
      <c r="T1052" s="676"/>
    </row>
    <row r="1053" spans="1:20" s="677" customFormat="1" ht="23.25">
      <c r="A1053" s="787"/>
      <c r="B1053" s="787"/>
      <c r="C1053" s="791" t="s">
        <v>1991</v>
      </c>
      <c r="D1053" s="787">
        <f>[14]Data!K2798</f>
        <v>1539.23</v>
      </c>
      <c r="E1053" s="789"/>
      <c r="F1053" s="789"/>
      <c r="G1053" s="691"/>
      <c r="H1053" s="667">
        <f t="shared" si="111"/>
        <v>0</v>
      </c>
      <c r="I1053" s="691"/>
      <c r="J1053" s="667">
        <f t="shared" si="112"/>
        <v>0</v>
      </c>
      <c r="K1053" s="667"/>
      <c r="L1053" s="667"/>
      <c r="M1053" s="667"/>
      <c r="N1053" s="667"/>
      <c r="O1053" s="665" t="e">
        <f>#REF!+#REF!+I1053+#REF!+#REF!+G1053</f>
        <v>#REF!</v>
      </c>
      <c r="P1053" s="666" t="e">
        <f t="shared" si="113"/>
        <v>#REF!</v>
      </c>
      <c r="Q1053" s="672"/>
      <c r="R1053" s="668"/>
      <c r="S1053" s="676"/>
      <c r="T1053" s="676"/>
    </row>
    <row r="1054" spans="1:20" s="677" customFormat="1" ht="69.75">
      <c r="A1054" s="787"/>
      <c r="B1054" s="787"/>
      <c r="C1054" s="792" t="s">
        <v>1992</v>
      </c>
      <c r="D1054" s="787">
        <f>[14]Elec.Data!K3011</f>
        <v>2424.4299999999998</v>
      </c>
      <c r="E1054" s="789"/>
      <c r="F1054" s="789"/>
      <c r="G1054" s="691"/>
      <c r="H1054" s="667">
        <f t="shared" si="111"/>
        <v>0</v>
      </c>
      <c r="I1054" s="691"/>
      <c r="J1054" s="667">
        <f t="shared" si="112"/>
        <v>0</v>
      </c>
      <c r="K1054" s="667"/>
      <c r="L1054" s="667"/>
      <c r="M1054" s="667"/>
      <c r="N1054" s="667"/>
      <c r="O1054" s="665" t="e">
        <f>#REF!+#REF!+I1054+#REF!+#REF!+G1054</f>
        <v>#REF!</v>
      </c>
      <c r="P1054" s="666" t="e">
        <f t="shared" si="113"/>
        <v>#REF!</v>
      </c>
      <c r="Q1054" s="672"/>
      <c r="R1054" s="668"/>
      <c r="S1054" s="676"/>
      <c r="T1054" s="676"/>
    </row>
    <row r="1055" spans="1:20" s="677" customFormat="1" ht="69.75">
      <c r="A1055" s="787"/>
      <c r="B1055" s="787"/>
      <c r="C1055" s="792" t="s">
        <v>1993</v>
      </c>
      <c r="D1055" s="787">
        <f>[14]Elec.Data!K3023</f>
        <v>2425.48</v>
      </c>
      <c r="E1055" s="789"/>
      <c r="F1055" s="789"/>
      <c r="G1055" s="691"/>
      <c r="H1055" s="667">
        <f t="shared" si="111"/>
        <v>0</v>
      </c>
      <c r="I1055" s="691"/>
      <c r="J1055" s="667">
        <f t="shared" si="112"/>
        <v>0</v>
      </c>
      <c r="K1055" s="667"/>
      <c r="L1055" s="667"/>
      <c r="M1055" s="667"/>
      <c r="N1055" s="667"/>
      <c r="O1055" s="665" t="e">
        <f>#REF!+#REF!+I1055+#REF!+#REF!+G1055</f>
        <v>#REF!</v>
      </c>
      <c r="P1055" s="666" t="e">
        <f t="shared" si="113"/>
        <v>#REF!</v>
      </c>
      <c r="Q1055" s="672"/>
      <c r="R1055" s="668"/>
      <c r="S1055" s="676"/>
      <c r="T1055" s="676"/>
    </row>
    <row r="1056" spans="1:20" s="677" customFormat="1" ht="46.5">
      <c r="A1056" s="787"/>
      <c r="B1056" s="787"/>
      <c r="C1056" s="792" t="s">
        <v>1994</v>
      </c>
      <c r="D1056" s="787">
        <f>[14]Elec.Data!K3044</f>
        <v>2491.65</v>
      </c>
      <c r="E1056" s="789"/>
      <c r="F1056" s="789"/>
      <c r="G1056" s="691"/>
      <c r="H1056" s="667">
        <f t="shared" si="111"/>
        <v>0</v>
      </c>
      <c r="I1056" s="691"/>
      <c r="J1056" s="667">
        <f t="shared" si="112"/>
        <v>0</v>
      </c>
      <c r="K1056" s="667"/>
      <c r="L1056" s="667"/>
      <c r="M1056" s="667"/>
      <c r="N1056" s="667"/>
      <c r="O1056" s="665" t="e">
        <f>#REF!+#REF!+I1056+#REF!+#REF!+G1056</f>
        <v>#REF!</v>
      </c>
      <c r="P1056" s="666" t="e">
        <f t="shared" si="113"/>
        <v>#REF!</v>
      </c>
      <c r="Q1056" s="672"/>
      <c r="R1056" s="668"/>
      <c r="S1056" s="676"/>
      <c r="T1056" s="676"/>
    </row>
    <row r="1057" spans="1:20" s="677" customFormat="1" ht="69.75">
      <c r="A1057" s="787"/>
      <c r="B1057" s="787"/>
      <c r="C1057" s="792" t="s">
        <v>1995</v>
      </c>
      <c r="D1057" s="787">
        <f>[14]Elec.Data!K3063</f>
        <v>4553.6099999999997</v>
      </c>
      <c r="E1057" s="789"/>
      <c r="F1057" s="789"/>
      <c r="G1057" s="691"/>
      <c r="H1057" s="667">
        <f t="shared" si="111"/>
        <v>0</v>
      </c>
      <c r="I1057" s="691"/>
      <c r="J1057" s="667">
        <f t="shared" si="112"/>
        <v>0</v>
      </c>
      <c r="K1057" s="667"/>
      <c r="L1057" s="667"/>
      <c r="M1057" s="667"/>
      <c r="N1057" s="667"/>
      <c r="O1057" s="665" t="e">
        <f>#REF!+#REF!+I1057+#REF!+#REF!+G1057</f>
        <v>#REF!</v>
      </c>
      <c r="P1057" s="666" t="e">
        <f t="shared" si="113"/>
        <v>#REF!</v>
      </c>
      <c r="Q1057" s="672"/>
      <c r="R1057" s="668"/>
      <c r="S1057" s="676"/>
      <c r="T1057" s="676"/>
    </row>
    <row r="1058" spans="1:20" s="677" customFormat="1" ht="23.25">
      <c r="A1058" s="787"/>
      <c r="B1058" s="787"/>
      <c r="C1058" s="792" t="s">
        <v>1996</v>
      </c>
      <c r="D1058" s="787">
        <f>[14]Elec.Data!K3092</f>
        <v>209.78</v>
      </c>
      <c r="E1058" s="789"/>
      <c r="F1058" s="789"/>
      <c r="G1058" s="691"/>
      <c r="H1058" s="667">
        <f t="shared" si="111"/>
        <v>0</v>
      </c>
      <c r="I1058" s="691"/>
      <c r="J1058" s="667">
        <f t="shared" si="112"/>
        <v>0</v>
      </c>
      <c r="K1058" s="667"/>
      <c r="L1058" s="667"/>
      <c r="M1058" s="667"/>
      <c r="N1058" s="667"/>
      <c r="O1058" s="665" t="e">
        <f>#REF!+#REF!+I1058+#REF!+#REF!+G1058</f>
        <v>#REF!</v>
      </c>
      <c r="P1058" s="666" t="e">
        <f t="shared" si="113"/>
        <v>#REF!</v>
      </c>
      <c r="Q1058" s="672"/>
      <c r="R1058" s="668"/>
      <c r="S1058" s="676"/>
      <c r="T1058" s="676"/>
    </row>
    <row r="1059" spans="1:20" s="677" customFormat="1" ht="23.25">
      <c r="A1059" s="787"/>
      <c r="B1059" s="787"/>
      <c r="C1059" s="792" t="s">
        <v>1997</v>
      </c>
      <c r="D1059" s="787">
        <f>[14]Elec.Data!K3105</f>
        <v>246.68</v>
      </c>
      <c r="E1059" s="789"/>
      <c r="F1059" s="789"/>
      <c r="G1059" s="691"/>
      <c r="H1059" s="667">
        <f t="shared" si="111"/>
        <v>0</v>
      </c>
      <c r="I1059" s="691"/>
      <c r="J1059" s="667">
        <f t="shared" si="112"/>
        <v>0</v>
      </c>
      <c r="K1059" s="667"/>
      <c r="L1059" s="667"/>
      <c r="M1059" s="667"/>
      <c r="N1059" s="667"/>
      <c r="O1059" s="665" t="e">
        <f>#REF!+#REF!+I1059+#REF!+#REF!+G1059</f>
        <v>#REF!</v>
      </c>
      <c r="P1059" s="666" t="e">
        <f t="shared" si="113"/>
        <v>#REF!</v>
      </c>
      <c r="Q1059" s="672"/>
      <c r="R1059" s="668"/>
      <c r="S1059" s="676"/>
      <c r="T1059" s="676"/>
    </row>
    <row r="1060" spans="1:20" s="677" customFormat="1" ht="23.25">
      <c r="A1060" s="787"/>
      <c r="B1060" s="787"/>
      <c r="C1060" s="792" t="s">
        <v>1998</v>
      </c>
      <c r="D1060" s="787">
        <f>[14]Elec.Data!K3119</f>
        <v>368.57</v>
      </c>
      <c r="E1060" s="789"/>
      <c r="F1060" s="789"/>
      <c r="G1060" s="691"/>
      <c r="H1060" s="667">
        <f t="shared" si="111"/>
        <v>0</v>
      </c>
      <c r="I1060" s="691"/>
      <c r="J1060" s="667">
        <f t="shared" si="112"/>
        <v>0</v>
      </c>
      <c r="K1060" s="667"/>
      <c r="L1060" s="667"/>
      <c r="M1060" s="667"/>
      <c r="N1060" s="667"/>
      <c r="O1060" s="665" t="e">
        <f>#REF!+#REF!+I1060+#REF!+#REF!+G1060</f>
        <v>#REF!</v>
      </c>
      <c r="P1060" s="666" t="e">
        <f t="shared" si="113"/>
        <v>#REF!</v>
      </c>
      <c r="Q1060" s="672"/>
      <c r="R1060" s="668"/>
      <c r="S1060" s="676"/>
      <c r="T1060" s="676"/>
    </row>
    <row r="1061" spans="1:20" s="677" customFormat="1" ht="93">
      <c r="A1061" s="787"/>
      <c r="B1061" s="787"/>
      <c r="C1061" s="792" t="s">
        <v>1999</v>
      </c>
      <c r="D1061" s="787">
        <f>[14]Elec.Data!K3173</f>
        <v>1308</v>
      </c>
      <c r="E1061" s="789"/>
      <c r="F1061" s="789"/>
      <c r="G1061" s="691"/>
      <c r="H1061" s="667">
        <f t="shared" si="111"/>
        <v>0</v>
      </c>
      <c r="I1061" s="691"/>
      <c r="J1061" s="667">
        <f t="shared" si="112"/>
        <v>0</v>
      </c>
      <c r="K1061" s="667"/>
      <c r="L1061" s="667"/>
      <c r="M1061" s="667"/>
      <c r="N1061" s="667"/>
      <c r="O1061" s="665" t="e">
        <f>#REF!+#REF!+I1061+#REF!+#REF!+G1061</f>
        <v>#REF!</v>
      </c>
      <c r="P1061" s="666" t="e">
        <f t="shared" si="113"/>
        <v>#REF!</v>
      </c>
      <c r="Q1061" s="672"/>
      <c r="R1061" s="668"/>
      <c r="S1061" s="676"/>
      <c r="T1061" s="676"/>
    </row>
    <row r="1062" spans="1:20" s="677" customFormat="1" ht="93">
      <c r="A1062" s="787"/>
      <c r="B1062" s="787"/>
      <c r="C1062" s="792" t="s">
        <v>2000</v>
      </c>
      <c r="D1062" s="787">
        <f>[14]Elec.Data!K3184</f>
        <v>984.5</v>
      </c>
      <c r="E1062" s="789"/>
      <c r="F1062" s="789"/>
      <c r="G1062" s="691"/>
      <c r="H1062" s="667">
        <f t="shared" si="111"/>
        <v>0</v>
      </c>
      <c r="I1062" s="691"/>
      <c r="J1062" s="667">
        <f t="shared" si="112"/>
        <v>0</v>
      </c>
      <c r="K1062" s="667"/>
      <c r="L1062" s="667"/>
      <c r="M1062" s="667"/>
      <c r="N1062" s="667"/>
      <c r="O1062" s="665" t="e">
        <f>#REF!+#REF!+I1062+#REF!+#REF!+G1062</f>
        <v>#REF!</v>
      </c>
      <c r="P1062" s="666" t="e">
        <f t="shared" si="113"/>
        <v>#REF!</v>
      </c>
      <c r="Q1062" s="672"/>
      <c r="R1062" s="668"/>
      <c r="S1062" s="676"/>
      <c r="T1062" s="676"/>
    </row>
    <row r="1063" spans="1:20" s="677" customFormat="1" ht="69.75">
      <c r="A1063" s="787"/>
      <c r="B1063" s="787"/>
      <c r="C1063" s="792" t="s">
        <v>2001</v>
      </c>
      <c r="D1063" s="787">
        <f>[14]Elec.Data!K3195</f>
        <v>1662.67</v>
      </c>
      <c r="E1063" s="789"/>
      <c r="F1063" s="789"/>
      <c r="G1063" s="691"/>
      <c r="H1063" s="667">
        <f t="shared" si="111"/>
        <v>0</v>
      </c>
      <c r="I1063" s="691"/>
      <c r="J1063" s="667">
        <f t="shared" si="112"/>
        <v>0</v>
      </c>
      <c r="K1063" s="667"/>
      <c r="L1063" s="667"/>
      <c r="M1063" s="667"/>
      <c r="N1063" s="667"/>
      <c r="O1063" s="665" t="e">
        <f>#REF!+#REF!+I1063+#REF!+#REF!+G1063</f>
        <v>#REF!</v>
      </c>
      <c r="P1063" s="666" t="e">
        <f t="shared" si="113"/>
        <v>#REF!</v>
      </c>
      <c r="Q1063" s="672"/>
      <c r="R1063" s="668"/>
      <c r="S1063" s="676"/>
      <c r="T1063" s="676"/>
    </row>
    <row r="1064" spans="1:20" s="677" customFormat="1" ht="69.75">
      <c r="A1064" s="787"/>
      <c r="B1064" s="787"/>
      <c r="C1064" s="792" t="s">
        <v>2002</v>
      </c>
      <c r="D1064" s="787">
        <f>[14]Elec.Data!K3210</f>
        <v>2083.67</v>
      </c>
      <c r="E1064" s="789"/>
      <c r="F1064" s="789"/>
      <c r="G1064" s="691"/>
      <c r="H1064" s="667">
        <f t="shared" si="111"/>
        <v>0</v>
      </c>
      <c r="I1064" s="691"/>
      <c r="J1064" s="667">
        <f t="shared" si="112"/>
        <v>0</v>
      </c>
      <c r="K1064" s="667"/>
      <c r="L1064" s="667"/>
      <c r="M1064" s="667"/>
      <c r="N1064" s="667"/>
      <c r="O1064" s="665" t="e">
        <f>#REF!+#REF!+I1064+#REF!+#REF!+G1064</f>
        <v>#REF!</v>
      </c>
      <c r="P1064" s="666" t="e">
        <f t="shared" si="113"/>
        <v>#REF!</v>
      </c>
      <c r="Q1064" s="672"/>
      <c r="R1064" s="668"/>
      <c r="S1064" s="676"/>
      <c r="T1064" s="676"/>
    </row>
    <row r="1065" spans="1:20" s="677" customFormat="1" ht="116.25">
      <c r="A1065" s="787"/>
      <c r="B1065" s="787"/>
      <c r="C1065" s="792" t="s">
        <v>2003</v>
      </c>
      <c r="D1065" s="787">
        <f>[14]Elec.Data!K3233</f>
        <v>4116.8500000000004</v>
      </c>
      <c r="E1065" s="789"/>
      <c r="F1065" s="789"/>
      <c r="G1065" s="691"/>
      <c r="H1065" s="667">
        <f t="shared" si="111"/>
        <v>0</v>
      </c>
      <c r="I1065" s="691"/>
      <c r="J1065" s="667">
        <f t="shared" si="112"/>
        <v>0</v>
      </c>
      <c r="K1065" s="667"/>
      <c r="L1065" s="667"/>
      <c r="M1065" s="667"/>
      <c r="N1065" s="667"/>
      <c r="O1065" s="665" t="e">
        <f>#REF!+#REF!+I1065+#REF!+#REF!+G1065</f>
        <v>#REF!</v>
      </c>
      <c r="P1065" s="666" t="e">
        <f t="shared" si="113"/>
        <v>#REF!</v>
      </c>
      <c r="Q1065" s="672"/>
      <c r="R1065" s="668"/>
      <c r="S1065" s="676"/>
      <c r="T1065" s="676"/>
    </row>
    <row r="1066" spans="1:20" s="677" customFormat="1" ht="93">
      <c r="A1066" s="787"/>
      <c r="B1066" s="787"/>
      <c r="C1066" s="792" t="s">
        <v>2004</v>
      </c>
      <c r="D1066" s="787">
        <f>[14]Elec.Data!K3221</f>
        <v>3342.85</v>
      </c>
      <c r="E1066" s="789"/>
      <c r="F1066" s="789"/>
      <c r="G1066" s="691"/>
      <c r="H1066" s="667">
        <f t="shared" si="111"/>
        <v>0</v>
      </c>
      <c r="I1066" s="691"/>
      <c r="J1066" s="667">
        <f t="shared" si="112"/>
        <v>0</v>
      </c>
      <c r="K1066" s="667"/>
      <c r="L1066" s="667"/>
      <c r="M1066" s="667"/>
      <c r="N1066" s="667"/>
      <c r="O1066" s="665" t="e">
        <f>#REF!+#REF!+I1066+#REF!+#REF!+G1066</f>
        <v>#REF!</v>
      </c>
      <c r="P1066" s="666" t="e">
        <f t="shared" si="113"/>
        <v>#REF!</v>
      </c>
      <c r="Q1066" s="672"/>
      <c r="R1066" s="668"/>
      <c r="S1066" s="676"/>
      <c r="T1066" s="676"/>
    </row>
    <row r="1067" spans="1:20" s="677" customFormat="1" ht="46.5">
      <c r="A1067" s="787"/>
      <c r="B1067" s="787"/>
      <c r="C1067" s="792" t="s">
        <v>2005</v>
      </c>
      <c r="D1067" s="787">
        <f>[14]Elec.Data!K3244</f>
        <v>275.19</v>
      </c>
      <c r="E1067" s="789"/>
      <c r="F1067" s="789"/>
      <c r="G1067" s="691"/>
      <c r="H1067" s="667">
        <f t="shared" si="111"/>
        <v>0</v>
      </c>
      <c r="I1067" s="691"/>
      <c r="J1067" s="667">
        <f t="shared" si="112"/>
        <v>0</v>
      </c>
      <c r="K1067" s="667"/>
      <c r="L1067" s="667"/>
      <c r="M1067" s="667"/>
      <c r="N1067" s="667"/>
      <c r="O1067" s="665" t="e">
        <f>#REF!+#REF!+I1067+#REF!+#REF!+G1067</f>
        <v>#REF!</v>
      </c>
      <c r="P1067" s="666" t="e">
        <f t="shared" si="113"/>
        <v>#REF!</v>
      </c>
      <c r="Q1067" s="672"/>
      <c r="R1067" s="668"/>
      <c r="S1067" s="676"/>
      <c r="T1067" s="676"/>
    </row>
    <row r="1068" spans="1:20" s="677" customFormat="1" ht="46.5">
      <c r="A1068" s="787"/>
      <c r="B1068" s="787"/>
      <c r="C1068" s="792" t="s">
        <v>2006</v>
      </c>
      <c r="D1068" s="787">
        <f>[14]Elec.Data!K3262</f>
        <v>463.6</v>
      </c>
      <c r="E1068" s="789"/>
      <c r="F1068" s="789"/>
      <c r="G1068" s="691"/>
      <c r="H1068" s="667">
        <f t="shared" si="111"/>
        <v>0</v>
      </c>
      <c r="I1068" s="691"/>
      <c r="J1068" s="667">
        <f t="shared" si="112"/>
        <v>0</v>
      </c>
      <c r="K1068" s="667"/>
      <c r="L1068" s="667"/>
      <c r="M1068" s="667"/>
      <c r="N1068" s="667"/>
      <c r="O1068" s="665" t="e">
        <f>#REF!+#REF!+I1068+#REF!+#REF!+G1068</f>
        <v>#REF!</v>
      </c>
      <c r="P1068" s="666" t="e">
        <f t="shared" si="113"/>
        <v>#REF!</v>
      </c>
      <c r="Q1068" s="672"/>
      <c r="R1068" s="668"/>
      <c r="S1068" s="676"/>
      <c r="T1068" s="676"/>
    </row>
    <row r="1069" spans="1:20" s="677" customFormat="1" ht="46.5">
      <c r="A1069" s="787"/>
      <c r="B1069" s="787"/>
      <c r="C1069" s="792" t="s">
        <v>2007</v>
      </c>
      <c r="D1069" s="787">
        <f>[14]Elec.Data!K3333</f>
        <v>361.01</v>
      </c>
      <c r="E1069" s="789"/>
      <c r="F1069" s="789"/>
      <c r="G1069" s="691"/>
      <c r="H1069" s="667">
        <f t="shared" si="111"/>
        <v>0</v>
      </c>
      <c r="I1069" s="691"/>
      <c r="J1069" s="667">
        <f t="shared" si="112"/>
        <v>0</v>
      </c>
      <c r="K1069" s="667"/>
      <c r="L1069" s="667"/>
      <c r="M1069" s="667"/>
      <c r="N1069" s="667"/>
      <c r="O1069" s="665" t="e">
        <f>#REF!+#REF!+I1069+#REF!+#REF!+G1069</f>
        <v>#REF!</v>
      </c>
      <c r="P1069" s="666" t="e">
        <f t="shared" si="113"/>
        <v>#REF!</v>
      </c>
      <c r="Q1069" s="672"/>
      <c r="R1069" s="668"/>
      <c r="S1069" s="676"/>
      <c r="T1069" s="676"/>
    </row>
    <row r="1070" spans="1:20" s="677" customFormat="1" ht="46.5">
      <c r="A1070" s="787"/>
      <c r="B1070" s="787"/>
      <c r="C1070" s="792" t="s">
        <v>2008</v>
      </c>
      <c r="D1070" s="787">
        <f>[14]Elec.Data!K3348</f>
        <v>714.1</v>
      </c>
      <c r="E1070" s="789"/>
      <c r="F1070" s="789"/>
      <c r="G1070" s="691"/>
      <c r="H1070" s="667">
        <f t="shared" si="111"/>
        <v>0</v>
      </c>
      <c r="I1070" s="691"/>
      <c r="J1070" s="667">
        <f t="shared" si="112"/>
        <v>0</v>
      </c>
      <c r="K1070" s="667"/>
      <c r="L1070" s="667"/>
      <c r="M1070" s="667"/>
      <c r="N1070" s="667"/>
      <c r="O1070" s="665" t="e">
        <f>#REF!+#REF!+I1070+#REF!+#REF!+G1070</f>
        <v>#REF!</v>
      </c>
      <c r="P1070" s="666" t="e">
        <f t="shared" si="113"/>
        <v>#REF!</v>
      </c>
      <c r="Q1070" s="672"/>
      <c r="R1070" s="668"/>
      <c r="S1070" s="676"/>
      <c r="T1070" s="676"/>
    </row>
    <row r="1071" spans="1:20" s="677" customFormat="1" ht="46.5">
      <c r="A1071" s="787"/>
      <c r="B1071" s="787"/>
      <c r="C1071" s="792" t="s">
        <v>2009</v>
      </c>
      <c r="D1071" s="787">
        <f>[14]Elec.Data!K3366</f>
        <v>449.93</v>
      </c>
      <c r="E1071" s="789"/>
      <c r="F1071" s="789"/>
      <c r="G1071" s="691"/>
      <c r="H1071" s="667">
        <f t="shared" si="111"/>
        <v>0</v>
      </c>
      <c r="I1071" s="691"/>
      <c r="J1071" s="667">
        <f t="shared" si="112"/>
        <v>0</v>
      </c>
      <c r="K1071" s="667"/>
      <c r="L1071" s="667"/>
      <c r="M1071" s="667"/>
      <c r="N1071" s="667"/>
      <c r="O1071" s="665" t="e">
        <f>#REF!+#REF!+I1071+#REF!+#REF!+G1071</f>
        <v>#REF!</v>
      </c>
      <c r="P1071" s="666" t="e">
        <f t="shared" si="113"/>
        <v>#REF!</v>
      </c>
      <c r="Q1071" s="672"/>
      <c r="R1071" s="668"/>
      <c r="S1071" s="676"/>
      <c r="T1071" s="676"/>
    </row>
    <row r="1072" spans="1:20" s="677" customFormat="1" ht="46.5">
      <c r="A1072" s="787"/>
      <c r="B1072" s="787"/>
      <c r="C1072" s="792" t="s">
        <v>2010</v>
      </c>
      <c r="D1072" s="787">
        <f>[14]Elec.Data!K3379</f>
        <v>728.1</v>
      </c>
      <c r="E1072" s="789"/>
      <c r="F1072" s="789"/>
      <c r="G1072" s="691"/>
      <c r="H1072" s="667">
        <f t="shared" si="111"/>
        <v>0</v>
      </c>
      <c r="I1072" s="691"/>
      <c r="J1072" s="667">
        <f t="shared" si="112"/>
        <v>0</v>
      </c>
      <c r="K1072" s="667"/>
      <c r="L1072" s="667"/>
      <c r="M1072" s="667"/>
      <c r="N1072" s="667"/>
      <c r="O1072" s="665" t="e">
        <f>#REF!+#REF!+I1072+#REF!+#REF!+G1072</f>
        <v>#REF!</v>
      </c>
      <c r="P1072" s="666" t="e">
        <f t="shared" si="113"/>
        <v>#REF!</v>
      </c>
      <c r="Q1072" s="672"/>
      <c r="R1072" s="668"/>
      <c r="S1072" s="676"/>
      <c r="T1072" s="676"/>
    </row>
    <row r="1073" spans="1:20" s="677" customFormat="1" ht="46.5">
      <c r="A1073" s="787"/>
      <c r="B1073" s="787"/>
      <c r="C1073" s="792" t="s">
        <v>2011</v>
      </c>
      <c r="D1073" s="787">
        <f>[14]Elec.Data!K3384</f>
        <v>1505</v>
      </c>
      <c r="E1073" s="789"/>
      <c r="F1073" s="789"/>
      <c r="G1073" s="691"/>
      <c r="H1073" s="667">
        <f t="shared" si="111"/>
        <v>0</v>
      </c>
      <c r="I1073" s="691"/>
      <c r="J1073" s="667">
        <f t="shared" si="112"/>
        <v>0</v>
      </c>
      <c r="K1073" s="667"/>
      <c r="L1073" s="667"/>
      <c r="M1073" s="667"/>
      <c r="N1073" s="667"/>
      <c r="O1073" s="665" t="e">
        <f>#REF!+#REF!+I1073+#REF!+#REF!+G1073</f>
        <v>#REF!</v>
      </c>
      <c r="P1073" s="666" t="e">
        <f t="shared" si="113"/>
        <v>#REF!</v>
      </c>
      <c r="Q1073" s="672"/>
      <c r="R1073" s="668"/>
      <c r="S1073" s="676"/>
      <c r="T1073" s="676"/>
    </row>
    <row r="1074" spans="1:20" s="677" customFormat="1" ht="46.5">
      <c r="A1074" s="787"/>
      <c r="B1074" s="787"/>
      <c r="C1074" s="792" t="s">
        <v>2012</v>
      </c>
      <c r="D1074" s="787">
        <f>[14]Elec.Data!K3389</f>
        <v>1858</v>
      </c>
      <c r="E1074" s="789"/>
      <c r="F1074" s="789"/>
      <c r="G1074" s="691"/>
      <c r="H1074" s="667">
        <f t="shared" ref="H1074:H1105" si="114">G1074*D1074</f>
        <v>0</v>
      </c>
      <c r="I1074" s="691"/>
      <c r="J1074" s="667">
        <f t="shared" ref="J1074:J1105" si="115">I1074*D1074</f>
        <v>0</v>
      </c>
      <c r="K1074" s="667"/>
      <c r="L1074" s="667"/>
      <c r="M1074" s="667"/>
      <c r="N1074" s="667"/>
      <c r="O1074" s="665" t="e">
        <f>#REF!+#REF!+I1074+#REF!+#REF!+G1074</f>
        <v>#REF!</v>
      </c>
      <c r="P1074" s="666" t="e">
        <f t="shared" si="113"/>
        <v>#REF!</v>
      </c>
      <c r="Q1074" s="672"/>
      <c r="R1074" s="668"/>
      <c r="S1074" s="676"/>
      <c r="T1074" s="676"/>
    </row>
    <row r="1075" spans="1:20" s="677" customFormat="1" ht="69.75">
      <c r="A1075" s="787"/>
      <c r="B1075" s="787"/>
      <c r="C1075" s="792" t="s">
        <v>2013</v>
      </c>
      <c r="D1075" s="787">
        <f>[14]Elec.Data!K3501</f>
        <v>142.97999999999999</v>
      </c>
      <c r="E1075" s="789"/>
      <c r="F1075" s="789"/>
      <c r="G1075" s="691"/>
      <c r="H1075" s="667">
        <f t="shared" si="114"/>
        <v>0</v>
      </c>
      <c r="I1075" s="691"/>
      <c r="J1075" s="667">
        <f t="shared" si="115"/>
        <v>0</v>
      </c>
      <c r="K1075" s="667"/>
      <c r="L1075" s="667"/>
      <c r="M1075" s="667"/>
      <c r="N1075" s="667"/>
      <c r="O1075" s="665" t="e">
        <f>#REF!+#REF!+I1075+#REF!+#REF!+G1075</f>
        <v>#REF!</v>
      </c>
      <c r="P1075" s="666" t="e">
        <f t="shared" si="113"/>
        <v>#REF!</v>
      </c>
      <c r="Q1075" s="672"/>
      <c r="R1075" s="668"/>
      <c r="S1075" s="676"/>
      <c r="T1075" s="676"/>
    </row>
    <row r="1076" spans="1:20" s="677" customFormat="1" ht="69.75">
      <c r="A1076" s="787"/>
      <c r="B1076" s="787"/>
      <c r="C1076" s="792" t="s">
        <v>2014</v>
      </c>
      <c r="D1076" s="787">
        <f>[14]Elec.Data!K3539</f>
        <v>251.18</v>
      </c>
      <c r="E1076" s="789"/>
      <c r="F1076" s="789"/>
      <c r="G1076" s="691"/>
      <c r="H1076" s="667">
        <f t="shared" si="114"/>
        <v>0</v>
      </c>
      <c r="I1076" s="691"/>
      <c r="J1076" s="667">
        <f t="shared" si="115"/>
        <v>0</v>
      </c>
      <c r="K1076" s="667"/>
      <c r="L1076" s="667"/>
      <c r="M1076" s="667"/>
      <c r="N1076" s="667"/>
      <c r="O1076" s="665" t="e">
        <f>#REF!+#REF!+I1076+#REF!+#REF!+G1076</f>
        <v>#REF!</v>
      </c>
      <c r="P1076" s="666" t="e">
        <f t="shared" si="113"/>
        <v>#REF!</v>
      </c>
      <c r="Q1076" s="672"/>
      <c r="R1076" s="668"/>
      <c r="S1076" s="676"/>
      <c r="T1076" s="676"/>
    </row>
    <row r="1077" spans="1:20" s="677" customFormat="1" ht="23.25">
      <c r="A1077" s="787"/>
      <c r="B1077" s="787"/>
      <c r="C1077" s="792" t="s">
        <v>2015</v>
      </c>
      <c r="D1077" s="787">
        <f>[14]Elec.Data!K3547</f>
        <v>165</v>
      </c>
      <c r="E1077" s="789"/>
      <c r="F1077" s="789"/>
      <c r="G1077" s="691"/>
      <c r="H1077" s="667">
        <f t="shared" si="114"/>
        <v>0</v>
      </c>
      <c r="I1077" s="691"/>
      <c r="J1077" s="667">
        <f t="shared" si="115"/>
        <v>0</v>
      </c>
      <c r="K1077" s="667"/>
      <c r="L1077" s="667"/>
      <c r="M1077" s="667"/>
      <c r="N1077" s="667"/>
      <c r="O1077" s="665" t="e">
        <f>#REF!+#REF!+I1077+#REF!+#REF!+G1077</f>
        <v>#REF!</v>
      </c>
      <c r="P1077" s="666" t="e">
        <f t="shared" ref="P1077:P1108" si="116">O1077*D1077</f>
        <v>#REF!</v>
      </c>
      <c r="Q1077" s="672"/>
      <c r="R1077" s="668"/>
      <c r="S1077" s="676"/>
      <c r="T1077" s="676"/>
    </row>
    <row r="1078" spans="1:20" s="677" customFormat="1" ht="23.25">
      <c r="A1078" s="787"/>
      <c r="B1078" s="787"/>
      <c r="C1078" s="792" t="s">
        <v>2016</v>
      </c>
      <c r="D1078" s="787">
        <f>[14]Elec.Data!K3567</f>
        <v>245.49</v>
      </c>
      <c r="E1078" s="789"/>
      <c r="F1078" s="789"/>
      <c r="G1078" s="691"/>
      <c r="H1078" s="667">
        <f t="shared" si="114"/>
        <v>0</v>
      </c>
      <c r="I1078" s="691"/>
      <c r="J1078" s="667">
        <f t="shared" si="115"/>
        <v>0</v>
      </c>
      <c r="K1078" s="667"/>
      <c r="L1078" s="667"/>
      <c r="M1078" s="667"/>
      <c r="N1078" s="667"/>
      <c r="O1078" s="665" t="e">
        <f>#REF!+#REF!+I1078+#REF!+#REF!+G1078</f>
        <v>#REF!</v>
      </c>
      <c r="P1078" s="666" t="e">
        <f t="shared" si="116"/>
        <v>#REF!</v>
      </c>
      <c r="Q1078" s="672"/>
      <c r="R1078" s="668"/>
      <c r="S1078" s="676"/>
      <c r="T1078" s="676"/>
    </row>
    <row r="1079" spans="1:20" s="677" customFormat="1" ht="23.25">
      <c r="A1079" s="787"/>
      <c r="B1079" s="787"/>
      <c r="C1079" s="792" t="s">
        <v>2017</v>
      </c>
      <c r="D1079" s="787">
        <f>[14]Elec.Data!K3584</f>
        <v>150.69</v>
      </c>
      <c r="E1079" s="789"/>
      <c r="F1079" s="789"/>
      <c r="G1079" s="691"/>
      <c r="H1079" s="667">
        <f t="shared" si="114"/>
        <v>0</v>
      </c>
      <c r="I1079" s="691"/>
      <c r="J1079" s="667">
        <f t="shared" si="115"/>
        <v>0</v>
      </c>
      <c r="K1079" s="667"/>
      <c r="L1079" s="667"/>
      <c r="M1079" s="667"/>
      <c r="N1079" s="667"/>
      <c r="O1079" s="665" t="e">
        <f>#REF!+#REF!+I1079+#REF!+#REF!+G1079</f>
        <v>#REF!</v>
      </c>
      <c r="P1079" s="666" t="e">
        <f t="shared" si="116"/>
        <v>#REF!</v>
      </c>
      <c r="Q1079" s="672"/>
      <c r="R1079" s="668"/>
      <c r="S1079" s="676"/>
      <c r="T1079" s="676"/>
    </row>
    <row r="1080" spans="1:20" s="677" customFormat="1" ht="23.25">
      <c r="A1080" s="787"/>
      <c r="B1080" s="787"/>
      <c r="C1080" s="792" t="s">
        <v>2018</v>
      </c>
      <c r="D1080" s="787">
        <f>[14]Elec.Data!K3619</f>
        <v>2092</v>
      </c>
      <c r="E1080" s="789"/>
      <c r="F1080" s="789"/>
      <c r="G1080" s="691"/>
      <c r="H1080" s="667">
        <f t="shared" si="114"/>
        <v>0</v>
      </c>
      <c r="I1080" s="691"/>
      <c r="J1080" s="667">
        <f t="shared" si="115"/>
        <v>0</v>
      </c>
      <c r="K1080" s="667"/>
      <c r="L1080" s="667"/>
      <c r="M1080" s="667"/>
      <c r="N1080" s="667"/>
      <c r="O1080" s="665" t="e">
        <f>#REF!+#REF!+I1080+#REF!+#REF!+G1080</f>
        <v>#REF!</v>
      </c>
      <c r="P1080" s="666" t="e">
        <f t="shared" si="116"/>
        <v>#REF!</v>
      </c>
      <c r="Q1080" s="672"/>
      <c r="R1080" s="668"/>
      <c r="S1080" s="676"/>
      <c r="T1080" s="676"/>
    </row>
    <row r="1081" spans="1:20" s="677" customFormat="1" ht="116.25">
      <c r="A1081" s="787"/>
      <c r="B1081" s="787"/>
      <c r="C1081" s="792" t="s">
        <v>2019</v>
      </c>
      <c r="D1081" s="787">
        <f>[14]Elec.Data!K3650</f>
        <v>2207.4</v>
      </c>
      <c r="E1081" s="789"/>
      <c r="F1081" s="789"/>
      <c r="G1081" s="691"/>
      <c r="H1081" s="667">
        <f t="shared" si="114"/>
        <v>0</v>
      </c>
      <c r="I1081" s="691"/>
      <c r="J1081" s="667">
        <f t="shared" si="115"/>
        <v>0</v>
      </c>
      <c r="K1081" s="667"/>
      <c r="L1081" s="667"/>
      <c r="M1081" s="667"/>
      <c r="N1081" s="667"/>
      <c r="O1081" s="665" t="e">
        <f>#REF!+#REF!+I1081+#REF!+#REF!+G1081</f>
        <v>#REF!</v>
      </c>
      <c r="P1081" s="666" t="e">
        <f t="shared" si="116"/>
        <v>#REF!</v>
      </c>
      <c r="Q1081" s="672"/>
      <c r="R1081" s="668"/>
      <c r="S1081" s="676"/>
      <c r="T1081" s="676"/>
    </row>
    <row r="1082" spans="1:20" s="677" customFormat="1" ht="46.5">
      <c r="A1082" s="787"/>
      <c r="B1082" s="787"/>
      <c r="C1082" s="792" t="s">
        <v>2020</v>
      </c>
      <c r="D1082" s="787">
        <f>[14]Elec.Data!K3676</f>
        <v>5045.38</v>
      </c>
      <c r="E1082" s="789"/>
      <c r="F1082" s="789"/>
      <c r="G1082" s="691"/>
      <c r="H1082" s="667">
        <f t="shared" si="114"/>
        <v>0</v>
      </c>
      <c r="I1082" s="691"/>
      <c r="J1082" s="667">
        <f t="shared" si="115"/>
        <v>0</v>
      </c>
      <c r="K1082" s="691"/>
      <c r="L1082" s="691"/>
      <c r="M1082" s="691"/>
      <c r="N1082" s="691"/>
      <c r="O1082" s="665" t="e">
        <f>#REF!+#REF!+I1082+#REF!+#REF!+G1082</f>
        <v>#REF!</v>
      </c>
      <c r="P1082" s="666" t="e">
        <f t="shared" si="116"/>
        <v>#REF!</v>
      </c>
      <c r="Q1082" s="672"/>
      <c r="R1082" s="668"/>
      <c r="S1082" s="676"/>
      <c r="T1082" s="676"/>
    </row>
    <row r="1083" spans="1:20" s="677" customFormat="1" ht="46.5">
      <c r="A1083" s="787"/>
      <c r="B1083" s="787"/>
      <c r="C1083" s="792" t="s">
        <v>2021</v>
      </c>
      <c r="D1083" s="787">
        <f>[14]Elec.Data!K3695</f>
        <v>89.94</v>
      </c>
      <c r="E1083" s="789"/>
      <c r="F1083" s="789"/>
      <c r="G1083" s="691"/>
      <c r="H1083" s="667">
        <f t="shared" si="114"/>
        <v>0</v>
      </c>
      <c r="I1083" s="691"/>
      <c r="J1083" s="667">
        <f t="shared" si="115"/>
        <v>0</v>
      </c>
      <c r="K1083" s="691"/>
      <c r="L1083" s="691"/>
      <c r="M1083" s="691"/>
      <c r="N1083" s="691"/>
      <c r="O1083" s="665" t="e">
        <f>#REF!+#REF!+I1083+#REF!+#REF!+G1083</f>
        <v>#REF!</v>
      </c>
      <c r="P1083" s="666" t="e">
        <f t="shared" si="116"/>
        <v>#REF!</v>
      </c>
      <c r="Q1083" s="672"/>
      <c r="R1083" s="668"/>
      <c r="S1083" s="676"/>
      <c r="T1083" s="676"/>
    </row>
    <row r="1084" spans="1:20" s="677" customFormat="1" ht="23.25">
      <c r="A1084" s="787"/>
      <c r="B1084" s="787"/>
      <c r="C1084" s="792" t="s">
        <v>2022</v>
      </c>
      <c r="D1084" s="787">
        <f>[14]Elec.Data!K3702</f>
        <v>54</v>
      </c>
      <c r="E1084" s="789"/>
      <c r="F1084" s="789"/>
      <c r="G1084" s="691"/>
      <c r="H1084" s="667">
        <f t="shared" si="114"/>
        <v>0</v>
      </c>
      <c r="I1084" s="691"/>
      <c r="J1084" s="667">
        <f t="shared" si="115"/>
        <v>0</v>
      </c>
      <c r="K1084" s="691"/>
      <c r="L1084" s="691"/>
      <c r="M1084" s="691"/>
      <c r="N1084" s="691"/>
      <c r="O1084" s="665" t="e">
        <f>#REF!+#REF!+I1084+#REF!+#REF!+G1084</f>
        <v>#REF!</v>
      </c>
      <c r="P1084" s="666" t="e">
        <f t="shared" si="116"/>
        <v>#REF!</v>
      </c>
      <c r="Q1084" s="672"/>
      <c r="R1084" s="668"/>
      <c r="S1084" s="676"/>
      <c r="T1084" s="676"/>
    </row>
    <row r="1085" spans="1:20" s="677" customFormat="1" ht="93">
      <c r="A1085" s="787"/>
      <c r="B1085" s="787"/>
      <c r="C1085" s="792" t="s">
        <v>2023</v>
      </c>
      <c r="D1085" s="787">
        <f>[14]Elec.Data!K3727</f>
        <v>6840.4</v>
      </c>
      <c r="E1085" s="789"/>
      <c r="F1085" s="789"/>
      <c r="G1085" s="691"/>
      <c r="H1085" s="667">
        <f t="shared" si="114"/>
        <v>0</v>
      </c>
      <c r="I1085" s="691"/>
      <c r="J1085" s="667">
        <f t="shared" si="115"/>
        <v>0</v>
      </c>
      <c r="K1085" s="691"/>
      <c r="L1085" s="691"/>
      <c r="M1085" s="691"/>
      <c r="N1085" s="691"/>
      <c r="O1085" s="665" t="e">
        <f>#REF!+#REF!+I1085+#REF!+#REF!+G1085</f>
        <v>#REF!</v>
      </c>
      <c r="P1085" s="666" t="e">
        <f t="shared" si="116"/>
        <v>#REF!</v>
      </c>
      <c r="Q1085" s="672"/>
      <c r="R1085" s="668"/>
      <c r="S1085" s="676"/>
      <c r="T1085" s="676"/>
    </row>
    <row r="1086" spans="1:20" s="677" customFormat="1" ht="23.25">
      <c r="A1086" s="787"/>
      <c r="B1086" s="787"/>
      <c r="C1086" s="792" t="s">
        <v>2024</v>
      </c>
      <c r="D1086" s="787">
        <f>[14]Elec.Data!K3774</f>
        <v>582.49</v>
      </c>
      <c r="E1086" s="789"/>
      <c r="F1086" s="789"/>
      <c r="G1086" s="691"/>
      <c r="H1086" s="667">
        <f t="shared" si="114"/>
        <v>0</v>
      </c>
      <c r="I1086" s="691"/>
      <c r="J1086" s="667">
        <f t="shared" si="115"/>
        <v>0</v>
      </c>
      <c r="K1086" s="691"/>
      <c r="L1086" s="691"/>
      <c r="M1086" s="691"/>
      <c r="N1086" s="691"/>
      <c r="O1086" s="665" t="e">
        <f>#REF!+#REF!+I1086+#REF!+#REF!+G1086</f>
        <v>#REF!</v>
      </c>
      <c r="P1086" s="666" t="e">
        <f t="shared" si="116"/>
        <v>#REF!</v>
      </c>
      <c r="Q1086" s="672"/>
      <c r="R1086" s="668"/>
      <c r="S1086" s="676"/>
      <c r="T1086" s="676"/>
    </row>
    <row r="1087" spans="1:20" s="677" customFormat="1" ht="46.5">
      <c r="A1087" s="787"/>
      <c r="B1087" s="787"/>
      <c r="C1087" s="793" t="s">
        <v>2025</v>
      </c>
      <c r="D1087" s="787">
        <f>[14]Elec.Data!K3815</f>
        <v>830.11</v>
      </c>
      <c r="E1087" s="789"/>
      <c r="F1087" s="789"/>
      <c r="G1087" s="691"/>
      <c r="H1087" s="667">
        <f t="shared" si="114"/>
        <v>0</v>
      </c>
      <c r="I1087" s="691"/>
      <c r="J1087" s="667">
        <f t="shared" si="115"/>
        <v>0</v>
      </c>
      <c r="K1087" s="691"/>
      <c r="L1087" s="691"/>
      <c r="M1087" s="691"/>
      <c r="N1087" s="691"/>
      <c r="O1087" s="665" t="e">
        <f>#REF!+#REF!+I1087+#REF!+#REF!+G1087</f>
        <v>#REF!</v>
      </c>
      <c r="P1087" s="666" t="e">
        <f t="shared" si="116"/>
        <v>#REF!</v>
      </c>
      <c r="Q1087" s="672"/>
      <c r="R1087" s="668"/>
      <c r="S1087" s="676"/>
      <c r="T1087" s="676"/>
    </row>
    <row r="1088" spans="1:20" s="677" customFormat="1" ht="46.5">
      <c r="A1088" s="787"/>
      <c r="B1088" s="787"/>
      <c r="C1088" s="792" t="s">
        <v>2026</v>
      </c>
      <c r="D1088" s="787">
        <f>[14]Elec.Data!K3841</f>
        <v>833.16</v>
      </c>
      <c r="E1088" s="789"/>
      <c r="F1088" s="789"/>
      <c r="G1088" s="691"/>
      <c r="H1088" s="667">
        <f t="shared" si="114"/>
        <v>0</v>
      </c>
      <c r="I1088" s="691"/>
      <c r="J1088" s="667">
        <f t="shared" si="115"/>
        <v>0</v>
      </c>
      <c r="K1088" s="691"/>
      <c r="L1088" s="691"/>
      <c r="M1088" s="691"/>
      <c r="N1088" s="691"/>
      <c r="O1088" s="665" t="e">
        <f>#REF!+#REF!+I1088+#REF!+#REF!+G1088</f>
        <v>#REF!</v>
      </c>
      <c r="P1088" s="666" t="e">
        <f t="shared" si="116"/>
        <v>#REF!</v>
      </c>
      <c r="Q1088" s="672"/>
      <c r="R1088" s="668"/>
      <c r="S1088" s="676"/>
      <c r="T1088" s="676"/>
    </row>
    <row r="1089" spans="1:20" s="677" customFormat="1" ht="69.75">
      <c r="A1089" s="787"/>
      <c r="B1089" s="787"/>
      <c r="C1089" s="793" t="s">
        <v>2027</v>
      </c>
      <c r="D1089" s="787">
        <f>[14]Elec.Data!K3857</f>
        <v>871.29</v>
      </c>
      <c r="E1089" s="789"/>
      <c r="F1089" s="789"/>
      <c r="G1089" s="691"/>
      <c r="H1089" s="667">
        <f t="shared" si="114"/>
        <v>0</v>
      </c>
      <c r="I1089" s="691"/>
      <c r="J1089" s="667">
        <f t="shared" si="115"/>
        <v>0</v>
      </c>
      <c r="K1089" s="691"/>
      <c r="L1089" s="691"/>
      <c r="M1089" s="691"/>
      <c r="N1089" s="691"/>
      <c r="O1089" s="665" t="e">
        <f>#REF!+#REF!+I1089+#REF!+#REF!+G1089</f>
        <v>#REF!</v>
      </c>
      <c r="P1089" s="666" t="e">
        <f t="shared" si="116"/>
        <v>#REF!</v>
      </c>
      <c r="Q1089" s="672"/>
      <c r="R1089" s="668"/>
      <c r="S1089" s="676"/>
      <c r="T1089" s="676"/>
    </row>
    <row r="1090" spans="1:20" s="677" customFormat="1" ht="46.5">
      <c r="A1090" s="787"/>
      <c r="B1090" s="787"/>
      <c r="C1090" s="793" t="s">
        <v>2028</v>
      </c>
      <c r="D1090" s="787">
        <f>[14]Elec.Data!K3879</f>
        <v>917.46</v>
      </c>
      <c r="E1090" s="789"/>
      <c r="F1090" s="789"/>
      <c r="G1090" s="691"/>
      <c r="H1090" s="667">
        <f t="shared" si="114"/>
        <v>0</v>
      </c>
      <c r="I1090" s="691"/>
      <c r="J1090" s="667">
        <f t="shared" si="115"/>
        <v>0</v>
      </c>
      <c r="K1090" s="691"/>
      <c r="L1090" s="691"/>
      <c r="M1090" s="691"/>
      <c r="N1090" s="691"/>
      <c r="O1090" s="665" t="e">
        <f>#REF!+#REF!+I1090+#REF!+#REF!+G1090</f>
        <v>#REF!</v>
      </c>
      <c r="P1090" s="666" t="e">
        <f t="shared" si="116"/>
        <v>#REF!</v>
      </c>
      <c r="Q1090" s="672"/>
      <c r="R1090" s="668"/>
      <c r="S1090" s="676"/>
      <c r="T1090" s="676"/>
    </row>
    <row r="1091" spans="1:20" s="677" customFormat="1" ht="69.75">
      <c r="A1091" s="787"/>
      <c r="B1091" s="787"/>
      <c r="C1091" s="793" t="s">
        <v>2029</v>
      </c>
      <c r="D1091" s="787">
        <f>[14]Elec.Data!K3899</f>
        <v>1963.99</v>
      </c>
      <c r="E1091" s="789"/>
      <c r="F1091" s="789"/>
      <c r="G1091" s="691"/>
      <c r="H1091" s="667">
        <f t="shared" si="114"/>
        <v>0</v>
      </c>
      <c r="I1091" s="691"/>
      <c r="J1091" s="667">
        <f t="shared" si="115"/>
        <v>0</v>
      </c>
      <c r="K1091" s="691"/>
      <c r="L1091" s="691"/>
      <c r="M1091" s="691"/>
      <c r="N1091" s="691"/>
      <c r="O1091" s="665" t="e">
        <f>#REF!+#REF!+I1091+#REF!+#REF!+G1091</f>
        <v>#REF!</v>
      </c>
      <c r="P1091" s="666" t="e">
        <f t="shared" si="116"/>
        <v>#REF!</v>
      </c>
      <c r="Q1091" s="672"/>
      <c r="R1091" s="668"/>
      <c r="S1091" s="676"/>
      <c r="T1091" s="676"/>
    </row>
    <row r="1092" spans="1:20" s="677" customFormat="1" ht="46.5">
      <c r="A1092" s="787"/>
      <c r="B1092" s="787"/>
      <c r="C1092" s="793" t="s">
        <v>2030</v>
      </c>
      <c r="D1092" s="787">
        <f>[14]Elec.Data!K3918</f>
        <v>638.45000000000005</v>
      </c>
      <c r="E1092" s="789"/>
      <c r="F1092" s="789"/>
      <c r="G1092" s="691"/>
      <c r="H1092" s="667">
        <f t="shared" si="114"/>
        <v>0</v>
      </c>
      <c r="I1092" s="691"/>
      <c r="J1092" s="667">
        <f t="shared" si="115"/>
        <v>0</v>
      </c>
      <c r="K1092" s="691"/>
      <c r="L1092" s="691"/>
      <c r="M1092" s="691"/>
      <c r="N1092" s="691"/>
      <c r="O1092" s="665" t="e">
        <f>#REF!+#REF!+I1092+#REF!+#REF!+G1092</f>
        <v>#REF!</v>
      </c>
      <c r="P1092" s="666" t="e">
        <f t="shared" si="116"/>
        <v>#REF!</v>
      </c>
      <c r="Q1092" s="672"/>
      <c r="R1092" s="668"/>
      <c r="S1092" s="676"/>
      <c r="T1092" s="676"/>
    </row>
    <row r="1093" spans="1:20" s="677" customFormat="1" ht="46.5">
      <c r="A1093" s="787"/>
      <c r="B1093" s="787"/>
      <c r="C1093" s="793" t="s">
        <v>2031</v>
      </c>
      <c r="D1093" s="787">
        <f>[14]Elec.Data!K3942</f>
        <v>119.23</v>
      </c>
      <c r="E1093" s="789"/>
      <c r="F1093" s="789"/>
      <c r="G1093" s="691"/>
      <c r="H1093" s="667">
        <f t="shared" si="114"/>
        <v>0</v>
      </c>
      <c r="I1093" s="691"/>
      <c r="J1093" s="667">
        <f t="shared" si="115"/>
        <v>0</v>
      </c>
      <c r="K1093" s="691"/>
      <c r="L1093" s="691"/>
      <c r="M1093" s="691"/>
      <c r="N1093" s="691"/>
      <c r="O1093" s="665" t="e">
        <f>#REF!+#REF!+I1093+#REF!+#REF!+G1093</f>
        <v>#REF!</v>
      </c>
      <c r="P1093" s="666" t="e">
        <f t="shared" si="116"/>
        <v>#REF!</v>
      </c>
      <c r="Q1093" s="672"/>
      <c r="R1093" s="668"/>
      <c r="S1093" s="676"/>
      <c r="T1093" s="676"/>
    </row>
    <row r="1094" spans="1:20" s="677" customFormat="1" ht="46.5">
      <c r="A1094" s="787"/>
      <c r="B1094" s="787"/>
      <c r="C1094" s="792" t="s">
        <v>2032</v>
      </c>
      <c r="D1094" s="787">
        <f>[14]Elec.Data!K3953</f>
        <v>136.43</v>
      </c>
      <c r="E1094" s="789"/>
      <c r="F1094" s="789"/>
      <c r="G1094" s="691"/>
      <c r="H1094" s="667">
        <f t="shared" si="114"/>
        <v>0</v>
      </c>
      <c r="I1094" s="691"/>
      <c r="J1094" s="667">
        <f t="shared" si="115"/>
        <v>0</v>
      </c>
      <c r="K1094" s="691"/>
      <c r="L1094" s="691"/>
      <c r="M1094" s="691"/>
      <c r="N1094" s="691"/>
      <c r="O1094" s="665" t="e">
        <f>#REF!+#REF!+I1094+#REF!+#REF!+G1094</f>
        <v>#REF!</v>
      </c>
      <c r="P1094" s="666" t="e">
        <f t="shared" si="116"/>
        <v>#REF!</v>
      </c>
      <c r="Q1094" s="672"/>
      <c r="R1094" s="668"/>
      <c r="S1094" s="676"/>
      <c r="T1094" s="676"/>
    </row>
    <row r="1095" spans="1:20" s="677" customFormat="1" ht="23.25">
      <c r="A1095" s="787"/>
      <c r="B1095" s="787"/>
      <c r="C1095" s="792" t="s">
        <v>2033</v>
      </c>
      <c r="D1095" s="787">
        <f>[14]Data!R384</f>
        <v>19.96</v>
      </c>
      <c r="E1095" s="789"/>
      <c r="F1095" s="789"/>
      <c r="G1095" s="691"/>
      <c r="H1095" s="667">
        <f t="shared" si="114"/>
        <v>0</v>
      </c>
      <c r="I1095" s="691"/>
      <c r="J1095" s="667">
        <f t="shared" si="115"/>
        <v>0</v>
      </c>
      <c r="K1095" s="691"/>
      <c r="L1095" s="691"/>
      <c r="M1095" s="691"/>
      <c r="N1095" s="691"/>
      <c r="O1095" s="665" t="e">
        <f>#REF!+#REF!+I1095+#REF!+#REF!+G1095</f>
        <v>#REF!</v>
      </c>
      <c r="P1095" s="666" t="e">
        <f t="shared" si="116"/>
        <v>#REF!</v>
      </c>
      <c r="Q1095" s="672"/>
      <c r="R1095" s="668"/>
      <c r="S1095" s="676"/>
      <c r="T1095" s="676"/>
    </row>
    <row r="1096" spans="1:20" s="677" customFormat="1" ht="23.25">
      <c r="A1096" s="787"/>
      <c r="B1096" s="787"/>
      <c r="C1096" s="792" t="s">
        <v>2034</v>
      </c>
      <c r="D1096" s="787">
        <f>D1095+D1098</f>
        <v>23.61</v>
      </c>
      <c r="E1096" s="789"/>
      <c r="F1096" s="789"/>
      <c r="G1096" s="691"/>
      <c r="H1096" s="667">
        <f t="shared" si="114"/>
        <v>0</v>
      </c>
      <c r="I1096" s="691"/>
      <c r="J1096" s="667">
        <f t="shared" si="115"/>
        <v>0</v>
      </c>
      <c r="K1096" s="691"/>
      <c r="L1096" s="691"/>
      <c r="M1096" s="691"/>
      <c r="N1096" s="691"/>
      <c r="O1096" s="665" t="e">
        <f>#REF!+#REF!+I1096+#REF!+#REF!+G1096</f>
        <v>#REF!</v>
      </c>
      <c r="P1096" s="666" t="e">
        <f t="shared" si="116"/>
        <v>#REF!</v>
      </c>
      <c r="Q1096" s="672"/>
      <c r="R1096" s="668"/>
      <c r="S1096" s="676"/>
      <c r="T1096" s="676"/>
    </row>
    <row r="1097" spans="1:20" s="677" customFormat="1" ht="23.25">
      <c r="A1097" s="787"/>
      <c r="B1097" s="787"/>
      <c r="C1097" s="792" t="s">
        <v>2035</v>
      </c>
      <c r="D1097" s="787">
        <f>[14]Data!R398</f>
        <v>29.07</v>
      </c>
      <c r="E1097" s="789"/>
      <c r="F1097" s="789"/>
      <c r="G1097" s="691"/>
      <c r="H1097" s="667">
        <f t="shared" si="114"/>
        <v>0</v>
      </c>
      <c r="I1097" s="691"/>
      <c r="J1097" s="667">
        <f t="shared" si="115"/>
        <v>0</v>
      </c>
      <c r="K1097" s="691"/>
      <c r="L1097" s="691"/>
      <c r="M1097" s="691"/>
      <c r="N1097" s="691"/>
      <c r="O1097" s="665" t="e">
        <f>#REF!+#REF!+I1097+#REF!+#REF!+G1097</f>
        <v>#REF!</v>
      </c>
      <c r="P1097" s="666" t="e">
        <f t="shared" si="116"/>
        <v>#REF!</v>
      </c>
      <c r="Q1097" s="672"/>
      <c r="R1097" s="668"/>
      <c r="S1097" s="676"/>
      <c r="T1097" s="676"/>
    </row>
    <row r="1098" spans="1:20" s="677" customFormat="1" ht="23.25">
      <c r="A1098" s="787"/>
      <c r="B1098" s="787"/>
      <c r="C1098" s="792" t="s">
        <v>2036</v>
      </c>
      <c r="D1098" s="787">
        <f>[14]Data!I3172</f>
        <v>3.65</v>
      </c>
      <c r="E1098" s="789"/>
      <c r="F1098" s="789"/>
      <c r="G1098" s="691"/>
      <c r="H1098" s="667">
        <f t="shared" si="114"/>
        <v>0</v>
      </c>
      <c r="I1098" s="691"/>
      <c r="J1098" s="667">
        <f t="shared" si="115"/>
        <v>0</v>
      </c>
      <c r="K1098" s="691"/>
      <c r="L1098" s="691"/>
      <c r="M1098" s="691"/>
      <c r="N1098" s="691"/>
      <c r="O1098" s="665" t="e">
        <f>#REF!+#REF!+I1098+#REF!+#REF!+G1098</f>
        <v>#REF!</v>
      </c>
      <c r="P1098" s="666" t="e">
        <f t="shared" si="116"/>
        <v>#REF!</v>
      </c>
      <c r="Q1098" s="672"/>
      <c r="R1098" s="668"/>
      <c r="S1098" s="676"/>
      <c r="T1098" s="676"/>
    </row>
    <row r="1099" spans="1:20" s="677" customFormat="1" ht="23.25">
      <c r="A1099" s="787"/>
      <c r="B1099" s="787"/>
      <c r="C1099" s="792" t="s">
        <v>2037</v>
      </c>
      <c r="D1099" s="787">
        <f>[14]Data!I3198</f>
        <v>7.9</v>
      </c>
      <c r="E1099" s="789"/>
      <c r="F1099" s="789"/>
      <c r="G1099" s="691"/>
      <c r="H1099" s="667">
        <f t="shared" si="114"/>
        <v>0</v>
      </c>
      <c r="I1099" s="691"/>
      <c r="J1099" s="667">
        <f t="shared" si="115"/>
        <v>0</v>
      </c>
      <c r="K1099" s="691"/>
      <c r="L1099" s="691"/>
      <c r="M1099" s="691"/>
      <c r="N1099" s="691"/>
      <c r="O1099" s="665" t="e">
        <f>#REF!+#REF!+I1099+#REF!+#REF!+G1099</f>
        <v>#REF!</v>
      </c>
      <c r="P1099" s="666" t="e">
        <f t="shared" si="116"/>
        <v>#REF!</v>
      </c>
      <c r="Q1099" s="672"/>
      <c r="R1099" s="668"/>
      <c r="S1099" s="676"/>
      <c r="T1099" s="676"/>
    </row>
    <row r="1100" spans="1:20" s="677" customFormat="1" ht="23.25">
      <c r="A1100" s="787"/>
      <c r="B1100" s="787"/>
      <c r="C1100" s="792" t="s">
        <v>2038</v>
      </c>
      <c r="D1100" s="787">
        <f>[14]Data!I3212</f>
        <v>8.5</v>
      </c>
      <c r="E1100" s="789"/>
      <c r="F1100" s="789"/>
      <c r="G1100" s="691"/>
      <c r="H1100" s="667">
        <f t="shared" si="114"/>
        <v>0</v>
      </c>
      <c r="I1100" s="691"/>
      <c r="J1100" s="667">
        <f t="shared" si="115"/>
        <v>0</v>
      </c>
      <c r="K1100" s="691"/>
      <c r="L1100" s="691"/>
      <c r="M1100" s="691"/>
      <c r="N1100" s="691"/>
      <c r="O1100" s="665" t="e">
        <f>#REF!+#REF!+I1100+#REF!+#REF!+G1100</f>
        <v>#REF!</v>
      </c>
      <c r="P1100" s="666" t="e">
        <f t="shared" si="116"/>
        <v>#REF!</v>
      </c>
      <c r="Q1100" s="672"/>
      <c r="R1100" s="668"/>
      <c r="S1100" s="676"/>
      <c r="T1100" s="676"/>
    </row>
    <row r="1101" spans="1:20" s="677" customFormat="1" ht="23.25">
      <c r="A1101" s="787"/>
      <c r="B1101" s="787"/>
      <c r="C1101" s="792" t="s">
        <v>2039</v>
      </c>
      <c r="D1101" s="787">
        <f>[14]Data!K3188</f>
        <v>62.39</v>
      </c>
      <c r="E1101" s="789"/>
      <c r="F1101" s="789"/>
      <c r="G1101" s="691"/>
      <c r="H1101" s="667">
        <f t="shared" si="114"/>
        <v>0</v>
      </c>
      <c r="I1101" s="691"/>
      <c r="J1101" s="667">
        <f t="shared" si="115"/>
        <v>0</v>
      </c>
      <c r="K1101" s="691"/>
      <c r="L1101" s="691"/>
      <c r="M1101" s="691"/>
      <c r="N1101" s="691"/>
      <c r="O1101" s="665" t="e">
        <f>#REF!+#REF!+I1101+#REF!+#REF!+G1101</f>
        <v>#REF!</v>
      </c>
      <c r="P1101" s="666" t="e">
        <f t="shared" si="116"/>
        <v>#REF!</v>
      </c>
      <c r="Q1101" s="672"/>
      <c r="R1101" s="668"/>
      <c r="S1101" s="676"/>
      <c r="T1101" s="676"/>
    </row>
    <row r="1102" spans="1:20" s="677" customFormat="1" ht="23.25">
      <c r="A1102" s="787"/>
      <c r="B1102" s="787"/>
      <c r="C1102" s="792" t="s">
        <v>2040</v>
      </c>
      <c r="D1102" s="787">
        <f>[14]Data!K3175</f>
        <v>119.16</v>
      </c>
      <c r="E1102" s="789"/>
      <c r="F1102" s="789"/>
      <c r="G1102" s="691"/>
      <c r="H1102" s="667">
        <f t="shared" si="114"/>
        <v>0</v>
      </c>
      <c r="I1102" s="691"/>
      <c r="J1102" s="667">
        <f t="shared" si="115"/>
        <v>0</v>
      </c>
      <c r="K1102" s="691"/>
      <c r="L1102" s="691"/>
      <c r="M1102" s="691"/>
      <c r="N1102" s="691"/>
      <c r="O1102" s="665" t="e">
        <f>#REF!+#REF!+I1102+#REF!+#REF!+G1102</f>
        <v>#REF!</v>
      </c>
      <c r="P1102" s="666" t="e">
        <f t="shared" si="116"/>
        <v>#REF!</v>
      </c>
      <c r="Q1102" s="672"/>
      <c r="R1102" s="668"/>
      <c r="S1102" s="676"/>
      <c r="T1102" s="676"/>
    </row>
    <row r="1103" spans="1:20" s="677" customFormat="1" ht="23.25">
      <c r="A1103" s="787"/>
      <c r="B1103" s="787"/>
      <c r="C1103" s="791" t="s">
        <v>2041</v>
      </c>
      <c r="D1103" s="787">
        <f>[14]Data!K3202</f>
        <v>81.27</v>
      </c>
      <c r="E1103" s="789"/>
      <c r="F1103" s="789"/>
      <c r="G1103" s="691"/>
      <c r="H1103" s="667">
        <f t="shared" si="114"/>
        <v>0</v>
      </c>
      <c r="I1103" s="691"/>
      <c r="J1103" s="667">
        <f t="shared" si="115"/>
        <v>0</v>
      </c>
      <c r="K1103" s="691"/>
      <c r="L1103" s="691"/>
      <c r="M1103" s="691"/>
      <c r="N1103" s="691"/>
      <c r="O1103" s="665" t="e">
        <f>#REF!+#REF!+I1103+#REF!+#REF!+G1103</f>
        <v>#REF!</v>
      </c>
      <c r="P1103" s="666" t="e">
        <f t="shared" si="116"/>
        <v>#REF!</v>
      </c>
      <c r="Q1103" s="672"/>
      <c r="R1103" s="668"/>
      <c r="S1103" s="676"/>
      <c r="T1103" s="676"/>
    </row>
    <row r="1104" spans="1:20" s="677" customFormat="1" ht="23.25">
      <c r="A1104" s="691"/>
      <c r="B1104" s="691"/>
      <c r="C1104" s="789" t="s">
        <v>2042</v>
      </c>
      <c r="D1104" s="691">
        <f>[14]Data!K3247</f>
        <v>125.87</v>
      </c>
      <c r="E1104" s="789"/>
      <c r="F1104" s="789"/>
      <c r="G1104" s="691"/>
      <c r="H1104" s="667">
        <f t="shared" si="114"/>
        <v>0</v>
      </c>
      <c r="I1104" s="691"/>
      <c r="J1104" s="667">
        <f t="shared" si="115"/>
        <v>0</v>
      </c>
      <c r="K1104" s="691"/>
      <c r="L1104" s="691"/>
      <c r="M1104" s="691"/>
      <c r="N1104" s="691"/>
      <c r="O1104" s="665" t="e">
        <f>#REF!+#REF!+I1104+#REF!+#REF!+G1104</f>
        <v>#REF!</v>
      </c>
      <c r="P1104" s="666" t="e">
        <f t="shared" si="116"/>
        <v>#REF!</v>
      </c>
      <c r="Q1104" s="672"/>
      <c r="R1104" s="668"/>
      <c r="S1104" s="676"/>
      <c r="T1104" s="676"/>
    </row>
    <row r="1105" spans="1:20" s="677" customFormat="1" ht="23.25">
      <c r="A1105" s="691"/>
      <c r="B1105" s="691"/>
      <c r="C1105" s="789" t="s">
        <v>2043</v>
      </c>
      <c r="D1105" s="691">
        <f>[14]Data!K3216</f>
        <v>88.28</v>
      </c>
      <c r="E1105" s="789"/>
      <c r="F1105" s="789"/>
      <c r="G1105" s="691"/>
      <c r="H1105" s="667">
        <f t="shared" si="114"/>
        <v>0</v>
      </c>
      <c r="I1105" s="691"/>
      <c r="J1105" s="667">
        <f t="shared" si="115"/>
        <v>0</v>
      </c>
      <c r="K1105" s="691"/>
      <c r="L1105" s="691"/>
      <c r="M1105" s="691"/>
      <c r="N1105" s="691"/>
      <c r="O1105" s="665" t="e">
        <f>#REF!+#REF!+I1105+#REF!+#REF!+G1105</f>
        <v>#REF!</v>
      </c>
      <c r="P1105" s="666" t="e">
        <f t="shared" si="116"/>
        <v>#REF!</v>
      </c>
      <c r="Q1105" s="672"/>
      <c r="R1105" s="668"/>
      <c r="S1105" s="676"/>
      <c r="T1105" s="676"/>
    </row>
    <row r="1106" spans="1:20" s="677" customFormat="1" ht="23.25">
      <c r="A1106" s="691"/>
      <c r="B1106" s="691"/>
      <c r="C1106" s="789" t="s">
        <v>2044</v>
      </c>
      <c r="D1106" s="691">
        <f>[14]Data!K3231</f>
        <v>144.25</v>
      </c>
      <c r="E1106" s="789"/>
      <c r="F1106" s="789"/>
      <c r="G1106" s="691"/>
      <c r="H1106" s="667">
        <f t="shared" ref="H1106:H1135" si="117">G1106*D1106</f>
        <v>0</v>
      </c>
      <c r="I1106" s="691"/>
      <c r="J1106" s="667">
        <f t="shared" ref="J1106:J1129" si="118">I1106*D1106</f>
        <v>0</v>
      </c>
      <c r="K1106" s="691"/>
      <c r="L1106" s="691"/>
      <c r="M1106" s="691"/>
      <c r="N1106" s="691"/>
      <c r="O1106" s="665" t="e">
        <f>#REF!+#REF!+I1106+#REF!+#REF!+G1106</f>
        <v>#REF!</v>
      </c>
      <c r="P1106" s="666" t="e">
        <f t="shared" si="116"/>
        <v>#REF!</v>
      </c>
      <c r="Q1106" s="672"/>
      <c r="R1106" s="668"/>
      <c r="S1106" s="676"/>
      <c r="T1106" s="676"/>
    </row>
    <row r="1107" spans="1:20" s="677" customFormat="1" ht="23.25">
      <c r="A1107" s="691"/>
      <c r="B1107" s="691"/>
      <c r="C1107" s="789" t="s">
        <v>2045</v>
      </c>
      <c r="D1107" s="691">
        <f>[14]Data!K3275</f>
        <v>81.41</v>
      </c>
      <c r="E1107" s="789"/>
      <c r="F1107" s="789"/>
      <c r="G1107" s="691"/>
      <c r="H1107" s="667">
        <f t="shared" si="117"/>
        <v>0</v>
      </c>
      <c r="I1107" s="691"/>
      <c r="J1107" s="667">
        <f t="shared" si="118"/>
        <v>0</v>
      </c>
      <c r="K1107" s="691"/>
      <c r="L1107" s="691"/>
      <c r="M1107" s="691"/>
      <c r="N1107" s="691"/>
      <c r="O1107" s="665" t="e">
        <f>#REF!+#REF!+I1107+#REF!+#REF!+G1107</f>
        <v>#REF!</v>
      </c>
      <c r="P1107" s="666" t="e">
        <f t="shared" si="116"/>
        <v>#REF!</v>
      </c>
      <c r="Q1107" s="672"/>
      <c r="R1107" s="668"/>
      <c r="S1107" s="676"/>
      <c r="T1107" s="676"/>
    </row>
    <row r="1108" spans="1:20" s="677" customFormat="1" ht="23.25">
      <c r="A1108" s="691"/>
      <c r="B1108" s="691"/>
      <c r="C1108" s="789"/>
      <c r="D1108" s="691"/>
      <c r="E1108" s="789"/>
      <c r="F1108" s="789"/>
      <c r="G1108" s="691"/>
      <c r="H1108" s="667">
        <f t="shared" si="117"/>
        <v>0</v>
      </c>
      <c r="I1108" s="691"/>
      <c r="J1108" s="667">
        <f t="shared" si="118"/>
        <v>0</v>
      </c>
      <c r="K1108" s="691"/>
      <c r="L1108" s="691"/>
      <c r="M1108" s="691"/>
      <c r="N1108" s="691"/>
      <c r="O1108" s="665" t="e">
        <f>#REF!+#REF!+I1108+#REF!+#REF!+G1108</f>
        <v>#REF!</v>
      </c>
      <c r="P1108" s="666" t="e">
        <f t="shared" si="116"/>
        <v>#REF!</v>
      </c>
      <c r="Q1108" s="672"/>
      <c r="R1108" s="668"/>
      <c r="S1108" s="676"/>
      <c r="T1108" s="676"/>
    </row>
    <row r="1109" spans="1:20" s="677" customFormat="1" ht="23.25">
      <c r="A1109" s="691"/>
      <c r="B1109" s="691"/>
      <c r="C1109" s="789"/>
      <c r="D1109" s="691"/>
      <c r="E1109" s="789"/>
      <c r="F1109" s="789"/>
      <c r="G1109" s="691"/>
      <c r="H1109" s="667">
        <f t="shared" si="117"/>
        <v>0</v>
      </c>
      <c r="I1109" s="691"/>
      <c r="J1109" s="667">
        <f t="shared" si="118"/>
        <v>0</v>
      </c>
      <c r="K1109" s="691"/>
      <c r="L1109" s="691"/>
      <c r="M1109" s="691"/>
      <c r="N1109" s="691"/>
      <c r="O1109" s="665" t="e">
        <f>#REF!+#REF!+I1109+#REF!+#REF!+G1109</f>
        <v>#REF!</v>
      </c>
      <c r="P1109" s="666" t="e">
        <f t="shared" ref="P1109" si="119">O1109*D1109</f>
        <v>#REF!</v>
      </c>
      <c r="Q1109" s="672"/>
      <c r="R1109" s="668"/>
      <c r="S1109" s="676"/>
      <c r="T1109" s="676"/>
    </row>
    <row r="1110" spans="1:20" s="677" customFormat="1">
      <c r="A1110" s="691"/>
      <c r="B1110" s="691"/>
      <c r="C1110" s="789"/>
      <c r="D1110" s="691"/>
      <c r="E1110" s="789"/>
      <c r="F1110" s="789"/>
      <c r="G1110" s="691"/>
      <c r="H1110" s="667">
        <f t="shared" si="117"/>
        <v>0</v>
      </c>
      <c r="I1110" s="691"/>
      <c r="J1110" s="667">
        <f t="shared" si="118"/>
        <v>0</v>
      </c>
      <c r="K1110" s="691"/>
      <c r="L1110" s="691"/>
      <c r="M1110" s="691"/>
      <c r="N1110" s="691"/>
      <c r="O1110" s="659"/>
      <c r="P1110" s="660"/>
      <c r="Q1110" s="676"/>
      <c r="R1110" s="676"/>
      <c r="S1110" s="676"/>
      <c r="T1110" s="676"/>
    </row>
    <row r="1111" spans="1:20" s="677" customFormat="1">
      <c r="A1111" s="691"/>
      <c r="B1111" s="691"/>
      <c r="C1111" s="789"/>
      <c r="D1111" s="691"/>
      <c r="E1111" s="789"/>
      <c r="F1111" s="789"/>
      <c r="G1111" s="691"/>
      <c r="H1111" s="667">
        <f t="shared" si="117"/>
        <v>0</v>
      </c>
      <c r="I1111" s="691"/>
      <c r="J1111" s="667">
        <f t="shared" si="118"/>
        <v>0</v>
      </c>
      <c r="K1111" s="691"/>
      <c r="L1111" s="691"/>
      <c r="M1111" s="691"/>
      <c r="N1111" s="691"/>
      <c r="O1111" s="659"/>
      <c r="P1111" s="660"/>
      <c r="Q1111" s="676"/>
      <c r="R1111" s="676"/>
      <c r="S1111" s="676"/>
      <c r="T1111" s="676"/>
    </row>
    <row r="1112" spans="1:20" s="677" customFormat="1">
      <c r="A1112" s="691"/>
      <c r="B1112" s="691"/>
      <c r="C1112" s="789"/>
      <c r="D1112" s="691"/>
      <c r="E1112" s="789"/>
      <c r="F1112" s="789"/>
      <c r="G1112" s="691"/>
      <c r="H1112" s="667">
        <f t="shared" si="117"/>
        <v>0</v>
      </c>
      <c r="I1112" s="691"/>
      <c r="J1112" s="667">
        <f t="shared" si="118"/>
        <v>0</v>
      </c>
      <c r="K1112" s="691"/>
      <c r="L1112" s="691"/>
      <c r="M1112" s="691"/>
      <c r="N1112" s="691"/>
      <c r="O1112" s="659"/>
      <c r="P1112" s="660"/>
      <c r="Q1112" s="676"/>
      <c r="R1112" s="676"/>
      <c r="S1112" s="676"/>
      <c r="T1112" s="676"/>
    </row>
    <row r="1113" spans="1:20" s="677" customFormat="1">
      <c r="A1113" s="691"/>
      <c r="B1113" s="691"/>
      <c r="C1113" s="789"/>
      <c r="D1113" s="691"/>
      <c r="E1113" s="789"/>
      <c r="F1113" s="789"/>
      <c r="G1113" s="691"/>
      <c r="H1113" s="667">
        <f t="shared" si="117"/>
        <v>0</v>
      </c>
      <c r="I1113" s="691"/>
      <c r="J1113" s="667">
        <f t="shared" si="118"/>
        <v>0</v>
      </c>
      <c r="K1113" s="691"/>
      <c r="L1113" s="691"/>
      <c r="M1113" s="691"/>
      <c r="N1113" s="691"/>
      <c r="O1113" s="659"/>
      <c r="P1113" s="660"/>
      <c r="Q1113" s="676"/>
      <c r="R1113" s="676"/>
      <c r="S1113" s="676"/>
      <c r="T1113" s="676"/>
    </row>
    <row r="1114" spans="1:20" s="677" customFormat="1">
      <c r="A1114" s="691"/>
      <c r="B1114" s="691"/>
      <c r="C1114" s="789"/>
      <c r="D1114" s="691"/>
      <c r="E1114" s="789"/>
      <c r="F1114" s="789"/>
      <c r="G1114" s="691"/>
      <c r="H1114" s="667">
        <f t="shared" si="117"/>
        <v>0</v>
      </c>
      <c r="I1114" s="691"/>
      <c r="J1114" s="667">
        <f t="shared" si="118"/>
        <v>0</v>
      </c>
      <c r="K1114" s="691"/>
      <c r="L1114" s="691"/>
      <c r="M1114" s="691"/>
      <c r="N1114" s="691"/>
      <c r="O1114" s="659"/>
      <c r="P1114" s="660"/>
      <c r="Q1114" s="676"/>
      <c r="R1114" s="676"/>
      <c r="S1114" s="676"/>
      <c r="T1114" s="676"/>
    </row>
    <row r="1115" spans="1:20" s="677" customFormat="1">
      <c r="A1115" s="691"/>
      <c r="B1115" s="691"/>
      <c r="C1115" s="789"/>
      <c r="D1115" s="691"/>
      <c r="E1115" s="789"/>
      <c r="F1115" s="789"/>
      <c r="G1115" s="691"/>
      <c r="H1115" s="667">
        <f t="shared" si="117"/>
        <v>0</v>
      </c>
      <c r="I1115" s="691"/>
      <c r="J1115" s="667">
        <f t="shared" si="118"/>
        <v>0</v>
      </c>
      <c r="K1115" s="691"/>
      <c r="L1115" s="691"/>
      <c r="M1115" s="691"/>
      <c r="N1115" s="691"/>
      <c r="O1115" s="659"/>
      <c r="P1115" s="660"/>
      <c r="Q1115" s="676"/>
      <c r="R1115" s="676"/>
      <c r="S1115" s="676"/>
      <c r="T1115" s="676"/>
    </row>
    <row r="1116" spans="1:20" s="677" customFormat="1">
      <c r="A1116" s="691"/>
      <c r="B1116" s="691"/>
      <c r="C1116" s="789"/>
      <c r="D1116" s="691"/>
      <c r="E1116" s="789"/>
      <c r="F1116" s="789"/>
      <c r="G1116" s="691"/>
      <c r="H1116" s="667">
        <f t="shared" si="117"/>
        <v>0</v>
      </c>
      <c r="I1116" s="691"/>
      <c r="J1116" s="667">
        <f t="shared" si="118"/>
        <v>0</v>
      </c>
      <c r="K1116" s="691"/>
      <c r="L1116" s="691"/>
      <c r="M1116" s="691"/>
      <c r="N1116" s="691"/>
      <c r="O1116" s="659"/>
      <c r="P1116" s="660"/>
      <c r="Q1116" s="676"/>
      <c r="R1116" s="676"/>
      <c r="S1116" s="676"/>
      <c r="T1116" s="676"/>
    </row>
    <row r="1117" spans="1:20" s="677" customFormat="1">
      <c r="A1117" s="691"/>
      <c r="B1117" s="691"/>
      <c r="C1117" s="789"/>
      <c r="D1117" s="691"/>
      <c r="E1117" s="789"/>
      <c r="F1117" s="789"/>
      <c r="G1117" s="691"/>
      <c r="H1117" s="667">
        <f t="shared" si="117"/>
        <v>0</v>
      </c>
      <c r="I1117" s="691"/>
      <c r="J1117" s="667">
        <f t="shared" si="118"/>
        <v>0</v>
      </c>
      <c r="K1117" s="691"/>
      <c r="L1117" s="691"/>
      <c r="M1117" s="691"/>
      <c r="N1117" s="691"/>
      <c r="O1117" s="659"/>
      <c r="P1117" s="660"/>
      <c r="Q1117" s="676"/>
      <c r="R1117" s="676"/>
      <c r="S1117" s="676"/>
      <c r="T1117" s="676"/>
    </row>
    <row r="1118" spans="1:20">
      <c r="H1118" s="667">
        <f t="shared" si="117"/>
        <v>0</v>
      </c>
      <c r="J1118" s="667">
        <f t="shared" si="118"/>
        <v>0</v>
      </c>
      <c r="O1118" s="659"/>
      <c r="P1118" s="660"/>
    </row>
    <row r="1119" spans="1:20">
      <c r="H1119" s="667">
        <f t="shared" si="117"/>
        <v>0</v>
      </c>
      <c r="J1119" s="667">
        <f t="shared" si="118"/>
        <v>0</v>
      </c>
      <c r="O1119" s="659"/>
      <c r="P1119" s="660"/>
    </row>
    <row r="1120" spans="1:20">
      <c r="H1120" s="667">
        <f t="shared" si="117"/>
        <v>0</v>
      </c>
      <c r="J1120" s="667">
        <f t="shared" si="118"/>
        <v>0</v>
      </c>
      <c r="O1120" s="659"/>
      <c r="P1120" s="660"/>
    </row>
    <row r="1121" spans="8:20">
      <c r="H1121" s="667">
        <f t="shared" si="117"/>
        <v>0</v>
      </c>
      <c r="J1121" s="667">
        <f t="shared" si="118"/>
        <v>0</v>
      </c>
      <c r="O1121" s="659"/>
      <c r="P1121" s="660"/>
    </row>
    <row r="1122" spans="8:20">
      <c r="H1122" s="667">
        <f t="shared" si="117"/>
        <v>0</v>
      </c>
      <c r="J1122" s="667">
        <f t="shared" si="118"/>
        <v>0</v>
      </c>
      <c r="O1122" s="659"/>
      <c r="P1122" s="660"/>
    </row>
    <row r="1123" spans="8:20">
      <c r="H1123" s="667">
        <f t="shared" si="117"/>
        <v>0</v>
      </c>
      <c r="J1123" s="667">
        <f t="shared" si="118"/>
        <v>0</v>
      </c>
      <c r="O1123" s="659"/>
      <c r="P1123" s="660"/>
    </row>
    <row r="1124" spans="8:20">
      <c r="H1124" s="667">
        <f t="shared" si="117"/>
        <v>0</v>
      </c>
      <c r="J1124" s="667">
        <f t="shared" si="118"/>
        <v>0</v>
      </c>
      <c r="O1124" s="659"/>
      <c r="P1124" s="660"/>
    </row>
    <row r="1125" spans="8:20">
      <c r="H1125" s="667">
        <f t="shared" si="117"/>
        <v>0</v>
      </c>
      <c r="J1125" s="667">
        <f t="shared" si="118"/>
        <v>0</v>
      </c>
      <c r="O1125" s="659"/>
      <c r="P1125" s="660"/>
    </row>
    <row r="1126" spans="8:20">
      <c r="H1126" s="667">
        <f t="shared" si="117"/>
        <v>0</v>
      </c>
      <c r="J1126" s="667">
        <f t="shared" si="118"/>
        <v>0</v>
      </c>
      <c r="O1126" s="659"/>
      <c r="P1126" s="660"/>
    </row>
    <row r="1127" spans="8:20">
      <c r="H1127" s="667">
        <f t="shared" si="117"/>
        <v>0</v>
      </c>
      <c r="J1127" s="667">
        <f t="shared" si="118"/>
        <v>0</v>
      </c>
      <c r="O1127" s="659"/>
      <c r="P1127" s="660"/>
    </row>
    <row r="1128" spans="8:20">
      <c r="H1128" s="667">
        <f t="shared" si="117"/>
        <v>0</v>
      </c>
      <c r="J1128" s="667">
        <f t="shared" si="118"/>
        <v>0</v>
      </c>
      <c r="O1128" s="659"/>
      <c r="P1128" s="660"/>
    </row>
    <row r="1129" spans="8:20">
      <c r="H1129" s="667">
        <f t="shared" si="117"/>
        <v>0</v>
      </c>
      <c r="J1129" s="667">
        <f t="shared" si="118"/>
        <v>0</v>
      </c>
    </row>
    <row r="1130" spans="8:20">
      <c r="H1130" s="667">
        <f t="shared" si="117"/>
        <v>0</v>
      </c>
      <c r="O1130" s="796"/>
      <c r="P1130" s="794"/>
      <c r="Q1130" s="670"/>
      <c r="R1130" s="670"/>
      <c r="S1130" s="670"/>
      <c r="T1130" s="670"/>
    </row>
    <row r="1131" spans="8:20">
      <c r="H1131" s="667">
        <f t="shared" si="117"/>
        <v>0</v>
      </c>
      <c r="O1131" s="796"/>
      <c r="P1131" s="794"/>
      <c r="Q1131" s="670"/>
      <c r="R1131" s="670"/>
      <c r="S1131" s="670"/>
      <c r="T1131" s="670"/>
    </row>
    <row r="1132" spans="8:20">
      <c r="H1132" s="667">
        <f t="shared" si="117"/>
        <v>0</v>
      </c>
      <c r="O1132" s="796"/>
      <c r="P1132" s="794"/>
      <c r="Q1132" s="670"/>
      <c r="R1132" s="670"/>
      <c r="S1132" s="670"/>
      <c r="T1132" s="670"/>
    </row>
    <row r="1133" spans="8:20">
      <c r="H1133" s="667">
        <f t="shared" si="117"/>
        <v>0</v>
      </c>
      <c r="O1133" s="796"/>
      <c r="P1133" s="794"/>
      <c r="Q1133" s="670"/>
      <c r="R1133" s="670"/>
      <c r="S1133" s="670"/>
      <c r="T1133" s="670"/>
    </row>
    <row r="1134" spans="8:20">
      <c r="H1134" s="667">
        <f t="shared" si="117"/>
        <v>0</v>
      </c>
      <c r="O1134" s="796"/>
      <c r="P1134" s="794"/>
      <c r="Q1134" s="670"/>
      <c r="R1134" s="670"/>
      <c r="S1134" s="670"/>
      <c r="T1134" s="670"/>
    </row>
    <row r="1135" spans="8:20">
      <c r="H1135" s="667">
        <f t="shared" si="117"/>
        <v>0</v>
      </c>
      <c r="O1135" s="796"/>
      <c r="P1135" s="794"/>
      <c r="Q1135" s="670"/>
      <c r="R1135" s="670"/>
      <c r="S1135" s="670"/>
      <c r="T1135" s="670"/>
    </row>
    <row r="1136" spans="8:20">
      <c r="O1136" s="796"/>
      <c r="P1136" s="794"/>
      <c r="Q1136" s="670"/>
      <c r="R1136" s="670"/>
      <c r="S1136" s="670"/>
      <c r="T1136" s="670"/>
    </row>
    <row r="1137" spans="15:20">
      <c r="O1137" s="796"/>
      <c r="P1137" s="794"/>
      <c r="Q1137" s="670"/>
      <c r="R1137" s="670"/>
      <c r="S1137" s="670"/>
      <c r="T1137" s="670"/>
    </row>
    <row r="1138" spans="15:20">
      <c r="O1138" s="796"/>
      <c r="P1138" s="794"/>
      <c r="Q1138" s="670"/>
      <c r="R1138" s="670"/>
      <c r="S1138" s="670"/>
      <c r="T1138" s="670"/>
    </row>
    <row r="1139" spans="15:20">
      <c r="O1139" s="796"/>
      <c r="P1139" s="794"/>
      <c r="Q1139" s="670"/>
      <c r="R1139" s="670"/>
      <c r="S1139" s="670"/>
      <c r="T1139" s="670"/>
    </row>
    <row r="1140" spans="15:20">
      <c r="O1140" s="796"/>
      <c r="P1140" s="794"/>
      <c r="Q1140" s="670"/>
      <c r="R1140" s="670"/>
      <c r="S1140" s="670"/>
      <c r="T1140" s="670"/>
    </row>
    <row r="1141" spans="15:20">
      <c r="O1141" s="796"/>
      <c r="P1141" s="794"/>
      <c r="Q1141" s="670"/>
      <c r="R1141" s="670"/>
      <c r="S1141" s="670"/>
      <c r="T1141" s="670"/>
    </row>
    <row r="1142" spans="15:20">
      <c r="O1142" s="796"/>
      <c r="P1142" s="794"/>
      <c r="Q1142" s="670"/>
      <c r="R1142" s="670"/>
      <c r="S1142" s="670"/>
      <c r="T1142" s="670"/>
    </row>
    <row r="1143" spans="15:20">
      <c r="O1143" s="796"/>
      <c r="P1143" s="794"/>
      <c r="Q1143" s="670"/>
      <c r="R1143" s="670"/>
      <c r="S1143" s="670"/>
      <c r="T1143" s="670"/>
    </row>
    <row r="1144" spans="15:20">
      <c r="O1144" s="796"/>
      <c r="P1144" s="794"/>
      <c r="Q1144" s="670"/>
      <c r="R1144" s="670"/>
      <c r="S1144" s="670"/>
      <c r="T1144" s="670"/>
    </row>
    <row r="1145" spans="15:20">
      <c r="O1145" s="796"/>
      <c r="P1145" s="794"/>
      <c r="Q1145" s="670"/>
      <c r="R1145" s="670"/>
      <c r="S1145" s="670"/>
      <c r="T1145" s="670"/>
    </row>
    <row r="1146" spans="15:20">
      <c r="O1146" s="796"/>
      <c r="P1146" s="794"/>
      <c r="Q1146" s="670"/>
      <c r="R1146" s="670"/>
      <c r="S1146" s="670"/>
      <c r="T1146" s="670"/>
    </row>
    <row r="1147" spans="15:20">
      <c r="O1147" s="796"/>
      <c r="P1147" s="794"/>
      <c r="Q1147" s="670"/>
      <c r="R1147" s="670"/>
      <c r="S1147" s="670"/>
      <c r="T1147" s="670"/>
    </row>
    <row r="1148" spans="15:20">
      <c r="O1148" s="796"/>
      <c r="P1148" s="794"/>
      <c r="Q1148" s="670"/>
      <c r="R1148" s="670"/>
      <c r="S1148" s="670"/>
      <c r="T1148" s="670"/>
    </row>
  </sheetData>
  <autoFilter ref="A5:AB1135">
    <filterColumn colId="1"/>
    <filterColumn colId="5"/>
  </autoFilter>
  <mergeCells count="13">
    <mergeCell ref="Q3:R3"/>
    <mergeCell ref="F3:F4"/>
    <mergeCell ref="B3:B4"/>
    <mergeCell ref="A1:F1"/>
    <mergeCell ref="A3:A4"/>
    <mergeCell ref="C3:C4"/>
    <mergeCell ref="D3:D4"/>
    <mergeCell ref="E3:E4"/>
    <mergeCell ref="G3:H3"/>
    <mergeCell ref="I3:J3"/>
    <mergeCell ref="K3:L3"/>
    <mergeCell ref="M3:N3"/>
    <mergeCell ref="O3:P3"/>
  </mergeCells>
  <printOptions horizontalCentered="1"/>
  <pageMargins left="0.1" right="0.1" top="0.55118110236220497" bottom="0.55118110236220497" header="0.27559055118110198" footer="0.43307086614173201"/>
  <pageSetup paperSize="9" scale="59" orientation="portrait" r:id="rId1"/>
  <headerFooter alignWithMargins="0">
    <oddHeader>&amp;R&amp;P</oddHeader>
  </headerFooter>
</worksheet>
</file>

<file path=xl/worksheets/sheet12.xml><?xml version="1.0" encoding="utf-8"?>
<worksheet xmlns="http://schemas.openxmlformats.org/spreadsheetml/2006/main" xmlns:r="http://schemas.openxmlformats.org/officeDocument/2006/relationships">
  <sheetPr>
    <tabColor rgb="FF00B050"/>
  </sheetPr>
  <dimension ref="A1:Z1151"/>
  <sheetViews>
    <sheetView showZeros="0" view="pageBreakPreview" zoomScale="50" zoomScaleNormal="40" zoomScaleSheetLayoutView="50" workbookViewId="0">
      <pane xSplit="4" ySplit="4" topLeftCell="E43" activePane="bottomRight" state="frozen"/>
      <selection pane="topRight" activeCell="E1" sqref="E1"/>
      <selection pane="bottomLeft" activeCell="A5" sqref="A5"/>
      <selection pane="bottomRight" activeCell="F45" sqref="F45"/>
    </sheetView>
  </sheetViews>
  <sheetFormatPr defaultRowHeight="25.5"/>
  <cols>
    <col min="1" max="1" width="10" style="794" customWidth="1"/>
    <col min="2" max="2" width="64.44140625" style="795" customWidth="1"/>
    <col min="3" max="3" width="18.77734375" style="794" customWidth="1"/>
    <col min="4" max="4" width="11" style="795" customWidth="1"/>
    <col min="5" max="5" width="14.44140625" style="794" customWidth="1"/>
    <col min="6" max="6" width="18.21875" style="794" customWidth="1"/>
    <col min="7" max="11" width="17.44140625" style="794" customWidth="1"/>
    <col min="12" max="12" width="17.109375" style="794" customWidth="1"/>
    <col min="13" max="13" width="16.44140625" style="797" customWidth="1"/>
    <col min="14" max="14" width="18.6640625" style="798" customWidth="1"/>
    <col min="15" max="15" width="20.21875" style="669" bestFit="1" customWidth="1"/>
    <col min="16" max="16" width="25.6640625" style="669" customWidth="1"/>
    <col min="17" max="17" width="19.44140625" style="669" bestFit="1" customWidth="1"/>
    <col min="18" max="18" width="21.109375" style="669" bestFit="1" customWidth="1"/>
    <col min="19" max="19" width="15.88671875" style="670" bestFit="1" customWidth="1"/>
    <col min="20" max="20" width="8.88671875" style="670"/>
    <col min="21" max="21" width="13.44140625" style="670" bestFit="1" customWidth="1"/>
    <col min="22" max="22" width="8.88671875" style="670"/>
    <col min="23" max="23" width="11.77734375" style="670" bestFit="1" customWidth="1"/>
    <col min="24" max="25" width="8.88671875" style="670"/>
    <col min="26" max="26" width="11.6640625" style="670" bestFit="1" customWidth="1"/>
    <col min="27" max="224" width="8.88671875" style="670"/>
    <col min="225" max="225" width="10" style="670" customWidth="1"/>
    <col min="226" max="226" width="64.44140625" style="670" customWidth="1"/>
    <col min="227" max="227" width="18.77734375" style="670" customWidth="1"/>
    <col min="228" max="228" width="11" style="670" customWidth="1"/>
    <col min="229" max="229" width="14.6640625" style="670" customWidth="1"/>
    <col min="230" max="230" width="18.6640625" style="670" customWidth="1"/>
    <col min="231" max="231" width="14.44140625" style="670" customWidth="1"/>
    <col min="232" max="232" width="18.21875" style="670" customWidth="1"/>
    <col min="233" max="233" width="15.6640625" style="670" customWidth="1"/>
    <col min="234" max="234" width="17.44140625" style="670" customWidth="1"/>
    <col min="235" max="235" width="15.6640625" style="670" customWidth="1"/>
    <col min="236" max="236" width="17.44140625" style="670" customWidth="1"/>
    <col min="237" max="237" width="17" style="670" customWidth="1"/>
    <col min="238" max="240" width="17.44140625" style="670" customWidth="1"/>
    <col min="241" max="241" width="14.77734375" style="670" customWidth="1"/>
    <col min="242" max="267" width="17.44140625" style="670" customWidth="1"/>
    <col min="268" max="268" width="17.109375" style="670" customWidth="1"/>
    <col min="269" max="269" width="16.44140625" style="670" customWidth="1"/>
    <col min="270" max="270" width="18.6640625" style="670" customWidth="1"/>
    <col min="271" max="271" width="20.21875" style="670" bestFit="1" customWidth="1"/>
    <col min="272" max="272" width="25.6640625" style="670" customWidth="1"/>
    <col min="273" max="273" width="19.44140625" style="670" bestFit="1" customWidth="1"/>
    <col min="274" max="274" width="21.109375" style="670" bestFit="1" customWidth="1"/>
    <col min="275" max="275" width="15.88671875" style="670" bestFit="1" customWidth="1"/>
    <col min="276" max="276" width="8.88671875" style="670"/>
    <col min="277" max="277" width="13.44140625" style="670" bestFit="1" customWidth="1"/>
    <col min="278" max="278" width="8.88671875" style="670"/>
    <col min="279" max="279" width="11.77734375" style="670" bestFit="1" customWidth="1"/>
    <col min="280" max="281" width="8.88671875" style="670"/>
    <col min="282" max="282" width="11.6640625" style="670" bestFit="1" customWidth="1"/>
    <col min="283" max="480" width="8.88671875" style="670"/>
    <col min="481" max="481" width="10" style="670" customWidth="1"/>
    <col min="482" max="482" width="64.44140625" style="670" customWidth="1"/>
    <col min="483" max="483" width="18.77734375" style="670" customWidth="1"/>
    <col min="484" max="484" width="11" style="670" customWidth="1"/>
    <col min="485" max="485" width="14.6640625" style="670" customWidth="1"/>
    <col min="486" max="486" width="18.6640625" style="670" customWidth="1"/>
    <col min="487" max="487" width="14.44140625" style="670" customWidth="1"/>
    <col min="488" max="488" width="18.21875" style="670" customWidth="1"/>
    <col min="489" max="489" width="15.6640625" style="670" customWidth="1"/>
    <col min="490" max="490" width="17.44140625" style="670" customWidth="1"/>
    <col min="491" max="491" width="15.6640625" style="670" customWidth="1"/>
    <col min="492" max="492" width="17.44140625" style="670" customWidth="1"/>
    <col min="493" max="493" width="17" style="670" customWidth="1"/>
    <col min="494" max="496" width="17.44140625" style="670" customWidth="1"/>
    <col min="497" max="497" width="14.77734375" style="670" customWidth="1"/>
    <col min="498" max="523" width="17.44140625" style="670" customWidth="1"/>
    <col min="524" max="524" width="17.109375" style="670" customWidth="1"/>
    <col min="525" max="525" width="16.44140625" style="670" customWidth="1"/>
    <col min="526" max="526" width="18.6640625" style="670" customWidth="1"/>
    <col min="527" max="527" width="20.21875" style="670" bestFit="1" customWidth="1"/>
    <col min="528" max="528" width="25.6640625" style="670" customWidth="1"/>
    <col min="529" max="529" width="19.44140625" style="670" bestFit="1" customWidth="1"/>
    <col min="530" max="530" width="21.109375" style="670" bestFit="1" customWidth="1"/>
    <col min="531" max="531" width="15.88671875" style="670" bestFit="1" customWidth="1"/>
    <col min="532" max="532" width="8.88671875" style="670"/>
    <col min="533" max="533" width="13.44140625" style="670" bestFit="1" customWidth="1"/>
    <col min="534" max="534" width="8.88671875" style="670"/>
    <col min="535" max="535" width="11.77734375" style="670" bestFit="1" customWidth="1"/>
    <col min="536" max="537" width="8.88671875" style="670"/>
    <col min="538" max="538" width="11.6640625" style="670" bestFit="1" customWidth="1"/>
    <col min="539" max="736" width="8.88671875" style="670"/>
    <col min="737" max="737" width="10" style="670" customWidth="1"/>
    <col min="738" max="738" width="64.44140625" style="670" customWidth="1"/>
    <col min="739" max="739" width="18.77734375" style="670" customWidth="1"/>
    <col min="740" max="740" width="11" style="670" customWidth="1"/>
    <col min="741" max="741" width="14.6640625" style="670" customWidth="1"/>
    <col min="742" max="742" width="18.6640625" style="670" customWidth="1"/>
    <col min="743" max="743" width="14.44140625" style="670" customWidth="1"/>
    <col min="744" max="744" width="18.21875" style="670" customWidth="1"/>
    <col min="745" max="745" width="15.6640625" style="670" customWidth="1"/>
    <col min="746" max="746" width="17.44140625" style="670" customWidth="1"/>
    <col min="747" max="747" width="15.6640625" style="670" customWidth="1"/>
    <col min="748" max="748" width="17.44140625" style="670" customWidth="1"/>
    <col min="749" max="749" width="17" style="670" customWidth="1"/>
    <col min="750" max="752" width="17.44140625" style="670" customWidth="1"/>
    <col min="753" max="753" width="14.77734375" style="670" customWidth="1"/>
    <col min="754" max="779" width="17.44140625" style="670" customWidth="1"/>
    <col min="780" max="780" width="17.109375" style="670" customWidth="1"/>
    <col min="781" max="781" width="16.44140625" style="670" customWidth="1"/>
    <col min="782" max="782" width="18.6640625" style="670" customWidth="1"/>
    <col min="783" max="783" width="20.21875" style="670" bestFit="1" customWidth="1"/>
    <col min="784" max="784" width="25.6640625" style="670" customWidth="1"/>
    <col min="785" max="785" width="19.44140625" style="670" bestFit="1" customWidth="1"/>
    <col min="786" max="786" width="21.109375" style="670" bestFit="1" customWidth="1"/>
    <col min="787" max="787" width="15.88671875" style="670" bestFit="1" customWidth="1"/>
    <col min="788" max="788" width="8.88671875" style="670"/>
    <col min="789" max="789" width="13.44140625" style="670" bestFit="1" customWidth="1"/>
    <col min="790" max="790" width="8.88671875" style="670"/>
    <col min="791" max="791" width="11.77734375" style="670" bestFit="1" customWidth="1"/>
    <col min="792" max="793" width="8.88671875" style="670"/>
    <col min="794" max="794" width="11.6640625" style="670" bestFit="1" customWidth="1"/>
    <col min="795" max="992" width="8.88671875" style="670"/>
    <col min="993" max="993" width="10" style="670" customWidth="1"/>
    <col min="994" max="994" width="64.44140625" style="670" customWidth="1"/>
    <col min="995" max="995" width="18.77734375" style="670" customWidth="1"/>
    <col min="996" max="996" width="11" style="670" customWidth="1"/>
    <col min="997" max="997" width="14.6640625" style="670" customWidth="1"/>
    <col min="998" max="998" width="18.6640625" style="670" customWidth="1"/>
    <col min="999" max="999" width="14.44140625" style="670" customWidth="1"/>
    <col min="1000" max="1000" width="18.21875" style="670" customWidth="1"/>
    <col min="1001" max="1001" width="15.6640625" style="670" customWidth="1"/>
    <col min="1002" max="1002" width="17.44140625" style="670" customWidth="1"/>
    <col min="1003" max="1003" width="15.6640625" style="670" customWidth="1"/>
    <col min="1004" max="1004" width="17.44140625" style="670" customWidth="1"/>
    <col min="1005" max="1005" width="17" style="670" customWidth="1"/>
    <col min="1006" max="1008" width="17.44140625" style="670" customWidth="1"/>
    <col min="1009" max="1009" width="14.77734375" style="670" customWidth="1"/>
    <col min="1010" max="1035" width="17.44140625" style="670" customWidth="1"/>
    <col min="1036" max="1036" width="17.109375" style="670" customWidth="1"/>
    <col min="1037" max="1037" width="16.44140625" style="670" customWidth="1"/>
    <col min="1038" max="1038" width="18.6640625" style="670" customWidth="1"/>
    <col min="1039" max="1039" width="20.21875" style="670" bestFit="1" customWidth="1"/>
    <col min="1040" max="1040" width="25.6640625" style="670" customWidth="1"/>
    <col min="1041" max="1041" width="19.44140625" style="670" bestFit="1" customWidth="1"/>
    <col min="1042" max="1042" width="21.109375" style="670" bestFit="1" customWidth="1"/>
    <col min="1043" max="1043" width="15.88671875" style="670" bestFit="1" customWidth="1"/>
    <col min="1044" max="1044" width="8.88671875" style="670"/>
    <col min="1045" max="1045" width="13.44140625" style="670" bestFit="1" customWidth="1"/>
    <col min="1046" max="1046" width="8.88671875" style="670"/>
    <col min="1047" max="1047" width="11.77734375" style="670" bestFit="1" customWidth="1"/>
    <col min="1048" max="1049" width="8.88671875" style="670"/>
    <col min="1050" max="1050" width="11.6640625" style="670" bestFit="1" customWidth="1"/>
    <col min="1051" max="1248" width="8.88671875" style="670"/>
    <col min="1249" max="1249" width="10" style="670" customWidth="1"/>
    <col min="1250" max="1250" width="64.44140625" style="670" customWidth="1"/>
    <col min="1251" max="1251" width="18.77734375" style="670" customWidth="1"/>
    <col min="1252" max="1252" width="11" style="670" customWidth="1"/>
    <col min="1253" max="1253" width="14.6640625" style="670" customWidth="1"/>
    <col min="1254" max="1254" width="18.6640625" style="670" customWidth="1"/>
    <col min="1255" max="1255" width="14.44140625" style="670" customWidth="1"/>
    <col min="1256" max="1256" width="18.21875" style="670" customWidth="1"/>
    <col min="1257" max="1257" width="15.6640625" style="670" customWidth="1"/>
    <col min="1258" max="1258" width="17.44140625" style="670" customWidth="1"/>
    <col min="1259" max="1259" width="15.6640625" style="670" customWidth="1"/>
    <col min="1260" max="1260" width="17.44140625" style="670" customWidth="1"/>
    <col min="1261" max="1261" width="17" style="670" customWidth="1"/>
    <col min="1262" max="1264" width="17.44140625" style="670" customWidth="1"/>
    <col min="1265" max="1265" width="14.77734375" style="670" customWidth="1"/>
    <col min="1266" max="1291" width="17.44140625" style="670" customWidth="1"/>
    <col min="1292" max="1292" width="17.109375" style="670" customWidth="1"/>
    <col min="1293" max="1293" width="16.44140625" style="670" customWidth="1"/>
    <col min="1294" max="1294" width="18.6640625" style="670" customWidth="1"/>
    <col min="1295" max="1295" width="20.21875" style="670" bestFit="1" customWidth="1"/>
    <col min="1296" max="1296" width="25.6640625" style="670" customWidth="1"/>
    <col min="1297" max="1297" width="19.44140625" style="670" bestFit="1" customWidth="1"/>
    <col min="1298" max="1298" width="21.109375" style="670" bestFit="1" customWidth="1"/>
    <col min="1299" max="1299" width="15.88671875" style="670" bestFit="1" customWidth="1"/>
    <col min="1300" max="1300" width="8.88671875" style="670"/>
    <col min="1301" max="1301" width="13.44140625" style="670" bestFit="1" customWidth="1"/>
    <col min="1302" max="1302" width="8.88671875" style="670"/>
    <col min="1303" max="1303" width="11.77734375" style="670" bestFit="1" customWidth="1"/>
    <col min="1304" max="1305" width="8.88671875" style="670"/>
    <col min="1306" max="1306" width="11.6640625" style="670" bestFit="1" customWidth="1"/>
    <col min="1307" max="1504" width="8.88671875" style="670"/>
    <col min="1505" max="1505" width="10" style="670" customWidth="1"/>
    <col min="1506" max="1506" width="64.44140625" style="670" customWidth="1"/>
    <col min="1507" max="1507" width="18.77734375" style="670" customWidth="1"/>
    <col min="1508" max="1508" width="11" style="670" customWidth="1"/>
    <col min="1509" max="1509" width="14.6640625" style="670" customWidth="1"/>
    <col min="1510" max="1510" width="18.6640625" style="670" customWidth="1"/>
    <col min="1511" max="1511" width="14.44140625" style="670" customWidth="1"/>
    <col min="1512" max="1512" width="18.21875" style="670" customWidth="1"/>
    <col min="1513" max="1513" width="15.6640625" style="670" customWidth="1"/>
    <col min="1514" max="1514" width="17.44140625" style="670" customWidth="1"/>
    <col min="1515" max="1515" width="15.6640625" style="670" customWidth="1"/>
    <col min="1516" max="1516" width="17.44140625" style="670" customWidth="1"/>
    <col min="1517" max="1517" width="17" style="670" customWidth="1"/>
    <col min="1518" max="1520" width="17.44140625" style="670" customWidth="1"/>
    <col min="1521" max="1521" width="14.77734375" style="670" customWidth="1"/>
    <col min="1522" max="1547" width="17.44140625" style="670" customWidth="1"/>
    <col min="1548" max="1548" width="17.109375" style="670" customWidth="1"/>
    <col min="1549" max="1549" width="16.44140625" style="670" customWidth="1"/>
    <col min="1550" max="1550" width="18.6640625" style="670" customWidth="1"/>
    <col min="1551" max="1551" width="20.21875" style="670" bestFit="1" customWidth="1"/>
    <col min="1552" max="1552" width="25.6640625" style="670" customWidth="1"/>
    <col min="1553" max="1553" width="19.44140625" style="670" bestFit="1" customWidth="1"/>
    <col min="1554" max="1554" width="21.109375" style="670" bestFit="1" customWidth="1"/>
    <col min="1555" max="1555" width="15.88671875" style="670" bestFit="1" customWidth="1"/>
    <col min="1556" max="1556" width="8.88671875" style="670"/>
    <col min="1557" max="1557" width="13.44140625" style="670" bestFit="1" customWidth="1"/>
    <col min="1558" max="1558" width="8.88671875" style="670"/>
    <col min="1559" max="1559" width="11.77734375" style="670" bestFit="1" customWidth="1"/>
    <col min="1560" max="1561" width="8.88671875" style="670"/>
    <col min="1562" max="1562" width="11.6640625" style="670" bestFit="1" customWidth="1"/>
    <col min="1563" max="1760" width="8.88671875" style="670"/>
    <col min="1761" max="1761" width="10" style="670" customWidth="1"/>
    <col min="1762" max="1762" width="64.44140625" style="670" customWidth="1"/>
    <col min="1763" max="1763" width="18.77734375" style="670" customWidth="1"/>
    <col min="1764" max="1764" width="11" style="670" customWidth="1"/>
    <col min="1765" max="1765" width="14.6640625" style="670" customWidth="1"/>
    <col min="1766" max="1766" width="18.6640625" style="670" customWidth="1"/>
    <col min="1767" max="1767" width="14.44140625" style="670" customWidth="1"/>
    <col min="1768" max="1768" width="18.21875" style="670" customWidth="1"/>
    <col min="1769" max="1769" width="15.6640625" style="670" customWidth="1"/>
    <col min="1770" max="1770" width="17.44140625" style="670" customWidth="1"/>
    <col min="1771" max="1771" width="15.6640625" style="670" customWidth="1"/>
    <col min="1772" max="1772" width="17.44140625" style="670" customWidth="1"/>
    <col min="1773" max="1773" width="17" style="670" customWidth="1"/>
    <col min="1774" max="1776" width="17.44140625" style="670" customWidth="1"/>
    <col min="1777" max="1777" width="14.77734375" style="670" customWidth="1"/>
    <col min="1778" max="1803" width="17.44140625" style="670" customWidth="1"/>
    <col min="1804" max="1804" width="17.109375" style="670" customWidth="1"/>
    <col min="1805" max="1805" width="16.44140625" style="670" customWidth="1"/>
    <col min="1806" max="1806" width="18.6640625" style="670" customWidth="1"/>
    <col min="1807" max="1807" width="20.21875" style="670" bestFit="1" customWidth="1"/>
    <col min="1808" max="1808" width="25.6640625" style="670" customWidth="1"/>
    <col min="1809" max="1809" width="19.44140625" style="670" bestFit="1" customWidth="1"/>
    <col min="1810" max="1810" width="21.109375" style="670" bestFit="1" customWidth="1"/>
    <col min="1811" max="1811" width="15.88671875" style="670" bestFit="1" customWidth="1"/>
    <col min="1812" max="1812" width="8.88671875" style="670"/>
    <col min="1813" max="1813" width="13.44140625" style="670" bestFit="1" customWidth="1"/>
    <col min="1814" max="1814" width="8.88671875" style="670"/>
    <col min="1815" max="1815" width="11.77734375" style="670" bestFit="1" customWidth="1"/>
    <col min="1816" max="1817" width="8.88671875" style="670"/>
    <col min="1818" max="1818" width="11.6640625" style="670" bestFit="1" customWidth="1"/>
    <col min="1819" max="2016" width="8.88671875" style="670"/>
    <col min="2017" max="2017" width="10" style="670" customWidth="1"/>
    <col min="2018" max="2018" width="64.44140625" style="670" customWidth="1"/>
    <col min="2019" max="2019" width="18.77734375" style="670" customWidth="1"/>
    <col min="2020" max="2020" width="11" style="670" customWidth="1"/>
    <col min="2021" max="2021" width="14.6640625" style="670" customWidth="1"/>
    <col min="2022" max="2022" width="18.6640625" style="670" customWidth="1"/>
    <col min="2023" max="2023" width="14.44140625" style="670" customWidth="1"/>
    <col min="2024" max="2024" width="18.21875" style="670" customWidth="1"/>
    <col min="2025" max="2025" width="15.6640625" style="670" customWidth="1"/>
    <col min="2026" max="2026" width="17.44140625" style="670" customWidth="1"/>
    <col min="2027" max="2027" width="15.6640625" style="670" customWidth="1"/>
    <col min="2028" max="2028" width="17.44140625" style="670" customWidth="1"/>
    <col min="2029" max="2029" width="17" style="670" customWidth="1"/>
    <col min="2030" max="2032" width="17.44140625" style="670" customWidth="1"/>
    <col min="2033" max="2033" width="14.77734375" style="670" customWidth="1"/>
    <col min="2034" max="2059" width="17.44140625" style="670" customWidth="1"/>
    <col min="2060" max="2060" width="17.109375" style="670" customWidth="1"/>
    <col min="2061" max="2061" width="16.44140625" style="670" customWidth="1"/>
    <col min="2062" max="2062" width="18.6640625" style="670" customWidth="1"/>
    <col min="2063" max="2063" width="20.21875" style="670" bestFit="1" customWidth="1"/>
    <col min="2064" max="2064" width="25.6640625" style="670" customWidth="1"/>
    <col min="2065" max="2065" width="19.44140625" style="670" bestFit="1" customWidth="1"/>
    <col min="2066" max="2066" width="21.109375" style="670" bestFit="1" customWidth="1"/>
    <col min="2067" max="2067" width="15.88671875" style="670" bestFit="1" customWidth="1"/>
    <col min="2068" max="2068" width="8.88671875" style="670"/>
    <col min="2069" max="2069" width="13.44140625" style="670" bestFit="1" customWidth="1"/>
    <col min="2070" max="2070" width="8.88671875" style="670"/>
    <col min="2071" max="2071" width="11.77734375" style="670" bestFit="1" customWidth="1"/>
    <col min="2072" max="2073" width="8.88671875" style="670"/>
    <col min="2074" max="2074" width="11.6640625" style="670" bestFit="1" customWidth="1"/>
    <col min="2075" max="2272" width="8.88671875" style="670"/>
    <col min="2273" max="2273" width="10" style="670" customWidth="1"/>
    <col min="2274" max="2274" width="64.44140625" style="670" customWidth="1"/>
    <col min="2275" max="2275" width="18.77734375" style="670" customWidth="1"/>
    <col min="2276" max="2276" width="11" style="670" customWidth="1"/>
    <col min="2277" max="2277" width="14.6640625" style="670" customWidth="1"/>
    <col min="2278" max="2278" width="18.6640625" style="670" customWidth="1"/>
    <col min="2279" max="2279" width="14.44140625" style="670" customWidth="1"/>
    <col min="2280" max="2280" width="18.21875" style="670" customWidth="1"/>
    <col min="2281" max="2281" width="15.6640625" style="670" customWidth="1"/>
    <col min="2282" max="2282" width="17.44140625" style="670" customWidth="1"/>
    <col min="2283" max="2283" width="15.6640625" style="670" customWidth="1"/>
    <col min="2284" max="2284" width="17.44140625" style="670" customWidth="1"/>
    <col min="2285" max="2285" width="17" style="670" customWidth="1"/>
    <col min="2286" max="2288" width="17.44140625" style="670" customWidth="1"/>
    <col min="2289" max="2289" width="14.77734375" style="670" customWidth="1"/>
    <col min="2290" max="2315" width="17.44140625" style="670" customWidth="1"/>
    <col min="2316" max="2316" width="17.109375" style="670" customWidth="1"/>
    <col min="2317" max="2317" width="16.44140625" style="670" customWidth="1"/>
    <col min="2318" max="2318" width="18.6640625" style="670" customWidth="1"/>
    <col min="2319" max="2319" width="20.21875" style="670" bestFit="1" customWidth="1"/>
    <col min="2320" max="2320" width="25.6640625" style="670" customWidth="1"/>
    <col min="2321" max="2321" width="19.44140625" style="670" bestFit="1" customWidth="1"/>
    <col min="2322" max="2322" width="21.109375" style="670" bestFit="1" customWidth="1"/>
    <col min="2323" max="2323" width="15.88671875" style="670" bestFit="1" customWidth="1"/>
    <col min="2324" max="2324" width="8.88671875" style="670"/>
    <col min="2325" max="2325" width="13.44140625" style="670" bestFit="1" customWidth="1"/>
    <col min="2326" max="2326" width="8.88671875" style="670"/>
    <col min="2327" max="2327" width="11.77734375" style="670" bestFit="1" customWidth="1"/>
    <col min="2328" max="2329" width="8.88671875" style="670"/>
    <col min="2330" max="2330" width="11.6640625" style="670" bestFit="1" customWidth="1"/>
    <col min="2331" max="2528" width="8.88671875" style="670"/>
    <col min="2529" max="2529" width="10" style="670" customWidth="1"/>
    <col min="2530" max="2530" width="64.44140625" style="670" customWidth="1"/>
    <col min="2531" max="2531" width="18.77734375" style="670" customWidth="1"/>
    <col min="2532" max="2532" width="11" style="670" customWidth="1"/>
    <col min="2533" max="2533" width="14.6640625" style="670" customWidth="1"/>
    <col min="2534" max="2534" width="18.6640625" style="670" customWidth="1"/>
    <col min="2535" max="2535" width="14.44140625" style="670" customWidth="1"/>
    <col min="2536" max="2536" width="18.21875" style="670" customWidth="1"/>
    <col min="2537" max="2537" width="15.6640625" style="670" customWidth="1"/>
    <col min="2538" max="2538" width="17.44140625" style="670" customWidth="1"/>
    <col min="2539" max="2539" width="15.6640625" style="670" customWidth="1"/>
    <col min="2540" max="2540" width="17.44140625" style="670" customWidth="1"/>
    <col min="2541" max="2541" width="17" style="670" customWidth="1"/>
    <col min="2542" max="2544" width="17.44140625" style="670" customWidth="1"/>
    <col min="2545" max="2545" width="14.77734375" style="670" customWidth="1"/>
    <col min="2546" max="2571" width="17.44140625" style="670" customWidth="1"/>
    <col min="2572" max="2572" width="17.109375" style="670" customWidth="1"/>
    <col min="2573" max="2573" width="16.44140625" style="670" customWidth="1"/>
    <col min="2574" max="2574" width="18.6640625" style="670" customWidth="1"/>
    <col min="2575" max="2575" width="20.21875" style="670" bestFit="1" customWidth="1"/>
    <col min="2576" max="2576" width="25.6640625" style="670" customWidth="1"/>
    <col min="2577" max="2577" width="19.44140625" style="670" bestFit="1" customWidth="1"/>
    <col min="2578" max="2578" width="21.109375" style="670" bestFit="1" customWidth="1"/>
    <col min="2579" max="2579" width="15.88671875" style="670" bestFit="1" customWidth="1"/>
    <col min="2580" max="2580" width="8.88671875" style="670"/>
    <col min="2581" max="2581" width="13.44140625" style="670" bestFit="1" customWidth="1"/>
    <col min="2582" max="2582" width="8.88671875" style="670"/>
    <col min="2583" max="2583" width="11.77734375" style="670" bestFit="1" customWidth="1"/>
    <col min="2584" max="2585" width="8.88671875" style="670"/>
    <col min="2586" max="2586" width="11.6640625" style="670" bestFit="1" customWidth="1"/>
    <col min="2587" max="2784" width="8.88671875" style="670"/>
    <col min="2785" max="2785" width="10" style="670" customWidth="1"/>
    <col min="2786" max="2786" width="64.44140625" style="670" customWidth="1"/>
    <col min="2787" max="2787" width="18.77734375" style="670" customWidth="1"/>
    <col min="2788" max="2788" width="11" style="670" customWidth="1"/>
    <col min="2789" max="2789" width="14.6640625" style="670" customWidth="1"/>
    <col min="2790" max="2790" width="18.6640625" style="670" customWidth="1"/>
    <col min="2791" max="2791" width="14.44140625" style="670" customWidth="1"/>
    <col min="2792" max="2792" width="18.21875" style="670" customWidth="1"/>
    <col min="2793" max="2793" width="15.6640625" style="670" customWidth="1"/>
    <col min="2794" max="2794" width="17.44140625" style="670" customWidth="1"/>
    <col min="2795" max="2795" width="15.6640625" style="670" customWidth="1"/>
    <col min="2796" max="2796" width="17.44140625" style="670" customWidth="1"/>
    <col min="2797" max="2797" width="17" style="670" customWidth="1"/>
    <col min="2798" max="2800" width="17.44140625" style="670" customWidth="1"/>
    <col min="2801" max="2801" width="14.77734375" style="670" customWidth="1"/>
    <col min="2802" max="2827" width="17.44140625" style="670" customWidth="1"/>
    <col min="2828" max="2828" width="17.109375" style="670" customWidth="1"/>
    <col min="2829" max="2829" width="16.44140625" style="670" customWidth="1"/>
    <col min="2830" max="2830" width="18.6640625" style="670" customWidth="1"/>
    <col min="2831" max="2831" width="20.21875" style="670" bestFit="1" customWidth="1"/>
    <col min="2832" max="2832" width="25.6640625" style="670" customWidth="1"/>
    <col min="2833" max="2833" width="19.44140625" style="670" bestFit="1" customWidth="1"/>
    <col min="2834" max="2834" width="21.109375" style="670" bestFit="1" customWidth="1"/>
    <col min="2835" max="2835" width="15.88671875" style="670" bestFit="1" customWidth="1"/>
    <col min="2836" max="2836" width="8.88671875" style="670"/>
    <col min="2837" max="2837" width="13.44140625" style="670" bestFit="1" customWidth="1"/>
    <col min="2838" max="2838" width="8.88671875" style="670"/>
    <col min="2839" max="2839" width="11.77734375" style="670" bestFit="1" customWidth="1"/>
    <col min="2840" max="2841" width="8.88671875" style="670"/>
    <col min="2842" max="2842" width="11.6640625" style="670" bestFit="1" customWidth="1"/>
    <col min="2843" max="3040" width="8.88671875" style="670"/>
    <col min="3041" max="3041" width="10" style="670" customWidth="1"/>
    <col min="3042" max="3042" width="64.44140625" style="670" customWidth="1"/>
    <col min="3043" max="3043" width="18.77734375" style="670" customWidth="1"/>
    <col min="3044" max="3044" width="11" style="670" customWidth="1"/>
    <col min="3045" max="3045" width="14.6640625" style="670" customWidth="1"/>
    <col min="3046" max="3046" width="18.6640625" style="670" customWidth="1"/>
    <col min="3047" max="3047" width="14.44140625" style="670" customWidth="1"/>
    <col min="3048" max="3048" width="18.21875" style="670" customWidth="1"/>
    <col min="3049" max="3049" width="15.6640625" style="670" customWidth="1"/>
    <col min="3050" max="3050" width="17.44140625" style="670" customWidth="1"/>
    <col min="3051" max="3051" width="15.6640625" style="670" customWidth="1"/>
    <col min="3052" max="3052" width="17.44140625" style="670" customWidth="1"/>
    <col min="3053" max="3053" width="17" style="670" customWidth="1"/>
    <col min="3054" max="3056" width="17.44140625" style="670" customWidth="1"/>
    <col min="3057" max="3057" width="14.77734375" style="670" customWidth="1"/>
    <col min="3058" max="3083" width="17.44140625" style="670" customWidth="1"/>
    <col min="3084" max="3084" width="17.109375" style="670" customWidth="1"/>
    <col min="3085" max="3085" width="16.44140625" style="670" customWidth="1"/>
    <col min="3086" max="3086" width="18.6640625" style="670" customWidth="1"/>
    <col min="3087" max="3087" width="20.21875" style="670" bestFit="1" customWidth="1"/>
    <col min="3088" max="3088" width="25.6640625" style="670" customWidth="1"/>
    <col min="3089" max="3089" width="19.44140625" style="670" bestFit="1" customWidth="1"/>
    <col min="3090" max="3090" width="21.109375" style="670" bestFit="1" customWidth="1"/>
    <col min="3091" max="3091" width="15.88671875" style="670" bestFit="1" customWidth="1"/>
    <col min="3092" max="3092" width="8.88671875" style="670"/>
    <col min="3093" max="3093" width="13.44140625" style="670" bestFit="1" customWidth="1"/>
    <col min="3094" max="3094" width="8.88671875" style="670"/>
    <col min="3095" max="3095" width="11.77734375" style="670" bestFit="1" customWidth="1"/>
    <col min="3096" max="3097" width="8.88671875" style="670"/>
    <col min="3098" max="3098" width="11.6640625" style="670" bestFit="1" customWidth="1"/>
    <col min="3099" max="3296" width="8.88671875" style="670"/>
    <col min="3297" max="3297" width="10" style="670" customWidth="1"/>
    <col min="3298" max="3298" width="64.44140625" style="670" customWidth="1"/>
    <col min="3299" max="3299" width="18.77734375" style="670" customWidth="1"/>
    <col min="3300" max="3300" width="11" style="670" customWidth="1"/>
    <col min="3301" max="3301" width="14.6640625" style="670" customWidth="1"/>
    <col min="3302" max="3302" width="18.6640625" style="670" customWidth="1"/>
    <col min="3303" max="3303" width="14.44140625" style="670" customWidth="1"/>
    <col min="3304" max="3304" width="18.21875" style="670" customWidth="1"/>
    <col min="3305" max="3305" width="15.6640625" style="670" customWidth="1"/>
    <col min="3306" max="3306" width="17.44140625" style="670" customWidth="1"/>
    <col min="3307" max="3307" width="15.6640625" style="670" customWidth="1"/>
    <col min="3308" max="3308" width="17.44140625" style="670" customWidth="1"/>
    <col min="3309" max="3309" width="17" style="670" customWidth="1"/>
    <col min="3310" max="3312" width="17.44140625" style="670" customWidth="1"/>
    <col min="3313" max="3313" width="14.77734375" style="670" customWidth="1"/>
    <col min="3314" max="3339" width="17.44140625" style="670" customWidth="1"/>
    <col min="3340" max="3340" width="17.109375" style="670" customWidth="1"/>
    <col min="3341" max="3341" width="16.44140625" style="670" customWidth="1"/>
    <col min="3342" max="3342" width="18.6640625" style="670" customWidth="1"/>
    <col min="3343" max="3343" width="20.21875" style="670" bestFit="1" customWidth="1"/>
    <col min="3344" max="3344" width="25.6640625" style="670" customWidth="1"/>
    <col min="3345" max="3345" width="19.44140625" style="670" bestFit="1" customWidth="1"/>
    <col min="3346" max="3346" width="21.109375" style="670" bestFit="1" customWidth="1"/>
    <col min="3347" max="3347" width="15.88671875" style="670" bestFit="1" customWidth="1"/>
    <col min="3348" max="3348" width="8.88671875" style="670"/>
    <col min="3349" max="3349" width="13.44140625" style="670" bestFit="1" customWidth="1"/>
    <col min="3350" max="3350" width="8.88671875" style="670"/>
    <col min="3351" max="3351" width="11.77734375" style="670" bestFit="1" customWidth="1"/>
    <col min="3352" max="3353" width="8.88671875" style="670"/>
    <col min="3354" max="3354" width="11.6640625" style="670" bestFit="1" customWidth="1"/>
    <col min="3355" max="3552" width="8.88671875" style="670"/>
    <col min="3553" max="3553" width="10" style="670" customWidth="1"/>
    <col min="3554" max="3554" width="64.44140625" style="670" customWidth="1"/>
    <col min="3555" max="3555" width="18.77734375" style="670" customWidth="1"/>
    <col min="3556" max="3556" width="11" style="670" customWidth="1"/>
    <col min="3557" max="3557" width="14.6640625" style="670" customWidth="1"/>
    <col min="3558" max="3558" width="18.6640625" style="670" customWidth="1"/>
    <col min="3559" max="3559" width="14.44140625" style="670" customWidth="1"/>
    <col min="3560" max="3560" width="18.21875" style="670" customWidth="1"/>
    <col min="3561" max="3561" width="15.6640625" style="670" customWidth="1"/>
    <col min="3562" max="3562" width="17.44140625" style="670" customWidth="1"/>
    <col min="3563" max="3563" width="15.6640625" style="670" customWidth="1"/>
    <col min="3564" max="3564" width="17.44140625" style="670" customWidth="1"/>
    <col min="3565" max="3565" width="17" style="670" customWidth="1"/>
    <col min="3566" max="3568" width="17.44140625" style="670" customWidth="1"/>
    <col min="3569" max="3569" width="14.77734375" style="670" customWidth="1"/>
    <col min="3570" max="3595" width="17.44140625" style="670" customWidth="1"/>
    <col min="3596" max="3596" width="17.109375" style="670" customWidth="1"/>
    <col min="3597" max="3597" width="16.44140625" style="670" customWidth="1"/>
    <col min="3598" max="3598" width="18.6640625" style="670" customWidth="1"/>
    <col min="3599" max="3599" width="20.21875" style="670" bestFit="1" customWidth="1"/>
    <col min="3600" max="3600" width="25.6640625" style="670" customWidth="1"/>
    <col min="3601" max="3601" width="19.44140625" style="670" bestFit="1" customWidth="1"/>
    <col min="3602" max="3602" width="21.109375" style="670" bestFit="1" customWidth="1"/>
    <col min="3603" max="3603" width="15.88671875" style="670" bestFit="1" customWidth="1"/>
    <col min="3604" max="3604" width="8.88671875" style="670"/>
    <col min="3605" max="3605" width="13.44140625" style="670" bestFit="1" customWidth="1"/>
    <col min="3606" max="3606" width="8.88671875" style="670"/>
    <col min="3607" max="3607" width="11.77734375" style="670" bestFit="1" customWidth="1"/>
    <col min="3608" max="3609" width="8.88671875" style="670"/>
    <col min="3610" max="3610" width="11.6640625" style="670" bestFit="1" customWidth="1"/>
    <col min="3611" max="3808" width="8.88671875" style="670"/>
    <col min="3809" max="3809" width="10" style="670" customWidth="1"/>
    <col min="3810" max="3810" width="64.44140625" style="670" customWidth="1"/>
    <col min="3811" max="3811" width="18.77734375" style="670" customWidth="1"/>
    <col min="3812" max="3812" width="11" style="670" customWidth="1"/>
    <col min="3813" max="3813" width="14.6640625" style="670" customWidth="1"/>
    <col min="3814" max="3814" width="18.6640625" style="670" customWidth="1"/>
    <col min="3815" max="3815" width="14.44140625" style="670" customWidth="1"/>
    <col min="3816" max="3816" width="18.21875" style="670" customWidth="1"/>
    <col min="3817" max="3817" width="15.6640625" style="670" customWidth="1"/>
    <col min="3818" max="3818" width="17.44140625" style="670" customWidth="1"/>
    <col min="3819" max="3819" width="15.6640625" style="670" customWidth="1"/>
    <col min="3820" max="3820" width="17.44140625" style="670" customWidth="1"/>
    <col min="3821" max="3821" width="17" style="670" customWidth="1"/>
    <col min="3822" max="3824" width="17.44140625" style="670" customWidth="1"/>
    <col min="3825" max="3825" width="14.77734375" style="670" customWidth="1"/>
    <col min="3826" max="3851" width="17.44140625" style="670" customWidth="1"/>
    <col min="3852" max="3852" width="17.109375" style="670" customWidth="1"/>
    <col min="3853" max="3853" width="16.44140625" style="670" customWidth="1"/>
    <col min="3854" max="3854" width="18.6640625" style="670" customWidth="1"/>
    <col min="3855" max="3855" width="20.21875" style="670" bestFit="1" customWidth="1"/>
    <col min="3856" max="3856" width="25.6640625" style="670" customWidth="1"/>
    <col min="3857" max="3857" width="19.44140625" style="670" bestFit="1" customWidth="1"/>
    <col min="3858" max="3858" width="21.109375" style="670" bestFit="1" customWidth="1"/>
    <col min="3859" max="3859" width="15.88671875" style="670" bestFit="1" customWidth="1"/>
    <col min="3860" max="3860" width="8.88671875" style="670"/>
    <col min="3861" max="3861" width="13.44140625" style="670" bestFit="1" customWidth="1"/>
    <col min="3862" max="3862" width="8.88671875" style="670"/>
    <col min="3863" max="3863" width="11.77734375" style="670" bestFit="1" customWidth="1"/>
    <col min="3864" max="3865" width="8.88671875" style="670"/>
    <col min="3866" max="3866" width="11.6640625" style="670" bestFit="1" customWidth="1"/>
    <col min="3867" max="4064" width="8.88671875" style="670"/>
    <col min="4065" max="4065" width="10" style="670" customWidth="1"/>
    <col min="4066" max="4066" width="64.44140625" style="670" customWidth="1"/>
    <col min="4067" max="4067" width="18.77734375" style="670" customWidth="1"/>
    <col min="4068" max="4068" width="11" style="670" customWidth="1"/>
    <col min="4069" max="4069" width="14.6640625" style="670" customWidth="1"/>
    <col min="4070" max="4070" width="18.6640625" style="670" customWidth="1"/>
    <col min="4071" max="4071" width="14.44140625" style="670" customWidth="1"/>
    <col min="4072" max="4072" width="18.21875" style="670" customWidth="1"/>
    <col min="4073" max="4073" width="15.6640625" style="670" customWidth="1"/>
    <col min="4074" max="4074" width="17.44140625" style="670" customWidth="1"/>
    <col min="4075" max="4075" width="15.6640625" style="670" customWidth="1"/>
    <col min="4076" max="4076" width="17.44140625" style="670" customWidth="1"/>
    <col min="4077" max="4077" width="17" style="670" customWidth="1"/>
    <col min="4078" max="4080" width="17.44140625" style="670" customWidth="1"/>
    <col min="4081" max="4081" width="14.77734375" style="670" customWidth="1"/>
    <col min="4082" max="4107" width="17.44140625" style="670" customWidth="1"/>
    <col min="4108" max="4108" width="17.109375" style="670" customWidth="1"/>
    <col min="4109" max="4109" width="16.44140625" style="670" customWidth="1"/>
    <col min="4110" max="4110" width="18.6640625" style="670" customWidth="1"/>
    <col min="4111" max="4111" width="20.21875" style="670" bestFit="1" customWidth="1"/>
    <col min="4112" max="4112" width="25.6640625" style="670" customWidth="1"/>
    <col min="4113" max="4113" width="19.44140625" style="670" bestFit="1" customWidth="1"/>
    <col min="4114" max="4114" width="21.109375" style="670" bestFit="1" customWidth="1"/>
    <col min="4115" max="4115" width="15.88671875" style="670" bestFit="1" customWidth="1"/>
    <col min="4116" max="4116" width="8.88671875" style="670"/>
    <col min="4117" max="4117" width="13.44140625" style="670" bestFit="1" customWidth="1"/>
    <col min="4118" max="4118" width="8.88671875" style="670"/>
    <col min="4119" max="4119" width="11.77734375" style="670" bestFit="1" customWidth="1"/>
    <col min="4120" max="4121" width="8.88671875" style="670"/>
    <col min="4122" max="4122" width="11.6640625" style="670" bestFit="1" customWidth="1"/>
    <col min="4123" max="4320" width="8.88671875" style="670"/>
    <col min="4321" max="4321" width="10" style="670" customWidth="1"/>
    <col min="4322" max="4322" width="64.44140625" style="670" customWidth="1"/>
    <col min="4323" max="4323" width="18.77734375" style="670" customWidth="1"/>
    <col min="4324" max="4324" width="11" style="670" customWidth="1"/>
    <col min="4325" max="4325" width="14.6640625" style="670" customWidth="1"/>
    <col min="4326" max="4326" width="18.6640625" style="670" customWidth="1"/>
    <col min="4327" max="4327" width="14.44140625" style="670" customWidth="1"/>
    <col min="4328" max="4328" width="18.21875" style="670" customWidth="1"/>
    <col min="4329" max="4329" width="15.6640625" style="670" customWidth="1"/>
    <col min="4330" max="4330" width="17.44140625" style="670" customWidth="1"/>
    <col min="4331" max="4331" width="15.6640625" style="670" customWidth="1"/>
    <col min="4332" max="4332" width="17.44140625" style="670" customWidth="1"/>
    <col min="4333" max="4333" width="17" style="670" customWidth="1"/>
    <col min="4334" max="4336" width="17.44140625" style="670" customWidth="1"/>
    <col min="4337" max="4337" width="14.77734375" style="670" customWidth="1"/>
    <col min="4338" max="4363" width="17.44140625" style="670" customWidth="1"/>
    <col min="4364" max="4364" width="17.109375" style="670" customWidth="1"/>
    <col min="4365" max="4365" width="16.44140625" style="670" customWidth="1"/>
    <col min="4366" max="4366" width="18.6640625" style="670" customWidth="1"/>
    <col min="4367" max="4367" width="20.21875" style="670" bestFit="1" customWidth="1"/>
    <col min="4368" max="4368" width="25.6640625" style="670" customWidth="1"/>
    <col min="4369" max="4369" width="19.44140625" style="670" bestFit="1" customWidth="1"/>
    <col min="4370" max="4370" width="21.109375" style="670" bestFit="1" customWidth="1"/>
    <col min="4371" max="4371" width="15.88671875" style="670" bestFit="1" customWidth="1"/>
    <col min="4372" max="4372" width="8.88671875" style="670"/>
    <col min="4373" max="4373" width="13.44140625" style="670" bestFit="1" customWidth="1"/>
    <col min="4374" max="4374" width="8.88671875" style="670"/>
    <col min="4375" max="4375" width="11.77734375" style="670" bestFit="1" customWidth="1"/>
    <col min="4376" max="4377" width="8.88671875" style="670"/>
    <col min="4378" max="4378" width="11.6640625" style="670" bestFit="1" customWidth="1"/>
    <col min="4379" max="4576" width="8.88671875" style="670"/>
    <col min="4577" max="4577" width="10" style="670" customWidth="1"/>
    <col min="4578" max="4578" width="64.44140625" style="670" customWidth="1"/>
    <col min="4579" max="4579" width="18.77734375" style="670" customWidth="1"/>
    <col min="4580" max="4580" width="11" style="670" customWidth="1"/>
    <col min="4581" max="4581" width="14.6640625" style="670" customWidth="1"/>
    <col min="4582" max="4582" width="18.6640625" style="670" customWidth="1"/>
    <col min="4583" max="4583" width="14.44140625" style="670" customWidth="1"/>
    <col min="4584" max="4584" width="18.21875" style="670" customWidth="1"/>
    <col min="4585" max="4585" width="15.6640625" style="670" customWidth="1"/>
    <col min="4586" max="4586" width="17.44140625" style="670" customWidth="1"/>
    <col min="4587" max="4587" width="15.6640625" style="670" customWidth="1"/>
    <col min="4588" max="4588" width="17.44140625" style="670" customWidth="1"/>
    <col min="4589" max="4589" width="17" style="670" customWidth="1"/>
    <col min="4590" max="4592" width="17.44140625" style="670" customWidth="1"/>
    <col min="4593" max="4593" width="14.77734375" style="670" customWidth="1"/>
    <col min="4594" max="4619" width="17.44140625" style="670" customWidth="1"/>
    <col min="4620" max="4620" width="17.109375" style="670" customWidth="1"/>
    <col min="4621" max="4621" width="16.44140625" style="670" customWidth="1"/>
    <col min="4622" max="4622" width="18.6640625" style="670" customWidth="1"/>
    <col min="4623" max="4623" width="20.21875" style="670" bestFit="1" customWidth="1"/>
    <col min="4624" max="4624" width="25.6640625" style="670" customWidth="1"/>
    <col min="4625" max="4625" width="19.44140625" style="670" bestFit="1" customWidth="1"/>
    <col min="4626" max="4626" width="21.109375" style="670" bestFit="1" customWidth="1"/>
    <col min="4627" max="4627" width="15.88671875" style="670" bestFit="1" customWidth="1"/>
    <col min="4628" max="4628" width="8.88671875" style="670"/>
    <col min="4629" max="4629" width="13.44140625" style="670" bestFit="1" customWidth="1"/>
    <col min="4630" max="4630" width="8.88671875" style="670"/>
    <col min="4631" max="4631" width="11.77734375" style="670" bestFit="1" customWidth="1"/>
    <col min="4632" max="4633" width="8.88671875" style="670"/>
    <col min="4634" max="4634" width="11.6640625" style="670" bestFit="1" customWidth="1"/>
    <col min="4635" max="4832" width="8.88671875" style="670"/>
    <col min="4833" max="4833" width="10" style="670" customWidth="1"/>
    <col min="4834" max="4834" width="64.44140625" style="670" customWidth="1"/>
    <col min="4835" max="4835" width="18.77734375" style="670" customWidth="1"/>
    <col min="4836" max="4836" width="11" style="670" customWidth="1"/>
    <col min="4837" max="4837" width="14.6640625" style="670" customWidth="1"/>
    <col min="4838" max="4838" width="18.6640625" style="670" customWidth="1"/>
    <col min="4839" max="4839" width="14.44140625" style="670" customWidth="1"/>
    <col min="4840" max="4840" width="18.21875" style="670" customWidth="1"/>
    <col min="4841" max="4841" width="15.6640625" style="670" customWidth="1"/>
    <col min="4842" max="4842" width="17.44140625" style="670" customWidth="1"/>
    <col min="4843" max="4843" width="15.6640625" style="670" customWidth="1"/>
    <col min="4844" max="4844" width="17.44140625" style="670" customWidth="1"/>
    <col min="4845" max="4845" width="17" style="670" customWidth="1"/>
    <col min="4846" max="4848" width="17.44140625" style="670" customWidth="1"/>
    <col min="4849" max="4849" width="14.77734375" style="670" customWidth="1"/>
    <col min="4850" max="4875" width="17.44140625" style="670" customWidth="1"/>
    <col min="4876" max="4876" width="17.109375" style="670" customWidth="1"/>
    <col min="4877" max="4877" width="16.44140625" style="670" customWidth="1"/>
    <col min="4878" max="4878" width="18.6640625" style="670" customWidth="1"/>
    <col min="4879" max="4879" width="20.21875" style="670" bestFit="1" customWidth="1"/>
    <col min="4880" max="4880" width="25.6640625" style="670" customWidth="1"/>
    <col min="4881" max="4881" width="19.44140625" style="670" bestFit="1" customWidth="1"/>
    <col min="4882" max="4882" width="21.109375" style="670" bestFit="1" customWidth="1"/>
    <col min="4883" max="4883" width="15.88671875" style="670" bestFit="1" customWidth="1"/>
    <col min="4884" max="4884" width="8.88671875" style="670"/>
    <col min="4885" max="4885" width="13.44140625" style="670" bestFit="1" customWidth="1"/>
    <col min="4886" max="4886" width="8.88671875" style="670"/>
    <col min="4887" max="4887" width="11.77734375" style="670" bestFit="1" customWidth="1"/>
    <col min="4888" max="4889" width="8.88671875" style="670"/>
    <col min="4890" max="4890" width="11.6640625" style="670" bestFit="1" customWidth="1"/>
    <col min="4891" max="5088" width="8.88671875" style="670"/>
    <col min="5089" max="5089" width="10" style="670" customWidth="1"/>
    <col min="5090" max="5090" width="64.44140625" style="670" customWidth="1"/>
    <col min="5091" max="5091" width="18.77734375" style="670" customWidth="1"/>
    <col min="5092" max="5092" width="11" style="670" customWidth="1"/>
    <col min="5093" max="5093" width="14.6640625" style="670" customWidth="1"/>
    <col min="5094" max="5094" width="18.6640625" style="670" customWidth="1"/>
    <col min="5095" max="5095" width="14.44140625" style="670" customWidth="1"/>
    <col min="5096" max="5096" width="18.21875" style="670" customWidth="1"/>
    <col min="5097" max="5097" width="15.6640625" style="670" customWidth="1"/>
    <col min="5098" max="5098" width="17.44140625" style="670" customWidth="1"/>
    <col min="5099" max="5099" width="15.6640625" style="670" customWidth="1"/>
    <col min="5100" max="5100" width="17.44140625" style="670" customWidth="1"/>
    <col min="5101" max="5101" width="17" style="670" customWidth="1"/>
    <col min="5102" max="5104" width="17.44140625" style="670" customWidth="1"/>
    <col min="5105" max="5105" width="14.77734375" style="670" customWidth="1"/>
    <col min="5106" max="5131" width="17.44140625" style="670" customWidth="1"/>
    <col min="5132" max="5132" width="17.109375" style="670" customWidth="1"/>
    <col min="5133" max="5133" width="16.44140625" style="670" customWidth="1"/>
    <col min="5134" max="5134" width="18.6640625" style="670" customWidth="1"/>
    <col min="5135" max="5135" width="20.21875" style="670" bestFit="1" customWidth="1"/>
    <col min="5136" max="5136" width="25.6640625" style="670" customWidth="1"/>
    <col min="5137" max="5137" width="19.44140625" style="670" bestFit="1" customWidth="1"/>
    <col min="5138" max="5138" width="21.109375" style="670" bestFit="1" customWidth="1"/>
    <col min="5139" max="5139" width="15.88671875" style="670" bestFit="1" customWidth="1"/>
    <col min="5140" max="5140" width="8.88671875" style="670"/>
    <col min="5141" max="5141" width="13.44140625" style="670" bestFit="1" customWidth="1"/>
    <col min="5142" max="5142" width="8.88671875" style="670"/>
    <col min="5143" max="5143" width="11.77734375" style="670" bestFit="1" customWidth="1"/>
    <col min="5144" max="5145" width="8.88671875" style="670"/>
    <col min="5146" max="5146" width="11.6640625" style="670" bestFit="1" customWidth="1"/>
    <col min="5147" max="5344" width="8.88671875" style="670"/>
    <col min="5345" max="5345" width="10" style="670" customWidth="1"/>
    <col min="5346" max="5346" width="64.44140625" style="670" customWidth="1"/>
    <col min="5347" max="5347" width="18.77734375" style="670" customWidth="1"/>
    <col min="5348" max="5348" width="11" style="670" customWidth="1"/>
    <col min="5349" max="5349" width="14.6640625" style="670" customWidth="1"/>
    <col min="5350" max="5350" width="18.6640625" style="670" customWidth="1"/>
    <col min="5351" max="5351" width="14.44140625" style="670" customWidth="1"/>
    <col min="5352" max="5352" width="18.21875" style="670" customWidth="1"/>
    <col min="5353" max="5353" width="15.6640625" style="670" customWidth="1"/>
    <col min="5354" max="5354" width="17.44140625" style="670" customWidth="1"/>
    <col min="5355" max="5355" width="15.6640625" style="670" customWidth="1"/>
    <col min="5356" max="5356" width="17.44140625" style="670" customWidth="1"/>
    <col min="5357" max="5357" width="17" style="670" customWidth="1"/>
    <col min="5358" max="5360" width="17.44140625" style="670" customWidth="1"/>
    <col min="5361" max="5361" width="14.77734375" style="670" customWidth="1"/>
    <col min="5362" max="5387" width="17.44140625" style="670" customWidth="1"/>
    <col min="5388" max="5388" width="17.109375" style="670" customWidth="1"/>
    <col min="5389" max="5389" width="16.44140625" style="670" customWidth="1"/>
    <col min="5390" max="5390" width="18.6640625" style="670" customWidth="1"/>
    <col min="5391" max="5391" width="20.21875" style="670" bestFit="1" customWidth="1"/>
    <col min="5392" max="5392" width="25.6640625" style="670" customWidth="1"/>
    <col min="5393" max="5393" width="19.44140625" style="670" bestFit="1" customWidth="1"/>
    <col min="5394" max="5394" width="21.109375" style="670" bestFit="1" customWidth="1"/>
    <col min="5395" max="5395" width="15.88671875" style="670" bestFit="1" customWidth="1"/>
    <col min="5396" max="5396" width="8.88671875" style="670"/>
    <col min="5397" max="5397" width="13.44140625" style="670" bestFit="1" customWidth="1"/>
    <col min="5398" max="5398" width="8.88671875" style="670"/>
    <col min="5399" max="5399" width="11.77734375" style="670" bestFit="1" customWidth="1"/>
    <col min="5400" max="5401" width="8.88671875" style="670"/>
    <col min="5402" max="5402" width="11.6640625" style="670" bestFit="1" customWidth="1"/>
    <col min="5403" max="5600" width="8.88671875" style="670"/>
    <col min="5601" max="5601" width="10" style="670" customWidth="1"/>
    <col min="5602" max="5602" width="64.44140625" style="670" customWidth="1"/>
    <col min="5603" max="5603" width="18.77734375" style="670" customWidth="1"/>
    <col min="5604" max="5604" width="11" style="670" customWidth="1"/>
    <col min="5605" max="5605" width="14.6640625" style="670" customWidth="1"/>
    <col min="5606" max="5606" width="18.6640625" style="670" customWidth="1"/>
    <col min="5607" max="5607" width="14.44140625" style="670" customWidth="1"/>
    <col min="5608" max="5608" width="18.21875" style="670" customWidth="1"/>
    <col min="5609" max="5609" width="15.6640625" style="670" customWidth="1"/>
    <col min="5610" max="5610" width="17.44140625" style="670" customWidth="1"/>
    <col min="5611" max="5611" width="15.6640625" style="670" customWidth="1"/>
    <col min="5612" max="5612" width="17.44140625" style="670" customWidth="1"/>
    <col min="5613" max="5613" width="17" style="670" customWidth="1"/>
    <col min="5614" max="5616" width="17.44140625" style="670" customWidth="1"/>
    <col min="5617" max="5617" width="14.77734375" style="670" customWidth="1"/>
    <col min="5618" max="5643" width="17.44140625" style="670" customWidth="1"/>
    <col min="5644" max="5644" width="17.109375" style="670" customWidth="1"/>
    <col min="5645" max="5645" width="16.44140625" style="670" customWidth="1"/>
    <col min="5646" max="5646" width="18.6640625" style="670" customWidth="1"/>
    <col min="5647" max="5647" width="20.21875" style="670" bestFit="1" customWidth="1"/>
    <col min="5648" max="5648" width="25.6640625" style="670" customWidth="1"/>
    <col min="5649" max="5649" width="19.44140625" style="670" bestFit="1" customWidth="1"/>
    <col min="5650" max="5650" width="21.109375" style="670" bestFit="1" customWidth="1"/>
    <col min="5651" max="5651" width="15.88671875" style="670" bestFit="1" customWidth="1"/>
    <col min="5652" max="5652" width="8.88671875" style="670"/>
    <col min="5653" max="5653" width="13.44140625" style="670" bestFit="1" customWidth="1"/>
    <col min="5654" max="5654" width="8.88671875" style="670"/>
    <col min="5655" max="5655" width="11.77734375" style="670" bestFit="1" customWidth="1"/>
    <col min="5656" max="5657" width="8.88671875" style="670"/>
    <col min="5658" max="5658" width="11.6640625" style="670" bestFit="1" customWidth="1"/>
    <col min="5659" max="5856" width="8.88671875" style="670"/>
    <col min="5857" max="5857" width="10" style="670" customWidth="1"/>
    <col min="5858" max="5858" width="64.44140625" style="670" customWidth="1"/>
    <col min="5859" max="5859" width="18.77734375" style="670" customWidth="1"/>
    <col min="5860" max="5860" width="11" style="670" customWidth="1"/>
    <col min="5861" max="5861" width="14.6640625" style="670" customWidth="1"/>
    <col min="5862" max="5862" width="18.6640625" style="670" customWidth="1"/>
    <col min="5863" max="5863" width="14.44140625" style="670" customWidth="1"/>
    <col min="5864" max="5864" width="18.21875" style="670" customWidth="1"/>
    <col min="5865" max="5865" width="15.6640625" style="670" customWidth="1"/>
    <col min="5866" max="5866" width="17.44140625" style="670" customWidth="1"/>
    <col min="5867" max="5867" width="15.6640625" style="670" customWidth="1"/>
    <col min="5868" max="5868" width="17.44140625" style="670" customWidth="1"/>
    <col min="5869" max="5869" width="17" style="670" customWidth="1"/>
    <col min="5870" max="5872" width="17.44140625" style="670" customWidth="1"/>
    <col min="5873" max="5873" width="14.77734375" style="670" customWidth="1"/>
    <col min="5874" max="5899" width="17.44140625" style="670" customWidth="1"/>
    <col min="5900" max="5900" width="17.109375" style="670" customWidth="1"/>
    <col min="5901" max="5901" width="16.44140625" style="670" customWidth="1"/>
    <col min="5902" max="5902" width="18.6640625" style="670" customWidth="1"/>
    <col min="5903" max="5903" width="20.21875" style="670" bestFit="1" customWidth="1"/>
    <col min="5904" max="5904" width="25.6640625" style="670" customWidth="1"/>
    <col min="5905" max="5905" width="19.44140625" style="670" bestFit="1" customWidth="1"/>
    <col min="5906" max="5906" width="21.109375" style="670" bestFit="1" customWidth="1"/>
    <col min="5907" max="5907" width="15.88671875" style="670" bestFit="1" customWidth="1"/>
    <col min="5908" max="5908" width="8.88671875" style="670"/>
    <col min="5909" max="5909" width="13.44140625" style="670" bestFit="1" customWidth="1"/>
    <col min="5910" max="5910" width="8.88671875" style="670"/>
    <col min="5911" max="5911" width="11.77734375" style="670" bestFit="1" customWidth="1"/>
    <col min="5912" max="5913" width="8.88671875" style="670"/>
    <col min="5914" max="5914" width="11.6640625" style="670" bestFit="1" customWidth="1"/>
    <col min="5915" max="6112" width="8.88671875" style="670"/>
    <col min="6113" max="6113" width="10" style="670" customWidth="1"/>
    <col min="6114" max="6114" width="64.44140625" style="670" customWidth="1"/>
    <col min="6115" max="6115" width="18.77734375" style="670" customWidth="1"/>
    <col min="6116" max="6116" width="11" style="670" customWidth="1"/>
    <col min="6117" max="6117" width="14.6640625" style="670" customWidth="1"/>
    <col min="6118" max="6118" width="18.6640625" style="670" customWidth="1"/>
    <col min="6119" max="6119" width="14.44140625" style="670" customWidth="1"/>
    <col min="6120" max="6120" width="18.21875" style="670" customWidth="1"/>
    <col min="6121" max="6121" width="15.6640625" style="670" customWidth="1"/>
    <col min="6122" max="6122" width="17.44140625" style="670" customWidth="1"/>
    <col min="6123" max="6123" width="15.6640625" style="670" customWidth="1"/>
    <col min="6124" max="6124" width="17.44140625" style="670" customWidth="1"/>
    <col min="6125" max="6125" width="17" style="670" customWidth="1"/>
    <col min="6126" max="6128" width="17.44140625" style="670" customWidth="1"/>
    <col min="6129" max="6129" width="14.77734375" style="670" customWidth="1"/>
    <col min="6130" max="6155" width="17.44140625" style="670" customWidth="1"/>
    <col min="6156" max="6156" width="17.109375" style="670" customWidth="1"/>
    <col min="6157" max="6157" width="16.44140625" style="670" customWidth="1"/>
    <col min="6158" max="6158" width="18.6640625" style="670" customWidth="1"/>
    <col min="6159" max="6159" width="20.21875" style="670" bestFit="1" customWidth="1"/>
    <col min="6160" max="6160" width="25.6640625" style="670" customWidth="1"/>
    <col min="6161" max="6161" width="19.44140625" style="670" bestFit="1" customWidth="1"/>
    <col min="6162" max="6162" width="21.109375" style="670" bestFit="1" customWidth="1"/>
    <col min="6163" max="6163" width="15.88671875" style="670" bestFit="1" customWidth="1"/>
    <col min="6164" max="6164" width="8.88671875" style="670"/>
    <col min="6165" max="6165" width="13.44140625" style="670" bestFit="1" customWidth="1"/>
    <col min="6166" max="6166" width="8.88671875" style="670"/>
    <col min="6167" max="6167" width="11.77734375" style="670" bestFit="1" customWidth="1"/>
    <col min="6168" max="6169" width="8.88671875" style="670"/>
    <col min="6170" max="6170" width="11.6640625" style="670" bestFit="1" customWidth="1"/>
    <col min="6171" max="6368" width="8.88671875" style="670"/>
    <col min="6369" max="6369" width="10" style="670" customWidth="1"/>
    <col min="6370" max="6370" width="64.44140625" style="670" customWidth="1"/>
    <col min="6371" max="6371" width="18.77734375" style="670" customWidth="1"/>
    <col min="6372" max="6372" width="11" style="670" customWidth="1"/>
    <col min="6373" max="6373" width="14.6640625" style="670" customWidth="1"/>
    <col min="6374" max="6374" width="18.6640625" style="670" customWidth="1"/>
    <col min="6375" max="6375" width="14.44140625" style="670" customWidth="1"/>
    <col min="6376" max="6376" width="18.21875" style="670" customWidth="1"/>
    <col min="6377" max="6377" width="15.6640625" style="670" customWidth="1"/>
    <col min="6378" max="6378" width="17.44140625" style="670" customWidth="1"/>
    <col min="6379" max="6379" width="15.6640625" style="670" customWidth="1"/>
    <col min="6380" max="6380" width="17.44140625" style="670" customWidth="1"/>
    <col min="6381" max="6381" width="17" style="670" customWidth="1"/>
    <col min="6382" max="6384" width="17.44140625" style="670" customWidth="1"/>
    <col min="6385" max="6385" width="14.77734375" style="670" customWidth="1"/>
    <col min="6386" max="6411" width="17.44140625" style="670" customWidth="1"/>
    <col min="6412" max="6412" width="17.109375" style="670" customWidth="1"/>
    <col min="6413" max="6413" width="16.44140625" style="670" customWidth="1"/>
    <col min="6414" max="6414" width="18.6640625" style="670" customWidth="1"/>
    <col min="6415" max="6415" width="20.21875" style="670" bestFit="1" customWidth="1"/>
    <col min="6416" max="6416" width="25.6640625" style="670" customWidth="1"/>
    <col min="6417" max="6417" width="19.44140625" style="670" bestFit="1" customWidth="1"/>
    <col min="6418" max="6418" width="21.109375" style="670" bestFit="1" customWidth="1"/>
    <col min="6419" max="6419" width="15.88671875" style="670" bestFit="1" customWidth="1"/>
    <col min="6420" max="6420" width="8.88671875" style="670"/>
    <col min="6421" max="6421" width="13.44140625" style="670" bestFit="1" customWidth="1"/>
    <col min="6422" max="6422" width="8.88671875" style="670"/>
    <col min="6423" max="6423" width="11.77734375" style="670" bestFit="1" customWidth="1"/>
    <col min="6424" max="6425" width="8.88671875" style="670"/>
    <col min="6426" max="6426" width="11.6640625" style="670" bestFit="1" customWidth="1"/>
    <col min="6427" max="6624" width="8.88671875" style="670"/>
    <col min="6625" max="6625" width="10" style="670" customWidth="1"/>
    <col min="6626" max="6626" width="64.44140625" style="670" customWidth="1"/>
    <col min="6627" max="6627" width="18.77734375" style="670" customWidth="1"/>
    <col min="6628" max="6628" width="11" style="670" customWidth="1"/>
    <col min="6629" max="6629" width="14.6640625" style="670" customWidth="1"/>
    <col min="6630" max="6630" width="18.6640625" style="670" customWidth="1"/>
    <col min="6631" max="6631" width="14.44140625" style="670" customWidth="1"/>
    <col min="6632" max="6632" width="18.21875" style="670" customWidth="1"/>
    <col min="6633" max="6633" width="15.6640625" style="670" customWidth="1"/>
    <col min="6634" max="6634" width="17.44140625" style="670" customWidth="1"/>
    <col min="6635" max="6635" width="15.6640625" style="670" customWidth="1"/>
    <col min="6636" max="6636" width="17.44140625" style="670" customWidth="1"/>
    <col min="6637" max="6637" width="17" style="670" customWidth="1"/>
    <col min="6638" max="6640" width="17.44140625" style="670" customWidth="1"/>
    <col min="6641" max="6641" width="14.77734375" style="670" customWidth="1"/>
    <col min="6642" max="6667" width="17.44140625" style="670" customWidth="1"/>
    <col min="6668" max="6668" width="17.109375" style="670" customWidth="1"/>
    <col min="6669" max="6669" width="16.44140625" style="670" customWidth="1"/>
    <col min="6670" max="6670" width="18.6640625" style="670" customWidth="1"/>
    <col min="6671" max="6671" width="20.21875" style="670" bestFit="1" customWidth="1"/>
    <col min="6672" max="6672" width="25.6640625" style="670" customWidth="1"/>
    <col min="6673" max="6673" width="19.44140625" style="670" bestFit="1" customWidth="1"/>
    <col min="6674" max="6674" width="21.109375" style="670" bestFit="1" customWidth="1"/>
    <col min="6675" max="6675" width="15.88671875" style="670" bestFit="1" customWidth="1"/>
    <col min="6676" max="6676" width="8.88671875" style="670"/>
    <col min="6677" max="6677" width="13.44140625" style="670" bestFit="1" customWidth="1"/>
    <col min="6678" max="6678" width="8.88671875" style="670"/>
    <col min="6679" max="6679" width="11.77734375" style="670" bestFit="1" customWidth="1"/>
    <col min="6680" max="6681" width="8.88671875" style="670"/>
    <col min="6682" max="6682" width="11.6640625" style="670" bestFit="1" customWidth="1"/>
    <col min="6683" max="6880" width="8.88671875" style="670"/>
    <col min="6881" max="6881" width="10" style="670" customWidth="1"/>
    <col min="6882" max="6882" width="64.44140625" style="670" customWidth="1"/>
    <col min="6883" max="6883" width="18.77734375" style="670" customWidth="1"/>
    <col min="6884" max="6884" width="11" style="670" customWidth="1"/>
    <col min="6885" max="6885" width="14.6640625" style="670" customWidth="1"/>
    <col min="6886" max="6886" width="18.6640625" style="670" customWidth="1"/>
    <col min="6887" max="6887" width="14.44140625" style="670" customWidth="1"/>
    <col min="6888" max="6888" width="18.21875" style="670" customWidth="1"/>
    <col min="6889" max="6889" width="15.6640625" style="670" customWidth="1"/>
    <col min="6890" max="6890" width="17.44140625" style="670" customWidth="1"/>
    <col min="6891" max="6891" width="15.6640625" style="670" customWidth="1"/>
    <col min="6892" max="6892" width="17.44140625" style="670" customWidth="1"/>
    <col min="6893" max="6893" width="17" style="670" customWidth="1"/>
    <col min="6894" max="6896" width="17.44140625" style="670" customWidth="1"/>
    <col min="6897" max="6897" width="14.77734375" style="670" customWidth="1"/>
    <col min="6898" max="6923" width="17.44140625" style="670" customWidth="1"/>
    <col min="6924" max="6924" width="17.109375" style="670" customWidth="1"/>
    <col min="6925" max="6925" width="16.44140625" style="670" customWidth="1"/>
    <col min="6926" max="6926" width="18.6640625" style="670" customWidth="1"/>
    <col min="6927" max="6927" width="20.21875" style="670" bestFit="1" customWidth="1"/>
    <col min="6928" max="6928" width="25.6640625" style="670" customWidth="1"/>
    <col min="6929" max="6929" width="19.44140625" style="670" bestFit="1" customWidth="1"/>
    <col min="6930" max="6930" width="21.109375" style="670" bestFit="1" customWidth="1"/>
    <col min="6931" max="6931" width="15.88671875" style="670" bestFit="1" customWidth="1"/>
    <col min="6932" max="6932" width="8.88671875" style="670"/>
    <col min="6933" max="6933" width="13.44140625" style="670" bestFit="1" customWidth="1"/>
    <col min="6934" max="6934" width="8.88671875" style="670"/>
    <col min="6935" max="6935" width="11.77734375" style="670" bestFit="1" customWidth="1"/>
    <col min="6936" max="6937" width="8.88671875" style="670"/>
    <col min="6938" max="6938" width="11.6640625" style="670" bestFit="1" customWidth="1"/>
    <col min="6939" max="7136" width="8.88671875" style="670"/>
    <col min="7137" max="7137" width="10" style="670" customWidth="1"/>
    <col min="7138" max="7138" width="64.44140625" style="670" customWidth="1"/>
    <col min="7139" max="7139" width="18.77734375" style="670" customWidth="1"/>
    <col min="7140" max="7140" width="11" style="670" customWidth="1"/>
    <col min="7141" max="7141" width="14.6640625" style="670" customWidth="1"/>
    <col min="7142" max="7142" width="18.6640625" style="670" customWidth="1"/>
    <col min="7143" max="7143" width="14.44140625" style="670" customWidth="1"/>
    <col min="7144" max="7144" width="18.21875" style="670" customWidth="1"/>
    <col min="7145" max="7145" width="15.6640625" style="670" customWidth="1"/>
    <col min="7146" max="7146" width="17.44140625" style="670" customWidth="1"/>
    <col min="7147" max="7147" width="15.6640625" style="670" customWidth="1"/>
    <col min="7148" max="7148" width="17.44140625" style="670" customWidth="1"/>
    <col min="7149" max="7149" width="17" style="670" customWidth="1"/>
    <col min="7150" max="7152" width="17.44140625" style="670" customWidth="1"/>
    <col min="7153" max="7153" width="14.77734375" style="670" customWidth="1"/>
    <col min="7154" max="7179" width="17.44140625" style="670" customWidth="1"/>
    <col min="7180" max="7180" width="17.109375" style="670" customWidth="1"/>
    <col min="7181" max="7181" width="16.44140625" style="670" customWidth="1"/>
    <col min="7182" max="7182" width="18.6640625" style="670" customWidth="1"/>
    <col min="7183" max="7183" width="20.21875" style="670" bestFit="1" customWidth="1"/>
    <col min="7184" max="7184" width="25.6640625" style="670" customWidth="1"/>
    <col min="7185" max="7185" width="19.44140625" style="670" bestFit="1" customWidth="1"/>
    <col min="7186" max="7186" width="21.109375" style="670" bestFit="1" customWidth="1"/>
    <col min="7187" max="7187" width="15.88671875" style="670" bestFit="1" customWidth="1"/>
    <col min="7188" max="7188" width="8.88671875" style="670"/>
    <col min="7189" max="7189" width="13.44140625" style="670" bestFit="1" customWidth="1"/>
    <col min="7190" max="7190" width="8.88671875" style="670"/>
    <col min="7191" max="7191" width="11.77734375" style="670" bestFit="1" customWidth="1"/>
    <col min="7192" max="7193" width="8.88671875" style="670"/>
    <col min="7194" max="7194" width="11.6640625" style="670" bestFit="1" customWidth="1"/>
    <col min="7195" max="7392" width="8.88671875" style="670"/>
    <col min="7393" max="7393" width="10" style="670" customWidth="1"/>
    <col min="7394" max="7394" width="64.44140625" style="670" customWidth="1"/>
    <col min="7395" max="7395" width="18.77734375" style="670" customWidth="1"/>
    <col min="7396" max="7396" width="11" style="670" customWidth="1"/>
    <col min="7397" max="7397" width="14.6640625" style="670" customWidth="1"/>
    <col min="7398" max="7398" width="18.6640625" style="670" customWidth="1"/>
    <col min="7399" max="7399" width="14.44140625" style="670" customWidth="1"/>
    <col min="7400" max="7400" width="18.21875" style="670" customWidth="1"/>
    <col min="7401" max="7401" width="15.6640625" style="670" customWidth="1"/>
    <col min="7402" max="7402" width="17.44140625" style="670" customWidth="1"/>
    <col min="7403" max="7403" width="15.6640625" style="670" customWidth="1"/>
    <col min="7404" max="7404" width="17.44140625" style="670" customWidth="1"/>
    <col min="7405" max="7405" width="17" style="670" customWidth="1"/>
    <col min="7406" max="7408" width="17.44140625" style="670" customWidth="1"/>
    <col min="7409" max="7409" width="14.77734375" style="670" customWidth="1"/>
    <col min="7410" max="7435" width="17.44140625" style="670" customWidth="1"/>
    <col min="7436" max="7436" width="17.109375" style="670" customWidth="1"/>
    <col min="7437" max="7437" width="16.44140625" style="670" customWidth="1"/>
    <col min="7438" max="7438" width="18.6640625" style="670" customWidth="1"/>
    <col min="7439" max="7439" width="20.21875" style="670" bestFit="1" customWidth="1"/>
    <col min="7440" max="7440" width="25.6640625" style="670" customWidth="1"/>
    <col min="7441" max="7441" width="19.44140625" style="670" bestFit="1" customWidth="1"/>
    <col min="7442" max="7442" width="21.109375" style="670" bestFit="1" customWidth="1"/>
    <col min="7443" max="7443" width="15.88671875" style="670" bestFit="1" customWidth="1"/>
    <col min="7444" max="7444" width="8.88671875" style="670"/>
    <col min="7445" max="7445" width="13.44140625" style="670" bestFit="1" customWidth="1"/>
    <col min="7446" max="7446" width="8.88671875" style="670"/>
    <col min="7447" max="7447" width="11.77734375" style="670" bestFit="1" customWidth="1"/>
    <col min="7448" max="7449" width="8.88671875" style="670"/>
    <col min="7450" max="7450" width="11.6640625" style="670" bestFit="1" customWidth="1"/>
    <col min="7451" max="7648" width="8.88671875" style="670"/>
    <col min="7649" max="7649" width="10" style="670" customWidth="1"/>
    <col min="7650" max="7650" width="64.44140625" style="670" customWidth="1"/>
    <col min="7651" max="7651" width="18.77734375" style="670" customWidth="1"/>
    <col min="7652" max="7652" width="11" style="670" customWidth="1"/>
    <col min="7653" max="7653" width="14.6640625" style="670" customWidth="1"/>
    <col min="7654" max="7654" width="18.6640625" style="670" customWidth="1"/>
    <col min="7655" max="7655" width="14.44140625" style="670" customWidth="1"/>
    <col min="7656" max="7656" width="18.21875" style="670" customWidth="1"/>
    <col min="7657" max="7657" width="15.6640625" style="670" customWidth="1"/>
    <col min="7658" max="7658" width="17.44140625" style="670" customWidth="1"/>
    <col min="7659" max="7659" width="15.6640625" style="670" customWidth="1"/>
    <col min="7660" max="7660" width="17.44140625" style="670" customWidth="1"/>
    <col min="7661" max="7661" width="17" style="670" customWidth="1"/>
    <col min="7662" max="7664" width="17.44140625" style="670" customWidth="1"/>
    <col min="7665" max="7665" width="14.77734375" style="670" customWidth="1"/>
    <col min="7666" max="7691" width="17.44140625" style="670" customWidth="1"/>
    <col min="7692" max="7692" width="17.109375" style="670" customWidth="1"/>
    <col min="7693" max="7693" width="16.44140625" style="670" customWidth="1"/>
    <col min="7694" max="7694" width="18.6640625" style="670" customWidth="1"/>
    <col min="7695" max="7695" width="20.21875" style="670" bestFit="1" customWidth="1"/>
    <col min="7696" max="7696" width="25.6640625" style="670" customWidth="1"/>
    <col min="7697" max="7697" width="19.44140625" style="670" bestFit="1" customWidth="1"/>
    <col min="7698" max="7698" width="21.109375" style="670" bestFit="1" customWidth="1"/>
    <col min="7699" max="7699" width="15.88671875" style="670" bestFit="1" customWidth="1"/>
    <col min="7700" max="7700" width="8.88671875" style="670"/>
    <col min="7701" max="7701" width="13.44140625" style="670" bestFit="1" customWidth="1"/>
    <col min="7702" max="7702" width="8.88671875" style="670"/>
    <col min="7703" max="7703" width="11.77734375" style="670" bestFit="1" customWidth="1"/>
    <col min="7704" max="7705" width="8.88671875" style="670"/>
    <col min="7706" max="7706" width="11.6640625" style="670" bestFit="1" customWidth="1"/>
    <col min="7707" max="7904" width="8.88671875" style="670"/>
    <col min="7905" max="7905" width="10" style="670" customWidth="1"/>
    <col min="7906" max="7906" width="64.44140625" style="670" customWidth="1"/>
    <col min="7907" max="7907" width="18.77734375" style="670" customWidth="1"/>
    <col min="7908" max="7908" width="11" style="670" customWidth="1"/>
    <col min="7909" max="7909" width="14.6640625" style="670" customWidth="1"/>
    <col min="7910" max="7910" width="18.6640625" style="670" customWidth="1"/>
    <col min="7911" max="7911" width="14.44140625" style="670" customWidth="1"/>
    <col min="7912" max="7912" width="18.21875" style="670" customWidth="1"/>
    <col min="7913" max="7913" width="15.6640625" style="670" customWidth="1"/>
    <col min="7914" max="7914" width="17.44140625" style="670" customWidth="1"/>
    <col min="7915" max="7915" width="15.6640625" style="670" customWidth="1"/>
    <col min="7916" max="7916" width="17.44140625" style="670" customWidth="1"/>
    <col min="7917" max="7917" width="17" style="670" customWidth="1"/>
    <col min="7918" max="7920" width="17.44140625" style="670" customWidth="1"/>
    <col min="7921" max="7921" width="14.77734375" style="670" customWidth="1"/>
    <col min="7922" max="7947" width="17.44140625" style="670" customWidth="1"/>
    <col min="7948" max="7948" width="17.109375" style="670" customWidth="1"/>
    <col min="7949" max="7949" width="16.44140625" style="670" customWidth="1"/>
    <col min="7950" max="7950" width="18.6640625" style="670" customWidth="1"/>
    <col min="7951" max="7951" width="20.21875" style="670" bestFit="1" customWidth="1"/>
    <col min="7952" max="7952" width="25.6640625" style="670" customWidth="1"/>
    <col min="7953" max="7953" width="19.44140625" style="670" bestFit="1" customWidth="1"/>
    <col min="7954" max="7954" width="21.109375" style="670" bestFit="1" customWidth="1"/>
    <col min="7955" max="7955" width="15.88671875" style="670" bestFit="1" customWidth="1"/>
    <col min="7956" max="7956" width="8.88671875" style="670"/>
    <col min="7957" max="7957" width="13.44140625" style="670" bestFit="1" customWidth="1"/>
    <col min="7958" max="7958" width="8.88671875" style="670"/>
    <col min="7959" max="7959" width="11.77734375" style="670" bestFit="1" customWidth="1"/>
    <col min="7960" max="7961" width="8.88671875" style="670"/>
    <col min="7962" max="7962" width="11.6640625" style="670" bestFit="1" customWidth="1"/>
    <col min="7963" max="8160" width="8.88671875" style="670"/>
    <col min="8161" max="8161" width="10" style="670" customWidth="1"/>
    <col min="8162" max="8162" width="64.44140625" style="670" customWidth="1"/>
    <col min="8163" max="8163" width="18.77734375" style="670" customWidth="1"/>
    <col min="8164" max="8164" width="11" style="670" customWidth="1"/>
    <col min="8165" max="8165" width="14.6640625" style="670" customWidth="1"/>
    <col min="8166" max="8166" width="18.6640625" style="670" customWidth="1"/>
    <col min="8167" max="8167" width="14.44140625" style="670" customWidth="1"/>
    <col min="8168" max="8168" width="18.21875" style="670" customWidth="1"/>
    <col min="8169" max="8169" width="15.6640625" style="670" customWidth="1"/>
    <col min="8170" max="8170" width="17.44140625" style="670" customWidth="1"/>
    <col min="8171" max="8171" width="15.6640625" style="670" customWidth="1"/>
    <col min="8172" max="8172" width="17.44140625" style="670" customWidth="1"/>
    <col min="8173" max="8173" width="17" style="670" customWidth="1"/>
    <col min="8174" max="8176" width="17.44140625" style="670" customWidth="1"/>
    <col min="8177" max="8177" width="14.77734375" style="670" customWidth="1"/>
    <col min="8178" max="8203" width="17.44140625" style="670" customWidth="1"/>
    <col min="8204" max="8204" width="17.109375" style="670" customWidth="1"/>
    <col min="8205" max="8205" width="16.44140625" style="670" customWidth="1"/>
    <col min="8206" max="8206" width="18.6640625" style="670" customWidth="1"/>
    <col min="8207" max="8207" width="20.21875" style="670" bestFit="1" customWidth="1"/>
    <col min="8208" max="8208" width="25.6640625" style="670" customWidth="1"/>
    <col min="8209" max="8209" width="19.44140625" style="670" bestFit="1" customWidth="1"/>
    <col min="8210" max="8210" width="21.109375" style="670" bestFit="1" customWidth="1"/>
    <col min="8211" max="8211" width="15.88671875" style="670" bestFit="1" customWidth="1"/>
    <col min="8212" max="8212" width="8.88671875" style="670"/>
    <col min="8213" max="8213" width="13.44140625" style="670" bestFit="1" customWidth="1"/>
    <col min="8214" max="8214" width="8.88671875" style="670"/>
    <col min="8215" max="8215" width="11.77734375" style="670" bestFit="1" customWidth="1"/>
    <col min="8216" max="8217" width="8.88671875" style="670"/>
    <col min="8218" max="8218" width="11.6640625" style="670" bestFit="1" customWidth="1"/>
    <col min="8219" max="8416" width="8.88671875" style="670"/>
    <col min="8417" max="8417" width="10" style="670" customWidth="1"/>
    <col min="8418" max="8418" width="64.44140625" style="670" customWidth="1"/>
    <col min="8419" max="8419" width="18.77734375" style="670" customWidth="1"/>
    <col min="8420" max="8420" width="11" style="670" customWidth="1"/>
    <col min="8421" max="8421" width="14.6640625" style="670" customWidth="1"/>
    <col min="8422" max="8422" width="18.6640625" style="670" customWidth="1"/>
    <col min="8423" max="8423" width="14.44140625" style="670" customWidth="1"/>
    <col min="8424" max="8424" width="18.21875" style="670" customWidth="1"/>
    <col min="8425" max="8425" width="15.6640625" style="670" customWidth="1"/>
    <col min="8426" max="8426" width="17.44140625" style="670" customWidth="1"/>
    <col min="8427" max="8427" width="15.6640625" style="670" customWidth="1"/>
    <col min="8428" max="8428" width="17.44140625" style="670" customWidth="1"/>
    <col min="8429" max="8429" width="17" style="670" customWidth="1"/>
    <col min="8430" max="8432" width="17.44140625" style="670" customWidth="1"/>
    <col min="8433" max="8433" width="14.77734375" style="670" customWidth="1"/>
    <col min="8434" max="8459" width="17.44140625" style="670" customWidth="1"/>
    <col min="8460" max="8460" width="17.109375" style="670" customWidth="1"/>
    <col min="8461" max="8461" width="16.44140625" style="670" customWidth="1"/>
    <col min="8462" max="8462" width="18.6640625" style="670" customWidth="1"/>
    <col min="8463" max="8463" width="20.21875" style="670" bestFit="1" customWidth="1"/>
    <col min="8464" max="8464" width="25.6640625" style="670" customWidth="1"/>
    <col min="8465" max="8465" width="19.44140625" style="670" bestFit="1" customWidth="1"/>
    <col min="8466" max="8466" width="21.109375" style="670" bestFit="1" customWidth="1"/>
    <col min="8467" max="8467" width="15.88671875" style="670" bestFit="1" customWidth="1"/>
    <col min="8468" max="8468" width="8.88671875" style="670"/>
    <col min="8469" max="8469" width="13.44140625" style="670" bestFit="1" customWidth="1"/>
    <col min="8470" max="8470" width="8.88671875" style="670"/>
    <col min="8471" max="8471" width="11.77734375" style="670" bestFit="1" customWidth="1"/>
    <col min="8472" max="8473" width="8.88671875" style="670"/>
    <col min="8474" max="8474" width="11.6640625" style="670" bestFit="1" customWidth="1"/>
    <col min="8475" max="8672" width="8.88671875" style="670"/>
    <col min="8673" max="8673" width="10" style="670" customWidth="1"/>
    <col min="8674" max="8674" width="64.44140625" style="670" customWidth="1"/>
    <col min="8675" max="8675" width="18.77734375" style="670" customWidth="1"/>
    <col min="8676" max="8676" width="11" style="670" customWidth="1"/>
    <col min="8677" max="8677" width="14.6640625" style="670" customWidth="1"/>
    <col min="8678" max="8678" width="18.6640625" style="670" customWidth="1"/>
    <col min="8679" max="8679" width="14.44140625" style="670" customWidth="1"/>
    <col min="8680" max="8680" width="18.21875" style="670" customWidth="1"/>
    <col min="8681" max="8681" width="15.6640625" style="670" customWidth="1"/>
    <col min="8682" max="8682" width="17.44140625" style="670" customWidth="1"/>
    <col min="8683" max="8683" width="15.6640625" style="670" customWidth="1"/>
    <col min="8684" max="8684" width="17.44140625" style="670" customWidth="1"/>
    <col min="8685" max="8685" width="17" style="670" customWidth="1"/>
    <col min="8686" max="8688" width="17.44140625" style="670" customWidth="1"/>
    <col min="8689" max="8689" width="14.77734375" style="670" customWidth="1"/>
    <col min="8690" max="8715" width="17.44140625" style="670" customWidth="1"/>
    <col min="8716" max="8716" width="17.109375" style="670" customWidth="1"/>
    <col min="8717" max="8717" width="16.44140625" style="670" customWidth="1"/>
    <col min="8718" max="8718" width="18.6640625" style="670" customWidth="1"/>
    <col min="8719" max="8719" width="20.21875" style="670" bestFit="1" customWidth="1"/>
    <col min="8720" max="8720" width="25.6640625" style="670" customWidth="1"/>
    <col min="8721" max="8721" width="19.44140625" style="670" bestFit="1" customWidth="1"/>
    <col min="8722" max="8722" width="21.109375" style="670" bestFit="1" customWidth="1"/>
    <col min="8723" max="8723" width="15.88671875" style="670" bestFit="1" customWidth="1"/>
    <col min="8724" max="8724" width="8.88671875" style="670"/>
    <col min="8725" max="8725" width="13.44140625" style="670" bestFit="1" customWidth="1"/>
    <col min="8726" max="8726" width="8.88671875" style="670"/>
    <col min="8727" max="8727" width="11.77734375" style="670" bestFit="1" customWidth="1"/>
    <col min="8728" max="8729" width="8.88671875" style="670"/>
    <col min="8730" max="8730" width="11.6640625" style="670" bestFit="1" customWidth="1"/>
    <col min="8731" max="8928" width="8.88671875" style="670"/>
    <col min="8929" max="8929" width="10" style="670" customWidth="1"/>
    <col min="8930" max="8930" width="64.44140625" style="670" customWidth="1"/>
    <col min="8931" max="8931" width="18.77734375" style="670" customWidth="1"/>
    <col min="8932" max="8932" width="11" style="670" customWidth="1"/>
    <col min="8933" max="8933" width="14.6640625" style="670" customWidth="1"/>
    <col min="8934" max="8934" width="18.6640625" style="670" customWidth="1"/>
    <col min="8935" max="8935" width="14.44140625" style="670" customWidth="1"/>
    <col min="8936" max="8936" width="18.21875" style="670" customWidth="1"/>
    <col min="8937" max="8937" width="15.6640625" style="670" customWidth="1"/>
    <col min="8938" max="8938" width="17.44140625" style="670" customWidth="1"/>
    <col min="8939" max="8939" width="15.6640625" style="670" customWidth="1"/>
    <col min="8940" max="8940" width="17.44140625" style="670" customWidth="1"/>
    <col min="8941" max="8941" width="17" style="670" customWidth="1"/>
    <col min="8942" max="8944" width="17.44140625" style="670" customWidth="1"/>
    <col min="8945" max="8945" width="14.77734375" style="670" customWidth="1"/>
    <col min="8946" max="8971" width="17.44140625" style="670" customWidth="1"/>
    <col min="8972" max="8972" width="17.109375" style="670" customWidth="1"/>
    <col min="8973" max="8973" width="16.44140625" style="670" customWidth="1"/>
    <col min="8974" max="8974" width="18.6640625" style="670" customWidth="1"/>
    <col min="8975" max="8975" width="20.21875" style="670" bestFit="1" customWidth="1"/>
    <col min="8976" max="8976" width="25.6640625" style="670" customWidth="1"/>
    <col min="8977" max="8977" width="19.44140625" style="670" bestFit="1" customWidth="1"/>
    <col min="8978" max="8978" width="21.109375" style="670" bestFit="1" customWidth="1"/>
    <col min="8979" max="8979" width="15.88671875" style="670" bestFit="1" customWidth="1"/>
    <col min="8980" max="8980" width="8.88671875" style="670"/>
    <col min="8981" max="8981" width="13.44140625" style="670" bestFit="1" customWidth="1"/>
    <col min="8982" max="8982" width="8.88671875" style="670"/>
    <col min="8983" max="8983" width="11.77734375" style="670" bestFit="1" customWidth="1"/>
    <col min="8984" max="8985" width="8.88671875" style="670"/>
    <col min="8986" max="8986" width="11.6640625" style="670" bestFit="1" customWidth="1"/>
    <col min="8987" max="9184" width="8.88671875" style="670"/>
    <col min="9185" max="9185" width="10" style="670" customWidth="1"/>
    <col min="9186" max="9186" width="64.44140625" style="670" customWidth="1"/>
    <col min="9187" max="9187" width="18.77734375" style="670" customWidth="1"/>
    <col min="9188" max="9188" width="11" style="670" customWidth="1"/>
    <col min="9189" max="9189" width="14.6640625" style="670" customWidth="1"/>
    <col min="9190" max="9190" width="18.6640625" style="670" customWidth="1"/>
    <col min="9191" max="9191" width="14.44140625" style="670" customWidth="1"/>
    <col min="9192" max="9192" width="18.21875" style="670" customWidth="1"/>
    <col min="9193" max="9193" width="15.6640625" style="670" customWidth="1"/>
    <col min="9194" max="9194" width="17.44140625" style="670" customWidth="1"/>
    <col min="9195" max="9195" width="15.6640625" style="670" customWidth="1"/>
    <col min="9196" max="9196" width="17.44140625" style="670" customWidth="1"/>
    <col min="9197" max="9197" width="17" style="670" customWidth="1"/>
    <col min="9198" max="9200" width="17.44140625" style="670" customWidth="1"/>
    <col min="9201" max="9201" width="14.77734375" style="670" customWidth="1"/>
    <col min="9202" max="9227" width="17.44140625" style="670" customWidth="1"/>
    <col min="9228" max="9228" width="17.109375" style="670" customWidth="1"/>
    <col min="9229" max="9229" width="16.44140625" style="670" customWidth="1"/>
    <col min="9230" max="9230" width="18.6640625" style="670" customWidth="1"/>
    <col min="9231" max="9231" width="20.21875" style="670" bestFit="1" customWidth="1"/>
    <col min="9232" max="9232" width="25.6640625" style="670" customWidth="1"/>
    <col min="9233" max="9233" width="19.44140625" style="670" bestFit="1" customWidth="1"/>
    <col min="9234" max="9234" width="21.109375" style="670" bestFit="1" customWidth="1"/>
    <col min="9235" max="9235" width="15.88671875" style="670" bestFit="1" customWidth="1"/>
    <col min="9236" max="9236" width="8.88671875" style="670"/>
    <col min="9237" max="9237" width="13.44140625" style="670" bestFit="1" customWidth="1"/>
    <col min="9238" max="9238" width="8.88671875" style="670"/>
    <col min="9239" max="9239" width="11.77734375" style="670" bestFit="1" customWidth="1"/>
    <col min="9240" max="9241" width="8.88671875" style="670"/>
    <col min="9242" max="9242" width="11.6640625" style="670" bestFit="1" customWidth="1"/>
    <col min="9243" max="9440" width="8.88671875" style="670"/>
    <col min="9441" max="9441" width="10" style="670" customWidth="1"/>
    <col min="9442" max="9442" width="64.44140625" style="670" customWidth="1"/>
    <col min="9443" max="9443" width="18.77734375" style="670" customWidth="1"/>
    <col min="9444" max="9444" width="11" style="670" customWidth="1"/>
    <col min="9445" max="9445" width="14.6640625" style="670" customWidth="1"/>
    <col min="9446" max="9446" width="18.6640625" style="670" customWidth="1"/>
    <col min="9447" max="9447" width="14.44140625" style="670" customWidth="1"/>
    <col min="9448" max="9448" width="18.21875" style="670" customWidth="1"/>
    <col min="9449" max="9449" width="15.6640625" style="670" customWidth="1"/>
    <col min="9450" max="9450" width="17.44140625" style="670" customWidth="1"/>
    <col min="9451" max="9451" width="15.6640625" style="670" customWidth="1"/>
    <col min="9452" max="9452" width="17.44140625" style="670" customWidth="1"/>
    <col min="9453" max="9453" width="17" style="670" customWidth="1"/>
    <col min="9454" max="9456" width="17.44140625" style="670" customWidth="1"/>
    <col min="9457" max="9457" width="14.77734375" style="670" customWidth="1"/>
    <col min="9458" max="9483" width="17.44140625" style="670" customWidth="1"/>
    <col min="9484" max="9484" width="17.109375" style="670" customWidth="1"/>
    <col min="9485" max="9485" width="16.44140625" style="670" customWidth="1"/>
    <col min="9486" max="9486" width="18.6640625" style="670" customWidth="1"/>
    <col min="9487" max="9487" width="20.21875" style="670" bestFit="1" customWidth="1"/>
    <col min="9488" max="9488" width="25.6640625" style="670" customWidth="1"/>
    <col min="9489" max="9489" width="19.44140625" style="670" bestFit="1" customWidth="1"/>
    <col min="9490" max="9490" width="21.109375" style="670" bestFit="1" customWidth="1"/>
    <col min="9491" max="9491" width="15.88671875" style="670" bestFit="1" customWidth="1"/>
    <col min="9492" max="9492" width="8.88671875" style="670"/>
    <col min="9493" max="9493" width="13.44140625" style="670" bestFit="1" customWidth="1"/>
    <col min="9494" max="9494" width="8.88671875" style="670"/>
    <col min="9495" max="9495" width="11.77734375" style="670" bestFit="1" customWidth="1"/>
    <col min="9496" max="9497" width="8.88671875" style="670"/>
    <col min="9498" max="9498" width="11.6640625" style="670" bestFit="1" customWidth="1"/>
    <col min="9499" max="9696" width="8.88671875" style="670"/>
    <col min="9697" max="9697" width="10" style="670" customWidth="1"/>
    <col min="9698" max="9698" width="64.44140625" style="670" customWidth="1"/>
    <col min="9699" max="9699" width="18.77734375" style="670" customWidth="1"/>
    <col min="9700" max="9700" width="11" style="670" customWidth="1"/>
    <col min="9701" max="9701" width="14.6640625" style="670" customWidth="1"/>
    <col min="9702" max="9702" width="18.6640625" style="670" customWidth="1"/>
    <col min="9703" max="9703" width="14.44140625" style="670" customWidth="1"/>
    <col min="9704" max="9704" width="18.21875" style="670" customWidth="1"/>
    <col min="9705" max="9705" width="15.6640625" style="670" customWidth="1"/>
    <col min="9706" max="9706" width="17.44140625" style="670" customWidth="1"/>
    <col min="9707" max="9707" width="15.6640625" style="670" customWidth="1"/>
    <col min="9708" max="9708" width="17.44140625" style="670" customWidth="1"/>
    <col min="9709" max="9709" width="17" style="670" customWidth="1"/>
    <col min="9710" max="9712" width="17.44140625" style="670" customWidth="1"/>
    <col min="9713" max="9713" width="14.77734375" style="670" customWidth="1"/>
    <col min="9714" max="9739" width="17.44140625" style="670" customWidth="1"/>
    <col min="9740" max="9740" width="17.109375" style="670" customWidth="1"/>
    <col min="9741" max="9741" width="16.44140625" style="670" customWidth="1"/>
    <col min="9742" max="9742" width="18.6640625" style="670" customWidth="1"/>
    <col min="9743" max="9743" width="20.21875" style="670" bestFit="1" customWidth="1"/>
    <col min="9744" max="9744" width="25.6640625" style="670" customWidth="1"/>
    <col min="9745" max="9745" width="19.44140625" style="670" bestFit="1" customWidth="1"/>
    <col min="9746" max="9746" width="21.109375" style="670" bestFit="1" customWidth="1"/>
    <col min="9747" max="9747" width="15.88671875" style="670" bestFit="1" customWidth="1"/>
    <col min="9748" max="9748" width="8.88671875" style="670"/>
    <col min="9749" max="9749" width="13.44140625" style="670" bestFit="1" customWidth="1"/>
    <col min="9750" max="9750" width="8.88671875" style="670"/>
    <col min="9751" max="9751" width="11.77734375" style="670" bestFit="1" customWidth="1"/>
    <col min="9752" max="9753" width="8.88671875" style="670"/>
    <col min="9754" max="9754" width="11.6640625" style="670" bestFit="1" customWidth="1"/>
    <col min="9755" max="9952" width="8.88671875" style="670"/>
    <col min="9953" max="9953" width="10" style="670" customWidth="1"/>
    <col min="9954" max="9954" width="64.44140625" style="670" customWidth="1"/>
    <col min="9955" max="9955" width="18.77734375" style="670" customWidth="1"/>
    <col min="9956" max="9956" width="11" style="670" customWidth="1"/>
    <col min="9957" max="9957" width="14.6640625" style="670" customWidth="1"/>
    <col min="9958" max="9958" width="18.6640625" style="670" customWidth="1"/>
    <col min="9959" max="9959" width="14.44140625" style="670" customWidth="1"/>
    <col min="9960" max="9960" width="18.21875" style="670" customWidth="1"/>
    <col min="9961" max="9961" width="15.6640625" style="670" customWidth="1"/>
    <col min="9962" max="9962" width="17.44140625" style="670" customWidth="1"/>
    <col min="9963" max="9963" width="15.6640625" style="670" customWidth="1"/>
    <col min="9964" max="9964" width="17.44140625" style="670" customWidth="1"/>
    <col min="9965" max="9965" width="17" style="670" customWidth="1"/>
    <col min="9966" max="9968" width="17.44140625" style="670" customWidth="1"/>
    <col min="9969" max="9969" width="14.77734375" style="670" customWidth="1"/>
    <col min="9970" max="9995" width="17.44140625" style="670" customWidth="1"/>
    <col min="9996" max="9996" width="17.109375" style="670" customWidth="1"/>
    <col min="9997" max="9997" width="16.44140625" style="670" customWidth="1"/>
    <col min="9998" max="9998" width="18.6640625" style="670" customWidth="1"/>
    <col min="9999" max="9999" width="20.21875" style="670" bestFit="1" customWidth="1"/>
    <col min="10000" max="10000" width="25.6640625" style="670" customWidth="1"/>
    <col min="10001" max="10001" width="19.44140625" style="670" bestFit="1" customWidth="1"/>
    <col min="10002" max="10002" width="21.109375" style="670" bestFit="1" customWidth="1"/>
    <col min="10003" max="10003" width="15.88671875" style="670" bestFit="1" customWidth="1"/>
    <col min="10004" max="10004" width="8.88671875" style="670"/>
    <col min="10005" max="10005" width="13.44140625" style="670" bestFit="1" customWidth="1"/>
    <col min="10006" max="10006" width="8.88671875" style="670"/>
    <col min="10007" max="10007" width="11.77734375" style="670" bestFit="1" customWidth="1"/>
    <col min="10008" max="10009" width="8.88671875" style="670"/>
    <col min="10010" max="10010" width="11.6640625" style="670" bestFit="1" customWidth="1"/>
    <col min="10011" max="10208" width="8.88671875" style="670"/>
    <col min="10209" max="10209" width="10" style="670" customWidth="1"/>
    <col min="10210" max="10210" width="64.44140625" style="670" customWidth="1"/>
    <col min="10211" max="10211" width="18.77734375" style="670" customWidth="1"/>
    <col min="10212" max="10212" width="11" style="670" customWidth="1"/>
    <col min="10213" max="10213" width="14.6640625" style="670" customWidth="1"/>
    <col min="10214" max="10214" width="18.6640625" style="670" customWidth="1"/>
    <col min="10215" max="10215" width="14.44140625" style="670" customWidth="1"/>
    <col min="10216" max="10216" width="18.21875" style="670" customWidth="1"/>
    <col min="10217" max="10217" width="15.6640625" style="670" customWidth="1"/>
    <col min="10218" max="10218" width="17.44140625" style="670" customWidth="1"/>
    <col min="10219" max="10219" width="15.6640625" style="670" customWidth="1"/>
    <col min="10220" max="10220" width="17.44140625" style="670" customWidth="1"/>
    <col min="10221" max="10221" width="17" style="670" customWidth="1"/>
    <col min="10222" max="10224" width="17.44140625" style="670" customWidth="1"/>
    <col min="10225" max="10225" width="14.77734375" style="670" customWidth="1"/>
    <col min="10226" max="10251" width="17.44140625" style="670" customWidth="1"/>
    <col min="10252" max="10252" width="17.109375" style="670" customWidth="1"/>
    <col min="10253" max="10253" width="16.44140625" style="670" customWidth="1"/>
    <col min="10254" max="10254" width="18.6640625" style="670" customWidth="1"/>
    <col min="10255" max="10255" width="20.21875" style="670" bestFit="1" customWidth="1"/>
    <col min="10256" max="10256" width="25.6640625" style="670" customWidth="1"/>
    <col min="10257" max="10257" width="19.44140625" style="670" bestFit="1" customWidth="1"/>
    <col min="10258" max="10258" width="21.109375" style="670" bestFit="1" customWidth="1"/>
    <col min="10259" max="10259" width="15.88671875" style="670" bestFit="1" customWidth="1"/>
    <col min="10260" max="10260" width="8.88671875" style="670"/>
    <col min="10261" max="10261" width="13.44140625" style="670" bestFit="1" customWidth="1"/>
    <col min="10262" max="10262" width="8.88671875" style="670"/>
    <col min="10263" max="10263" width="11.77734375" style="670" bestFit="1" customWidth="1"/>
    <col min="10264" max="10265" width="8.88671875" style="670"/>
    <col min="10266" max="10266" width="11.6640625" style="670" bestFit="1" customWidth="1"/>
    <col min="10267" max="10464" width="8.88671875" style="670"/>
    <col min="10465" max="10465" width="10" style="670" customWidth="1"/>
    <col min="10466" max="10466" width="64.44140625" style="670" customWidth="1"/>
    <col min="10467" max="10467" width="18.77734375" style="670" customWidth="1"/>
    <col min="10468" max="10468" width="11" style="670" customWidth="1"/>
    <col min="10469" max="10469" width="14.6640625" style="670" customWidth="1"/>
    <col min="10470" max="10470" width="18.6640625" style="670" customWidth="1"/>
    <col min="10471" max="10471" width="14.44140625" style="670" customWidth="1"/>
    <col min="10472" max="10472" width="18.21875" style="670" customWidth="1"/>
    <col min="10473" max="10473" width="15.6640625" style="670" customWidth="1"/>
    <col min="10474" max="10474" width="17.44140625" style="670" customWidth="1"/>
    <col min="10475" max="10475" width="15.6640625" style="670" customWidth="1"/>
    <col min="10476" max="10476" width="17.44140625" style="670" customWidth="1"/>
    <col min="10477" max="10477" width="17" style="670" customWidth="1"/>
    <col min="10478" max="10480" width="17.44140625" style="670" customWidth="1"/>
    <col min="10481" max="10481" width="14.77734375" style="670" customWidth="1"/>
    <col min="10482" max="10507" width="17.44140625" style="670" customWidth="1"/>
    <col min="10508" max="10508" width="17.109375" style="670" customWidth="1"/>
    <col min="10509" max="10509" width="16.44140625" style="670" customWidth="1"/>
    <col min="10510" max="10510" width="18.6640625" style="670" customWidth="1"/>
    <col min="10511" max="10511" width="20.21875" style="670" bestFit="1" customWidth="1"/>
    <col min="10512" max="10512" width="25.6640625" style="670" customWidth="1"/>
    <col min="10513" max="10513" width="19.44140625" style="670" bestFit="1" customWidth="1"/>
    <col min="10514" max="10514" width="21.109375" style="670" bestFit="1" customWidth="1"/>
    <col min="10515" max="10515" width="15.88671875" style="670" bestFit="1" customWidth="1"/>
    <col min="10516" max="10516" width="8.88671875" style="670"/>
    <col min="10517" max="10517" width="13.44140625" style="670" bestFit="1" customWidth="1"/>
    <col min="10518" max="10518" width="8.88671875" style="670"/>
    <col min="10519" max="10519" width="11.77734375" style="670" bestFit="1" customWidth="1"/>
    <col min="10520" max="10521" width="8.88671875" style="670"/>
    <col min="10522" max="10522" width="11.6640625" style="670" bestFit="1" customWidth="1"/>
    <col min="10523" max="10720" width="8.88671875" style="670"/>
    <col min="10721" max="10721" width="10" style="670" customWidth="1"/>
    <col min="10722" max="10722" width="64.44140625" style="670" customWidth="1"/>
    <col min="10723" max="10723" width="18.77734375" style="670" customWidth="1"/>
    <col min="10724" max="10724" width="11" style="670" customWidth="1"/>
    <col min="10725" max="10725" width="14.6640625" style="670" customWidth="1"/>
    <col min="10726" max="10726" width="18.6640625" style="670" customWidth="1"/>
    <col min="10727" max="10727" width="14.44140625" style="670" customWidth="1"/>
    <col min="10728" max="10728" width="18.21875" style="670" customWidth="1"/>
    <col min="10729" max="10729" width="15.6640625" style="670" customWidth="1"/>
    <col min="10730" max="10730" width="17.44140625" style="670" customWidth="1"/>
    <col min="10731" max="10731" width="15.6640625" style="670" customWidth="1"/>
    <col min="10732" max="10732" width="17.44140625" style="670" customWidth="1"/>
    <col min="10733" max="10733" width="17" style="670" customWidth="1"/>
    <col min="10734" max="10736" width="17.44140625" style="670" customWidth="1"/>
    <col min="10737" max="10737" width="14.77734375" style="670" customWidth="1"/>
    <col min="10738" max="10763" width="17.44140625" style="670" customWidth="1"/>
    <col min="10764" max="10764" width="17.109375" style="670" customWidth="1"/>
    <col min="10765" max="10765" width="16.44140625" style="670" customWidth="1"/>
    <col min="10766" max="10766" width="18.6640625" style="670" customWidth="1"/>
    <col min="10767" max="10767" width="20.21875" style="670" bestFit="1" customWidth="1"/>
    <col min="10768" max="10768" width="25.6640625" style="670" customWidth="1"/>
    <col min="10769" max="10769" width="19.44140625" style="670" bestFit="1" customWidth="1"/>
    <col min="10770" max="10770" width="21.109375" style="670" bestFit="1" customWidth="1"/>
    <col min="10771" max="10771" width="15.88671875" style="670" bestFit="1" customWidth="1"/>
    <col min="10772" max="10772" width="8.88671875" style="670"/>
    <col min="10773" max="10773" width="13.44140625" style="670" bestFit="1" customWidth="1"/>
    <col min="10774" max="10774" width="8.88671875" style="670"/>
    <col min="10775" max="10775" width="11.77734375" style="670" bestFit="1" customWidth="1"/>
    <col min="10776" max="10777" width="8.88671875" style="670"/>
    <col min="10778" max="10778" width="11.6640625" style="670" bestFit="1" customWidth="1"/>
    <col min="10779" max="10976" width="8.88671875" style="670"/>
    <col min="10977" max="10977" width="10" style="670" customWidth="1"/>
    <col min="10978" max="10978" width="64.44140625" style="670" customWidth="1"/>
    <col min="10979" max="10979" width="18.77734375" style="670" customWidth="1"/>
    <col min="10980" max="10980" width="11" style="670" customWidth="1"/>
    <col min="10981" max="10981" width="14.6640625" style="670" customWidth="1"/>
    <col min="10982" max="10982" width="18.6640625" style="670" customWidth="1"/>
    <col min="10983" max="10983" width="14.44140625" style="670" customWidth="1"/>
    <col min="10984" max="10984" width="18.21875" style="670" customWidth="1"/>
    <col min="10985" max="10985" width="15.6640625" style="670" customWidth="1"/>
    <col min="10986" max="10986" width="17.44140625" style="670" customWidth="1"/>
    <col min="10987" max="10987" width="15.6640625" style="670" customWidth="1"/>
    <col min="10988" max="10988" width="17.44140625" style="670" customWidth="1"/>
    <col min="10989" max="10989" width="17" style="670" customWidth="1"/>
    <col min="10990" max="10992" width="17.44140625" style="670" customWidth="1"/>
    <col min="10993" max="10993" width="14.77734375" style="670" customWidth="1"/>
    <col min="10994" max="11019" width="17.44140625" style="670" customWidth="1"/>
    <col min="11020" max="11020" width="17.109375" style="670" customWidth="1"/>
    <col min="11021" max="11021" width="16.44140625" style="670" customWidth="1"/>
    <col min="11022" max="11022" width="18.6640625" style="670" customWidth="1"/>
    <col min="11023" max="11023" width="20.21875" style="670" bestFit="1" customWidth="1"/>
    <col min="11024" max="11024" width="25.6640625" style="670" customWidth="1"/>
    <col min="11025" max="11025" width="19.44140625" style="670" bestFit="1" customWidth="1"/>
    <col min="11026" max="11026" width="21.109375" style="670" bestFit="1" customWidth="1"/>
    <col min="11027" max="11027" width="15.88671875" style="670" bestFit="1" customWidth="1"/>
    <col min="11028" max="11028" width="8.88671875" style="670"/>
    <col min="11029" max="11029" width="13.44140625" style="670" bestFit="1" customWidth="1"/>
    <col min="11030" max="11030" width="8.88671875" style="670"/>
    <col min="11031" max="11031" width="11.77734375" style="670" bestFit="1" customWidth="1"/>
    <col min="11032" max="11033" width="8.88671875" style="670"/>
    <col min="11034" max="11034" width="11.6640625" style="670" bestFit="1" customWidth="1"/>
    <col min="11035" max="11232" width="8.88671875" style="670"/>
    <col min="11233" max="11233" width="10" style="670" customWidth="1"/>
    <col min="11234" max="11234" width="64.44140625" style="670" customWidth="1"/>
    <col min="11235" max="11235" width="18.77734375" style="670" customWidth="1"/>
    <col min="11236" max="11236" width="11" style="670" customWidth="1"/>
    <col min="11237" max="11237" width="14.6640625" style="670" customWidth="1"/>
    <col min="11238" max="11238" width="18.6640625" style="670" customWidth="1"/>
    <col min="11239" max="11239" width="14.44140625" style="670" customWidth="1"/>
    <col min="11240" max="11240" width="18.21875" style="670" customWidth="1"/>
    <col min="11241" max="11241" width="15.6640625" style="670" customWidth="1"/>
    <col min="11242" max="11242" width="17.44140625" style="670" customWidth="1"/>
    <col min="11243" max="11243" width="15.6640625" style="670" customWidth="1"/>
    <col min="11244" max="11244" width="17.44140625" style="670" customWidth="1"/>
    <col min="11245" max="11245" width="17" style="670" customWidth="1"/>
    <col min="11246" max="11248" width="17.44140625" style="670" customWidth="1"/>
    <col min="11249" max="11249" width="14.77734375" style="670" customWidth="1"/>
    <col min="11250" max="11275" width="17.44140625" style="670" customWidth="1"/>
    <col min="11276" max="11276" width="17.109375" style="670" customWidth="1"/>
    <col min="11277" max="11277" width="16.44140625" style="670" customWidth="1"/>
    <col min="11278" max="11278" width="18.6640625" style="670" customWidth="1"/>
    <col min="11279" max="11279" width="20.21875" style="670" bestFit="1" customWidth="1"/>
    <col min="11280" max="11280" width="25.6640625" style="670" customWidth="1"/>
    <col min="11281" max="11281" width="19.44140625" style="670" bestFit="1" customWidth="1"/>
    <col min="11282" max="11282" width="21.109375" style="670" bestFit="1" customWidth="1"/>
    <col min="11283" max="11283" width="15.88671875" style="670" bestFit="1" customWidth="1"/>
    <col min="11284" max="11284" width="8.88671875" style="670"/>
    <col min="11285" max="11285" width="13.44140625" style="670" bestFit="1" customWidth="1"/>
    <col min="11286" max="11286" width="8.88671875" style="670"/>
    <col min="11287" max="11287" width="11.77734375" style="670" bestFit="1" customWidth="1"/>
    <col min="11288" max="11289" width="8.88671875" style="670"/>
    <col min="11290" max="11290" width="11.6640625" style="670" bestFit="1" customWidth="1"/>
    <col min="11291" max="11488" width="8.88671875" style="670"/>
    <col min="11489" max="11489" width="10" style="670" customWidth="1"/>
    <col min="11490" max="11490" width="64.44140625" style="670" customWidth="1"/>
    <col min="11491" max="11491" width="18.77734375" style="670" customWidth="1"/>
    <col min="11492" max="11492" width="11" style="670" customWidth="1"/>
    <col min="11493" max="11493" width="14.6640625" style="670" customWidth="1"/>
    <col min="11494" max="11494" width="18.6640625" style="670" customWidth="1"/>
    <col min="11495" max="11495" width="14.44140625" style="670" customWidth="1"/>
    <col min="11496" max="11496" width="18.21875" style="670" customWidth="1"/>
    <col min="11497" max="11497" width="15.6640625" style="670" customWidth="1"/>
    <col min="11498" max="11498" width="17.44140625" style="670" customWidth="1"/>
    <col min="11499" max="11499" width="15.6640625" style="670" customWidth="1"/>
    <col min="11500" max="11500" width="17.44140625" style="670" customWidth="1"/>
    <col min="11501" max="11501" width="17" style="670" customWidth="1"/>
    <col min="11502" max="11504" width="17.44140625" style="670" customWidth="1"/>
    <col min="11505" max="11505" width="14.77734375" style="670" customWidth="1"/>
    <col min="11506" max="11531" width="17.44140625" style="670" customWidth="1"/>
    <col min="11532" max="11532" width="17.109375" style="670" customWidth="1"/>
    <col min="11533" max="11533" width="16.44140625" style="670" customWidth="1"/>
    <col min="11534" max="11534" width="18.6640625" style="670" customWidth="1"/>
    <col min="11535" max="11535" width="20.21875" style="670" bestFit="1" customWidth="1"/>
    <col min="11536" max="11536" width="25.6640625" style="670" customWidth="1"/>
    <col min="11537" max="11537" width="19.44140625" style="670" bestFit="1" customWidth="1"/>
    <col min="11538" max="11538" width="21.109375" style="670" bestFit="1" customWidth="1"/>
    <col min="11539" max="11539" width="15.88671875" style="670" bestFit="1" customWidth="1"/>
    <col min="11540" max="11540" width="8.88671875" style="670"/>
    <col min="11541" max="11541" width="13.44140625" style="670" bestFit="1" customWidth="1"/>
    <col min="11542" max="11542" width="8.88671875" style="670"/>
    <col min="11543" max="11543" width="11.77734375" style="670" bestFit="1" customWidth="1"/>
    <col min="11544" max="11545" width="8.88671875" style="670"/>
    <col min="11546" max="11546" width="11.6640625" style="670" bestFit="1" customWidth="1"/>
    <col min="11547" max="11744" width="8.88671875" style="670"/>
    <col min="11745" max="11745" width="10" style="670" customWidth="1"/>
    <col min="11746" max="11746" width="64.44140625" style="670" customWidth="1"/>
    <col min="11747" max="11747" width="18.77734375" style="670" customWidth="1"/>
    <col min="11748" max="11748" width="11" style="670" customWidth="1"/>
    <col min="11749" max="11749" width="14.6640625" style="670" customWidth="1"/>
    <col min="11750" max="11750" width="18.6640625" style="670" customWidth="1"/>
    <col min="11751" max="11751" width="14.44140625" style="670" customWidth="1"/>
    <col min="11752" max="11752" width="18.21875" style="670" customWidth="1"/>
    <col min="11753" max="11753" width="15.6640625" style="670" customWidth="1"/>
    <col min="11754" max="11754" width="17.44140625" style="670" customWidth="1"/>
    <col min="11755" max="11755" width="15.6640625" style="670" customWidth="1"/>
    <col min="11756" max="11756" width="17.44140625" style="670" customWidth="1"/>
    <col min="11757" max="11757" width="17" style="670" customWidth="1"/>
    <col min="11758" max="11760" width="17.44140625" style="670" customWidth="1"/>
    <col min="11761" max="11761" width="14.77734375" style="670" customWidth="1"/>
    <col min="11762" max="11787" width="17.44140625" style="670" customWidth="1"/>
    <col min="11788" max="11788" width="17.109375" style="670" customWidth="1"/>
    <col min="11789" max="11789" width="16.44140625" style="670" customWidth="1"/>
    <col min="11790" max="11790" width="18.6640625" style="670" customWidth="1"/>
    <col min="11791" max="11791" width="20.21875" style="670" bestFit="1" customWidth="1"/>
    <col min="11792" max="11792" width="25.6640625" style="670" customWidth="1"/>
    <col min="11793" max="11793" width="19.44140625" style="670" bestFit="1" customWidth="1"/>
    <col min="11794" max="11794" width="21.109375" style="670" bestFit="1" customWidth="1"/>
    <col min="11795" max="11795" width="15.88671875" style="670" bestFit="1" customWidth="1"/>
    <col min="11796" max="11796" width="8.88671875" style="670"/>
    <col min="11797" max="11797" width="13.44140625" style="670" bestFit="1" customWidth="1"/>
    <col min="11798" max="11798" width="8.88671875" style="670"/>
    <col min="11799" max="11799" width="11.77734375" style="670" bestFit="1" customWidth="1"/>
    <col min="11800" max="11801" width="8.88671875" style="670"/>
    <col min="11802" max="11802" width="11.6640625" style="670" bestFit="1" customWidth="1"/>
    <col min="11803" max="12000" width="8.88671875" style="670"/>
    <col min="12001" max="12001" width="10" style="670" customWidth="1"/>
    <col min="12002" max="12002" width="64.44140625" style="670" customWidth="1"/>
    <col min="12003" max="12003" width="18.77734375" style="670" customWidth="1"/>
    <col min="12004" max="12004" width="11" style="670" customWidth="1"/>
    <col min="12005" max="12005" width="14.6640625" style="670" customWidth="1"/>
    <col min="12006" max="12006" width="18.6640625" style="670" customWidth="1"/>
    <col min="12007" max="12007" width="14.44140625" style="670" customWidth="1"/>
    <col min="12008" max="12008" width="18.21875" style="670" customWidth="1"/>
    <col min="12009" max="12009" width="15.6640625" style="670" customWidth="1"/>
    <col min="12010" max="12010" width="17.44140625" style="670" customWidth="1"/>
    <col min="12011" max="12011" width="15.6640625" style="670" customWidth="1"/>
    <col min="12012" max="12012" width="17.44140625" style="670" customWidth="1"/>
    <col min="12013" max="12013" width="17" style="670" customWidth="1"/>
    <col min="12014" max="12016" width="17.44140625" style="670" customWidth="1"/>
    <col min="12017" max="12017" width="14.77734375" style="670" customWidth="1"/>
    <col min="12018" max="12043" width="17.44140625" style="670" customWidth="1"/>
    <col min="12044" max="12044" width="17.109375" style="670" customWidth="1"/>
    <col min="12045" max="12045" width="16.44140625" style="670" customWidth="1"/>
    <col min="12046" max="12046" width="18.6640625" style="670" customWidth="1"/>
    <col min="12047" max="12047" width="20.21875" style="670" bestFit="1" customWidth="1"/>
    <col min="12048" max="12048" width="25.6640625" style="670" customWidth="1"/>
    <col min="12049" max="12049" width="19.44140625" style="670" bestFit="1" customWidth="1"/>
    <col min="12050" max="12050" width="21.109375" style="670" bestFit="1" customWidth="1"/>
    <col min="12051" max="12051" width="15.88671875" style="670" bestFit="1" customWidth="1"/>
    <col min="12052" max="12052" width="8.88671875" style="670"/>
    <col min="12053" max="12053" width="13.44140625" style="670" bestFit="1" customWidth="1"/>
    <col min="12054" max="12054" width="8.88671875" style="670"/>
    <col min="12055" max="12055" width="11.77734375" style="670" bestFit="1" customWidth="1"/>
    <col min="12056" max="12057" width="8.88671875" style="670"/>
    <col min="12058" max="12058" width="11.6640625" style="670" bestFit="1" customWidth="1"/>
    <col min="12059" max="12256" width="8.88671875" style="670"/>
    <col min="12257" max="12257" width="10" style="670" customWidth="1"/>
    <col min="12258" max="12258" width="64.44140625" style="670" customWidth="1"/>
    <col min="12259" max="12259" width="18.77734375" style="670" customWidth="1"/>
    <col min="12260" max="12260" width="11" style="670" customWidth="1"/>
    <col min="12261" max="12261" width="14.6640625" style="670" customWidth="1"/>
    <col min="12262" max="12262" width="18.6640625" style="670" customWidth="1"/>
    <col min="12263" max="12263" width="14.44140625" style="670" customWidth="1"/>
    <col min="12264" max="12264" width="18.21875" style="670" customWidth="1"/>
    <col min="12265" max="12265" width="15.6640625" style="670" customWidth="1"/>
    <col min="12266" max="12266" width="17.44140625" style="670" customWidth="1"/>
    <col min="12267" max="12267" width="15.6640625" style="670" customWidth="1"/>
    <col min="12268" max="12268" width="17.44140625" style="670" customWidth="1"/>
    <col min="12269" max="12269" width="17" style="670" customWidth="1"/>
    <col min="12270" max="12272" width="17.44140625" style="670" customWidth="1"/>
    <col min="12273" max="12273" width="14.77734375" style="670" customWidth="1"/>
    <col min="12274" max="12299" width="17.44140625" style="670" customWidth="1"/>
    <col min="12300" max="12300" width="17.109375" style="670" customWidth="1"/>
    <col min="12301" max="12301" width="16.44140625" style="670" customWidth="1"/>
    <col min="12302" max="12302" width="18.6640625" style="670" customWidth="1"/>
    <col min="12303" max="12303" width="20.21875" style="670" bestFit="1" customWidth="1"/>
    <col min="12304" max="12304" width="25.6640625" style="670" customWidth="1"/>
    <col min="12305" max="12305" width="19.44140625" style="670" bestFit="1" customWidth="1"/>
    <col min="12306" max="12306" width="21.109375" style="670" bestFit="1" customWidth="1"/>
    <col min="12307" max="12307" width="15.88671875" style="670" bestFit="1" customWidth="1"/>
    <col min="12308" max="12308" width="8.88671875" style="670"/>
    <col min="12309" max="12309" width="13.44140625" style="670" bestFit="1" customWidth="1"/>
    <col min="12310" max="12310" width="8.88671875" style="670"/>
    <col min="12311" max="12311" width="11.77734375" style="670" bestFit="1" customWidth="1"/>
    <col min="12312" max="12313" width="8.88671875" style="670"/>
    <col min="12314" max="12314" width="11.6640625" style="670" bestFit="1" customWidth="1"/>
    <col min="12315" max="12512" width="8.88671875" style="670"/>
    <col min="12513" max="12513" width="10" style="670" customWidth="1"/>
    <col min="12514" max="12514" width="64.44140625" style="670" customWidth="1"/>
    <col min="12515" max="12515" width="18.77734375" style="670" customWidth="1"/>
    <col min="12516" max="12516" width="11" style="670" customWidth="1"/>
    <col min="12517" max="12517" width="14.6640625" style="670" customWidth="1"/>
    <col min="12518" max="12518" width="18.6640625" style="670" customWidth="1"/>
    <col min="12519" max="12519" width="14.44140625" style="670" customWidth="1"/>
    <col min="12520" max="12520" width="18.21875" style="670" customWidth="1"/>
    <col min="12521" max="12521" width="15.6640625" style="670" customWidth="1"/>
    <col min="12522" max="12522" width="17.44140625" style="670" customWidth="1"/>
    <col min="12523" max="12523" width="15.6640625" style="670" customWidth="1"/>
    <col min="12524" max="12524" width="17.44140625" style="670" customWidth="1"/>
    <col min="12525" max="12525" width="17" style="670" customWidth="1"/>
    <col min="12526" max="12528" width="17.44140625" style="670" customWidth="1"/>
    <col min="12529" max="12529" width="14.77734375" style="670" customWidth="1"/>
    <col min="12530" max="12555" width="17.44140625" style="670" customWidth="1"/>
    <col min="12556" max="12556" width="17.109375" style="670" customWidth="1"/>
    <col min="12557" max="12557" width="16.44140625" style="670" customWidth="1"/>
    <col min="12558" max="12558" width="18.6640625" style="670" customWidth="1"/>
    <col min="12559" max="12559" width="20.21875" style="670" bestFit="1" customWidth="1"/>
    <col min="12560" max="12560" width="25.6640625" style="670" customWidth="1"/>
    <col min="12561" max="12561" width="19.44140625" style="670" bestFit="1" customWidth="1"/>
    <col min="12562" max="12562" width="21.109375" style="670" bestFit="1" customWidth="1"/>
    <col min="12563" max="12563" width="15.88671875" style="670" bestFit="1" customWidth="1"/>
    <col min="12564" max="12564" width="8.88671875" style="670"/>
    <col min="12565" max="12565" width="13.44140625" style="670" bestFit="1" customWidth="1"/>
    <col min="12566" max="12566" width="8.88671875" style="670"/>
    <col min="12567" max="12567" width="11.77734375" style="670" bestFit="1" customWidth="1"/>
    <col min="12568" max="12569" width="8.88671875" style="670"/>
    <col min="12570" max="12570" width="11.6640625" style="670" bestFit="1" customWidth="1"/>
    <col min="12571" max="12768" width="8.88671875" style="670"/>
    <col min="12769" max="12769" width="10" style="670" customWidth="1"/>
    <col min="12770" max="12770" width="64.44140625" style="670" customWidth="1"/>
    <col min="12771" max="12771" width="18.77734375" style="670" customWidth="1"/>
    <col min="12772" max="12772" width="11" style="670" customWidth="1"/>
    <col min="12773" max="12773" width="14.6640625" style="670" customWidth="1"/>
    <col min="12774" max="12774" width="18.6640625" style="670" customWidth="1"/>
    <col min="12775" max="12775" width="14.44140625" style="670" customWidth="1"/>
    <col min="12776" max="12776" width="18.21875" style="670" customWidth="1"/>
    <col min="12777" max="12777" width="15.6640625" style="670" customWidth="1"/>
    <col min="12778" max="12778" width="17.44140625" style="670" customWidth="1"/>
    <col min="12779" max="12779" width="15.6640625" style="670" customWidth="1"/>
    <col min="12780" max="12780" width="17.44140625" style="670" customWidth="1"/>
    <col min="12781" max="12781" width="17" style="670" customWidth="1"/>
    <col min="12782" max="12784" width="17.44140625" style="670" customWidth="1"/>
    <col min="12785" max="12785" width="14.77734375" style="670" customWidth="1"/>
    <col min="12786" max="12811" width="17.44140625" style="670" customWidth="1"/>
    <col min="12812" max="12812" width="17.109375" style="670" customWidth="1"/>
    <col min="12813" max="12813" width="16.44140625" style="670" customWidth="1"/>
    <col min="12814" max="12814" width="18.6640625" style="670" customWidth="1"/>
    <col min="12815" max="12815" width="20.21875" style="670" bestFit="1" customWidth="1"/>
    <col min="12816" max="12816" width="25.6640625" style="670" customWidth="1"/>
    <col min="12817" max="12817" width="19.44140625" style="670" bestFit="1" customWidth="1"/>
    <col min="12818" max="12818" width="21.109375" style="670" bestFit="1" customWidth="1"/>
    <col min="12819" max="12819" width="15.88671875" style="670" bestFit="1" customWidth="1"/>
    <col min="12820" max="12820" width="8.88671875" style="670"/>
    <col min="12821" max="12821" width="13.44140625" style="670" bestFit="1" customWidth="1"/>
    <col min="12822" max="12822" width="8.88671875" style="670"/>
    <col min="12823" max="12823" width="11.77734375" style="670" bestFit="1" customWidth="1"/>
    <col min="12824" max="12825" width="8.88671875" style="670"/>
    <col min="12826" max="12826" width="11.6640625" style="670" bestFit="1" customWidth="1"/>
    <col min="12827" max="13024" width="8.88671875" style="670"/>
    <col min="13025" max="13025" width="10" style="670" customWidth="1"/>
    <col min="13026" max="13026" width="64.44140625" style="670" customWidth="1"/>
    <col min="13027" max="13027" width="18.77734375" style="670" customWidth="1"/>
    <col min="13028" max="13028" width="11" style="670" customWidth="1"/>
    <col min="13029" max="13029" width="14.6640625" style="670" customWidth="1"/>
    <col min="13030" max="13030" width="18.6640625" style="670" customWidth="1"/>
    <col min="13031" max="13031" width="14.44140625" style="670" customWidth="1"/>
    <col min="13032" max="13032" width="18.21875" style="670" customWidth="1"/>
    <col min="13033" max="13033" width="15.6640625" style="670" customWidth="1"/>
    <col min="13034" max="13034" width="17.44140625" style="670" customWidth="1"/>
    <col min="13035" max="13035" width="15.6640625" style="670" customWidth="1"/>
    <col min="13036" max="13036" width="17.44140625" style="670" customWidth="1"/>
    <col min="13037" max="13037" width="17" style="670" customWidth="1"/>
    <col min="13038" max="13040" width="17.44140625" style="670" customWidth="1"/>
    <col min="13041" max="13041" width="14.77734375" style="670" customWidth="1"/>
    <col min="13042" max="13067" width="17.44140625" style="670" customWidth="1"/>
    <col min="13068" max="13068" width="17.109375" style="670" customWidth="1"/>
    <col min="13069" max="13069" width="16.44140625" style="670" customWidth="1"/>
    <col min="13070" max="13070" width="18.6640625" style="670" customWidth="1"/>
    <col min="13071" max="13071" width="20.21875" style="670" bestFit="1" customWidth="1"/>
    <col min="13072" max="13072" width="25.6640625" style="670" customWidth="1"/>
    <col min="13073" max="13073" width="19.44140625" style="670" bestFit="1" customWidth="1"/>
    <col min="13074" max="13074" width="21.109375" style="670" bestFit="1" customWidth="1"/>
    <col min="13075" max="13075" width="15.88671875" style="670" bestFit="1" customWidth="1"/>
    <col min="13076" max="13076" width="8.88671875" style="670"/>
    <col min="13077" max="13077" width="13.44140625" style="670" bestFit="1" customWidth="1"/>
    <col min="13078" max="13078" width="8.88671875" style="670"/>
    <col min="13079" max="13079" width="11.77734375" style="670" bestFit="1" customWidth="1"/>
    <col min="13080" max="13081" width="8.88671875" style="670"/>
    <col min="13082" max="13082" width="11.6640625" style="670" bestFit="1" customWidth="1"/>
    <col min="13083" max="13280" width="8.88671875" style="670"/>
    <col min="13281" max="13281" width="10" style="670" customWidth="1"/>
    <col min="13282" max="13282" width="64.44140625" style="670" customWidth="1"/>
    <col min="13283" max="13283" width="18.77734375" style="670" customWidth="1"/>
    <col min="13284" max="13284" width="11" style="670" customWidth="1"/>
    <col min="13285" max="13285" width="14.6640625" style="670" customWidth="1"/>
    <col min="13286" max="13286" width="18.6640625" style="670" customWidth="1"/>
    <col min="13287" max="13287" width="14.44140625" style="670" customWidth="1"/>
    <col min="13288" max="13288" width="18.21875" style="670" customWidth="1"/>
    <col min="13289" max="13289" width="15.6640625" style="670" customWidth="1"/>
    <col min="13290" max="13290" width="17.44140625" style="670" customWidth="1"/>
    <col min="13291" max="13291" width="15.6640625" style="670" customWidth="1"/>
    <col min="13292" max="13292" width="17.44140625" style="670" customWidth="1"/>
    <col min="13293" max="13293" width="17" style="670" customWidth="1"/>
    <col min="13294" max="13296" width="17.44140625" style="670" customWidth="1"/>
    <col min="13297" max="13297" width="14.77734375" style="670" customWidth="1"/>
    <col min="13298" max="13323" width="17.44140625" style="670" customWidth="1"/>
    <col min="13324" max="13324" width="17.109375" style="670" customWidth="1"/>
    <col min="13325" max="13325" width="16.44140625" style="670" customWidth="1"/>
    <col min="13326" max="13326" width="18.6640625" style="670" customWidth="1"/>
    <col min="13327" max="13327" width="20.21875" style="670" bestFit="1" customWidth="1"/>
    <col min="13328" max="13328" width="25.6640625" style="670" customWidth="1"/>
    <col min="13329" max="13329" width="19.44140625" style="670" bestFit="1" customWidth="1"/>
    <col min="13330" max="13330" width="21.109375" style="670" bestFit="1" customWidth="1"/>
    <col min="13331" max="13331" width="15.88671875" style="670" bestFit="1" customWidth="1"/>
    <col min="13332" max="13332" width="8.88671875" style="670"/>
    <col min="13333" max="13333" width="13.44140625" style="670" bestFit="1" customWidth="1"/>
    <col min="13334" max="13334" width="8.88671875" style="670"/>
    <col min="13335" max="13335" width="11.77734375" style="670" bestFit="1" customWidth="1"/>
    <col min="13336" max="13337" width="8.88671875" style="670"/>
    <col min="13338" max="13338" width="11.6640625" style="670" bestFit="1" customWidth="1"/>
    <col min="13339" max="13536" width="8.88671875" style="670"/>
    <col min="13537" max="13537" width="10" style="670" customWidth="1"/>
    <col min="13538" max="13538" width="64.44140625" style="670" customWidth="1"/>
    <col min="13539" max="13539" width="18.77734375" style="670" customWidth="1"/>
    <col min="13540" max="13540" width="11" style="670" customWidth="1"/>
    <col min="13541" max="13541" width="14.6640625" style="670" customWidth="1"/>
    <col min="13542" max="13542" width="18.6640625" style="670" customWidth="1"/>
    <col min="13543" max="13543" width="14.44140625" style="670" customWidth="1"/>
    <col min="13544" max="13544" width="18.21875" style="670" customWidth="1"/>
    <col min="13545" max="13545" width="15.6640625" style="670" customWidth="1"/>
    <col min="13546" max="13546" width="17.44140625" style="670" customWidth="1"/>
    <col min="13547" max="13547" width="15.6640625" style="670" customWidth="1"/>
    <col min="13548" max="13548" width="17.44140625" style="670" customWidth="1"/>
    <col min="13549" max="13549" width="17" style="670" customWidth="1"/>
    <col min="13550" max="13552" width="17.44140625" style="670" customWidth="1"/>
    <col min="13553" max="13553" width="14.77734375" style="670" customWidth="1"/>
    <col min="13554" max="13579" width="17.44140625" style="670" customWidth="1"/>
    <col min="13580" max="13580" width="17.109375" style="670" customWidth="1"/>
    <col min="13581" max="13581" width="16.44140625" style="670" customWidth="1"/>
    <col min="13582" max="13582" width="18.6640625" style="670" customWidth="1"/>
    <col min="13583" max="13583" width="20.21875" style="670" bestFit="1" customWidth="1"/>
    <col min="13584" max="13584" width="25.6640625" style="670" customWidth="1"/>
    <col min="13585" max="13585" width="19.44140625" style="670" bestFit="1" customWidth="1"/>
    <col min="13586" max="13586" width="21.109375" style="670" bestFit="1" customWidth="1"/>
    <col min="13587" max="13587" width="15.88671875" style="670" bestFit="1" customWidth="1"/>
    <col min="13588" max="13588" width="8.88671875" style="670"/>
    <col min="13589" max="13589" width="13.44140625" style="670" bestFit="1" customWidth="1"/>
    <col min="13590" max="13590" width="8.88671875" style="670"/>
    <col min="13591" max="13591" width="11.77734375" style="670" bestFit="1" customWidth="1"/>
    <col min="13592" max="13593" width="8.88671875" style="670"/>
    <col min="13594" max="13594" width="11.6640625" style="670" bestFit="1" customWidth="1"/>
    <col min="13595" max="13792" width="8.88671875" style="670"/>
    <col min="13793" max="13793" width="10" style="670" customWidth="1"/>
    <col min="13794" max="13794" width="64.44140625" style="670" customWidth="1"/>
    <col min="13795" max="13795" width="18.77734375" style="670" customWidth="1"/>
    <col min="13796" max="13796" width="11" style="670" customWidth="1"/>
    <col min="13797" max="13797" width="14.6640625" style="670" customWidth="1"/>
    <col min="13798" max="13798" width="18.6640625" style="670" customWidth="1"/>
    <col min="13799" max="13799" width="14.44140625" style="670" customWidth="1"/>
    <col min="13800" max="13800" width="18.21875" style="670" customWidth="1"/>
    <col min="13801" max="13801" width="15.6640625" style="670" customWidth="1"/>
    <col min="13802" max="13802" width="17.44140625" style="670" customWidth="1"/>
    <col min="13803" max="13803" width="15.6640625" style="670" customWidth="1"/>
    <col min="13804" max="13804" width="17.44140625" style="670" customWidth="1"/>
    <col min="13805" max="13805" width="17" style="670" customWidth="1"/>
    <col min="13806" max="13808" width="17.44140625" style="670" customWidth="1"/>
    <col min="13809" max="13809" width="14.77734375" style="670" customWidth="1"/>
    <col min="13810" max="13835" width="17.44140625" style="670" customWidth="1"/>
    <col min="13836" max="13836" width="17.109375" style="670" customWidth="1"/>
    <col min="13837" max="13837" width="16.44140625" style="670" customWidth="1"/>
    <col min="13838" max="13838" width="18.6640625" style="670" customWidth="1"/>
    <col min="13839" max="13839" width="20.21875" style="670" bestFit="1" customWidth="1"/>
    <col min="13840" max="13840" width="25.6640625" style="670" customWidth="1"/>
    <col min="13841" max="13841" width="19.44140625" style="670" bestFit="1" customWidth="1"/>
    <col min="13842" max="13842" width="21.109375" style="670" bestFit="1" customWidth="1"/>
    <col min="13843" max="13843" width="15.88671875" style="670" bestFit="1" customWidth="1"/>
    <col min="13844" max="13844" width="8.88671875" style="670"/>
    <col min="13845" max="13845" width="13.44140625" style="670" bestFit="1" customWidth="1"/>
    <col min="13846" max="13846" width="8.88671875" style="670"/>
    <col min="13847" max="13847" width="11.77734375" style="670" bestFit="1" customWidth="1"/>
    <col min="13848" max="13849" width="8.88671875" style="670"/>
    <col min="13850" max="13850" width="11.6640625" style="670" bestFit="1" customWidth="1"/>
    <col min="13851" max="14048" width="8.88671875" style="670"/>
    <col min="14049" max="14049" width="10" style="670" customWidth="1"/>
    <col min="14050" max="14050" width="64.44140625" style="670" customWidth="1"/>
    <col min="14051" max="14051" width="18.77734375" style="670" customWidth="1"/>
    <col min="14052" max="14052" width="11" style="670" customWidth="1"/>
    <col min="14053" max="14053" width="14.6640625" style="670" customWidth="1"/>
    <col min="14054" max="14054" width="18.6640625" style="670" customWidth="1"/>
    <col min="14055" max="14055" width="14.44140625" style="670" customWidth="1"/>
    <col min="14056" max="14056" width="18.21875" style="670" customWidth="1"/>
    <col min="14057" max="14057" width="15.6640625" style="670" customWidth="1"/>
    <col min="14058" max="14058" width="17.44140625" style="670" customWidth="1"/>
    <col min="14059" max="14059" width="15.6640625" style="670" customWidth="1"/>
    <col min="14060" max="14060" width="17.44140625" style="670" customWidth="1"/>
    <col min="14061" max="14061" width="17" style="670" customWidth="1"/>
    <col min="14062" max="14064" width="17.44140625" style="670" customWidth="1"/>
    <col min="14065" max="14065" width="14.77734375" style="670" customWidth="1"/>
    <col min="14066" max="14091" width="17.44140625" style="670" customWidth="1"/>
    <col min="14092" max="14092" width="17.109375" style="670" customWidth="1"/>
    <col min="14093" max="14093" width="16.44140625" style="670" customWidth="1"/>
    <col min="14094" max="14094" width="18.6640625" style="670" customWidth="1"/>
    <col min="14095" max="14095" width="20.21875" style="670" bestFit="1" customWidth="1"/>
    <col min="14096" max="14096" width="25.6640625" style="670" customWidth="1"/>
    <col min="14097" max="14097" width="19.44140625" style="670" bestFit="1" customWidth="1"/>
    <col min="14098" max="14098" width="21.109375" style="670" bestFit="1" customWidth="1"/>
    <col min="14099" max="14099" width="15.88671875" style="670" bestFit="1" customWidth="1"/>
    <col min="14100" max="14100" width="8.88671875" style="670"/>
    <col min="14101" max="14101" width="13.44140625" style="670" bestFit="1" customWidth="1"/>
    <col min="14102" max="14102" width="8.88671875" style="670"/>
    <col min="14103" max="14103" width="11.77734375" style="670" bestFit="1" customWidth="1"/>
    <col min="14104" max="14105" width="8.88671875" style="670"/>
    <col min="14106" max="14106" width="11.6640625" style="670" bestFit="1" customWidth="1"/>
    <col min="14107" max="14304" width="8.88671875" style="670"/>
    <col min="14305" max="14305" width="10" style="670" customWidth="1"/>
    <col min="14306" max="14306" width="64.44140625" style="670" customWidth="1"/>
    <col min="14307" max="14307" width="18.77734375" style="670" customWidth="1"/>
    <col min="14308" max="14308" width="11" style="670" customWidth="1"/>
    <col min="14309" max="14309" width="14.6640625" style="670" customWidth="1"/>
    <col min="14310" max="14310" width="18.6640625" style="670" customWidth="1"/>
    <col min="14311" max="14311" width="14.44140625" style="670" customWidth="1"/>
    <col min="14312" max="14312" width="18.21875" style="670" customWidth="1"/>
    <col min="14313" max="14313" width="15.6640625" style="670" customWidth="1"/>
    <col min="14314" max="14314" width="17.44140625" style="670" customWidth="1"/>
    <col min="14315" max="14315" width="15.6640625" style="670" customWidth="1"/>
    <col min="14316" max="14316" width="17.44140625" style="670" customWidth="1"/>
    <col min="14317" max="14317" width="17" style="670" customWidth="1"/>
    <col min="14318" max="14320" width="17.44140625" style="670" customWidth="1"/>
    <col min="14321" max="14321" width="14.77734375" style="670" customWidth="1"/>
    <col min="14322" max="14347" width="17.44140625" style="670" customWidth="1"/>
    <col min="14348" max="14348" width="17.109375" style="670" customWidth="1"/>
    <col min="14349" max="14349" width="16.44140625" style="670" customWidth="1"/>
    <col min="14350" max="14350" width="18.6640625" style="670" customWidth="1"/>
    <col min="14351" max="14351" width="20.21875" style="670" bestFit="1" customWidth="1"/>
    <col min="14352" max="14352" width="25.6640625" style="670" customWidth="1"/>
    <col min="14353" max="14353" width="19.44140625" style="670" bestFit="1" customWidth="1"/>
    <col min="14354" max="14354" width="21.109375" style="670" bestFit="1" customWidth="1"/>
    <col min="14355" max="14355" width="15.88671875" style="670" bestFit="1" customWidth="1"/>
    <col min="14356" max="14356" width="8.88671875" style="670"/>
    <col min="14357" max="14357" width="13.44140625" style="670" bestFit="1" customWidth="1"/>
    <col min="14358" max="14358" width="8.88671875" style="670"/>
    <col min="14359" max="14359" width="11.77734375" style="670" bestFit="1" customWidth="1"/>
    <col min="14360" max="14361" width="8.88671875" style="670"/>
    <col min="14362" max="14362" width="11.6640625" style="670" bestFit="1" customWidth="1"/>
    <col min="14363" max="14560" width="8.88671875" style="670"/>
    <col min="14561" max="14561" width="10" style="670" customWidth="1"/>
    <col min="14562" max="14562" width="64.44140625" style="670" customWidth="1"/>
    <col min="14563" max="14563" width="18.77734375" style="670" customWidth="1"/>
    <col min="14564" max="14564" width="11" style="670" customWidth="1"/>
    <col min="14565" max="14565" width="14.6640625" style="670" customWidth="1"/>
    <col min="14566" max="14566" width="18.6640625" style="670" customWidth="1"/>
    <col min="14567" max="14567" width="14.44140625" style="670" customWidth="1"/>
    <col min="14568" max="14568" width="18.21875" style="670" customWidth="1"/>
    <col min="14569" max="14569" width="15.6640625" style="670" customWidth="1"/>
    <col min="14570" max="14570" width="17.44140625" style="670" customWidth="1"/>
    <col min="14571" max="14571" width="15.6640625" style="670" customWidth="1"/>
    <col min="14572" max="14572" width="17.44140625" style="670" customWidth="1"/>
    <col min="14573" max="14573" width="17" style="670" customWidth="1"/>
    <col min="14574" max="14576" width="17.44140625" style="670" customWidth="1"/>
    <col min="14577" max="14577" width="14.77734375" style="670" customWidth="1"/>
    <col min="14578" max="14603" width="17.44140625" style="670" customWidth="1"/>
    <col min="14604" max="14604" width="17.109375" style="670" customWidth="1"/>
    <col min="14605" max="14605" width="16.44140625" style="670" customWidth="1"/>
    <col min="14606" max="14606" width="18.6640625" style="670" customWidth="1"/>
    <col min="14607" max="14607" width="20.21875" style="670" bestFit="1" customWidth="1"/>
    <col min="14608" max="14608" width="25.6640625" style="670" customWidth="1"/>
    <col min="14609" max="14609" width="19.44140625" style="670" bestFit="1" customWidth="1"/>
    <col min="14610" max="14610" width="21.109375" style="670" bestFit="1" customWidth="1"/>
    <col min="14611" max="14611" width="15.88671875" style="670" bestFit="1" customWidth="1"/>
    <col min="14612" max="14612" width="8.88671875" style="670"/>
    <col min="14613" max="14613" width="13.44140625" style="670" bestFit="1" customWidth="1"/>
    <col min="14614" max="14614" width="8.88671875" style="670"/>
    <col min="14615" max="14615" width="11.77734375" style="670" bestFit="1" customWidth="1"/>
    <col min="14616" max="14617" width="8.88671875" style="670"/>
    <col min="14618" max="14618" width="11.6640625" style="670" bestFit="1" customWidth="1"/>
    <col min="14619" max="14816" width="8.88671875" style="670"/>
    <col min="14817" max="14817" width="10" style="670" customWidth="1"/>
    <col min="14818" max="14818" width="64.44140625" style="670" customWidth="1"/>
    <col min="14819" max="14819" width="18.77734375" style="670" customWidth="1"/>
    <col min="14820" max="14820" width="11" style="670" customWidth="1"/>
    <col min="14821" max="14821" width="14.6640625" style="670" customWidth="1"/>
    <col min="14822" max="14822" width="18.6640625" style="670" customWidth="1"/>
    <col min="14823" max="14823" width="14.44140625" style="670" customWidth="1"/>
    <col min="14824" max="14824" width="18.21875" style="670" customWidth="1"/>
    <col min="14825" max="14825" width="15.6640625" style="670" customWidth="1"/>
    <col min="14826" max="14826" width="17.44140625" style="670" customWidth="1"/>
    <col min="14827" max="14827" width="15.6640625" style="670" customWidth="1"/>
    <col min="14828" max="14828" width="17.44140625" style="670" customWidth="1"/>
    <col min="14829" max="14829" width="17" style="670" customWidth="1"/>
    <col min="14830" max="14832" width="17.44140625" style="670" customWidth="1"/>
    <col min="14833" max="14833" width="14.77734375" style="670" customWidth="1"/>
    <col min="14834" max="14859" width="17.44140625" style="670" customWidth="1"/>
    <col min="14860" max="14860" width="17.109375" style="670" customWidth="1"/>
    <col min="14861" max="14861" width="16.44140625" style="670" customWidth="1"/>
    <col min="14862" max="14862" width="18.6640625" style="670" customWidth="1"/>
    <col min="14863" max="14863" width="20.21875" style="670" bestFit="1" customWidth="1"/>
    <col min="14864" max="14864" width="25.6640625" style="670" customWidth="1"/>
    <col min="14865" max="14865" width="19.44140625" style="670" bestFit="1" customWidth="1"/>
    <col min="14866" max="14866" width="21.109375" style="670" bestFit="1" customWidth="1"/>
    <col min="14867" max="14867" width="15.88671875" style="670" bestFit="1" customWidth="1"/>
    <col min="14868" max="14868" width="8.88671875" style="670"/>
    <col min="14869" max="14869" width="13.44140625" style="670" bestFit="1" customWidth="1"/>
    <col min="14870" max="14870" width="8.88671875" style="670"/>
    <col min="14871" max="14871" width="11.77734375" style="670" bestFit="1" customWidth="1"/>
    <col min="14872" max="14873" width="8.88671875" style="670"/>
    <col min="14874" max="14874" width="11.6640625" style="670" bestFit="1" customWidth="1"/>
    <col min="14875" max="15072" width="8.88671875" style="670"/>
    <col min="15073" max="15073" width="10" style="670" customWidth="1"/>
    <col min="15074" max="15074" width="64.44140625" style="670" customWidth="1"/>
    <col min="15075" max="15075" width="18.77734375" style="670" customWidth="1"/>
    <col min="15076" max="15076" width="11" style="670" customWidth="1"/>
    <col min="15077" max="15077" width="14.6640625" style="670" customWidth="1"/>
    <col min="15078" max="15078" width="18.6640625" style="670" customWidth="1"/>
    <col min="15079" max="15079" width="14.44140625" style="670" customWidth="1"/>
    <col min="15080" max="15080" width="18.21875" style="670" customWidth="1"/>
    <col min="15081" max="15081" width="15.6640625" style="670" customWidth="1"/>
    <col min="15082" max="15082" width="17.44140625" style="670" customWidth="1"/>
    <col min="15083" max="15083" width="15.6640625" style="670" customWidth="1"/>
    <col min="15084" max="15084" width="17.44140625" style="670" customWidth="1"/>
    <col min="15085" max="15085" width="17" style="670" customWidth="1"/>
    <col min="15086" max="15088" width="17.44140625" style="670" customWidth="1"/>
    <col min="15089" max="15089" width="14.77734375" style="670" customWidth="1"/>
    <col min="15090" max="15115" width="17.44140625" style="670" customWidth="1"/>
    <col min="15116" max="15116" width="17.109375" style="670" customWidth="1"/>
    <col min="15117" max="15117" width="16.44140625" style="670" customWidth="1"/>
    <col min="15118" max="15118" width="18.6640625" style="670" customWidth="1"/>
    <col min="15119" max="15119" width="20.21875" style="670" bestFit="1" customWidth="1"/>
    <col min="15120" max="15120" width="25.6640625" style="670" customWidth="1"/>
    <col min="15121" max="15121" width="19.44140625" style="670" bestFit="1" customWidth="1"/>
    <col min="15122" max="15122" width="21.109375" style="670" bestFit="1" customWidth="1"/>
    <col min="15123" max="15123" width="15.88671875" style="670" bestFit="1" customWidth="1"/>
    <col min="15124" max="15124" width="8.88671875" style="670"/>
    <col min="15125" max="15125" width="13.44140625" style="670" bestFit="1" customWidth="1"/>
    <col min="15126" max="15126" width="8.88671875" style="670"/>
    <col min="15127" max="15127" width="11.77734375" style="670" bestFit="1" customWidth="1"/>
    <col min="15128" max="15129" width="8.88671875" style="670"/>
    <col min="15130" max="15130" width="11.6640625" style="670" bestFit="1" customWidth="1"/>
    <col min="15131" max="15328" width="8.88671875" style="670"/>
    <col min="15329" max="15329" width="10" style="670" customWidth="1"/>
    <col min="15330" max="15330" width="64.44140625" style="670" customWidth="1"/>
    <col min="15331" max="15331" width="18.77734375" style="670" customWidth="1"/>
    <col min="15332" max="15332" width="11" style="670" customWidth="1"/>
    <col min="15333" max="15333" width="14.6640625" style="670" customWidth="1"/>
    <col min="15334" max="15334" width="18.6640625" style="670" customWidth="1"/>
    <col min="15335" max="15335" width="14.44140625" style="670" customWidth="1"/>
    <col min="15336" max="15336" width="18.21875" style="670" customWidth="1"/>
    <col min="15337" max="15337" width="15.6640625" style="670" customWidth="1"/>
    <col min="15338" max="15338" width="17.44140625" style="670" customWidth="1"/>
    <col min="15339" max="15339" width="15.6640625" style="670" customWidth="1"/>
    <col min="15340" max="15340" width="17.44140625" style="670" customWidth="1"/>
    <col min="15341" max="15341" width="17" style="670" customWidth="1"/>
    <col min="15342" max="15344" width="17.44140625" style="670" customWidth="1"/>
    <col min="15345" max="15345" width="14.77734375" style="670" customWidth="1"/>
    <col min="15346" max="15371" width="17.44140625" style="670" customWidth="1"/>
    <col min="15372" max="15372" width="17.109375" style="670" customWidth="1"/>
    <col min="15373" max="15373" width="16.44140625" style="670" customWidth="1"/>
    <col min="15374" max="15374" width="18.6640625" style="670" customWidth="1"/>
    <col min="15375" max="15375" width="20.21875" style="670" bestFit="1" customWidth="1"/>
    <col min="15376" max="15376" width="25.6640625" style="670" customWidth="1"/>
    <col min="15377" max="15377" width="19.44140625" style="670" bestFit="1" customWidth="1"/>
    <col min="15378" max="15378" width="21.109375" style="670" bestFit="1" customWidth="1"/>
    <col min="15379" max="15379" width="15.88671875" style="670" bestFit="1" customWidth="1"/>
    <col min="15380" max="15380" width="8.88671875" style="670"/>
    <col min="15381" max="15381" width="13.44140625" style="670" bestFit="1" customWidth="1"/>
    <col min="15382" max="15382" width="8.88671875" style="670"/>
    <col min="15383" max="15383" width="11.77734375" style="670" bestFit="1" customWidth="1"/>
    <col min="15384" max="15385" width="8.88671875" style="670"/>
    <col min="15386" max="15386" width="11.6640625" style="670" bestFit="1" customWidth="1"/>
    <col min="15387" max="15584" width="8.88671875" style="670"/>
    <col min="15585" max="15585" width="10" style="670" customWidth="1"/>
    <col min="15586" max="15586" width="64.44140625" style="670" customWidth="1"/>
    <col min="15587" max="15587" width="18.77734375" style="670" customWidth="1"/>
    <col min="15588" max="15588" width="11" style="670" customWidth="1"/>
    <col min="15589" max="15589" width="14.6640625" style="670" customWidth="1"/>
    <col min="15590" max="15590" width="18.6640625" style="670" customWidth="1"/>
    <col min="15591" max="15591" width="14.44140625" style="670" customWidth="1"/>
    <col min="15592" max="15592" width="18.21875" style="670" customWidth="1"/>
    <col min="15593" max="15593" width="15.6640625" style="670" customWidth="1"/>
    <col min="15594" max="15594" width="17.44140625" style="670" customWidth="1"/>
    <col min="15595" max="15595" width="15.6640625" style="670" customWidth="1"/>
    <col min="15596" max="15596" width="17.44140625" style="670" customWidth="1"/>
    <col min="15597" max="15597" width="17" style="670" customWidth="1"/>
    <col min="15598" max="15600" width="17.44140625" style="670" customWidth="1"/>
    <col min="15601" max="15601" width="14.77734375" style="670" customWidth="1"/>
    <col min="15602" max="15627" width="17.44140625" style="670" customWidth="1"/>
    <col min="15628" max="15628" width="17.109375" style="670" customWidth="1"/>
    <col min="15629" max="15629" width="16.44140625" style="670" customWidth="1"/>
    <col min="15630" max="15630" width="18.6640625" style="670" customWidth="1"/>
    <col min="15631" max="15631" width="20.21875" style="670" bestFit="1" customWidth="1"/>
    <col min="15632" max="15632" width="25.6640625" style="670" customWidth="1"/>
    <col min="15633" max="15633" width="19.44140625" style="670" bestFit="1" customWidth="1"/>
    <col min="15634" max="15634" width="21.109375" style="670" bestFit="1" customWidth="1"/>
    <col min="15635" max="15635" width="15.88671875" style="670" bestFit="1" customWidth="1"/>
    <col min="15636" max="15636" width="8.88671875" style="670"/>
    <col min="15637" max="15637" width="13.44140625" style="670" bestFit="1" customWidth="1"/>
    <col min="15638" max="15638" width="8.88671875" style="670"/>
    <col min="15639" max="15639" width="11.77734375" style="670" bestFit="1" customWidth="1"/>
    <col min="15640" max="15641" width="8.88671875" style="670"/>
    <col min="15642" max="15642" width="11.6640625" style="670" bestFit="1" customWidth="1"/>
    <col min="15643" max="15840" width="8.88671875" style="670"/>
    <col min="15841" max="15841" width="10" style="670" customWidth="1"/>
    <col min="15842" max="15842" width="64.44140625" style="670" customWidth="1"/>
    <col min="15843" max="15843" width="18.77734375" style="670" customWidth="1"/>
    <col min="15844" max="15844" width="11" style="670" customWidth="1"/>
    <col min="15845" max="15845" width="14.6640625" style="670" customWidth="1"/>
    <col min="15846" max="15846" width="18.6640625" style="670" customWidth="1"/>
    <col min="15847" max="15847" width="14.44140625" style="670" customWidth="1"/>
    <col min="15848" max="15848" width="18.21875" style="670" customWidth="1"/>
    <col min="15849" max="15849" width="15.6640625" style="670" customWidth="1"/>
    <col min="15850" max="15850" width="17.44140625" style="670" customWidth="1"/>
    <col min="15851" max="15851" width="15.6640625" style="670" customWidth="1"/>
    <col min="15852" max="15852" width="17.44140625" style="670" customWidth="1"/>
    <col min="15853" max="15853" width="17" style="670" customWidth="1"/>
    <col min="15854" max="15856" width="17.44140625" style="670" customWidth="1"/>
    <col min="15857" max="15857" width="14.77734375" style="670" customWidth="1"/>
    <col min="15858" max="15883" width="17.44140625" style="670" customWidth="1"/>
    <col min="15884" max="15884" width="17.109375" style="670" customWidth="1"/>
    <col min="15885" max="15885" width="16.44140625" style="670" customWidth="1"/>
    <col min="15886" max="15886" width="18.6640625" style="670" customWidth="1"/>
    <col min="15887" max="15887" width="20.21875" style="670" bestFit="1" customWidth="1"/>
    <col min="15888" max="15888" width="25.6640625" style="670" customWidth="1"/>
    <col min="15889" max="15889" width="19.44140625" style="670" bestFit="1" customWidth="1"/>
    <col min="15890" max="15890" width="21.109375" style="670" bestFit="1" customWidth="1"/>
    <col min="15891" max="15891" width="15.88671875" style="670" bestFit="1" customWidth="1"/>
    <col min="15892" max="15892" width="8.88671875" style="670"/>
    <col min="15893" max="15893" width="13.44140625" style="670" bestFit="1" customWidth="1"/>
    <col min="15894" max="15894" width="8.88671875" style="670"/>
    <col min="15895" max="15895" width="11.77734375" style="670" bestFit="1" customWidth="1"/>
    <col min="15896" max="15897" width="8.88671875" style="670"/>
    <col min="15898" max="15898" width="11.6640625" style="670" bestFit="1" customWidth="1"/>
    <col min="15899" max="16096" width="8.88671875" style="670"/>
    <col min="16097" max="16097" width="10" style="670" customWidth="1"/>
    <col min="16098" max="16098" width="64.44140625" style="670" customWidth="1"/>
    <col min="16099" max="16099" width="18.77734375" style="670" customWidth="1"/>
    <col min="16100" max="16100" width="11" style="670" customWidth="1"/>
    <col min="16101" max="16101" width="14.6640625" style="670" customWidth="1"/>
    <col min="16102" max="16102" width="18.6640625" style="670" customWidth="1"/>
    <col min="16103" max="16103" width="14.44140625" style="670" customWidth="1"/>
    <col min="16104" max="16104" width="18.21875" style="670" customWidth="1"/>
    <col min="16105" max="16105" width="15.6640625" style="670" customWidth="1"/>
    <col min="16106" max="16106" width="17.44140625" style="670" customWidth="1"/>
    <col min="16107" max="16107" width="15.6640625" style="670" customWidth="1"/>
    <col min="16108" max="16108" width="17.44140625" style="670" customWidth="1"/>
    <col min="16109" max="16109" width="17" style="670" customWidth="1"/>
    <col min="16110" max="16112" width="17.44140625" style="670" customWidth="1"/>
    <col min="16113" max="16113" width="14.77734375" style="670" customWidth="1"/>
    <col min="16114" max="16139" width="17.44140625" style="670" customWidth="1"/>
    <col min="16140" max="16140" width="17.109375" style="670" customWidth="1"/>
    <col min="16141" max="16141" width="16.44140625" style="670" customWidth="1"/>
    <col min="16142" max="16142" width="18.6640625" style="670" customWidth="1"/>
    <col min="16143" max="16143" width="20.21875" style="670" bestFit="1" customWidth="1"/>
    <col min="16144" max="16144" width="25.6640625" style="670" customWidth="1"/>
    <col min="16145" max="16145" width="19.44140625" style="670" bestFit="1" customWidth="1"/>
    <col min="16146" max="16146" width="21.109375" style="670" bestFit="1" customWidth="1"/>
    <col min="16147" max="16147" width="15.88671875" style="670" bestFit="1" customWidth="1"/>
    <col min="16148" max="16148" width="8.88671875" style="670"/>
    <col min="16149" max="16149" width="13.44140625" style="670" bestFit="1" customWidth="1"/>
    <col min="16150" max="16150" width="8.88671875" style="670"/>
    <col min="16151" max="16151" width="11.77734375" style="670" bestFit="1" customWidth="1"/>
    <col min="16152" max="16153" width="8.88671875" style="670"/>
    <col min="16154" max="16154" width="11.6640625" style="670" bestFit="1" customWidth="1"/>
    <col min="16155" max="16384" width="8.88671875" style="670"/>
  </cols>
  <sheetData>
    <row r="1" spans="1:18" s="651" customFormat="1" ht="72.75" customHeight="1">
      <c r="A1" s="1449" t="s">
        <v>2048</v>
      </c>
      <c r="B1" s="1450"/>
      <c r="C1" s="1450"/>
      <c r="D1" s="1450"/>
      <c r="E1" s="1450"/>
      <c r="F1" s="1450"/>
      <c r="G1" s="1450"/>
      <c r="H1" s="1450"/>
      <c r="I1" s="1450"/>
      <c r="J1" s="1450"/>
      <c r="K1" s="1450"/>
      <c r="L1" s="1450"/>
      <c r="M1" s="1450"/>
      <c r="N1" s="1450"/>
      <c r="O1" s="648"/>
      <c r="P1" s="649"/>
      <c r="Q1" s="650"/>
      <c r="R1" s="650"/>
    </row>
    <row r="2" spans="1:18" s="653" customFormat="1" ht="75" customHeight="1">
      <c r="A2" s="1448" t="s">
        <v>544</v>
      </c>
      <c r="B2" s="1448" t="s">
        <v>1231</v>
      </c>
      <c r="C2" s="1448" t="s">
        <v>1339</v>
      </c>
      <c r="D2" s="1448" t="s">
        <v>215</v>
      </c>
      <c r="E2" s="1507" t="s">
        <v>1357</v>
      </c>
      <c r="F2" s="1507"/>
      <c r="G2" s="1451" t="s">
        <v>1358</v>
      </c>
      <c r="H2" s="1452"/>
      <c r="I2" s="1451" t="s">
        <v>1359</v>
      </c>
      <c r="J2" s="1452"/>
      <c r="K2" s="1451" t="s">
        <v>1360</v>
      </c>
      <c r="L2" s="1452"/>
      <c r="M2" s="1454" t="s">
        <v>1361</v>
      </c>
      <c r="N2" s="1452"/>
      <c r="O2" s="1448" t="s">
        <v>1361</v>
      </c>
      <c r="P2" s="1448"/>
      <c r="Q2" s="652"/>
      <c r="R2" s="652"/>
    </row>
    <row r="3" spans="1:18" s="653" customFormat="1" ht="57.75" customHeight="1">
      <c r="A3" s="1448"/>
      <c r="B3" s="1448"/>
      <c r="C3" s="1448"/>
      <c r="D3" s="1448"/>
      <c r="E3" s="655" t="s">
        <v>214</v>
      </c>
      <c r="F3" s="655" t="s">
        <v>1340</v>
      </c>
      <c r="G3" s="655" t="s">
        <v>214</v>
      </c>
      <c r="H3" s="655" t="s">
        <v>1340</v>
      </c>
      <c r="I3" s="656" t="s">
        <v>8</v>
      </c>
      <c r="J3" s="655" t="s">
        <v>1340</v>
      </c>
      <c r="K3" s="656" t="s">
        <v>8</v>
      </c>
      <c r="L3" s="655" t="s">
        <v>1340</v>
      </c>
      <c r="M3" s="654" t="s">
        <v>8</v>
      </c>
      <c r="N3" s="655" t="s">
        <v>1340</v>
      </c>
      <c r="O3" s="655" t="s">
        <v>8</v>
      </c>
      <c r="P3" s="655" t="s">
        <v>1340</v>
      </c>
      <c r="Q3" s="652"/>
      <c r="R3" s="652"/>
    </row>
    <row r="4" spans="1:18" s="653" customFormat="1" ht="26.25">
      <c r="A4" s="657"/>
      <c r="B4" s="658"/>
      <c r="C4" s="657"/>
      <c r="D4" s="658"/>
      <c r="E4" s="657"/>
      <c r="F4" s="657"/>
      <c r="G4" s="657"/>
      <c r="H4" s="657"/>
      <c r="I4" s="657"/>
      <c r="J4" s="657"/>
      <c r="K4" s="657"/>
      <c r="L4" s="657"/>
      <c r="M4" s="659"/>
      <c r="N4" s="660"/>
      <c r="O4" s="661"/>
      <c r="P4" s="661"/>
      <c r="Q4" s="652"/>
      <c r="R4" s="652"/>
    </row>
    <row r="5" spans="1:18" ht="50.25" customHeight="1">
      <c r="A5" s="662">
        <v>1.1000000000000001</v>
      </c>
      <c r="B5" s="663" t="s">
        <v>1362</v>
      </c>
      <c r="C5" s="664"/>
      <c r="D5" s="663" t="s">
        <v>220</v>
      </c>
      <c r="E5" s="667"/>
      <c r="F5" s="667"/>
      <c r="G5" s="667"/>
      <c r="H5" s="667"/>
      <c r="I5" s="667"/>
      <c r="J5" s="667"/>
      <c r="K5" s="667"/>
      <c r="L5" s="667"/>
      <c r="M5" s="665" t="s">
        <v>1363</v>
      </c>
      <c r="N5" s="666"/>
      <c r="O5" s="668" t="s">
        <v>1363</v>
      </c>
      <c r="P5" s="668"/>
    </row>
    <row r="6" spans="1:18" ht="48.75" customHeight="1">
      <c r="A6" s="662"/>
      <c r="B6" s="663" t="s">
        <v>63</v>
      </c>
      <c r="C6" s="667">
        <f>ROUND([14]Data!K88,2)</f>
        <v>204.4</v>
      </c>
      <c r="D6" s="663" t="s">
        <v>235</v>
      </c>
      <c r="E6" s="667"/>
      <c r="F6" s="667"/>
      <c r="G6" s="667"/>
      <c r="H6" s="667">
        <f t="shared" ref="H6:H69" si="0">G6*C6</f>
        <v>0</v>
      </c>
      <c r="I6" s="667"/>
      <c r="J6" s="667"/>
      <c r="K6" s="667" t="e">
        <f>E6+#REF!+#REF!+#REF!+G6+#REF!+#REF!+#REF!+#REF!+#REF!+#REF!+I6+#REF!+#REF!+#REF!</f>
        <v>#REF!</v>
      </c>
      <c r="L6" s="667" t="e">
        <f t="shared" ref="L6:L69" si="1">K6*C6</f>
        <v>#REF!</v>
      </c>
      <c r="M6" s="665" t="e">
        <f>#REF!+K6</f>
        <v>#REF!</v>
      </c>
      <c r="N6" s="666" t="e">
        <f t="shared" ref="N6:N69" si="2">M6*C6</f>
        <v>#REF!</v>
      </c>
      <c r="O6" s="672"/>
      <c r="P6" s="668"/>
    </row>
    <row r="7" spans="1:18" ht="48.75" customHeight="1">
      <c r="A7" s="673"/>
      <c r="B7" s="674" t="s">
        <v>1364</v>
      </c>
      <c r="C7" s="675">
        <f>ROUND([14]Data!K89,2)</f>
        <v>213.7</v>
      </c>
      <c r="D7" s="674" t="s">
        <v>235</v>
      </c>
      <c r="E7" s="660"/>
      <c r="F7" s="667"/>
      <c r="G7" s="675"/>
      <c r="H7" s="667">
        <f t="shared" si="0"/>
        <v>0</v>
      </c>
      <c r="I7" s="667"/>
      <c r="J7" s="667"/>
      <c r="K7" s="667"/>
      <c r="L7" s="667">
        <f t="shared" si="1"/>
        <v>0</v>
      </c>
      <c r="M7" s="665" t="e">
        <f>#REF!+K7</f>
        <v>#REF!</v>
      </c>
      <c r="N7" s="666" t="e">
        <f t="shared" si="2"/>
        <v>#REF!</v>
      </c>
      <c r="O7" s="672"/>
      <c r="P7" s="668"/>
    </row>
    <row r="8" spans="1:18" s="677" customFormat="1" ht="46.5" hidden="1" customHeight="1">
      <c r="A8" s="662">
        <v>1.2</v>
      </c>
      <c r="B8" s="663" t="s">
        <v>1365</v>
      </c>
      <c r="C8" s="675"/>
      <c r="D8" s="674"/>
      <c r="E8" s="660"/>
      <c r="F8" s="667"/>
      <c r="G8" s="675"/>
      <c r="H8" s="667">
        <f t="shared" si="0"/>
        <v>0</v>
      </c>
      <c r="I8" s="667"/>
      <c r="J8" s="667"/>
      <c r="K8" s="667" t="e">
        <f>E8+#REF!+#REF!+#REF!+G8+#REF!+#REF!+#REF!+#REF!+#REF!+#REF!+I8+#REF!+#REF!+#REF!</f>
        <v>#REF!</v>
      </c>
      <c r="L8" s="667" t="e">
        <f t="shared" si="1"/>
        <v>#REF!</v>
      </c>
      <c r="M8" s="665" t="e">
        <f>#REF!+K8</f>
        <v>#REF!</v>
      </c>
      <c r="N8" s="666" t="e">
        <f t="shared" si="2"/>
        <v>#REF!</v>
      </c>
      <c r="O8" s="672"/>
      <c r="P8" s="668"/>
      <c r="Q8" s="676"/>
      <c r="R8" s="676"/>
    </row>
    <row r="9" spans="1:18" s="677" customFormat="1" ht="25.5" hidden="1" customHeight="1">
      <c r="A9" s="662"/>
      <c r="B9" s="663" t="s">
        <v>63</v>
      </c>
      <c r="C9" s="675">
        <f>ROUND([14]Data!K90,2)</f>
        <v>193.2</v>
      </c>
      <c r="D9" s="674" t="s">
        <v>235</v>
      </c>
      <c r="E9" s="660"/>
      <c r="F9" s="667"/>
      <c r="G9" s="675"/>
      <c r="H9" s="667">
        <f t="shared" si="0"/>
        <v>0</v>
      </c>
      <c r="I9" s="667"/>
      <c r="J9" s="667"/>
      <c r="K9" s="667" t="e">
        <f>E9+#REF!+#REF!+#REF!+G9+#REF!+#REF!+#REF!+#REF!+#REF!+#REF!+I9+#REF!+#REF!+#REF!</f>
        <v>#REF!</v>
      </c>
      <c r="L9" s="667" t="e">
        <f t="shared" si="1"/>
        <v>#REF!</v>
      </c>
      <c r="M9" s="665" t="e">
        <f>#REF!+K9</f>
        <v>#REF!</v>
      </c>
      <c r="N9" s="666" t="e">
        <f t="shared" si="2"/>
        <v>#REF!</v>
      </c>
      <c r="O9" s="672"/>
      <c r="P9" s="668"/>
      <c r="Q9" s="676"/>
      <c r="R9" s="676"/>
    </row>
    <row r="10" spans="1:18" s="677" customFormat="1" ht="25.5" hidden="1" customHeight="1">
      <c r="A10" s="662"/>
      <c r="B10" s="663" t="s">
        <v>1364</v>
      </c>
      <c r="C10" s="675">
        <f>ROUND([14]Data!K91,2)</f>
        <v>202.5</v>
      </c>
      <c r="D10" s="674" t="s">
        <v>235</v>
      </c>
      <c r="E10" s="660"/>
      <c r="F10" s="667"/>
      <c r="G10" s="675"/>
      <c r="H10" s="667">
        <f t="shared" si="0"/>
        <v>0</v>
      </c>
      <c r="I10" s="667"/>
      <c r="J10" s="667"/>
      <c r="K10" s="667" t="e">
        <f>E10+#REF!+#REF!+#REF!+G10+#REF!+#REF!+#REF!+#REF!+#REF!+#REF!+I10+#REF!+#REF!+#REF!</f>
        <v>#REF!</v>
      </c>
      <c r="L10" s="667" t="e">
        <f t="shared" si="1"/>
        <v>#REF!</v>
      </c>
      <c r="M10" s="665" t="e">
        <f>#REF!+K10</f>
        <v>#REF!</v>
      </c>
      <c r="N10" s="666" t="e">
        <f t="shared" si="2"/>
        <v>#REF!</v>
      </c>
      <c r="O10" s="672"/>
      <c r="P10" s="668"/>
      <c r="Q10" s="676"/>
      <c r="R10" s="676"/>
    </row>
    <row r="11" spans="1:18" ht="60" hidden="1" customHeight="1">
      <c r="A11" s="673">
        <v>1.3</v>
      </c>
      <c r="B11" s="674" t="s">
        <v>1366</v>
      </c>
      <c r="C11" s="675"/>
      <c r="D11" s="674" t="s">
        <v>220</v>
      </c>
      <c r="E11" s="660"/>
      <c r="F11" s="667"/>
      <c r="G11" s="675"/>
      <c r="H11" s="667">
        <f t="shared" si="0"/>
        <v>0</v>
      </c>
      <c r="I11" s="667"/>
      <c r="J11" s="667"/>
      <c r="K11" s="667" t="e">
        <f>E11+#REF!+#REF!+#REF!+G11+#REF!+#REF!+#REF!+#REF!+#REF!+#REF!+I11+#REF!+#REF!+#REF!</f>
        <v>#REF!</v>
      </c>
      <c r="L11" s="667" t="e">
        <f t="shared" si="1"/>
        <v>#REF!</v>
      </c>
      <c r="M11" s="665" t="e">
        <f>#REF!+K11</f>
        <v>#REF!</v>
      </c>
      <c r="N11" s="666" t="e">
        <f t="shared" si="2"/>
        <v>#REF!</v>
      </c>
      <c r="O11" s="672"/>
      <c r="P11" s="668"/>
    </row>
    <row r="12" spans="1:18" ht="41.25" hidden="1" customHeight="1">
      <c r="A12" s="673"/>
      <c r="B12" s="674" t="s">
        <v>63</v>
      </c>
      <c r="C12" s="675">
        <f>ROUND([14]Data!K101,2)</f>
        <v>299</v>
      </c>
      <c r="D12" s="674" t="s">
        <v>235</v>
      </c>
      <c r="E12" s="660"/>
      <c r="F12" s="667"/>
      <c r="G12" s="675"/>
      <c r="H12" s="667">
        <f t="shared" si="0"/>
        <v>0</v>
      </c>
      <c r="I12" s="667"/>
      <c r="J12" s="667"/>
      <c r="K12" s="667" t="e">
        <f>E12+#REF!+#REF!+#REF!+G12+#REF!+#REF!+#REF!+#REF!+#REF!+#REF!+I12+#REF!+#REF!+#REF!</f>
        <v>#REF!</v>
      </c>
      <c r="L12" s="667" t="e">
        <f t="shared" si="1"/>
        <v>#REF!</v>
      </c>
      <c r="M12" s="665" t="e">
        <f>#REF!+K12</f>
        <v>#REF!</v>
      </c>
      <c r="N12" s="666" t="e">
        <f t="shared" si="2"/>
        <v>#REF!</v>
      </c>
      <c r="O12" s="672"/>
      <c r="P12" s="668"/>
    </row>
    <row r="13" spans="1:18" s="677" customFormat="1" ht="25.5" hidden="1" customHeight="1">
      <c r="A13" s="662"/>
      <c r="B13" s="663" t="s">
        <v>1364</v>
      </c>
      <c r="C13" s="675">
        <f>ROUND([14]Data!K102,2)</f>
        <v>308.3</v>
      </c>
      <c r="D13" s="674" t="s">
        <v>235</v>
      </c>
      <c r="E13" s="660"/>
      <c r="F13" s="667"/>
      <c r="G13" s="675"/>
      <c r="H13" s="667">
        <f t="shared" si="0"/>
        <v>0</v>
      </c>
      <c r="I13" s="667"/>
      <c r="J13" s="667"/>
      <c r="K13" s="667" t="e">
        <f>E13+#REF!+#REF!+#REF!+G13+#REF!+#REF!+#REF!+#REF!+#REF!+#REF!+I13+#REF!+#REF!+#REF!</f>
        <v>#REF!</v>
      </c>
      <c r="L13" s="667" t="e">
        <f t="shared" si="1"/>
        <v>#REF!</v>
      </c>
      <c r="M13" s="665" t="e">
        <f>#REF!+K13</f>
        <v>#REF!</v>
      </c>
      <c r="N13" s="666" t="e">
        <f t="shared" si="2"/>
        <v>#REF!</v>
      </c>
      <c r="O13" s="672"/>
      <c r="P13" s="668"/>
      <c r="Q13" s="676"/>
      <c r="R13" s="676"/>
    </row>
    <row r="14" spans="1:18" s="677" customFormat="1" ht="46.5" hidden="1" customHeight="1">
      <c r="A14" s="662">
        <v>1.4</v>
      </c>
      <c r="B14" s="663" t="s">
        <v>1367</v>
      </c>
      <c r="C14" s="675"/>
      <c r="D14" s="674"/>
      <c r="E14" s="660"/>
      <c r="F14" s="667"/>
      <c r="G14" s="675"/>
      <c r="H14" s="667">
        <f t="shared" si="0"/>
        <v>0</v>
      </c>
      <c r="I14" s="667"/>
      <c r="J14" s="667"/>
      <c r="K14" s="667" t="e">
        <f>E14+#REF!+#REF!+#REF!+G14+#REF!+#REF!+#REF!+#REF!+#REF!+#REF!+I14+#REF!+#REF!+#REF!</f>
        <v>#REF!</v>
      </c>
      <c r="L14" s="667" t="e">
        <f t="shared" si="1"/>
        <v>#REF!</v>
      </c>
      <c r="M14" s="665" t="e">
        <f>#REF!+K14</f>
        <v>#REF!</v>
      </c>
      <c r="N14" s="666" t="e">
        <f t="shared" si="2"/>
        <v>#REF!</v>
      </c>
      <c r="O14" s="672"/>
      <c r="P14" s="668"/>
      <c r="Q14" s="676"/>
      <c r="R14" s="676"/>
    </row>
    <row r="15" spans="1:18" s="677" customFormat="1" ht="25.5" hidden="1" customHeight="1">
      <c r="A15" s="662"/>
      <c r="B15" s="663" t="s">
        <v>63</v>
      </c>
      <c r="C15" s="675">
        <f>ROUND([14]Data!K116,2)</f>
        <v>107.8</v>
      </c>
      <c r="D15" s="674" t="s">
        <v>235</v>
      </c>
      <c r="E15" s="660"/>
      <c r="F15" s="667"/>
      <c r="G15" s="675"/>
      <c r="H15" s="667">
        <f t="shared" si="0"/>
        <v>0</v>
      </c>
      <c r="I15" s="667"/>
      <c r="J15" s="667"/>
      <c r="K15" s="667" t="e">
        <f>E15+#REF!+#REF!+#REF!+G15+#REF!+#REF!+#REF!+#REF!+#REF!+#REF!+I15+#REF!+#REF!+#REF!</f>
        <v>#REF!</v>
      </c>
      <c r="L15" s="667" t="e">
        <f t="shared" si="1"/>
        <v>#REF!</v>
      </c>
      <c r="M15" s="665" t="e">
        <f>#REF!+K15</f>
        <v>#REF!</v>
      </c>
      <c r="N15" s="666" t="e">
        <f t="shared" si="2"/>
        <v>#REF!</v>
      </c>
      <c r="O15" s="672"/>
      <c r="P15" s="668"/>
      <c r="Q15" s="676"/>
      <c r="R15" s="676"/>
    </row>
    <row r="16" spans="1:18" s="677" customFormat="1" ht="25.5" hidden="1" customHeight="1">
      <c r="A16" s="662"/>
      <c r="B16" s="663" t="s">
        <v>1364</v>
      </c>
      <c r="C16" s="675">
        <f>ROUND([14]Data!L116,2)</f>
        <v>117.1</v>
      </c>
      <c r="D16" s="674" t="s">
        <v>235</v>
      </c>
      <c r="E16" s="660"/>
      <c r="F16" s="667"/>
      <c r="G16" s="675"/>
      <c r="H16" s="667">
        <f t="shared" si="0"/>
        <v>0</v>
      </c>
      <c r="I16" s="667"/>
      <c r="J16" s="667"/>
      <c r="K16" s="667" t="e">
        <f>E16+#REF!+#REF!+#REF!+G16+#REF!+#REF!+#REF!+#REF!+#REF!+#REF!+I16+#REF!+#REF!+#REF!</f>
        <v>#REF!</v>
      </c>
      <c r="L16" s="667" t="e">
        <f t="shared" si="1"/>
        <v>#REF!</v>
      </c>
      <c r="M16" s="665" t="e">
        <f>#REF!+K16</f>
        <v>#REF!</v>
      </c>
      <c r="N16" s="666" t="e">
        <f t="shared" si="2"/>
        <v>#REF!</v>
      </c>
      <c r="O16" s="672"/>
      <c r="P16" s="668"/>
      <c r="Q16" s="676"/>
      <c r="R16" s="676"/>
    </row>
    <row r="17" spans="1:19" ht="56.25" customHeight="1">
      <c r="A17" s="662">
        <v>1.5</v>
      </c>
      <c r="B17" s="663" t="s">
        <v>1368</v>
      </c>
      <c r="C17" s="667"/>
      <c r="D17" s="663" t="s">
        <v>220</v>
      </c>
      <c r="E17" s="666"/>
      <c r="F17" s="667"/>
      <c r="G17" s="667"/>
      <c r="H17" s="667">
        <f t="shared" si="0"/>
        <v>0</v>
      </c>
      <c r="I17" s="667"/>
      <c r="J17" s="667"/>
      <c r="K17" s="667" t="e">
        <f>E17+#REF!+#REF!+#REF!+G17+#REF!+#REF!+#REF!+#REF!+#REF!+#REF!+I17+#REF!+#REF!+#REF!</f>
        <v>#REF!</v>
      </c>
      <c r="L17" s="667" t="e">
        <f t="shared" si="1"/>
        <v>#REF!</v>
      </c>
      <c r="M17" s="665" t="e">
        <f>#REF!+K17</f>
        <v>#REF!</v>
      </c>
      <c r="N17" s="666" t="e">
        <f t="shared" si="2"/>
        <v>#REF!</v>
      </c>
      <c r="O17" s="668"/>
      <c r="P17" s="668"/>
      <c r="Q17" s="678"/>
      <c r="S17" s="679"/>
    </row>
    <row r="18" spans="1:19" ht="45.75" customHeight="1">
      <c r="A18" s="662"/>
      <c r="B18" s="663" t="s">
        <v>63</v>
      </c>
      <c r="C18" s="667">
        <f>ROUND([14]Data!K118,2)</f>
        <v>96.6</v>
      </c>
      <c r="D18" s="663" t="s">
        <v>235</v>
      </c>
      <c r="E18" s="666">
        <f>'Septic Tank'!$H$14</f>
        <v>18.50226</v>
      </c>
      <c r="F18" s="667">
        <f t="shared" ref="F18:F81" si="3">E18*C18</f>
        <v>1787.3183159999999</v>
      </c>
      <c r="G18" s="667">
        <f>'PAVER ROAD'!$G$11</f>
        <v>4.1500000000000004</v>
      </c>
      <c r="H18" s="667">
        <f t="shared" si="0"/>
        <v>400.89</v>
      </c>
      <c r="I18" s="667"/>
      <c r="J18" s="667"/>
      <c r="K18" s="667" t="e">
        <f>E18+#REF!+#REF!+#REF!+G18+#REF!+#REF!+#REF!+#REF!+#REF!+#REF!+I18+#REF!+#REF!+#REF!</f>
        <v>#REF!</v>
      </c>
      <c r="L18" s="667" t="e">
        <f t="shared" si="1"/>
        <v>#REF!</v>
      </c>
      <c r="M18" s="665" t="e">
        <f>#REF!+K18</f>
        <v>#REF!</v>
      </c>
      <c r="N18" s="666" t="e">
        <f t="shared" si="2"/>
        <v>#REF!</v>
      </c>
      <c r="O18" s="672"/>
      <c r="P18" s="668"/>
    </row>
    <row r="19" spans="1:19" ht="38.25" hidden="1" customHeight="1">
      <c r="A19" s="673"/>
      <c r="B19" s="674" t="s">
        <v>1364</v>
      </c>
      <c r="C19" s="675">
        <f>ROUND([14]Data!K119,2)</f>
        <v>105.9</v>
      </c>
      <c r="D19" s="674" t="s">
        <v>235</v>
      </c>
      <c r="E19" s="660"/>
      <c r="F19" s="667">
        <f t="shared" si="3"/>
        <v>0</v>
      </c>
      <c r="G19" s="675"/>
      <c r="H19" s="667">
        <f t="shared" si="0"/>
        <v>0</v>
      </c>
      <c r="I19" s="667"/>
      <c r="J19" s="667"/>
      <c r="K19" s="667" t="e">
        <f>E19+#REF!+#REF!+#REF!+G19+#REF!+#REF!+#REF!+#REF!+#REF!+#REF!+I19+#REF!+#REF!+#REF!</f>
        <v>#REF!</v>
      </c>
      <c r="L19" s="667" t="e">
        <f t="shared" si="1"/>
        <v>#REF!</v>
      </c>
      <c r="M19" s="665" t="e">
        <f>#REF!+K19</f>
        <v>#REF!</v>
      </c>
      <c r="N19" s="666" t="e">
        <f t="shared" si="2"/>
        <v>#REF!</v>
      </c>
      <c r="O19" s="672"/>
      <c r="P19" s="668"/>
    </row>
    <row r="20" spans="1:19" s="677" customFormat="1" ht="25.5" hidden="1" customHeight="1">
      <c r="A20" s="662"/>
      <c r="B20" s="663" t="s">
        <v>1369</v>
      </c>
      <c r="C20" s="675">
        <f>ROUND([14]Data!K120,2)</f>
        <v>115.2</v>
      </c>
      <c r="D20" s="674" t="s">
        <v>235</v>
      </c>
      <c r="E20" s="660"/>
      <c r="F20" s="667">
        <f t="shared" si="3"/>
        <v>0</v>
      </c>
      <c r="G20" s="675"/>
      <c r="H20" s="667">
        <f t="shared" si="0"/>
        <v>0</v>
      </c>
      <c r="I20" s="667"/>
      <c r="J20" s="667"/>
      <c r="K20" s="667" t="e">
        <f>E20+#REF!+#REF!+#REF!+G20+#REF!+#REF!+#REF!+#REF!+#REF!+#REF!+I20+#REF!+#REF!+#REF!</f>
        <v>#REF!</v>
      </c>
      <c r="L20" s="667" t="e">
        <f t="shared" si="1"/>
        <v>#REF!</v>
      </c>
      <c r="M20" s="665" t="e">
        <f>#REF!+K20</f>
        <v>#REF!</v>
      </c>
      <c r="N20" s="666" t="e">
        <f t="shared" si="2"/>
        <v>#REF!</v>
      </c>
      <c r="O20" s="672"/>
      <c r="P20" s="668"/>
      <c r="Q20" s="676"/>
      <c r="R20" s="676"/>
    </row>
    <row r="21" spans="1:19" s="677" customFormat="1" ht="25.5" hidden="1" customHeight="1">
      <c r="A21" s="662"/>
      <c r="B21" s="663" t="s">
        <v>1370</v>
      </c>
      <c r="C21" s="675">
        <f>ROUND([14]Data!K121,2)</f>
        <v>124.5</v>
      </c>
      <c r="D21" s="674" t="s">
        <v>235</v>
      </c>
      <c r="E21" s="660"/>
      <c r="F21" s="667">
        <f t="shared" si="3"/>
        <v>0</v>
      </c>
      <c r="G21" s="675"/>
      <c r="H21" s="667">
        <f t="shared" si="0"/>
        <v>0</v>
      </c>
      <c r="I21" s="667"/>
      <c r="J21" s="667"/>
      <c r="K21" s="667" t="e">
        <f>E21+#REF!+#REF!+#REF!+G21+#REF!+#REF!+#REF!+#REF!+#REF!+#REF!+I21+#REF!+#REF!+#REF!</f>
        <v>#REF!</v>
      </c>
      <c r="L21" s="667" t="e">
        <f t="shared" si="1"/>
        <v>#REF!</v>
      </c>
      <c r="M21" s="665" t="e">
        <f>#REF!+K21</f>
        <v>#REF!</v>
      </c>
      <c r="N21" s="666" t="e">
        <f t="shared" si="2"/>
        <v>#REF!</v>
      </c>
      <c r="O21" s="672"/>
      <c r="P21" s="668"/>
      <c r="Q21" s="676"/>
      <c r="R21" s="676"/>
    </row>
    <row r="22" spans="1:19" s="677" customFormat="1" ht="51" hidden="1" customHeight="1">
      <c r="A22" s="662">
        <v>1.6</v>
      </c>
      <c r="B22" s="663" t="s">
        <v>1371</v>
      </c>
      <c r="C22" s="667"/>
      <c r="D22" s="663"/>
      <c r="E22" s="666"/>
      <c r="F22" s="667">
        <f t="shared" si="3"/>
        <v>0</v>
      </c>
      <c r="G22" s="667"/>
      <c r="H22" s="667">
        <f t="shared" si="0"/>
        <v>0</v>
      </c>
      <c r="I22" s="667"/>
      <c r="J22" s="667"/>
      <c r="K22" s="667" t="e">
        <f>E22+#REF!+#REF!+#REF!+G22+#REF!+#REF!+#REF!+#REF!+#REF!+#REF!+I22+#REF!+#REF!+#REF!</f>
        <v>#REF!</v>
      </c>
      <c r="L22" s="667" t="e">
        <f t="shared" si="1"/>
        <v>#REF!</v>
      </c>
      <c r="M22" s="665" t="e">
        <f>#REF!+K22</f>
        <v>#REF!</v>
      </c>
      <c r="N22" s="666" t="e">
        <f t="shared" si="2"/>
        <v>#REF!</v>
      </c>
      <c r="O22" s="672"/>
      <c r="P22" s="668"/>
      <c r="Q22" s="676"/>
      <c r="R22" s="676"/>
    </row>
    <row r="23" spans="1:19" s="677" customFormat="1" ht="43.5" hidden="1" customHeight="1">
      <c r="A23" s="662"/>
      <c r="B23" s="663" t="s">
        <v>63</v>
      </c>
      <c r="C23" s="675">
        <f>ROUND([14]Data!K133,2)</f>
        <v>144.9</v>
      </c>
      <c r="D23" s="674" t="s">
        <v>235</v>
      </c>
      <c r="E23" s="660"/>
      <c r="F23" s="667">
        <f t="shared" si="3"/>
        <v>0</v>
      </c>
      <c r="G23" s="675"/>
      <c r="H23" s="667">
        <f t="shared" si="0"/>
        <v>0</v>
      </c>
      <c r="I23" s="667"/>
      <c r="J23" s="667"/>
      <c r="K23" s="667" t="e">
        <f>E23+#REF!+#REF!+#REF!+G23+#REF!+#REF!+#REF!+#REF!+#REF!+#REF!+I23+#REF!+#REF!+#REF!</f>
        <v>#REF!</v>
      </c>
      <c r="L23" s="667" t="e">
        <f t="shared" si="1"/>
        <v>#REF!</v>
      </c>
      <c r="M23" s="665" t="e">
        <f>#REF!+K23</f>
        <v>#REF!</v>
      </c>
      <c r="N23" s="666" t="e">
        <f t="shared" si="2"/>
        <v>#REF!</v>
      </c>
      <c r="O23" s="672"/>
      <c r="P23" s="668"/>
      <c r="Q23" s="676"/>
      <c r="R23" s="676"/>
    </row>
    <row r="24" spans="1:19" s="677" customFormat="1" ht="25.5" hidden="1" customHeight="1">
      <c r="A24" s="662"/>
      <c r="B24" s="663" t="s">
        <v>1364</v>
      </c>
      <c r="C24" s="675">
        <f>ROUND([14]Data!K134,2)</f>
        <v>154.19999999999999</v>
      </c>
      <c r="D24" s="674" t="s">
        <v>235</v>
      </c>
      <c r="E24" s="660"/>
      <c r="F24" s="667">
        <f t="shared" si="3"/>
        <v>0</v>
      </c>
      <c r="G24" s="675"/>
      <c r="H24" s="667">
        <f t="shared" si="0"/>
        <v>0</v>
      </c>
      <c r="I24" s="667"/>
      <c r="J24" s="667"/>
      <c r="K24" s="667" t="e">
        <f>E24+#REF!+#REF!+#REF!+G24+#REF!+#REF!+#REF!+#REF!+#REF!+#REF!+I24+#REF!+#REF!+#REF!</f>
        <v>#REF!</v>
      </c>
      <c r="L24" s="667" t="e">
        <f t="shared" si="1"/>
        <v>#REF!</v>
      </c>
      <c r="M24" s="665" t="e">
        <f>#REF!+K24</f>
        <v>#REF!</v>
      </c>
      <c r="N24" s="666" t="e">
        <f t="shared" si="2"/>
        <v>#REF!</v>
      </c>
      <c r="O24" s="672"/>
      <c r="P24" s="668"/>
      <c r="Q24" s="676"/>
      <c r="R24" s="676"/>
    </row>
    <row r="25" spans="1:19" s="677" customFormat="1" ht="46.5" hidden="1" customHeight="1">
      <c r="A25" s="662">
        <v>1.7</v>
      </c>
      <c r="B25" s="663" t="s">
        <v>1372</v>
      </c>
      <c r="C25" s="675"/>
      <c r="D25" s="674" t="s">
        <v>220</v>
      </c>
      <c r="E25" s="660"/>
      <c r="F25" s="667">
        <f t="shared" si="3"/>
        <v>0</v>
      </c>
      <c r="G25" s="675"/>
      <c r="H25" s="667">
        <f t="shared" si="0"/>
        <v>0</v>
      </c>
      <c r="I25" s="667"/>
      <c r="J25" s="667"/>
      <c r="K25" s="667" t="e">
        <f>E25+#REF!+#REF!+#REF!+G25+#REF!+#REF!+#REF!+#REF!+#REF!+#REF!+I25+#REF!+#REF!+#REF!</f>
        <v>#REF!</v>
      </c>
      <c r="L25" s="667" t="e">
        <f t="shared" si="1"/>
        <v>#REF!</v>
      </c>
      <c r="M25" s="665" t="e">
        <f>#REF!+K25</f>
        <v>#REF!</v>
      </c>
      <c r="N25" s="666" t="e">
        <f t="shared" si="2"/>
        <v>#REF!</v>
      </c>
      <c r="O25" s="672"/>
      <c r="P25" s="668"/>
      <c r="Q25" s="676"/>
      <c r="R25" s="676"/>
    </row>
    <row r="26" spans="1:19" s="677" customFormat="1" ht="25.5" hidden="1" customHeight="1">
      <c r="A26" s="662"/>
      <c r="B26" s="663" t="s">
        <v>63</v>
      </c>
      <c r="C26" s="675">
        <f>ROUND([14]Data!K104,2)</f>
        <v>287.8</v>
      </c>
      <c r="D26" s="674" t="s">
        <v>235</v>
      </c>
      <c r="E26" s="660"/>
      <c r="F26" s="667">
        <f t="shared" si="3"/>
        <v>0</v>
      </c>
      <c r="G26" s="675"/>
      <c r="H26" s="667">
        <f t="shared" si="0"/>
        <v>0</v>
      </c>
      <c r="I26" s="667"/>
      <c r="J26" s="667"/>
      <c r="K26" s="667" t="e">
        <f>E26+#REF!+#REF!+#REF!+G26+#REF!+#REF!+#REF!+#REF!+#REF!+#REF!+I26+#REF!+#REF!+#REF!</f>
        <v>#REF!</v>
      </c>
      <c r="L26" s="667" t="e">
        <f t="shared" si="1"/>
        <v>#REF!</v>
      </c>
      <c r="M26" s="665" t="e">
        <f>#REF!+K26</f>
        <v>#REF!</v>
      </c>
      <c r="N26" s="666" t="e">
        <f t="shared" si="2"/>
        <v>#REF!</v>
      </c>
      <c r="O26" s="672"/>
      <c r="P26" s="668"/>
      <c r="Q26" s="676"/>
      <c r="R26" s="676"/>
    </row>
    <row r="27" spans="1:19" s="677" customFormat="1" ht="25.5" hidden="1" customHeight="1">
      <c r="A27" s="662"/>
      <c r="B27" s="663" t="s">
        <v>1364</v>
      </c>
      <c r="C27" s="675">
        <f>ROUND([14]Data!K105,2)</f>
        <v>297.10000000000002</v>
      </c>
      <c r="D27" s="674" t="s">
        <v>235</v>
      </c>
      <c r="E27" s="660"/>
      <c r="F27" s="667">
        <f t="shared" si="3"/>
        <v>0</v>
      </c>
      <c r="G27" s="675"/>
      <c r="H27" s="667">
        <f t="shared" si="0"/>
        <v>0</v>
      </c>
      <c r="I27" s="667"/>
      <c r="J27" s="667"/>
      <c r="K27" s="667" t="e">
        <f>E27+#REF!+#REF!+#REF!+G27+#REF!+#REF!+#REF!+#REF!+#REF!+#REF!+I27+#REF!+#REF!+#REF!</f>
        <v>#REF!</v>
      </c>
      <c r="L27" s="667" t="e">
        <f t="shared" si="1"/>
        <v>#REF!</v>
      </c>
      <c r="M27" s="665" t="e">
        <f>#REF!+K27</f>
        <v>#REF!</v>
      </c>
      <c r="N27" s="666" t="e">
        <f t="shared" si="2"/>
        <v>#REF!</v>
      </c>
      <c r="O27" s="672"/>
      <c r="P27" s="668"/>
      <c r="Q27" s="676"/>
      <c r="R27" s="676"/>
    </row>
    <row r="28" spans="1:19" s="677" customFormat="1" ht="46.5" hidden="1" customHeight="1">
      <c r="A28" s="662">
        <v>1.8</v>
      </c>
      <c r="B28" s="663" t="s">
        <v>1373</v>
      </c>
      <c r="C28" s="675"/>
      <c r="D28" s="674" t="s">
        <v>220</v>
      </c>
      <c r="E28" s="660"/>
      <c r="F28" s="667">
        <f t="shared" si="3"/>
        <v>0</v>
      </c>
      <c r="G28" s="675"/>
      <c r="H28" s="667">
        <f t="shared" si="0"/>
        <v>0</v>
      </c>
      <c r="I28" s="667"/>
      <c r="J28" s="667"/>
      <c r="K28" s="667" t="e">
        <f>E28+#REF!+#REF!+#REF!+G28+#REF!+#REF!+#REF!+#REF!+#REF!+#REF!+I28+#REF!+#REF!+#REF!</f>
        <v>#REF!</v>
      </c>
      <c r="L28" s="667" t="e">
        <f t="shared" si="1"/>
        <v>#REF!</v>
      </c>
      <c r="M28" s="665" t="e">
        <f>#REF!+K28</f>
        <v>#REF!</v>
      </c>
      <c r="N28" s="666" t="e">
        <f t="shared" si="2"/>
        <v>#REF!</v>
      </c>
      <c r="O28" s="672"/>
      <c r="P28" s="668"/>
      <c r="Q28" s="676"/>
      <c r="R28" s="676"/>
    </row>
    <row r="29" spans="1:19" s="682" customFormat="1" ht="25.5" hidden="1" customHeight="1">
      <c r="A29" s="662"/>
      <c r="B29" s="663" t="s">
        <v>63</v>
      </c>
      <c r="C29" s="675">
        <f>ROUND([14]Data!K129,2)</f>
        <v>143.9</v>
      </c>
      <c r="D29" s="674" t="s">
        <v>235</v>
      </c>
      <c r="E29" s="660"/>
      <c r="F29" s="667">
        <f t="shared" si="3"/>
        <v>0</v>
      </c>
      <c r="G29" s="675"/>
      <c r="H29" s="667">
        <f t="shared" si="0"/>
        <v>0</v>
      </c>
      <c r="I29" s="667"/>
      <c r="J29" s="667"/>
      <c r="K29" s="667" t="e">
        <f>E29+#REF!+#REF!+#REF!+G29+#REF!+#REF!+#REF!+#REF!+#REF!+#REF!+I29+#REF!+#REF!+#REF!</f>
        <v>#REF!</v>
      </c>
      <c r="L29" s="667" t="e">
        <f t="shared" si="1"/>
        <v>#REF!</v>
      </c>
      <c r="M29" s="665" t="e">
        <f>#REF!+K29</f>
        <v>#REF!</v>
      </c>
      <c r="N29" s="666" t="e">
        <f t="shared" si="2"/>
        <v>#REF!</v>
      </c>
      <c r="O29" s="672"/>
      <c r="P29" s="668"/>
      <c r="Q29" s="680"/>
      <c r="R29" s="681"/>
    </row>
    <row r="30" spans="1:19" s="677" customFormat="1" ht="25.5" hidden="1" customHeight="1">
      <c r="A30" s="662"/>
      <c r="B30" s="663" t="s">
        <v>1364</v>
      </c>
      <c r="C30" s="675">
        <f>ROUND([14]Data!K130,2)</f>
        <v>153.19999999999999</v>
      </c>
      <c r="D30" s="674" t="s">
        <v>235</v>
      </c>
      <c r="E30" s="660"/>
      <c r="F30" s="667">
        <f t="shared" si="3"/>
        <v>0</v>
      </c>
      <c r="G30" s="675"/>
      <c r="H30" s="667">
        <f t="shared" si="0"/>
        <v>0</v>
      </c>
      <c r="I30" s="667"/>
      <c r="J30" s="667"/>
      <c r="K30" s="667" t="e">
        <f>E30+#REF!+#REF!+#REF!+G30+#REF!+#REF!+#REF!+#REF!+#REF!+#REF!+I30+#REF!+#REF!+#REF!</f>
        <v>#REF!</v>
      </c>
      <c r="L30" s="667" t="e">
        <f t="shared" si="1"/>
        <v>#REF!</v>
      </c>
      <c r="M30" s="665" t="e">
        <f>#REF!+K30</f>
        <v>#REF!</v>
      </c>
      <c r="N30" s="666" t="e">
        <f t="shared" si="2"/>
        <v>#REF!</v>
      </c>
      <c r="O30" s="672"/>
      <c r="P30" s="668"/>
      <c r="Q30" s="676"/>
      <c r="R30" s="676"/>
    </row>
    <row r="31" spans="1:19" s="677" customFormat="1" ht="25.5" hidden="1" customHeight="1">
      <c r="A31" s="662">
        <v>1.9</v>
      </c>
      <c r="B31" s="663" t="s">
        <v>1374</v>
      </c>
      <c r="C31" s="675"/>
      <c r="D31" s="674"/>
      <c r="E31" s="660"/>
      <c r="F31" s="667">
        <f t="shared" si="3"/>
        <v>0</v>
      </c>
      <c r="G31" s="675"/>
      <c r="H31" s="667">
        <f t="shared" si="0"/>
        <v>0</v>
      </c>
      <c r="I31" s="667"/>
      <c r="J31" s="667"/>
      <c r="K31" s="667" t="e">
        <f>E31+#REF!+#REF!+#REF!+G31+#REF!+#REF!+#REF!+#REF!+#REF!+#REF!+I31+#REF!+#REF!+#REF!</f>
        <v>#REF!</v>
      </c>
      <c r="L31" s="667" t="e">
        <f t="shared" si="1"/>
        <v>#REF!</v>
      </c>
      <c r="M31" s="665" t="e">
        <f>#REF!+K31</f>
        <v>#REF!</v>
      </c>
      <c r="N31" s="666" t="e">
        <f t="shared" si="2"/>
        <v>#REF!</v>
      </c>
      <c r="O31" s="672"/>
      <c r="P31" s="668"/>
      <c r="Q31" s="676"/>
      <c r="R31" s="676"/>
    </row>
    <row r="32" spans="1:19" s="677" customFormat="1" ht="26.25" hidden="1" customHeight="1">
      <c r="A32" s="662"/>
      <c r="B32" s="663" t="s">
        <v>1375</v>
      </c>
      <c r="C32" s="675"/>
      <c r="D32" s="674" t="s">
        <v>61</v>
      </c>
      <c r="E32" s="660"/>
      <c r="F32" s="667">
        <f t="shared" si="3"/>
        <v>0</v>
      </c>
      <c r="G32" s="675"/>
      <c r="H32" s="667">
        <f t="shared" si="0"/>
        <v>0</v>
      </c>
      <c r="I32" s="667"/>
      <c r="J32" s="667"/>
      <c r="K32" s="667" t="e">
        <f>E32+#REF!+#REF!+#REF!+G32+#REF!+#REF!+#REF!+#REF!+#REF!+#REF!+I32+#REF!+#REF!+#REF!</f>
        <v>#REF!</v>
      </c>
      <c r="L32" s="667" t="e">
        <f t="shared" si="1"/>
        <v>#REF!</v>
      </c>
      <c r="M32" s="665" t="e">
        <f>#REF!+K32</f>
        <v>#REF!</v>
      </c>
      <c r="N32" s="666" t="e">
        <f t="shared" si="2"/>
        <v>#REF!</v>
      </c>
      <c r="O32" s="672"/>
      <c r="P32" s="668"/>
      <c r="Q32" s="676"/>
      <c r="R32" s="676"/>
    </row>
    <row r="33" spans="1:23" s="677" customFormat="1" ht="25.5" hidden="1" customHeight="1">
      <c r="A33" s="662"/>
      <c r="B33" s="663" t="s">
        <v>1376</v>
      </c>
      <c r="C33" s="675"/>
      <c r="D33" s="674" t="s">
        <v>61</v>
      </c>
      <c r="E33" s="660"/>
      <c r="F33" s="667">
        <f t="shared" si="3"/>
        <v>0</v>
      </c>
      <c r="G33" s="675"/>
      <c r="H33" s="667">
        <f t="shared" si="0"/>
        <v>0</v>
      </c>
      <c r="I33" s="667"/>
      <c r="J33" s="667"/>
      <c r="K33" s="667" t="e">
        <f>E33+#REF!+#REF!+#REF!+G33+#REF!+#REF!+#REF!+#REF!+#REF!+#REF!+I33+#REF!+#REF!+#REF!</f>
        <v>#REF!</v>
      </c>
      <c r="L33" s="667" t="e">
        <f t="shared" si="1"/>
        <v>#REF!</v>
      </c>
      <c r="M33" s="665" t="e">
        <f>#REF!+K33</f>
        <v>#REF!</v>
      </c>
      <c r="N33" s="666" t="e">
        <f t="shared" si="2"/>
        <v>#REF!</v>
      </c>
      <c r="O33" s="672"/>
      <c r="P33" s="668"/>
      <c r="Q33" s="676"/>
      <c r="R33" s="676"/>
    </row>
    <row r="34" spans="1:23" s="677" customFormat="1" ht="25.5" hidden="1" customHeight="1">
      <c r="A34" s="662"/>
      <c r="B34" s="663" t="s">
        <v>1377</v>
      </c>
      <c r="C34" s="675"/>
      <c r="D34" s="674" t="s">
        <v>61</v>
      </c>
      <c r="E34" s="660"/>
      <c r="F34" s="667">
        <f t="shared" si="3"/>
        <v>0</v>
      </c>
      <c r="G34" s="675"/>
      <c r="H34" s="667">
        <f t="shared" si="0"/>
        <v>0</v>
      </c>
      <c r="I34" s="667"/>
      <c r="J34" s="667"/>
      <c r="K34" s="667" t="e">
        <f>E34+#REF!+#REF!+#REF!+G34+#REF!+#REF!+#REF!+#REF!+#REF!+#REF!+I34+#REF!+#REF!+#REF!</f>
        <v>#REF!</v>
      </c>
      <c r="L34" s="667" t="e">
        <f t="shared" si="1"/>
        <v>#REF!</v>
      </c>
      <c r="M34" s="665" t="e">
        <f>#REF!+K34</f>
        <v>#REF!</v>
      </c>
      <c r="N34" s="666" t="e">
        <f t="shared" si="2"/>
        <v>#REF!</v>
      </c>
      <c r="O34" s="672"/>
      <c r="P34" s="668"/>
      <c r="Q34" s="676"/>
      <c r="R34" s="676"/>
    </row>
    <row r="35" spans="1:23" s="677" customFormat="1" ht="25.5" hidden="1" customHeight="1">
      <c r="A35" s="662"/>
      <c r="B35" s="663" t="s">
        <v>1378</v>
      </c>
      <c r="C35" s="675"/>
      <c r="D35" s="674" t="s">
        <v>61</v>
      </c>
      <c r="E35" s="660"/>
      <c r="F35" s="667">
        <f t="shared" si="3"/>
        <v>0</v>
      </c>
      <c r="G35" s="675"/>
      <c r="H35" s="667">
        <f t="shared" si="0"/>
        <v>0</v>
      </c>
      <c r="I35" s="667"/>
      <c r="J35" s="667"/>
      <c r="K35" s="667" t="e">
        <f>E35+#REF!+#REF!+#REF!+G35+#REF!+#REF!+#REF!+#REF!+#REF!+#REF!+I35+#REF!+#REF!+#REF!</f>
        <v>#REF!</v>
      </c>
      <c r="L35" s="667" t="e">
        <f t="shared" si="1"/>
        <v>#REF!</v>
      </c>
      <c r="M35" s="665" t="e">
        <f>#REF!+K35</f>
        <v>#REF!</v>
      </c>
      <c r="N35" s="666" t="e">
        <f t="shared" si="2"/>
        <v>#REF!</v>
      </c>
      <c r="O35" s="672"/>
      <c r="P35" s="668"/>
      <c r="Q35" s="676"/>
      <c r="R35" s="676"/>
    </row>
    <row r="36" spans="1:23" s="677" customFormat="1" ht="25.5" hidden="1" customHeight="1">
      <c r="A36" s="662"/>
      <c r="B36" s="663" t="s">
        <v>1379</v>
      </c>
      <c r="C36" s="675"/>
      <c r="D36" s="674" t="s">
        <v>61</v>
      </c>
      <c r="E36" s="660"/>
      <c r="F36" s="667">
        <f t="shared" si="3"/>
        <v>0</v>
      </c>
      <c r="G36" s="675"/>
      <c r="H36" s="667">
        <f t="shared" si="0"/>
        <v>0</v>
      </c>
      <c r="I36" s="667"/>
      <c r="J36" s="667"/>
      <c r="K36" s="667" t="e">
        <f>E36+#REF!+#REF!+#REF!+G36+#REF!+#REF!+#REF!+#REF!+#REF!+#REF!+I36+#REF!+#REF!+#REF!</f>
        <v>#REF!</v>
      </c>
      <c r="L36" s="667" t="e">
        <f t="shared" si="1"/>
        <v>#REF!</v>
      </c>
      <c r="M36" s="665" t="e">
        <f>#REF!+K36</f>
        <v>#REF!</v>
      </c>
      <c r="N36" s="666" t="e">
        <f t="shared" si="2"/>
        <v>#REF!</v>
      </c>
      <c r="O36" s="672"/>
      <c r="P36" s="668"/>
      <c r="Q36" s="676"/>
      <c r="R36" s="676"/>
    </row>
    <row r="37" spans="1:23" s="677" customFormat="1" ht="18.75" hidden="1" customHeight="1">
      <c r="A37" s="662"/>
      <c r="B37" s="663" t="s">
        <v>1380</v>
      </c>
      <c r="C37" s="675"/>
      <c r="D37" s="674" t="s">
        <v>61</v>
      </c>
      <c r="E37" s="660"/>
      <c r="F37" s="667">
        <f t="shared" si="3"/>
        <v>0</v>
      </c>
      <c r="G37" s="675"/>
      <c r="H37" s="667">
        <f t="shared" si="0"/>
        <v>0</v>
      </c>
      <c r="I37" s="667"/>
      <c r="J37" s="667"/>
      <c r="K37" s="667" t="e">
        <f>E37+#REF!+#REF!+#REF!+G37+#REF!+#REF!+#REF!+#REF!+#REF!+#REF!+I37+#REF!+#REF!+#REF!</f>
        <v>#REF!</v>
      </c>
      <c r="L37" s="667" t="e">
        <f t="shared" si="1"/>
        <v>#REF!</v>
      </c>
      <c r="M37" s="665" t="e">
        <f>#REF!+K37</f>
        <v>#REF!</v>
      </c>
      <c r="N37" s="666" t="e">
        <f t="shared" si="2"/>
        <v>#REF!</v>
      </c>
      <c r="O37" s="672"/>
      <c r="P37" s="668"/>
      <c r="Q37" s="676"/>
      <c r="R37" s="676"/>
    </row>
    <row r="38" spans="1:23" s="683" customFormat="1" ht="43.5" customHeight="1">
      <c r="A38" s="662">
        <v>2.1</v>
      </c>
      <c r="B38" s="663" t="s">
        <v>509</v>
      </c>
      <c r="C38" s="667">
        <f>ROUND([14]Data!K144,2)</f>
        <v>1647.2</v>
      </c>
      <c r="D38" s="663" t="s">
        <v>235</v>
      </c>
      <c r="E38" s="667">
        <f>'Septic Tank'!$H$17</f>
        <v>1.8</v>
      </c>
      <c r="F38" s="667">
        <f t="shared" si="3"/>
        <v>2964.96</v>
      </c>
      <c r="G38" s="667">
        <f>'PAVER ROAD'!$G$41</f>
        <v>6</v>
      </c>
      <c r="H38" s="667">
        <f t="shared" si="0"/>
        <v>9883.2000000000007</v>
      </c>
      <c r="I38" s="667"/>
      <c r="J38" s="667"/>
      <c r="K38" s="667" t="e">
        <f>E38+#REF!+#REF!+#REF!+G38+#REF!+#REF!+#REF!+#REF!+#REF!+#REF!+I38+#REF!+#REF!+#REF!</f>
        <v>#REF!</v>
      </c>
      <c r="L38" s="667" t="e">
        <f t="shared" si="1"/>
        <v>#REF!</v>
      </c>
      <c r="M38" s="665" t="e">
        <f>#REF!+K38</f>
        <v>#REF!</v>
      </c>
      <c r="N38" s="666" t="e">
        <f t="shared" si="2"/>
        <v>#REF!</v>
      </c>
      <c r="O38" s="672"/>
      <c r="P38" s="668"/>
      <c r="Q38" s="669"/>
      <c r="R38" s="669"/>
    </row>
    <row r="39" spans="1:23" s="677" customFormat="1" ht="24" hidden="1" customHeight="1">
      <c r="A39" s="662">
        <v>2.2000000000000002</v>
      </c>
      <c r="B39" s="663" t="s">
        <v>1381</v>
      </c>
      <c r="C39" s="675">
        <f>ROUND([14]Data!K161,2)</f>
        <v>1556.79</v>
      </c>
      <c r="D39" s="674" t="s">
        <v>235</v>
      </c>
      <c r="E39" s="684"/>
      <c r="F39" s="667">
        <f t="shared" si="3"/>
        <v>0</v>
      </c>
      <c r="G39" s="675"/>
      <c r="H39" s="667">
        <f t="shared" si="0"/>
        <v>0</v>
      </c>
      <c r="I39" s="667"/>
      <c r="J39" s="667"/>
      <c r="K39" s="667" t="e">
        <f>E39+#REF!+#REF!+#REF!+G39+#REF!+#REF!+#REF!+#REF!+#REF!+#REF!+I39+#REF!+#REF!+#REF!</f>
        <v>#REF!</v>
      </c>
      <c r="L39" s="667" t="e">
        <f t="shared" si="1"/>
        <v>#REF!</v>
      </c>
      <c r="M39" s="665" t="e">
        <f>#REF!+K39</f>
        <v>#REF!</v>
      </c>
      <c r="N39" s="666" t="e">
        <f t="shared" si="2"/>
        <v>#REF!</v>
      </c>
      <c r="O39" s="672"/>
      <c r="P39" s="668"/>
      <c r="Q39" s="676"/>
      <c r="R39" s="676"/>
    </row>
    <row r="40" spans="1:23" ht="46.5" hidden="1" customHeight="1">
      <c r="A40" s="673">
        <v>2.2999999999999998</v>
      </c>
      <c r="B40" s="674" t="s">
        <v>19</v>
      </c>
      <c r="C40" s="675">
        <f>ROUND([14]Data!C165,2)</f>
        <v>837.3</v>
      </c>
      <c r="D40" s="674" t="s">
        <v>235</v>
      </c>
      <c r="E40" s="684"/>
      <c r="F40" s="667">
        <f t="shared" si="3"/>
        <v>0</v>
      </c>
      <c r="G40" s="675"/>
      <c r="H40" s="667">
        <f t="shared" si="0"/>
        <v>0</v>
      </c>
      <c r="I40" s="667"/>
      <c r="J40" s="667"/>
      <c r="K40" s="667" t="e">
        <f>E40+#REF!+#REF!+#REF!+G40+#REF!+#REF!+#REF!+#REF!+#REF!+#REF!+I40+#REF!+#REF!+#REF!</f>
        <v>#REF!</v>
      </c>
      <c r="L40" s="667" t="e">
        <f t="shared" si="1"/>
        <v>#REF!</v>
      </c>
      <c r="M40" s="665" t="e">
        <f>#REF!+K40</f>
        <v>#REF!</v>
      </c>
      <c r="N40" s="666" t="e">
        <f t="shared" si="2"/>
        <v>#REF!</v>
      </c>
      <c r="O40" s="672"/>
      <c r="P40" s="668"/>
    </row>
    <row r="41" spans="1:23" ht="46.5" hidden="1" customHeight="1">
      <c r="A41" s="673">
        <v>2.4</v>
      </c>
      <c r="B41" s="674" t="s">
        <v>20</v>
      </c>
      <c r="C41" s="675">
        <f>ROUND([14]Data!C166,2)</f>
        <v>916.3</v>
      </c>
      <c r="D41" s="674" t="s">
        <v>235</v>
      </c>
      <c r="E41" s="684"/>
      <c r="F41" s="667">
        <f t="shared" si="3"/>
        <v>0</v>
      </c>
      <c r="G41" s="675"/>
      <c r="H41" s="667">
        <f t="shared" si="0"/>
        <v>0</v>
      </c>
      <c r="I41" s="667"/>
      <c r="J41" s="667"/>
      <c r="K41" s="667" t="e">
        <f>E41+#REF!+#REF!+#REF!+G41+#REF!+#REF!+#REF!+#REF!+#REF!+#REF!+I41+#REF!+#REF!+#REF!</f>
        <v>#REF!</v>
      </c>
      <c r="L41" s="667" t="e">
        <f t="shared" si="1"/>
        <v>#REF!</v>
      </c>
      <c r="M41" s="665" t="e">
        <f>#REF!+K41</f>
        <v>#REF!</v>
      </c>
      <c r="N41" s="666" t="e">
        <f t="shared" si="2"/>
        <v>#REF!</v>
      </c>
      <c r="O41" s="672"/>
      <c r="P41" s="668"/>
    </row>
    <row r="42" spans="1:23" s="677" customFormat="1" ht="22.5" hidden="1" customHeight="1">
      <c r="A42" s="662">
        <v>2.5</v>
      </c>
      <c r="B42" s="663" t="s">
        <v>1382</v>
      </c>
      <c r="C42" s="675">
        <f>ROUND([14]Data!K189,2)</f>
        <v>441.45</v>
      </c>
      <c r="D42" s="674" t="s">
        <v>235</v>
      </c>
      <c r="E42" s="684"/>
      <c r="F42" s="667">
        <f t="shared" si="3"/>
        <v>0</v>
      </c>
      <c r="G42" s="675"/>
      <c r="H42" s="667">
        <f t="shared" si="0"/>
        <v>0</v>
      </c>
      <c r="I42" s="667"/>
      <c r="J42" s="667"/>
      <c r="K42" s="667" t="e">
        <f>E42+#REF!+#REF!+#REF!+G42+#REF!+#REF!+#REF!+#REF!+#REF!+#REF!+I42+#REF!+#REF!+#REF!</f>
        <v>#REF!</v>
      </c>
      <c r="L42" s="667" t="e">
        <f t="shared" si="1"/>
        <v>#REF!</v>
      </c>
      <c r="M42" s="665" t="e">
        <f>#REF!+K42</f>
        <v>#REF!</v>
      </c>
      <c r="N42" s="666" t="e">
        <f t="shared" si="2"/>
        <v>#REF!</v>
      </c>
      <c r="O42" s="672"/>
      <c r="P42" s="668"/>
      <c r="Q42" s="676"/>
      <c r="R42" s="676"/>
    </row>
    <row r="43" spans="1:23" s="677" customFormat="1" ht="48" customHeight="1">
      <c r="A43" s="662">
        <v>2.6</v>
      </c>
      <c r="B43" s="663" t="s">
        <v>1383</v>
      </c>
      <c r="C43" s="667">
        <f>ROUND([14]Data!K171,2)</f>
        <v>1540.76</v>
      </c>
      <c r="D43" s="663" t="s">
        <v>235</v>
      </c>
      <c r="E43" s="667">
        <f>'Septic Tank'!$G$20</f>
        <v>3</v>
      </c>
      <c r="F43" s="667">
        <f t="shared" si="3"/>
        <v>4622.28</v>
      </c>
      <c r="G43" s="667"/>
      <c r="H43" s="667">
        <f t="shared" si="0"/>
        <v>0</v>
      </c>
      <c r="I43" s="667"/>
      <c r="J43" s="667"/>
      <c r="K43" s="667" t="e">
        <f>E43+#REF!+#REF!+#REF!+G43+#REF!+#REF!+#REF!+#REF!+#REF!+#REF!+I43+#REF!+#REF!+#REF!</f>
        <v>#REF!</v>
      </c>
      <c r="L43" s="667" t="e">
        <f t="shared" si="1"/>
        <v>#REF!</v>
      </c>
      <c r="M43" s="665" t="e">
        <f>#REF!+K43</f>
        <v>#REF!</v>
      </c>
      <c r="N43" s="666" t="e">
        <f t="shared" si="2"/>
        <v>#REF!</v>
      </c>
      <c r="O43" s="672"/>
      <c r="P43" s="668"/>
      <c r="Q43" s="676"/>
      <c r="R43" s="676"/>
    </row>
    <row r="44" spans="1:23" s="677" customFormat="1" ht="48" customHeight="1">
      <c r="A44" s="662">
        <v>2.7</v>
      </c>
      <c r="B44" s="663" t="s">
        <v>1384</v>
      </c>
      <c r="C44" s="667">
        <f>ROUND([14]Data!K179,2)</f>
        <v>1943.76</v>
      </c>
      <c r="D44" s="663" t="s">
        <v>235</v>
      </c>
      <c r="E44" s="667">
        <f>'Septic Tank'!$G$23</f>
        <v>2</v>
      </c>
      <c r="F44" s="667">
        <f t="shared" si="3"/>
        <v>3887.52</v>
      </c>
      <c r="G44" s="667"/>
      <c r="H44" s="667">
        <f t="shared" si="0"/>
        <v>0</v>
      </c>
      <c r="I44" s="667"/>
      <c r="J44" s="667"/>
      <c r="K44" s="667" t="e">
        <f>E44+#REF!+#REF!+#REF!+G44+#REF!+#REF!+#REF!+#REF!+#REF!+#REF!+I44+#REF!+#REF!+#REF!</f>
        <v>#REF!</v>
      </c>
      <c r="L44" s="667" t="e">
        <f t="shared" si="1"/>
        <v>#REF!</v>
      </c>
      <c r="M44" s="665" t="e">
        <f>#REF!+K44</f>
        <v>#REF!</v>
      </c>
      <c r="N44" s="666" t="e">
        <f t="shared" si="2"/>
        <v>#REF!</v>
      </c>
      <c r="O44" s="672"/>
      <c r="P44" s="668"/>
      <c r="Q44" s="676"/>
      <c r="R44" s="676"/>
    </row>
    <row r="45" spans="1:23" s="683" customFormat="1" ht="48" customHeight="1">
      <c r="A45" s="662">
        <v>3.1</v>
      </c>
      <c r="B45" s="663" t="s">
        <v>1385</v>
      </c>
      <c r="C45" s="667">
        <f>ROUND([14]Data!K204,2)</f>
        <v>4691.3</v>
      </c>
      <c r="D45" s="663" t="s">
        <v>235</v>
      </c>
      <c r="E45" s="667">
        <f>'Septic Tank'!$H$28</f>
        <v>1.8974200000000001</v>
      </c>
      <c r="F45" s="667">
        <f t="shared" si="3"/>
        <v>8901.366446</v>
      </c>
      <c r="G45" s="667">
        <f>'PAVER ROAD'!$G$18</f>
        <v>1.38025</v>
      </c>
      <c r="H45" s="667">
        <f t="shared" si="0"/>
        <v>6475.1668250000002</v>
      </c>
      <c r="I45" s="667"/>
      <c r="J45" s="667"/>
      <c r="K45" s="667" t="e">
        <f>E45+#REF!+#REF!+#REF!+G45+#REF!+#REF!+#REF!+#REF!+#REF!+#REF!+I45+#REF!+#REF!+#REF!</f>
        <v>#REF!</v>
      </c>
      <c r="L45" s="667" t="e">
        <f t="shared" si="1"/>
        <v>#REF!</v>
      </c>
      <c r="M45" s="665" t="e">
        <f>#REF!+K45</f>
        <v>#REF!</v>
      </c>
      <c r="N45" s="666" t="e">
        <f t="shared" si="2"/>
        <v>#REF!</v>
      </c>
      <c r="O45" s="672"/>
      <c r="P45" s="668"/>
      <c r="Q45" s="669"/>
      <c r="R45" s="669"/>
    </row>
    <row r="46" spans="1:23" ht="60" customHeight="1">
      <c r="A46" s="662">
        <v>3.2</v>
      </c>
      <c r="B46" s="663" t="s">
        <v>1386</v>
      </c>
      <c r="C46" s="667">
        <f>ROUND([14]Data!K219,2)</f>
        <v>6212.62</v>
      </c>
      <c r="D46" s="663" t="s">
        <v>235</v>
      </c>
      <c r="E46" s="667"/>
      <c r="F46" s="667">
        <f t="shared" si="3"/>
        <v>0</v>
      </c>
      <c r="G46" s="667"/>
      <c r="H46" s="667">
        <f t="shared" si="0"/>
        <v>0</v>
      </c>
      <c r="I46" s="667"/>
      <c r="J46" s="667"/>
      <c r="K46" s="667" t="e">
        <f>E46+#REF!+#REF!+#REF!+G46+#REF!+#REF!+#REF!+#REF!+#REF!+#REF!+I46+#REF!+#REF!+#REF!</f>
        <v>#REF!</v>
      </c>
      <c r="L46" s="667" t="e">
        <f t="shared" si="1"/>
        <v>#REF!</v>
      </c>
      <c r="M46" s="665" t="e">
        <f>#REF!+K46</f>
        <v>#REF!</v>
      </c>
      <c r="N46" s="666" t="e">
        <f t="shared" si="2"/>
        <v>#REF!</v>
      </c>
      <c r="O46" s="672"/>
      <c r="P46" s="668"/>
    </row>
    <row r="47" spans="1:23" s="677" customFormat="1" ht="56.25" hidden="1" customHeight="1">
      <c r="A47" s="662">
        <v>3.3</v>
      </c>
      <c r="B47" s="663" t="s">
        <v>1387</v>
      </c>
      <c r="C47" s="675">
        <f>ROUND([14]Data!K234,2)</f>
        <v>3839.63</v>
      </c>
      <c r="D47" s="674" t="s">
        <v>235</v>
      </c>
      <c r="E47" s="684"/>
      <c r="F47" s="667">
        <f t="shared" si="3"/>
        <v>0</v>
      </c>
      <c r="G47" s="675"/>
      <c r="H47" s="667">
        <f t="shared" si="0"/>
        <v>0</v>
      </c>
      <c r="I47" s="667"/>
      <c r="J47" s="667"/>
      <c r="K47" s="667" t="e">
        <f>E47+#REF!+#REF!+#REF!+G47+#REF!+#REF!+#REF!+#REF!+#REF!+#REF!+I47+#REF!+#REF!+#REF!</f>
        <v>#REF!</v>
      </c>
      <c r="L47" s="667" t="e">
        <f t="shared" si="1"/>
        <v>#REF!</v>
      </c>
      <c r="M47" s="665" t="e">
        <f>#REF!+K47</f>
        <v>#REF!</v>
      </c>
      <c r="N47" s="666" t="e">
        <f t="shared" si="2"/>
        <v>#REF!</v>
      </c>
      <c r="O47" s="672"/>
      <c r="P47" s="668"/>
      <c r="Q47" s="676"/>
      <c r="R47" s="676"/>
      <c r="W47" s="677">
        <f>4360-145</f>
        <v>4215</v>
      </c>
    </row>
    <row r="48" spans="1:23" s="677" customFormat="1" ht="46.5" hidden="1" customHeight="1">
      <c r="A48" s="662">
        <v>3.4</v>
      </c>
      <c r="B48" s="663" t="s">
        <v>1388</v>
      </c>
      <c r="C48" s="675"/>
      <c r="D48" s="674" t="s">
        <v>264</v>
      </c>
      <c r="E48" s="684"/>
      <c r="F48" s="667">
        <f t="shared" si="3"/>
        <v>0</v>
      </c>
      <c r="G48" s="675"/>
      <c r="H48" s="667">
        <f t="shared" si="0"/>
        <v>0</v>
      </c>
      <c r="I48" s="667"/>
      <c r="J48" s="667"/>
      <c r="K48" s="667" t="e">
        <f>E48+#REF!+#REF!+#REF!+G48+#REF!+#REF!+#REF!+#REF!+#REF!+#REF!+I48+#REF!+#REF!+#REF!</f>
        <v>#REF!</v>
      </c>
      <c r="L48" s="667" t="e">
        <f t="shared" si="1"/>
        <v>#REF!</v>
      </c>
      <c r="M48" s="665" t="e">
        <f>#REF!+K48</f>
        <v>#REF!</v>
      </c>
      <c r="N48" s="666" t="e">
        <f t="shared" si="2"/>
        <v>#REF!</v>
      </c>
      <c r="O48" s="672"/>
      <c r="P48" s="668"/>
      <c r="Q48" s="676"/>
      <c r="R48" s="676"/>
    </row>
    <row r="49" spans="1:18" s="677" customFormat="1" ht="25.5" hidden="1" customHeight="1">
      <c r="A49" s="662">
        <v>3.5</v>
      </c>
      <c r="B49" s="663" t="s">
        <v>1389</v>
      </c>
      <c r="C49" s="675"/>
      <c r="D49" s="674" t="s">
        <v>264</v>
      </c>
      <c r="E49" s="684"/>
      <c r="F49" s="667">
        <f t="shared" si="3"/>
        <v>0</v>
      </c>
      <c r="G49" s="675"/>
      <c r="H49" s="667">
        <f t="shared" si="0"/>
        <v>0</v>
      </c>
      <c r="I49" s="667"/>
      <c r="J49" s="667"/>
      <c r="K49" s="667" t="e">
        <f>E49+#REF!+#REF!+#REF!+G49+#REF!+#REF!+#REF!+#REF!+#REF!+#REF!+I49+#REF!+#REF!+#REF!</f>
        <v>#REF!</v>
      </c>
      <c r="L49" s="667" t="e">
        <f t="shared" si="1"/>
        <v>#REF!</v>
      </c>
      <c r="M49" s="665" t="e">
        <f>#REF!+K49</f>
        <v>#REF!</v>
      </c>
      <c r="N49" s="666" t="e">
        <f t="shared" si="2"/>
        <v>#REF!</v>
      </c>
      <c r="O49" s="672"/>
      <c r="P49" s="668"/>
      <c r="Q49" s="676"/>
      <c r="R49" s="676"/>
    </row>
    <row r="50" spans="1:18" s="677" customFormat="1" ht="93" hidden="1" customHeight="1">
      <c r="A50" s="662">
        <v>3.6</v>
      </c>
      <c r="B50" s="663" t="s">
        <v>1390</v>
      </c>
      <c r="C50" s="675">
        <f>ROUND([14]Data!K249,2)</f>
        <v>215.1</v>
      </c>
      <c r="D50" s="674" t="s">
        <v>264</v>
      </c>
      <c r="E50" s="684"/>
      <c r="F50" s="667">
        <f t="shared" si="3"/>
        <v>0</v>
      </c>
      <c r="G50" s="675"/>
      <c r="H50" s="667">
        <f t="shared" si="0"/>
        <v>0</v>
      </c>
      <c r="I50" s="667"/>
      <c r="J50" s="667"/>
      <c r="K50" s="667" t="e">
        <f>E50+#REF!+#REF!+#REF!+G50+#REF!+#REF!+#REF!+#REF!+#REF!+#REF!+I50+#REF!+#REF!+#REF!</f>
        <v>#REF!</v>
      </c>
      <c r="L50" s="667" t="e">
        <f t="shared" si="1"/>
        <v>#REF!</v>
      </c>
      <c r="M50" s="665" t="e">
        <f>#REF!+K50</f>
        <v>#REF!</v>
      </c>
      <c r="N50" s="666" t="e">
        <f t="shared" si="2"/>
        <v>#REF!</v>
      </c>
      <c r="O50" s="672"/>
      <c r="P50" s="668"/>
      <c r="Q50" s="676"/>
      <c r="R50" s="676"/>
    </row>
    <row r="51" spans="1:18" s="677" customFormat="1" ht="46.5" hidden="1" customHeight="1">
      <c r="A51" s="662">
        <v>3.7</v>
      </c>
      <c r="B51" s="663" t="s">
        <v>1391</v>
      </c>
      <c r="C51" s="675">
        <f>ROUND([14]Data!K261,2)</f>
        <v>149.82</v>
      </c>
      <c r="D51" s="674" t="s">
        <v>264</v>
      </c>
      <c r="E51" s="684"/>
      <c r="F51" s="667">
        <f t="shared" si="3"/>
        <v>0</v>
      </c>
      <c r="G51" s="675"/>
      <c r="H51" s="667">
        <f t="shared" si="0"/>
        <v>0</v>
      </c>
      <c r="I51" s="667"/>
      <c r="J51" s="667"/>
      <c r="K51" s="667" t="e">
        <f>E51+#REF!+#REF!+#REF!+G51+#REF!+#REF!+#REF!+#REF!+#REF!+#REF!+I51+#REF!+#REF!+#REF!</f>
        <v>#REF!</v>
      </c>
      <c r="L51" s="667" t="e">
        <f t="shared" si="1"/>
        <v>#REF!</v>
      </c>
      <c r="M51" s="665" t="e">
        <f>#REF!+K51</f>
        <v>#REF!</v>
      </c>
      <c r="N51" s="666" t="e">
        <f t="shared" si="2"/>
        <v>#REF!</v>
      </c>
      <c r="O51" s="672"/>
      <c r="P51" s="668"/>
      <c r="Q51" s="676"/>
      <c r="R51" s="676"/>
    </row>
    <row r="52" spans="1:18" s="677" customFormat="1" ht="25.5" hidden="1" customHeight="1">
      <c r="A52" s="662">
        <v>4.0999999999999996</v>
      </c>
      <c r="B52" s="685" t="s">
        <v>1392</v>
      </c>
      <c r="C52" s="675">
        <f>ROUND([14]Data!K285,2)</f>
        <v>7554.26</v>
      </c>
      <c r="D52" s="674" t="s">
        <v>235</v>
      </c>
      <c r="E52" s="675"/>
      <c r="F52" s="667">
        <f t="shared" si="3"/>
        <v>0</v>
      </c>
      <c r="G52" s="675"/>
      <c r="H52" s="667">
        <f t="shared" si="0"/>
        <v>0</v>
      </c>
      <c r="I52" s="667"/>
      <c r="J52" s="667"/>
      <c r="K52" s="667" t="e">
        <f>E52+#REF!+#REF!+#REF!+G52+#REF!+#REF!+#REF!+#REF!+#REF!+#REF!+I52+#REF!+#REF!+#REF!</f>
        <v>#REF!</v>
      </c>
      <c r="L52" s="667" t="e">
        <f t="shared" si="1"/>
        <v>#REF!</v>
      </c>
      <c r="M52" s="665" t="e">
        <f>#REF!+K52</f>
        <v>#REF!</v>
      </c>
      <c r="N52" s="666" t="e">
        <f t="shared" si="2"/>
        <v>#REF!</v>
      </c>
      <c r="O52" s="672"/>
      <c r="P52" s="668"/>
      <c r="Q52" s="676"/>
      <c r="R52" s="676"/>
    </row>
    <row r="53" spans="1:18" s="677" customFormat="1" ht="18.75" hidden="1" customHeight="1">
      <c r="A53" s="662">
        <v>4.2</v>
      </c>
      <c r="B53" s="685" t="s">
        <v>1393</v>
      </c>
      <c r="C53" s="675">
        <f>[14]Data!K821</f>
        <v>8196.15</v>
      </c>
      <c r="D53" s="674" t="s">
        <v>235</v>
      </c>
      <c r="E53" s="675"/>
      <c r="F53" s="667">
        <f t="shared" si="3"/>
        <v>0</v>
      </c>
      <c r="G53" s="675"/>
      <c r="H53" s="667">
        <f t="shared" si="0"/>
        <v>0</v>
      </c>
      <c r="I53" s="667"/>
      <c r="J53" s="667"/>
      <c r="K53" s="667" t="e">
        <f>E53+#REF!+#REF!+#REF!+G53+#REF!+#REF!+#REF!+#REF!+#REF!+#REF!+I53+#REF!+#REF!+#REF!</f>
        <v>#REF!</v>
      </c>
      <c r="L53" s="667" t="e">
        <f t="shared" si="1"/>
        <v>#REF!</v>
      </c>
      <c r="M53" s="665" t="e">
        <f>#REF!+K53</f>
        <v>#REF!</v>
      </c>
      <c r="N53" s="666" t="e">
        <f t="shared" si="2"/>
        <v>#REF!</v>
      </c>
      <c r="O53" s="672"/>
      <c r="P53" s="668"/>
      <c r="Q53" s="676"/>
      <c r="R53" s="676"/>
    </row>
    <row r="54" spans="1:18" ht="71.25" hidden="1" customHeight="1">
      <c r="A54" s="673">
        <v>5</v>
      </c>
      <c r="B54" s="674" t="s">
        <v>1394</v>
      </c>
      <c r="C54" s="675">
        <f>ROUND([14]Data!K306,2)</f>
        <v>5108.78</v>
      </c>
      <c r="D54" s="674" t="s">
        <v>235</v>
      </c>
      <c r="E54" s="660"/>
      <c r="F54" s="667">
        <f t="shared" si="3"/>
        <v>0</v>
      </c>
      <c r="G54" s="675"/>
      <c r="H54" s="667">
        <f t="shared" si="0"/>
        <v>0</v>
      </c>
      <c r="I54" s="667"/>
      <c r="J54" s="667"/>
      <c r="K54" s="667" t="e">
        <f>E54+#REF!+#REF!+#REF!+G54+#REF!+#REF!+#REF!+#REF!+#REF!+#REF!+I54+#REF!+#REF!+#REF!</f>
        <v>#REF!</v>
      </c>
      <c r="L54" s="667" t="e">
        <f t="shared" si="1"/>
        <v>#REF!</v>
      </c>
      <c r="M54" s="665" t="e">
        <f>#REF!+K54</f>
        <v>#REF!</v>
      </c>
      <c r="N54" s="666" t="e">
        <f t="shared" si="2"/>
        <v>#REF!</v>
      </c>
      <c r="O54" s="672"/>
      <c r="P54" s="668"/>
    </row>
    <row r="55" spans="1:18" s="677" customFormat="1" ht="69.75" hidden="1" customHeight="1">
      <c r="A55" s="662">
        <v>6.1</v>
      </c>
      <c r="B55" s="685" t="s">
        <v>1395</v>
      </c>
      <c r="C55" s="675">
        <f>[14]Data!X321</f>
        <v>6348.58</v>
      </c>
      <c r="D55" s="674" t="s">
        <v>235</v>
      </c>
      <c r="E55" s="660"/>
      <c r="F55" s="667">
        <f t="shared" si="3"/>
        <v>0</v>
      </c>
      <c r="G55" s="675"/>
      <c r="H55" s="667">
        <f t="shared" si="0"/>
        <v>0</v>
      </c>
      <c r="I55" s="667"/>
      <c r="J55" s="667"/>
      <c r="K55" s="667" t="e">
        <f>E55+#REF!+#REF!+#REF!+G55+#REF!+#REF!+#REF!+#REF!+#REF!+#REF!+I55+#REF!+#REF!+#REF!</f>
        <v>#REF!</v>
      </c>
      <c r="L55" s="667" t="e">
        <f t="shared" si="1"/>
        <v>#REF!</v>
      </c>
      <c r="M55" s="665" t="e">
        <f>#REF!+K55</f>
        <v>#REF!</v>
      </c>
      <c r="N55" s="666" t="e">
        <f t="shared" si="2"/>
        <v>#REF!</v>
      </c>
      <c r="O55" s="672"/>
      <c r="P55" s="668"/>
      <c r="Q55" s="676"/>
      <c r="R55" s="676"/>
    </row>
    <row r="56" spans="1:18" s="677" customFormat="1" ht="69.75" hidden="1" customHeight="1">
      <c r="A56" s="662">
        <v>6.2</v>
      </c>
      <c r="B56" s="685" t="s">
        <v>1396</v>
      </c>
      <c r="C56" s="675">
        <f>ROUND([14]Data!AG321,2)</f>
        <v>6027.89</v>
      </c>
      <c r="D56" s="674" t="s">
        <v>235</v>
      </c>
      <c r="E56" s="660"/>
      <c r="F56" s="667">
        <f t="shared" si="3"/>
        <v>0</v>
      </c>
      <c r="G56" s="675"/>
      <c r="H56" s="667">
        <f t="shared" si="0"/>
        <v>0</v>
      </c>
      <c r="I56" s="667"/>
      <c r="J56" s="667"/>
      <c r="K56" s="667" t="e">
        <f>E56+#REF!+#REF!+#REF!+G56+#REF!+#REF!+#REF!+#REF!+#REF!+#REF!+I56+#REF!+#REF!+#REF!</f>
        <v>#REF!</v>
      </c>
      <c r="L56" s="667" t="e">
        <f t="shared" si="1"/>
        <v>#REF!</v>
      </c>
      <c r="M56" s="665" t="e">
        <f>#REF!+K56</f>
        <v>#REF!</v>
      </c>
      <c r="N56" s="666" t="e">
        <f t="shared" si="2"/>
        <v>#REF!</v>
      </c>
      <c r="O56" s="672"/>
      <c r="P56" s="668"/>
      <c r="Q56" s="676"/>
      <c r="R56" s="676"/>
    </row>
    <row r="57" spans="1:18" s="677" customFormat="1" ht="69.75" hidden="1" customHeight="1">
      <c r="A57" s="662">
        <v>6.3</v>
      </c>
      <c r="B57" s="685" t="s">
        <v>1397</v>
      </c>
      <c r="C57" s="675"/>
      <c r="D57" s="674" t="s">
        <v>235</v>
      </c>
      <c r="E57" s="660"/>
      <c r="F57" s="667">
        <f t="shared" si="3"/>
        <v>0</v>
      </c>
      <c r="G57" s="675"/>
      <c r="H57" s="667">
        <f t="shared" si="0"/>
        <v>0</v>
      </c>
      <c r="I57" s="667"/>
      <c r="J57" s="667"/>
      <c r="K57" s="667" t="e">
        <f>E57+#REF!+#REF!+#REF!+G57+#REF!+#REF!+#REF!+#REF!+#REF!+#REF!+I57+#REF!+#REF!+#REF!</f>
        <v>#REF!</v>
      </c>
      <c r="L57" s="667" t="e">
        <f t="shared" si="1"/>
        <v>#REF!</v>
      </c>
      <c r="M57" s="665" t="e">
        <f>#REF!+K57</f>
        <v>#REF!</v>
      </c>
      <c r="N57" s="666" t="e">
        <f t="shared" si="2"/>
        <v>#REF!</v>
      </c>
      <c r="O57" s="672"/>
      <c r="P57" s="668"/>
      <c r="Q57" s="676"/>
      <c r="R57" s="676"/>
    </row>
    <row r="58" spans="1:18" s="677" customFormat="1" ht="13.5" hidden="1" customHeight="1">
      <c r="A58" s="662">
        <v>6.4</v>
      </c>
      <c r="B58" s="685" t="s">
        <v>1398</v>
      </c>
      <c r="C58" s="675"/>
      <c r="D58" s="674" t="s">
        <v>235</v>
      </c>
      <c r="E58" s="660"/>
      <c r="F58" s="667">
        <f t="shared" si="3"/>
        <v>0</v>
      </c>
      <c r="G58" s="675"/>
      <c r="H58" s="667">
        <f t="shared" si="0"/>
        <v>0</v>
      </c>
      <c r="I58" s="667"/>
      <c r="J58" s="667"/>
      <c r="K58" s="667" t="e">
        <f>E58+#REF!+#REF!+#REF!+G58+#REF!+#REF!+#REF!+#REF!+#REF!+#REF!+I58+#REF!+#REF!+#REF!</f>
        <v>#REF!</v>
      </c>
      <c r="L58" s="667" t="e">
        <f t="shared" si="1"/>
        <v>#REF!</v>
      </c>
      <c r="M58" s="665" t="e">
        <f>#REF!+K58</f>
        <v>#REF!</v>
      </c>
      <c r="N58" s="666" t="e">
        <f t="shared" si="2"/>
        <v>#REF!</v>
      </c>
      <c r="O58" s="672"/>
      <c r="P58" s="668"/>
      <c r="Q58" s="676"/>
      <c r="R58" s="676"/>
    </row>
    <row r="59" spans="1:18" ht="80.25" customHeight="1">
      <c r="A59" s="662">
        <v>6.5</v>
      </c>
      <c r="B59" s="685" t="s">
        <v>1399</v>
      </c>
      <c r="C59" s="667">
        <f>[14]Data!K321</f>
        <v>6130.3</v>
      </c>
      <c r="D59" s="663" t="s">
        <v>235</v>
      </c>
      <c r="E59" s="666">
        <f>'Septic Tank'!$H$37</f>
        <v>13.099720000000001</v>
      </c>
      <c r="F59" s="667">
        <f t="shared" si="3"/>
        <v>80305.213516000018</v>
      </c>
      <c r="G59" s="667">
        <f>'PAVER ROAD'!$G$25</f>
        <v>2.2911250000000001</v>
      </c>
      <c r="H59" s="667">
        <f t="shared" si="0"/>
        <v>14045.2835875</v>
      </c>
      <c r="I59" s="667"/>
      <c r="J59" s="667"/>
      <c r="K59" s="667" t="e">
        <f>E59+#REF!+#REF!+#REF!+G59+#REF!+#REF!+#REF!+#REF!+#REF!+#REF!+I59+#REF!+#REF!+#REF!</f>
        <v>#REF!</v>
      </c>
      <c r="L59" s="667" t="e">
        <f t="shared" si="1"/>
        <v>#REF!</v>
      </c>
      <c r="M59" s="665" t="e">
        <f>#REF!+K59</f>
        <v>#REF!</v>
      </c>
      <c r="N59" s="666" t="e">
        <f t="shared" si="2"/>
        <v>#REF!</v>
      </c>
      <c r="O59" s="672"/>
      <c r="P59" s="668"/>
    </row>
    <row r="60" spans="1:18" s="677" customFormat="1" ht="69.75" hidden="1" customHeight="1">
      <c r="A60" s="662">
        <v>6.6</v>
      </c>
      <c r="B60" s="685" t="s">
        <v>1400</v>
      </c>
      <c r="C60" s="675"/>
      <c r="D60" s="674" t="s">
        <v>235</v>
      </c>
      <c r="E60" s="660"/>
      <c r="F60" s="667">
        <f t="shared" si="3"/>
        <v>0</v>
      </c>
      <c r="G60" s="675"/>
      <c r="H60" s="667">
        <f t="shared" si="0"/>
        <v>0</v>
      </c>
      <c r="I60" s="667"/>
      <c r="J60" s="667"/>
      <c r="K60" s="667" t="e">
        <f>E60+#REF!+#REF!+#REF!+G60+#REF!+#REF!+#REF!+#REF!+#REF!+#REF!+I60+#REF!+#REF!+#REF!</f>
        <v>#REF!</v>
      </c>
      <c r="L60" s="667" t="e">
        <f t="shared" si="1"/>
        <v>#REF!</v>
      </c>
      <c r="M60" s="665" t="e">
        <f>#REF!+K60</f>
        <v>#REF!</v>
      </c>
      <c r="N60" s="666" t="e">
        <f t="shared" si="2"/>
        <v>#REF!</v>
      </c>
      <c r="O60" s="672"/>
      <c r="P60" s="668"/>
      <c r="Q60" s="676"/>
      <c r="R60" s="676"/>
    </row>
    <row r="61" spans="1:18" s="677" customFormat="1" ht="46.5" hidden="1" customHeight="1">
      <c r="A61" s="662">
        <v>7.1</v>
      </c>
      <c r="B61" s="685" t="s">
        <v>1401</v>
      </c>
      <c r="C61" s="675"/>
      <c r="D61" s="674" t="s">
        <v>264</v>
      </c>
      <c r="E61" s="660"/>
      <c r="F61" s="667">
        <f t="shared" si="3"/>
        <v>0</v>
      </c>
      <c r="G61" s="675"/>
      <c r="H61" s="667">
        <f t="shared" si="0"/>
        <v>0</v>
      </c>
      <c r="I61" s="667"/>
      <c r="J61" s="667"/>
      <c r="K61" s="667" t="e">
        <f>E61+#REF!+#REF!+#REF!+G61+#REF!+#REF!+#REF!+#REF!+#REF!+#REF!+I61+#REF!+#REF!+#REF!</f>
        <v>#REF!</v>
      </c>
      <c r="L61" s="667" t="e">
        <f t="shared" si="1"/>
        <v>#REF!</v>
      </c>
      <c r="M61" s="665" t="e">
        <f>#REF!+K61</f>
        <v>#REF!</v>
      </c>
      <c r="N61" s="666" t="e">
        <f t="shared" si="2"/>
        <v>#REF!</v>
      </c>
      <c r="O61" s="672"/>
      <c r="P61" s="668"/>
      <c r="Q61" s="676"/>
      <c r="R61" s="676"/>
    </row>
    <row r="62" spans="1:18" s="677" customFormat="1" ht="46.5" customHeight="1">
      <c r="A62" s="662">
        <v>7.2</v>
      </c>
      <c r="B62" s="663" t="s">
        <v>1402</v>
      </c>
      <c r="C62" s="675">
        <f>ROUND([14]Data!K329,2)</f>
        <v>712</v>
      </c>
      <c r="D62" s="674" t="s">
        <v>264</v>
      </c>
      <c r="E62" s="660"/>
      <c r="F62" s="667">
        <f t="shared" si="3"/>
        <v>0</v>
      </c>
      <c r="G62" s="675"/>
      <c r="H62" s="667">
        <f t="shared" si="0"/>
        <v>0</v>
      </c>
      <c r="I62" s="667"/>
      <c r="J62" s="667"/>
      <c r="K62" s="667" t="e">
        <f>E62+#REF!+#REF!+#REF!+G62+#REF!+#REF!+#REF!+#REF!+#REF!+#REF!+I62+#REF!+#REF!+#REF!</f>
        <v>#REF!</v>
      </c>
      <c r="L62" s="667" t="e">
        <f t="shared" si="1"/>
        <v>#REF!</v>
      </c>
      <c r="M62" s="665" t="e">
        <f>#REF!+K62</f>
        <v>#REF!</v>
      </c>
      <c r="N62" s="666" t="e">
        <f t="shared" si="2"/>
        <v>#REF!</v>
      </c>
      <c r="O62" s="672"/>
      <c r="P62" s="668"/>
      <c r="Q62" s="676"/>
      <c r="R62" s="676"/>
    </row>
    <row r="63" spans="1:18" s="677" customFormat="1" ht="46.5" hidden="1" customHeight="1">
      <c r="A63" s="662">
        <v>7.3</v>
      </c>
      <c r="B63" s="685" t="s">
        <v>1403</v>
      </c>
      <c r="C63" s="675">
        <f>ROUND([14]Data!K497,2)</f>
        <v>278.10000000000002</v>
      </c>
      <c r="D63" s="674" t="s">
        <v>264</v>
      </c>
      <c r="E63" s="660"/>
      <c r="F63" s="667">
        <f t="shared" si="3"/>
        <v>0</v>
      </c>
      <c r="G63" s="675"/>
      <c r="H63" s="667">
        <f t="shared" si="0"/>
        <v>0</v>
      </c>
      <c r="I63" s="667"/>
      <c r="J63" s="667"/>
      <c r="K63" s="667" t="e">
        <f>E63+#REF!+#REF!+#REF!+G63+#REF!+#REF!+#REF!+#REF!+#REF!+#REF!+I63+#REF!+#REF!+#REF!</f>
        <v>#REF!</v>
      </c>
      <c r="L63" s="667" t="e">
        <f t="shared" si="1"/>
        <v>#REF!</v>
      </c>
      <c r="M63" s="665" t="e">
        <f>#REF!+K63</f>
        <v>#REF!</v>
      </c>
      <c r="N63" s="666" t="e">
        <f t="shared" si="2"/>
        <v>#REF!</v>
      </c>
      <c r="O63" s="672"/>
      <c r="P63" s="668"/>
      <c r="Q63" s="676"/>
      <c r="R63" s="676"/>
    </row>
    <row r="64" spans="1:18" s="682" customFormat="1" ht="25.5" hidden="1" customHeight="1">
      <c r="A64" s="662">
        <v>8.1</v>
      </c>
      <c r="B64" s="685" t="s">
        <v>1404</v>
      </c>
      <c r="C64" s="675"/>
      <c r="D64" s="674"/>
      <c r="E64" s="660"/>
      <c r="F64" s="667">
        <f t="shared" si="3"/>
        <v>0</v>
      </c>
      <c r="G64" s="675"/>
      <c r="H64" s="667">
        <f t="shared" si="0"/>
        <v>0</v>
      </c>
      <c r="I64" s="667"/>
      <c r="J64" s="667"/>
      <c r="K64" s="667" t="e">
        <f>E64+#REF!+#REF!+#REF!+G64+#REF!+#REF!+#REF!+#REF!+#REF!+#REF!+I64+#REF!+#REF!+#REF!</f>
        <v>#REF!</v>
      </c>
      <c r="L64" s="667" t="e">
        <f t="shared" si="1"/>
        <v>#REF!</v>
      </c>
      <c r="M64" s="665" t="e">
        <f>#REF!+K64</f>
        <v>#REF!</v>
      </c>
      <c r="N64" s="666" t="e">
        <f t="shared" si="2"/>
        <v>#REF!</v>
      </c>
      <c r="O64" s="672"/>
      <c r="P64" s="668"/>
      <c r="Q64" s="680"/>
      <c r="R64" s="681"/>
    </row>
    <row r="65" spans="1:18" s="682" customFormat="1" ht="25.5" hidden="1" customHeight="1">
      <c r="A65" s="662"/>
      <c r="B65" s="663" t="s">
        <v>1405</v>
      </c>
      <c r="C65" s="675">
        <f>ROUND([14]Data!K287,2)</f>
        <v>7657.56</v>
      </c>
      <c r="D65" s="674" t="s">
        <v>235</v>
      </c>
      <c r="E65" s="686"/>
      <c r="F65" s="667">
        <f t="shared" si="3"/>
        <v>0</v>
      </c>
      <c r="G65" s="675"/>
      <c r="H65" s="667">
        <f t="shared" si="0"/>
        <v>0</v>
      </c>
      <c r="I65" s="667"/>
      <c r="J65" s="667"/>
      <c r="K65" s="667" t="e">
        <f>E65+#REF!+#REF!+#REF!+G65+#REF!+#REF!+#REF!+#REF!+#REF!+#REF!+I65+#REF!+#REF!+#REF!</f>
        <v>#REF!</v>
      </c>
      <c r="L65" s="667" t="e">
        <f t="shared" si="1"/>
        <v>#REF!</v>
      </c>
      <c r="M65" s="665" t="e">
        <f>#REF!+K65</f>
        <v>#REF!</v>
      </c>
      <c r="N65" s="666" t="e">
        <f t="shared" si="2"/>
        <v>#REF!</v>
      </c>
      <c r="O65" s="672"/>
      <c r="P65" s="668"/>
      <c r="Q65" s="680"/>
      <c r="R65" s="681"/>
    </row>
    <row r="66" spans="1:18" s="682" customFormat="1" ht="25.5" hidden="1" customHeight="1">
      <c r="A66" s="662"/>
      <c r="B66" s="663" t="s">
        <v>1406</v>
      </c>
      <c r="C66" s="675">
        <f>ROUND([14]Data!K288,2)</f>
        <v>7861.06</v>
      </c>
      <c r="D66" s="674" t="s">
        <v>235</v>
      </c>
      <c r="E66" s="686"/>
      <c r="F66" s="667">
        <f t="shared" si="3"/>
        <v>0</v>
      </c>
      <c r="G66" s="675"/>
      <c r="H66" s="667">
        <f t="shared" si="0"/>
        <v>0</v>
      </c>
      <c r="I66" s="667"/>
      <c r="J66" s="667"/>
      <c r="K66" s="667" t="e">
        <f>E66+#REF!+#REF!+#REF!+G66+#REF!+#REF!+#REF!+#REF!+#REF!+#REF!+I66+#REF!+#REF!+#REF!</f>
        <v>#REF!</v>
      </c>
      <c r="L66" s="667" t="e">
        <f t="shared" si="1"/>
        <v>#REF!</v>
      </c>
      <c r="M66" s="665" t="e">
        <f>#REF!+K66</f>
        <v>#REF!</v>
      </c>
      <c r="N66" s="666" t="e">
        <f t="shared" si="2"/>
        <v>#REF!</v>
      </c>
      <c r="O66" s="672"/>
      <c r="P66" s="668"/>
      <c r="Q66" s="680"/>
      <c r="R66" s="681"/>
    </row>
    <row r="67" spans="1:18" s="682" customFormat="1" ht="25.5" hidden="1" customHeight="1">
      <c r="A67" s="662"/>
      <c r="B67" s="663" t="s">
        <v>1407</v>
      </c>
      <c r="C67" s="675">
        <f>ROUND([14]Data!K289,2)</f>
        <v>8064.56</v>
      </c>
      <c r="D67" s="674" t="s">
        <v>235</v>
      </c>
      <c r="E67" s="675"/>
      <c r="F67" s="667">
        <f t="shared" si="3"/>
        <v>0</v>
      </c>
      <c r="G67" s="675"/>
      <c r="H67" s="667">
        <f t="shared" si="0"/>
        <v>0</v>
      </c>
      <c r="I67" s="667"/>
      <c r="J67" s="667"/>
      <c r="K67" s="667" t="e">
        <f>E67+#REF!+#REF!+#REF!+G67+#REF!+#REF!+#REF!+#REF!+#REF!+#REF!+I67+#REF!+#REF!+#REF!</f>
        <v>#REF!</v>
      </c>
      <c r="L67" s="667" t="e">
        <f t="shared" si="1"/>
        <v>#REF!</v>
      </c>
      <c r="M67" s="665" t="e">
        <f>#REF!+K67</f>
        <v>#REF!</v>
      </c>
      <c r="N67" s="666" t="e">
        <f t="shared" si="2"/>
        <v>#REF!</v>
      </c>
      <c r="O67" s="672"/>
      <c r="P67" s="668"/>
      <c r="Q67" s="680"/>
      <c r="R67" s="681"/>
    </row>
    <row r="68" spans="1:18" s="682" customFormat="1" ht="25.5" hidden="1" customHeight="1">
      <c r="A68" s="662"/>
      <c r="B68" s="663" t="s">
        <v>1408</v>
      </c>
      <c r="C68" s="675">
        <f>ROUND([14]Data!K290,2)</f>
        <v>8268.06</v>
      </c>
      <c r="D68" s="674" t="s">
        <v>235</v>
      </c>
      <c r="E68" s="675"/>
      <c r="F68" s="667">
        <f t="shared" si="3"/>
        <v>0</v>
      </c>
      <c r="G68" s="675"/>
      <c r="H68" s="667">
        <f t="shared" si="0"/>
        <v>0</v>
      </c>
      <c r="I68" s="667"/>
      <c r="J68" s="667"/>
      <c r="K68" s="667" t="e">
        <f>E68+#REF!+#REF!+#REF!+G68+#REF!+#REF!+#REF!+#REF!+#REF!+#REF!+I68+#REF!+#REF!+#REF!</f>
        <v>#REF!</v>
      </c>
      <c r="L68" s="667" t="e">
        <f t="shared" si="1"/>
        <v>#REF!</v>
      </c>
      <c r="M68" s="665" t="e">
        <f>#REF!+K68</f>
        <v>#REF!</v>
      </c>
      <c r="N68" s="666" t="e">
        <f t="shared" si="2"/>
        <v>#REF!</v>
      </c>
      <c r="O68" s="672"/>
      <c r="P68" s="668"/>
      <c r="Q68" s="680"/>
      <c r="R68" s="681"/>
    </row>
    <row r="69" spans="1:18" s="682" customFormat="1" ht="25.5" hidden="1" customHeight="1">
      <c r="A69" s="687"/>
      <c r="B69" s="663" t="s">
        <v>1409</v>
      </c>
      <c r="C69" s="675">
        <f>ROUND([14]Data!K291,2)</f>
        <v>8471.56</v>
      </c>
      <c r="D69" s="674" t="s">
        <v>235</v>
      </c>
      <c r="E69" s="675"/>
      <c r="F69" s="667">
        <f t="shared" si="3"/>
        <v>0</v>
      </c>
      <c r="G69" s="675"/>
      <c r="H69" s="667">
        <f t="shared" si="0"/>
        <v>0</v>
      </c>
      <c r="I69" s="667"/>
      <c r="J69" s="667"/>
      <c r="K69" s="667" t="e">
        <f>E69+#REF!+#REF!+#REF!+G69+#REF!+#REF!+#REF!+#REF!+#REF!+#REF!+I69+#REF!+#REF!+#REF!</f>
        <v>#REF!</v>
      </c>
      <c r="L69" s="667" t="e">
        <f t="shared" si="1"/>
        <v>#REF!</v>
      </c>
      <c r="M69" s="665" t="e">
        <f>#REF!+K69</f>
        <v>#REF!</v>
      </c>
      <c r="N69" s="666" t="e">
        <f t="shared" si="2"/>
        <v>#REF!</v>
      </c>
      <c r="O69" s="672"/>
      <c r="P69" s="668"/>
      <c r="Q69" s="680"/>
      <c r="R69" s="681"/>
    </row>
    <row r="70" spans="1:18" s="677" customFormat="1" ht="25.5" hidden="1" customHeight="1">
      <c r="A70" s="662">
        <v>8.1999999999999993</v>
      </c>
      <c r="B70" s="685" t="s">
        <v>1410</v>
      </c>
      <c r="C70" s="675"/>
      <c r="D70" s="674"/>
      <c r="E70" s="684"/>
      <c r="F70" s="667">
        <f t="shared" si="3"/>
        <v>0</v>
      </c>
      <c r="G70" s="675"/>
      <c r="H70" s="667">
        <f t="shared" ref="H70:H133" si="4">G70*C70</f>
        <v>0</v>
      </c>
      <c r="I70" s="667"/>
      <c r="J70" s="667"/>
      <c r="K70" s="667" t="e">
        <f>E70+#REF!+#REF!+#REF!+G70+#REF!+#REF!+#REF!+#REF!+#REF!+#REF!+I70+#REF!+#REF!+#REF!</f>
        <v>#REF!</v>
      </c>
      <c r="L70" s="667" t="e">
        <f t="shared" ref="L70:L133" si="5">K70*C70</f>
        <v>#REF!</v>
      </c>
      <c r="M70" s="665" t="e">
        <f>#REF!+K70</f>
        <v>#REF!</v>
      </c>
      <c r="N70" s="666" t="e">
        <f t="shared" ref="N70:N133" si="6">M70*C70</f>
        <v>#REF!</v>
      </c>
      <c r="O70" s="672"/>
      <c r="P70" s="668"/>
      <c r="Q70" s="676"/>
      <c r="R70" s="676"/>
    </row>
    <row r="71" spans="1:18" s="677" customFormat="1" ht="25.5" hidden="1" customHeight="1">
      <c r="A71" s="666"/>
      <c r="B71" s="663" t="s">
        <v>1405</v>
      </c>
      <c r="C71" s="675">
        <f>ROUND([14]Data!K823,2)</f>
        <v>8299.4500000000007</v>
      </c>
      <c r="D71" s="674" t="s">
        <v>235</v>
      </c>
      <c r="E71" s="684"/>
      <c r="F71" s="667">
        <f t="shared" si="3"/>
        <v>0</v>
      </c>
      <c r="G71" s="675"/>
      <c r="H71" s="667">
        <f t="shared" si="4"/>
        <v>0</v>
      </c>
      <c r="I71" s="667"/>
      <c r="J71" s="667"/>
      <c r="K71" s="667" t="e">
        <f>E71+#REF!+#REF!+#REF!+G71+#REF!+#REF!+#REF!+#REF!+#REF!+#REF!+I71+#REF!+#REF!+#REF!</f>
        <v>#REF!</v>
      </c>
      <c r="L71" s="667" t="e">
        <f t="shared" si="5"/>
        <v>#REF!</v>
      </c>
      <c r="M71" s="665" t="e">
        <f>#REF!+K71</f>
        <v>#REF!</v>
      </c>
      <c r="N71" s="666" t="e">
        <f t="shared" si="6"/>
        <v>#REF!</v>
      </c>
      <c r="O71" s="672"/>
      <c r="P71" s="668"/>
      <c r="Q71" s="676"/>
      <c r="R71" s="676"/>
    </row>
    <row r="72" spans="1:18" s="677" customFormat="1" ht="25.5" hidden="1" customHeight="1">
      <c r="A72" s="666"/>
      <c r="B72" s="663" t="s">
        <v>1406</v>
      </c>
      <c r="C72" s="675">
        <f>ROUND([14]Data!K824,2)</f>
        <v>8502.9500000000007</v>
      </c>
      <c r="D72" s="674" t="s">
        <v>235</v>
      </c>
      <c r="E72" s="684"/>
      <c r="F72" s="667">
        <f t="shared" si="3"/>
        <v>0</v>
      </c>
      <c r="G72" s="675"/>
      <c r="H72" s="667">
        <f t="shared" si="4"/>
        <v>0</v>
      </c>
      <c r="I72" s="667"/>
      <c r="J72" s="667"/>
      <c r="K72" s="667" t="e">
        <f>E72+#REF!+#REF!+#REF!+G72+#REF!+#REF!+#REF!+#REF!+#REF!+#REF!+I72+#REF!+#REF!+#REF!</f>
        <v>#REF!</v>
      </c>
      <c r="L72" s="667" t="e">
        <f t="shared" si="5"/>
        <v>#REF!</v>
      </c>
      <c r="M72" s="665" t="e">
        <f>#REF!+K72</f>
        <v>#REF!</v>
      </c>
      <c r="N72" s="666" t="e">
        <f t="shared" si="6"/>
        <v>#REF!</v>
      </c>
      <c r="O72" s="672"/>
      <c r="P72" s="668"/>
      <c r="Q72" s="676"/>
      <c r="R72" s="676"/>
    </row>
    <row r="73" spans="1:18" s="677" customFormat="1" ht="25.5" hidden="1" customHeight="1">
      <c r="A73" s="666"/>
      <c r="B73" s="663" t="s">
        <v>1407</v>
      </c>
      <c r="C73" s="675">
        <f>ROUND([14]Data!K825,2)</f>
        <v>8706.4500000000007</v>
      </c>
      <c r="D73" s="674" t="s">
        <v>235</v>
      </c>
      <c r="E73" s="684"/>
      <c r="F73" s="667">
        <f t="shared" si="3"/>
        <v>0</v>
      </c>
      <c r="G73" s="675"/>
      <c r="H73" s="667">
        <f t="shared" si="4"/>
        <v>0</v>
      </c>
      <c r="I73" s="667"/>
      <c r="J73" s="667"/>
      <c r="K73" s="667" t="e">
        <f>E73+#REF!+#REF!+#REF!+G73+#REF!+#REF!+#REF!+#REF!+#REF!+#REF!+I73+#REF!+#REF!+#REF!</f>
        <v>#REF!</v>
      </c>
      <c r="L73" s="667" t="e">
        <f t="shared" si="5"/>
        <v>#REF!</v>
      </c>
      <c r="M73" s="665" t="e">
        <f>#REF!+K73</f>
        <v>#REF!</v>
      </c>
      <c r="N73" s="666" t="e">
        <f t="shared" si="6"/>
        <v>#REF!</v>
      </c>
      <c r="O73" s="672"/>
      <c r="P73" s="668"/>
      <c r="Q73" s="676"/>
      <c r="R73" s="676"/>
    </row>
    <row r="74" spans="1:18" s="677" customFormat="1" ht="25.5" hidden="1" customHeight="1">
      <c r="A74" s="666"/>
      <c r="B74" s="663" t="s">
        <v>1408</v>
      </c>
      <c r="C74" s="675">
        <f>ROUND([14]Data!K826,2)</f>
        <v>8909.9500000000007</v>
      </c>
      <c r="D74" s="674" t="s">
        <v>235</v>
      </c>
      <c r="E74" s="684"/>
      <c r="F74" s="667">
        <f t="shared" si="3"/>
        <v>0</v>
      </c>
      <c r="G74" s="675"/>
      <c r="H74" s="667">
        <f t="shared" si="4"/>
        <v>0</v>
      </c>
      <c r="I74" s="667"/>
      <c r="J74" s="667"/>
      <c r="K74" s="667" t="e">
        <f>E74+#REF!+#REF!+#REF!+G74+#REF!+#REF!+#REF!+#REF!+#REF!+#REF!+I74+#REF!+#REF!+#REF!</f>
        <v>#REF!</v>
      </c>
      <c r="L74" s="667" t="e">
        <f t="shared" si="5"/>
        <v>#REF!</v>
      </c>
      <c r="M74" s="665" t="e">
        <f>#REF!+K74</f>
        <v>#REF!</v>
      </c>
      <c r="N74" s="666" t="e">
        <f t="shared" si="6"/>
        <v>#REF!</v>
      </c>
      <c r="O74" s="672"/>
      <c r="P74" s="668"/>
      <c r="Q74" s="676"/>
      <c r="R74" s="676"/>
    </row>
    <row r="75" spans="1:18" s="677" customFormat="1" ht="25.5" hidden="1" customHeight="1">
      <c r="A75" s="662"/>
      <c r="B75" s="663" t="s">
        <v>1409</v>
      </c>
      <c r="C75" s="675">
        <f>ROUND([14]Data!K827,2)</f>
        <v>9113.4500000000007</v>
      </c>
      <c r="D75" s="674" t="s">
        <v>235</v>
      </c>
      <c r="E75" s="684"/>
      <c r="F75" s="667">
        <f t="shared" si="3"/>
        <v>0</v>
      </c>
      <c r="G75" s="675"/>
      <c r="H75" s="667">
        <f t="shared" si="4"/>
        <v>0</v>
      </c>
      <c r="I75" s="667"/>
      <c r="J75" s="667"/>
      <c r="K75" s="667" t="e">
        <f>E75+#REF!+#REF!+#REF!+G75+#REF!+#REF!+#REF!+#REF!+#REF!+#REF!+I75+#REF!+#REF!+#REF!</f>
        <v>#REF!</v>
      </c>
      <c r="L75" s="667" t="e">
        <f t="shared" si="5"/>
        <v>#REF!</v>
      </c>
      <c r="M75" s="665" t="e">
        <f>#REF!+K75</f>
        <v>#REF!</v>
      </c>
      <c r="N75" s="666" t="e">
        <f t="shared" si="6"/>
        <v>#REF!</v>
      </c>
      <c r="O75" s="672"/>
      <c r="P75" s="668"/>
      <c r="Q75" s="676"/>
      <c r="R75" s="676"/>
    </row>
    <row r="76" spans="1:18" s="677" customFormat="1" ht="25.5" hidden="1" customHeight="1">
      <c r="A76" s="662"/>
      <c r="B76" s="663" t="s">
        <v>1411</v>
      </c>
      <c r="C76" s="675">
        <f>ROUND([14]Data!K828,2)</f>
        <v>9316.9500000000007</v>
      </c>
      <c r="D76" s="674" t="s">
        <v>235</v>
      </c>
      <c r="E76" s="684"/>
      <c r="F76" s="667">
        <f t="shared" si="3"/>
        <v>0</v>
      </c>
      <c r="G76" s="675"/>
      <c r="H76" s="667">
        <f t="shared" si="4"/>
        <v>0</v>
      </c>
      <c r="I76" s="667"/>
      <c r="J76" s="667"/>
      <c r="K76" s="667" t="e">
        <f>E76+#REF!+#REF!+#REF!+G76+#REF!+#REF!+#REF!+#REF!+#REF!+#REF!+I76+#REF!+#REF!+#REF!</f>
        <v>#REF!</v>
      </c>
      <c r="L76" s="667" t="e">
        <f t="shared" si="5"/>
        <v>#REF!</v>
      </c>
      <c r="M76" s="665" t="e">
        <f>#REF!+K76</f>
        <v>#REF!</v>
      </c>
      <c r="N76" s="666" t="e">
        <f t="shared" si="6"/>
        <v>#REF!</v>
      </c>
      <c r="O76" s="672"/>
      <c r="P76" s="668"/>
      <c r="Q76" s="676"/>
      <c r="R76" s="676"/>
    </row>
    <row r="77" spans="1:18" s="677" customFormat="1" ht="25.5" hidden="1" customHeight="1">
      <c r="A77" s="662"/>
      <c r="B77" s="663" t="s">
        <v>1412</v>
      </c>
      <c r="C77" s="675">
        <f>ROUND([14]Data!K829,2)</f>
        <v>9520.4500000000007</v>
      </c>
      <c r="D77" s="674" t="s">
        <v>235</v>
      </c>
      <c r="E77" s="684"/>
      <c r="F77" s="667">
        <f t="shared" si="3"/>
        <v>0</v>
      </c>
      <c r="G77" s="675"/>
      <c r="H77" s="667">
        <f t="shared" si="4"/>
        <v>0</v>
      </c>
      <c r="I77" s="667"/>
      <c r="J77" s="667"/>
      <c r="K77" s="667" t="e">
        <f>E77+#REF!+#REF!+#REF!+G77+#REF!+#REF!+#REF!+#REF!+#REF!+#REF!+I77+#REF!+#REF!+#REF!</f>
        <v>#REF!</v>
      </c>
      <c r="L77" s="667" t="e">
        <f t="shared" si="5"/>
        <v>#REF!</v>
      </c>
      <c r="M77" s="665" t="e">
        <f>#REF!+K77</f>
        <v>#REF!</v>
      </c>
      <c r="N77" s="666" t="e">
        <f t="shared" si="6"/>
        <v>#REF!</v>
      </c>
      <c r="O77" s="672"/>
      <c r="P77" s="668"/>
      <c r="Q77" s="676"/>
      <c r="R77" s="676"/>
    </row>
    <row r="78" spans="1:18" s="677" customFormat="1" ht="25.5" hidden="1" customHeight="1">
      <c r="A78" s="662"/>
      <c r="B78" s="663" t="s">
        <v>1413</v>
      </c>
      <c r="C78" s="675">
        <f>ROUND([14]Data!K830,2)</f>
        <v>9723.9500000000007</v>
      </c>
      <c r="D78" s="674" t="s">
        <v>235</v>
      </c>
      <c r="E78" s="684"/>
      <c r="F78" s="667">
        <f t="shared" si="3"/>
        <v>0</v>
      </c>
      <c r="G78" s="675"/>
      <c r="H78" s="667">
        <f t="shared" si="4"/>
        <v>0</v>
      </c>
      <c r="I78" s="667"/>
      <c r="J78" s="667"/>
      <c r="K78" s="667" t="e">
        <f>E78+#REF!+#REF!+#REF!+G78+#REF!+#REF!+#REF!+#REF!+#REF!+#REF!+I78+#REF!+#REF!+#REF!</f>
        <v>#REF!</v>
      </c>
      <c r="L78" s="667" t="e">
        <f t="shared" si="5"/>
        <v>#REF!</v>
      </c>
      <c r="M78" s="665" t="e">
        <f>#REF!+K78</f>
        <v>#REF!</v>
      </c>
      <c r="N78" s="666" t="e">
        <f t="shared" si="6"/>
        <v>#REF!</v>
      </c>
      <c r="O78" s="672"/>
      <c r="P78" s="668"/>
      <c r="Q78" s="676"/>
      <c r="R78" s="676"/>
    </row>
    <row r="79" spans="1:18" s="677" customFormat="1" ht="25.5" hidden="1" customHeight="1">
      <c r="A79" s="662"/>
      <c r="B79" s="663" t="s">
        <v>1414</v>
      </c>
      <c r="C79" s="675">
        <f>ROUND([14]Data!K831,2)</f>
        <v>9927.4500000000007</v>
      </c>
      <c r="D79" s="674" t="s">
        <v>235</v>
      </c>
      <c r="E79" s="684"/>
      <c r="F79" s="667">
        <f t="shared" si="3"/>
        <v>0</v>
      </c>
      <c r="G79" s="675"/>
      <c r="H79" s="667">
        <f t="shared" si="4"/>
        <v>0</v>
      </c>
      <c r="I79" s="667"/>
      <c r="J79" s="667"/>
      <c r="K79" s="667" t="e">
        <f>E79+#REF!+#REF!+#REF!+G79+#REF!+#REF!+#REF!+#REF!+#REF!+#REF!+I79+#REF!+#REF!+#REF!</f>
        <v>#REF!</v>
      </c>
      <c r="L79" s="667" t="e">
        <f t="shared" si="5"/>
        <v>#REF!</v>
      </c>
      <c r="M79" s="665" t="e">
        <f>#REF!+K79</f>
        <v>#REF!</v>
      </c>
      <c r="N79" s="666" t="e">
        <f t="shared" si="6"/>
        <v>#REF!</v>
      </c>
      <c r="O79" s="672"/>
      <c r="P79" s="668"/>
      <c r="Q79" s="676"/>
      <c r="R79" s="676"/>
    </row>
    <row r="80" spans="1:18" s="677" customFormat="1" ht="25.5" hidden="1" customHeight="1">
      <c r="A80" s="662"/>
      <c r="B80" s="663" t="s">
        <v>1415</v>
      </c>
      <c r="C80" s="675">
        <f>ROUND([14]Data!K832,2)</f>
        <v>10130.950000000001</v>
      </c>
      <c r="D80" s="674" t="s">
        <v>235</v>
      </c>
      <c r="E80" s="684"/>
      <c r="F80" s="667">
        <f t="shared" si="3"/>
        <v>0</v>
      </c>
      <c r="G80" s="675"/>
      <c r="H80" s="667">
        <f t="shared" si="4"/>
        <v>0</v>
      </c>
      <c r="I80" s="667"/>
      <c r="J80" s="667"/>
      <c r="K80" s="667" t="e">
        <f>E80+#REF!+#REF!+#REF!+G80+#REF!+#REF!+#REF!+#REF!+#REF!+#REF!+I80+#REF!+#REF!+#REF!</f>
        <v>#REF!</v>
      </c>
      <c r="L80" s="667" t="e">
        <f t="shared" si="5"/>
        <v>#REF!</v>
      </c>
      <c r="M80" s="665" t="e">
        <f>#REF!+K80</f>
        <v>#REF!</v>
      </c>
      <c r="N80" s="666" t="e">
        <f t="shared" si="6"/>
        <v>#REF!</v>
      </c>
      <c r="O80" s="672"/>
      <c r="P80" s="668"/>
      <c r="Q80" s="676"/>
      <c r="R80" s="676"/>
    </row>
    <row r="81" spans="1:18" s="677" customFormat="1" ht="25.5" hidden="1" customHeight="1">
      <c r="A81" s="662"/>
      <c r="B81" s="663" t="s">
        <v>1416</v>
      </c>
      <c r="C81" s="675">
        <f>ROUND([14]Data!K833,2)</f>
        <v>10334.450000000001</v>
      </c>
      <c r="D81" s="674" t="s">
        <v>235</v>
      </c>
      <c r="E81" s="684"/>
      <c r="F81" s="667">
        <f t="shared" si="3"/>
        <v>0</v>
      </c>
      <c r="G81" s="675"/>
      <c r="H81" s="667">
        <f t="shared" si="4"/>
        <v>0</v>
      </c>
      <c r="I81" s="667"/>
      <c r="J81" s="667"/>
      <c r="K81" s="667" t="e">
        <f>E81+#REF!+#REF!+#REF!+G81+#REF!+#REF!+#REF!+#REF!+#REF!+#REF!+I81+#REF!+#REF!+#REF!</f>
        <v>#REF!</v>
      </c>
      <c r="L81" s="667" t="e">
        <f t="shared" si="5"/>
        <v>#REF!</v>
      </c>
      <c r="M81" s="665" t="e">
        <f>#REF!+K81</f>
        <v>#REF!</v>
      </c>
      <c r="N81" s="666" t="e">
        <f t="shared" si="6"/>
        <v>#REF!</v>
      </c>
      <c r="O81" s="672"/>
      <c r="P81" s="668"/>
      <c r="Q81" s="676"/>
      <c r="R81" s="676"/>
    </row>
    <row r="82" spans="1:18" s="677" customFormat="1" ht="25.5" hidden="1" customHeight="1">
      <c r="A82" s="662"/>
      <c r="B82" s="663" t="s">
        <v>1417</v>
      </c>
      <c r="C82" s="675">
        <f>ROUND([14]Data!K834,2)</f>
        <v>10537.95</v>
      </c>
      <c r="D82" s="674" t="s">
        <v>235</v>
      </c>
      <c r="E82" s="684"/>
      <c r="F82" s="667">
        <f t="shared" ref="F82:F145" si="7">E82*C82</f>
        <v>0</v>
      </c>
      <c r="G82" s="675"/>
      <c r="H82" s="667">
        <f t="shared" si="4"/>
        <v>0</v>
      </c>
      <c r="I82" s="667"/>
      <c r="J82" s="667"/>
      <c r="K82" s="667" t="e">
        <f>E82+#REF!+#REF!+#REF!+G82+#REF!+#REF!+#REF!+#REF!+#REF!+#REF!+I82+#REF!+#REF!+#REF!</f>
        <v>#REF!</v>
      </c>
      <c r="L82" s="667" t="e">
        <f t="shared" si="5"/>
        <v>#REF!</v>
      </c>
      <c r="M82" s="665" t="e">
        <f>#REF!+K82</f>
        <v>#REF!</v>
      </c>
      <c r="N82" s="666" t="e">
        <f t="shared" si="6"/>
        <v>#REF!</v>
      </c>
      <c r="O82" s="672"/>
      <c r="P82" s="668"/>
      <c r="Q82" s="676"/>
      <c r="R82" s="676"/>
    </row>
    <row r="83" spans="1:18" s="677" customFormat="1" ht="25.5" hidden="1" customHeight="1">
      <c r="A83" s="662"/>
      <c r="B83" s="663" t="s">
        <v>1418</v>
      </c>
      <c r="C83" s="675">
        <f>ROUND([14]Data!K835,2)</f>
        <v>10741.45</v>
      </c>
      <c r="D83" s="674" t="s">
        <v>235</v>
      </c>
      <c r="E83" s="684"/>
      <c r="F83" s="667">
        <f t="shared" si="7"/>
        <v>0</v>
      </c>
      <c r="G83" s="675"/>
      <c r="H83" s="667">
        <f t="shared" si="4"/>
        <v>0</v>
      </c>
      <c r="I83" s="667"/>
      <c r="J83" s="667"/>
      <c r="K83" s="667" t="e">
        <f>E83+#REF!+#REF!+#REF!+G83+#REF!+#REF!+#REF!+#REF!+#REF!+#REF!+I83+#REF!+#REF!+#REF!</f>
        <v>#REF!</v>
      </c>
      <c r="L83" s="667" t="e">
        <f t="shared" si="5"/>
        <v>#REF!</v>
      </c>
      <c r="M83" s="665" t="e">
        <f>#REF!+K83</f>
        <v>#REF!</v>
      </c>
      <c r="N83" s="666" t="e">
        <f t="shared" si="6"/>
        <v>#REF!</v>
      </c>
      <c r="O83" s="672"/>
      <c r="P83" s="668"/>
      <c r="Q83" s="676"/>
      <c r="R83" s="676"/>
    </row>
    <row r="84" spans="1:18" s="677" customFormat="1" ht="46.5" hidden="1" customHeight="1">
      <c r="A84" s="662">
        <v>9.1</v>
      </c>
      <c r="B84" s="663" t="s">
        <v>1419</v>
      </c>
      <c r="C84" s="675"/>
      <c r="D84" s="674"/>
      <c r="E84" s="684"/>
      <c r="F84" s="667">
        <f t="shared" si="7"/>
        <v>0</v>
      </c>
      <c r="G84" s="675"/>
      <c r="H84" s="667">
        <f t="shared" si="4"/>
        <v>0</v>
      </c>
      <c r="I84" s="667"/>
      <c r="J84" s="667"/>
      <c r="K84" s="667" t="e">
        <f>E84+#REF!+#REF!+#REF!+G84+#REF!+#REF!+#REF!+#REF!+#REF!+#REF!+I84+#REF!+#REF!+#REF!</f>
        <v>#REF!</v>
      </c>
      <c r="L84" s="667" t="e">
        <f t="shared" si="5"/>
        <v>#REF!</v>
      </c>
      <c r="M84" s="665" t="e">
        <f>#REF!+K84</f>
        <v>#REF!</v>
      </c>
      <c r="N84" s="666" t="e">
        <f t="shared" si="6"/>
        <v>#REF!</v>
      </c>
      <c r="O84" s="672"/>
      <c r="P84" s="668"/>
      <c r="Q84" s="676"/>
      <c r="R84" s="676"/>
    </row>
    <row r="85" spans="1:18" s="677" customFormat="1" ht="25.5" hidden="1" customHeight="1">
      <c r="A85" s="662"/>
      <c r="B85" s="663" t="s">
        <v>1420</v>
      </c>
      <c r="C85" s="675">
        <f>[14]Data!X347</f>
        <v>6345.06</v>
      </c>
      <c r="D85" s="674" t="s">
        <v>235</v>
      </c>
      <c r="E85" s="684"/>
      <c r="F85" s="667">
        <f t="shared" si="7"/>
        <v>0</v>
      </c>
      <c r="G85" s="675"/>
      <c r="H85" s="667">
        <f t="shared" si="4"/>
        <v>0</v>
      </c>
      <c r="I85" s="667"/>
      <c r="J85" s="667"/>
      <c r="K85" s="667" t="e">
        <f>E85+#REF!+#REF!+#REF!+G85+#REF!+#REF!+#REF!+#REF!+#REF!+#REF!+I85+#REF!+#REF!+#REF!</f>
        <v>#REF!</v>
      </c>
      <c r="L85" s="667" t="e">
        <f t="shared" si="5"/>
        <v>#REF!</v>
      </c>
      <c r="M85" s="665" t="e">
        <f>#REF!+K85</f>
        <v>#REF!</v>
      </c>
      <c r="N85" s="666" t="e">
        <f t="shared" si="6"/>
        <v>#REF!</v>
      </c>
      <c r="O85" s="672"/>
      <c r="P85" s="668"/>
      <c r="Q85" s="676"/>
      <c r="R85" s="676"/>
    </row>
    <row r="86" spans="1:18" s="677" customFormat="1" ht="25.5" hidden="1" customHeight="1">
      <c r="A86" s="662"/>
      <c r="B86" s="663" t="s">
        <v>1421</v>
      </c>
      <c r="C86" s="675">
        <f>[14]Data!X348</f>
        <v>6482.26</v>
      </c>
      <c r="D86" s="674" t="s">
        <v>235</v>
      </c>
      <c r="E86" s="684"/>
      <c r="F86" s="667">
        <f t="shared" si="7"/>
        <v>0</v>
      </c>
      <c r="G86" s="675"/>
      <c r="H86" s="667">
        <f t="shared" si="4"/>
        <v>0</v>
      </c>
      <c r="I86" s="667"/>
      <c r="J86" s="667"/>
      <c r="K86" s="667" t="e">
        <f>E86+#REF!+#REF!+#REF!+G86+#REF!+#REF!+#REF!+#REF!+#REF!+#REF!+I86+#REF!+#REF!+#REF!</f>
        <v>#REF!</v>
      </c>
      <c r="L86" s="667" t="e">
        <f t="shared" si="5"/>
        <v>#REF!</v>
      </c>
      <c r="M86" s="665" t="e">
        <f>#REF!+K86</f>
        <v>#REF!</v>
      </c>
      <c r="N86" s="666" t="e">
        <f t="shared" si="6"/>
        <v>#REF!</v>
      </c>
      <c r="O86" s="672"/>
      <c r="P86" s="668"/>
      <c r="Q86" s="676"/>
      <c r="R86" s="676"/>
    </row>
    <row r="87" spans="1:18" s="677" customFormat="1" ht="25.5" hidden="1" customHeight="1">
      <c r="A87" s="662"/>
      <c r="B87" s="663" t="s">
        <v>1422</v>
      </c>
      <c r="C87" s="675">
        <f>[14]Data!X349</f>
        <v>6619.46</v>
      </c>
      <c r="D87" s="674" t="s">
        <v>235</v>
      </c>
      <c r="E87" s="684"/>
      <c r="F87" s="667">
        <f t="shared" si="7"/>
        <v>0</v>
      </c>
      <c r="G87" s="675"/>
      <c r="H87" s="667">
        <f t="shared" si="4"/>
        <v>0</v>
      </c>
      <c r="I87" s="667"/>
      <c r="J87" s="667"/>
      <c r="K87" s="667" t="e">
        <f>E87+#REF!+#REF!+#REF!+G87+#REF!+#REF!+#REF!+#REF!+#REF!+#REF!+I87+#REF!+#REF!+#REF!</f>
        <v>#REF!</v>
      </c>
      <c r="L87" s="667" t="e">
        <f t="shared" si="5"/>
        <v>#REF!</v>
      </c>
      <c r="M87" s="665" t="e">
        <f>#REF!+K87</f>
        <v>#REF!</v>
      </c>
      <c r="N87" s="666" t="e">
        <f t="shared" si="6"/>
        <v>#REF!</v>
      </c>
      <c r="O87" s="672"/>
      <c r="P87" s="668"/>
      <c r="Q87" s="676"/>
      <c r="R87" s="676"/>
    </row>
    <row r="88" spans="1:18" s="677" customFormat="1" ht="25.5" hidden="1" customHeight="1">
      <c r="A88" s="662"/>
      <c r="B88" s="663" t="s">
        <v>1423</v>
      </c>
      <c r="C88" s="675">
        <f>[14]Data!X350</f>
        <v>6756.66</v>
      </c>
      <c r="D88" s="674" t="s">
        <v>235</v>
      </c>
      <c r="E88" s="684"/>
      <c r="F88" s="667">
        <f t="shared" si="7"/>
        <v>0</v>
      </c>
      <c r="G88" s="675"/>
      <c r="H88" s="667">
        <f t="shared" si="4"/>
        <v>0</v>
      </c>
      <c r="I88" s="667"/>
      <c r="J88" s="667"/>
      <c r="K88" s="667" t="e">
        <f>E88+#REF!+#REF!+#REF!+G88+#REF!+#REF!+#REF!+#REF!+#REF!+#REF!+I88+#REF!+#REF!+#REF!</f>
        <v>#REF!</v>
      </c>
      <c r="L88" s="667" t="e">
        <f t="shared" si="5"/>
        <v>#REF!</v>
      </c>
      <c r="M88" s="665" t="e">
        <f>#REF!+K88</f>
        <v>#REF!</v>
      </c>
      <c r="N88" s="666" t="e">
        <f t="shared" si="6"/>
        <v>#REF!</v>
      </c>
      <c r="O88" s="672"/>
      <c r="P88" s="668"/>
      <c r="Q88" s="676"/>
      <c r="R88" s="676"/>
    </row>
    <row r="89" spans="1:18" s="677" customFormat="1" ht="25.5" hidden="1" customHeight="1">
      <c r="A89" s="662"/>
      <c r="B89" s="663" t="s">
        <v>1424</v>
      </c>
      <c r="C89" s="675">
        <f>[14]Data!X351</f>
        <v>6893.86</v>
      </c>
      <c r="D89" s="674" t="s">
        <v>235</v>
      </c>
      <c r="E89" s="684"/>
      <c r="F89" s="667">
        <f t="shared" si="7"/>
        <v>0</v>
      </c>
      <c r="G89" s="675"/>
      <c r="H89" s="667">
        <f t="shared" si="4"/>
        <v>0</v>
      </c>
      <c r="I89" s="667"/>
      <c r="J89" s="667"/>
      <c r="K89" s="667" t="e">
        <f>E89+#REF!+#REF!+#REF!+G89+#REF!+#REF!+#REF!+#REF!+#REF!+#REF!+I89+#REF!+#REF!+#REF!</f>
        <v>#REF!</v>
      </c>
      <c r="L89" s="667" t="e">
        <f t="shared" si="5"/>
        <v>#REF!</v>
      </c>
      <c r="M89" s="665" t="e">
        <f>#REF!+K89</f>
        <v>#REF!</v>
      </c>
      <c r="N89" s="666" t="e">
        <f t="shared" si="6"/>
        <v>#REF!</v>
      </c>
      <c r="O89" s="672"/>
      <c r="P89" s="668"/>
      <c r="Q89" s="676"/>
      <c r="R89" s="676"/>
    </row>
    <row r="90" spans="1:18" s="677" customFormat="1" ht="46.5" hidden="1" customHeight="1">
      <c r="A90" s="662">
        <v>9.1999999999999993</v>
      </c>
      <c r="B90" s="685" t="s">
        <v>1425</v>
      </c>
      <c r="C90" s="675"/>
      <c r="D90" s="674"/>
      <c r="E90" s="684"/>
      <c r="F90" s="667">
        <f t="shared" si="7"/>
        <v>0</v>
      </c>
      <c r="G90" s="675"/>
      <c r="H90" s="667">
        <f t="shared" si="4"/>
        <v>0</v>
      </c>
      <c r="I90" s="667"/>
      <c r="J90" s="667"/>
      <c r="K90" s="667" t="e">
        <f>E90+#REF!+#REF!+#REF!+G90+#REF!+#REF!+#REF!+#REF!+#REF!+#REF!+I90+#REF!+#REF!+#REF!</f>
        <v>#REF!</v>
      </c>
      <c r="L90" s="667" t="e">
        <f t="shared" si="5"/>
        <v>#REF!</v>
      </c>
      <c r="M90" s="665" t="e">
        <f>#REF!+K90</f>
        <v>#REF!</v>
      </c>
      <c r="N90" s="666" t="e">
        <f t="shared" si="6"/>
        <v>#REF!</v>
      </c>
      <c r="O90" s="672"/>
      <c r="P90" s="668"/>
      <c r="Q90" s="676"/>
      <c r="R90" s="676"/>
    </row>
    <row r="91" spans="1:18" s="677" customFormat="1" ht="25.5" hidden="1" customHeight="1">
      <c r="A91" s="662"/>
      <c r="B91" s="663" t="s">
        <v>1426</v>
      </c>
      <c r="C91" s="675">
        <f>ROUND([14]Data!AG347,2)</f>
        <v>6038.67</v>
      </c>
      <c r="D91" s="674" t="s">
        <v>235</v>
      </c>
      <c r="E91" s="684"/>
      <c r="F91" s="667">
        <f t="shared" si="7"/>
        <v>0</v>
      </c>
      <c r="G91" s="675"/>
      <c r="H91" s="667">
        <f t="shared" si="4"/>
        <v>0</v>
      </c>
      <c r="I91" s="667"/>
      <c r="J91" s="667"/>
      <c r="K91" s="667" t="e">
        <f>E91+#REF!+#REF!+#REF!+G91+#REF!+#REF!+#REF!+#REF!+#REF!+#REF!+I91+#REF!+#REF!+#REF!</f>
        <v>#REF!</v>
      </c>
      <c r="L91" s="667" t="e">
        <f t="shared" si="5"/>
        <v>#REF!</v>
      </c>
      <c r="M91" s="665" t="e">
        <f>#REF!+K91</f>
        <v>#REF!</v>
      </c>
      <c r="N91" s="666" t="e">
        <f t="shared" si="6"/>
        <v>#REF!</v>
      </c>
      <c r="O91" s="672"/>
      <c r="P91" s="668"/>
      <c r="Q91" s="676"/>
      <c r="R91" s="676"/>
    </row>
    <row r="92" spans="1:18" s="677" customFormat="1" ht="25.5" hidden="1" customHeight="1">
      <c r="A92" s="662"/>
      <c r="B92" s="663" t="s">
        <v>1421</v>
      </c>
      <c r="C92" s="675">
        <f>ROUND([14]Data!AG348,2)</f>
        <v>6175.87</v>
      </c>
      <c r="D92" s="674" t="s">
        <v>235</v>
      </c>
      <c r="E92" s="684"/>
      <c r="F92" s="667">
        <f t="shared" si="7"/>
        <v>0</v>
      </c>
      <c r="G92" s="675"/>
      <c r="H92" s="667">
        <f t="shared" si="4"/>
        <v>0</v>
      </c>
      <c r="I92" s="667"/>
      <c r="J92" s="667"/>
      <c r="K92" s="667" t="e">
        <f>E92+#REF!+#REF!+#REF!+G92+#REF!+#REF!+#REF!+#REF!+#REF!+#REF!+I92+#REF!+#REF!+#REF!</f>
        <v>#REF!</v>
      </c>
      <c r="L92" s="667" t="e">
        <f t="shared" si="5"/>
        <v>#REF!</v>
      </c>
      <c r="M92" s="665" t="e">
        <f>#REF!+K92</f>
        <v>#REF!</v>
      </c>
      <c r="N92" s="666" t="e">
        <f t="shared" si="6"/>
        <v>#REF!</v>
      </c>
      <c r="O92" s="672"/>
      <c r="P92" s="668"/>
      <c r="Q92" s="676"/>
      <c r="R92" s="676"/>
    </row>
    <row r="93" spans="1:18" s="677" customFormat="1" ht="25.5" hidden="1" customHeight="1">
      <c r="A93" s="662"/>
      <c r="B93" s="663" t="s">
        <v>1422</v>
      </c>
      <c r="C93" s="675">
        <f>ROUND([14]Data!AG349,2)</f>
        <v>6313.07</v>
      </c>
      <c r="D93" s="674" t="s">
        <v>235</v>
      </c>
      <c r="E93" s="684"/>
      <c r="F93" s="667">
        <f t="shared" si="7"/>
        <v>0</v>
      </c>
      <c r="G93" s="675"/>
      <c r="H93" s="667">
        <f t="shared" si="4"/>
        <v>0</v>
      </c>
      <c r="I93" s="667"/>
      <c r="J93" s="667"/>
      <c r="K93" s="667" t="e">
        <f>E93+#REF!+#REF!+#REF!+G93+#REF!+#REF!+#REF!+#REF!+#REF!+#REF!+I93+#REF!+#REF!+#REF!</f>
        <v>#REF!</v>
      </c>
      <c r="L93" s="667" t="e">
        <f t="shared" si="5"/>
        <v>#REF!</v>
      </c>
      <c r="M93" s="665" t="e">
        <f>#REF!+K93</f>
        <v>#REF!</v>
      </c>
      <c r="N93" s="666" t="e">
        <f t="shared" si="6"/>
        <v>#REF!</v>
      </c>
      <c r="O93" s="672"/>
      <c r="P93" s="668"/>
      <c r="Q93" s="676"/>
      <c r="R93" s="676"/>
    </row>
    <row r="94" spans="1:18" s="677" customFormat="1" ht="25.5" hidden="1" customHeight="1">
      <c r="A94" s="662"/>
      <c r="B94" s="663" t="s">
        <v>1423</v>
      </c>
      <c r="C94" s="675">
        <f>ROUND([14]Data!AG350,2)</f>
        <v>6450.27</v>
      </c>
      <c r="D94" s="674" t="s">
        <v>235</v>
      </c>
      <c r="E94" s="684"/>
      <c r="F94" s="667">
        <f t="shared" si="7"/>
        <v>0</v>
      </c>
      <c r="G94" s="675"/>
      <c r="H94" s="667">
        <f t="shared" si="4"/>
        <v>0</v>
      </c>
      <c r="I94" s="667"/>
      <c r="J94" s="667"/>
      <c r="K94" s="667" t="e">
        <f>E94+#REF!+#REF!+#REF!+G94+#REF!+#REF!+#REF!+#REF!+#REF!+#REF!+I94+#REF!+#REF!+#REF!</f>
        <v>#REF!</v>
      </c>
      <c r="L94" s="667" t="e">
        <f t="shared" si="5"/>
        <v>#REF!</v>
      </c>
      <c r="M94" s="665" t="e">
        <f>#REF!+K94</f>
        <v>#REF!</v>
      </c>
      <c r="N94" s="666" t="e">
        <f t="shared" si="6"/>
        <v>#REF!</v>
      </c>
      <c r="O94" s="672"/>
      <c r="P94" s="668"/>
      <c r="Q94" s="676"/>
      <c r="R94" s="676"/>
    </row>
    <row r="95" spans="1:18" s="677" customFormat="1" ht="25.5" hidden="1" customHeight="1">
      <c r="A95" s="662"/>
      <c r="B95" s="663" t="s">
        <v>1424</v>
      </c>
      <c r="C95" s="675">
        <f>ROUND([14]Data!AG351,2)</f>
        <v>6587.47</v>
      </c>
      <c r="D95" s="674" t="s">
        <v>235</v>
      </c>
      <c r="E95" s="684"/>
      <c r="F95" s="667">
        <f t="shared" si="7"/>
        <v>0</v>
      </c>
      <c r="G95" s="675"/>
      <c r="H95" s="667">
        <f t="shared" si="4"/>
        <v>0</v>
      </c>
      <c r="I95" s="667"/>
      <c r="J95" s="667"/>
      <c r="K95" s="667" t="e">
        <f>E95+#REF!+#REF!+#REF!+G95+#REF!+#REF!+#REF!+#REF!+#REF!+#REF!+I95+#REF!+#REF!+#REF!</f>
        <v>#REF!</v>
      </c>
      <c r="L95" s="667" t="e">
        <f t="shared" si="5"/>
        <v>#REF!</v>
      </c>
      <c r="M95" s="665" t="e">
        <f>#REF!+K95</f>
        <v>#REF!</v>
      </c>
      <c r="N95" s="666" t="e">
        <f t="shared" si="6"/>
        <v>#REF!</v>
      </c>
      <c r="O95" s="672"/>
      <c r="P95" s="668"/>
      <c r="Q95" s="676"/>
      <c r="R95" s="676"/>
    </row>
    <row r="96" spans="1:18" s="677" customFormat="1" ht="25.5" hidden="1" customHeight="1">
      <c r="A96" s="662"/>
      <c r="B96" s="663" t="s">
        <v>1411</v>
      </c>
      <c r="C96" s="675">
        <f>ROUND([14]Data!AG352,2)</f>
        <v>6724.67</v>
      </c>
      <c r="D96" s="674" t="s">
        <v>235</v>
      </c>
      <c r="E96" s="684"/>
      <c r="F96" s="667">
        <f t="shared" si="7"/>
        <v>0</v>
      </c>
      <c r="G96" s="675"/>
      <c r="H96" s="667">
        <f t="shared" si="4"/>
        <v>0</v>
      </c>
      <c r="I96" s="667"/>
      <c r="J96" s="667"/>
      <c r="K96" s="667" t="e">
        <f>E96+#REF!+#REF!+#REF!+G96+#REF!+#REF!+#REF!+#REF!+#REF!+#REF!+I96+#REF!+#REF!+#REF!</f>
        <v>#REF!</v>
      </c>
      <c r="L96" s="667" t="e">
        <f t="shared" si="5"/>
        <v>#REF!</v>
      </c>
      <c r="M96" s="665" t="e">
        <f>#REF!+K96</f>
        <v>#REF!</v>
      </c>
      <c r="N96" s="666" t="e">
        <f t="shared" si="6"/>
        <v>#REF!</v>
      </c>
      <c r="O96" s="672"/>
      <c r="P96" s="668"/>
      <c r="Q96" s="676"/>
      <c r="R96" s="676"/>
    </row>
    <row r="97" spans="1:18" s="677" customFormat="1" ht="25.5" hidden="1" customHeight="1">
      <c r="A97" s="662"/>
      <c r="B97" s="663" t="s">
        <v>1412</v>
      </c>
      <c r="C97" s="675">
        <f>ROUND([14]Data!AG353,2)</f>
        <v>6861.87</v>
      </c>
      <c r="D97" s="674" t="s">
        <v>235</v>
      </c>
      <c r="E97" s="684"/>
      <c r="F97" s="667">
        <f t="shared" si="7"/>
        <v>0</v>
      </c>
      <c r="G97" s="675"/>
      <c r="H97" s="667">
        <f t="shared" si="4"/>
        <v>0</v>
      </c>
      <c r="I97" s="667"/>
      <c r="J97" s="667"/>
      <c r="K97" s="667" t="e">
        <f>E97+#REF!+#REF!+#REF!+G97+#REF!+#REF!+#REF!+#REF!+#REF!+#REF!+I97+#REF!+#REF!+#REF!</f>
        <v>#REF!</v>
      </c>
      <c r="L97" s="667" t="e">
        <f t="shared" si="5"/>
        <v>#REF!</v>
      </c>
      <c r="M97" s="665" t="e">
        <f>#REF!+K97</f>
        <v>#REF!</v>
      </c>
      <c r="N97" s="666" t="e">
        <f t="shared" si="6"/>
        <v>#REF!</v>
      </c>
      <c r="O97" s="672"/>
      <c r="P97" s="668"/>
      <c r="Q97" s="676"/>
      <c r="R97" s="676"/>
    </row>
    <row r="98" spans="1:18" s="677" customFormat="1" ht="25.5" hidden="1" customHeight="1">
      <c r="A98" s="662"/>
      <c r="B98" s="663" t="s">
        <v>1413</v>
      </c>
      <c r="C98" s="675">
        <f>ROUND([14]Data!AG354,2)</f>
        <v>6999.07</v>
      </c>
      <c r="D98" s="674" t="s">
        <v>235</v>
      </c>
      <c r="E98" s="684"/>
      <c r="F98" s="667">
        <f t="shared" si="7"/>
        <v>0</v>
      </c>
      <c r="G98" s="675"/>
      <c r="H98" s="667">
        <f t="shared" si="4"/>
        <v>0</v>
      </c>
      <c r="I98" s="667"/>
      <c r="J98" s="667"/>
      <c r="K98" s="667" t="e">
        <f>E98+#REF!+#REF!+#REF!+G98+#REF!+#REF!+#REF!+#REF!+#REF!+#REF!+I98+#REF!+#REF!+#REF!</f>
        <v>#REF!</v>
      </c>
      <c r="L98" s="667" t="e">
        <f t="shared" si="5"/>
        <v>#REF!</v>
      </c>
      <c r="M98" s="665" t="e">
        <f>#REF!+K98</f>
        <v>#REF!</v>
      </c>
      <c r="N98" s="666" t="e">
        <f t="shared" si="6"/>
        <v>#REF!</v>
      </c>
      <c r="O98" s="672"/>
      <c r="P98" s="668"/>
      <c r="Q98" s="676"/>
      <c r="R98" s="676"/>
    </row>
    <row r="99" spans="1:18" s="677" customFormat="1" ht="25.5" hidden="1" customHeight="1">
      <c r="A99" s="662"/>
      <c r="B99" s="663" t="s">
        <v>1414</v>
      </c>
      <c r="C99" s="675">
        <f>ROUND([14]Data!AG355,2)</f>
        <v>7136.27</v>
      </c>
      <c r="D99" s="674" t="s">
        <v>235</v>
      </c>
      <c r="E99" s="684"/>
      <c r="F99" s="667">
        <f t="shared" si="7"/>
        <v>0</v>
      </c>
      <c r="G99" s="675"/>
      <c r="H99" s="667">
        <f t="shared" si="4"/>
        <v>0</v>
      </c>
      <c r="I99" s="667"/>
      <c r="J99" s="667"/>
      <c r="K99" s="667" t="e">
        <f>E99+#REF!+#REF!+#REF!+G99+#REF!+#REF!+#REF!+#REF!+#REF!+#REF!+I99+#REF!+#REF!+#REF!</f>
        <v>#REF!</v>
      </c>
      <c r="L99" s="667" t="e">
        <f t="shared" si="5"/>
        <v>#REF!</v>
      </c>
      <c r="M99" s="665" t="e">
        <f>#REF!+K99</f>
        <v>#REF!</v>
      </c>
      <c r="N99" s="666" t="e">
        <f t="shared" si="6"/>
        <v>#REF!</v>
      </c>
      <c r="O99" s="672"/>
      <c r="P99" s="668"/>
      <c r="Q99" s="676"/>
      <c r="R99" s="676"/>
    </row>
    <row r="100" spans="1:18" s="677" customFormat="1" ht="25.5" hidden="1" customHeight="1">
      <c r="A100" s="662"/>
      <c r="B100" s="663" t="s">
        <v>1415</v>
      </c>
      <c r="C100" s="675">
        <f>ROUND([14]Data!AG356,2)</f>
        <v>7273.47</v>
      </c>
      <c r="D100" s="674" t="s">
        <v>235</v>
      </c>
      <c r="E100" s="684"/>
      <c r="F100" s="667">
        <f t="shared" si="7"/>
        <v>0</v>
      </c>
      <c r="G100" s="675"/>
      <c r="H100" s="667">
        <f t="shared" si="4"/>
        <v>0</v>
      </c>
      <c r="I100" s="667"/>
      <c r="J100" s="667"/>
      <c r="K100" s="667" t="e">
        <f>E100+#REF!+#REF!+#REF!+G100+#REF!+#REF!+#REF!+#REF!+#REF!+#REF!+I100+#REF!+#REF!+#REF!</f>
        <v>#REF!</v>
      </c>
      <c r="L100" s="667" t="e">
        <f t="shared" si="5"/>
        <v>#REF!</v>
      </c>
      <c r="M100" s="665" t="e">
        <f>#REF!+K100</f>
        <v>#REF!</v>
      </c>
      <c r="N100" s="666" t="e">
        <f t="shared" si="6"/>
        <v>#REF!</v>
      </c>
      <c r="O100" s="672"/>
      <c r="P100" s="668"/>
      <c r="Q100" s="676"/>
      <c r="R100" s="676"/>
    </row>
    <row r="101" spans="1:18" s="677" customFormat="1" ht="25.5" hidden="1" customHeight="1">
      <c r="A101" s="662"/>
      <c r="B101" s="663" t="s">
        <v>1416</v>
      </c>
      <c r="C101" s="675">
        <f>ROUND([14]Data!AG357,2)</f>
        <v>7410.67</v>
      </c>
      <c r="D101" s="674" t="s">
        <v>235</v>
      </c>
      <c r="E101" s="684"/>
      <c r="F101" s="667">
        <f t="shared" si="7"/>
        <v>0</v>
      </c>
      <c r="G101" s="675"/>
      <c r="H101" s="667">
        <f t="shared" si="4"/>
        <v>0</v>
      </c>
      <c r="I101" s="667"/>
      <c r="J101" s="667"/>
      <c r="K101" s="667" t="e">
        <f>E101+#REF!+#REF!+#REF!+G101+#REF!+#REF!+#REF!+#REF!+#REF!+#REF!+I101+#REF!+#REF!+#REF!</f>
        <v>#REF!</v>
      </c>
      <c r="L101" s="667" t="e">
        <f t="shared" si="5"/>
        <v>#REF!</v>
      </c>
      <c r="M101" s="665" t="e">
        <f>#REF!+K101</f>
        <v>#REF!</v>
      </c>
      <c r="N101" s="666" t="e">
        <f t="shared" si="6"/>
        <v>#REF!</v>
      </c>
      <c r="O101" s="672"/>
      <c r="P101" s="668"/>
      <c r="Q101" s="676"/>
      <c r="R101" s="676"/>
    </row>
    <row r="102" spans="1:18" s="677" customFormat="1" ht="25.5" hidden="1" customHeight="1">
      <c r="A102" s="662"/>
      <c r="B102" s="663" t="s">
        <v>1417</v>
      </c>
      <c r="C102" s="675">
        <f>ROUND([14]Data!AG358,2)</f>
        <v>7547.87</v>
      </c>
      <c r="D102" s="674" t="s">
        <v>235</v>
      </c>
      <c r="E102" s="684"/>
      <c r="F102" s="667">
        <f t="shared" si="7"/>
        <v>0</v>
      </c>
      <c r="G102" s="675"/>
      <c r="H102" s="667">
        <f t="shared" si="4"/>
        <v>0</v>
      </c>
      <c r="I102" s="667"/>
      <c r="J102" s="667"/>
      <c r="K102" s="667" t="e">
        <f>E102+#REF!+#REF!+#REF!+G102+#REF!+#REF!+#REF!+#REF!+#REF!+#REF!+I102+#REF!+#REF!+#REF!</f>
        <v>#REF!</v>
      </c>
      <c r="L102" s="667" t="e">
        <f t="shared" si="5"/>
        <v>#REF!</v>
      </c>
      <c r="M102" s="665" t="e">
        <f>#REF!+K102</f>
        <v>#REF!</v>
      </c>
      <c r="N102" s="666" t="e">
        <f t="shared" si="6"/>
        <v>#REF!</v>
      </c>
      <c r="O102" s="672"/>
      <c r="P102" s="668"/>
      <c r="Q102" s="676"/>
      <c r="R102" s="676"/>
    </row>
    <row r="103" spans="1:18" s="677" customFormat="1" ht="25.5" hidden="1" customHeight="1">
      <c r="A103" s="662"/>
      <c r="B103" s="663" t="s">
        <v>1418</v>
      </c>
      <c r="C103" s="675">
        <f>ROUND([14]Data!AG359,2)</f>
        <v>7685.07</v>
      </c>
      <c r="D103" s="674" t="s">
        <v>235</v>
      </c>
      <c r="E103" s="684"/>
      <c r="F103" s="667">
        <f t="shared" si="7"/>
        <v>0</v>
      </c>
      <c r="G103" s="675"/>
      <c r="H103" s="667">
        <f t="shared" si="4"/>
        <v>0</v>
      </c>
      <c r="I103" s="667"/>
      <c r="J103" s="667"/>
      <c r="K103" s="667" t="e">
        <f>E103+#REF!+#REF!+#REF!+G103+#REF!+#REF!+#REF!+#REF!+#REF!+#REF!+I103+#REF!+#REF!+#REF!</f>
        <v>#REF!</v>
      </c>
      <c r="L103" s="667" t="e">
        <f t="shared" si="5"/>
        <v>#REF!</v>
      </c>
      <c r="M103" s="665" t="e">
        <f>#REF!+K103</f>
        <v>#REF!</v>
      </c>
      <c r="N103" s="666" t="e">
        <f t="shared" si="6"/>
        <v>#REF!</v>
      </c>
      <c r="O103" s="672"/>
      <c r="P103" s="668"/>
      <c r="Q103" s="676"/>
      <c r="R103" s="676"/>
    </row>
    <row r="104" spans="1:18" s="677" customFormat="1" ht="25.5" hidden="1" customHeight="1">
      <c r="A104" s="662"/>
      <c r="B104" s="663" t="s">
        <v>1427</v>
      </c>
      <c r="C104" s="675">
        <f>ROUND([14]Data!AG360,2)</f>
        <v>7822.27</v>
      </c>
      <c r="D104" s="674" t="s">
        <v>235</v>
      </c>
      <c r="E104" s="684"/>
      <c r="F104" s="667">
        <f t="shared" si="7"/>
        <v>0</v>
      </c>
      <c r="G104" s="675"/>
      <c r="H104" s="667">
        <f t="shared" si="4"/>
        <v>0</v>
      </c>
      <c r="I104" s="667"/>
      <c r="J104" s="667"/>
      <c r="K104" s="667" t="e">
        <f>E104+#REF!+#REF!+#REF!+G104+#REF!+#REF!+#REF!+#REF!+#REF!+#REF!+I104+#REF!+#REF!+#REF!</f>
        <v>#REF!</v>
      </c>
      <c r="L104" s="667" t="e">
        <f t="shared" si="5"/>
        <v>#REF!</v>
      </c>
      <c r="M104" s="665" t="e">
        <f>#REF!+K104</f>
        <v>#REF!</v>
      </c>
      <c r="N104" s="666" t="e">
        <f t="shared" si="6"/>
        <v>#REF!</v>
      </c>
      <c r="O104" s="672"/>
      <c r="P104" s="668"/>
      <c r="Q104" s="676"/>
      <c r="R104" s="676"/>
    </row>
    <row r="105" spans="1:18" s="677" customFormat="1" ht="46.5" hidden="1" customHeight="1">
      <c r="A105" s="662">
        <v>9.3000000000000007</v>
      </c>
      <c r="B105" s="663" t="s">
        <v>1428</v>
      </c>
      <c r="C105" s="675"/>
      <c r="D105" s="674"/>
      <c r="E105" s="684"/>
      <c r="F105" s="667">
        <f t="shared" si="7"/>
        <v>0</v>
      </c>
      <c r="G105" s="675"/>
      <c r="H105" s="667">
        <f t="shared" si="4"/>
        <v>0</v>
      </c>
      <c r="I105" s="667"/>
      <c r="J105" s="667"/>
      <c r="K105" s="667" t="e">
        <f>E105+#REF!+#REF!+#REF!+G105+#REF!+#REF!+#REF!+#REF!+#REF!+#REF!+I105+#REF!+#REF!+#REF!</f>
        <v>#REF!</v>
      </c>
      <c r="L105" s="667" t="e">
        <f t="shared" si="5"/>
        <v>#REF!</v>
      </c>
      <c r="M105" s="665" t="e">
        <f>#REF!+K105</f>
        <v>#REF!</v>
      </c>
      <c r="N105" s="666" t="e">
        <f t="shared" si="6"/>
        <v>#REF!</v>
      </c>
      <c r="O105" s="672"/>
      <c r="P105" s="668"/>
      <c r="Q105" s="676"/>
      <c r="R105" s="676"/>
    </row>
    <row r="106" spans="1:18" s="677" customFormat="1" ht="25.5" hidden="1" customHeight="1">
      <c r="A106" s="662"/>
      <c r="B106" s="663" t="s">
        <v>1420</v>
      </c>
      <c r="C106" s="675"/>
      <c r="D106" s="674" t="s">
        <v>235</v>
      </c>
      <c r="E106" s="684"/>
      <c r="F106" s="667">
        <f t="shared" si="7"/>
        <v>0</v>
      </c>
      <c r="G106" s="675"/>
      <c r="H106" s="667">
        <f t="shared" si="4"/>
        <v>0</v>
      </c>
      <c r="I106" s="667"/>
      <c r="J106" s="667"/>
      <c r="K106" s="667" t="e">
        <f>E106+#REF!+#REF!+#REF!+G106+#REF!+#REF!+#REF!+#REF!+#REF!+#REF!+I106+#REF!+#REF!+#REF!</f>
        <v>#REF!</v>
      </c>
      <c r="L106" s="667" t="e">
        <f t="shared" si="5"/>
        <v>#REF!</v>
      </c>
      <c r="M106" s="665" t="e">
        <f>#REF!+K106</f>
        <v>#REF!</v>
      </c>
      <c r="N106" s="666" t="e">
        <f t="shared" si="6"/>
        <v>#REF!</v>
      </c>
      <c r="O106" s="672"/>
      <c r="P106" s="668"/>
      <c r="Q106" s="676"/>
      <c r="R106" s="676"/>
    </row>
    <row r="107" spans="1:18" s="677" customFormat="1" ht="25.5" hidden="1" customHeight="1">
      <c r="A107" s="662"/>
      <c r="B107" s="663" t="s">
        <v>1421</v>
      </c>
      <c r="C107" s="675"/>
      <c r="D107" s="674" t="s">
        <v>235</v>
      </c>
      <c r="E107" s="684"/>
      <c r="F107" s="667">
        <f t="shared" si="7"/>
        <v>0</v>
      </c>
      <c r="G107" s="675"/>
      <c r="H107" s="667">
        <f t="shared" si="4"/>
        <v>0</v>
      </c>
      <c r="I107" s="667"/>
      <c r="J107" s="667"/>
      <c r="K107" s="667" t="e">
        <f>E107+#REF!+#REF!+#REF!+G107+#REF!+#REF!+#REF!+#REF!+#REF!+#REF!+I107+#REF!+#REF!+#REF!</f>
        <v>#REF!</v>
      </c>
      <c r="L107" s="667" t="e">
        <f t="shared" si="5"/>
        <v>#REF!</v>
      </c>
      <c r="M107" s="665" t="e">
        <f>#REF!+K107</f>
        <v>#REF!</v>
      </c>
      <c r="N107" s="666" t="e">
        <f t="shared" si="6"/>
        <v>#REF!</v>
      </c>
      <c r="O107" s="672"/>
      <c r="P107" s="668"/>
      <c r="Q107" s="676"/>
      <c r="R107" s="676"/>
    </row>
    <row r="108" spans="1:18" s="677" customFormat="1" ht="25.5" hidden="1" customHeight="1">
      <c r="A108" s="662"/>
      <c r="B108" s="663" t="s">
        <v>1422</v>
      </c>
      <c r="C108" s="675"/>
      <c r="D108" s="674" t="s">
        <v>235</v>
      </c>
      <c r="E108" s="684"/>
      <c r="F108" s="667">
        <f t="shared" si="7"/>
        <v>0</v>
      </c>
      <c r="G108" s="675"/>
      <c r="H108" s="667">
        <f t="shared" si="4"/>
        <v>0</v>
      </c>
      <c r="I108" s="667"/>
      <c r="J108" s="667"/>
      <c r="K108" s="667" t="e">
        <f>E108+#REF!+#REF!+#REF!+G108+#REF!+#REF!+#REF!+#REF!+#REF!+#REF!+I108+#REF!+#REF!+#REF!</f>
        <v>#REF!</v>
      </c>
      <c r="L108" s="667" t="e">
        <f t="shared" si="5"/>
        <v>#REF!</v>
      </c>
      <c r="M108" s="665" t="e">
        <f>#REF!+K108</f>
        <v>#REF!</v>
      </c>
      <c r="N108" s="666" t="e">
        <f t="shared" si="6"/>
        <v>#REF!</v>
      </c>
      <c r="O108" s="672"/>
      <c r="P108" s="668"/>
      <c r="Q108" s="676"/>
      <c r="R108" s="676"/>
    </row>
    <row r="109" spans="1:18" s="677" customFormat="1" ht="25.5" hidden="1" customHeight="1">
      <c r="A109" s="662"/>
      <c r="B109" s="663" t="s">
        <v>1423</v>
      </c>
      <c r="C109" s="675"/>
      <c r="D109" s="674" t="s">
        <v>235</v>
      </c>
      <c r="E109" s="684"/>
      <c r="F109" s="667">
        <f t="shared" si="7"/>
        <v>0</v>
      </c>
      <c r="G109" s="675"/>
      <c r="H109" s="667">
        <f t="shared" si="4"/>
        <v>0</v>
      </c>
      <c r="I109" s="667"/>
      <c r="J109" s="667"/>
      <c r="K109" s="667" t="e">
        <f>E109+#REF!+#REF!+#REF!+G109+#REF!+#REF!+#REF!+#REF!+#REF!+#REF!+I109+#REF!+#REF!+#REF!</f>
        <v>#REF!</v>
      </c>
      <c r="L109" s="667" t="e">
        <f t="shared" si="5"/>
        <v>#REF!</v>
      </c>
      <c r="M109" s="665" t="e">
        <f>#REF!+K109</f>
        <v>#REF!</v>
      </c>
      <c r="N109" s="666" t="e">
        <f t="shared" si="6"/>
        <v>#REF!</v>
      </c>
      <c r="O109" s="672"/>
      <c r="P109" s="668"/>
      <c r="Q109" s="676"/>
      <c r="R109" s="676"/>
    </row>
    <row r="110" spans="1:18" s="677" customFormat="1" ht="25.5" hidden="1" customHeight="1">
      <c r="A110" s="688"/>
      <c r="B110" s="663" t="s">
        <v>1424</v>
      </c>
      <c r="C110" s="675"/>
      <c r="D110" s="674" t="s">
        <v>235</v>
      </c>
      <c r="E110" s="684"/>
      <c r="F110" s="667">
        <f t="shared" si="7"/>
        <v>0</v>
      </c>
      <c r="G110" s="675"/>
      <c r="H110" s="667">
        <f t="shared" si="4"/>
        <v>0</v>
      </c>
      <c r="I110" s="667"/>
      <c r="J110" s="667"/>
      <c r="K110" s="667" t="e">
        <f>E110+#REF!+#REF!+#REF!+G110+#REF!+#REF!+#REF!+#REF!+#REF!+#REF!+I110+#REF!+#REF!+#REF!</f>
        <v>#REF!</v>
      </c>
      <c r="L110" s="667" t="e">
        <f t="shared" si="5"/>
        <v>#REF!</v>
      </c>
      <c r="M110" s="665" t="e">
        <f>#REF!+K110</f>
        <v>#REF!</v>
      </c>
      <c r="N110" s="666" t="e">
        <f t="shared" si="6"/>
        <v>#REF!</v>
      </c>
      <c r="O110" s="672"/>
      <c r="P110" s="668"/>
      <c r="Q110" s="676"/>
      <c r="R110" s="676"/>
    </row>
    <row r="111" spans="1:18" s="677" customFormat="1" ht="46.5" hidden="1" customHeight="1">
      <c r="A111" s="662">
        <v>9.4</v>
      </c>
      <c r="B111" s="663" t="s">
        <v>1429</v>
      </c>
      <c r="C111" s="675"/>
      <c r="D111" s="674"/>
      <c r="E111" s="684"/>
      <c r="F111" s="667">
        <f t="shared" si="7"/>
        <v>0</v>
      </c>
      <c r="G111" s="675"/>
      <c r="H111" s="667">
        <f t="shared" si="4"/>
        <v>0</v>
      </c>
      <c r="I111" s="667"/>
      <c r="J111" s="667"/>
      <c r="K111" s="667" t="e">
        <f>E111+#REF!+#REF!+#REF!+G111+#REF!+#REF!+#REF!+#REF!+#REF!+#REF!+I111+#REF!+#REF!+#REF!</f>
        <v>#REF!</v>
      </c>
      <c r="L111" s="667" t="e">
        <f t="shared" si="5"/>
        <v>#REF!</v>
      </c>
      <c r="M111" s="665" t="e">
        <f>#REF!+K111</f>
        <v>#REF!</v>
      </c>
      <c r="N111" s="666" t="e">
        <f t="shared" si="6"/>
        <v>#REF!</v>
      </c>
      <c r="O111" s="672"/>
      <c r="P111" s="668"/>
      <c r="Q111" s="676"/>
      <c r="R111" s="676"/>
    </row>
    <row r="112" spans="1:18" s="677" customFormat="1" ht="25.5" hidden="1" customHeight="1">
      <c r="A112" s="662"/>
      <c r="B112" s="663" t="s">
        <v>1420</v>
      </c>
      <c r="C112" s="675"/>
      <c r="D112" s="674" t="s">
        <v>235</v>
      </c>
      <c r="E112" s="684"/>
      <c r="F112" s="667">
        <f t="shared" si="7"/>
        <v>0</v>
      </c>
      <c r="G112" s="675"/>
      <c r="H112" s="667">
        <f t="shared" si="4"/>
        <v>0</v>
      </c>
      <c r="I112" s="667"/>
      <c r="J112" s="667"/>
      <c r="K112" s="667" t="e">
        <f>E112+#REF!+#REF!+#REF!+G112+#REF!+#REF!+#REF!+#REF!+#REF!+#REF!+I112+#REF!+#REF!+#REF!</f>
        <v>#REF!</v>
      </c>
      <c r="L112" s="667" t="e">
        <f t="shared" si="5"/>
        <v>#REF!</v>
      </c>
      <c r="M112" s="665" t="e">
        <f>#REF!+K112</f>
        <v>#REF!</v>
      </c>
      <c r="N112" s="666" t="e">
        <f t="shared" si="6"/>
        <v>#REF!</v>
      </c>
      <c r="O112" s="672"/>
      <c r="P112" s="668"/>
      <c r="Q112" s="676"/>
      <c r="R112" s="676"/>
    </row>
    <row r="113" spans="1:19" s="677" customFormat="1" ht="25.5" hidden="1" customHeight="1">
      <c r="A113" s="662"/>
      <c r="B113" s="663" t="s">
        <v>1421</v>
      </c>
      <c r="C113" s="675"/>
      <c r="D113" s="674" t="s">
        <v>235</v>
      </c>
      <c r="E113" s="684"/>
      <c r="F113" s="667">
        <f t="shared" si="7"/>
        <v>0</v>
      </c>
      <c r="G113" s="675"/>
      <c r="H113" s="667">
        <f t="shared" si="4"/>
        <v>0</v>
      </c>
      <c r="I113" s="667"/>
      <c r="J113" s="667"/>
      <c r="K113" s="667" t="e">
        <f>E113+#REF!+#REF!+#REF!+G113+#REF!+#REF!+#REF!+#REF!+#REF!+#REF!+I113+#REF!+#REF!+#REF!</f>
        <v>#REF!</v>
      </c>
      <c r="L113" s="667" t="e">
        <f t="shared" si="5"/>
        <v>#REF!</v>
      </c>
      <c r="M113" s="665" t="e">
        <f>#REF!+K113</f>
        <v>#REF!</v>
      </c>
      <c r="N113" s="666" t="e">
        <f t="shared" si="6"/>
        <v>#REF!</v>
      </c>
      <c r="O113" s="672"/>
      <c r="P113" s="668"/>
      <c r="Q113" s="676"/>
      <c r="R113" s="676"/>
    </row>
    <row r="114" spans="1:19" s="677" customFormat="1" ht="25.5" hidden="1" customHeight="1">
      <c r="A114" s="662"/>
      <c r="B114" s="663" t="s">
        <v>1422</v>
      </c>
      <c r="C114" s="675"/>
      <c r="D114" s="674" t="s">
        <v>235</v>
      </c>
      <c r="E114" s="684"/>
      <c r="F114" s="667">
        <f t="shared" si="7"/>
        <v>0</v>
      </c>
      <c r="G114" s="675"/>
      <c r="H114" s="667">
        <f t="shared" si="4"/>
        <v>0</v>
      </c>
      <c r="I114" s="667"/>
      <c r="J114" s="667"/>
      <c r="K114" s="667" t="e">
        <f>E114+#REF!+#REF!+#REF!+G114+#REF!+#REF!+#REF!+#REF!+#REF!+#REF!+I114+#REF!+#REF!+#REF!</f>
        <v>#REF!</v>
      </c>
      <c r="L114" s="667" t="e">
        <f t="shared" si="5"/>
        <v>#REF!</v>
      </c>
      <c r="M114" s="665" t="e">
        <f>#REF!+K114</f>
        <v>#REF!</v>
      </c>
      <c r="N114" s="666" t="e">
        <f t="shared" si="6"/>
        <v>#REF!</v>
      </c>
      <c r="O114" s="672"/>
      <c r="P114" s="668"/>
      <c r="Q114" s="676"/>
      <c r="R114" s="676"/>
    </row>
    <row r="115" spans="1:19" s="677" customFormat="1" ht="25.5" hidden="1" customHeight="1">
      <c r="A115" s="662"/>
      <c r="B115" s="663" t="s">
        <v>1423</v>
      </c>
      <c r="C115" s="675"/>
      <c r="D115" s="674" t="s">
        <v>235</v>
      </c>
      <c r="E115" s="684"/>
      <c r="F115" s="667">
        <f t="shared" si="7"/>
        <v>0</v>
      </c>
      <c r="G115" s="675"/>
      <c r="H115" s="667">
        <f t="shared" si="4"/>
        <v>0</v>
      </c>
      <c r="I115" s="667"/>
      <c r="J115" s="667"/>
      <c r="K115" s="667" t="e">
        <f>E115+#REF!+#REF!+#REF!+G115+#REF!+#REF!+#REF!+#REF!+#REF!+#REF!+I115+#REF!+#REF!+#REF!</f>
        <v>#REF!</v>
      </c>
      <c r="L115" s="667" t="e">
        <f t="shared" si="5"/>
        <v>#REF!</v>
      </c>
      <c r="M115" s="665" t="e">
        <f>#REF!+K115</f>
        <v>#REF!</v>
      </c>
      <c r="N115" s="666" t="e">
        <f t="shared" si="6"/>
        <v>#REF!</v>
      </c>
      <c r="O115" s="672"/>
      <c r="P115" s="668"/>
      <c r="Q115" s="676"/>
      <c r="R115" s="676"/>
    </row>
    <row r="116" spans="1:19" s="677" customFormat="1" ht="12" hidden="1" customHeight="1">
      <c r="A116" s="688"/>
      <c r="B116" s="663" t="s">
        <v>1424</v>
      </c>
      <c r="C116" s="675"/>
      <c r="D116" s="674" t="s">
        <v>235</v>
      </c>
      <c r="E116" s="684"/>
      <c r="F116" s="667">
        <f t="shared" si="7"/>
        <v>0</v>
      </c>
      <c r="G116" s="675"/>
      <c r="H116" s="667">
        <f t="shared" si="4"/>
        <v>0</v>
      </c>
      <c r="I116" s="667"/>
      <c r="J116" s="667"/>
      <c r="K116" s="667" t="e">
        <f>E116+#REF!+#REF!+#REF!+G116+#REF!+#REF!+#REF!+#REF!+#REF!+#REF!+I116+#REF!+#REF!+#REF!</f>
        <v>#REF!</v>
      </c>
      <c r="L116" s="667" t="e">
        <f t="shared" si="5"/>
        <v>#REF!</v>
      </c>
      <c r="M116" s="665" t="e">
        <f>#REF!+K116</f>
        <v>#REF!</v>
      </c>
      <c r="N116" s="666" t="e">
        <f t="shared" si="6"/>
        <v>#REF!</v>
      </c>
      <c r="O116" s="672"/>
      <c r="P116" s="668"/>
      <c r="Q116" s="676"/>
      <c r="R116" s="676"/>
    </row>
    <row r="117" spans="1:19" ht="84.75" customHeight="1">
      <c r="A117" s="662">
        <v>9.5</v>
      </c>
      <c r="B117" s="685" t="s">
        <v>1430</v>
      </c>
      <c r="C117" s="667"/>
      <c r="D117" s="663"/>
      <c r="E117" s="667"/>
      <c r="F117" s="667">
        <f t="shared" si="7"/>
        <v>0</v>
      </c>
      <c r="G117" s="667"/>
      <c r="H117" s="667">
        <f t="shared" si="4"/>
        <v>0</v>
      </c>
      <c r="I117" s="667"/>
      <c r="J117" s="667"/>
      <c r="K117" s="667" t="e">
        <f>E117+#REF!+#REF!+#REF!+G117+#REF!+#REF!+#REF!+#REF!+#REF!+#REF!+I117+#REF!+#REF!+#REF!</f>
        <v>#REF!</v>
      </c>
      <c r="L117" s="667" t="e">
        <f t="shared" si="5"/>
        <v>#REF!</v>
      </c>
      <c r="M117" s="665" t="e">
        <f>#REF!+K117</f>
        <v>#REF!</v>
      </c>
      <c r="N117" s="666" t="e">
        <f t="shared" si="6"/>
        <v>#REF!</v>
      </c>
      <c r="O117" s="668"/>
      <c r="P117" s="668"/>
      <c r="Q117" s="678"/>
      <c r="S117" s="679"/>
    </row>
    <row r="118" spans="1:19" ht="45.75" customHeight="1">
      <c r="A118" s="662"/>
      <c r="B118" s="663" t="s">
        <v>1420</v>
      </c>
      <c r="C118" s="667">
        <f>ROUND([14]Data!K347,2)</f>
        <v>6126.78</v>
      </c>
      <c r="D118" s="663" t="s">
        <v>235</v>
      </c>
      <c r="E118" s="689"/>
      <c r="F118" s="667">
        <f t="shared" si="7"/>
        <v>0</v>
      </c>
      <c r="G118" s="667"/>
      <c r="H118" s="667">
        <f t="shared" si="4"/>
        <v>0</v>
      </c>
      <c r="I118" s="667"/>
      <c r="J118" s="667"/>
      <c r="K118" s="667" t="e">
        <f>E118+#REF!+#REF!+#REF!+G118+#REF!+#REF!+#REF!+#REF!+#REF!+#REF!+I118+#REF!+#REF!+#REF!</f>
        <v>#REF!</v>
      </c>
      <c r="L118" s="667" t="e">
        <f t="shared" si="5"/>
        <v>#REF!</v>
      </c>
      <c r="M118" s="665" t="e">
        <f>#REF!+K118</f>
        <v>#REF!</v>
      </c>
      <c r="N118" s="666" t="e">
        <f t="shared" si="6"/>
        <v>#REF!</v>
      </c>
      <c r="O118" s="672"/>
      <c r="P118" s="668"/>
    </row>
    <row r="119" spans="1:19" ht="45.75" customHeight="1">
      <c r="A119" s="662"/>
      <c r="B119" s="663" t="s">
        <v>1421</v>
      </c>
      <c r="C119" s="667">
        <f>ROUND([14]Data!K348,2)</f>
        <v>6263.98</v>
      </c>
      <c r="D119" s="663" t="s">
        <v>235</v>
      </c>
      <c r="E119" s="689"/>
      <c r="F119" s="667">
        <f t="shared" si="7"/>
        <v>0</v>
      </c>
      <c r="G119" s="667"/>
      <c r="H119" s="667">
        <f t="shared" si="4"/>
        <v>0</v>
      </c>
      <c r="I119" s="667"/>
      <c r="J119" s="667"/>
      <c r="K119" s="667" t="e">
        <f>E119+#REF!+#REF!+#REF!+G119+#REF!+#REF!+#REF!+#REF!+#REF!+#REF!+I119+#REF!+#REF!+#REF!</f>
        <v>#REF!</v>
      </c>
      <c r="L119" s="667" t="e">
        <f t="shared" si="5"/>
        <v>#REF!</v>
      </c>
      <c r="M119" s="665" t="e">
        <f>#REF!+K119</f>
        <v>#REF!</v>
      </c>
      <c r="N119" s="666" t="e">
        <f t="shared" si="6"/>
        <v>#REF!</v>
      </c>
      <c r="O119" s="672"/>
      <c r="P119" s="668"/>
    </row>
    <row r="120" spans="1:19" ht="45.75" customHeight="1">
      <c r="A120" s="662"/>
      <c r="B120" s="663" t="s">
        <v>1422</v>
      </c>
      <c r="C120" s="667">
        <f>ROUND([14]Data!K349,2)</f>
        <v>6401.18</v>
      </c>
      <c r="D120" s="663" t="s">
        <v>235</v>
      </c>
      <c r="E120" s="689"/>
      <c r="F120" s="667">
        <f t="shared" si="7"/>
        <v>0</v>
      </c>
      <c r="G120" s="667"/>
      <c r="H120" s="667">
        <f t="shared" si="4"/>
        <v>0</v>
      </c>
      <c r="I120" s="667"/>
      <c r="J120" s="667"/>
      <c r="K120" s="667" t="e">
        <f>E120+#REF!+#REF!+#REF!+G120+#REF!+#REF!+#REF!+#REF!+#REF!+#REF!+I120+#REF!+#REF!+#REF!</f>
        <v>#REF!</v>
      </c>
      <c r="L120" s="667" t="e">
        <f t="shared" si="5"/>
        <v>#REF!</v>
      </c>
      <c r="M120" s="665" t="e">
        <f>#REF!+K120</f>
        <v>#REF!</v>
      </c>
      <c r="N120" s="666" t="e">
        <f t="shared" si="6"/>
        <v>#REF!</v>
      </c>
      <c r="O120" s="672"/>
      <c r="P120" s="668"/>
    </row>
    <row r="121" spans="1:19" ht="45.75" hidden="1" customHeight="1">
      <c r="A121" s="662"/>
      <c r="B121" s="663" t="s">
        <v>1423</v>
      </c>
      <c r="C121" s="667">
        <f>ROUND([14]Data!K350,2)</f>
        <v>6538.38</v>
      </c>
      <c r="D121" s="663" t="s">
        <v>235</v>
      </c>
      <c r="E121" s="689"/>
      <c r="F121" s="667">
        <f t="shared" si="7"/>
        <v>0</v>
      </c>
      <c r="G121" s="667"/>
      <c r="H121" s="667">
        <f t="shared" si="4"/>
        <v>0</v>
      </c>
      <c r="I121" s="667"/>
      <c r="J121" s="667"/>
      <c r="K121" s="667" t="e">
        <f>E121+#REF!+#REF!+#REF!+G121+#REF!+#REF!+#REF!+#REF!+#REF!+#REF!+I121+#REF!+#REF!+#REF!</f>
        <v>#REF!</v>
      </c>
      <c r="L121" s="667" t="e">
        <f t="shared" si="5"/>
        <v>#REF!</v>
      </c>
      <c r="M121" s="665" t="e">
        <f>#REF!+K121</f>
        <v>#REF!</v>
      </c>
      <c r="N121" s="666" t="e">
        <f t="shared" si="6"/>
        <v>#REF!</v>
      </c>
      <c r="O121" s="672"/>
      <c r="P121" s="668"/>
    </row>
    <row r="122" spans="1:19" ht="49.5" hidden="1" customHeight="1">
      <c r="A122" s="687"/>
      <c r="B122" s="663" t="s">
        <v>1424</v>
      </c>
      <c r="C122" s="667">
        <f>ROUND([14]Data!K351,2)</f>
        <v>6675.58</v>
      </c>
      <c r="D122" s="663" t="s">
        <v>235</v>
      </c>
      <c r="E122" s="689"/>
      <c r="F122" s="667">
        <f t="shared" si="7"/>
        <v>0</v>
      </c>
      <c r="G122" s="667"/>
      <c r="H122" s="667">
        <f t="shared" si="4"/>
        <v>0</v>
      </c>
      <c r="I122" s="667"/>
      <c r="J122" s="667"/>
      <c r="K122" s="667" t="e">
        <f>E122+#REF!+#REF!+#REF!+G122+#REF!+#REF!+#REF!+#REF!+#REF!+#REF!+I122+#REF!+#REF!+#REF!</f>
        <v>#REF!</v>
      </c>
      <c r="L122" s="667" t="e">
        <f t="shared" si="5"/>
        <v>#REF!</v>
      </c>
      <c r="M122" s="665" t="e">
        <f>#REF!+K122</f>
        <v>#REF!</v>
      </c>
      <c r="N122" s="666" t="e">
        <f t="shared" si="6"/>
        <v>#REF!</v>
      </c>
      <c r="O122" s="672"/>
      <c r="P122" s="668"/>
    </row>
    <row r="123" spans="1:19" s="677" customFormat="1" ht="69.75" hidden="1" customHeight="1">
      <c r="A123" s="662">
        <v>9.6</v>
      </c>
      <c r="B123" s="663" t="s">
        <v>1431</v>
      </c>
      <c r="C123" s="675"/>
      <c r="D123" s="674"/>
      <c r="E123" s="684"/>
      <c r="F123" s="667">
        <f t="shared" si="7"/>
        <v>0</v>
      </c>
      <c r="G123" s="675"/>
      <c r="H123" s="667">
        <f t="shared" si="4"/>
        <v>0</v>
      </c>
      <c r="I123" s="667"/>
      <c r="J123" s="667"/>
      <c r="K123" s="667" t="e">
        <f>E123+#REF!+#REF!+#REF!+G123+#REF!+#REF!+#REF!+#REF!+#REF!+#REF!+I123+#REF!+#REF!+#REF!</f>
        <v>#REF!</v>
      </c>
      <c r="L123" s="667" t="e">
        <f t="shared" si="5"/>
        <v>#REF!</v>
      </c>
      <c r="M123" s="665" t="e">
        <f>#REF!+K123</f>
        <v>#REF!</v>
      </c>
      <c r="N123" s="666" t="e">
        <f t="shared" si="6"/>
        <v>#REF!</v>
      </c>
      <c r="O123" s="672"/>
      <c r="P123" s="668"/>
      <c r="Q123" s="676"/>
      <c r="R123" s="676"/>
    </row>
    <row r="124" spans="1:19" s="677" customFormat="1" ht="25.5" hidden="1" customHeight="1">
      <c r="A124" s="662"/>
      <c r="B124" s="663" t="s">
        <v>1420</v>
      </c>
      <c r="C124" s="675"/>
      <c r="D124" s="674" t="s">
        <v>235</v>
      </c>
      <c r="E124" s="684"/>
      <c r="F124" s="667">
        <f t="shared" si="7"/>
        <v>0</v>
      </c>
      <c r="G124" s="675"/>
      <c r="H124" s="667">
        <f t="shared" si="4"/>
        <v>0</v>
      </c>
      <c r="I124" s="667"/>
      <c r="J124" s="667"/>
      <c r="K124" s="667" t="e">
        <f>E124+#REF!+#REF!+#REF!+G124+#REF!+#REF!+#REF!+#REF!+#REF!+#REF!+I124+#REF!+#REF!+#REF!</f>
        <v>#REF!</v>
      </c>
      <c r="L124" s="667" t="e">
        <f t="shared" si="5"/>
        <v>#REF!</v>
      </c>
      <c r="M124" s="665" t="e">
        <f>#REF!+K124</f>
        <v>#REF!</v>
      </c>
      <c r="N124" s="666" t="e">
        <f t="shared" si="6"/>
        <v>#REF!</v>
      </c>
      <c r="O124" s="672"/>
      <c r="P124" s="668"/>
      <c r="Q124" s="676"/>
      <c r="R124" s="676"/>
    </row>
    <row r="125" spans="1:19" s="677" customFormat="1" ht="25.5" hidden="1" customHeight="1">
      <c r="A125" s="662"/>
      <c r="B125" s="663" t="s">
        <v>1421</v>
      </c>
      <c r="C125" s="675"/>
      <c r="D125" s="674" t="s">
        <v>235</v>
      </c>
      <c r="E125" s="684"/>
      <c r="F125" s="667">
        <f t="shared" si="7"/>
        <v>0</v>
      </c>
      <c r="G125" s="675"/>
      <c r="H125" s="667">
        <f t="shared" si="4"/>
        <v>0</v>
      </c>
      <c r="I125" s="667"/>
      <c r="J125" s="667"/>
      <c r="K125" s="667" t="e">
        <f>E125+#REF!+#REF!+#REF!+G125+#REF!+#REF!+#REF!+#REF!+#REF!+#REF!+I125+#REF!+#REF!+#REF!</f>
        <v>#REF!</v>
      </c>
      <c r="L125" s="667" t="e">
        <f t="shared" si="5"/>
        <v>#REF!</v>
      </c>
      <c r="M125" s="665" t="e">
        <f>#REF!+K125</f>
        <v>#REF!</v>
      </c>
      <c r="N125" s="666" t="e">
        <f t="shared" si="6"/>
        <v>#REF!</v>
      </c>
      <c r="O125" s="672"/>
      <c r="P125" s="668"/>
      <c r="Q125" s="676"/>
      <c r="R125" s="676"/>
    </row>
    <row r="126" spans="1:19" s="677" customFormat="1" ht="25.5" hidden="1" customHeight="1">
      <c r="A126" s="662"/>
      <c r="B126" s="663" t="s">
        <v>1422</v>
      </c>
      <c r="C126" s="675"/>
      <c r="D126" s="674" t="s">
        <v>235</v>
      </c>
      <c r="E126" s="684"/>
      <c r="F126" s="667">
        <f t="shared" si="7"/>
        <v>0</v>
      </c>
      <c r="G126" s="675"/>
      <c r="H126" s="667">
        <f t="shared" si="4"/>
        <v>0</v>
      </c>
      <c r="I126" s="667"/>
      <c r="J126" s="667"/>
      <c r="K126" s="667" t="e">
        <f>E126+#REF!+#REF!+#REF!+G126+#REF!+#REF!+#REF!+#REF!+#REF!+#REF!+I126+#REF!+#REF!+#REF!</f>
        <v>#REF!</v>
      </c>
      <c r="L126" s="667" t="e">
        <f t="shared" si="5"/>
        <v>#REF!</v>
      </c>
      <c r="M126" s="665" t="e">
        <f>#REF!+K126</f>
        <v>#REF!</v>
      </c>
      <c r="N126" s="666" t="e">
        <f t="shared" si="6"/>
        <v>#REF!</v>
      </c>
      <c r="O126" s="672"/>
      <c r="P126" s="668"/>
      <c r="Q126" s="676"/>
      <c r="R126" s="676"/>
    </row>
    <row r="127" spans="1:19" s="677" customFormat="1" ht="25.5" hidden="1" customHeight="1">
      <c r="A127" s="662"/>
      <c r="B127" s="663" t="s">
        <v>1423</v>
      </c>
      <c r="C127" s="675"/>
      <c r="D127" s="674" t="s">
        <v>235</v>
      </c>
      <c r="E127" s="684"/>
      <c r="F127" s="667">
        <f t="shared" si="7"/>
        <v>0</v>
      </c>
      <c r="G127" s="675"/>
      <c r="H127" s="667">
        <f t="shared" si="4"/>
        <v>0</v>
      </c>
      <c r="I127" s="667"/>
      <c r="J127" s="667"/>
      <c r="K127" s="667" t="e">
        <f>E127+#REF!+#REF!+#REF!+G127+#REF!+#REF!+#REF!+#REF!+#REF!+#REF!+I127+#REF!+#REF!+#REF!</f>
        <v>#REF!</v>
      </c>
      <c r="L127" s="667" t="e">
        <f t="shared" si="5"/>
        <v>#REF!</v>
      </c>
      <c r="M127" s="665" t="e">
        <f>#REF!+K127</f>
        <v>#REF!</v>
      </c>
      <c r="N127" s="666" t="e">
        <f t="shared" si="6"/>
        <v>#REF!</v>
      </c>
      <c r="O127" s="672"/>
      <c r="P127" s="668"/>
      <c r="Q127" s="676"/>
      <c r="R127" s="676"/>
    </row>
    <row r="128" spans="1:19" s="677" customFormat="1" ht="25.5" hidden="1" customHeight="1">
      <c r="A128" s="688"/>
      <c r="B128" s="663" t="s">
        <v>1424</v>
      </c>
      <c r="C128" s="675"/>
      <c r="D128" s="674" t="s">
        <v>235</v>
      </c>
      <c r="E128" s="684"/>
      <c r="F128" s="667">
        <f t="shared" si="7"/>
        <v>0</v>
      </c>
      <c r="G128" s="675"/>
      <c r="H128" s="667">
        <f t="shared" si="4"/>
        <v>0</v>
      </c>
      <c r="I128" s="667"/>
      <c r="J128" s="667"/>
      <c r="K128" s="667" t="e">
        <f>E128+#REF!+#REF!+#REF!+G128+#REF!+#REF!+#REF!+#REF!+#REF!+#REF!+I128+#REF!+#REF!+#REF!</f>
        <v>#REF!</v>
      </c>
      <c r="L128" s="667" t="e">
        <f t="shared" si="5"/>
        <v>#REF!</v>
      </c>
      <c r="M128" s="665" t="e">
        <f>#REF!+K128</f>
        <v>#REF!</v>
      </c>
      <c r="N128" s="666" t="e">
        <f t="shared" si="6"/>
        <v>#REF!</v>
      </c>
      <c r="O128" s="672"/>
      <c r="P128" s="668"/>
      <c r="Q128" s="676"/>
      <c r="R128" s="676"/>
    </row>
    <row r="129" spans="1:18" s="677" customFormat="1" ht="69.75" hidden="1" customHeight="1">
      <c r="A129" s="662">
        <v>10.1</v>
      </c>
      <c r="B129" s="685" t="s">
        <v>1432</v>
      </c>
      <c r="C129" s="675"/>
      <c r="D129" s="674"/>
      <c r="E129" s="684"/>
      <c r="F129" s="667">
        <f t="shared" si="7"/>
        <v>0</v>
      </c>
      <c r="G129" s="675"/>
      <c r="H129" s="667">
        <f t="shared" si="4"/>
        <v>0</v>
      </c>
      <c r="I129" s="667"/>
      <c r="J129" s="667"/>
      <c r="K129" s="667" t="e">
        <f>E129+#REF!+#REF!+#REF!+G129+#REF!+#REF!+#REF!+#REF!+#REF!+#REF!+I129+#REF!+#REF!+#REF!</f>
        <v>#REF!</v>
      </c>
      <c r="L129" s="667" t="e">
        <f t="shared" si="5"/>
        <v>#REF!</v>
      </c>
      <c r="M129" s="665" t="e">
        <f>#REF!+K129</f>
        <v>#REF!</v>
      </c>
      <c r="N129" s="666" t="e">
        <f t="shared" si="6"/>
        <v>#REF!</v>
      </c>
      <c r="O129" s="672"/>
      <c r="P129" s="668"/>
      <c r="Q129" s="676"/>
      <c r="R129" s="676"/>
    </row>
    <row r="130" spans="1:18" s="677" customFormat="1" ht="25.5" hidden="1" customHeight="1">
      <c r="A130" s="662"/>
      <c r="B130" s="663" t="s">
        <v>1433</v>
      </c>
      <c r="C130" s="675">
        <f>ROUND([14]Data!X400,2)</f>
        <v>772.02</v>
      </c>
      <c r="D130" s="674" t="s">
        <v>264</v>
      </c>
      <c r="E130" s="684"/>
      <c r="F130" s="667">
        <f t="shared" si="7"/>
        <v>0</v>
      </c>
      <c r="G130" s="675"/>
      <c r="H130" s="667">
        <f t="shared" si="4"/>
        <v>0</v>
      </c>
      <c r="I130" s="667"/>
      <c r="J130" s="667"/>
      <c r="K130" s="667" t="e">
        <f>E130+#REF!+#REF!+#REF!+G130+#REF!+#REF!+#REF!+#REF!+#REF!+#REF!+I130+#REF!+#REF!+#REF!</f>
        <v>#REF!</v>
      </c>
      <c r="L130" s="667" t="e">
        <f t="shared" si="5"/>
        <v>#REF!</v>
      </c>
      <c r="M130" s="665" t="e">
        <f>#REF!+K130</f>
        <v>#REF!</v>
      </c>
      <c r="N130" s="666" t="e">
        <f t="shared" si="6"/>
        <v>#REF!</v>
      </c>
      <c r="O130" s="672"/>
      <c r="P130" s="668"/>
      <c r="Q130" s="676"/>
      <c r="R130" s="676"/>
    </row>
    <row r="131" spans="1:18" s="677" customFormat="1" ht="25.5" hidden="1" customHeight="1">
      <c r="A131" s="662"/>
      <c r="B131" s="663" t="s">
        <v>1434</v>
      </c>
      <c r="C131" s="675">
        <f>ROUND([14]Data!X402,2)</f>
        <v>779.64</v>
      </c>
      <c r="D131" s="674" t="s">
        <v>264</v>
      </c>
      <c r="E131" s="684"/>
      <c r="F131" s="667">
        <f t="shared" si="7"/>
        <v>0</v>
      </c>
      <c r="G131" s="675"/>
      <c r="H131" s="667">
        <f t="shared" si="4"/>
        <v>0</v>
      </c>
      <c r="I131" s="667"/>
      <c r="J131" s="667"/>
      <c r="K131" s="667" t="e">
        <f>E131+#REF!+#REF!+#REF!+G131+#REF!+#REF!+#REF!+#REF!+#REF!+#REF!+I131+#REF!+#REF!+#REF!</f>
        <v>#REF!</v>
      </c>
      <c r="L131" s="667" t="e">
        <f t="shared" si="5"/>
        <v>#REF!</v>
      </c>
      <c r="M131" s="665" t="e">
        <f>#REF!+K131</f>
        <v>#REF!</v>
      </c>
      <c r="N131" s="666" t="e">
        <f t="shared" si="6"/>
        <v>#REF!</v>
      </c>
      <c r="O131" s="672"/>
      <c r="P131" s="668"/>
      <c r="Q131" s="676"/>
      <c r="R131" s="676"/>
    </row>
    <row r="132" spans="1:18" s="677" customFormat="1" ht="25.5" hidden="1" customHeight="1">
      <c r="A132" s="662"/>
      <c r="B132" s="663" t="s">
        <v>1435</v>
      </c>
      <c r="C132" s="675">
        <f>ROUND([14]Data!X403,2)</f>
        <v>795.01</v>
      </c>
      <c r="D132" s="674" t="s">
        <v>264</v>
      </c>
      <c r="E132" s="684"/>
      <c r="F132" s="667">
        <f t="shared" si="7"/>
        <v>0</v>
      </c>
      <c r="G132" s="675"/>
      <c r="H132" s="667">
        <f t="shared" si="4"/>
        <v>0</v>
      </c>
      <c r="I132" s="667"/>
      <c r="J132" s="667"/>
      <c r="K132" s="667" t="e">
        <f>E132+#REF!+#REF!+#REF!+G132+#REF!+#REF!+#REF!+#REF!+#REF!+#REF!+I132+#REF!+#REF!+#REF!</f>
        <v>#REF!</v>
      </c>
      <c r="L132" s="667" t="e">
        <f t="shared" si="5"/>
        <v>#REF!</v>
      </c>
      <c r="M132" s="665" t="e">
        <f>#REF!+K132</f>
        <v>#REF!</v>
      </c>
      <c r="N132" s="666" t="e">
        <f t="shared" si="6"/>
        <v>#REF!</v>
      </c>
      <c r="O132" s="672"/>
      <c r="P132" s="668"/>
      <c r="Q132" s="676"/>
      <c r="R132" s="676"/>
    </row>
    <row r="133" spans="1:18" s="677" customFormat="1" ht="25.5" hidden="1" customHeight="1">
      <c r="A133" s="662"/>
      <c r="B133" s="663" t="s">
        <v>1436</v>
      </c>
      <c r="C133" s="675">
        <f>ROUND([14]Data!X404,2)</f>
        <v>810.38</v>
      </c>
      <c r="D133" s="674" t="s">
        <v>264</v>
      </c>
      <c r="E133" s="684"/>
      <c r="F133" s="667">
        <f t="shared" si="7"/>
        <v>0</v>
      </c>
      <c r="G133" s="675"/>
      <c r="H133" s="667">
        <f t="shared" si="4"/>
        <v>0</v>
      </c>
      <c r="I133" s="667"/>
      <c r="J133" s="667"/>
      <c r="K133" s="667" t="e">
        <f>E133+#REF!+#REF!+#REF!+G133+#REF!+#REF!+#REF!+#REF!+#REF!+#REF!+I133+#REF!+#REF!+#REF!</f>
        <v>#REF!</v>
      </c>
      <c r="L133" s="667" t="e">
        <f t="shared" si="5"/>
        <v>#REF!</v>
      </c>
      <c r="M133" s="665" t="e">
        <f>#REF!+K133</f>
        <v>#REF!</v>
      </c>
      <c r="N133" s="666" t="e">
        <f t="shared" si="6"/>
        <v>#REF!</v>
      </c>
      <c r="O133" s="672"/>
      <c r="P133" s="668"/>
      <c r="Q133" s="676"/>
      <c r="R133" s="676"/>
    </row>
    <row r="134" spans="1:18" s="677" customFormat="1" ht="25.5" hidden="1" customHeight="1">
      <c r="A134" s="662"/>
      <c r="B134" s="663" t="s">
        <v>1437</v>
      </c>
      <c r="C134" s="675">
        <f>ROUND([14]Data!X405,2)</f>
        <v>825.75</v>
      </c>
      <c r="D134" s="674" t="s">
        <v>264</v>
      </c>
      <c r="E134" s="684"/>
      <c r="F134" s="667">
        <f t="shared" si="7"/>
        <v>0</v>
      </c>
      <c r="G134" s="675"/>
      <c r="H134" s="667">
        <f t="shared" ref="H134:H197" si="8">G134*C134</f>
        <v>0</v>
      </c>
      <c r="I134" s="667"/>
      <c r="J134" s="667"/>
      <c r="K134" s="667" t="e">
        <f>E134+#REF!+#REF!+#REF!+G134+#REF!+#REF!+#REF!+#REF!+#REF!+#REF!+I134+#REF!+#REF!+#REF!</f>
        <v>#REF!</v>
      </c>
      <c r="L134" s="667" t="e">
        <f t="shared" ref="L134:L197" si="9">K134*C134</f>
        <v>#REF!</v>
      </c>
      <c r="M134" s="665" t="e">
        <f>#REF!+K134</f>
        <v>#REF!</v>
      </c>
      <c r="N134" s="666" t="e">
        <f t="shared" ref="N134:N197" si="10">M134*C134</f>
        <v>#REF!</v>
      </c>
      <c r="O134" s="672"/>
      <c r="P134" s="668"/>
      <c r="Q134" s="676"/>
      <c r="R134" s="676"/>
    </row>
    <row r="135" spans="1:18" s="677" customFormat="1" ht="25.5" hidden="1" customHeight="1">
      <c r="A135" s="688"/>
      <c r="B135" s="663" t="s">
        <v>1438</v>
      </c>
      <c r="C135" s="675">
        <f>ROUND([14]Data!X406,2)</f>
        <v>841.12</v>
      </c>
      <c r="D135" s="674" t="s">
        <v>264</v>
      </c>
      <c r="E135" s="684"/>
      <c r="F135" s="667">
        <f t="shared" si="7"/>
        <v>0</v>
      </c>
      <c r="G135" s="675"/>
      <c r="H135" s="667">
        <f t="shared" si="8"/>
        <v>0</v>
      </c>
      <c r="I135" s="667"/>
      <c r="J135" s="667"/>
      <c r="K135" s="667" t="e">
        <f>E135+#REF!+#REF!+#REF!+G135+#REF!+#REF!+#REF!+#REF!+#REF!+#REF!+I135+#REF!+#REF!+#REF!</f>
        <v>#REF!</v>
      </c>
      <c r="L135" s="667" t="e">
        <f t="shared" si="9"/>
        <v>#REF!</v>
      </c>
      <c r="M135" s="665" t="e">
        <f>#REF!+K135</f>
        <v>#REF!</v>
      </c>
      <c r="N135" s="666" t="e">
        <f t="shared" si="10"/>
        <v>#REF!</v>
      </c>
      <c r="O135" s="672"/>
      <c r="P135" s="668"/>
      <c r="Q135" s="676"/>
      <c r="R135" s="676"/>
    </row>
    <row r="136" spans="1:18" s="677" customFormat="1" ht="69.75" hidden="1" customHeight="1">
      <c r="A136" s="662">
        <v>10.199999999999999</v>
      </c>
      <c r="B136" s="685" t="s">
        <v>1439</v>
      </c>
      <c r="C136" s="675"/>
      <c r="D136" s="674"/>
      <c r="E136" s="684"/>
      <c r="F136" s="667">
        <f t="shared" si="7"/>
        <v>0</v>
      </c>
      <c r="G136" s="675"/>
      <c r="H136" s="667">
        <f t="shared" si="8"/>
        <v>0</v>
      </c>
      <c r="I136" s="667"/>
      <c r="J136" s="667"/>
      <c r="K136" s="667" t="e">
        <f>E136+#REF!+#REF!+#REF!+G136+#REF!+#REF!+#REF!+#REF!+#REF!+#REF!+I136+#REF!+#REF!+#REF!</f>
        <v>#REF!</v>
      </c>
      <c r="L136" s="667" t="e">
        <f t="shared" si="9"/>
        <v>#REF!</v>
      </c>
      <c r="M136" s="665" t="e">
        <f>#REF!+K136</f>
        <v>#REF!</v>
      </c>
      <c r="N136" s="666" t="e">
        <f t="shared" si="10"/>
        <v>#REF!</v>
      </c>
      <c r="O136" s="672"/>
      <c r="P136" s="668"/>
      <c r="Q136" s="676"/>
      <c r="R136" s="676"/>
    </row>
    <row r="137" spans="1:18" s="677" customFormat="1" ht="25.5" hidden="1" customHeight="1">
      <c r="A137" s="662"/>
      <c r="B137" s="663" t="s">
        <v>1433</v>
      </c>
      <c r="C137" s="675">
        <f>ROUND([14]Data!AG409,2)</f>
        <v>753.19</v>
      </c>
      <c r="D137" s="674" t="s">
        <v>264</v>
      </c>
      <c r="E137" s="684"/>
      <c r="F137" s="667">
        <f t="shared" si="7"/>
        <v>0</v>
      </c>
      <c r="G137" s="675"/>
      <c r="H137" s="667">
        <f t="shared" si="8"/>
        <v>0</v>
      </c>
      <c r="I137" s="667"/>
      <c r="J137" s="667"/>
      <c r="K137" s="667" t="e">
        <f>E137+#REF!+#REF!+#REF!+G137+#REF!+#REF!+#REF!+#REF!+#REF!+#REF!+I137+#REF!+#REF!+#REF!</f>
        <v>#REF!</v>
      </c>
      <c r="L137" s="667" t="e">
        <f t="shared" si="9"/>
        <v>#REF!</v>
      </c>
      <c r="M137" s="665" t="e">
        <f>#REF!+K137</f>
        <v>#REF!</v>
      </c>
      <c r="N137" s="666" t="e">
        <f t="shared" si="10"/>
        <v>#REF!</v>
      </c>
      <c r="O137" s="672"/>
      <c r="P137" s="668"/>
      <c r="Q137" s="676"/>
      <c r="R137" s="676"/>
    </row>
    <row r="138" spans="1:18" s="677" customFormat="1" ht="25.5" hidden="1" customHeight="1">
      <c r="A138" s="662"/>
      <c r="B138" s="663" t="s">
        <v>1440</v>
      </c>
      <c r="C138" s="675">
        <f>ROUND([14]Data!AG411,2)</f>
        <v>760.94</v>
      </c>
      <c r="D138" s="674" t="s">
        <v>264</v>
      </c>
      <c r="E138" s="684"/>
      <c r="F138" s="667">
        <f t="shared" si="7"/>
        <v>0</v>
      </c>
      <c r="G138" s="675"/>
      <c r="H138" s="667">
        <f t="shared" si="8"/>
        <v>0</v>
      </c>
      <c r="I138" s="667"/>
      <c r="J138" s="667"/>
      <c r="K138" s="667" t="e">
        <f>E138+#REF!+#REF!+#REF!+G138+#REF!+#REF!+#REF!+#REF!+#REF!+#REF!+I138+#REF!+#REF!+#REF!</f>
        <v>#REF!</v>
      </c>
      <c r="L138" s="667" t="e">
        <f t="shared" si="9"/>
        <v>#REF!</v>
      </c>
      <c r="M138" s="665" t="e">
        <f>#REF!+K138</f>
        <v>#REF!</v>
      </c>
      <c r="N138" s="666" t="e">
        <f t="shared" si="10"/>
        <v>#REF!</v>
      </c>
      <c r="O138" s="672"/>
      <c r="P138" s="668"/>
      <c r="Q138" s="676"/>
      <c r="R138" s="676"/>
    </row>
    <row r="139" spans="1:18" s="677" customFormat="1" ht="25.5" hidden="1" customHeight="1">
      <c r="A139" s="662"/>
      <c r="B139" s="663" t="s">
        <v>1435</v>
      </c>
      <c r="C139" s="675">
        <f>ROUND([14]Data!AG412,2)</f>
        <v>776.58</v>
      </c>
      <c r="D139" s="674" t="s">
        <v>264</v>
      </c>
      <c r="E139" s="684"/>
      <c r="F139" s="667">
        <f t="shared" si="7"/>
        <v>0</v>
      </c>
      <c r="G139" s="675"/>
      <c r="H139" s="667">
        <f t="shared" si="8"/>
        <v>0</v>
      </c>
      <c r="I139" s="667"/>
      <c r="J139" s="667"/>
      <c r="K139" s="667" t="e">
        <f>E139+#REF!+#REF!+#REF!+G139+#REF!+#REF!+#REF!+#REF!+#REF!+#REF!+I139+#REF!+#REF!+#REF!</f>
        <v>#REF!</v>
      </c>
      <c r="L139" s="667" t="e">
        <f t="shared" si="9"/>
        <v>#REF!</v>
      </c>
      <c r="M139" s="665" t="e">
        <f>#REF!+K139</f>
        <v>#REF!</v>
      </c>
      <c r="N139" s="666" t="e">
        <f t="shared" si="10"/>
        <v>#REF!</v>
      </c>
      <c r="O139" s="672"/>
      <c r="P139" s="668"/>
      <c r="Q139" s="676"/>
      <c r="R139" s="676"/>
    </row>
    <row r="140" spans="1:18" s="677" customFormat="1" ht="25.5" hidden="1" customHeight="1">
      <c r="A140" s="662"/>
      <c r="B140" s="663" t="s">
        <v>1436</v>
      </c>
      <c r="C140" s="675">
        <f>ROUND([14]Data!AG413,2)</f>
        <v>792.22</v>
      </c>
      <c r="D140" s="674" t="s">
        <v>264</v>
      </c>
      <c r="E140" s="684"/>
      <c r="F140" s="667">
        <f t="shared" si="7"/>
        <v>0</v>
      </c>
      <c r="G140" s="675"/>
      <c r="H140" s="667">
        <f t="shared" si="8"/>
        <v>0</v>
      </c>
      <c r="I140" s="667"/>
      <c r="J140" s="667"/>
      <c r="K140" s="667" t="e">
        <f>E140+#REF!+#REF!+#REF!+G140+#REF!+#REF!+#REF!+#REF!+#REF!+#REF!+I140+#REF!+#REF!+#REF!</f>
        <v>#REF!</v>
      </c>
      <c r="L140" s="667" t="e">
        <f t="shared" si="9"/>
        <v>#REF!</v>
      </c>
      <c r="M140" s="665" t="e">
        <f>#REF!+K140</f>
        <v>#REF!</v>
      </c>
      <c r="N140" s="666" t="e">
        <f t="shared" si="10"/>
        <v>#REF!</v>
      </c>
      <c r="O140" s="672"/>
      <c r="P140" s="668"/>
      <c r="Q140" s="676"/>
      <c r="R140" s="676"/>
    </row>
    <row r="141" spans="1:18" s="677" customFormat="1" ht="25.5" hidden="1" customHeight="1">
      <c r="A141" s="662"/>
      <c r="B141" s="663" t="s">
        <v>1437</v>
      </c>
      <c r="C141" s="675">
        <f>ROUND([14]Data!AG414,2)</f>
        <v>807.86</v>
      </c>
      <c r="D141" s="674" t="s">
        <v>264</v>
      </c>
      <c r="E141" s="684"/>
      <c r="F141" s="667">
        <f t="shared" si="7"/>
        <v>0</v>
      </c>
      <c r="G141" s="675"/>
      <c r="H141" s="667">
        <f t="shared" si="8"/>
        <v>0</v>
      </c>
      <c r="I141" s="667"/>
      <c r="J141" s="667"/>
      <c r="K141" s="667" t="e">
        <f>E141+#REF!+#REF!+#REF!+G141+#REF!+#REF!+#REF!+#REF!+#REF!+#REF!+I141+#REF!+#REF!+#REF!</f>
        <v>#REF!</v>
      </c>
      <c r="L141" s="667" t="e">
        <f t="shared" si="9"/>
        <v>#REF!</v>
      </c>
      <c r="M141" s="665" t="e">
        <f>#REF!+K141</f>
        <v>#REF!</v>
      </c>
      <c r="N141" s="666" t="e">
        <f t="shared" si="10"/>
        <v>#REF!</v>
      </c>
      <c r="O141" s="672"/>
      <c r="P141" s="668"/>
      <c r="Q141" s="676"/>
      <c r="R141" s="676"/>
    </row>
    <row r="142" spans="1:18" s="677" customFormat="1" ht="25.5" hidden="1" customHeight="1">
      <c r="A142" s="688"/>
      <c r="B142" s="663" t="s">
        <v>1438</v>
      </c>
      <c r="C142" s="675">
        <f>ROUND([14]Data!AG415,2)</f>
        <v>823.5</v>
      </c>
      <c r="D142" s="674" t="s">
        <v>264</v>
      </c>
      <c r="E142" s="684"/>
      <c r="F142" s="667">
        <f t="shared" si="7"/>
        <v>0</v>
      </c>
      <c r="G142" s="675"/>
      <c r="H142" s="667">
        <f t="shared" si="8"/>
        <v>0</v>
      </c>
      <c r="I142" s="667"/>
      <c r="J142" s="667"/>
      <c r="K142" s="667" t="e">
        <f>E142+#REF!+#REF!+#REF!+G142+#REF!+#REF!+#REF!+#REF!+#REF!+#REF!+I142+#REF!+#REF!+#REF!</f>
        <v>#REF!</v>
      </c>
      <c r="L142" s="667" t="e">
        <f t="shared" si="9"/>
        <v>#REF!</v>
      </c>
      <c r="M142" s="665" t="e">
        <f>#REF!+K142</f>
        <v>#REF!</v>
      </c>
      <c r="N142" s="666" t="e">
        <f t="shared" si="10"/>
        <v>#REF!</v>
      </c>
      <c r="O142" s="672"/>
      <c r="P142" s="668"/>
      <c r="Q142" s="676"/>
      <c r="R142" s="676"/>
    </row>
    <row r="143" spans="1:18" s="677" customFormat="1" ht="25.5" hidden="1" customHeight="1">
      <c r="A143" s="688"/>
      <c r="B143" s="663" t="s">
        <v>1411</v>
      </c>
      <c r="C143" s="675">
        <f>ROUND([14]Data!AG416,2)</f>
        <v>839.14</v>
      </c>
      <c r="D143" s="674" t="s">
        <v>264</v>
      </c>
      <c r="E143" s="684"/>
      <c r="F143" s="667">
        <f t="shared" si="7"/>
        <v>0</v>
      </c>
      <c r="G143" s="675"/>
      <c r="H143" s="667">
        <f t="shared" si="8"/>
        <v>0</v>
      </c>
      <c r="I143" s="667"/>
      <c r="J143" s="667"/>
      <c r="K143" s="667" t="e">
        <f>E143+#REF!+#REF!+#REF!+G143+#REF!+#REF!+#REF!+#REF!+#REF!+#REF!+I143+#REF!+#REF!+#REF!</f>
        <v>#REF!</v>
      </c>
      <c r="L143" s="667" t="e">
        <f t="shared" si="9"/>
        <v>#REF!</v>
      </c>
      <c r="M143" s="665" t="e">
        <f>#REF!+K143</f>
        <v>#REF!</v>
      </c>
      <c r="N143" s="666" t="e">
        <f t="shared" si="10"/>
        <v>#REF!</v>
      </c>
      <c r="O143" s="672"/>
      <c r="P143" s="668"/>
      <c r="Q143" s="676"/>
      <c r="R143" s="676"/>
    </row>
    <row r="144" spans="1:18" s="677" customFormat="1" ht="25.5" hidden="1" customHeight="1">
      <c r="A144" s="688"/>
      <c r="B144" s="663" t="s">
        <v>1412</v>
      </c>
      <c r="C144" s="675">
        <f>ROUND([14]Data!AG417,2)</f>
        <v>854.78</v>
      </c>
      <c r="D144" s="674" t="s">
        <v>264</v>
      </c>
      <c r="E144" s="684"/>
      <c r="F144" s="667">
        <f t="shared" si="7"/>
        <v>0</v>
      </c>
      <c r="G144" s="675"/>
      <c r="H144" s="667">
        <f t="shared" si="8"/>
        <v>0</v>
      </c>
      <c r="I144" s="667"/>
      <c r="J144" s="667"/>
      <c r="K144" s="667" t="e">
        <f>E144+#REF!+#REF!+#REF!+G144+#REF!+#REF!+#REF!+#REF!+#REF!+#REF!+I144+#REF!+#REF!+#REF!</f>
        <v>#REF!</v>
      </c>
      <c r="L144" s="667" t="e">
        <f t="shared" si="9"/>
        <v>#REF!</v>
      </c>
      <c r="M144" s="665" t="e">
        <f>#REF!+K144</f>
        <v>#REF!</v>
      </c>
      <c r="N144" s="666" t="e">
        <f t="shared" si="10"/>
        <v>#REF!</v>
      </c>
      <c r="O144" s="672"/>
      <c r="P144" s="668"/>
      <c r="Q144" s="676"/>
      <c r="R144" s="676"/>
    </row>
    <row r="145" spans="1:18" s="677" customFormat="1" ht="25.5" hidden="1" customHeight="1">
      <c r="A145" s="688"/>
      <c r="B145" s="663" t="s">
        <v>1413</v>
      </c>
      <c r="C145" s="675">
        <f>ROUND([14]Data!AG418,2)</f>
        <v>870.42</v>
      </c>
      <c r="D145" s="674" t="s">
        <v>264</v>
      </c>
      <c r="E145" s="684"/>
      <c r="F145" s="667">
        <f t="shared" si="7"/>
        <v>0</v>
      </c>
      <c r="G145" s="675"/>
      <c r="H145" s="667">
        <f t="shared" si="8"/>
        <v>0</v>
      </c>
      <c r="I145" s="667"/>
      <c r="J145" s="667"/>
      <c r="K145" s="667" t="e">
        <f>E145+#REF!+#REF!+#REF!+G145+#REF!+#REF!+#REF!+#REF!+#REF!+#REF!+I145+#REF!+#REF!+#REF!</f>
        <v>#REF!</v>
      </c>
      <c r="L145" s="667" t="e">
        <f t="shared" si="9"/>
        <v>#REF!</v>
      </c>
      <c r="M145" s="665" t="e">
        <f>#REF!+K145</f>
        <v>#REF!</v>
      </c>
      <c r="N145" s="666" t="e">
        <f t="shared" si="10"/>
        <v>#REF!</v>
      </c>
      <c r="O145" s="672"/>
      <c r="P145" s="668"/>
      <c r="Q145" s="676"/>
      <c r="R145" s="676"/>
    </row>
    <row r="146" spans="1:18" s="677" customFormat="1" ht="25.5" hidden="1" customHeight="1">
      <c r="A146" s="688"/>
      <c r="B146" s="663" t="s">
        <v>1414</v>
      </c>
      <c r="C146" s="675">
        <f>ROUND([14]Data!AG419,2)</f>
        <v>886.06</v>
      </c>
      <c r="D146" s="674" t="s">
        <v>264</v>
      </c>
      <c r="E146" s="684"/>
      <c r="F146" s="667">
        <f t="shared" ref="F146:F209" si="11">E146*C146</f>
        <v>0</v>
      </c>
      <c r="G146" s="675"/>
      <c r="H146" s="667">
        <f t="shared" si="8"/>
        <v>0</v>
      </c>
      <c r="I146" s="667"/>
      <c r="J146" s="667"/>
      <c r="K146" s="667" t="e">
        <f>E146+#REF!+#REF!+#REF!+G146+#REF!+#REF!+#REF!+#REF!+#REF!+#REF!+I146+#REF!+#REF!+#REF!</f>
        <v>#REF!</v>
      </c>
      <c r="L146" s="667" t="e">
        <f t="shared" si="9"/>
        <v>#REF!</v>
      </c>
      <c r="M146" s="665" t="e">
        <f>#REF!+K146</f>
        <v>#REF!</v>
      </c>
      <c r="N146" s="666" t="e">
        <f t="shared" si="10"/>
        <v>#REF!</v>
      </c>
      <c r="O146" s="672"/>
      <c r="P146" s="668"/>
      <c r="Q146" s="676"/>
      <c r="R146" s="676"/>
    </row>
    <row r="147" spans="1:18" s="677" customFormat="1" ht="25.5" hidden="1" customHeight="1">
      <c r="A147" s="688"/>
      <c r="B147" s="663" t="s">
        <v>1415</v>
      </c>
      <c r="C147" s="675">
        <f>ROUND([14]Data!AG420,2)</f>
        <v>901.7</v>
      </c>
      <c r="D147" s="674" t="s">
        <v>264</v>
      </c>
      <c r="E147" s="684"/>
      <c r="F147" s="667">
        <f t="shared" si="11"/>
        <v>0</v>
      </c>
      <c r="G147" s="675"/>
      <c r="H147" s="667">
        <f t="shared" si="8"/>
        <v>0</v>
      </c>
      <c r="I147" s="667"/>
      <c r="J147" s="667"/>
      <c r="K147" s="667" t="e">
        <f>E147+#REF!+#REF!+#REF!+G147+#REF!+#REF!+#REF!+#REF!+#REF!+#REF!+I147+#REF!+#REF!+#REF!</f>
        <v>#REF!</v>
      </c>
      <c r="L147" s="667" t="e">
        <f t="shared" si="9"/>
        <v>#REF!</v>
      </c>
      <c r="M147" s="665" t="e">
        <f>#REF!+K147</f>
        <v>#REF!</v>
      </c>
      <c r="N147" s="666" t="e">
        <f t="shared" si="10"/>
        <v>#REF!</v>
      </c>
      <c r="O147" s="672"/>
      <c r="P147" s="668"/>
      <c r="Q147" s="676"/>
      <c r="R147" s="676"/>
    </row>
    <row r="148" spans="1:18" s="677" customFormat="1" ht="26.25" hidden="1" customHeight="1">
      <c r="A148" s="688"/>
      <c r="B148" s="663" t="s">
        <v>1416</v>
      </c>
      <c r="C148" s="675">
        <f>ROUND([14]Data!AG421,2)</f>
        <v>917.34</v>
      </c>
      <c r="D148" s="674" t="s">
        <v>264</v>
      </c>
      <c r="E148" s="684"/>
      <c r="F148" s="667">
        <f t="shared" si="11"/>
        <v>0</v>
      </c>
      <c r="G148" s="675"/>
      <c r="H148" s="667">
        <f t="shared" si="8"/>
        <v>0</v>
      </c>
      <c r="I148" s="667"/>
      <c r="J148" s="667"/>
      <c r="K148" s="667" t="e">
        <f>E148+#REF!+#REF!+#REF!+G148+#REF!+#REF!+#REF!+#REF!+#REF!+#REF!+I148+#REF!+#REF!+#REF!</f>
        <v>#REF!</v>
      </c>
      <c r="L148" s="667" t="e">
        <f t="shared" si="9"/>
        <v>#REF!</v>
      </c>
      <c r="M148" s="665" t="e">
        <f>#REF!+K148</f>
        <v>#REF!</v>
      </c>
      <c r="N148" s="666" t="e">
        <f t="shared" si="10"/>
        <v>#REF!</v>
      </c>
      <c r="O148" s="672"/>
      <c r="P148" s="668"/>
      <c r="Q148" s="676"/>
      <c r="R148" s="676"/>
    </row>
    <row r="149" spans="1:18" s="677" customFormat="1" ht="25.5" hidden="1" customHeight="1">
      <c r="A149" s="688"/>
      <c r="B149" s="663" t="s">
        <v>1417</v>
      </c>
      <c r="C149" s="675">
        <f>ROUND([14]Data!AG422,2)</f>
        <v>932.98</v>
      </c>
      <c r="D149" s="674" t="s">
        <v>264</v>
      </c>
      <c r="E149" s="684"/>
      <c r="F149" s="667">
        <f t="shared" si="11"/>
        <v>0</v>
      </c>
      <c r="G149" s="675"/>
      <c r="H149" s="667">
        <f t="shared" si="8"/>
        <v>0</v>
      </c>
      <c r="I149" s="667"/>
      <c r="J149" s="667"/>
      <c r="K149" s="667" t="e">
        <f>E149+#REF!+#REF!+#REF!+G149+#REF!+#REF!+#REF!+#REF!+#REF!+#REF!+I149+#REF!+#REF!+#REF!</f>
        <v>#REF!</v>
      </c>
      <c r="L149" s="667" t="e">
        <f t="shared" si="9"/>
        <v>#REF!</v>
      </c>
      <c r="M149" s="665" t="e">
        <f>#REF!+K149</f>
        <v>#REF!</v>
      </c>
      <c r="N149" s="666" t="e">
        <f t="shared" si="10"/>
        <v>#REF!</v>
      </c>
      <c r="O149" s="672"/>
      <c r="P149" s="668"/>
      <c r="Q149" s="676"/>
      <c r="R149" s="676"/>
    </row>
    <row r="150" spans="1:18" s="677" customFormat="1" ht="25.5" hidden="1" customHeight="1">
      <c r="A150" s="688"/>
      <c r="B150" s="663" t="s">
        <v>1418</v>
      </c>
      <c r="C150" s="675">
        <f>[14]Data!AI422</f>
        <v>948.62</v>
      </c>
      <c r="D150" s="674" t="s">
        <v>264</v>
      </c>
      <c r="E150" s="684"/>
      <c r="F150" s="667">
        <f t="shared" si="11"/>
        <v>0</v>
      </c>
      <c r="G150" s="675"/>
      <c r="H150" s="667">
        <f t="shared" si="8"/>
        <v>0</v>
      </c>
      <c r="I150" s="667"/>
      <c r="J150" s="667"/>
      <c r="K150" s="667" t="e">
        <f>E150+#REF!+#REF!+#REF!+G150+#REF!+#REF!+#REF!+#REF!+#REF!+#REF!+I150+#REF!+#REF!+#REF!</f>
        <v>#REF!</v>
      </c>
      <c r="L150" s="667" t="e">
        <f t="shared" si="9"/>
        <v>#REF!</v>
      </c>
      <c r="M150" s="665" t="e">
        <f>#REF!+K150</f>
        <v>#REF!</v>
      </c>
      <c r="N150" s="666" t="e">
        <f t="shared" si="10"/>
        <v>#REF!</v>
      </c>
      <c r="O150" s="672"/>
      <c r="P150" s="668"/>
      <c r="Q150" s="676"/>
      <c r="R150" s="676"/>
    </row>
    <row r="151" spans="1:18" s="677" customFormat="1" ht="25.5" hidden="1" customHeight="1">
      <c r="A151" s="688"/>
      <c r="B151" s="663" t="s">
        <v>1427</v>
      </c>
      <c r="C151" s="675">
        <f>[14]Data!AI423</f>
        <v>964.26</v>
      </c>
      <c r="D151" s="674" t="s">
        <v>264</v>
      </c>
      <c r="E151" s="684"/>
      <c r="F151" s="667">
        <f t="shared" si="11"/>
        <v>0</v>
      </c>
      <c r="G151" s="675"/>
      <c r="H151" s="667">
        <f t="shared" si="8"/>
        <v>0</v>
      </c>
      <c r="I151" s="667"/>
      <c r="J151" s="667"/>
      <c r="K151" s="667" t="e">
        <f>E151+#REF!+#REF!+#REF!+G151+#REF!+#REF!+#REF!+#REF!+#REF!+#REF!+I151+#REF!+#REF!+#REF!</f>
        <v>#REF!</v>
      </c>
      <c r="L151" s="667" t="e">
        <f t="shared" si="9"/>
        <v>#REF!</v>
      </c>
      <c r="M151" s="665" t="e">
        <f>#REF!+K151</f>
        <v>#REF!</v>
      </c>
      <c r="N151" s="666" t="e">
        <f t="shared" si="10"/>
        <v>#REF!</v>
      </c>
      <c r="O151" s="672"/>
      <c r="P151" s="668"/>
      <c r="Q151" s="676"/>
      <c r="R151" s="676"/>
    </row>
    <row r="152" spans="1:18" s="677" customFormat="1" ht="69.75" hidden="1" customHeight="1">
      <c r="A152" s="662">
        <v>10.3</v>
      </c>
      <c r="B152" s="685" t="s">
        <v>1441</v>
      </c>
      <c r="C152" s="675"/>
      <c r="D152" s="674"/>
      <c r="E152" s="684"/>
      <c r="F152" s="667">
        <f t="shared" si="11"/>
        <v>0</v>
      </c>
      <c r="G152" s="675"/>
      <c r="H152" s="667">
        <f t="shared" si="8"/>
        <v>0</v>
      </c>
      <c r="I152" s="667"/>
      <c r="J152" s="667"/>
      <c r="K152" s="667" t="e">
        <f>E152+#REF!+#REF!+#REF!+G152+#REF!+#REF!+#REF!+#REF!+#REF!+#REF!+I152+#REF!+#REF!+#REF!</f>
        <v>#REF!</v>
      </c>
      <c r="L152" s="667" t="e">
        <f t="shared" si="9"/>
        <v>#REF!</v>
      </c>
      <c r="M152" s="665" t="e">
        <f>#REF!+K152</f>
        <v>#REF!</v>
      </c>
      <c r="N152" s="666" t="e">
        <f t="shared" si="10"/>
        <v>#REF!</v>
      </c>
      <c r="O152" s="672"/>
      <c r="P152" s="668"/>
      <c r="Q152" s="676"/>
      <c r="R152" s="676"/>
    </row>
    <row r="153" spans="1:18" s="677" customFormat="1" ht="25.5" hidden="1" customHeight="1">
      <c r="A153" s="662"/>
      <c r="B153" s="663" t="s">
        <v>1433</v>
      </c>
      <c r="C153" s="675"/>
      <c r="D153" s="674" t="s">
        <v>264</v>
      </c>
      <c r="E153" s="684"/>
      <c r="F153" s="667">
        <f t="shared" si="11"/>
        <v>0</v>
      </c>
      <c r="G153" s="675"/>
      <c r="H153" s="667">
        <f t="shared" si="8"/>
        <v>0</v>
      </c>
      <c r="I153" s="667"/>
      <c r="J153" s="667"/>
      <c r="K153" s="667" t="e">
        <f>E153+#REF!+#REF!+#REF!+G153+#REF!+#REF!+#REF!+#REF!+#REF!+#REF!+I153+#REF!+#REF!+#REF!</f>
        <v>#REF!</v>
      </c>
      <c r="L153" s="667" t="e">
        <f t="shared" si="9"/>
        <v>#REF!</v>
      </c>
      <c r="M153" s="665" t="e">
        <f>#REF!+K153</f>
        <v>#REF!</v>
      </c>
      <c r="N153" s="666" t="e">
        <f t="shared" si="10"/>
        <v>#REF!</v>
      </c>
      <c r="O153" s="672"/>
      <c r="P153" s="668"/>
      <c r="Q153" s="676"/>
      <c r="R153" s="676"/>
    </row>
    <row r="154" spans="1:18" s="677" customFormat="1" ht="25.5" hidden="1" customHeight="1">
      <c r="A154" s="662"/>
      <c r="B154" s="663" t="s">
        <v>1434</v>
      </c>
      <c r="C154" s="675"/>
      <c r="D154" s="674" t="s">
        <v>264</v>
      </c>
      <c r="E154" s="684"/>
      <c r="F154" s="667">
        <f t="shared" si="11"/>
        <v>0</v>
      </c>
      <c r="G154" s="675"/>
      <c r="H154" s="667">
        <f t="shared" si="8"/>
        <v>0</v>
      </c>
      <c r="I154" s="667"/>
      <c r="J154" s="667"/>
      <c r="K154" s="667" t="e">
        <f>E154+#REF!+#REF!+#REF!+G154+#REF!+#REF!+#REF!+#REF!+#REF!+#REF!+I154+#REF!+#REF!+#REF!</f>
        <v>#REF!</v>
      </c>
      <c r="L154" s="667" t="e">
        <f t="shared" si="9"/>
        <v>#REF!</v>
      </c>
      <c r="M154" s="665" t="e">
        <f>#REF!+K154</f>
        <v>#REF!</v>
      </c>
      <c r="N154" s="666" t="e">
        <f t="shared" si="10"/>
        <v>#REF!</v>
      </c>
      <c r="O154" s="672"/>
      <c r="P154" s="668"/>
      <c r="Q154" s="676"/>
      <c r="R154" s="676"/>
    </row>
    <row r="155" spans="1:18" s="677" customFormat="1" ht="25.5" hidden="1" customHeight="1">
      <c r="A155" s="662"/>
      <c r="B155" s="663" t="s">
        <v>1435</v>
      </c>
      <c r="C155" s="675"/>
      <c r="D155" s="674" t="s">
        <v>264</v>
      </c>
      <c r="E155" s="684"/>
      <c r="F155" s="667">
        <f t="shared" si="11"/>
        <v>0</v>
      </c>
      <c r="G155" s="675"/>
      <c r="H155" s="667">
        <f t="shared" si="8"/>
        <v>0</v>
      </c>
      <c r="I155" s="667"/>
      <c r="J155" s="667"/>
      <c r="K155" s="667" t="e">
        <f>E155+#REF!+#REF!+#REF!+G155+#REF!+#REF!+#REF!+#REF!+#REF!+#REF!+I155+#REF!+#REF!+#REF!</f>
        <v>#REF!</v>
      </c>
      <c r="L155" s="667" t="e">
        <f t="shared" si="9"/>
        <v>#REF!</v>
      </c>
      <c r="M155" s="665" t="e">
        <f>#REF!+K155</f>
        <v>#REF!</v>
      </c>
      <c r="N155" s="666" t="e">
        <f t="shared" si="10"/>
        <v>#REF!</v>
      </c>
      <c r="O155" s="672"/>
      <c r="P155" s="668"/>
      <c r="Q155" s="676"/>
      <c r="R155" s="676"/>
    </row>
    <row r="156" spans="1:18" s="677" customFormat="1" ht="25.5" hidden="1" customHeight="1">
      <c r="A156" s="662"/>
      <c r="B156" s="663" t="s">
        <v>1436</v>
      </c>
      <c r="C156" s="675"/>
      <c r="D156" s="674" t="s">
        <v>264</v>
      </c>
      <c r="E156" s="684"/>
      <c r="F156" s="667">
        <f t="shared" si="11"/>
        <v>0</v>
      </c>
      <c r="G156" s="675"/>
      <c r="H156" s="667">
        <f t="shared" si="8"/>
        <v>0</v>
      </c>
      <c r="I156" s="667"/>
      <c r="J156" s="667"/>
      <c r="K156" s="667" t="e">
        <f>E156+#REF!+#REF!+#REF!+G156+#REF!+#REF!+#REF!+#REF!+#REF!+#REF!+I156+#REF!+#REF!+#REF!</f>
        <v>#REF!</v>
      </c>
      <c r="L156" s="667" t="e">
        <f t="shared" si="9"/>
        <v>#REF!</v>
      </c>
      <c r="M156" s="665" t="e">
        <f>#REF!+K156</f>
        <v>#REF!</v>
      </c>
      <c r="N156" s="666" t="e">
        <f t="shared" si="10"/>
        <v>#REF!</v>
      </c>
      <c r="O156" s="672"/>
      <c r="P156" s="668"/>
      <c r="Q156" s="676"/>
      <c r="R156" s="676"/>
    </row>
    <row r="157" spans="1:18" s="677" customFormat="1" ht="25.5" hidden="1" customHeight="1">
      <c r="A157" s="662"/>
      <c r="B157" s="663" t="s">
        <v>1437</v>
      </c>
      <c r="C157" s="675"/>
      <c r="D157" s="674" t="s">
        <v>264</v>
      </c>
      <c r="E157" s="684"/>
      <c r="F157" s="667">
        <f t="shared" si="11"/>
        <v>0</v>
      </c>
      <c r="G157" s="675"/>
      <c r="H157" s="667">
        <f t="shared" si="8"/>
        <v>0</v>
      </c>
      <c r="I157" s="667"/>
      <c r="J157" s="667"/>
      <c r="K157" s="667" t="e">
        <f>E157+#REF!+#REF!+#REF!+G157+#REF!+#REF!+#REF!+#REF!+#REF!+#REF!+I157+#REF!+#REF!+#REF!</f>
        <v>#REF!</v>
      </c>
      <c r="L157" s="667" t="e">
        <f t="shared" si="9"/>
        <v>#REF!</v>
      </c>
      <c r="M157" s="665" t="e">
        <f>#REF!+K157</f>
        <v>#REF!</v>
      </c>
      <c r="N157" s="666" t="e">
        <f t="shared" si="10"/>
        <v>#REF!</v>
      </c>
      <c r="O157" s="672"/>
      <c r="P157" s="668"/>
      <c r="Q157" s="676"/>
      <c r="R157" s="676"/>
    </row>
    <row r="158" spans="1:18" s="677" customFormat="1" ht="25.5" hidden="1" customHeight="1">
      <c r="A158" s="688"/>
      <c r="B158" s="663" t="s">
        <v>1438</v>
      </c>
      <c r="C158" s="675"/>
      <c r="D158" s="674" t="s">
        <v>264</v>
      </c>
      <c r="E158" s="684"/>
      <c r="F158" s="667">
        <f t="shared" si="11"/>
        <v>0</v>
      </c>
      <c r="G158" s="675"/>
      <c r="H158" s="667">
        <f t="shared" si="8"/>
        <v>0</v>
      </c>
      <c r="I158" s="667"/>
      <c r="J158" s="667"/>
      <c r="K158" s="667" t="e">
        <f>E158+#REF!+#REF!+#REF!+G158+#REF!+#REF!+#REF!+#REF!+#REF!+#REF!+I158+#REF!+#REF!+#REF!</f>
        <v>#REF!</v>
      </c>
      <c r="L158" s="667" t="e">
        <f t="shared" si="9"/>
        <v>#REF!</v>
      </c>
      <c r="M158" s="665" t="e">
        <f>#REF!+K158</f>
        <v>#REF!</v>
      </c>
      <c r="N158" s="666" t="e">
        <f t="shared" si="10"/>
        <v>#REF!</v>
      </c>
      <c r="O158" s="672"/>
      <c r="P158" s="668"/>
      <c r="Q158" s="676"/>
      <c r="R158" s="676"/>
    </row>
    <row r="159" spans="1:18" s="677" customFormat="1" ht="69.75" hidden="1" customHeight="1">
      <c r="A159" s="662">
        <v>10.4</v>
      </c>
      <c r="B159" s="685" t="s">
        <v>1442</v>
      </c>
      <c r="C159" s="675"/>
      <c r="D159" s="674"/>
      <c r="E159" s="684"/>
      <c r="F159" s="667">
        <f t="shared" si="11"/>
        <v>0</v>
      </c>
      <c r="G159" s="675"/>
      <c r="H159" s="667">
        <f t="shared" si="8"/>
        <v>0</v>
      </c>
      <c r="I159" s="667"/>
      <c r="J159" s="667"/>
      <c r="K159" s="667" t="e">
        <f>E159+#REF!+#REF!+#REF!+G159+#REF!+#REF!+#REF!+#REF!+#REF!+#REF!+I159+#REF!+#REF!+#REF!</f>
        <v>#REF!</v>
      </c>
      <c r="L159" s="667" t="e">
        <f t="shared" si="9"/>
        <v>#REF!</v>
      </c>
      <c r="M159" s="665" t="e">
        <f>#REF!+K159</f>
        <v>#REF!</v>
      </c>
      <c r="N159" s="666" t="e">
        <f t="shared" si="10"/>
        <v>#REF!</v>
      </c>
      <c r="O159" s="672"/>
      <c r="P159" s="668"/>
      <c r="Q159" s="676"/>
      <c r="R159" s="676"/>
    </row>
    <row r="160" spans="1:18" s="677" customFormat="1" ht="25.5" hidden="1" customHeight="1">
      <c r="A160" s="662"/>
      <c r="B160" s="663" t="s">
        <v>1433</v>
      </c>
      <c r="C160" s="675"/>
      <c r="D160" s="674" t="s">
        <v>264</v>
      </c>
      <c r="E160" s="684"/>
      <c r="F160" s="667">
        <f t="shared" si="11"/>
        <v>0</v>
      </c>
      <c r="G160" s="675"/>
      <c r="H160" s="667">
        <f t="shared" si="8"/>
        <v>0</v>
      </c>
      <c r="I160" s="667"/>
      <c r="J160" s="667"/>
      <c r="K160" s="667" t="e">
        <f>E160+#REF!+#REF!+#REF!+G160+#REF!+#REF!+#REF!+#REF!+#REF!+#REF!+I160+#REF!+#REF!+#REF!</f>
        <v>#REF!</v>
      </c>
      <c r="L160" s="667" t="e">
        <f t="shared" si="9"/>
        <v>#REF!</v>
      </c>
      <c r="M160" s="665" t="e">
        <f>#REF!+K160</f>
        <v>#REF!</v>
      </c>
      <c r="N160" s="666" t="e">
        <f t="shared" si="10"/>
        <v>#REF!</v>
      </c>
      <c r="O160" s="672"/>
      <c r="P160" s="668"/>
      <c r="Q160" s="676"/>
      <c r="R160" s="676"/>
    </row>
    <row r="161" spans="1:19" s="677" customFormat="1" ht="25.5" hidden="1" customHeight="1">
      <c r="A161" s="662"/>
      <c r="B161" s="663" t="s">
        <v>1434</v>
      </c>
      <c r="C161" s="675"/>
      <c r="D161" s="674" t="s">
        <v>264</v>
      </c>
      <c r="E161" s="684"/>
      <c r="F161" s="667">
        <f t="shared" si="11"/>
        <v>0</v>
      </c>
      <c r="G161" s="675"/>
      <c r="H161" s="667">
        <f t="shared" si="8"/>
        <v>0</v>
      </c>
      <c r="I161" s="667"/>
      <c r="J161" s="667"/>
      <c r="K161" s="667" t="e">
        <f>E161+#REF!+#REF!+#REF!+G161+#REF!+#REF!+#REF!+#REF!+#REF!+#REF!+I161+#REF!+#REF!+#REF!</f>
        <v>#REF!</v>
      </c>
      <c r="L161" s="667" t="e">
        <f t="shared" si="9"/>
        <v>#REF!</v>
      </c>
      <c r="M161" s="665" t="e">
        <f>#REF!+K161</f>
        <v>#REF!</v>
      </c>
      <c r="N161" s="666" t="e">
        <f t="shared" si="10"/>
        <v>#REF!</v>
      </c>
      <c r="O161" s="672"/>
      <c r="P161" s="668"/>
      <c r="Q161" s="676"/>
      <c r="R161" s="676"/>
    </row>
    <row r="162" spans="1:19" s="677" customFormat="1" ht="25.5" hidden="1" customHeight="1">
      <c r="A162" s="662"/>
      <c r="B162" s="663" t="s">
        <v>1435</v>
      </c>
      <c r="C162" s="675"/>
      <c r="D162" s="674" t="s">
        <v>264</v>
      </c>
      <c r="E162" s="684"/>
      <c r="F162" s="667">
        <f t="shared" si="11"/>
        <v>0</v>
      </c>
      <c r="G162" s="675"/>
      <c r="H162" s="667">
        <f t="shared" si="8"/>
        <v>0</v>
      </c>
      <c r="I162" s="667"/>
      <c r="J162" s="667"/>
      <c r="K162" s="667" t="e">
        <f>E162+#REF!+#REF!+#REF!+G162+#REF!+#REF!+#REF!+#REF!+#REF!+#REF!+I162+#REF!+#REF!+#REF!</f>
        <v>#REF!</v>
      </c>
      <c r="L162" s="667" t="e">
        <f t="shared" si="9"/>
        <v>#REF!</v>
      </c>
      <c r="M162" s="665" t="e">
        <f>#REF!+K162</f>
        <v>#REF!</v>
      </c>
      <c r="N162" s="666" t="e">
        <f t="shared" si="10"/>
        <v>#REF!</v>
      </c>
      <c r="O162" s="672"/>
      <c r="P162" s="668"/>
      <c r="Q162" s="676"/>
      <c r="R162" s="676"/>
    </row>
    <row r="163" spans="1:19" s="677" customFormat="1" ht="25.5" hidden="1" customHeight="1">
      <c r="A163" s="662"/>
      <c r="B163" s="663" t="s">
        <v>1436</v>
      </c>
      <c r="C163" s="675"/>
      <c r="D163" s="674" t="s">
        <v>264</v>
      </c>
      <c r="E163" s="684"/>
      <c r="F163" s="667">
        <f t="shared" si="11"/>
        <v>0</v>
      </c>
      <c r="G163" s="675"/>
      <c r="H163" s="667">
        <f t="shared" si="8"/>
        <v>0</v>
      </c>
      <c r="I163" s="667"/>
      <c r="J163" s="667"/>
      <c r="K163" s="667" t="e">
        <f>E163+#REF!+#REF!+#REF!+G163+#REF!+#REF!+#REF!+#REF!+#REF!+#REF!+I163+#REF!+#REF!+#REF!</f>
        <v>#REF!</v>
      </c>
      <c r="L163" s="667" t="e">
        <f t="shared" si="9"/>
        <v>#REF!</v>
      </c>
      <c r="M163" s="665" t="e">
        <f>#REF!+K163</f>
        <v>#REF!</v>
      </c>
      <c r="N163" s="666" t="e">
        <f t="shared" si="10"/>
        <v>#REF!</v>
      </c>
      <c r="O163" s="672"/>
      <c r="P163" s="668"/>
      <c r="Q163" s="676"/>
      <c r="R163" s="676"/>
    </row>
    <row r="164" spans="1:19" s="677" customFormat="1" ht="25.5" hidden="1" customHeight="1">
      <c r="A164" s="662"/>
      <c r="B164" s="663" t="s">
        <v>1437</v>
      </c>
      <c r="C164" s="675"/>
      <c r="D164" s="674" t="s">
        <v>264</v>
      </c>
      <c r="E164" s="684"/>
      <c r="F164" s="667">
        <f t="shared" si="11"/>
        <v>0</v>
      </c>
      <c r="G164" s="675"/>
      <c r="H164" s="667">
        <f t="shared" si="8"/>
        <v>0</v>
      </c>
      <c r="I164" s="667"/>
      <c r="J164" s="667"/>
      <c r="K164" s="667" t="e">
        <f>E164+#REF!+#REF!+#REF!+G164+#REF!+#REF!+#REF!+#REF!+#REF!+#REF!+I164+#REF!+#REF!+#REF!</f>
        <v>#REF!</v>
      </c>
      <c r="L164" s="667" t="e">
        <f t="shared" si="9"/>
        <v>#REF!</v>
      </c>
      <c r="M164" s="665" t="e">
        <f>#REF!+K164</f>
        <v>#REF!</v>
      </c>
      <c r="N164" s="666" t="e">
        <f t="shared" si="10"/>
        <v>#REF!</v>
      </c>
      <c r="O164" s="672"/>
      <c r="P164" s="668"/>
      <c r="Q164" s="676"/>
      <c r="R164" s="676"/>
    </row>
    <row r="165" spans="1:19" s="677" customFormat="1" ht="25.5" hidden="1" customHeight="1">
      <c r="A165" s="688"/>
      <c r="B165" s="663" t="s">
        <v>1438</v>
      </c>
      <c r="C165" s="675"/>
      <c r="D165" s="674" t="s">
        <v>264</v>
      </c>
      <c r="E165" s="684"/>
      <c r="F165" s="667">
        <f t="shared" si="11"/>
        <v>0</v>
      </c>
      <c r="G165" s="675"/>
      <c r="H165" s="667">
        <f t="shared" si="8"/>
        <v>0</v>
      </c>
      <c r="I165" s="667"/>
      <c r="J165" s="667"/>
      <c r="K165" s="667" t="e">
        <f>E165+#REF!+#REF!+#REF!+G165+#REF!+#REF!+#REF!+#REF!+#REF!+#REF!+I165+#REF!+#REF!+#REF!</f>
        <v>#REF!</v>
      </c>
      <c r="L165" s="667" t="e">
        <f t="shared" si="9"/>
        <v>#REF!</v>
      </c>
      <c r="M165" s="665" t="e">
        <f>#REF!+K165</f>
        <v>#REF!</v>
      </c>
      <c r="N165" s="666" t="e">
        <f t="shared" si="10"/>
        <v>#REF!</v>
      </c>
      <c r="O165" s="672"/>
      <c r="P165" s="668"/>
      <c r="Q165" s="676"/>
      <c r="R165" s="676"/>
    </row>
    <row r="166" spans="1:19" ht="84.75" customHeight="1">
      <c r="A166" s="662">
        <v>10.5</v>
      </c>
      <c r="B166" s="685" t="s">
        <v>1443</v>
      </c>
      <c r="C166" s="667"/>
      <c r="D166" s="663"/>
      <c r="E166" s="667"/>
      <c r="F166" s="667">
        <f t="shared" si="11"/>
        <v>0</v>
      </c>
      <c r="G166" s="667"/>
      <c r="H166" s="667">
        <f t="shared" si="8"/>
        <v>0</v>
      </c>
      <c r="I166" s="667"/>
      <c r="J166" s="667"/>
      <c r="K166" s="667" t="e">
        <f>E166+#REF!+#REF!+#REF!+G166+#REF!+#REF!+#REF!+#REF!+#REF!+#REF!+I166+#REF!+#REF!+#REF!</f>
        <v>#REF!</v>
      </c>
      <c r="L166" s="667" t="e">
        <f t="shared" si="9"/>
        <v>#REF!</v>
      </c>
      <c r="M166" s="665" t="e">
        <f>#REF!+K166</f>
        <v>#REF!</v>
      </c>
      <c r="N166" s="666" t="e">
        <f t="shared" si="10"/>
        <v>#REF!</v>
      </c>
      <c r="O166" s="668"/>
      <c r="P166" s="668"/>
      <c r="Q166" s="678"/>
      <c r="S166" s="679"/>
    </row>
    <row r="167" spans="1:19" ht="43.5" customHeight="1">
      <c r="A167" s="662"/>
      <c r="B167" s="663" t="s">
        <v>1433</v>
      </c>
      <c r="C167" s="667">
        <f>ROUND([14]Data!K400,2)</f>
        <v>735.76</v>
      </c>
      <c r="D167" s="663" t="s">
        <v>264</v>
      </c>
      <c r="E167" s="667"/>
      <c r="F167" s="667">
        <f t="shared" si="11"/>
        <v>0</v>
      </c>
      <c r="G167" s="667"/>
      <c r="H167" s="667">
        <f t="shared" si="8"/>
        <v>0</v>
      </c>
      <c r="I167" s="667"/>
      <c r="J167" s="667"/>
      <c r="K167" s="667" t="e">
        <f>E167+#REF!+#REF!+#REF!+G167+#REF!+#REF!+#REF!+#REF!+#REF!+#REF!+I167+#REF!+#REF!+#REF!</f>
        <v>#REF!</v>
      </c>
      <c r="L167" s="667" t="e">
        <f t="shared" si="9"/>
        <v>#REF!</v>
      </c>
      <c r="M167" s="665" t="e">
        <f>#REF!+K167</f>
        <v>#REF!</v>
      </c>
      <c r="N167" s="666" t="e">
        <f t="shared" si="10"/>
        <v>#REF!</v>
      </c>
      <c r="O167" s="672"/>
      <c r="P167" s="668"/>
    </row>
    <row r="168" spans="1:19" ht="43.5" customHeight="1">
      <c r="A168" s="662"/>
      <c r="B168" s="663" t="s">
        <v>1434</v>
      </c>
      <c r="C168" s="667">
        <f>ROUND([14]Data!K402,2)</f>
        <v>743.24</v>
      </c>
      <c r="D168" s="663" t="s">
        <v>264</v>
      </c>
      <c r="E168" s="690"/>
      <c r="F168" s="667">
        <f t="shared" si="11"/>
        <v>0</v>
      </c>
      <c r="G168" s="667"/>
      <c r="H168" s="667">
        <f t="shared" si="8"/>
        <v>0</v>
      </c>
      <c r="I168" s="667"/>
      <c r="J168" s="667"/>
      <c r="K168" s="667" t="e">
        <f>E168+#REF!+#REF!+#REF!+G168+#REF!+#REF!+#REF!+#REF!+#REF!+#REF!+I168+#REF!+#REF!+#REF!</f>
        <v>#REF!</v>
      </c>
      <c r="L168" s="667" t="e">
        <f t="shared" si="9"/>
        <v>#REF!</v>
      </c>
      <c r="M168" s="665" t="e">
        <f>#REF!+K168</f>
        <v>#REF!</v>
      </c>
      <c r="N168" s="666" t="e">
        <f t="shared" si="10"/>
        <v>#REF!</v>
      </c>
      <c r="O168" s="672"/>
      <c r="P168" s="668"/>
    </row>
    <row r="169" spans="1:19" ht="43.5" customHeight="1">
      <c r="A169" s="662"/>
      <c r="B169" s="663" t="s">
        <v>1435</v>
      </c>
      <c r="C169" s="667">
        <f>ROUND([14]Data!K403,2)</f>
        <v>758.33</v>
      </c>
      <c r="D169" s="663" t="s">
        <v>264</v>
      </c>
      <c r="E169" s="690"/>
      <c r="F169" s="667">
        <f t="shared" si="11"/>
        <v>0</v>
      </c>
      <c r="G169" s="667"/>
      <c r="H169" s="667">
        <f t="shared" si="8"/>
        <v>0</v>
      </c>
      <c r="I169" s="667"/>
      <c r="J169" s="667"/>
      <c r="K169" s="667" t="e">
        <f>E169+#REF!+#REF!+#REF!+G169+#REF!+#REF!+#REF!+#REF!+#REF!+#REF!+I169+#REF!+#REF!+#REF!</f>
        <v>#REF!</v>
      </c>
      <c r="L169" s="667" t="e">
        <f t="shared" si="9"/>
        <v>#REF!</v>
      </c>
      <c r="M169" s="665" t="e">
        <f>#REF!+K169</f>
        <v>#REF!</v>
      </c>
      <c r="N169" s="666" t="e">
        <f t="shared" si="10"/>
        <v>#REF!</v>
      </c>
      <c r="O169" s="672"/>
      <c r="P169" s="668"/>
    </row>
    <row r="170" spans="1:19" ht="43.5" customHeight="1">
      <c r="A170" s="662"/>
      <c r="B170" s="663" t="s">
        <v>1436</v>
      </c>
      <c r="C170" s="667">
        <f>ROUND([14]Data!K404,2)</f>
        <v>773.42</v>
      </c>
      <c r="D170" s="663" t="s">
        <v>264</v>
      </c>
      <c r="E170" s="690"/>
      <c r="F170" s="667">
        <f t="shared" si="11"/>
        <v>0</v>
      </c>
      <c r="G170" s="667"/>
      <c r="H170" s="667">
        <f t="shared" si="8"/>
        <v>0</v>
      </c>
      <c r="I170" s="667"/>
      <c r="J170" s="667"/>
      <c r="K170" s="667" t="e">
        <f>E170+#REF!+#REF!+#REF!+G170+#REF!+#REF!+#REF!+#REF!+#REF!+#REF!+I170+#REF!+#REF!+#REF!</f>
        <v>#REF!</v>
      </c>
      <c r="L170" s="667" t="e">
        <f t="shared" si="9"/>
        <v>#REF!</v>
      </c>
      <c r="M170" s="665" t="e">
        <f>#REF!+K170</f>
        <v>#REF!</v>
      </c>
      <c r="N170" s="666" t="e">
        <f t="shared" si="10"/>
        <v>#REF!</v>
      </c>
      <c r="O170" s="672"/>
      <c r="P170" s="668"/>
    </row>
    <row r="171" spans="1:19" ht="43.5" hidden="1" customHeight="1">
      <c r="A171" s="662"/>
      <c r="B171" s="663" t="s">
        <v>1437</v>
      </c>
      <c r="C171" s="667">
        <f>ROUND([14]Data!K405,2)</f>
        <v>788.51</v>
      </c>
      <c r="D171" s="663" t="s">
        <v>264</v>
      </c>
      <c r="E171" s="689"/>
      <c r="F171" s="667">
        <f t="shared" si="11"/>
        <v>0</v>
      </c>
      <c r="G171" s="667"/>
      <c r="H171" s="667">
        <f t="shared" si="8"/>
        <v>0</v>
      </c>
      <c r="I171" s="667"/>
      <c r="J171" s="667"/>
      <c r="K171" s="667" t="e">
        <f>E171+#REF!+#REF!+#REF!+G171+#REF!+#REF!+#REF!+#REF!+#REF!+#REF!+I171+#REF!+#REF!+#REF!</f>
        <v>#REF!</v>
      </c>
      <c r="L171" s="667" t="e">
        <f t="shared" si="9"/>
        <v>#REF!</v>
      </c>
      <c r="M171" s="665" t="e">
        <f>#REF!+K171</f>
        <v>#REF!</v>
      </c>
      <c r="N171" s="666" t="e">
        <f t="shared" si="10"/>
        <v>#REF!</v>
      </c>
      <c r="O171" s="672"/>
      <c r="P171" s="668"/>
    </row>
    <row r="172" spans="1:19" s="677" customFormat="1" ht="36" hidden="1" customHeight="1">
      <c r="A172" s="687"/>
      <c r="B172" s="663" t="s">
        <v>1438</v>
      </c>
      <c r="C172" s="675">
        <f>ROUND([14]Data!K406,2)</f>
        <v>803.6</v>
      </c>
      <c r="D172" s="674" t="s">
        <v>264</v>
      </c>
      <c r="E172" s="684"/>
      <c r="F172" s="667">
        <f t="shared" si="11"/>
        <v>0</v>
      </c>
      <c r="G172" s="675"/>
      <c r="H172" s="667">
        <f t="shared" si="8"/>
        <v>0</v>
      </c>
      <c r="I172" s="667"/>
      <c r="J172" s="667"/>
      <c r="K172" s="667" t="e">
        <f>E172+#REF!+#REF!+#REF!+G172+#REF!+#REF!+#REF!+#REF!+#REF!+#REF!+I172+#REF!+#REF!+#REF!</f>
        <v>#REF!</v>
      </c>
      <c r="L172" s="667" t="e">
        <f t="shared" si="9"/>
        <v>#REF!</v>
      </c>
      <c r="M172" s="665" t="e">
        <f>#REF!+K172</f>
        <v>#REF!</v>
      </c>
      <c r="N172" s="666" t="e">
        <f t="shared" si="10"/>
        <v>#REF!</v>
      </c>
      <c r="O172" s="672"/>
      <c r="P172" s="668"/>
      <c r="Q172" s="676"/>
      <c r="R172" s="676"/>
    </row>
    <row r="173" spans="1:19" s="677" customFormat="1" ht="69.75" hidden="1" customHeight="1">
      <c r="A173" s="662">
        <v>10.6</v>
      </c>
      <c r="B173" s="685" t="s">
        <v>1444</v>
      </c>
      <c r="C173" s="675"/>
      <c r="D173" s="674"/>
      <c r="E173" s="691"/>
      <c r="F173" s="667">
        <f t="shared" si="11"/>
        <v>0</v>
      </c>
      <c r="G173" s="675"/>
      <c r="H173" s="667">
        <f t="shared" si="8"/>
        <v>0</v>
      </c>
      <c r="I173" s="667"/>
      <c r="J173" s="667"/>
      <c r="K173" s="667" t="e">
        <f>E173+#REF!+#REF!+#REF!+G173+#REF!+#REF!+#REF!+#REF!+#REF!+#REF!+I173+#REF!+#REF!+#REF!</f>
        <v>#REF!</v>
      </c>
      <c r="L173" s="667" t="e">
        <f t="shared" si="9"/>
        <v>#REF!</v>
      </c>
      <c r="M173" s="665" t="e">
        <f>#REF!+K173</f>
        <v>#REF!</v>
      </c>
      <c r="N173" s="666" t="e">
        <f t="shared" si="10"/>
        <v>#REF!</v>
      </c>
      <c r="O173" s="672"/>
      <c r="P173" s="668"/>
      <c r="Q173" s="676"/>
      <c r="R173" s="676"/>
    </row>
    <row r="174" spans="1:19" s="677" customFormat="1" ht="25.5" hidden="1" customHeight="1">
      <c r="A174" s="662"/>
      <c r="B174" s="663" t="s">
        <v>1433</v>
      </c>
      <c r="C174" s="675"/>
      <c r="D174" s="674" t="s">
        <v>264</v>
      </c>
      <c r="E174" s="691"/>
      <c r="F174" s="667">
        <f t="shared" si="11"/>
        <v>0</v>
      </c>
      <c r="G174" s="675"/>
      <c r="H174" s="667">
        <f t="shared" si="8"/>
        <v>0</v>
      </c>
      <c r="I174" s="667"/>
      <c r="J174" s="667"/>
      <c r="K174" s="667" t="e">
        <f>E174+#REF!+#REF!+#REF!+G174+#REF!+#REF!+#REF!+#REF!+#REF!+#REF!+I174+#REF!+#REF!+#REF!</f>
        <v>#REF!</v>
      </c>
      <c r="L174" s="667" t="e">
        <f t="shared" si="9"/>
        <v>#REF!</v>
      </c>
      <c r="M174" s="665" t="e">
        <f>#REF!+K174</f>
        <v>#REF!</v>
      </c>
      <c r="N174" s="666" t="e">
        <f t="shared" si="10"/>
        <v>#REF!</v>
      </c>
      <c r="O174" s="672"/>
      <c r="P174" s="668"/>
      <c r="Q174" s="676"/>
      <c r="R174" s="676"/>
    </row>
    <row r="175" spans="1:19" s="677" customFormat="1" ht="25.5" hidden="1" customHeight="1">
      <c r="A175" s="662"/>
      <c r="B175" s="663" t="s">
        <v>1434</v>
      </c>
      <c r="C175" s="675"/>
      <c r="D175" s="674" t="s">
        <v>264</v>
      </c>
      <c r="E175" s="691"/>
      <c r="F175" s="667">
        <f t="shared" si="11"/>
        <v>0</v>
      </c>
      <c r="G175" s="675"/>
      <c r="H175" s="667">
        <f t="shared" si="8"/>
        <v>0</v>
      </c>
      <c r="I175" s="667"/>
      <c r="J175" s="667"/>
      <c r="K175" s="667" t="e">
        <f>E175+#REF!+#REF!+#REF!+G175+#REF!+#REF!+#REF!+#REF!+#REF!+#REF!+I175+#REF!+#REF!+#REF!</f>
        <v>#REF!</v>
      </c>
      <c r="L175" s="667" t="e">
        <f t="shared" si="9"/>
        <v>#REF!</v>
      </c>
      <c r="M175" s="665" t="e">
        <f>#REF!+K175</f>
        <v>#REF!</v>
      </c>
      <c r="N175" s="666" t="e">
        <f t="shared" si="10"/>
        <v>#REF!</v>
      </c>
      <c r="O175" s="672"/>
      <c r="P175" s="668"/>
      <c r="Q175" s="676"/>
      <c r="R175" s="676"/>
    </row>
    <row r="176" spans="1:19" s="677" customFormat="1" ht="25.5" hidden="1" customHeight="1">
      <c r="A176" s="662"/>
      <c r="B176" s="663" t="s">
        <v>1435</v>
      </c>
      <c r="C176" s="675"/>
      <c r="D176" s="674" t="s">
        <v>264</v>
      </c>
      <c r="E176" s="691"/>
      <c r="F176" s="667">
        <f t="shared" si="11"/>
        <v>0</v>
      </c>
      <c r="G176" s="675"/>
      <c r="H176" s="667">
        <f t="shared" si="8"/>
        <v>0</v>
      </c>
      <c r="I176" s="667"/>
      <c r="J176" s="667"/>
      <c r="K176" s="667" t="e">
        <f>E176+#REF!+#REF!+#REF!+G176+#REF!+#REF!+#REF!+#REF!+#REF!+#REF!+I176+#REF!+#REF!+#REF!</f>
        <v>#REF!</v>
      </c>
      <c r="L176" s="667" t="e">
        <f t="shared" si="9"/>
        <v>#REF!</v>
      </c>
      <c r="M176" s="665" t="e">
        <f>#REF!+K176</f>
        <v>#REF!</v>
      </c>
      <c r="N176" s="666" t="e">
        <f t="shared" si="10"/>
        <v>#REF!</v>
      </c>
      <c r="O176" s="672"/>
      <c r="P176" s="668"/>
      <c r="Q176" s="676"/>
      <c r="R176" s="676"/>
    </row>
    <row r="177" spans="1:18" s="677" customFormat="1" ht="26.25" hidden="1" customHeight="1">
      <c r="A177" s="662"/>
      <c r="B177" s="663" t="s">
        <v>1436</v>
      </c>
      <c r="C177" s="675"/>
      <c r="D177" s="674" t="s">
        <v>264</v>
      </c>
      <c r="E177" s="684"/>
      <c r="F177" s="667">
        <f t="shared" si="11"/>
        <v>0</v>
      </c>
      <c r="G177" s="675"/>
      <c r="H177" s="667">
        <f t="shared" si="8"/>
        <v>0</v>
      </c>
      <c r="I177" s="667"/>
      <c r="J177" s="667"/>
      <c r="K177" s="667" t="e">
        <f>E177+#REF!+#REF!+#REF!+G177+#REF!+#REF!+#REF!+#REF!+#REF!+#REF!+I177+#REF!+#REF!+#REF!</f>
        <v>#REF!</v>
      </c>
      <c r="L177" s="667" t="e">
        <f t="shared" si="9"/>
        <v>#REF!</v>
      </c>
      <c r="M177" s="665" t="e">
        <f>#REF!+K177</f>
        <v>#REF!</v>
      </c>
      <c r="N177" s="666" t="e">
        <f t="shared" si="10"/>
        <v>#REF!</v>
      </c>
      <c r="O177" s="672"/>
      <c r="P177" s="668"/>
      <c r="Q177" s="676"/>
      <c r="R177" s="676"/>
    </row>
    <row r="178" spans="1:18" s="677" customFormat="1" ht="25.5" hidden="1" customHeight="1">
      <c r="A178" s="662"/>
      <c r="B178" s="663" t="s">
        <v>1437</v>
      </c>
      <c r="C178" s="675"/>
      <c r="D178" s="674" t="s">
        <v>264</v>
      </c>
      <c r="E178" s="684"/>
      <c r="F178" s="667">
        <f t="shared" si="11"/>
        <v>0</v>
      </c>
      <c r="G178" s="675"/>
      <c r="H178" s="667">
        <f t="shared" si="8"/>
        <v>0</v>
      </c>
      <c r="I178" s="667"/>
      <c r="J178" s="667"/>
      <c r="K178" s="667" t="e">
        <f>E178+#REF!+#REF!+#REF!+G178+#REF!+#REF!+#REF!+#REF!+#REF!+#REF!+I178+#REF!+#REF!+#REF!</f>
        <v>#REF!</v>
      </c>
      <c r="L178" s="667" t="e">
        <f t="shared" si="9"/>
        <v>#REF!</v>
      </c>
      <c r="M178" s="665" t="e">
        <f>#REF!+K178</f>
        <v>#REF!</v>
      </c>
      <c r="N178" s="666" t="e">
        <f t="shared" si="10"/>
        <v>#REF!</v>
      </c>
      <c r="O178" s="672"/>
      <c r="P178" s="668"/>
      <c r="Q178" s="676"/>
      <c r="R178" s="676"/>
    </row>
    <row r="179" spans="1:18" s="677" customFormat="1" ht="25.5" hidden="1" customHeight="1">
      <c r="A179" s="688"/>
      <c r="B179" s="663" t="s">
        <v>1438</v>
      </c>
      <c r="C179" s="675"/>
      <c r="D179" s="674" t="s">
        <v>264</v>
      </c>
      <c r="E179" s="684"/>
      <c r="F179" s="667">
        <f t="shared" si="11"/>
        <v>0</v>
      </c>
      <c r="G179" s="675"/>
      <c r="H179" s="667">
        <f t="shared" si="8"/>
        <v>0</v>
      </c>
      <c r="I179" s="667"/>
      <c r="J179" s="667"/>
      <c r="K179" s="667" t="e">
        <f>E179+#REF!+#REF!+#REF!+G179+#REF!+#REF!+#REF!+#REF!+#REF!+#REF!+I179+#REF!+#REF!+#REF!</f>
        <v>#REF!</v>
      </c>
      <c r="L179" s="667" t="e">
        <f t="shared" si="9"/>
        <v>#REF!</v>
      </c>
      <c r="M179" s="665" t="e">
        <f>#REF!+K179</f>
        <v>#REF!</v>
      </c>
      <c r="N179" s="666" t="e">
        <f t="shared" si="10"/>
        <v>#REF!</v>
      </c>
      <c r="O179" s="672"/>
      <c r="P179" s="668"/>
      <c r="Q179" s="676"/>
      <c r="R179" s="676"/>
    </row>
    <row r="180" spans="1:18" s="677" customFormat="1" ht="69.75" hidden="1" customHeight="1">
      <c r="A180" s="662">
        <v>11.1</v>
      </c>
      <c r="B180" s="685" t="s">
        <v>1445</v>
      </c>
      <c r="C180" s="675"/>
      <c r="D180" s="674"/>
      <c r="E180" s="684"/>
      <c r="F180" s="667">
        <f t="shared" si="11"/>
        <v>0</v>
      </c>
      <c r="G180" s="675"/>
      <c r="H180" s="667">
        <f t="shared" si="8"/>
        <v>0</v>
      </c>
      <c r="I180" s="667"/>
      <c r="J180" s="667"/>
      <c r="K180" s="667" t="e">
        <f>E180+#REF!+#REF!+#REF!+G180+#REF!+#REF!+#REF!+#REF!+#REF!+#REF!+I180+#REF!+#REF!+#REF!</f>
        <v>#REF!</v>
      </c>
      <c r="L180" s="667" t="e">
        <f t="shared" si="9"/>
        <v>#REF!</v>
      </c>
      <c r="M180" s="665" t="e">
        <f>#REF!+K180</f>
        <v>#REF!</v>
      </c>
      <c r="N180" s="666" t="e">
        <f t="shared" si="10"/>
        <v>#REF!</v>
      </c>
      <c r="O180" s="672"/>
      <c r="P180" s="668"/>
      <c r="Q180" s="676"/>
      <c r="R180" s="676"/>
    </row>
    <row r="181" spans="1:18" s="677" customFormat="1" ht="25.5" hidden="1" customHeight="1">
      <c r="A181" s="662"/>
      <c r="B181" s="663" t="s">
        <v>1420</v>
      </c>
      <c r="C181" s="675">
        <f>ROUND([14]Data!X434,2)</f>
        <v>519.55999999999995</v>
      </c>
      <c r="D181" s="674" t="s">
        <v>264</v>
      </c>
      <c r="E181" s="684"/>
      <c r="F181" s="667">
        <f t="shared" si="11"/>
        <v>0</v>
      </c>
      <c r="G181" s="675"/>
      <c r="H181" s="667">
        <f t="shared" si="8"/>
        <v>0</v>
      </c>
      <c r="I181" s="667"/>
      <c r="J181" s="667"/>
      <c r="K181" s="667" t="e">
        <f>E181+#REF!+#REF!+#REF!+G181+#REF!+#REF!+#REF!+#REF!+#REF!+#REF!+I181+#REF!+#REF!+#REF!</f>
        <v>#REF!</v>
      </c>
      <c r="L181" s="667" t="e">
        <f t="shared" si="9"/>
        <v>#REF!</v>
      </c>
      <c r="M181" s="665" t="e">
        <f>#REF!+K181</f>
        <v>#REF!</v>
      </c>
      <c r="N181" s="666" t="e">
        <f t="shared" si="10"/>
        <v>#REF!</v>
      </c>
      <c r="O181" s="672"/>
      <c r="P181" s="668"/>
      <c r="Q181" s="676"/>
      <c r="R181" s="676"/>
    </row>
    <row r="182" spans="1:18" s="677" customFormat="1" ht="25.5" hidden="1" customHeight="1">
      <c r="A182" s="662"/>
      <c r="B182" s="663" t="s">
        <v>1421</v>
      </c>
      <c r="C182" s="675">
        <f>ROUND([14]Data!X435,2)</f>
        <v>529.16</v>
      </c>
      <c r="D182" s="674" t="s">
        <v>264</v>
      </c>
      <c r="E182" s="684"/>
      <c r="F182" s="667">
        <f t="shared" si="11"/>
        <v>0</v>
      </c>
      <c r="G182" s="675"/>
      <c r="H182" s="667">
        <f t="shared" si="8"/>
        <v>0</v>
      </c>
      <c r="I182" s="667"/>
      <c r="J182" s="667"/>
      <c r="K182" s="667" t="e">
        <f>E182+#REF!+#REF!+#REF!+G182+#REF!+#REF!+#REF!+#REF!+#REF!+#REF!+I182+#REF!+#REF!+#REF!</f>
        <v>#REF!</v>
      </c>
      <c r="L182" s="667" t="e">
        <f t="shared" si="9"/>
        <v>#REF!</v>
      </c>
      <c r="M182" s="665" t="e">
        <f>#REF!+K182</f>
        <v>#REF!</v>
      </c>
      <c r="N182" s="666" t="e">
        <f t="shared" si="10"/>
        <v>#REF!</v>
      </c>
      <c r="O182" s="672"/>
      <c r="P182" s="668"/>
      <c r="Q182" s="676"/>
      <c r="R182" s="676"/>
    </row>
    <row r="183" spans="1:18" s="677" customFormat="1" ht="25.5" hidden="1" customHeight="1">
      <c r="A183" s="662"/>
      <c r="B183" s="663" t="s">
        <v>1422</v>
      </c>
      <c r="C183" s="675">
        <f>ROUND([14]Data!X436,2)</f>
        <v>538.76</v>
      </c>
      <c r="D183" s="674" t="s">
        <v>264</v>
      </c>
      <c r="E183" s="684"/>
      <c r="F183" s="667">
        <f t="shared" si="11"/>
        <v>0</v>
      </c>
      <c r="G183" s="675"/>
      <c r="H183" s="667">
        <f t="shared" si="8"/>
        <v>0</v>
      </c>
      <c r="I183" s="667"/>
      <c r="J183" s="667"/>
      <c r="K183" s="667" t="e">
        <f>E183+#REF!+#REF!+#REF!+G183+#REF!+#REF!+#REF!+#REF!+#REF!+#REF!+I183+#REF!+#REF!+#REF!</f>
        <v>#REF!</v>
      </c>
      <c r="L183" s="667" t="e">
        <f t="shared" si="9"/>
        <v>#REF!</v>
      </c>
      <c r="M183" s="665" t="e">
        <f>#REF!+K183</f>
        <v>#REF!</v>
      </c>
      <c r="N183" s="666" t="e">
        <f t="shared" si="10"/>
        <v>#REF!</v>
      </c>
      <c r="O183" s="672"/>
      <c r="P183" s="668"/>
      <c r="Q183" s="676"/>
      <c r="R183" s="676"/>
    </row>
    <row r="184" spans="1:18" s="677" customFormat="1" ht="25.5" hidden="1" customHeight="1">
      <c r="A184" s="662"/>
      <c r="B184" s="663" t="s">
        <v>1423</v>
      </c>
      <c r="C184" s="675">
        <f>ROUND([14]Data!X437,2)</f>
        <v>548.36</v>
      </c>
      <c r="D184" s="674" t="s">
        <v>264</v>
      </c>
      <c r="E184" s="684"/>
      <c r="F184" s="667">
        <f t="shared" si="11"/>
        <v>0</v>
      </c>
      <c r="G184" s="675"/>
      <c r="H184" s="667">
        <f t="shared" si="8"/>
        <v>0</v>
      </c>
      <c r="I184" s="667"/>
      <c r="J184" s="667"/>
      <c r="K184" s="667" t="e">
        <f>E184+#REF!+#REF!+#REF!+G184+#REF!+#REF!+#REF!+#REF!+#REF!+#REF!+I184+#REF!+#REF!+#REF!</f>
        <v>#REF!</v>
      </c>
      <c r="L184" s="667" t="e">
        <f t="shared" si="9"/>
        <v>#REF!</v>
      </c>
      <c r="M184" s="665" t="e">
        <f>#REF!+K184</f>
        <v>#REF!</v>
      </c>
      <c r="N184" s="666" t="e">
        <f t="shared" si="10"/>
        <v>#REF!</v>
      </c>
      <c r="O184" s="672"/>
      <c r="P184" s="668"/>
      <c r="Q184" s="676"/>
      <c r="R184" s="676"/>
    </row>
    <row r="185" spans="1:18" s="677" customFormat="1" ht="25.5" hidden="1" customHeight="1">
      <c r="A185" s="688"/>
      <c r="B185" s="663" t="s">
        <v>1424</v>
      </c>
      <c r="C185" s="675">
        <f>ROUND([14]Data!X438,2)</f>
        <v>557.96</v>
      </c>
      <c r="D185" s="674" t="s">
        <v>264</v>
      </c>
      <c r="E185" s="684"/>
      <c r="F185" s="667">
        <f t="shared" si="11"/>
        <v>0</v>
      </c>
      <c r="G185" s="675"/>
      <c r="H185" s="667">
        <f t="shared" si="8"/>
        <v>0</v>
      </c>
      <c r="I185" s="667"/>
      <c r="J185" s="667"/>
      <c r="K185" s="667" t="e">
        <f>E185+#REF!+#REF!+#REF!+G185+#REF!+#REF!+#REF!+#REF!+#REF!+#REF!+I185+#REF!+#REF!+#REF!</f>
        <v>#REF!</v>
      </c>
      <c r="L185" s="667" t="e">
        <f t="shared" si="9"/>
        <v>#REF!</v>
      </c>
      <c r="M185" s="665" t="e">
        <f>#REF!+K185</f>
        <v>#REF!</v>
      </c>
      <c r="N185" s="666" t="e">
        <f t="shared" si="10"/>
        <v>#REF!</v>
      </c>
      <c r="O185" s="672"/>
      <c r="P185" s="668"/>
      <c r="Q185" s="676"/>
      <c r="R185" s="676"/>
    </row>
    <row r="186" spans="1:18" s="677" customFormat="1" ht="80.25" hidden="1" customHeight="1">
      <c r="A186" s="662">
        <v>11.2</v>
      </c>
      <c r="B186" s="685" t="s">
        <v>1446</v>
      </c>
      <c r="C186" s="675"/>
      <c r="D186" s="674"/>
      <c r="E186" s="684"/>
      <c r="F186" s="667">
        <f t="shared" si="11"/>
        <v>0</v>
      </c>
      <c r="G186" s="675"/>
      <c r="H186" s="667">
        <f t="shared" si="8"/>
        <v>0</v>
      </c>
      <c r="I186" s="667"/>
      <c r="J186" s="667"/>
      <c r="K186" s="667" t="e">
        <f>E186+#REF!+#REF!+#REF!+G186+#REF!+#REF!+#REF!+#REF!+#REF!+#REF!+I186+#REF!+#REF!+#REF!</f>
        <v>#REF!</v>
      </c>
      <c r="L186" s="667" t="e">
        <f t="shared" si="9"/>
        <v>#REF!</v>
      </c>
      <c r="M186" s="665" t="e">
        <f>#REF!+K186</f>
        <v>#REF!</v>
      </c>
      <c r="N186" s="666" t="e">
        <f t="shared" si="10"/>
        <v>#REF!</v>
      </c>
      <c r="O186" s="672"/>
      <c r="P186" s="668"/>
      <c r="Q186" s="676"/>
      <c r="R186" s="676"/>
    </row>
    <row r="187" spans="1:18" s="677" customFormat="1" ht="41.25" hidden="1" customHeight="1">
      <c r="A187" s="662"/>
      <c r="B187" s="663" t="s">
        <v>1420</v>
      </c>
      <c r="C187" s="675">
        <f>ROUND([14]Data!AG448,2)</f>
        <v>530.07000000000005</v>
      </c>
      <c r="D187" s="674" t="s">
        <v>264</v>
      </c>
      <c r="E187" s="684"/>
      <c r="F187" s="667">
        <f t="shared" si="11"/>
        <v>0</v>
      </c>
      <c r="G187" s="675"/>
      <c r="H187" s="667">
        <f t="shared" si="8"/>
        <v>0</v>
      </c>
      <c r="I187" s="667"/>
      <c r="J187" s="667"/>
      <c r="K187" s="667" t="e">
        <f>E187+#REF!+#REF!+#REF!+G187+#REF!+#REF!+#REF!+#REF!+#REF!+#REF!+I187+#REF!+#REF!+#REF!</f>
        <v>#REF!</v>
      </c>
      <c r="L187" s="667" t="e">
        <f t="shared" si="9"/>
        <v>#REF!</v>
      </c>
      <c r="M187" s="665" t="e">
        <f>#REF!+K187</f>
        <v>#REF!</v>
      </c>
      <c r="N187" s="666" t="e">
        <f t="shared" si="10"/>
        <v>#REF!</v>
      </c>
      <c r="O187" s="672"/>
      <c r="P187" s="668"/>
      <c r="Q187" s="676"/>
      <c r="R187" s="676"/>
    </row>
    <row r="188" spans="1:18" s="677" customFormat="1" ht="41.25" hidden="1" customHeight="1">
      <c r="A188" s="662"/>
      <c r="B188" s="663" t="s">
        <v>1421</v>
      </c>
      <c r="C188" s="675">
        <f>ROUND([14]Data!AG449,2)</f>
        <v>540.36</v>
      </c>
      <c r="D188" s="674" t="s">
        <v>264</v>
      </c>
      <c r="E188" s="684"/>
      <c r="F188" s="667">
        <f t="shared" si="11"/>
        <v>0</v>
      </c>
      <c r="G188" s="675"/>
      <c r="H188" s="667">
        <f t="shared" si="8"/>
        <v>0</v>
      </c>
      <c r="I188" s="667"/>
      <c r="J188" s="667"/>
      <c r="K188" s="667" t="e">
        <f>E188+#REF!+#REF!+#REF!+G188+#REF!+#REF!+#REF!+#REF!+#REF!+#REF!+I188+#REF!+#REF!+#REF!</f>
        <v>#REF!</v>
      </c>
      <c r="L188" s="667" t="e">
        <f t="shared" si="9"/>
        <v>#REF!</v>
      </c>
      <c r="M188" s="665" t="e">
        <f>#REF!+K188</f>
        <v>#REF!</v>
      </c>
      <c r="N188" s="666" t="e">
        <f t="shared" si="10"/>
        <v>#REF!</v>
      </c>
      <c r="O188" s="672"/>
      <c r="P188" s="668"/>
      <c r="Q188" s="676"/>
      <c r="R188" s="676"/>
    </row>
    <row r="189" spans="1:18" s="677" customFormat="1" ht="41.25" hidden="1" customHeight="1">
      <c r="A189" s="662"/>
      <c r="B189" s="663" t="s">
        <v>1422</v>
      </c>
      <c r="C189" s="675">
        <f>ROUND([14]Data!AG450,2)</f>
        <v>550.65</v>
      </c>
      <c r="D189" s="674" t="s">
        <v>264</v>
      </c>
      <c r="E189" s="684"/>
      <c r="F189" s="667">
        <f t="shared" si="11"/>
        <v>0</v>
      </c>
      <c r="G189" s="675"/>
      <c r="H189" s="667">
        <f t="shared" si="8"/>
        <v>0</v>
      </c>
      <c r="I189" s="667"/>
      <c r="J189" s="667"/>
      <c r="K189" s="667" t="e">
        <f>E189+#REF!+#REF!+#REF!+G189+#REF!+#REF!+#REF!+#REF!+#REF!+#REF!+I189+#REF!+#REF!+#REF!</f>
        <v>#REF!</v>
      </c>
      <c r="L189" s="667" t="e">
        <f t="shared" si="9"/>
        <v>#REF!</v>
      </c>
      <c r="M189" s="665" t="e">
        <f>#REF!+K189</f>
        <v>#REF!</v>
      </c>
      <c r="N189" s="666" t="e">
        <f t="shared" si="10"/>
        <v>#REF!</v>
      </c>
      <c r="O189" s="672"/>
      <c r="P189" s="668"/>
      <c r="Q189" s="676"/>
      <c r="R189" s="676"/>
    </row>
    <row r="190" spans="1:18" s="677" customFormat="1" ht="41.25" hidden="1" customHeight="1">
      <c r="A190" s="662"/>
      <c r="B190" s="663" t="s">
        <v>1423</v>
      </c>
      <c r="C190" s="675">
        <f>ROUND([14]Data!AG451,2)</f>
        <v>560.94000000000005</v>
      </c>
      <c r="D190" s="674" t="s">
        <v>264</v>
      </c>
      <c r="E190" s="684"/>
      <c r="F190" s="667">
        <f t="shared" si="11"/>
        <v>0</v>
      </c>
      <c r="G190" s="675"/>
      <c r="H190" s="667">
        <f t="shared" si="8"/>
        <v>0</v>
      </c>
      <c r="I190" s="667"/>
      <c r="J190" s="667"/>
      <c r="K190" s="667" t="e">
        <f>E190+#REF!+#REF!+#REF!+G190+#REF!+#REF!+#REF!+#REF!+#REF!+#REF!+I190+#REF!+#REF!+#REF!</f>
        <v>#REF!</v>
      </c>
      <c r="L190" s="667" t="e">
        <f t="shared" si="9"/>
        <v>#REF!</v>
      </c>
      <c r="M190" s="665" t="e">
        <f>#REF!+K190</f>
        <v>#REF!</v>
      </c>
      <c r="N190" s="666" t="e">
        <f t="shared" si="10"/>
        <v>#REF!</v>
      </c>
      <c r="O190" s="672"/>
      <c r="P190" s="668"/>
      <c r="Q190" s="676"/>
      <c r="R190" s="676"/>
    </row>
    <row r="191" spans="1:18" s="677" customFormat="1" ht="41.25" hidden="1" customHeight="1">
      <c r="A191" s="688"/>
      <c r="B191" s="663" t="s">
        <v>1424</v>
      </c>
      <c r="C191" s="675">
        <f>ROUND([14]Data!AG452,2)</f>
        <v>571.23</v>
      </c>
      <c r="D191" s="674" t="s">
        <v>264</v>
      </c>
      <c r="E191" s="684"/>
      <c r="F191" s="667">
        <f t="shared" si="11"/>
        <v>0</v>
      </c>
      <c r="G191" s="675"/>
      <c r="H191" s="667">
        <f t="shared" si="8"/>
        <v>0</v>
      </c>
      <c r="I191" s="667"/>
      <c r="J191" s="667"/>
      <c r="K191" s="667" t="e">
        <f>E191+#REF!+#REF!+#REF!+G191+#REF!+#REF!+#REF!+#REF!+#REF!+#REF!+I191+#REF!+#REF!+#REF!</f>
        <v>#REF!</v>
      </c>
      <c r="L191" s="667" t="e">
        <f t="shared" si="9"/>
        <v>#REF!</v>
      </c>
      <c r="M191" s="665" t="e">
        <f>#REF!+K191</f>
        <v>#REF!</v>
      </c>
      <c r="N191" s="666" t="e">
        <f t="shared" si="10"/>
        <v>#REF!</v>
      </c>
      <c r="O191" s="672"/>
      <c r="P191" s="668"/>
      <c r="Q191" s="676"/>
      <c r="R191" s="676"/>
    </row>
    <row r="192" spans="1:18" s="677" customFormat="1" ht="69.75" hidden="1" customHeight="1">
      <c r="A192" s="662">
        <v>11.3</v>
      </c>
      <c r="B192" s="685" t="s">
        <v>1447</v>
      </c>
      <c r="C192" s="675"/>
      <c r="D192" s="674"/>
      <c r="E192" s="684"/>
      <c r="F192" s="667">
        <f t="shared" si="11"/>
        <v>0</v>
      </c>
      <c r="G192" s="675"/>
      <c r="H192" s="667">
        <f t="shared" si="8"/>
        <v>0</v>
      </c>
      <c r="I192" s="667"/>
      <c r="J192" s="667"/>
      <c r="K192" s="667" t="e">
        <f>E192+#REF!+#REF!+#REF!+G192+#REF!+#REF!+#REF!+#REF!+#REF!+#REF!+I192+#REF!+#REF!+#REF!</f>
        <v>#REF!</v>
      </c>
      <c r="L192" s="667" t="e">
        <f t="shared" si="9"/>
        <v>#REF!</v>
      </c>
      <c r="M192" s="665" t="e">
        <f>#REF!+K192</f>
        <v>#REF!</v>
      </c>
      <c r="N192" s="666" t="e">
        <f t="shared" si="10"/>
        <v>#REF!</v>
      </c>
      <c r="O192" s="672"/>
      <c r="P192" s="668"/>
      <c r="Q192" s="676"/>
      <c r="R192" s="676"/>
    </row>
    <row r="193" spans="1:19" s="677" customFormat="1" ht="25.5" hidden="1" customHeight="1">
      <c r="A193" s="662"/>
      <c r="B193" s="663" t="s">
        <v>1420</v>
      </c>
      <c r="C193" s="675"/>
      <c r="D193" s="674" t="s">
        <v>264</v>
      </c>
      <c r="E193" s="684"/>
      <c r="F193" s="667">
        <f t="shared" si="11"/>
        <v>0</v>
      </c>
      <c r="G193" s="675"/>
      <c r="H193" s="667">
        <f t="shared" si="8"/>
        <v>0</v>
      </c>
      <c r="I193" s="667"/>
      <c r="J193" s="667"/>
      <c r="K193" s="667" t="e">
        <f>E193+#REF!+#REF!+#REF!+G193+#REF!+#REF!+#REF!+#REF!+#REF!+#REF!+I193+#REF!+#REF!+#REF!</f>
        <v>#REF!</v>
      </c>
      <c r="L193" s="667" t="e">
        <f t="shared" si="9"/>
        <v>#REF!</v>
      </c>
      <c r="M193" s="665" t="e">
        <f>#REF!+K193</f>
        <v>#REF!</v>
      </c>
      <c r="N193" s="666" t="e">
        <f t="shared" si="10"/>
        <v>#REF!</v>
      </c>
      <c r="O193" s="672"/>
      <c r="P193" s="668"/>
      <c r="Q193" s="676"/>
      <c r="R193" s="676"/>
    </row>
    <row r="194" spans="1:19" s="677" customFormat="1" ht="25.5" hidden="1" customHeight="1">
      <c r="A194" s="662"/>
      <c r="B194" s="663" t="s">
        <v>1421</v>
      </c>
      <c r="C194" s="675"/>
      <c r="D194" s="674" t="s">
        <v>264</v>
      </c>
      <c r="E194" s="684"/>
      <c r="F194" s="667">
        <f t="shared" si="11"/>
        <v>0</v>
      </c>
      <c r="G194" s="675"/>
      <c r="H194" s="667">
        <f t="shared" si="8"/>
        <v>0</v>
      </c>
      <c r="I194" s="667"/>
      <c r="J194" s="667"/>
      <c r="K194" s="667" t="e">
        <f>E194+#REF!+#REF!+#REF!+G194+#REF!+#REF!+#REF!+#REF!+#REF!+#REF!+I194+#REF!+#REF!+#REF!</f>
        <v>#REF!</v>
      </c>
      <c r="L194" s="667" t="e">
        <f t="shared" si="9"/>
        <v>#REF!</v>
      </c>
      <c r="M194" s="665" t="e">
        <f>#REF!+K194</f>
        <v>#REF!</v>
      </c>
      <c r="N194" s="666" t="e">
        <f t="shared" si="10"/>
        <v>#REF!</v>
      </c>
      <c r="O194" s="672"/>
      <c r="P194" s="668"/>
      <c r="Q194" s="676"/>
      <c r="R194" s="676"/>
    </row>
    <row r="195" spans="1:19" s="677" customFormat="1" ht="25.5" hidden="1" customHeight="1">
      <c r="A195" s="662"/>
      <c r="B195" s="663" t="s">
        <v>1422</v>
      </c>
      <c r="C195" s="675"/>
      <c r="D195" s="674" t="s">
        <v>264</v>
      </c>
      <c r="E195" s="684"/>
      <c r="F195" s="667">
        <f t="shared" si="11"/>
        <v>0</v>
      </c>
      <c r="G195" s="675"/>
      <c r="H195" s="667">
        <f t="shared" si="8"/>
        <v>0</v>
      </c>
      <c r="I195" s="667"/>
      <c r="J195" s="667"/>
      <c r="K195" s="667" t="e">
        <f>E195+#REF!+#REF!+#REF!+G195+#REF!+#REF!+#REF!+#REF!+#REF!+#REF!+I195+#REF!+#REF!+#REF!</f>
        <v>#REF!</v>
      </c>
      <c r="L195" s="667" t="e">
        <f t="shared" si="9"/>
        <v>#REF!</v>
      </c>
      <c r="M195" s="665" t="e">
        <f>#REF!+K195</f>
        <v>#REF!</v>
      </c>
      <c r="N195" s="666" t="e">
        <f t="shared" si="10"/>
        <v>#REF!</v>
      </c>
      <c r="O195" s="672"/>
      <c r="P195" s="668"/>
      <c r="Q195" s="676"/>
      <c r="R195" s="676"/>
    </row>
    <row r="196" spans="1:19" s="677" customFormat="1" ht="25.5" hidden="1" customHeight="1">
      <c r="A196" s="662"/>
      <c r="B196" s="663" t="s">
        <v>1423</v>
      </c>
      <c r="C196" s="675"/>
      <c r="D196" s="674" t="s">
        <v>264</v>
      </c>
      <c r="E196" s="684"/>
      <c r="F196" s="667">
        <f t="shared" si="11"/>
        <v>0</v>
      </c>
      <c r="G196" s="675"/>
      <c r="H196" s="667">
        <f t="shared" si="8"/>
        <v>0</v>
      </c>
      <c r="I196" s="667"/>
      <c r="J196" s="667"/>
      <c r="K196" s="667" t="e">
        <f>E196+#REF!+#REF!+#REF!+G196+#REF!+#REF!+#REF!+#REF!+#REF!+#REF!+I196+#REF!+#REF!+#REF!</f>
        <v>#REF!</v>
      </c>
      <c r="L196" s="667" t="e">
        <f t="shared" si="9"/>
        <v>#REF!</v>
      </c>
      <c r="M196" s="665" t="e">
        <f>#REF!+K196</f>
        <v>#REF!</v>
      </c>
      <c r="N196" s="666" t="e">
        <f t="shared" si="10"/>
        <v>#REF!</v>
      </c>
      <c r="O196" s="672"/>
      <c r="P196" s="668"/>
      <c r="Q196" s="676"/>
      <c r="R196" s="676"/>
    </row>
    <row r="197" spans="1:19" s="677" customFormat="1" ht="25.5" hidden="1" customHeight="1">
      <c r="A197" s="688"/>
      <c r="B197" s="663" t="s">
        <v>1424</v>
      </c>
      <c r="C197" s="675"/>
      <c r="D197" s="674" t="s">
        <v>264</v>
      </c>
      <c r="E197" s="684"/>
      <c r="F197" s="667">
        <f t="shared" si="11"/>
        <v>0</v>
      </c>
      <c r="G197" s="675"/>
      <c r="H197" s="667">
        <f t="shared" si="8"/>
        <v>0</v>
      </c>
      <c r="I197" s="667"/>
      <c r="J197" s="667"/>
      <c r="K197" s="667" t="e">
        <f>E197+#REF!+#REF!+#REF!+G197+#REF!+#REF!+#REF!+#REF!+#REF!+#REF!+I197+#REF!+#REF!+#REF!</f>
        <v>#REF!</v>
      </c>
      <c r="L197" s="667" t="e">
        <f t="shared" si="9"/>
        <v>#REF!</v>
      </c>
      <c r="M197" s="665" t="e">
        <f>#REF!+K197</f>
        <v>#REF!</v>
      </c>
      <c r="N197" s="666" t="e">
        <f t="shared" si="10"/>
        <v>#REF!</v>
      </c>
      <c r="O197" s="672"/>
      <c r="P197" s="668"/>
      <c r="Q197" s="676"/>
      <c r="R197" s="676"/>
    </row>
    <row r="198" spans="1:19" s="677" customFormat="1" ht="69.75" hidden="1" customHeight="1">
      <c r="A198" s="662">
        <v>11.4</v>
      </c>
      <c r="B198" s="685" t="s">
        <v>1448</v>
      </c>
      <c r="C198" s="675"/>
      <c r="D198" s="674"/>
      <c r="E198" s="684"/>
      <c r="F198" s="667">
        <f t="shared" si="11"/>
        <v>0</v>
      </c>
      <c r="G198" s="675"/>
      <c r="H198" s="667">
        <f t="shared" ref="H198:H261" si="12">G198*C198</f>
        <v>0</v>
      </c>
      <c r="I198" s="667"/>
      <c r="J198" s="667"/>
      <c r="K198" s="667" t="e">
        <f>E198+#REF!+#REF!+#REF!+G198+#REF!+#REF!+#REF!+#REF!+#REF!+#REF!+I198+#REF!+#REF!+#REF!</f>
        <v>#REF!</v>
      </c>
      <c r="L198" s="667" t="e">
        <f t="shared" ref="L198:L261" si="13">K198*C198</f>
        <v>#REF!</v>
      </c>
      <c r="M198" s="665" t="e">
        <f>#REF!+K198</f>
        <v>#REF!</v>
      </c>
      <c r="N198" s="666" t="e">
        <f t="shared" ref="N198:N261" si="14">M198*C198</f>
        <v>#REF!</v>
      </c>
      <c r="O198" s="672"/>
      <c r="P198" s="668"/>
      <c r="Q198" s="676"/>
      <c r="R198" s="676"/>
    </row>
    <row r="199" spans="1:19" s="677" customFormat="1" ht="25.5" hidden="1" customHeight="1">
      <c r="A199" s="666"/>
      <c r="B199" s="663" t="s">
        <v>1420</v>
      </c>
      <c r="C199" s="675"/>
      <c r="D199" s="674" t="s">
        <v>264</v>
      </c>
      <c r="E199" s="684"/>
      <c r="F199" s="667">
        <f t="shared" si="11"/>
        <v>0</v>
      </c>
      <c r="G199" s="675"/>
      <c r="H199" s="667">
        <f t="shared" si="12"/>
        <v>0</v>
      </c>
      <c r="I199" s="667"/>
      <c r="J199" s="667"/>
      <c r="K199" s="667" t="e">
        <f>E199+#REF!+#REF!+#REF!+G199+#REF!+#REF!+#REF!+#REF!+#REF!+#REF!+I199+#REF!+#REF!+#REF!</f>
        <v>#REF!</v>
      </c>
      <c r="L199" s="667" t="e">
        <f t="shared" si="13"/>
        <v>#REF!</v>
      </c>
      <c r="M199" s="665" t="e">
        <f>#REF!+K199</f>
        <v>#REF!</v>
      </c>
      <c r="N199" s="666" t="e">
        <f t="shared" si="14"/>
        <v>#REF!</v>
      </c>
      <c r="O199" s="672"/>
      <c r="P199" s="668"/>
      <c r="Q199" s="676"/>
      <c r="R199" s="676"/>
    </row>
    <row r="200" spans="1:19" s="677" customFormat="1" ht="25.5" hidden="1" customHeight="1">
      <c r="A200" s="666"/>
      <c r="B200" s="663" t="s">
        <v>1421</v>
      </c>
      <c r="C200" s="675"/>
      <c r="D200" s="674" t="s">
        <v>264</v>
      </c>
      <c r="E200" s="684"/>
      <c r="F200" s="667">
        <f t="shared" si="11"/>
        <v>0</v>
      </c>
      <c r="G200" s="675"/>
      <c r="H200" s="667">
        <f t="shared" si="12"/>
        <v>0</v>
      </c>
      <c r="I200" s="667"/>
      <c r="J200" s="667"/>
      <c r="K200" s="667" t="e">
        <f>E200+#REF!+#REF!+#REF!+G200+#REF!+#REF!+#REF!+#REF!+#REF!+#REF!+I200+#REF!+#REF!+#REF!</f>
        <v>#REF!</v>
      </c>
      <c r="L200" s="667" t="e">
        <f t="shared" si="13"/>
        <v>#REF!</v>
      </c>
      <c r="M200" s="665" t="e">
        <f>#REF!+K200</f>
        <v>#REF!</v>
      </c>
      <c r="N200" s="666" t="e">
        <f t="shared" si="14"/>
        <v>#REF!</v>
      </c>
      <c r="O200" s="672"/>
      <c r="P200" s="668"/>
      <c r="Q200" s="676"/>
      <c r="R200" s="676"/>
    </row>
    <row r="201" spans="1:19" s="677" customFormat="1" ht="25.5" hidden="1" customHeight="1">
      <c r="A201" s="666"/>
      <c r="B201" s="663" t="s">
        <v>1422</v>
      </c>
      <c r="C201" s="675"/>
      <c r="D201" s="674" t="s">
        <v>264</v>
      </c>
      <c r="E201" s="684"/>
      <c r="F201" s="667">
        <f t="shared" si="11"/>
        <v>0</v>
      </c>
      <c r="G201" s="675"/>
      <c r="H201" s="667">
        <f t="shared" si="12"/>
        <v>0</v>
      </c>
      <c r="I201" s="667"/>
      <c r="J201" s="667"/>
      <c r="K201" s="667" t="e">
        <f>E201+#REF!+#REF!+#REF!+G201+#REF!+#REF!+#REF!+#REF!+#REF!+#REF!+I201+#REF!+#REF!+#REF!</f>
        <v>#REF!</v>
      </c>
      <c r="L201" s="667" t="e">
        <f t="shared" si="13"/>
        <v>#REF!</v>
      </c>
      <c r="M201" s="665" t="e">
        <f>#REF!+K201</f>
        <v>#REF!</v>
      </c>
      <c r="N201" s="666" t="e">
        <f t="shared" si="14"/>
        <v>#REF!</v>
      </c>
      <c r="O201" s="672"/>
      <c r="P201" s="668"/>
      <c r="Q201" s="676"/>
      <c r="R201" s="676"/>
    </row>
    <row r="202" spans="1:19" s="677" customFormat="1" ht="25.5" hidden="1" customHeight="1">
      <c r="A202" s="666"/>
      <c r="B202" s="663" t="s">
        <v>1423</v>
      </c>
      <c r="C202" s="675"/>
      <c r="D202" s="674" t="s">
        <v>264</v>
      </c>
      <c r="E202" s="684"/>
      <c r="F202" s="667">
        <f t="shared" si="11"/>
        <v>0</v>
      </c>
      <c r="G202" s="675"/>
      <c r="H202" s="667">
        <f t="shared" si="12"/>
        <v>0</v>
      </c>
      <c r="I202" s="667"/>
      <c r="J202" s="667"/>
      <c r="K202" s="667" t="e">
        <f>E202+#REF!+#REF!+#REF!+G202+#REF!+#REF!+#REF!+#REF!+#REF!+#REF!+I202+#REF!+#REF!+#REF!</f>
        <v>#REF!</v>
      </c>
      <c r="L202" s="667" t="e">
        <f t="shared" si="13"/>
        <v>#REF!</v>
      </c>
      <c r="M202" s="665" t="e">
        <f>#REF!+K202</f>
        <v>#REF!</v>
      </c>
      <c r="N202" s="666" t="e">
        <f t="shared" si="14"/>
        <v>#REF!</v>
      </c>
      <c r="O202" s="672"/>
      <c r="P202" s="668"/>
      <c r="Q202" s="676"/>
      <c r="R202" s="676"/>
    </row>
    <row r="203" spans="1:19" s="677" customFormat="1" ht="25.5" hidden="1" customHeight="1">
      <c r="A203" s="690"/>
      <c r="B203" s="663" t="s">
        <v>1424</v>
      </c>
      <c r="C203" s="675"/>
      <c r="D203" s="674" t="s">
        <v>264</v>
      </c>
      <c r="E203" s="684"/>
      <c r="F203" s="667">
        <f t="shared" si="11"/>
        <v>0</v>
      </c>
      <c r="G203" s="675"/>
      <c r="H203" s="667">
        <f t="shared" si="12"/>
        <v>0</v>
      </c>
      <c r="I203" s="667"/>
      <c r="J203" s="667"/>
      <c r="K203" s="667" t="e">
        <f>E203+#REF!+#REF!+#REF!+G203+#REF!+#REF!+#REF!+#REF!+#REF!+#REF!+I203+#REF!+#REF!+#REF!</f>
        <v>#REF!</v>
      </c>
      <c r="L203" s="667" t="e">
        <f t="shared" si="13"/>
        <v>#REF!</v>
      </c>
      <c r="M203" s="665" t="e">
        <f>#REF!+K203</f>
        <v>#REF!</v>
      </c>
      <c r="N203" s="666" t="e">
        <f t="shared" si="14"/>
        <v>#REF!</v>
      </c>
      <c r="O203" s="672"/>
      <c r="P203" s="668"/>
      <c r="Q203" s="676"/>
      <c r="R203" s="676"/>
    </row>
    <row r="204" spans="1:19" ht="87.75" customHeight="1">
      <c r="A204" s="692">
        <v>11.5</v>
      </c>
      <c r="B204" s="685" t="s">
        <v>1449</v>
      </c>
      <c r="C204" s="667"/>
      <c r="D204" s="663"/>
      <c r="E204" s="667"/>
      <c r="F204" s="667">
        <f t="shared" si="11"/>
        <v>0</v>
      </c>
      <c r="G204" s="667"/>
      <c r="H204" s="667">
        <f t="shared" si="12"/>
        <v>0</v>
      </c>
      <c r="I204" s="667"/>
      <c r="J204" s="667"/>
      <c r="K204" s="667" t="e">
        <f>E204+#REF!+#REF!+#REF!+G204+#REF!+#REF!+#REF!+#REF!+#REF!+#REF!+I204+#REF!+#REF!+#REF!</f>
        <v>#REF!</v>
      </c>
      <c r="L204" s="667" t="e">
        <f t="shared" si="13"/>
        <v>#REF!</v>
      </c>
      <c r="M204" s="665" t="e">
        <f>#REF!+K204</f>
        <v>#REF!</v>
      </c>
      <c r="N204" s="666" t="e">
        <f t="shared" si="14"/>
        <v>#REF!</v>
      </c>
      <c r="O204" s="668"/>
      <c r="P204" s="668"/>
      <c r="Q204" s="678"/>
      <c r="S204" s="679"/>
    </row>
    <row r="205" spans="1:19" ht="48.75" customHeight="1">
      <c r="A205" s="692"/>
      <c r="B205" s="663" t="s">
        <v>1420</v>
      </c>
      <c r="C205" s="667">
        <f>ROUND([14]Data!K434,2)</f>
        <v>504.28</v>
      </c>
      <c r="D205" s="663" t="s">
        <v>264</v>
      </c>
      <c r="E205" s="690"/>
      <c r="F205" s="667">
        <f t="shared" si="11"/>
        <v>0</v>
      </c>
      <c r="G205" s="667"/>
      <c r="H205" s="667">
        <f t="shared" si="12"/>
        <v>0</v>
      </c>
      <c r="I205" s="667"/>
      <c r="J205" s="667"/>
      <c r="K205" s="667" t="e">
        <f>E205+#REF!+#REF!+#REF!+G205+#REF!+#REF!+#REF!+#REF!+#REF!+#REF!+I205+#REF!+#REF!+#REF!</f>
        <v>#REF!</v>
      </c>
      <c r="L205" s="667" t="e">
        <f t="shared" si="13"/>
        <v>#REF!</v>
      </c>
      <c r="M205" s="665" t="e">
        <f>#REF!+K205</f>
        <v>#REF!</v>
      </c>
      <c r="N205" s="666" t="e">
        <f t="shared" si="14"/>
        <v>#REF!</v>
      </c>
      <c r="O205" s="672"/>
      <c r="P205" s="668"/>
    </row>
    <row r="206" spans="1:19" ht="42" customHeight="1">
      <c r="A206" s="692"/>
      <c r="B206" s="663" t="s">
        <v>1421</v>
      </c>
      <c r="C206" s="667">
        <f>ROUND([14]Data!K435,2)</f>
        <v>513.88</v>
      </c>
      <c r="D206" s="663" t="s">
        <v>264</v>
      </c>
      <c r="E206" s="690"/>
      <c r="F206" s="667">
        <f t="shared" si="11"/>
        <v>0</v>
      </c>
      <c r="G206" s="667"/>
      <c r="H206" s="667">
        <f t="shared" si="12"/>
        <v>0</v>
      </c>
      <c r="I206" s="667"/>
      <c r="J206" s="667"/>
      <c r="K206" s="667" t="e">
        <f>E206+#REF!+#REF!+#REF!+G206+#REF!+#REF!+#REF!+#REF!+#REF!+#REF!+I206+#REF!+#REF!+#REF!</f>
        <v>#REF!</v>
      </c>
      <c r="L206" s="667" t="e">
        <f t="shared" si="13"/>
        <v>#REF!</v>
      </c>
      <c r="M206" s="665" t="e">
        <f>#REF!+K206</f>
        <v>#REF!</v>
      </c>
      <c r="N206" s="666" t="e">
        <f t="shared" si="14"/>
        <v>#REF!</v>
      </c>
      <c r="O206" s="672"/>
      <c r="P206" s="668"/>
    </row>
    <row r="207" spans="1:19" ht="42" hidden="1" customHeight="1">
      <c r="A207" s="692"/>
      <c r="B207" s="663" t="s">
        <v>1422</v>
      </c>
      <c r="C207" s="667">
        <f>ROUND([14]Data!K436,2)</f>
        <v>523.48</v>
      </c>
      <c r="D207" s="663" t="s">
        <v>264</v>
      </c>
      <c r="E207" s="693"/>
      <c r="F207" s="667">
        <f t="shared" si="11"/>
        <v>0</v>
      </c>
      <c r="G207" s="667"/>
      <c r="H207" s="667">
        <f t="shared" si="12"/>
        <v>0</v>
      </c>
      <c r="I207" s="667"/>
      <c r="J207" s="667"/>
      <c r="K207" s="667" t="e">
        <f>E207+#REF!+#REF!+#REF!+G207+#REF!+#REF!+#REF!+#REF!+#REF!+#REF!+I207+#REF!+#REF!+#REF!</f>
        <v>#REF!</v>
      </c>
      <c r="L207" s="667" t="e">
        <f t="shared" si="13"/>
        <v>#REF!</v>
      </c>
      <c r="M207" s="665" t="e">
        <f>#REF!+K207</f>
        <v>#REF!</v>
      </c>
      <c r="N207" s="666" t="e">
        <f t="shared" si="14"/>
        <v>#REF!</v>
      </c>
      <c r="O207" s="672"/>
      <c r="P207" s="668"/>
    </row>
    <row r="208" spans="1:19" ht="42" hidden="1" customHeight="1">
      <c r="A208" s="692"/>
      <c r="B208" s="663" t="s">
        <v>1423</v>
      </c>
      <c r="C208" s="667">
        <f>ROUND([14]Data!K437,2)</f>
        <v>533.08000000000004</v>
      </c>
      <c r="D208" s="663" t="s">
        <v>264</v>
      </c>
      <c r="E208" s="690"/>
      <c r="F208" s="667">
        <f t="shared" si="11"/>
        <v>0</v>
      </c>
      <c r="G208" s="667"/>
      <c r="H208" s="667">
        <f t="shared" si="12"/>
        <v>0</v>
      </c>
      <c r="I208" s="667"/>
      <c r="J208" s="667"/>
      <c r="K208" s="667" t="e">
        <f>E208+#REF!+#REF!+#REF!+G208+#REF!+#REF!+#REF!+#REF!+#REF!+#REF!+I208+#REF!+#REF!+#REF!</f>
        <v>#REF!</v>
      </c>
      <c r="L208" s="667" t="e">
        <f t="shared" si="13"/>
        <v>#REF!</v>
      </c>
      <c r="M208" s="665" t="e">
        <f>#REF!+K208</f>
        <v>#REF!</v>
      </c>
      <c r="N208" s="666" t="e">
        <f t="shared" si="14"/>
        <v>#REF!</v>
      </c>
      <c r="O208" s="672"/>
      <c r="P208" s="668"/>
    </row>
    <row r="209" spans="1:19" s="677" customFormat="1" ht="25.5" hidden="1" customHeight="1">
      <c r="A209" s="694"/>
      <c r="B209" s="663" t="s">
        <v>1424</v>
      </c>
      <c r="C209" s="675">
        <f>ROUND([14]Data!K438,2)</f>
        <v>542.67999999999995</v>
      </c>
      <c r="D209" s="674" t="s">
        <v>264</v>
      </c>
      <c r="E209" s="684"/>
      <c r="F209" s="667">
        <f t="shared" si="11"/>
        <v>0</v>
      </c>
      <c r="G209" s="675"/>
      <c r="H209" s="667">
        <f t="shared" si="12"/>
        <v>0</v>
      </c>
      <c r="I209" s="667"/>
      <c r="J209" s="667"/>
      <c r="K209" s="667" t="e">
        <f>E209+#REF!+#REF!+#REF!+G209+#REF!+#REF!+#REF!+#REF!+#REF!+#REF!+I209+#REF!+#REF!+#REF!</f>
        <v>#REF!</v>
      </c>
      <c r="L209" s="667" t="e">
        <f t="shared" si="13"/>
        <v>#REF!</v>
      </c>
      <c r="M209" s="665" t="e">
        <f>#REF!+K209</f>
        <v>#REF!</v>
      </c>
      <c r="N209" s="666" t="e">
        <f t="shared" si="14"/>
        <v>#REF!</v>
      </c>
      <c r="O209" s="672"/>
      <c r="P209" s="668"/>
      <c r="Q209" s="676"/>
      <c r="R209" s="676"/>
    </row>
    <row r="210" spans="1:19" s="677" customFormat="1" ht="69.75" hidden="1" customHeight="1">
      <c r="A210" s="692">
        <v>11.6</v>
      </c>
      <c r="B210" s="685" t="s">
        <v>1450</v>
      </c>
      <c r="C210" s="675"/>
      <c r="D210" s="674"/>
      <c r="E210" s="684"/>
      <c r="F210" s="667">
        <f t="shared" ref="F210:F273" si="15">E210*C210</f>
        <v>0</v>
      </c>
      <c r="G210" s="675"/>
      <c r="H210" s="667">
        <f t="shared" si="12"/>
        <v>0</v>
      </c>
      <c r="I210" s="667"/>
      <c r="J210" s="667"/>
      <c r="K210" s="667" t="e">
        <f>E210+#REF!+#REF!+#REF!+G210+#REF!+#REF!+#REF!+#REF!+#REF!+#REF!+I210+#REF!+#REF!+#REF!</f>
        <v>#REF!</v>
      </c>
      <c r="L210" s="667" t="e">
        <f t="shared" si="13"/>
        <v>#REF!</v>
      </c>
      <c r="M210" s="665" t="e">
        <f>#REF!+K210</f>
        <v>#REF!</v>
      </c>
      <c r="N210" s="666" t="e">
        <f t="shared" si="14"/>
        <v>#REF!</v>
      </c>
      <c r="O210" s="672"/>
      <c r="P210" s="668"/>
      <c r="Q210" s="676"/>
      <c r="R210" s="676"/>
    </row>
    <row r="211" spans="1:19" s="677" customFormat="1" ht="25.5" hidden="1" customHeight="1">
      <c r="A211" s="692"/>
      <c r="B211" s="663" t="s">
        <v>1420</v>
      </c>
      <c r="C211" s="675"/>
      <c r="D211" s="674" t="s">
        <v>264</v>
      </c>
      <c r="E211" s="684"/>
      <c r="F211" s="667">
        <f t="shared" si="15"/>
        <v>0</v>
      </c>
      <c r="G211" s="675"/>
      <c r="H211" s="667">
        <f t="shared" si="12"/>
        <v>0</v>
      </c>
      <c r="I211" s="667"/>
      <c r="J211" s="667"/>
      <c r="K211" s="667" t="e">
        <f>E211+#REF!+#REF!+#REF!+G211+#REF!+#REF!+#REF!+#REF!+#REF!+#REF!+I211+#REF!+#REF!+#REF!</f>
        <v>#REF!</v>
      </c>
      <c r="L211" s="667" t="e">
        <f t="shared" si="13"/>
        <v>#REF!</v>
      </c>
      <c r="M211" s="665" t="e">
        <f>#REF!+K211</f>
        <v>#REF!</v>
      </c>
      <c r="N211" s="666" t="e">
        <f t="shared" si="14"/>
        <v>#REF!</v>
      </c>
      <c r="O211" s="672"/>
      <c r="P211" s="668"/>
      <c r="Q211" s="676"/>
      <c r="R211" s="676"/>
    </row>
    <row r="212" spans="1:19" s="677" customFormat="1" ht="25.5" hidden="1" customHeight="1">
      <c r="A212" s="692"/>
      <c r="B212" s="663" t="s">
        <v>1421</v>
      </c>
      <c r="C212" s="675"/>
      <c r="D212" s="674" t="s">
        <v>264</v>
      </c>
      <c r="E212" s="684"/>
      <c r="F212" s="667">
        <f t="shared" si="15"/>
        <v>0</v>
      </c>
      <c r="G212" s="675"/>
      <c r="H212" s="667">
        <f t="shared" si="12"/>
        <v>0</v>
      </c>
      <c r="I212" s="667"/>
      <c r="J212" s="667"/>
      <c r="K212" s="667" t="e">
        <f>E212+#REF!+#REF!+#REF!+G212+#REF!+#REF!+#REF!+#REF!+#REF!+#REF!+I212+#REF!+#REF!+#REF!</f>
        <v>#REF!</v>
      </c>
      <c r="L212" s="667" t="e">
        <f t="shared" si="13"/>
        <v>#REF!</v>
      </c>
      <c r="M212" s="665" t="e">
        <f>#REF!+K212</f>
        <v>#REF!</v>
      </c>
      <c r="N212" s="666" t="e">
        <f t="shared" si="14"/>
        <v>#REF!</v>
      </c>
      <c r="O212" s="672"/>
      <c r="P212" s="668"/>
      <c r="Q212" s="676"/>
      <c r="R212" s="676"/>
    </row>
    <row r="213" spans="1:19" s="677" customFormat="1" ht="25.5" hidden="1" customHeight="1">
      <c r="A213" s="692"/>
      <c r="B213" s="663" t="s">
        <v>1422</v>
      </c>
      <c r="C213" s="675"/>
      <c r="D213" s="674" t="s">
        <v>264</v>
      </c>
      <c r="E213" s="684"/>
      <c r="F213" s="667">
        <f t="shared" si="15"/>
        <v>0</v>
      </c>
      <c r="G213" s="675"/>
      <c r="H213" s="667">
        <f t="shared" si="12"/>
        <v>0</v>
      </c>
      <c r="I213" s="667"/>
      <c r="J213" s="667"/>
      <c r="K213" s="667" t="e">
        <f>E213+#REF!+#REF!+#REF!+G213+#REF!+#REF!+#REF!+#REF!+#REF!+#REF!+I213+#REF!+#REF!+#REF!</f>
        <v>#REF!</v>
      </c>
      <c r="L213" s="667" t="e">
        <f t="shared" si="13"/>
        <v>#REF!</v>
      </c>
      <c r="M213" s="665" t="e">
        <f>#REF!+K213</f>
        <v>#REF!</v>
      </c>
      <c r="N213" s="666" t="e">
        <f t="shared" si="14"/>
        <v>#REF!</v>
      </c>
      <c r="O213" s="672"/>
      <c r="P213" s="668"/>
      <c r="Q213" s="676"/>
      <c r="R213" s="676"/>
    </row>
    <row r="214" spans="1:19" s="677" customFormat="1" ht="25.5" hidden="1" customHeight="1">
      <c r="A214" s="692"/>
      <c r="B214" s="663" t="s">
        <v>1423</v>
      </c>
      <c r="C214" s="675"/>
      <c r="D214" s="674" t="s">
        <v>264</v>
      </c>
      <c r="E214" s="684"/>
      <c r="F214" s="667">
        <f t="shared" si="15"/>
        <v>0</v>
      </c>
      <c r="G214" s="675"/>
      <c r="H214" s="667">
        <f t="shared" si="12"/>
        <v>0</v>
      </c>
      <c r="I214" s="667"/>
      <c r="J214" s="667"/>
      <c r="K214" s="667" t="e">
        <f>E214+#REF!+#REF!+#REF!+G214+#REF!+#REF!+#REF!+#REF!+#REF!+#REF!+I214+#REF!+#REF!+#REF!</f>
        <v>#REF!</v>
      </c>
      <c r="L214" s="667" t="e">
        <f t="shared" si="13"/>
        <v>#REF!</v>
      </c>
      <c r="M214" s="665" t="e">
        <f>#REF!+K214</f>
        <v>#REF!</v>
      </c>
      <c r="N214" s="666" t="e">
        <f t="shared" si="14"/>
        <v>#REF!</v>
      </c>
      <c r="O214" s="672"/>
      <c r="P214" s="668"/>
      <c r="Q214" s="676"/>
      <c r="R214" s="676"/>
    </row>
    <row r="215" spans="1:19" s="677" customFormat="1" ht="7.5" hidden="1" customHeight="1">
      <c r="A215" s="694"/>
      <c r="B215" s="663" t="s">
        <v>1424</v>
      </c>
      <c r="C215" s="675"/>
      <c r="D215" s="674" t="s">
        <v>264</v>
      </c>
      <c r="E215" s="684"/>
      <c r="F215" s="667">
        <f t="shared" si="15"/>
        <v>0</v>
      </c>
      <c r="G215" s="675"/>
      <c r="H215" s="667">
        <f t="shared" si="12"/>
        <v>0</v>
      </c>
      <c r="I215" s="667"/>
      <c r="J215" s="667"/>
      <c r="K215" s="667" t="e">
        <f>E215+#REF!+#REF!+#REF!+G215+#REF!+#REF!+#REF!+#REF!+#REF!+#REF!+I215+#REF!+#REF!+#REF!</f>
        <v>#REF!</v>
      </c>
      <c r="L215" s="667" t="e">
        <f t="shared" si="13"/>
        <v>#REF!</v>
      </c>
      <c r="M215" s="665" t="e">
        <f>#REF!+K215</f>
        <v>#REF!</v>
      </c>
      <c r="N215" s="666" t="e">
        <f t="shared" si="14"/>
        <v>#REF!</v>
      </c>
      <c r="O215" s="672"/>
      <c r="P215" s="668"/>
      <c r="Q215" s="676"/>
      <c r="R215" s="676"/>
    </row>
    <row r="216" spans="1:19" ht="76.5" customHeight="1">
      <c r="A216" s="662">
        <v>12.1</v>
      </c>
      <c r="B216" s="685" t="s">
        <v>1451</v>
      </c>
      <c r="C216" s="667"/>
      <c r="D216" s="685"/>
      <c r="E216" s="667"/>
      <c r="F216" s="667">
        <f t="shared" si="15"/>
        <v>0</v>
      </c>
      <c r="G216" s="667"/>
      <c r="H216" s="667">
        <f t="shared" si="12"/>
        <v>0</v>
      </c>
      <c r="I216" s="667"/>
      <c r="J216" s="667"/>
      <c r="K216" s="667" t="e">
        <f>E216+#REF!+#REF!+#REF!+G216+#REF!+#REF!+#REF!+#REF!+#REF!+#REF!+I216+#REF!+#REF!+#REF!</f>
        <v>#REF!</v>
      </c>
      <c r="L216" s="667" t="e">
        <f t="shared" si="13"/>
        <v>#REF!</v>
      </c>
      <c r="M216" s="665" t="e">
        <f>#REF!+K216</f>
        <v>#REF!</v>
      </c>
      <c r="N216" s="666" t="e">
        <f t="shared" si="14"/>
        <v>#REF!</v>
      </c>
      <c r="O216" s="668"/>
      <c r="P216" s="668"/>
      <c r="Q216" s="678"/>
      <c r="S216" s="679"/>
    </row>
    <row r="217" spans="1:19" s="683" customFormat="1" ht="43.5" customHeight="1">
      <c r="A217" s="666"/>
      <c r="B217" s="663" t="s">
        <v>1420</v>
      </c>
      <c r="C217" s="667">
        <f>ROUND([14]Data!K467,2)</f>
        <v>365.93</v>
      </c>
      <c r="D217" s="663" t="s">
        <v>264</v>
      </c>
      <c r="E217" s="690"/>
      <c r="F217" s="667">
        <f t="shared" si="15"/>
        <v>0</v>
      </c>
      <c r="G217" s="667"/>
      <c r="H217" s="667">
        <f t="shared" si="12"/>
        <v>0</v>
      </c>
      <c r="I217" s="667"/>
      <c r="J217" s="667"/>
      <c r="K217" s="667" t="e">
        <f>E217+#REF!+#REF!+#REF!+G217+#REF!+#REF!+#REF!+#REF!+#REF!+#REF!+I217+#REF!+#REF!+#REF!</f>
        <v>#REF!</v>
      </c>
      <c r="L217" s="667" t="e">
        <f t="shared" si="13"/>
        <v>#REF!</v>
      </c>
      <c r="M217" s="665" t="e">
        <f>#REF!+K217</f>
        <v>#REF!</v>
      </c>
      <c r="N217" s="666" t="e">
        <f t="shared" si="14"/>
        <v>#REF!</v>
      </c>
      <c r="O217" s="672"/>
      <c r="P217" s="668"/>
      <c r="Q217" s="669"/>
      <c r="R217" s="669"/>
    </row>
    <row r="218" spans="1:19" s="683" customFormat="1" ht="43.5" customHeight="1">
      <c r="A218" s="666"/>
      <c r="B218" s="663" t="s">
        <v>1421</v>
      </c>
      <c r="C218" s="667">
        <f>ROUND([14]Data!K468,2)</f>
        <v>372.79</v>
      </c>
      <c r="D218" s="663" t="s">
        <v>264</v>
      </c>
      <c r="E218" s="690"/>
      <c r="F218" s="667">
        <f t="shared" si="15"/>
        <v>0</v>
      </c>
      <c r="G218" s="667"/>
      <c r="H218" s="667">
        <f t="shared" si="12"/>
        <v>0</v>
      </c>
      <c r="I218" s="667"/>
      <c r="J218" s="667"/>
      <c r="K218" s="667" t="e">
        <f>E218+#REF!+#REF!+#REF!+G218+#REF!+#REF!+#REF!+#REF!+#REF!+#REF!+I218+#REF!+#REF!+#REF!</f>
        <v>#REF!</v>
      </c>
      <c r="L218" s="667" t="e">
        <f t="shared" si="13"/>
        <v>#REF!</v>
      </c>
      <c r="M218" s="665" t="e">
        <f>#REF!+K218</f>
        <v>#REF!</v>
      </c>
      <c r="N218" s="666" t="e">
        <f t="shared" si="14"/>
        <v>#REF!</v>
      </c>
      <c r="O218" s="672"/>
      <c r="P218" s="668"/>
      <c r="Q218" s="669"/>
      <c r="R218" s="669"/>
    </row>
    <row r="219" spans="1:19" s="683" customFormat="1" ht="43.5" hidden="1" customHeight="1">
      <c r="A219" s="666"/>
      <c r="B219" s="663" t="s">
        <v>1422</v>
      </c>
      <c r="C219" s="667">
        <f>ROUND([14]Data!K469,2)</f>
        <v>379.65</v>
      </c>
      <c r="D219" s="663" t="s">
        <v>264</v>
      </c>
      <c r="E219" s="690"/>
      <c r="F219" s="667">
        <f t="shared" si="15"/>
        <v>0</v>
      </c>
      <c r="G219" s="667"/>
      <c r="H219" s="667">
        <f t="shared" si="12"/>
        <v>0</v>
      </c>
      <c r="I219" s="667"/>
      <c r="J219" s="667"/>
      <c r="K219" s="667" t="e">
        <f>E219+#REF!+#REF!+#REF!+G219+#REF!+#REF!+#REF!+#REF!+#REF!+#REF!+I219+#REF!+#REF!+#REF!</f>
        <v>#REF!</v>
      </c>
      <c r="L219" s="667" t="e">
        <f t="shared" si="13"/>
        <v>#REF!</v>
      </c>
      <c r="M219" s="665" t="e">
        <f>#REF!+K219</f>
        <v>#REF!</v>
      </c>
      <c r="N219" s="666" t="e">
        <f t="shared" si="14"/>
        <v>#REF!</v>
      </c>
      <c r="O219" s="672"/>
      <c r="P219" s="668"/>
      <c r="Q219" s="669"/>
      <c r="R219" s="669"/>
    </row>
    <row r="220" spans="1:19" s="683" customFormat="1" ht="43.5" hidden="1" customHeight="1">
      <c r="A220" s="666"/>
      <c r="B220" s="663" t="s">
        <v>1423</v>
      </c>
      <c r="C220" s="667">
        <f>ROUND([14]Data!K470,2)</f>
        <v>386.51</v>
      </c>
      <c r="D220" s="663" t="s">
        <v>264</v>
      </c>
      <c r="E220" s="689"/>
      <c r="F220" s="667">
        <f t="shared" si="15"/>
        <v>0</v>
      </c>
      <c r="G220" s="667"/>
      <c r="H220" s="667">
        <f t="shared" si="12"/>
        <v>0</v>
      </c>
      <c r="I220" s="667"/>
      <c r="J220" s="667"/>
      <c r="K220" s="667" t="e">
        <f>E220+#REF!+#REF!+#REF!+G220+#REF!+#REF!+#REF!+#REF!+#REF!+#REF!+I220+#REF!+#REF!+#REF!</f>
        <v>#REF!</v>
      </c>
      <c r="L220" s="667" t="e">
        <f t="shared" si="13"/>
        <v>#REF!</v>
      </c>
      <c r="M220" s="665" t="e">
        <f>#REF!+K220</f>
        <v>#REF!</v>
      </c>
      <c r="N220" s="666" t="e">
        <f t="shared" si="14"/>
        <v>#REF!</v>
      </c>
      <c r="O220" s="672"/>
      <c r="P220" s="668"/>
      <c r="Q220" s="669"/>
      <c r="R220" s="669"/>
    </row>
    <row r="221" spans="1:19" s="677" customFormat="1" ht="43.5" hidden="1" customHeight="1">
      <c r="A221" s="690"/>
      <c r="B221" s="663" t="s">
        <v>1424</v>
      </c>
      <c r="C221" s="667">
        <f>ROUND([14]Data!K471,2)</f>
        <v>393.37</v>
      </c>
      <c r="D221" s="663" t="s">
        <v>264</v>
      </c>
      <c r="E221" s="689"/>
      <c r="F221" s="667">
        <f t="shared" si="15"/>
        <v>0</v>
      </c>
      <c r="G221" s="667"/>
      <c r="H221" s="667">
        <f t="shared" si="12"/>
        <v>0</v>
      </c>
      <c r="I221" s="667"/>
      <c r="J221" s="667"/>
      <c r="K221" s="667" t="e">
        <f>E221+#REF!+#REF!+#REF!+G221+#REF!+#REF!+#REF!+#REF!+#REF!+#REF!+I221+#REF!+#REF!+#REF!</f>
        <v>#REF!</v>
      </c>
      <c r="L221" s="667" t="e">
        <f t="shared" si="13"/>
        <v>#REF!</v>
      </c>
      <c r="M221" s="665" t="e">
        <f>#REF!+K221</f>
        <v>#REF!</v>
      </c>
      <c r="N221" s="666" t="e">
        <f t="shared" si="14"/>
        <v>#REF!</v>
      </c>
      <c r="O221" s="672"/>
      <c r="P221" s="668"/>
      <c r="Q221" s="676"/>
      <c r="R221" s="676"/>
    </row>
    <row r="222" spans="1:19" s="677" customFormat="1" ht="69.75" hidden="1" customHeight="1">
      <c r="A222" s="662">
        <v>12.2</v>
      </c>
      <c r="B222" s="663" t="s">
        <v>1452</v>
      </c>
      <c r="C222" s="675"/>
      <c r="D222" s="695"/>
      <c r="E222" s="684"/>
      <c r="F222" s="667">
        <f t="shared" si="15"/>
        <v>0</v>
      </c>
      <c r="G222" s="675"/>
      <c r="H222" s="667">
        <f t="shared" si="12"/>
        <v>0</v>
      </c>
      <c r="I222" s="667"/>
      <c r="J222" s="667"/>
      <c r="K222" s="667" t="e">
        <f>E222+#REF!+#REF!+#REF!+G222+#REF!+#REF!+#REF!+#REF!+#REF!+#REF!+I222+#REF!+#REF!+#REF!</f>
        <v>#REF!</v>
      </c>
      <c r="L222" s="667" t="e">
        <f t="shared" si="13"/>
        <v>#REF!</v>
      </c>
      <c r="M222" s="665" t="e">
        <f>#REF!+K222</f>
        <v>#REF!</v>
      </c>
      <c r="N222" s="666" t="e">
        <f t="shared" si="14"/>
        <v>#REF!</v>
      </c>
      <c r="O222" s="672"/>
      <c r="P222" s="668"/>
      <c r="Q222" s="676"/>
      <c r="R222" s="676"/>
    </row>
    <row r="223" spans="1:19" s="677" customFormat="1" ht="25.5" hidden="1" customHeight="1">
      <c r="A223" s="666"/>
      <c r="B223" s="663" t="s">
        <v>1420</v>
      </c>
      <c r="C223" s="675"/>
      <c r="D223" s="674" t="s">
        <v>264</v>
      </c>
      <c r="E223" s="684"/>
      <c r="F223" s="667">
        <f t="shared" si="15"/>
        <v>0</v>
      </c>
      <c r="G223" s="675"/>
      <c r="H223" s="667">
        <f t="shared" si="12"/>
        <v>0</v>
      </c>
      <c r="I223" s="667"/>
      <c r="J223" s="667"/>
      <c r="K223" s="667" t="e">
        <f>E223+#REF!+#REF!+#REF!+G223+#REF!+#REF!+#REF!+#REF!+#REF!+#REF!+I223+#REF!+#REF!+#REF!</f>
        <v>#REF!</v>
      </c>
      <c r="L223" s="667" t="e">
        <f t="shared" si="13"/>
        <v>#REF!</v>
      </c>
      <c r="M223" s="665" t="e">
        <f>#REF!+K223</f>
        <v>#REF!</v>
      </c>
      <c r="N223" s="666" t="e">
        <f t="shared" si="14"/>
        <v>#REF!</v>
      </c>
      <c r="O223" s="672"/>
      <c r="P223" s="668"/>
      <c r="Q223" s="676"/>
      <c r="R223" s="676"/>
    </row>
    <row r="224" spans="1:19" s="677" customFormat="1" ht="25.5" hidden="1" customHeight="1">
      <c r="A224" s="666"/>
      <c r="B224" s="663" t="s">
        <v>1421</v>
      </c>
      <c r="C224" s="675"/>
      <c r="D224" s="674" t="s">
        <v>264</v>
      </c>
      <c r="E224" s="684"/>
      <c r="F224" s="667">
        <f t="shared" si="15"/>
        <v>0</v>
      </c>
      <c r="G224" s="675"/>
      <c r="H224" s="667">
        <f t="shared" si="12"/>
        <v>0</v>
      </c>
      <c r="I224" s="667"/>
      <c r="J224" s="667"/>
      <c r="K224" s="667" t="e">
        <f>E224+#REF!+#REF!+#REF!+G224+#REF!+#REF!+#REF!+#REF!+#REF!+#REF!+I224+#REF!+#REF!+#REF!</f>
        <v>#REF!</v>
      </c>
      <c r="L224" s="667" t="e">
        <f t="shared" si="13"/>
        <v>#REF!</v>
      </c>
      <c r="M224" s="665" t="e">
        <f>#REF!+K224</f>
        <v>#REF!</v>
      </c>
      <c r="N224" s="666" t="e">
        <f t="shared" si="14"/>
        <v>#REF!</v>
      </c>
      <c r="O224" s="672"/>
      <c r="P224" s="668"/>
      <c r="Q224" s="676"/>
      <c r="R224" s="676"/>
    </row>
    <row r="225" spans="1:18" s="677" customFormat="1" ht="25.5" hidden="1" customHeight="1">
      <c r="A225" s="666"/>
      <c r="B225" s="663" t="s">
        <v>1422</v>
      </c>
      <c r="C225" s="675"/>
      <c r="D225" s="674" t="s">
        <v>264</v>
      </c>
      <c r="E225" s="684"/>
      <c r="F225" s="667">
        <f t="shared" si="15"/>
        <v>0</v>
      </c>
      <c r="G225" s="675"/>
      <c r="H225" s="667">
        <f t="shared" si="12"/>
        <v>0</v>
      </c>
      <c r="I225" s="667"/>
      <c r="J225" s="667"/>
      <c r="K225" s="667" t="e">
        <f>E225+#REF!+#REF!+#REF!+G225+#REF!+#REF!+#REF!+#REF!+#REF!+#REF!+I225+#REF!+#REF!+#REF!</f>
        <v>#REF!</v>
      </c>
      <c r="L225" s="667" t="e">
        <f t="shared" si="13"/>
        <v>#REF!</v>
      </c>
      <c r="M225" s="665" t="e">
        <f>#REF!+K225</f>
        <v>#REF!</v>
      </c>
      <c r="N225" s="666" t="e">
        <f t="shared" si="14"/>
        <v>#REF!</v>
      </c>
      <c r="O225" s="672"/>
      <c r="P225" s="668"/>
      <c r="Q225" s="676"/>
      <c r="R225" s="676"/>
    </row>
    <row r="226" spans="1:18" s="677" customFormat="1" ht="25.5" hidden="1" customHeight="1">
      <c r="A226" s="666"/>
      <c r="B226" s="663" t="s">
        <v>1423</v>
      </c>
      <c r="C226" s="675"/>
      <c r="D226" s="674" t="s">
        <v>264</v>
      </c>
      <c r="E226" s="684"/>
      <c r="F226" s="667">
        <f t="shared" si="15"/>
        <v>0</v>
      </c>
      <c r="G226" s="675"/>
      <c r="H226" s="667">
        <f t="shared" si="12"/>
        <v>0</v>
      </c>
      <c r="I226" s="667"/>
      <c r="J226" s="667"/>
      <c r="K226" s="667" t="e">
        <f>E226+#REF!+#REF!+#REF!+G226+#REF!+#REF!+#REF!+#REF!+#REF!+#REF!+I226+#REF!+#REF!+#REF!</f>
        <v>#REF!</v>
      </c>
      <c r="L226" s="667" t="e">
        <f t="shared" si="13"/>
        <v>#REF!</v>
      </c>
      <c r="M226" s="665" t="e">
        <f>#REF!+K226</f>
        <v>#REF!</v>
      </c>
      <c r="N226" s="666" t="e">
        <f t="shared" si="14"/>
        <v>#REF!</v>
      </c>
      <c r="O226" s="672"/>
      <c r="P226" s="668"/>
      <c r="Q226" s="676"/>
      <c r="R226" s="676"/>
    </row>
    <row r="227" spans="1:18" s="677" customFormat="1" ht="25.5" hidden="1" customHeight="1">
      <c r="A227" s="690"/>
      <c r="B227" s="663" t="s">
        <v>1424</v>
      </c>
      <c r="C227" s="675"/>
      <c r="D227" s="674" t="s">
        <v>264</v>
      </c>
      <c r="E227" s="684"/>
      <c r="F227" s="667">
        <f t="shared" si="15"/>
        <v>0</v>
      </c>
      <c r="G227" s="675"/>
      <c r="H227" s="667">
        <f t="shared" si="12"/>
        <v>0</v>
      </c>
      <c r="I227" s="667"/>
      <c r="J227" s="667"/>
      <c r="K227" s="667" t="e">
        <f>E227+#REF!+#REF!+#REF!+G227+#REF!+#REF!+#REF!+#REF!+#REF!+#REF!+I227+#REF!+#REF!+#REF!</f>
        <v>#REF!</v>
      </c>
      <c r="L227" s="667" t="e">
        <f t="shared" si="13"/>
        <v>#REF!</v>
      </c>
      <c r="M227" s="665" t="e">
        <f>#REF!+K227</f>
        <v>#REF!</v>
      </c>
      <c r="N227" s="666" t="e">
        <f t="shared" si="14"/>
        <v>#REF!</v>
      </c>
      <c r="O227" s="672"/>
      <c r="P227" s="668"/>
      <c r="Q227" s="676"/>
      <c r="R227" s="676"/>
    </row>
    <row r="228" spans="1:18" s="677" customFormat="1" ht="25.5" hidden="1" customHeight="1">
      <c r="A228" s="690"/>
      <c r="B228" s="663"/>
      <c r="C228" s="675"/>
      <c r="D228" s="674"/>
      <c r="E228" s="684"/>
      <c r="F228" s="667">
        <f t="shared" si="15"/>
        <v>0</v>
      </c>
      <c r="G228" s="675"/>
      <c r="H228" s="667">
        <f t="shared" si="12"/>
        <v>0</v>
      </c>
      <c r="I228" s="667"/>
      <c r="J228" s="667"/>
      <c r="K228" s="667" t="e">
        <f>E228+#REF!+#REF!+#REF!+G228+#REF!+#REF!+#REF!+#REF!+#REF!+#REF!+I228+#REF!+#REF!+#REF!</f>
        <v>#REF!</v>
      </c>
      <c r="L228" s="667" t="e">
        <f t="shared" si="13"/>
        <v>#REF!</v>
      </c>
      <c r="M228" s="665" t="e">
        <f>#REF!+K228</f>
        <v>#REF!</v>
      </c>
      <c r="N228" s="666" t="e">
        <f t="shared" si="14"/>
        <v>#REF!</v>
      </c>
      <c r="O228" s="672"/>
      <c r="P228" s="668"/>
      <c r="Q228" s="676"/>
      <c r="R228" s="676"/>
    </row>
    <row r="229" spans="1:18" s="683" customFormat="1" ht="46.5" customHeight="1">
      <c r="A229" s="662">
        <v>13.1</v>
      </c>
      <c r="B229" s="663" t="s">
        <v>809</v>
      </c>
      <c r="C229" s="667">
        <f>ROUND([14]Data!K482,2)</f>
        <v>33.6</v>
      </c>
      <c r="D229" s="663" t="s">
        <v>235</v>
      </c>
      <c r="E229" s="667"/>
      <c r="F229" s="667">
        <f t="shared" si="15"/>
        <v>0</v>
      </c>
      <c r="G229" s="667"/>
      <c r="H229" s="667">
        <f t="shared" si="12"/>
        <v>0</v>
      </c>
      <c r="I229" s="667"/>
      <c r="J229" s="667"/>
      <c r="K229" s="667" t="e">
        <f>E229+#REF!+#REF!+#REF!+G229+#REF!+#REF!+#REF!+#REF!+#REF!+#REF!+I229+#REF!+#REF!+#REF!</f>
        <v>#REF!</v>
      </c>
      <c r="L229" s="667" t="e">
        <f t="shared" si="13"/>
        <v>#REF!</v>
      </c>
      <c r="M229" s="665" t="e">
        <f>#REF!+K229</f>
        <v>#REF!</v>
      </c>
      <c r="N229" s="666" t="e">
        <f t="shared" si="14"/>
        <v>#REF!</v>
      </c>
      <c r="O229" s="672"/>
      <c r="P229" s="668"/>
      <c r="Q229" s="669"/>
      <c r="R229" s="669"/>
    </row>
    <row r="230" spans="1:18" s="677" customFormat="1" ht="33.75" hidden="1" customHeight="1">
      <c r="A230" s="662">
        <v>13.2</v>
      </c>
      <c r="B230" s="663" t="s">
        <v>1453</v>
      </c>
      <c r="C230" s="675"/>
      <c r="D230" s="674" t="s">
        <v>235</v>
      </c>
      <c r="E230" s="684"/>
      <c r="F230" s="667">
        <f t="shared" si="15"/>
        <v>0</v>
      </c>
      <c r="G230" s="675"/>
      <c r="H230" s="667">
        <f t="shared" si="12"/>
        <v>0</v>
      </c>
      <c r="I230" s="667"/>
      <c r="J230" s="667"/>
      <c r="K230" s="667" t="e">
        <f>E230+#REF!+#REF!+#REF!+G230+#REF!+#REF!+#REF!+#REF!+#REF!+#REF!+I230+#REF!+#REF!+#REF!</f>
        <v>#REF!</v>
      </c>
      <c r="L230" s="667" t="e">
        <f t="shared" si="13"/>
        <v>#REF!</v>
      </c>
      <c r="M230" s="665" t="e">
        <f>#REF!+K230</f>
        <v>#REF!</v>
      </c>
      <c r="N230" s="666" t="e">
        <f t="shared" si="14"/>
        <v>#REF!</v>
      </c>
      <c r="O230" s="672"/>
      <c r="P230" s="668"/>
      <c r="Q230" s="676"/>
      <c r="R230" s="676"/>
    </row>
    <row r="231" spans="1:18" s="682" customFormat="1" ht="60.75" hidden="1" customHeight="1">
      <c r="A231" s="666" t="s">
        <v>1454</v>
      </c>
      <c r="B231" s="685" t="s">
        <v>1455</v>
      </c>
      <c r="C231" s="675"/>
      <c r="D231" s="674"/>
      <c r="E231" s="675"/>
      <c r="F231" s="667">
        <f t="shared" si="15"/>
        <v>0</v>
      </c>
      <c r="G231" s="675"/>
      <c r="H231" s="667">
        <f t="shared" si="12"/>
        <v>0</v>
      </c>
      <c r="I231" s="667"/>
      <c r="J231" s="667"/>
      <c r="K231" s="667" t="e">
        <f>E231+#REF!+#REF!+#REF!+G231+#REF!+#REF!+#REF!+#REF!+#REF!+#REF!+I231+#REF!+#REF!+#REF!</f>
        <v>#REF!</v>
      </c>
      <c r="L231" s="667" t="e">
        <f t="shared" si="13"/>
        <v>#REF!</v>
      </c>
      <c r="M231" s="665" t="e">
        <f>#REF!+K231</f>
        <v>#REF!</v>
      </c>
      <c r="N231" s="666" t="e">
        <f t="shared" si="14"/>
        <v>#REF!</v>
      </c>
      <c r="O231" s="672"/>
      <c r="P231" s="668"/>
      <c r="Q231" s="680"/>
      <c r="R231" s="681"/>
    </row>
    <row r="232" spans="1:18" s="682" customFormat="1" ht="50.25" hidden="1" customHeight="1">
      <c r="A232" s="666"/>
      <c r="B232" s="663" t="s">
        <v>1405</v>
      </c>
      <c r="C232" s="675">
        <f>ROUND([14]Data!K535,2)</f>
        <v>1287.1600000000001</v>
      </c>
      <c r="D232" s="674" t="s">
        <v>264</v>
      </c>
      <c r="E232" s="696"/>
      <c r="F232" s="667">
        <f t="shared" si="15"/>
        <v>0</v>
      </c>
      <c r="G232" s="675"/>
      <c r="H232" s="667">
        <f t="shared" si="12"/>
        <v>0</v>
      </c>
      <c r="I232" s="667"/>
      <c r="J232" s="667"/>
      <c r="K232" s="667" t="e">
        <f>E232+#REF!+#REF!+#REF!+G232+#REF!+#REF!+#REF!+#REF!+#REF!+#REF!+I232+#REF!+#REF!+#REF!</f>
        <v>#REF!</v>
      </c>
      <c r="L232" s="667" t="e">
        <f t="shared" si="13"/>
        <v>#REF!</v>
      </c>
      <c r="M232" s="665" t="e">
        <f>#REF!+K232</f>
        <v>#REF!</v>
      </c>
      <c r="N232" s="666" t="e">
        <f t="shared" si="14"/>
        <v>#REF!</v>
      </c>
      <c r="O232" s="672"/>
      <c r="P232" s="668"/>
      <c r="Q232" s="680"/>
      <c r="R232" s="681"/>
    </row>
    <row r="233" spans="1:18" s="682" customFormat="1" ht="50.25" hidden="1" customHeight="1">
      <c r="A233" s="666"/>
      <c r="B233" s="663" t="s">
        <v>1406</v>
      </c>
      <c r="C233" s="675">
        <f>ROUND([14]Data!K536,2)</f>
        <v>1291.27</v>
      </c>
      <c r="D233" s="674" t="s">
        <v>264</v>
      </c>
      <c r="E233" s="675"/>
      <c r="F233" s="667">
        <f t="shared" si="15"/>
        <v>0</v>
      </c>
      <c r="G233" s="675"/>
      <c r="H233" s="667">
        <f t="shared" si="12"/>
        <v>0</v>
      </c>
      <c r="I233" s="667"/>
      <c r="J233" s="667"/>
      <c r="K233" s="667" t="e">
        <f>E233+#REF!+#REF!+#REF!+G233+#REF!+#REF!+#REF!+#REF!+#REF!+#REF!+I233+#REF!+#REF!+#REF!</f>
        <v>#REF!</v>
      </c>
      <c r="L233" s="667" t="e">
        <f t="shared" si="13"/>
        <v>#REF!</v>
      </c>
      <c r="M233" s="665" t="e">
        <f>#REF!+K233</f>
        <v>#REF!</v>
      </c>
      <c r="N233" s="666" t="e">
        <f t="shared" si="14"/>
        <v>#REF!</v>
      </c>
      <c r="O233" s="672"/>
      <c r="P233" s="668"/>
      <c r="Q233" s="680"/>
      <c r="R233" s="681"/>
    </row>
    <row r="234" spans="1:18" s="682" customFormat="1" ht="50.25" hidden="1" customHeight="1">
      <c r="A234" s="666"/>
      <c r="B234" s="663" t="s">
        <v>1407</v>
      </c>
      <c r="C234" s="675">
        <f>ROUND([14]Data!K537,2)</f>
        <v>1295.3800000000001</v>
      </c>
      <c r="D234" s="674" t="s">
        <v>264</v>
      </c>
      <c r="E234" s="675"/>
      <c r="F234" s="667">
        <f t="shared" si="15"/>
        <v>0</v>
      </c>
      <c r="G234" s="675"/>
      <c r="H234" s="667">
        <f t="shared" si="12"/>
        <v>0</v>
      </c>
      <c r="I234" s="667"/>
      <c r="J234" s="667"/>
      <c r="K234" s="667" t="e">
        <f>E234+#REF!+#REF!+#REF!+G234+#REF!+#REF!+#REF!+#REF!+#REF!+#REF!+I234+#REF!+#REF!+#REF!</f>
        <v>#REF!</v>
      </c>
      <c r="L234" s="667" t="e">
        <f t="shared" si="13"/>
        <v>#REF!</v>
      </c>
      <c r="M234" s="665" t="e">
        <f>#REF!+K234</f>
        <v>#REF!</v>
      </c>
      <c r="N234" s="666" t="e">
        <f t="shared" si="14"/>
        <v>#REF!</v>
      </c>
      <c r="O234" s="672"/>
      <c r="P234" s="668"/>
      <c r="Q234" s="680"/>
      <c r="R234" s="681"/>
    </row>
    <row r="235" spans="1:18" s="682" customFormat="1" ht="50.25" hidden="1" customHeight="1">
      <c r="A235" s="666"/>
      <c r="B235" s="663" t="s">
        <v>1408</v>
      </c>
      <c r="C235" s="675">
        <f>ROUND([14]Data!K538,2)</f>
        <v>1299.49</v>
      </c>
      <c r="D235" s="674" t="s">
        <v>264</v>
      </c>
      <c r="E235" s="675"/>
      <c r="F235" s="667">
        <f t="shared" si="15"/>
        <v>0</v>
      </c>
      <c r="G235" s="675"/>
      <c r="H235" s="667">
        <f t="shared" si="12"/>
        <v>0</v>
      </c>
      <c r="I235" s="667"/>
      <c r="J235" s="667"/>
      <c r="K235" s="667" t="e">
        <f>E235+#REF!+#REF!+#REF!+G235+#REF!+#REF!+#REF!+#REF!+#REF!+#REF!+I235+#REF!+#REF!+#REF!</f>
        <v>#REF!</v>
      </c>
      <c r="L235" s="667" t="e">
        <f t="shared" si="13"/>
        <v>#REF!</v>
      </c>
      <c r="M235" s="665" t="e">
        <f>#REF!+K235</f>
        <v>#REF!</v>
      </c>
      <c r="N235" s="666" t="e">
        <f t="shared" si="14"/>
        <v>#REF!</v>
      </c>
      <c r="O235" s="672"/>
      <c r="P235" s="668"/>
      <c r="Q235" s="680"/>
      <c r="R235" s="681"/>
    </row>
    <row r="236" spans="1:18" s="677" customFormat="1" ht="41.25" hidden="1" customHeight="1">
      <c r="A236" s="690"/>
      <c r="B236" s="663" t="s">
        <v>1409</v>
      </c>
      <c r="C236" s="675">
        <f>ROUND([14]Data!K539,2)</f>
        <v>1303.5999999999999</v>
      </c>
      <c r="D236" s="674" t="s">
        <v>264</v>
      </c>
      <c r="E236" s="684"/>
      <c r="F236" s="667">
        <f t="shared" si="15"/>
        <v>0</v>
      </c>
      <c r="G236" s="675"/>
      <c r="H236" s="667">
        <f t="shared" si="12"/>
        <v>0</v>
      </c>
      <c r="I236" s="667"/>
      <c r="J236" s="667"/>
      <c r="K236" s="667" t="e">
        <f>E236+#REF!+#REF!+#REF!+G236+#REF!+#REF!+#REF!+#REF!+#REF!+#REF!+I236+#REF!+#REF!+#REF!</f>
        <v>#REF!</v>
      </c>
      <c r="L236" s="667" t="e">
        <f t="shared" si="13"/>
        <v>#REF!</v>
      </c>
      <c r="M236" s="665" t="e">
        <f>#REF!+K236</f>
        <v>#REF!</v>
      </c>
      <c r="N236" s="666" t="e">
        <f t="shared" si="14"/>
        <v>#REF!</v>
      </c>
      <c r="O236" s="672"/>
      <c r="P236" s="668"/>
      <c r="Q236" s="676"/>
      <c r="R236" s="676"/>
    </row>
    <row r="237" spans="1:18" s="677" customFormat="1" ht="41.25" hidden="1" customHeight="1">
      <c r="A237" s="690"/>
      <c r="B237" s="663" t="s">
        <v>1411</v>
      </c>
      <c r="C237" s="675">
        <f>ROUND([14]Data!K540,2)</f>
        <v>1307.71</v>
      </c>
      <c r="D237" s="674" t="s">
        <v>264</v>
      </c>
      <c r="E237" s="684"/>
      <c r="F237" s="667">
        <f t="shared" si="15"/>
        <v>0</v>
      </c>
      <c r="G237" s="675"/>
      <c r="H237" s="667">
        <f t="shared" si="12"/>
        <v>0</v>
      </c>
      <c r="I237" s="667"/>
      <c r="J237" s="667"/>
      <c r="K237" s="667" t="e">
        <f>E237+#REF!+#REF!+#REF!+G237+#REF!+#REF!+#REF!+#REF!+#REF!+#REF!+I237+#REF!+#REF!+#REF!</f>
        <v>#REF!</v>
      </c>
      <c r="L237" s="667" t="e">
        <f t="shared" si="13"/>
        <v>#REF!</v>
      </c>
      <c r="M237" s="665" t="e">
        <f>#REF!+K237</f>
        <v>#REF!</v>
      </c>
      <c r="N237" s="666" t="e">
        <f t="shared" si="14"/>
        <v>#REF!</v>
      </c>
      <c r="O237" s="672"/>
      <c r="P237" s="668"/>
      <c r="Q237" s="676"/>
      <c r="R237" s="676"/>
    </row>
    <row r="238" spans="1:18" s="677" customFormat="1" ht="41.25" hidden="1" customHeight="1">
      <c r="A238" s="690"/>
      <c r="B238" s="663" t="s">
        <v>1412</v>
      </c>
      <c r="C238" s="675">
        <f>ROUND([14]Data!K541,2)</f>
        <v>1311.82</v>
      </c>
      <c r="D238" s="674" t="s">
        <v>264</v>
      </c>
      <c r="E238" s="684"/>
      <c r="F238" s="667">
        <f t="shared" si="15"/>
        <v>0</v>
      </c>
      <c r="G238" s="675"/>
      <c r="H238" s="667">
        <f t="shared" si="12"/>
        <v>0</v>
      </c>
      <c r="I238" s="667"/>
      <c r="J238" s="667"/>
      <c r="K238" s="667" t="e">
        <f>E238+#REF!+#REF!+#REF!+G238+#REF!+#REF!+#REF!+#REF!+#REF!+#REF!+I238+#REF!+#REF!+#REF!</f>
        <v>#REF!</v>
      </c>
      <c r="L238" s="667" t="e">
        <f t="shared" si="13"/>
        <v>#REF!</v>
      </c>
      <c r="M238" s="665" t="e">
        <f>#REF!+K238</f>
        <v>#REF!</v>
      </c>
      <c r="N238" s="666" t="e">
        <f t="shared" si="14"/>
        <v>#REF!</v>
      </c>
      <c r="O238" s="672"/>
      <c r="P238" s="668"/>
      <c r="Q238" s="676"/>
      <c r="R238" s="676"/>
    </row>
    <row r="239" spans="1:18" s="677" customFormat="1" ht="41.25" hidden="1" customHeight="1">
      <c r="A239" s="690"/>
      <c r="B239" s="663" t="s">
        <v>1413</v>
      </c>
      <c r="C239" s="675">
        <f>ROUND([14]Data!K542,2)</f>
        <v>1315.93</v>
      </c>
      <c r="D239" s="674" t="s">
        <v>264</v>
      </c>
      <c r="E239" s="684"/>
      <c r="F239" s="667">
        <f t="shared" si="15"/>
        <v>0</v>
      </c>
      <c r="G239" s="675"/>
      <c r="H239" s="667">
        <f t="shared" si="12"/>
        <v>0</v>
      </c>
      <c r="I239" s="667"/>
      <c r="J239" s="667"/>
      <c r="K239" s="667" t="e">
        <f>E239+#REF!+#REF!+#REF!+G239+#REF!+#REF!+#REF!+#REF!+#REF!+#REF!+I239+#REF!+#REF!+#REF!</f>
        <v>#REF!</v>
      </c>
      <c r="L239" s="667" t="e">
        <f t="shared" si="13"/>
        <v>#REF!</v>
      </c>
      <c r="M239" s="665" t="e">
        <f>#REF!+K239</f>
        <v>#REF!</v>
      </c>
      <c r="N239" s="666" t="e">
        <f t="shared" si="14"/>
        <v>#REF!</v>
      </c>
      <c r="O239" s="672"/>
      <c r="P239" s="668"/>
      <c r="Q239" s="676"/>
      <c r="R239" s="676"/>
    </row>
    <row r="240" spans="1:18" s="677" customFormat="1" ht="41.25" hidden="1" customHeight="1">
      <c r="A240" s="690"/>
      <c r="B240" s="663" t="s">
        <v>1414</v>
      </c>
      <c r="C240" s="675">
        <f>ROUND([14]Data!K543,2)</f>
        <v>1320.04</v>
      </c>
      <c r="D240" s="674" t="s">
        <v>264</v>
      </c>
      <c r="E240" s="684"/>
      <c r="F240" s="667">
        <f t="shared" si="15"/>
        <v>0</v>
      </c>
      <c r="G240" s="675"/>
      <c r="H240" s="667">
        <f t="shared" si="12"/>
        <v>0</v>
      </c>
      <c r="I240" s="667"/>
      <c r="J240" s="667"/>
      <c r="K240" s="667" t="e">
        <f>E240+#REF!+#REF!+#REF!+G240+#REF!+#REF!+#REF!+#REF!+#REF!+#REF!+I240+#REF!+#REF!+#REF!</f>
        <v>#REF!</v>
      </c>
      <c r="L240" s="667" t="e">
        <f t="shared" si="13"/>
        <v>#REF!</v>
      </c>
      <c r="M240" s="665" t="e">
        <f>#REF!+K240</f>
        <v>#REF!</v>
      </c>
      <c r="N240" s="666" t="e">
        <f t="shared" si="14"/>
        <v>#REF!</v>
      </c>
      <c r="O240" s="672"/>
      <c r="P240" s="668"/>
      <c r="Q240" s="676"/>
      <c r="R240" s="676"/>
    </row>
    <row r="241" spans="1:18" s="677" customFormat="1" ht="41.25" hidden="1" customHeight="1">
      <c r="A241" s="690"/>
      <c r="B241" s="663" t="s">
        <v>1415</v>
      </c>
      <c r="C241" s="675">
        <f>ROUND([14]Data!K544,2)</f>
        <v>1324.15</v>
      </c>
      <c r="D241" s="674" t="s">
        <v>264</v>
      </c>
      <c r="E241" s="684"/>
      <c r="F241" s="667">
        <f t="shared" si="15"/>
        <v>0</v>
      </c>
      <c r="G241" s="675"/>
      <c r="H241" s="667">
        <f t="shared" si="12"/>
        <v>0</v>
      </c>
      <c r="I241" s="667"/>
      <c r="J241" s="667"/>
      <c r="K241" s="667" t="e">
        <f>E241+#REF!+#REF!+#REF!+G241+#REF!+#REF!+#REF!+#REF!+#REF!+#REF!+I241+#REF!+#REF!+#REF!</f>
        <v>#REF!</v>
      </c>
      <c r="L241" s="667" t="e">
        <f t="shared" si="13"/>
        <v>#REF!</v>
      </c>
      <c r="M241" s="665" t="e">
        <f>#REF!+K241</f>
        <v>#REF!</v>
      </c>
      <c r="N241" s="666" t="e">
        <f t="shared" si="14"/>
        <v>#REF!</v>
      </c>
      <c r="O241" s="672"/>
      <c r="P241" s="668"/>
      <c r="Q241" s="676"/>
      <c r="R241" s="676"/>
    </row>
    <row r="242" spans="1:18" s="677" customFormat="1" ht="41.25" hidden="1" customHeight="1">
      <c r="A242" s="690"/>
      <c r="B242" s="663" t="s">
        <v>1416</v>
      </c>
      <c r="C242" s="675">
        <f>ROUND([14]Data!K545,2)</f>
        <v>1328.26</v>
      </c>
      <c r="D242" s="674" t="s">
        <v>264</v>
      </c>
      <c r="E242" s="684"/>
      <c r="F242" s="667">
        <f t="shared" si="15"/>
        <v>0</v>
      </c>
      <c r="G242" s="675"/>
      <c r="H242" s="667">
        <f t="shared" si="12"/>
        <v>0</v>
      </c>
      <c r="I242" s="667"/>
      <c r="J242" s="667"/>
      <c r="K242" s="667" t="e">
        <f>E242+#REF!+#REF!+#REF!+G242+#REF!+#REF!+#REF!+#REF!+#REF!+#REF!+I242+#REF!+#REF!+#REF!</f>
        <v>#REF!</v>
      </c>
      <c r="L242" s="667" t="e">
        <f t="shared" si="13"/>
        <v>#REF!</v>
      </c>
      <c r="M242" s="665" t="e">
        <f>#REF!+K242</f>
        <v>#REF!</v>
      </c>
      <c r="N242" s="666" t="e">
        <f t="shared" si="14"/>
        <v>#REF!</v>
      </c>
      <c r="O242" s="672"/>
      <c r="P242" s="668"/>
      <c r="Q242" s="676"/>
      <c r="R242" s="676"/>
    </row>
    <row r="243" spans="1:18" s="677" customFormat="1" ht="41.25" hidden="1" customHeight="1">
      <c r="A243" s="690"/>
      <c r="B243" s="663" t="s">
        <v>1417</v>
      </c>
      <c r="C243" s="675">
        <f>ROUND([14]Data!K546,2)</f>
        <v>1332.37</v>
      </c>
      <c r="D243" s="674" t="s">
        <v>264</v>
      </c>
      <c r="E243" s="684"/>
      <c r="F243" s="667">
        <f t="shared" si="15"/>
        <v>0</v>
      </c>
      <c r="G243" s="675"/>
      <c r="H243" s="667">
        <f t="shared" si="12"/>
        <v>0</v>
      </c>
      <c r="I243" s="667"/>
      <c r="J243" s="667"/>
      <c r="K243" s="667" t="e">
        <f>E243+#REF!+#REF!+#REF!+G243+#REF!+#REF!+#REF!+#REF!+#REF!+#REF!+I243+#REF!+#REF!+#REF!</f>
        <v>#REF!</v>
      </c>
      <c r="L243" s="667" t="e">
        <f t="shared" si="13"/>
        <v>#REF!</v>
      </c>
      <c r="M243" s="665" t="e">
        <f>#REF!+K243</f>
        <v>#REF!</v>
      </c>
      <c r="N243" s="666" t="e">
        <f t="shared" si="14"/>
        <v>#REF!</v>
      </c>
      <c r="O243" s="672"/>
      <c r="P243" s="668"/>
      <c r="Q243" s="676"/>
      <c r="R243" s="676"/>
    </row>
    <row r="244" spans="1:18" s="682" customFormat="1" ht="60.75" hidden="1" customHeight="1">
      <c r="A244" s="666" t="s">
        <v>39</v>
      </c>
      <c r="B244" s="685" t="s">
        <v>1456</v>
      </c>
      <c r="C244" s="675"/>
      <c r="D244" s="674"/>
      <c r="E244" s="675"/>
      <c r="F244" s="667">
        <f t="shared" si="15"/>
        <v>0</v>
      </c>
      <c r="G244" s="675"/>
      <c r="H244" s="667">
        <f t="shared" si="12"/>
        <v>0</v>
      </c>
      <c r="I244" s="667"/>
      <c r="J244" s="667"/>
      <c r="K244" s="667" t="e">
        <f>E244+#REF!+#REF!+#REF!+G244+#REF!+#REF!+#REF!+#REF!+#REF!+#REF!+I244+#REF!+#REF!+#REF!</f>
        <v>#REF!</v>
      </c>
      <c r="L244" s="667" t="e">
        <f t="shared" si="13"/>
        <v>#REF!</v>
      </c>
      <c r="M244" s="665" t="e">
        <f>#REF!+K244</f>
        <v>#REF!</v>
      </c>
      <c r="N244" s="666" t="e">
        <f t="shared" si="14"/>
        <v>#REF!</v>
      </c>
      <c r="O244" s="672"/>
      <c r="P244" s="668"/>
      <c r="Q244" s="680"/>
      <c r="R244" s="681"/>
    </row>
    <row r="245" spans="1:18" s="682" customFormat="1" ht="48.75" hidden="1" customHeight="1">
      <c r="A245" s="666"/>
      <c r="B245" s="663" t="s">
        <v>1457</v>
      </c>
      <c r="C245" s="675">
        <f>ROUND([14]Data!K557,2)</f>
        <v>1423.45</v>
      </c>
      <c r="D245" s="674" t="s">
        <v>264</v>
      </c>
      <c r="E245" s="696"/>
      <c r="F245" s="667">
        <f t="shared" si="15"/>
        <v>0</v>
      </c>
      <c r="G245" s="675"/>
      <c r="H245" s="667">
        <f t="shared" si="12"/>
        <v>0</v>
      </c>
      <c r="I245" s="667"/>
      <c r="J245" s="667"/>
      <c r="K245" s="667" t="e">
        <f>E245+#REF!+#REF!+#REF!+G245+#REF!+#REF!+#REF!+#REF!+#REF!+#REF!+I245+#REF!+#REF!+#REF!</f>
        <v>#REF!</v>
      </c>
      <c r="L245" s="667" t="e">
        <f t="shared" si="13"/>
        <v>#REF!</v>
      </c>
      <c r="M245" s="665" t="e">
        <f>#REF!+K245</f>
        <v>#REF!</v>
      </c>
      <c r="N245" s="666" t="e">
        <f t="shared" si="14"/>
        <v>#REF!</v>
      </c>
      <c r="O245" s="672"/>
      <c r="P245" s="668"/>
      <c r="Q245" s="680"/>
      <c r="R245" s="681"/>
    </row>
    <row r="246" spans="1:18" s="682" customFormat="1" ht="50.25" hidden="1" customHeight="1">
      <c r="A246" s="666"/>
      <c r="B246" s="663" t="s">
        <v>1458</v>
      </c>
      <c r="C246" s="675">
        <f>ROUND([14]Data!K559,2)</f>
        <v>1427.62</v>
      </c>
      <c r="D246" s="674" t="s">
        <v>264</v>
      </c>
      <c r="E246" s="696"/>
      <c r="F246" s="667">
        <f t="shared" si="15"/>
        <v>0</v>
      </c>
      <c r="G246" s="675"/>
      <c r="H246" s="667">
        <f t="shared" si="12"/>
        <v>0</v>
      </c>
      <c r="I246" s="667"/>
      <c r="J246" s="667"/>
      <c r="K246" s="667" t="e">
        <f>E246+#REF!+#REF!+#REF!+G246+#REF!+#REF!+#REF!+#REF!+#REF!+#REF!+I246+#REF!+#REF!+#REF!</f>
        <v>#REF!</v>
      </c>
      <c r="L246" s="667" t="e">
        <f t="shared" si="13"/>
        <v>#REF!</v>
      </c>
      <c r="M246" s="665" t="e">
        <f>#REF!+K246</f>
        <v>#REF!</v>
      </c>
      <c r="N246" s="666" t="e">
        <f t="shared" si="14"/>
        <v>#REF!</v>
      </c>
      <c r="O246" s="672"/>
      <c r="P246" s="668"/>
      <c r="Q246" s="680"/>
      <c r="R246" s="681"/>
    </row>
    <row r="247" spans="1:18" s="682" customFormat="1" ht="50.25" hidden="1" customHeight="1">
      <c r="A247" s="666"/>
      <c r="B247" s="663" t="s">
        <v>1459</v>
      </c>
      <c r="C247" s="675">
        <f>ROUND([14]Data!K560,2)</f>
        <v>1435.84</v>
      </c>
      <c r="D247" s="674" t="s">
        <v>264</v>
      </c>
      <c r="E247" s="675"/>
      <c r="F247" s="667">
        <f t="shared" si="15"/>
        <v>0</v>
      </c>
      <c r="G247" s="675"/>
      <c r="H247" s="667">
        <f t="shared" si="12"/>
        <v>0</v>
      </c>
      <c r="I247" s="667"/>
      <c r="J247" s="667"/>
      <c r="K247" s="667" t="e">
        <f>E247+#REF!+#REF!+#REF!+G247+#REF!+#REF!+#REF!+#REF!+#REF!+#REF!+I247+#REF!+#REF!+#REF!</f>
        <v>#REF!</v>
      </c>
      <c r="L247" s="667" t="e">
        <f t="shared" si="13"/>
        <v>#REF!</v>
      </c>
      <c r="M247" s="665" t="e">
        <f>#REF!+K247</f>
        <v>#REF!</v>
      </c>
      <c r="N247" s="666" t="e">
        <f t="shared" si="14"/>
        <v>#REF!</v>
      </c>
      <c r="O247" s="672"/>
      <c r="P247" s="668"/>
      <c r="Q247" s="680"/>
      <c r="R247" s="681"/>
    </row>
    <row r="248" spans="1:18" s="682" customFormat="1" ht="50.25" hidden="1" customHeight="1">
      <c r="A248" s="666"/>
      <c r="B248" s="663" t="s">
        <v>1460</v>
      </c>
      <c r="C248" s="675">
        <f>ROUND([14]Data!K561,2)</f>
        <v>1444.06</v>
      </c>
      <c r="D248" s="674" t="s">
        <v>264</v>
      </c>
      <c r="E248" s="675"/>
      <c r="F248" s="667">
        <f t="shared" si="15"/>
        <v>0</v>
      </c>
      <c r="G248" s="675"/>
      <c r="H248" s="667">
        <f t="shared" si="12"/>
        <v>0</v>
      </c>
      <c r="I248" s="667"/>
      <c r="J248" s="667"/>
      <c r="K248" s="667" t="e">
        <f>E248+#REF!+#REF!+#REF!+G248+#REF!+#REF!+#REF!+#REF!+#REF!+#REF!+I248+#REF!+#REF!+#REF!</f>
        <v>#REF!</v>
      </c>
      <c r="L248" s="667" t="e">
        <f t="shared" si="13"/>
        <v>#REF!</v>
      </c>
      <c r="M248" s="665" t="e">
        <f>#REF!+K248</f>
        <v>#REF!</v>
      </c>
      <c r="N248" s="666" t="e">
        <f t="shared" si="14"/>
        <v>#REF!</v>
      </c>
      <c r="O248" s="672"/>
      <c r="P248" s="668"/>
      <c r="Q248" s="680"/>
      <c r="R248" s="681"/>
    </row>
    <row r="249" spans="1:18" s="682" customFormat="1" ht="50.25" hidden="1" customHeight="1">
      <c r="A249" s="666"/>
      <c r="B249" s="663" t="s">
        <v>1461</v>
      </c>
      <c r="C249" s="675">
        <f>ROUND([14]Data!K562,2)</f>
        <v>1452.28</v>
      </c>
      <c r="D249" s="674" t="s">
        <v>264</v>
      </c>
      <c r="E249" s="675"/>
      <c r="F249" s="667">
        <f t="shared" si="15"/>
        <v>0</v>
      </c>
      <c r="G249" s="675"/>
      <c r="H249" s="667">
        <f t="shared" si="12"/>
        <v>0</v>
      </c>
      <c r="I249" s="667"/>
      <c r="J249" s="667"/>
      <c r="K249" s="667" t="e">
        <f>E249+#REF!+#REF!+#REF!+G249+#REF!+#REF!+#REF!+#REF!+#REF!+#REF!+I249+#REF!+#REF!+#REF!</f>
        <v>#REF!</v>
      </c>
      <c r="L249" s="667" t="e">
        <f t="shared" si="13"/>
        <v>#REF!</v>
      </c>
      <c r="M249" s="665" t="e">
        <f>#REF!+K249</f>
        <v>#REF!</v>
      </c>
      <c r="N249" s="666" t="e">
        <f t="shared" si="14"/>
        <v>#REF!</v>
      </c>
      <c r="O249" s="672"/>
      <c r="P249" s="668"/>
      <c r="Q249" s="680"/>
      <c r="R249" s="681"/>
    </row>
    <row r="250" spans="1:18" s="677" customFormat="1" ht="41.25" hidden="1" customHeight="1">
      <c r="A250" s="690"/>
      <c r="B250" s="663" t="s">
        <v>1462</v>
      </c>
      <c r="C250" s="675">
        <f>ROUND([14]Data!K563,2)</f>
        <v>1460.5</v>
      </c>
      <c r="D250" s="674" t="s">
        <v>264</v>
      </c>
      <c r="E250" s="684"/>
      <c r="F250" s="667">
        <f t="shared" si="15"/>
        <v>0</v>
      </c>
      <c r="G250" s="675"/>
      <c r="H250" s="667">
        <f t="shared" si="12"/>
        <v>0</v>
      </c>
      <c r="I250" s="667"/>
      <c r="J250" s="667"/>
      <c r="K250" s="667" t="e">
        <f>E250+#REF!+#REF!+#REF!+G250+#REF!+#REF!+#REF!+#REF!+#REF!+#REF!+I250+#REF!+#REF!+#REF!</f>
        <v>#REF!</v>
      </c>
      <c r="L250" s="667" t="e">
        <f t="shared" si="13"/>
        <v>#REF!</v>
      </c>
      <c r="M250" s="665" t="e">
        <f>#REF!+K250</f>
        <v>#REF!</v>
      </c>
      <c r="N250" s="666" t="e">
        <f t="shared" si="14"/>
        <v>#REF!</v>
      </c>
      <c r="O250" s="672"/>
      <c r="P250" s="668"/>
      <c r="Q250" s="676"/>
      <c r="R250" s="676"/>
    </row>
    <row r="251" spans="1:18" s="677" customFormat="1" ht="25.5" hidden="1" customHeight="1">
      <c r="A251" s="662">
        <v>15.1</v>
      </c>
      <c r="B251" s="685" t="s">
        <v>1463</v>
      </c>
      <c r="C251" s="675"/>
      <c r="D251" s="674"/>
      <c r="E251" s="684"/>
      <c r="F251" s="667">
        <f t="shared" si="15"/>
        <v>0</v>
      </c>
      <c r="G251" s="675"/>
      <c r="H251" s="667">
        <f t="shared" si="12"/>
        <v>0</v>
      </c>
      <c r="I251" s="667"/>
      <c r="J251" s="667"/>
      <c r="K251" s="667" t="e">
        <f>E251+#REF!+#REF!+#REF!+G251+#REF!+#REF!+#REF!+#REF!+#REF!+#REF!+I251+#REF!+#REF!+#REF!</f>
        <v>#REF!</v>
      </c>
      <c r="L251" s="667" t="e">
        <f t="shared" si="13"/>
        <v>#REF!</v>
      </c>
      <c r="M251" s="665" t="e">
        <f>#REF!+K251</f>
        <v>#REF!</v>
      </c>
      <c r="N251" s="666" t="e">
        <f t="shared" si="14"/>
        <v>#REF!</v>
      </c>
      <c r="O251" s="672"/>
      <c r="P251" s="668"/>
      <c r="Q251" s="676"/>
      <c r="R251" s="676"/>
    </row>
    <row r="252" spans="1:18" s="677" customFormat="1" ht="25.5" hidden="1" customHeight="1">
      <c r="A252" s="662"/>
      <c r="B252" s="663" t="s">
        <v>1405</v>
      </c>
      <c r="C252" s="675">
        <f>ROUND([14]Data!K590,2)</f>
        <v>529.37</v>
      </c>
      <c r="D252" s="674" t="s">
        <v>264</v>
      </c>
      <c r="E252" s="684"/>
      <c r="F252" s="667">
        <f t="shared" si="15"/>
        <v>0</v>
      </c>
      <c r="G252" s="675"/>
      <c r="H252" s="667">
        <f t="shared" si="12"/>
        <v>0</v>
      </c>
      <c r="I252" s="667"/>
      <c r="J252" s="667"/>
      <c r="K252" s="667" t="e">
        <f>E252+#REF!+#REF!+#REF!+G252+#REF!+#REF!+#REF!+#REF!+#REF!+#REF!+I252+#REF!+#REF!+#REF!</f>
        <v>#REF!</v>
      </c>
      <c r="L252" s="667" t="e">
        <f t="shared" si="13"/>
        <v>#REF!</v>
      </c>
      <c r="M252" s="665" t="e">
        <f>#REF!+K252</f>
        <v>#REF!</v>
      </c>
      <c r="N252" s="666" t="e">
        <f t="shared" si="14"/>
        <v>#REF!</v>
      </c>
      <c r="O252" s="672"/>
      <c r="P252" s="668"/>
      <c r="Q252" s="676"/>
      <c r="R252" s="676"/>
    </row>
    <row r="253" spans="1:18" s="677" customFormat="1" ht="25.5" hidden="1" customHeight="1">
      <c r="A253" s="662"/>
      <c r="B253" s="663" t="s">
        <v>1406</v>
      </c>
      <c r="C253" s="675">
        <f>ROUND([14]Data!K591,2)</f>
        <v>533.44000000000005</v>
      </c>
      <c r="D253" s="674" t="s">
        <v>264</v>
      </c>
      <c r="E253" s="684"/>
      <c r="F253" s="667">
        <f t="shared" si="15"/>
        <v>0</v>
      </c>
      <c r="G253" s="675"/>
      <c r="H253" s="667">
        <f t="shared" si="12"/>
        <v>0</v>
      </c>
      <c r="I253" s="667"/>
      <c r="J253" s="667"/>
      <c r="K253" s="667" t="e">
        <f>E253+#REF!+#REF!+#REF!+G253+#REF!+#REF!+#REF!+#REF!+#REF!+#REF!+I253+#REF!+#REF!+#REF!</f>
        <v>#REF!</v>
      </c>
      <c r="L253" s="667" t="e">
        <f t="shared" si="13"/>
        <v>#REF!</v>
      </c>
      <c r="M253" s="665" t="e">
        <f>#REF!+K253</f>
        <v>#REF!</v>
      </c>
      <c r="N253" s="666" t="e">
        <f t="shared" si="14"/>
        <v>#REF!</v>
      </c>
      <c r="O253" s="672"/>
      <c r="P253" s="668"/>
      <c r="Q253" s="676"/>
      <c r="R253" s="676"/>
    </row>
    <row r="254" spans="1:18" s="677" customFormat="1" ht="25.5" hidden="1" customHeight="1">
      <c r="A254" s="662"/>
      <c r="B254" s="663" t="s">
        <v>1407</v>
      </c>
      <c r="C254" s="675">
        <f>ROUND([14]Data!K592,2)</f>
        <v>537.51</v>
      </c>
      <c r="D254" s="674" t="s">
        <v>264</v>
      </c>
      <c r="E254" s="684"/>
      <c r="F254" s="667">
        <f t="shared" si="15"/>
        <v>0</v>
      </c>
      <c r="G254" s="675"/>
      <c r="H254" s="667">
        <f t="shared" si="12"/>
        <v>0</v>
      </c>
      <c r="I254" s="667"/>
      <c r="J254" s="667"/>
      <c r="K254" s="667" t="e">
        <f>E254+#REF!+#REF!+#REF!+G254+#REF!+#REF!+#REF!+#REF!+#REF!+#REF!+I254+#REF!+#REF!+#REF!</f>
        <v>#REF!</v>
      </c>
      <c r="L254" s="667" t="e">
        <f t="shared" si="13"/>
        <v>#REF!</v>
      </c>
      <c r="M254" s="665" t="e">
        <f>#REF!+K254</f>
        <v>#REF!</v>
      </c>
      <c r="N254" s="666" t="e">
        <f t="shared" si="14"/>
        <v>#REF!</v>
      </c>
      <c r="O254" s="672"/>
      <c r="P254" s="668"/>
      <c r="Q254" s="676"/>
      <c r="R254" s="676"/>
    </row>
    <row r="255" spans="1:18" s="677" customFormat="1" ht="25.5" hidden="1" customHeight="1">
      <c r="A255" s="662"/>
      <c r="B255" s="663" t="s">
        <v>1408</v>
      </c>
      <c r="C255" s="675">
        <f>ROUND([14]Data!K593,2)</f>
        <v>541.58000000000004</v>
      </c>
      <c r="D255" s="674" t="s">
        <v>264</v>
      </c>
      <c r="E255" s="684"/>
      <c r="F255" s="667">
        <f t="shared" si="15"/>
        <v>0</v>
      </c>
      <c r="G255" s="675"/>
      <c r="H255" s="667">
        <f t="shared" si="12"/>
        <v>0</v>
      </c>
      <c r="I255" s="667"/>
      <c r="J255" s="667"/>
      <c r="K255" s="667" t="e">
        <f>E255+#REF!+#REF!+#REF!+G255+#REF!+#REF!+#REF!+#REF!+#REF!+#REF!+I255+#REF!+#REF!+#REF!</f>
        <v>#REF!</v>
      </c>
      <c r="L255" s="667" t="e">
        <f t="shared" si="13"/>
        <v>#REF!</v>
      </c>
      <c r="M255" s="665" t="e">
        <f>#REF!+K255</f>
        <v>#REF!</v>
      </c>
      <c r="N255" s="666" t="e">
        <f t="shared" si="14"/>
        <v>#REF!</v>
      </c>
      <c r="O255" s="672"/>
      <c r="P255" s="668"/>
      <c r="Q255" s="676"/>
      <c r="R255" s="676"/>
    </row>
    <row r="256" spans="1:18" s="677" customFormat="1" ht="25.5" hidden="1" customHeight="1">
      <c r="A256" s="688"/>
      <c r="B256" s="663" t="s">
        <v>1409</v>
      </c>
      <c r="C256" s="675">
        <f>ROUND([14]Data!K594,2)</f>
        <v>545.65</v>
      </c>
      <c r="D256" s="674" t="s">
        <v>264</v>
      </c>
      <c r="E256" s="684"/>
      <c r="F256" s="667">
        <f t="shared" si="15"/>
        <v>0</v>
      </c>
      <c r="G256" s="675"/>
      <c r="H256" s="667">
        <f t="shared" si="12"/>
        <v>0</v>
      </c>
      <c r="I256" s="667"/>
      <c r="J256" s="667"/>
      <c r="K256" s="667" t="e">
        <f>E256+#REF!+#REF!+#REF!+G256+#REF!+#REF!+#REF!+#REF!+#REF!+#REF!+I256+#REF!+#REF!+#REF!</f>
        <v>#REF!</v>
      </c>
      <c r="L256" s="667" t="e">
        <f t="shared" si="13"/>
        <v>#REF!</v>
      </c>
      <c r="M256" s="665" t="e">
        <f>#REF!+K256</f>
        <v>#REF!</v>
      </c>
      <c r="N256" s="666" t="e">
        <f t="shared" si="14"/>
        <v>#REF!</v>
      </c>
      <c r="O256" s="672"/>
      <c r="P256" s="668"/>
      <c r="Q256" s="676"/>
      <c r="R256" s="676"/>
    </row>
    <row r="257" spans="1:18" s="677" customFormat="1" ht="25.5" hidden="1" customHeight="1">
      <c r="A257" s="662">
        <v>15.2</v>
      </c>
      <c r="B257" s="685" t="s">
        <v>1464</v>
      </c>
      <c r="C257" s="675"/>
      <c r="D257" s="674"/>
      <c r="E257" s="684"/>
      <c r="F257" s="667">
        <f t="shared" si="15"/>
        <v>0</v>
      </c>
      <c r="G257" s="675"/>
      <c r="H257" s="667">
        <f t="shared" si="12"/>
        <v>0</v>
      </c>
      <c r="I257" s="667"/>
      <c r="J257" s="667"/>
      <c r="K257" s="667" t="e">
        <f>E257+#REF!+#REF!+#REF!+G257+#REF!+#REF!+#REF!+#REF!+#REF!+#REF!+I257+#REF!+#REF!+#REF!</f>
        <v>#REF!</v>
      </c>
      <c r="L257" s="667" t="e">
        <f t="shared" si="13"/>
        <v>#REF!</v>
      </c>
      <c r="M257" s="665" t="e">
        <f>#REF!+K257</f>
        <v>#REF!</v>
      </c>
      <c r="N257" s="666" t="e">
        <f t="shared" si="14"/>
        <v>#REF!</v>
      </c>
      <c r="O257" s="672"/>
      <c r="P257" s="668"/>
      <c r="Q257" s="676"/>
      <c r="R257" s="676"/>
    </row>
    <row r="258" spans="1:18" s="677" customFormat="1" ht="25.5" hidden="1" customHeight="1">
      <c r="A258" s="666"/>
      <c r="B258" s="663" t="s">
        <v>1405</v>
      </c>
      <c r="C258" s="675">
        <f>ROUND([14]Data!K612,2)</f>
        <v>1847.38</v>
      </c>
      <c r="D258" s="674" t="s">
        <v>264</v>
      </c>
      <c r="E258" s="684"/>
      <c r="F258" s="667">
        <f t="shared" si="15"/>
        <v>0</v>
      </c>
      <c r="G258" s="675"/>
      <c r="H258" s="667">
        <f t="shared" si="12"/>
        <v>0</v>
      </c>
      <c r="I258" s="667"/>
      <c r="J258" s="667"/>
      <c r="K258" s="667" t="e">
        <f>E258+#REF!+#REF!+#REF!+G258+#REF!+#REF!+#REF!+#REF!+#REF!+#REF!+I258+#REF!+#REF!+#REF!</f>
        <v>#REF!</v>
      </c>
      <c r="L258" s="667" t="e">
        <f t="shared" si="13"/>
        <v>#REF!</v>
      </c>
      <c r="M258" s="665" t="e">
        <f>#REF!+K258</f>
        <v>#REF!</v>
      </c>
      <c r="N258" s="666" t="e">
        <f t="shared" si="14"/>
        <v>#REF!</v>
      </c>
      <c r="O258" s="672"/>
      <c r="P258" s="668"/>
      <c r="Q258" s="676"/>
      <c r="R258" s="676"/>
    </row>
    <row r="259" spans="1:18" s="677" customFormat="1" ht="25.5" hidden="1" customHeight="1">
      <c r="A259" s="666"/>
      <c r="B259" s="663" t="s">
        <v>1406</v>
      </c>
      <c r="C259" s="675">
        <f>ROUND([14]Data!K613,2)</f>
        <v>1855.52</v>
      </c>
      <c r="D259" s="674" t="s">
        <v>264</v>
      </c>
      <c r="E259" s="684"/>
      <c r="F259" s="667">
        <f t="shared" si="15"/>
        <v>0</v>
      </c>
      <c r="G259" s="675"/>
      <c r="H259" s="667">
        <f t="shared" si="12"/>
        <v>0</v>
      </c>
      <c r="I259" s="667"/>
      <c r="J259" s="667"/>
      <c r="K259" s="667" t="e">
        <f>E259+#REF!+#REF!+#REF!+G259+#REF!+#REF!+#REF!+#REF!+#REF!+#REF!+I259+#REF!+#REF!+#REF!</f>
        <v>#REF!</v>
      </c>
      <c r="L259" s="667" t="e">
        <f t="shared" si="13"/>
        <v>#REF!</v>
      </c>
      <c r="M259" s="665" t="e">
        <f>#REF!+K259</f>
        <v>#REF!</v>
      </c>
      <c r="N259" s="666" t="e">
        <f t="shared" si="14"/>
        <v>#REF!</v>
      </c>
      <c r="O259" s="672"/>
      <c r="P259" s="668"/>
      <c r="Q259" s="676"/>
      <c r="R259" s="676"/>
    </row>
    <row r="260" spans="1:18" s="677" customFormat="1" ht="25.5" hidden="1" customHeight="1">
      <c r="A260" s="666"/>
      <c r="B260" s="663" t="s">
        <v>1407</v>
      </c>
      <c r="C260" s="675">
        <f>ROUND([14]Data!K614,2)</f>
        <v>1863.66</v>
      </c>
      <c r="D260" s="674" t="s">
        <v>264</v>
      </c>
      <c r="E260" s="684"/>
      <c r="F260" s="667">
        <f t="shared" si="15"/>
        <v>0</v>
      </c>
      <c r="G260" s="675"/>
      <c r="H260" s="667">
        <f t="shared" si="12"/>
        <v>0</v>
      </c>
      <c r="I260" s="667"/>
      <c r="J260" s="667"/>
      <c r="K260" s="667" t="e">
        <f>E260+#REF!+#REF!+#REF!+G260+#REF!+#REF!+#REF!+#REF!+#REF!+#REF!+I260+#REF!+#REF!+#REF!</f>
        <v>#REF!</v>
      </c>
      <c r="L260" s="667" t="e">
        <f t="shared" si="13"/>
        <v>#REF!</v>
      </c>
      <c r="M260" s="665" t="e">
        <f>#REF!+K260</f>
        <v>#REF!</v>
      </c>
      <c r="N260" s="666" t="e">
        <f t="shared" si="14"/>
        <v>#REF!</v>
      </c>
      <c r="O260" s="672"/>
      <c r="P260" s="668"/>
      <c r="Q260" s="676"/>
      <c r="R260" s="676"/>
    </row>
    <row r="261" spans="1:18" s="677" customFormat="1" ht="25.5" hidden="1" customHeight="1">
      <c r="A261" s="666"/>
      <c r="B261" s="663" t="s">
        <v>1408</v>
      </c>
      <c r="C261" s="675">
        <f>ROUND([14]Data!K615,2)</f>
        <v>1871.8</v>
      </c>
      <c r="D261" s="674" t="s">
        <v>264</v>
      </c>
      <c r="E261" s="684"/>
      <c r="F261" s="667">
        <f t="shared" si="15"/>
        <v>0</v>
      </c>
      <c r="G261" s="675"/>
      <c r="H261" s="667">
        <f t="shared" si="12"/>
        <v>0</v>
      </c>
      <c r="I261" s="667"/>
      <c r="J261" s="667"/>
      <c r="K261" s="667" t="e">
        <f>E261+#REF!+#REF!+#REF!+G261+#REF!+#REF!+#REF!+#REF!+#REF!+#REF!+I261+#REF!+#REF!+#REF!</f>
        <v>#REF!</v>
      </c>
      <c r="L261" s="667" t="e">
        <f t="shared" si="13"/>
        <v>#REF!</v>
      </c>
      <c r="M261" s="665" t="e">
        <f>#REF!+K261</f>
        <v>#REF!</v>
      </c>
      <c r="N261" s="666" t="e">
        <f t="shared" si="14"/>
        <v>#REF!</v>
      </c>
      <c r="O261" s="672"/>
      <c r="P261" s="668"/>
      <c r="Q261" s="676"/>
      <c r="R261" s="676"/>
    </row>
    <row r="262" spans="1:18" s="677" customFormat="1" ht="25.5" hidden="1" customHeight="1">
      <c r="A262" s="690"/>
      <c r="B262" s="663" t="s">
        <v>1409</v>
      </c>
      <c r="C262" s="675">
        <f>ROUND([14]Data!K616,2)</f>
        <v>1879.94</v>
      </c>
      <c r="D262" s="674" t="s">
        <v>264</v>
      </c>
      <c r="E262" s="684"/>
      <c r="F262" s="667">
        <f t="shared" si="15"/>
        <v>0</v>
      </c>
      <c r="G262" s="675"/>
      <c r="H262" s="667">
        <f t="shared" ref="H262:H325" si="16">G262*C262</f>
        <v>0</v>
      </c>
      <c r="I262" s="667"/>
      <c r="J262" s="667"/>
      <c r="K262" s="667" t="e">
        <f>E262+#REF!+#REF!+#REF!+G262+#REF!+#REF!+#REF!+#REF!+#REF!+#REF!+I262+#REF!+#REF!+#REF!</f>
        <v>#REF!</v>
      </c>
      <c r="L262" s="667" t="e">
        <f t="shared" ref="L262:L325" si="17">K262*C262</f>
        <v>#REF!</v>
      </c>
      <c r="M262" s="665" t="e">
        <f>#REF!+K262</f>
        <v>#REF!</v>
      </c>
      <c r="N262" s="666" t="e">
        <f t="shared" ref="N262:N325" si="18">M262*C262</f>
        <v>#REF!</v>
      </c>
      <c r="O262" s="672"/>
      <c r="P262" s="668"/>
      <c r="Q262" s="676"/>
      <c r="R262" s="676"/>
    </row>
    <row r="263" spans="1:18" s="682" customFormat="1" ht="50.25" hidden="1" customHeight="1">
      <c r="A263" s="662">
        <v>16.100000000000001</v>
      </c>
      <c r="B263" s="663" t="s">
        <v>1465</v>
      </c>
      <c r="C263" s="675"/>
      <c r="D263" s="674"/>
      <c r="E263" s="675"/>
      <c r="F263" s="667">
        <f t="shared" si="15"/>
        <v>0</v>
      </c>
      <c r="G263" s="675"/>
      <c r="H263" s="667">
        <f t="shared" si="16"/>
        <v>0</v>
      </c>
      <c r="I263" s="667"/>
      <c r="J263" s="667"/>
      <c r="K263" s="667" t="e">
        <f>E263+#REF!+#REF!+#REF!+G263+#REF!+#REF!+#REF!+#REF!+#REF!+#REF!+I263+#REF!+#REF!+#REF!</f>
        <v>#REF!</v>
      </c>
      <c r="L263" s="667" t="e">
        <f t="shared" si="17"/>
        <v>#REF!</v>
      </c>
      <c r="M263" s="665" t="e">
        <f>#REF!+K263</f>
        <v>#REF!</v>
      </c>
      <c r="N263" s="666" t="e">
        <f t="shared" si="18"/>
        <v>#REF!</v>
      </c>
      <c r="O263" s="672"/>
      <c r="P263" s="668"/>
      <c r="Q263" s="680"/>
      <c r="R263" s="681"/>
    </row>
    <row r="264" spans="1:18" s="682" customFormat="1" ht="50.25" hidden="1" customHeight="1">
      <c r="A264" s="662"/>
      <c r="B264" s="663" t="s">
        <v>1420</v>
      </c>
      <c r="C264" s="675">
        <f>[14]Data!K659</f>
        <v>2579.7800000000002</v>
      </c>
      <c r="D264" s="674" t="s">
        <v>264</v>
      </c>
      <c r="E264" s="684"/>
      <c r="F264" s="667">
        <f t="shared" si="15"/>
        <v>0</v>
      </c>
      <c r="G264" s="675"/>
      <c r="H264" s="667">
        <f t="shared" si="16"/>
        <v>0</v>
      </c>
      <c r="I264" s="667"/>
      <c r="J264" s="667"/>
      <c r="K264" s="667" t="e">
        <f>E264+#REF!+#REF!+#REF!+G264+#REF!+#REF!+#REF!+#REF!+#REF!+#REF!+I264+#REF!+#REF!+#REF!</f>
        <v>#REF!</v>
      </c>
      <c r="L264" s="667" t="e">
        <f t="shared" si="17"/>
        <v>#REF!</v>
      </c>
      <c r="M264" s="665" t="e">
        <f>#REF!+K264</f>
        <v>#REF!</v>
      </c>
      <c r="N264" s="666" t="e">
        <f t="shared" si="18"/>
        <v>#REF!</v>
      </c>
      <c r="O264" s="672"/>
      <c r="P264" s="668"/>
      <c r="Q264" s="680"/>
      <c r="R264" s="681"/>
    </row>
    <row r="265" spans="1:18" s="682" customFormat="1" ht="50.25" hidden="1" customHeight="1">
      <c r="A265" s="662"/>
      <c r="B265" s="663" t="s">
        <v>1406</v>
      </c>
      <c r="C265" s="675">
        <f>ROUND([14]Data!K660,2)</f>
        <v>2587.44</v>
      </c>
      <c r="D265" s="674" t="s">
        <v>264</v>
      </c>
      <c r="E265" s="684"/>
      <c r="F265" s="667">
        <f t="shared" si="15"/>
        <v>0</v>
      </c>
      <c r="G265" s="675"/>
      <c r="H265" s="667">
        <f t="shared" si="16"/>
        <v>0</v>
      </c>
      <c r="I265" s="667"/>
      <c r="J265" s="667"/>
      <c r="K265" s="667" t="e">
        <f>E265+#REF!+#REF!+#REF!+G265+#REF!+#REF!+#REF!+#REF!+#REF!+#REF!+I265+#REF!+#REF!+#REF!</f>
        <v>#REF!</v>
      </c>
      <c r="L265" s="667" t="e">
        <f t="shared" si="17"/>
        <v>#REF!</v>
      </c>
      <c r="M265" s="665" t="e">
        <f>#REF!+K265</f>
        <v>#REF!</v>
      </c>
      <c r="N265" s="666" t="e">
        <f t="shared" si="18"/>
        <v>#REF!</v>
      </c>
      <c r="O265" s="672"/>
      <c r="P265" s="668"/>
      <c r="Q265" s="680"/>
      <c r="R265" s="681"/>
    </row>
    <row r="266" spans="1:18" s="682" customFormat="1" ht="50.25" hidden="1" customHeight="1">
      <c r="A266" s="662"/>
      <c r="B266" s="663" t="s">
        <v>1407</v>
      </c>
      <c r="C266" s="675">
        <f>ROUND([14]Data!K661,2)</f>
        <v>2595.1</v>
      </c>
      <c r="D266" s="674" t="s">
        <v>264</v>
      </c>
      <c r="E266" s="684"/>
      <c r="F266" s="667">
        <f t="shared" si="15"/>
        <v>0</v>
      </c>
      <c r="G266" s="675"/>
      <c r="H266" s="667">
        <f t="shared" si="16"/>
        <v>0</v>
      </c>
      <c r="I266" s="667"/>
      <c r="J266" s="667"/>
      <c r="K266" s="667" t="e">
        <f>E266+#REF!+#REF!+#REF!+G266+#REF!+#REF!+#REF!+#REF!+#REF!+#REF!+I266+#REF!+#REF!+#REF!</f>
        <v>#REF!</v>
      </c>
      <c r="L266" s="667" t="e">
        <f t="shared" si="17"/>
        <v>#REF!</v>
      </c>
      <c r="M266" s="665" t="e">
        <f>#REF!+K266</f>
        <v>#REF!</v>
      </c>
      <c r="N266" s="666" t="e">
        <f t="shared" si="18"/>
        <v>#REF!</v>
      </c>
      <c r="O266" s="672"/>
      <c r="P266" s="668"/>
      <c r="Q266" s="680"/>
      <c r="R266" s="681"/>
    </row>
    <row r="267" spans="1:18" s="682" customFormat="1" ht="50.25" hidden="1" customHeight="1">
      <c r="A267" s="662"/>
      <c r="B267" s="663" t="s">
        <v>1408</v>
      </c>
      <c r="C267" s="675">
        <f>ROUND([14]Data!K662,2)</f>
        <v>2602.7600000000002</v>
      </c>
      <c r="D267" s="674" t="s">
        <v>264</v>
      </c>
      <c r="E267" s="684"/>
      <c r="F267" s="667">
        <f t="shared" si="15"/>
        <v>0</v>
      </c>
      <c r="G267" s="675"/>
      <c r="H267" s="667">
        <f t="shared" si="16"/>
        <v>0</v>
      </c>
      <c r="I267" s="667"/>
      <c r="J267" s="667"/>
      <c r="K267" s="667" t="e">
        <f>E267+#REF!+#REF!+#REF!+G267+#REF!+#REF!+#REF!+#REF!+#REF!+#REF!+I267+#REF!+#REF!+#REF!</f>
        <v>#REF!</v>
      </c>
      <c r="L267" s="667" t="e">
        <f t="shared" si="17"/>
        <v>#REF!</v>
      </c>
      <c r="M267" s="665" t="e">
        <f>#REF!+K267</f>
        <v>#REF!</v>
      </c>
      <c r="N267" s="666" t="e">
        <f t="shared" si="18"/>
        <v>#REF!</v>
      </c>
      <c r="O267" s="672"/>
      <c r="P267" s="668"/>
      <c r="Q267" s="680"/>
      <c r="R267" s="681"/>
    </row>
    <row r="268" spans="1:18" s="682" customFormat="1" ht="50.25" hidden="1" customHeight="1">
      <c r="A268" s="687"/>
      <c r="B268" s="663" t="s">
        <v>1409</v>
      </c>
      <c r="C268" s="675">
        <f>ROUND([14]Data!K663,2)</f>
        <v>2610.42</v>
      </c>
      <c r="D268" s="674" t="s">
        <v>264</v>
      </c>
      <c r="E268" s="697"/>
      <c r="F268" s="667">
        <f t="shared" si="15"/>
        <v>0</v>
      </c>
      <c r="G268" s="675"/>
      <c r="H268" s="667">
        <f t="shared" si="16"/>
        <v>0</v>
      </c>
      <c r="I268" s="667"/>
      <c r="J268" s="667"/>
      <c r="K268" s="667" t="e">
        <f>E268+#REF!+#REF!+#REF!+G268+#REF!+#REF!+#REF!+#REF!+#REF!+#REF!+I268+#REF!+#REF!+#REF!</f>
        <v>#REF!</v>
      </c>
      <c r="L268" s="667" t="e">
        <f t="shared" si="17"/>
        <v>#REF!</v>
      </c>
      <c r="M268" s="665" t="e">
        <f>#REF!+K268</f>
        <v>#REF!</v>
      </c>
      <c r="N268" s="666" t="e">
        <f t="shared" si="18"/>
        <v>#REF!</v>
      </c>
      <c r="O268" s="672"/>
      <c r="P268" s="668"/>
      <c r="Q268" s="680"/>
      <c r="R268" s="681"/>
    </row>
    <row r="269" spans="1:18" s="677" customFormat="1" ht="46.5" hidden="1" customHeight="1">
      <c r="A269" s="662">
        <v>16.2</v>
      </c>
      <c r="B269" s="663" t="s">
        <v>1466</v>
      </c>
      <c r="C269" s="675"/>
      <c r="D269" s="674"/>
      <c r="E269" s="684"/>
      <c r="F269" s="667">
        <f t="shared" si="15"/>
        <v>0</v>
      </c>
      <c r="G269" s="675"/>
      <c r="H269" s="667">
        <f t="shared" si="16"/>
        <v>0</v>
      </c>
      <c r="I269" s="667"/>
      <c r="J269" s="667"/>
      <c r="K269" s="667" t="e">
        <f>E269+#REF!+#REF!+#REF!+G269+#REF!+#REF!+#REF!+#REF!+#REF!+#REF!+I269+#REF!+#REF!+#REF!</f>
        <v>#REF!</v>
      </c>
      <c r="L269" s="667" t="e">
        <f t="shared" si="17"/>
        <v>#REF!</v>
      </c>
      <c r="M269" s="665" t="e">
        <f>#REF!+K269</f>
        <v>#REF!</v>
      </c>
      <c r="N269" s="666" t="e">
        <f t="shared" si="18"/>
        <v>#REF!</v>
      </c>
      <c r="O269" s="672"/>
      <c r="P269" s="668"/>
      <c r="Q269" s="676"/>
      <c r="R269" s="676"/>
    </row>
    <row r="270" spans="1:18" s="677" customFormat="1" ht="25.5" hidden="1" customHeight="1">
      <c r="A270" s="666"/>
      <c r="B270" s="663" t="s">
        <v>1420</v>
      </c>
      <c r="C270" s="675">
        <f>ROUND([14]Data!K686,2)</f>
        <v>483.4</v>
      </c>
      <c r="D270" s="674" t="s">
        <v>264</v>
      </c>
      <c r="E270" s="684"/>
      <c r="F270" s="667">
        <f t="shared" si="15"/>
        <v>0</v>
      </c>
      <c r="G270" s="675"/>
      <c r="H270" s="667">
        <f t="shared" si="16"/>
        <v>0</v>
      </c>
      <c r="I270" s="667"/>
      <c r="J270" s="667"/>
      <c r="K270" s="667" t="e">
        <f>E270+#REF!+#REF!+#REF!+G270+#REF!+#REF!+#REF!+#REF!+#REF!+#REF!+I270+#REF!+#REF!+#REF!</f>
        <v>#REF!</v>
      </c>
      <c r="L270" s="667" t="e">
        <f t="shared" si="17"/>
        <v>#REF!</v>
      </c>
      <c r="M270" s="665" t="e">
        <f>#REF!+K270</f>
        <v>#REF!</v>
      </c>
      <c r="N270" s="666" t="e">
        <f t="shared" si="18"/>
        <v>#REF!</v>
      </c>
      <c r="O270" s="672"/>
      <c r="P270" s="668"/>
      <c r="Q270" s="676"/>
      <c r="R270" s="676"/>
    </row>
    <row r="271" spans="1:18" s="677" customFormat="1" ht="25.5" hidden="1" customHeight="1">
      <c r="A271" s="666"/>
      <c r="B271" s="663" t="s">
        <v>1421</v>
      </c>
      <c r="C271" s="675">
        <f>ROUND([14]Data!K687,2)</f>
        <v>490.26</v>
      </c>
      <c r="D271" s="674" t="s">
        <v>264</v>
      </c>
      <c r="E271" s="684"/>
      <c r="F271" s="667">
        <f t="shared" si="15"/>
        <v>0</v>
      </c>
      <c r="G271" s="675"/>
      <c r="H271" s="667">
        <f t="shared" si="16"/>
        <v>0</v>
      </c>
      <c r="I271" s="667"/>
      <c r="J271" s="667"/>
      <c r="K271" s="667" t="e">
        <f>E271+#REF!+#REF!+#REF!+G271+#REF!+#REF!+#REF!+#REF!+#REF!+#REF!+I271+#REF!+#REF!+#REF!</f>
        <v>#REF!</v>
      </c>
      <c r="L271" s="667" t="e">
        <f t="shared" si="17"/>
        <v>#REF!</v>
      </c>
      <c r="M271" s="665" t="e">
        <f>#REF!+K271</f>
        <v>#REF!</v>
      </c>
      <c r="N271" s="666" t="e">
        <f t="shared" si="18"/>
        <v>#REF!</v>
      </c>
      <c r="O271" s="672"/>
      <c r="P271" s="668"/>
      <c r="Q271" s="676"/>
      <c r="R271" s="676"/>
    </row>
    <row r="272" spans="1:18" s="677" customFormat="1" ht="25.5" hidden="1" customHeight="1">
      <c r="A272" s="666"/>
      <c r="B272" s="663" t="s">
        <v>1422</v>
      </c>
      <c r="C272" s="675">
        <f>ROUND([14]Data!K688,2)</f>
        <v>497.12</v>
      </c>
      <c r="D272" s="674" t="s">
        <v>264</v>
      </c>
      <c r="E272" s="684"/>
      <c r="F272" s="667">
        <f t="shared" si="15"/>
        <v>0</v>
      </c>
      <c r="G272" s="675"/>
      <c r="H272" s="667">
        <f t="shared" si="16"/>
        <v>0</v>
      </c>
      <c r="I272" s="667"/>
      <c r="J272" s="667"/>
      <c r="K272" s="667" t="e">
        <f>E272+#REF!+#REF!+#REF!+G272+#REF!+#REF!+#REF!+#REF!+#REF!+#REF!+I272+#REF!+#REF!+#REF!</f>
        <v>#REF!</v>
      </c>
      <c r="L272" s="667" t="e">
        <f t="shared" si="17"/>
        <v>#REF!</v>
      </c>
      <c r="M272" s="665" t="e">
        <f>#REF!+K272</f>
        <v>#REF!</v>
      </c>
      <c r="N272" s="666" t="e">
        <f t="shared" si="18"/>
        <v>#REF!</v>
      </c>
      <c r="O272" s="672"/>
      <c r="P272" s="668"/>
      <c r="Q272" s="676"/>
      <c r="R272" s="676"/>
    </row>
    <row r="273" spans="1:18" s="677" customFormat="1" ht="25.5" hidden="1" customHeight="1">
      <c r="A273" s="666"/>
      <c r="B273" s="663" t="s">
        <v>1423</v>
      </c>
      <c r="C273" s="675">
        <f>ROUND([14]Data!K689,2)</f>
        <v>503.98</v>
      </c>
      <c r="D273" s="674" t="s">
        <v>264</v>
      </c>
      <c r="E273" s="684"/>
      <c r="F273" s="667">
        <f t="shared" si="15"/>
        <v>0</v>
      </c>
      <c r="G273" s="675"/>
      <c r="H273" s="667">
        <f t="shared" si="16"/>
        <v>0</v>
      </c>
      <c r="I273" s="667"/>
      <c r="J273" s="667"/>
      <c r="K273" s="667" t="e">
        <f>E273+#REF!+#REF!+#REF!+G273+#REF!+#REF!+#REF!+#REF!+#REF!+#REF!+I273+#REF!+#REF!+#REF!</f>
        <v>#REF!</v>
      </c>
      <c r="L273" s="667" t="e">
        <f t="shared" si="17"/>
        <v>#REF!</v>
      </c>
      <c r="M273" s="665" t="e">
        <f>#REF!+K273</f>
        <v>#REF!</v>
      </c>
      <c r="N273" s="666" t="e">
        <f t="shared" si="18"/>
        <v>#REF!</v>
      </c>
      <c r="O273" s="672"/>
      <c r="P273" s="668"/>
      <c r="Q273" s="676"/>
      <c r="R273" s="676"/>
    </row>
    <row r="274" spans="1:18" s="677" customFormat="1" ht="25.5" hidden="1" customHeight="1">
      <c r="A274" s="690"/>
      <c r="B274" s="663" t="s">
        <v>1424</v>
      </c>
      <c r="C274" s="675">
        <f>ROUND([14]Data!K690,2)</f>
        <v>510.84</v>
      </c>
      <c r="D274" s="674" t="s">
        <v>264</v>
      </c>
      <c r="E274" s="684"/>
      <c r="F274" s="667">
        <f t="shared" ref="F274:F337" si="19">E274*C274</f>
        <v>0</v>
      </c>
      <c r="G274" s="675"/>
      <c r="H274" s="667">
        <f t="shared" si="16"/>
        <v>0</v>
      </c>
      <c r="I274" s="667"/>
      <c r="J274" s="667"/>
      <c r="K274" s="667" t="e">
        <f>E274+#REF!+#REF!+#REF!+G274+#REF!+#REF!+#REF!+#REF!+#REF!+#REF!+I274+#REF!+#REF!+#REF!</f>
        <v>#REF!</v>
      </c>
      <c r="L274" s="667" t="e">
        <f t="shared" si="17"/>
        <v>#REF!</v>
      </c>
      <c r="M274" s="665" t="e">
        <f>#REF!+K274</f>
        <v>#REF!</v>
      </c>
      <c r="N274" s="666" t="e">
        <f t="shared" si="18"/>
        <v>#REF!</v>
      </c>
      <c r="O274" s="672"/>
      <c r="P274" s="668"/>
      <c r="Q274" s="676"/>
      <c r="R274" s="676"/>
    </row>
    <row r="275" spans="1:18" s="677" customFormat="1" ht="46.5" hidden="1" customHeight="1">
      <c r="A275" s="662">
        <v>16.3</v>
      </c>
      <c r="B275" s="663" t="s">
        <v>1467</v>
      </c>
      <c r="C275" s="675"/>
      <c r="D275" s="674"/>
      <c r="E275" s="684"/>
      <c r="F275" s="667">
        <f t="shared" si="19"/>
        <v>0</v>
      </c>
      <c r="G275" s="675"/>
      <c r="H275" s="667">
        <f t="shared" si="16"/>
        <v>0</v>
      </c>
      <c r="I275" s="667"/>
      <c r="J275" s="667"/>
      <c r="K275" s="667" t="e">
        <f>E275+#REF!+#REF!+#REF!+G275+#REF!+#REF!+#REF!+#REF!+#REF!+#REF!+I275+#REF!+#REF!+#REF!</f>
        <v>#REF!</v>
      </c>
      <c r="L275" s="667" t="e">
        <f t="shared" si="17"/>
        <v>#REF!</v>
      </c>
      <c r="M275" s="665" t="e">
        <f>#REF!+K275</f>
        <v>#REF!</v>
      </c>
      <c r="N275" s="666" t="e">
        <f t="shared" si="18"/>
        <v>#REF!</v>
      </c>
      <c r="O275" s="672"/>
      <c r="P275" s="668"/>
      <c r="Q275" s="676"/>
      <c r="R275" s="676"/>
    </row>
    <row r="276" spans="1:18" s="677" customFormat="1" ht="25.5" hidden="1" customHeight="1">
      <c r="A276" s="662"/>
      <c r="B276" s="663" t="s">
        <v>1420</v>
      </c>
      <c r="C276" s="675">
        <f>ROUND([14]Data!K706,2)</f>
        <v>657.48</v>
      </c>
      <c r="D276" s="674" t="s">
        <v>264</v>
      </c>
      <c r="E276" s="684"/>
      <c r="F276" s="667">
        <f t="shared" si="19"/>
        <v>0</v>
      </c>
      <c r="G276" s="675"/>
      <c r="H276" s="667">
        <f t="shared" si="16"/>
        <v>0</v>
      </c>
      <c r="I276" s="667"/>
      <c r="J276" s="667"/>
      <c r="K276" s="667" t="e">
        <f>E276+#REF!+#REF!+#REF!+G276+#REF!+#REF!+#REF!+#REF!+#REF!+#REF!+I276+#REF!+#REF!+#REF!</f>
        <v>#REF!</v>
      </c>
      <c r="L276" s="667" t="e">
        <f t="shared" si="17"/>
        <v>#REF!</v>
      </c>
      <c r="M276" s="665" t="e">
        <f>#REF!+K276</f>
        <v>#REF!</v>
      </c>
      <c r="N276" s="666" t="e">
        <f t="shared" si="18"/>
        <v>#REF!</v>
      </c>
      <c r="O276" s="672"/>
      <c r="P276" s="668"/>
      <c r="Q276" s="676"/>
      <c r="R276" s="676"/>
    </row>
    <row r="277" spans="1:18" s="677" customFormat="1" ht="25.5" hidden="1" customHeight="1">
      <c r="A277" s="662"/>
      <c r="B277" s="663" t="s">
        <v>1421</v>
      </c>
      <c r="C277" s="675">
        <f>ROUND([14]Data!K707,2)</f>
        <v>672.57</v>
      </c>
      <c r="D277" s="674" t="s">
        <v>264</v>
      </c>
      <c r="E277" s="684"/>
      <c r="F277" s="667">
        <f t="shared" si="19"/>
        <v>0</v>
      </c>
      <c r="G277" s="675"/>
      <c r="H277" s="667">
        <f t="shared" si="16"/>
        <v>0</v>
      </c>
      <c r="I277" s="667"/>
      <c r="J277" s="667"/>
      <c r="K277" s="667" t="e">
        <f>E277+#REF!+#REF!+#REF!+G277+#REF!+#REF!+#REF!+#REF!+#REF!+#REF!+I277+#REF!+#REF!+#REF!</f>
        <v>#REF!</v>
      </c>
      <c r="L277" s="667" t="e">
        <f t="shared" si="17"/>
        <v>#REF!</v>
      </c>
      <c r="M277" s="665" t="e">
        <f>#REF!+K277</f>
        <v>#REF!</v>
      </c>
      <c r="N277" s="666" t="e">
        <f t="shared" si="18"/>
        <v>#REF!</v>
      </c>
      <c r="O277" s="672"/>
      <c r="P277" s="668"/>
      <c r="Q277" s="676"/>
      <c r="R277" s="676"/>
    </row>
    <row r="278" spans="1:18" s="677" customFormat="1" ht="25.5" hidden="1" customHeight="1">
      <c r="A278" s="662"/>
      <c r="B278" s="663" t="s">
        <v>1422</v>
      </c>
      <c r="C278" s="675">
        <f>ROUND([14]Data!K708,2)</f>
        <v>687.66</v>
      </c>
      <c r="D278" s="674" t="s">
        <v>264</v>
      </c>
      <c r="E278" s="684"/>
      <c r="F278" s="667">
        <f t="shared" si="19"/>
        <v>0</v>
      </c>
      <c r="G278" s="675"/>
      <c r="H278" s="667">
        <f t="shared" si="16"/>
        <v>0</v>
      </c>
      <c r="I278" s="667"/>
      <c r="J278" s="667"/>
      <c r="K278" s="667" t="e">
        <f>E278+#REF!+#REF!+#REF!+G278+#REF!+#REF!+#REF!+#REF!+#REF!+#REF!+I278+#REF!+#REF!+#REF!</f>
        <v>#REF!</v>
      </c>
      <c r="L278" s="667" t="e">
        <f t="shared" si="17"/>
        <v>#REF!</v>
      </c>
      <c r="M278" s="665" t="e">
        <f>#REF!+K278</f>
        <v>#REF!</v>
      </c>
      <c r="N278" s="666" t="e">
        <f t="shared" si="18"/>
        <v>#REF!</v>
      </c>
      <c r="O278" s="672"/>
      <c r="P278" s="668"/>
      <c r="Q278" s="676"/>
      <c r="R278" s="676"/>
    </row>
    <row r="279" spans="1:18" s="677" customFormat="1" ht="25.5" hidden="1" customHeight="1">
      <c r="A279" s="666"/>
      <c r="B279" s="663" t="s">
        <v>1423</v>
      </c>
      <c r="C279" s="675">
        <f>ROUND([14]Data!K709,2)</f>
        <v>702.75</v>
      </c>
      <c r="D279" s="674" t="s">
        <v>264</v>
      </c>
      <c r="E279" s="684"/>
      <c r="F279" s="667">
        <f t="shared" si="19"/>
        <v>0</v>
      </c>
      <c r="G279" s="675"/>
      <c r="H279" s="667">
        <f t="shared" si="16"/>
        <v>0</v>
      </c>
      <c r="I279" s="667"/>
      <c r="J279" s="667"/>
      <c r="K279" s="667" t="e">
        <f>E279+#REF!+#REF!+#REF!+G279+#REF!+#REF!+#REF!+#REF!+#REF!+#REF!+I279+#REF!+#REF!+#REF!</f>
        <v>#REF!</v>
      </c>
      <c r="L279" s="667" t="e">
        <f t="shared" si="17"/>
        <v>#REF!</v>
      </c>
      <c r="M279" s="665" t="e">
        <f>#REF!+K279</f>
        <v>#REF!</v>
      </c>
      <c r="N279" s="666" t="e">
        <f t="shared" si="18"/>
        <v>#REF!</v>
      </c>
      <c r="O279" s="672"/>
      <c r="P279" s="668"/>
      <c r="Q279" s="676"/>
      <c r="R279" s="676"/>
    </row>
    <row r="280" spans="1:18" s="677" customFormat="1" ht="25.5" hidden="1" customHeight="1">
      <c r="A280" s="690"/>
      <c r="B280" s="663" t="s">
        <v>1424</v>
      </c>
      <c r="C280" s="675">
        <f>ROUND([14]Data!K710,2)</f>
        <v>717.84</v>
      </c>
      <c r="D280" s="674" t="s">
        <v>264</v>
      </c>
      <c r="E280" s="684"/>
      <c r="F280" s="667">
        <f t="shared" si="19"/>
        <v>0</v>
      </c>
      <c r="G280" s="675"/>
      <c r="H280" s="667">
        <f t="shared" si="16"/>
        <v>0</v>
      </c>
      <c r="I280" s="667"/>
      <c r="J280" s="667"/>
      <c r="K280" s="667" t="e">
        <f>E280+#REF!+#REF!+#REF!+G280+#REF!+#REF!+#REF!+#REF!+#REF!+#REF!+I280+#REF!+#REF!+#REF!</f>
        <v>#REF!</v>
      </c>
      <c r="L280" s="667" t="e">
        <f t="shared" si="17"/>
        <v>#REF!</v>
      </c>
      <c r="M280" s="665" t="e">
        <f>#REF!+K280</f>
        <v>#REF!</v>
      </c>
      <c r="N280" s="666" t="e">
        <f t="shared" si="18"/>
        <v>#REF!</v>
      </c>
      <c r="O280" s="672"/>
      <c r="P280" s="668"/>
      <c r="Q280" s="676"/>
      <c r="R280" s="676"/>
    </row>
    <row r="281" spans="1:18" s="677" customFormat="1" ht="25.5" hidden="1" customHeight="1">
      <c r="A281" s="662">
        <v>17</v>
      </c>
      <c r="B281" s="663" t="s">
        <v>1468</v>
      </c>
      <c r="C281" s="675"/>
      <c r="D281" s="674" t="s">
        <v>264</v>
      </c>
      <c r="E281" s="684"/>
      <c r="F281" s="667">
        <f t="shared" si="19"/>
        <v>0</v>
      </c>
      <c r="G281" s="675"/>
      <c r="H281" s="667">
        <f t="shared" si="16"/>
        <v>0</v>
      </c>
      <c r="I281" s="667"/>
      <c r="J281" s="667"/>
      <c r="K281" s="667" t="e">
        <f>E281+#REF!+#REF!+#REF!+G281+#REF!+#REF!+#REF!+#REF!+#REF!+#REF!+I281+#REF!+#REF!+#REF!</f>
        <v>#REF!</v>
      </c>
      <c r="L281" s="667" t="e">
        <f t="shared" si="17"/>
        <v>#REF!</v>
      </c>
      <c r="M281" s="665" t="e">
        <f>#REF!+K281</f>
        <v>#REF!</v>
      </c>
      <c r="N281" s="666" t="e">
        <f t="shared" si="18"/>
        <v>#REF!</v>
      </c>
      <c r="O281" s="672"/>
      <c r="P281" s="668"/>
      <c r="Q281" s="676"/>
      <c r="R281" s="676"/>
    </row>
    <row r="282" spans="1:18" s="677" customFormat="1" ht="25.5" hidden="1" customHeight="1">
      <c r="A282" s="662">
        <v>18</v>
      </c>
      <c r="B282" s="663" t="s">
        <v>1469</v>
      </c>
      <c r="C282" s="675"/>
      <c r="D282" s="674" t="s">
        <v>264</v>
      </c>
      <c r="E282" s="684"/>
      <c r="F282" s="667">
        <f t="shared" si="19"/>
        <v>0</v>
      </c>
      <c r="G282" s="675"/>
      <c r="H282" s="667">
        <f t="shared" si="16"/>
        <v>0</v>
      </c>
      <c r="I282" s="667"/>
      <c r="J282" s="667"/>
      <c r="K282" s="667" t="e">
        <f>E282+#REF!+#REF!+#REF!+G282+#REF!+#REF!+#REF!+#REF!+#REF!+#REF!+I282+#REF!+#REF!+#REF!</f>
        <v>#REF!</v>
      </c>
      <c r="L282" s="667" t="e">
        <f t="shared" si="17"/>
        <v>#REF!</v>
      </c>
      <c r="M282" s="665" t="e">
        <f>#REF!+K282</f>
        <v>#REF!</v>
      </c>
      <c r="N282" s="666" t="e">
        <f t="shared" si="18"/>
        <v>#REF!</v>
      </c>
      <c r="O282" s="672"/>
      <c r="P282" s="668"/>
      <c r="Q282" s="676"/>
      <c r="R282" s="676"/>
    </row>
    <row r="283" spans="1:18" s="677" customFormat="1" ht="25.5" hidden="1" customHeight="1">
      <c r="A283" s="662">
        <v>19</v>
      </c>
      <c r="B283" s="663" t="s">
        <v>1470</v>
      </c>
      <c r="C283" s="675"/>
      <c r="D283" s="674" t="s">
        <v>264</v>
      </c>
      <c r="E283" s="684"/>
      <c r="F283" s="667">
        <f t="shared" si="19"/>
        <v>0</v>
      </c>
      <c r="G283" s="675"/>
      <c r="H283" s="667">
        <f t="shared" si="16"/>
        <v>0</v>
      </c>
      <c r="I283" s="667"/>
      <c r="J283" s="667"/>
      <c r="K283" s="667" t="e">
        <f>E283+#REF!+#REF!+#REF!+G283+#REF!+#REF!+#REF!+#REF!+#REF!+#REF!+I283+#REF!+#REF!+#REF!</f>
        <v>#REF!</v>
      </c>
      <c r="L283" s="667" t="e">
        <f t="shared" si="17"/>
        <v>#REF!</v>
      </c>
      <c r="M283" s="665" t="e">
        <f>#REF!+K283</f>
        <v>#REF!</v>
      </c>
      <c r="N283" s="666" t="e">
        <f t="shared" si="18"/>
        <v>#REF!</v>
      </c>
      <c r="O283" s="672"/>
      <c r="P283" s="668"/>
      <c r="Q283" s="676"/>
      <c r="R283" s="676"/>
    </row>
    <row r="284" spans="1:18" s="677" customFormat="1" ht="25.5" hidden="1" customHeight="1">
      <c r="A284" s="662">
        <v>20</v>
      </c>
      <c r="B284" s="663" t="s">
        <v>1471</v>
      </c>
      <c r="C284" s="675"/>
      <c r="D284" s="674" t="s">
        <v>264</v>
      </c>
      <c r="E284" s="684"/>
      <c r="F284" s="667">
        <f t="shared" si="19"/>
        <v>0</v>
      </c>
      <c r="G284" s="675"/>
      <c r="H284" s="667">
        <f t="shared" si="16"/>
        <v>0</v>
      </c>
      <c r="I284" s="667"/>
      <c r="J284" s="667"/>
      <c r="K284" s="667" t="e">
        <f>E284+#REF!+#REF!+#REF!+G284+#REF!+#REF!+#REF!+#REF!+#REF!+#REF!+I284+#REF!+#REF!+#REF!</f>
        <v>#REF!</v>
      </c>
      <c r="L284" s="667" t="e">
        <f t="shared" si="17"/>
        <v>#REF!</v>
      </c>
      <c r="M284" s="665" t="e">
        <f>#REF!+K284</f>
        <v>#REF!</v>
      </c>
      <c r="N284" s="666" t="e">
        <f t="shared" si="18"/>
        <v>#REF!</v>
      </c>
      <c r="O284" s="672"/>
      <c r="P284" s="668"/>
      <c r="Q284" s="676"/>
      <c r="R284" s="676"/>
    </row>
    <row r="285" spans="1:18" s="677" customFormat="1" ht="25.5" hidden="1" customHeight="1">
      <c r="A285" s="662">
        <v>21.1</v>
      </c>
      <c r="B285" s="685" t="s">
        <v>1472</v>
      </c>
      <c r="C285" s="675"/>
      <c r="D285" s="674"/>
      <c r="E285" s="684"/>
      <c r="F285" s="667">
        <f t="shared" si="19"/>
        <v>0</v>
      </c>
      <c r="G285" s="675"/>
      <c r="H285" s="667">
        <f t="shared" si="16"/>
        <v>0</v>
      </c>
      <c r="I285" s="667"/>
      <c r="J285" s="667"/>
      <c r="K285" s="667" t="e">
        <f>E285+#REF!+#REF!+#REF!+G285+#REF!+#REF!+#REF!+#REF!+#REF!+#REF!+I285+#REF!+#REF!+#REF!</f>
        <v>#REF!</v>
      </c>
      <c r="L285" s="667" t="e">
        <f t="shared" si="17"/>
        <v>#REF!</v>
      </c>
      <c r="M285" s="665" t="e">
        <f>#REF!+K285</f>
        <v>#REF!</v>
      </c>
      <c r="N285" s="666" t="e">
        <f t="shared" si="18"/>
        <v>#REF!</v>
      </c>
      <c r="O285" s="672"/>
      <c r="P285" s="668"/>
      <c r="Q285" s="676"/>
      <c r="R285" s="676"/>
    </row>
    <row r="286" spans="1:18" s="677" customFormat="1" ht="25.5" hidden="1" customHeight="1">
      <c r="A286" s="662"/>
      <c r="B286" s="663" t="s">
        <v>1473</v>
      </c>
      <c r="C286" s="675">
        <f>ROUND([14]Data!K889,2)</f>
        <v>2440.4499999999998</v>
      </c>
      <c r="D286" s="674" t="s">
        <v>522</v>
      </c>
      <c r="E286" s="684"/>
      <c r="F286" s="667">
        <f t="shared" si="19"/>
        <v>0</v>
      </c>
      <c r="G286" s="675"/>
      <c r="H286" s="667">
        <f t="shared" si="16"/>
        <v>0</v>
      </c>
      <c r="I286" s="667"/>
      <c r="J286" s="667"/>
      <c r="K286" s="667" t="e">
        <f>E286+#REF!+#REF!+#REF!+G286+#REF!+#REF!+#REF!+#REF!+#REF!+#REF!+I286+#REF!+#REF!+#REF!</f>
        <v>#REF!</v>
      </c>
      <c r="L286" s="667" t="e">
        <f t="shared" si="17"/>
        <v>#REF!</v>
      </c>
      <c r="M286" s="665" t="e">
        <f>#REF!+K286</f>
        <v>#REF!</v>
      </c>
      <c r="N286" s="666" t="e">
        <f t="shared" si="18"/>
        <v>#REF!</v>
      </c>
      <c r="O286" s="672"/>
      <c r="P286" s="668"/>
      <c r="Q286" s="676"/>
      <c r="R286" s="676"/>
    </row>
    <row r="287" spans="1:18" s="677" customFormat="1" ht="25.5" hidden="1" customHeight="1">
      <c r="A287" s="662"/>
      <c r="B287" s="663" t="s">
        <v>1474</v>
      </c>
      <c r="C287" s="675">
        <f>ROUND([14]Data!K905,2)</f>
        <v>2406.77</v>
      </c>
      <c r="D287" s="674" t="s">
        <v>522</v>
      </c>
      <c r="E287" s="684"/>
      <c r="F287" s="667">
        <f t="shared" si="19"/>
        <v>0</v>
      </c>
      <c r="G287" s="675"/>
      <c r="H287" s="667">
        <f t="shared" si="16"/>
        <v>0</v>
      </c>
      <c r="I287" s="667"/>
      <c r="J287" s="667"/>
      <c r="K287" s="667" t="e">
        <f>E287+#REF!+#REF!+#REF!+G287+#REF!+#REF!+#REF!+#REF!+#REF!+#REF!+I287+#REF!+#REF!+#REF!</f>
        <v>#REF!</v>
      </c>
      <c r="L287" s="667" t="e">
        <f t="shared" si="17"/>
        <v>#REF!</v>
      </c>
      <c r="M287" s="665" t="e">
        <f>#REF!+K287</f>
        <v>#REF!</v>
      </c>
      <c r="N287" s="666" t="e">
        <f t="shared" si="18"/>
        <v>#REF!</v>
      </c>
      <c r="O287" s="672"/>
      <c r="P287" s="668"/>
      <c r="Q287" s="676"/>
      <c r="R287" s="676"/>
    </row>
    <row r="288" spans="1:18" s="677" customFormat="1" ht="25.5" hidden="1" customHeight="1">
      <c r="A288" s="688"/>
      <c r="B288" s="663" t="s">
        <v>1475</v>
      </c>
      <c r="C288" s="675">
        <f>ROUND([14]Data!K871,2)</f>
        <v>2460.2199999999998</v>
      </c>
      <c r="D288" s="674" t="s">
        <v>522</v>
      </c>
      <c r="E288" s="684"/>
      <c r="F288" s="667">
        <f t="shared" si="19"/>
        <v>0</v>
      </c>
      <c r="G288" s="675"/>
      <c r="H288" s="667">
        <f t="shared" si="16"/>
        <v>0</v>
      </c>
      <c r="I288" s="667"/>
      <c r="J288" s="667"/>
      <c r="K288" s="667" t="e">
        <f>E288+#REF!+#REF!+#REF!+G288+#REF!+#REF!+#REF!+#REF!+#REF!+#REF!+I288+#REF!+#REF!+#REF!</f>
        <v>#REF!</v>
      </c>
      <c r="L288" s="667" t="e">
        <f t="shared" si="17"/>
        <v>#REF!</v>
      </c>
      <c r="M288" s="665" t="e">
        <f>#REF!+K288</f>
        <v>#REF!</v>
      </c>
      <c r="N288" s="666" t="e">
        <f t="shared" si="18"/>
        <v>#REF!</v>
      </c>
      <c r="O288" s="672"/>
      <c r="P288" s="668"/>
      <c r="Q288" s="676"/>
      <c r="R288" s="676"/>
    </row>
    <row r="289" spans="1:19" ht="46.5" customHeight="1">
      <c r="A289" s="662">
        <v>21.2</v>
      </c>
      <c r="B289" s="685" t="s">
        <v>1476</v>
      </c>
      <c r="C289" s="667"/>
      <c r="D289" s="663"/>
      <c r="E289" s="667"/>
      <c r="F289" s="667">
        <f t="shared" si="19"/>
        <v>0</v>
      </c>
      <c r="G289" s="667"/>
      <c r="H289" s="667">
        <f t="shared" si="16"/>
        <v>0</v>
      </c>
      <c r="I289" s="667"/>
      <c r="J289" s="667"/>
      <c r="K289" s="667" t="e">
        <f>E289+#REF!+#REF!+#REF!+G289+#REF!+#REF!+#REF!+#REF!+#REF!+#REF!+I289+#REF!+#REF!+#REF!</f>
        <v>#REF!</v>
      </c>
      <c r="L289" s="667" t="e">
        <f t="shared" si="17"/>
        <v>#REF!</v>
      </c>
      <c r="M289" s="665" t="e">
        <f>#REF!+K289</f>
        <v>#REF!</v>
      </c>
      <c r="N289" s="666" t="e">
        <f t="shared" si="18"/>
        <v>#REF!</v>
      </c>
      <c r="O289" s="668"/>
      <c r="P289" s="668"/>
      <c r="Q289" s="678"/>
      <c r="S289" s="679"/>
    </row>
    <row r="290" spans="1:19" ht="46.5" customHeight="1">
      <c r="A290" s="662"/>
      <c r="B290" s="663" t="s">
        <v>1477</v>
      </c>
      <c r="C290" s="667">
        <f>ROUND([14]Data!K923,2)</f>
        <v>123400</v>
      </c>
      <c r="D290" s="663" t="s">
        <v>235</v>
      </c>
      <c r="E290" s="698"/>
      <c r="F290" s="667">
        <f t="shared" si="19"/>
        <v>0</v>
      </c>
      <c r="G290" s="667"/>
      <c r="H290" s="667">
        <f t="shared" si="16"/>
        <v>0</v>
      </c>
      <c r="I290" s="667"/>
      <c r="J290" s="667"/>
      <c r="K290" s="667" t="e">
        <f>E290+#REF!+#REF!+#REF!+G290+#REF!+#REF!+#REF!+#REF!+#REF!+#REF!+I290+#REF!+#REF!+#REF!</f>
        <v>#REF!</v>
      </c>
      <c r="L290" s="667" t="e">
        <f t="shared" si="17"/>
        <v>#REF!</v>
      </c>
      <c r="M290" s="665" t="e">
        <f>#REF!+K290</f>
        <v>#REF!</v>
      </c>
      <c r="N290" s="666" t="e">
        <f t="shared" si="18"/>
        <v>#REF!</v>
      </c>
      <c r="O290" s="672"/>
      <c r="P290" s="668"/>
    </row>
    <row r="291" spans="1:19" ht="46.5" customHeight="1">
      <c r="A291" s="687"/>
      <c r="B291" s="663" t="s">
        <v>1478</v>
      </c>
      <c r="C291" s="667">
        <f>ROUND([14]Data!K930,2)</f>
        <v>111200</v>
      </c>
      <c r="D291" s="663" t="s">
        <v>235</v>
      </c>
      <c r="E291" s="698"/>
      <c r="F291" s="667">
        <f t="shared" si="19"/>
        <v>0</v>
      </c>
      <c r="G291" s="667"/>
      <c r="H291" s="667">
        <f t="shared" si="16"/>
        <v>0</v>
      </c>
      <c r="I291" s="667"/>
      <c r="J291" s="667"/>
      <c r="K291" s="667" t="e">
        <f>E291+#REF!+#REF!+#REF!+G291+#REF!+#REF!+#REF!+#REF!+#REF!+#REF!+I291+#REF!+#REF!+#REF!</f>
        <v>#REF!</v>
      </c>
      <c r="L291" s="667" t="e">
        <f t="shared" si="17"/>
        <v>#REF!</v>
      </c>
      <c r="M291" s="665" t="e">
        <f>#REF!+K291</f>
        <v>#REF!</v>
      </c>
      <c r="N291" s="666" t="e">
        <f t="shared" si="18"/>
        <v>#REF!</v>
      </c>
      <c r="O291" s="672"/>
      <c r="P291" s="668"/>
    </row>
    <row r="292" spans="1:19" s="677" customFormat="1" ht="37.5" hidden="1" customHeight="1">
      <c r="A292" s="662">
        <v>21.3</v>
      </c>
      <c r="B292" s="663" t="s">
        <v>1479</v>
      </c>
      <c r="C292" s="675">
        <f>ROUND([14]Data!K912,2)</f>
        <v>2034</v>
      </c>
      <c r="D292" s="674" t="s">
        <v>264</v>
      </c>
      <c r="E292" s="684"/>
      <c r="F292" s="667">
        <f t="shared" si="19"/>
        <v>0</v>
      </c>
      <c r="G292" s="675"/>
      <c r="H292" s="667">
        <f t="shared" si="16"/>
        <v>0</v>
      </c>
      <c r="I292" s="667"/>
      <c r="J292" s="667"/>
      <c r="K292" s="667" t="e">
        <f>E292+#REF!+#REF!+#REF!+G292+#REF!+#REF!+#REF!+#REF!+#REF!+#REF!+I292+#REF!+#REF!+#REF!</f>
        <v>#REF!</v>
      </c>
      <c r="L292" s="667" t="e">
        <f t="shared" si="17"/>
        <v>#REF!</v>
      </c>
      <c r="M292" s="665" t="e">
        <f>#REF!+K292</f>
        <v>#REF!</v>
      </c>
      <c r="N292" s="666" t="e">
        <f t="shared" si="18"/>
        <v>#REF!</v>
      </c>
      <c r="O292" s="672"/>
      <c r="P292" s="668"/>
      <c r="Q292" s="676"/>
      <c r="R292" s="676"/>
    </row>
    <row r="293" spans="1:19" s="677" customFormat="1" ht="25.5" hidden="1" customHeight="1">
      <c r="A293" s="662">
        <v>22.1</v>
      </c>
      <c r="B293" s="663" t="s">
        <v>1480</v>
      </c>
      <c r="C293" s="675"/>
      <c r="D293" s="674"/>
      <c r="E293" s="684"/>
      <c r="F293" s="667">
        <f t="shared" si="19"/>
        <v>0</v>
      </c>
      <c r="G293" s="675"/>
      <c r="H293" s="667">
        <f t="shared" si="16"/>
        <v>0</v>
      </c>
      <c r="I293" s="667"/>
      <c r="J293" s="667"/>
      <c r="K293" s="667" t="e">
        <f>E293+#REF!+#REF!+#REF!+G293+#REF!+#REF!+#REF!+#REF!+#REF!+#REF!+I293+#REF!+#REF!+#REF!</f>
        <v>#REF!</v>
      </c>
      <c r="L293" s="667" t="e">
        <f t="shared" si="17"/>
        <v>#REF!</v>
      </c>
      <c r="M293" s="665" t="e">
        <f>#REF!+K293</f>
        <v>#REF!</v>
      </c>
      <c r="N293" s="666" t="e">
        <f t="shared" si="18"/>
        <v>#REF!</v>
      </c>
      <c r="O293" s="672"/>
      <c r="P293" s="668"/>
      <c r="Q293" s="676"/>
      <c r="R293" s="676"/>
    </row>
    <row r="294" spans="1:19" s="677" customFormat="1" ht="25.5" hidden="1" customHeight="1">
      <c r="A294" s="666"/>
      <c r="B294" s="663" t="s">
        <v>1481</v>
      </c>
      <c r="C294" s="675">
        <f>ROUND([14]Data!K964,2)</f>
        <v>4719.55</v>
      </c>
      <c r="D294" s="674" t="s">
        <v>264</v>
      </c>
      <c r="E294" s="684"/>
      <c r="F294" s="667">
        <f t="shared" si="19"/>
        <v>0</v>
      </c>
      <c r="G294" s="675"/>
      <c r="H294" s="667">
        <f t="shared" si="16"/>
        <v>0</v>
      </c>
      <c r="I294" s="667"/>
      <c r="J294" s="667"/>
      <c r="K294" s="667" t="e">
        <f>E294+#REF!+#REF!+#REF!+G294+#REF!+#REF!+#REF!+#REF!+#REF!+#REF!+I294+#REF!+#REF!+#REF!</f>
        <v>#REF!</v>
      </c>
      <c r="L294" s="667" t="e">
        <f t="shared" si="17"/>
        <v>#REF!</v>
      </c>
      <c r="M294" s="665" t="e">
        <f>#REF!+K294</f>
        <v>#REF!</v>
      </c>
      <c r="N294" s="666" t="e">
        <f t="shared" si="18"/>
        <v>#REF!</v>
      </c>
      <c r="O294" s="672"/>
      <c r="P294" s="668"/>
      <c r="Q294" s="676"/>
      <c r="R294" s="676"/>
    </row>
    <row r="295" spans="1:19" s="677" customFormat="1" ht="25.5" hidden="1" customHeight="1">
      <c r="A295" s="666"/>
      <c r="B295" s="663" t="s">
        <v>1482</v>
      </c>
      <c r="C295" s="675">
        <f>ROUND([14]Data!K1000,2)</f>
        <v>4803.54</v>
      </c>
      <c r="D295" s="674" t="s">
        <v>264</v>
      </c>
      <c r="E295" s="684"/>
      <c r="F295" s="667">
        <f t="shared" si="19"/>
        <v>0</v>
      </c>
      <c r="G295" s="675"/>
      <c r="H295" s="667">
        <f t="shared" si="16"/>
        <v>0</v>
      </c>
      <c r="I295" s="667"/>
      <c r="J295" s="667"/>
      <c r="K295" s="667" t="e">
        <f>E295+#REF!+#REF!+#REF!+G295+#REF!+#REF!+#REF!+#REF!+#REF!+#REF!+I295+#REF!+#REF!+#REF!</f>
        <v>#REF!</v>
      </c>
      <c r="L295" s="667" t="e">
        <f t="shared" si="17"/>
        <v>#REF!</v>
      </c>
      <c r="M295" s="665" t="e">
        <f>#REF!+K295</f>
        <v>#REF!</v>
      </c>
      <c r="N295" s="666" t="e">
        <f t="shared" si="18"/>
        <v>#REF!</v>
      </c>
      <c r="O295" s="672"/>
      <c r="P295" s="668"/>
      <c r="Q295" s="676"/>
      <c r="R295" s="676"/>
    </row>
    <row r="296" spans="1:19" s="677" customFormat="1" ht="25.5" hidden="1" customHeight="1">
      <c r="A296" s="690"/>
      <c r="B296" s="663" t="s">
        <v>1483</v>
      </c>
      <c r="C296" s="675">
        <f>ROUND([14]Data!K1030,2)</f>
        <v>4817.3500000000004</v>
      </c>
      <c r="D296" s="674" t="s">
        <v>264</v>
      </c>
      <c r="E296" s="684"/>
      <c r="F296" s="667">
        <f t="shared" si="19"/>
        <v>0</v>
      </c>
      <c r="G296" s="675"/>
      <c r="H296" s="667">
        <f t="shared" si="16"/>
        <v>0</v>
      </c>
      <c r="I296" s="667"/>
      <c r="J296" s="667"/>
      <c r="K296" s="667" t="e">
        <f>E296+#REF!+#REF!+#REF!+G296+#REF!+#REF!+#REF!+#REF!+#REF!+#REF!+I296+#REF!+#REF!+#REF!</f>
        <v>#REF!</v>
      </c>
      <c r="L296" s="667" t="e">
        <f t="shared" si="17"/>
        <v>#REF!</v>
      </c>
      <c r="M296" s="665" t="e">
        <f>#REF!+K296</f>
        <v>#REF!</v>
      </c>
      <c r="N296" s="666" t="e">
        <f t="shared" si="18"/>
        <v>#REF!</v>
      </c>
      <c r="O296" s="672"/>
      <c r="P296" s="668"/>
      <c r="Q296" s="676"/>
      <c r="R296" s="676"/>
    </row>
    <row r="297" spans="1:19" s="677" customFormat="1" ht="25.5" hidden="1" customHeight="1">
      <c r="A297" s="690"/>
      <c r="B297" s="663" t="s">
        <v>1484</v>
      </c>
      <c r="C297" s="675">
        <f>[14]Data!R2834</f>
        <v>5284.73</v>
      </c>
      <c r="D297" s="674" t="s">
        <v>264</v>
      </c>
      <c r="E297" s="684"/>
      <c r="F297" s="667">
        <f t="shared" si="19"/>
        <v>0</v>
      </c>
      <c r="G297" s="675"/>
      <c r="H297" s="667">
        <f t="shared" si="16"/>
        <v>0</v>
      </c>
      <c r="I297" s="667"/>
      <c r="J297" s="667"/>
      <c r="K297" s="667" t="e">
        <f>E297+#REF!+#REF!+#REF!+G297+#REF!+#REF!+#REF!+#REF!+#REF!+#REF!+I297+#REF!+#REF!+#REF!</f>
        <v>#REF!</v>
      </c>
      <c r="L297" s="667" t="e">
        <f t="shared" si="17"/>
        <v>#REF!</v>
      </c>
      <c r="M297" s="665" t="e">
        <f>#REF!+K297</f>
        <v>#REF!</v>
      </c>
      <c r="N297" s="666" t="e">
        <f t="shared" si="18"/>
        <v>#REF!</v>
      </c>
      <c r="O297" s="672"/>
      <c r="P297" s="668"/>
      <c r="Q297" s="676"/>
      <c r="R297" s="676"/>
    </row>
    <row r="298" spans="1:19" s="677" customFormat="1" ht="25.5" hidden="1" customHeight="1">
      <c r="A298" s="662">
        <v>22.2</v>
      </c>
      <c r="B298" s="685" t="s">
        <v>1485</v>
      </c>
      <c r="C298" s="675"/>
      <c r="D298" s="674"/>
      <c r="E298" s="684"/>
      <c r="F298" s="667">
        <f t="shared" si="19"/>
        <v>0</v>
      </c>
      <c r="G298" s="675"/>
      <c r="H298" s="667">
        <f t="shared" si="16"/>
        <v>0</v>
      </c>
      <c r="I298" s="667"/>
      <c r="J298" s="667"/>
      <c r="K298" s="667" t="e">
        <f>E298+#REF!+#REF!+#REF!+G298+#REF!+#REF!+#REF!+#REF!+#REF!+#REF!+I298+#REF!+#REF!+#REF!</f>
        <v>#REF!</v>
      </c>
      <c r="L298" s="667" t="e">
        <f t="shared" si="17"/>
        <v>#REF!</v>
      </c>
      <c r="M298" s="665" t="e">
        <f>#REF!+K298</f>
        <v>#REF!</v>
      </c>
      <c r="N298" s="666" t="e">
        <f t="shared" si="18"/>
        <v>#REF!</v>
      </c>
      <c r="O298" s="672"/>
      <c r="P298" s="668"/>
      <c r="Q298" s="676"/>
      <c r="R298" s="676"/>
    </row>
    <row r="299" spans="1:19" s="677" customFormat="1" ht="25.5" hidden="1" customHeight="1">
      <c r="A299" s="666"/>
      <c r="B299" s="663" t="s">
        <v>1486</v>
      </c>
      <c r="C299" s="675">
        <f>ROUND([14]Data!K1081,2)</f>
        <v>3364.08</v>
      </c>
      <c r="D299" s="674" t="s">
        <v>264</v>
      </c>
      <c r="E299" s="684"/>
      <c r="F299" s="667">
        <f t="shared" si="19"/>
        <v>0</v>
      </c>
      <c r="G299" s="675"/>
      <c r="H299" s="667">
        <f t="shared" si="16"/>
        <v>0</v>
      </c>
      <c r="I299" s="667"/>
      <c r="J299" s="667"/>
      <c r="K299" s="667" t="e">
        <f>E299+#REF!+#REF!+#REF!+G299+#REF!+#REF!+#REF!+#REF!+#REF!+#REF!+I299+#REF!+#REF!+#REF!</f>
        <v>#REF!</v>
      </c>
      <c r="L299" s="667" t="e">
        <f t="shared" si="17"/>
        <v>#REF!</v>
      </c>
      <c r="M299" s="665" t="e">
        <f>#REF!+K299</f>
        <v>#REF!</v>
      </c>
      <c r="N299" s="666" t="e">
        <f t="shared" si="18"/>
        <v>#REF!</v>
      </c>
      <c r="O299" s="672"/>
      <c r="P299" s="668"/>
      <c r="Q299" s="676"/>
      <c r="R299" s="676"/>
    </row>
    <row r="300" spans="1:19" s="677" customFormat="1" ht="25.5" hidden="1" customHeight="1">
      <c r="A300" s="666"/>
      <c r="B300" s="663" t="s">
        <v>1487</v>
      </c>
      <c r="C300" s="675"/>
      <c r="D300" s="674" t="s">
        <v>264</v>
      </c>
      <c r="E300" s="684"/>
      <c r="F300" s="667">
        <f t="shared" si="19"/>
        <v>0</v>
      </c>
      <c r="G300" s="675"/>
      <c r="H300" s="667">
        <f t="shared" si="16"/>
        <v>0</v>
      </c>
      <c r="I300" s="667"/>
      <c r="J300" s="667"/>
      <c r="K300" s="667" t="e">
        <f>E300+#REF!+#REF!+#REF!+G300+#REF!+#REF!+#REF!+#REF!+#REF!+#REF!+I300+#REF!+#REF!+#REF!</f>
        <v>#REF!</v>
      </c>
      <c r="L300" s="667" t="e">
        <f t="shared" si="17"/>
        <v>#REF!</v>
      </c>
      <c r="M300" s="665" t="e">
        <f>#REF!+K300</f>
        <v>#REF!</v>
      </c>
      <c r="N300" s="666" t="e">
        <f t="shared" si="18"/>
        <v>#REF!</v>
      </c>
      <c r="O300" s="672"/>
      <c r="P300" s="668"/>
      <c r="Q300" s="676"/>
      <c r="R300" s="676"/>
    </row>
    <row r="301" spans="1:19" s="677" customFormat="1" ht="25.5" hidden="1" customHeight="1">
      <c r="A301" s="666"/>
      <c r="B301" s="663" t="s">
        <v>1488</v>
      </c>
      <c r="C301" s="675">
        <f>ROUND([14]Data!K1097,2)</f>
        <v>3552.27</v>
      </c>
      <c r="D301" s="674" t="s">
        <v>264</v>
      </c>
      <c r="E301" s="684"/>
      <c r="F301" s="667">
        <f t="shared" si="19"/>
        <v>0</v>
      </c>
      <c r="G301" s="675"/>
      <c r="H301" s="667">
        <f t="shared" si="16"/>
        <v>0</v>
      </c>
      <c r="I301" s="667"/>
      <c r="J301" s="667"/>
      <c r="K301" s="667" t="e">
        <f>E301+#REF!+#REF!+#REF!+G301+#REF!+#REF!+#REF!+#REF!+#REF!+#REF!+I301+#REF!+#REF!+#REF!</f>
        <v>#REF!</v>
      </c>
      <c r="L301" s="667" t="e">
        <f t="shared" si="17"/>
        <v>#REF!</v>
      </c>
      <c r="M301" s="665" t="e">
        <f>#REF!+K301</f>
        <v>#REF!</v>
      </c>
      <c r="N301" s="666" t="e">
        <f t="shared" si="18"/>
        <v>#REF!</v>
      </c>
      <c r="O301" s="672"/>
      <c r="P301" s="668"/>
      <c r="Q301" s="676"/>
      <c r="R301" s="676"/>
    </row>
    <row r="302" spans="1:19" s="677" customFormat="1" ht="25.5" hidden="1" customHeight="1">
      <c r="A302" s="690"/>
      <c r="B302" s="663" t="s">
        <v>1489</v>
      </c>
      <c r="C302" s="675">
        <f>ROUND([14]Data!K1112,2)</f>
        <v>2642.35</v>
      </c>
      <c r="D302" s="674" t="s">
        <v>264</v>
      </c>
      <c r="E302" s="684"/>
      <c r="F302" s="667">
        <f t="shared" si="19"/>
        <v>0</v>
      </c>
      <c r="G302" s="675"/>
      <c r="H302" s="667">
        <f t="shared" si="16"/>
        <v>0</v>
      </c>
      <c r="I302" s="667"/>
      <c r="J302" s="667"/>
      <c r="K302" s="667" t="e">
        <f>E302+#REF!+#REF!+#REF!+G302+#REF!+#REF!+#REF!+#REF!+#REF!+#REF!+I302+#REF!+#REF!+#REF!</f>
        <v>#REF!</v>
      </c>
      <c r="L302" s="667" t="e">
        <f t="shared" si="17"/>
        <v>#REF!</v>
      </c>
      <c r="M302" s="665" t="e">
        <f>#REF!+K302</f>
        <v>#REF!</v>
      </c>
      <c r="N302" s="666" t="e">
        <f t="shared" si="18"/>
        <v>#REF!</v>
      </c>
      <c r="O302" s="672"/>
      <c r="P302" s="668"/>
      <c r="Q302" s="676"/>
      <c r="R302" s="676"/>
    </row>
    <row r="303" spans="1:19" s="677" customFormat="1" ht="37.5" hidden="1" customHeight="1">
      <c r="A303" s="662">
        <v>22.3</v>
      </c>
      <c r="B303" s="663" t="s">
        <v>1490</v>
      </c>
      <c r="C303" s="675"/>
      <c r="D303" s="674" t="s">
        <v>264</v>
      </c>
      <c r="E303" s="684"/>
      <c r="F303" s="667">
        <f t="shared" si="19"/>
        <v>0</v>
      </c>
      <c r="G303" s="675"/>
      <c r="H303" s="667">
        <f t="shared" si="16"/>
        <v>0</v>
      </c>
      <c r="I303" s="667"/>
      <c r="J303" s="667"/>
      <c r="K303" s="667" t="e">
        <f>E303+#REF!+#REF!+#REF!+G303+#REF!+#REF!+#REF!+#REF!+#REF!+#REF!+I303+#REF!+#REF!+#REF!</f>
        <v>#REF!</v>
      </c>
      <c r="L303" s="667" t="e">
        <f t="shared" si="17"/>
        <v>#REF!</v>
      </c>
      <c r="M303" s="665" t="e">
        <f>#REF!+K303</f>
        <v>#REF!</v>
      </c>
      <c r="N303" s="666" t="e">
        <f t="shared" si="18"/>
        <v>#REF!</v>
      </c>
      <c r="O303" s="672"/>
      <c r="P303" s="668"/>
      <c r="Q303" s="676"/>
      <c r="R303" s="676"/>
    </row>
    <row r="304" spans="1:19" s="677" customFormat="1" ht="43.5" hidden="1" customHeight="1">
      <c r="A304" s="662">
        <v>23.1</v>
      </c>
      <c r="B304" s="663" t="s">
        <v>1491</v>
      </c>
      <c r="C304" s="675"/>
      <c r="D304" s="674" t="s">
        <v>264</v>
      </c>
      <c r="E304" s="684"/>
      <c r="F304" s="667">
        <f t="shared" si="19"/>
        <v>0</v>
      </c>
      <c r="G304" s="675"/>
      <c r="H304" s="667">
        <f t="shared" si="16"/>
        <v>0</v>
      </c>
      <c r="I304" s="667"/>
      <c r="J304" s="667"/>
      <c r="K304" s="667" t="e">
        <f>E304+#REF!+#REF!+#REF!+G304+#REF!+#REF!+#REF!+#REF!+#REF!+#REF!+I304+#REF!+#REF!+#REF!</f>
        <v>#REF!</v>
      </c>
      <c r="L304" s="667" t="e">
        <f t="shared" si="17"/>
        <v>#REF!</v>
      </c>
      <c r="M304" s="665" t="e">
        <f>#REF!+K304</f>
        <v>#REF!</v>
      </c>
      <c r="N304" s="666" t="e">
        <f t="shared" si="18"/>
        <v>#REF!</v>
      </c>
      <c r="O304" s="672"/>
      <c r="P304" s="668"/>
      <c r="Q304" s="676"/>
      <c r="R304" s="676"/>
    </row>
    <row r="305" spans="1:18" s="677" customFormat="1" ht="25.5" hidden="1" customHeight="1">
      <c r="A305" s="690"/>
      <c r="B305" s="663" t="s">
        <v>1473</v>
      </c>
      <c r="C305" s="675">
        <f>ROUND([14]Data!K1066,2)</f>
        <v>3424.55</v>
      </c>
      <c r="D305" s="674" t="s">
        <v>264</v>
      </c>
      <c r="E305" s="684"/>
      <c r="F305" s="667">
        <f t="shared" si="19"/>
        <v>0</v>
      </c>
      <c r="G305" s="675"/>
      <c r="H305" s="667">
        <f t="shared" si="16"/>
        <v>0</v>
      </c>
      <c r="I305" s="667"/>
      <c r="J305" s="667"/>
      <c r="K305" s="667" t="e">
        <f>E305+#REF!+#REF!+#REF!+G305+#REF!+#REF!+#REF!+#REF!+#REF!+#REF!+I305+#REF!+#REF!+#REF!</f>
        <v>#REF!</v>
      </c>
      <c r="L305" s="667" t="e">
        <f t="shared" si="17"/>
        <v>#REF!</v>
      </c>
      <c r="M305" s="665" t="e">
        <f>#REF!+K305</f>
        <v>#REF!</v>
      </c>
      <c r="N305" s="666" t="e">
        <f t="shared" si="18"/>
        <v>#REF!</v>
      </c>
      <c r="O305" s="672"/>
      <c r="P305" s="668"/>
      <c r="Q305" s="676"/>
      <c r="R305" s="676"/>
    </row>
    <row r="306" spans="1:18" s="677" customFormat="1" ht="25.5" hidden="1" customHeight="1">
      <c r="A306" s="662">
        <v>23.2</v>
      </c>
      <c r="B306" s="663" t="s">
        <v>1492</v>
      </c>
      <c r="C306" s="675">
        <f>ROUND([14]Data!K1185,2)</f>
        <v>708.1</v>
      </c>
      <c r="D306" s="674" t="s">
        <v>264</v>
      </c>
      <c r="E306" s="684"/>
      <c r="F306" s="667">
        <f t="shared" si="19"/>
        <v>0</v>
      </c>
      <c r="G306" s="675"/>
      <c r="H306" s="667">
        <f t="shared" si="16"/>
        <v>0</v>
      </c>
      <c r="I306" s="667"/>
      <c r="J306" s="667"/>
      <c r="K306" s="667" t="e">
        <f>E306+#REF!+#REF!+#REF!+G306+#REF!+#REF!+#REF!+#REF!+#REF!+#REF!+I306+#REF!+#REF!+#REF!</f>
        <v>#REF!</v>
      </c>
      <c r="L306" s="667" t="e">
        <f t="shared" si="17"/>
        <v>#REF!</v>
      </c>
      <c r="M306" s="665" t="e">
        <f>#REF!+K306</f>
        <v>#REF!</v>
      </c>
      <c r="N306" s="666" t="e">
        <f t="shared" si="18"/>
        <v>#REF!</v>
      </c>
      <c r="O306" s="672"/>
      <c r="P306" s="668"/>
      <c r="Q306" s="676"/>
      <c r="R306" s="676"/>
    </row>
    <row r="307" spans="1:18" s="683" customFormat="1" ht="51" customHeight="1">
      <c r="A307" s="662">
        <v>23.3</v>
      </c>
      <c r="B307" s="663" t="s">
        <v>1493</v>
      </c>
      <c r="C307" s="667">
        <f>[14]Data!K1170</f>
        <v>52</v>
      </c>
      <c r="D307" s="663" t="s">
        <v>522</v>
      </c>
      <c r="E307" s="690"/>
      <c r="F307" s="667">
        <f t="shared" si="19"/>
        <v>0</v>
      </c>
      <c r="G307" s="667"/>
      <c r="H307" s="667">
        <f t="shared" si="16"/>
        <v>0</v>
      </c>
      <c r="I307" s="667"/>
      <c r="J307" s="667"/>
      <c r="K307" s="667" t="e">
        <f>E307+#REF!+#REF!+#REF!+G307+#REF!+#REF!+#REF!+#REF!+#REF!+#REF!+I307+#REF!+#REF!+#REF!</f>
        <v>#REF!</v>
      </c>
      <c r="L307" s="667" t="e">
        <f t="shared" si="17"/>
        <v>#REF!</v>
      </c>
      <c r="M307" s="665" t="e">
        <f>#REF!+K307</f>
        <v>#REF!</v>
      </c>
      <c r="N307" s="666" t="e">
        <f t="shared" si="18"/>
        <v>#REF!</v>
      </c>
      <c r="O307" s="672"/>
      <c r="P307" s="668"/>
      <c r="Q307" s="669"/>
      <c r="R307" s="669"/>
    </row>
    <row r="308" spans="1:18" s="677" customFormat="1" ht="46.5" hidden="1" customHeight="1">
      <c r="A308" s="662">
        <v>23.4</v>
      </c>
      <c r="B308" s="663" t="s">
        <v>1494</v>
      </c>
      <c r="C308" s="675"/>
      <c r="D308" s="674"/>
      <c r="E308" s="684"/>
      <c r="F308" s="667">
        <f t="shared" si="19"/>
        <v>0</v>
      </c>
      <c r="G308" s="675"/>
      <c r="H308" s="667">
        <f t="shared" si="16"/>
        <v>0</v>
      </c>
      <c r="I308" s="667"/>
      <c r="J308" s="667"/>
      <c r="K308" s="667" t="e">
        <f>E308+#REF!+#REF!+#REF!+G308+#REF!+#REF!+#REF!+#REF!+#REF!+#REF!+I308+#REF!+#REF!+#REF!</f>
        <v>#REF!</v>
      </c>
      <c r="L308" s="667" t="e">
        <f t="shared" si="17"/>
        <v>#REF!</v>
      </c>
      <c r="M308" s="665" t="e">
        <f>#REF!+K308</f>
        <v>#REF!</v>
      </c>
      <c r="N308" s="666" t="e">
        <f t="shared" si="18"/>
        <v>#REF!</v>
      </c>
      <c r="O308" s="672"/>
      <c r="P308" s="668"/>
      <c r="Q308" s="676"/>
      <c r="R308" s="676"/>
    </row>
    <row r="309" spans="1:18" s="677" customFormat="1" ht="33" hidden="1" customHeight="1">
      <c r="A309" s="666"/>
      <c r="B309" s="663" t="s">
        <v>1495</v>
      </c>
      <c r="C309" s="675">
        <f>[14]Data!X1399</f>
        <v>14549.64</v>
      </c>
      <c r="D309" s="674" t="s">
        <v>522</v>
      </c>
      <c r="E309" s="684"/>
      <c r="F309" s="667">
        <f t="shared" si="19"/>
        <v>0</v>
      </c>
      <c r="G309" s="675"/>
      <c r="H309" s="667">
        <f t="shared" si="16"/>
        <v>0</v>
      </c>
      <c r="I309" s="667"/>
      <c r="J309" s="667"/>
      <c r="K309" s="667" t="e">
        <f>E309+#REF!+#REF!+#REF!+G309+#REF!+#REF!+#REF!+#REF!+#REF!+#REF!+I309+#REF!+#REF!+#REF!</f>
        <v>#REF!</v>
      </c>
      <c r="L309" s="667" t="e">
        <f t="shared" si="17"/>
        <v>#REF!</v>
      </c>
      <c r="M309" s="665" t="e">
        <f>#REF!+K309</f>
        <v>#REF!</v>
      </c>
      <c r="N309" s="666" t="e">
        <f t="shared" si="18"/>
        <v>#REF!</v>
      </c>
      <c r="O309" s="672"/>
      <c r="P309" s="668"/>
      <c r="Q309" s="676"/>
      <c r="R309" s="676"/>
    </row>
    <row r="310" spans="1:18" s="677" customFormat="1" ht="33" hidden="1" customHeight="1">
      <c r="A310" s="666"/>
      <c r="B310" s="663" t="s">
        <v>1496</v>
      </c>
      <c r="C310" s="675">
        <f>[14]Data!R1404</f>
        <v>10968.39</v>
      </c>
      <c r="D310" s="674" t="s">
        <v>522</v>
      </c>
      <c r="E310" s="684"/>
      <c r="F310" s="667">
        <f t="shared" si="19"/>
        <v>0</v>
      </c>
      <c r="G310" s="675"/>
      <c r="H310" s="667">
        <f t="shared" si="16"/>
        <v>0</v>
      </c>
      <c r="I310" s="667"/>
      <c r="J310" s="667"/>
      <c r="K310" s="667" t="e">
        <f>E310+#REF!+#REF!+#REF!+G310+#REF!+#REF!+#REF!+#REF!+#REF!+#REF!+I310+#REF!+#REF!+#REF!</f>
        <v>#REF!</v>
      </c>
      <c r="L310" s="667" t="e">
        <f t="shared" si="17"/>
        <v>#REF!</v>
      </c>
      <c r="M310" s="665" t="e">
        <f>#REF!+K310</f>
        <v>#REF!</v>
      </c>
      <c r="N310" s="666" t="e">
        <f t="shared" si="18"/>
        <v>#REF!</v>
      </c>
      <c r="O310" s="672"/>
      <c r="P310" s="668"/>
      <c r="Q310" s="676"/>
      <c r="R310" s="676"/>
    </row>
    <row r="311" spans="1:18" s="677" customFormat="1" ht="33" hidden="1" customHeight="1">
      <c r="A311" s="666"/>
      <c r="B311" s="663" t="s">
        <v>1497</v>
      </c>
      <c r="C311" s="675">
        <f>[14]Data!X1365</f>
        <v>9368.61</v>
      </c>
      <c r="D311" s="674" t="s">
        <v>522</v>
      </c>
      <c r="E311" s="684"/>
      <c r="F311" s="667">
        <f t="shared" si="19"/>
        <v>0</v>
      </c>
      <c r="G311" s="675"/>
      <c r="H311" s="667">
        <f t="shared" si="16"/>
        <v>0</v>
      </c>
      <c r="I311" s="667"/>
      <c r="J311" s="667"/>
      <c r="K311" s="667" t="e">
        <f>E311+#REF!+#REF!+#REF!+G311+#REF!+#REF!+#REF!+#REF!+#REF!+#REF!+I311+#REF!+#REF!+#REF!</f>
        <v>#REF!</v>
      </c>
      <c r="L311" s="667" t="e">
        <f t="shared" si="17"/>
        <v>#REF!</v>
      </c>
      <c r="M311" s="665" t="e">
        <f>#REF!+K311</f>
        <v>#REF!</v>
      </c>
      <c r="N311" s="666" t="e">
        <f t="shared" si="18"/>
        <v>#REF!</v>
      </c>
      <c r="O311" s="672"/>
      <c r="P311" s="668"/>
      <c r="Q311" s="676"/>
      <c r="R311" s="676"/>
    </row>
    <row r="312" spans="1:18" s="677" customFormat="1" ht="33" hidden="1" customHeight="1">
      <c r="A312" s="666"/>
      <c r="B312" s="663" t="s">
        <v>1498</v>
      </c>
      <c r="C312" s="675">
        <f>[14]Data!R1421</f>
        <v>8713.44</v>
      </c>
      <c r="D312" s="674" t="s">
        <v>522</v>
      </c>
      <c r="E312" s="684"/>
      <c r="F312" s="667">
        <f t="shared" si="19"/>
        <v>0</v>
      </c>
      <c r="G312" s="675"/>
      <c r="H312" s="667">
        <f t="shared" si="16"/>
        <v>0</v>
      </c>
      <c r="I312" s="667"/>
      <c r="J312" s="667"/>
      <c r="K312" s="667" t="e">
        <f>E312+#REF!+#REF!+#REF!+G312+#REF!+#REF!+#REF!+#REF!+#REF!+#REF!+I312+#REF!+#REF!+#REF!</f>
        <v>#REF!</v>
      </c>
      <c r="L312" s="667" t="e">
        <f t="shared" si="17"/>
        <v>#REF!</v>
      </c>
      <c r="M312" s="665" t="e">
        <f>#REF!+K312</f>
        <v>#REF!</v>
      </c>
      <c r="N312" s="666" t="e">
        <f t="shared" si="18"/>
        <v>#REF!</v>
      </c>
      <c r="O312" s="672"/>
      <c r="P312" s="668"/>
      <c r="Q312" s="676"/>
      <c r="R312" s="676"/>
    </row>
    <row r="313" spans="1:18" s="677" customFormat="1" ht="33" hidden="1" customHeight="1">
      <c r="A313" s="666"/>
      <c r="B313" s="663" t="s">
        <v>1499</v>
      </c>
      <c r="C313" s="675">
        <f>[14]Data!X1463</f>
        <v>7235.67</v>
      </c>
      <c r="D313" s="674" t="s">
        <v>522</v>
      </c>
      <c r="E313" s="684"/>
      <c r="F313" s="667">
        <f t="shared" si="19"/>
        <v>0</v>
      </c>
      <c r="G313" s="675"/>
      <c r="H313" s="667">
        <f t="shared" si="16"/>
        <v>0</v>
      </c>
      <c r="I313" s="667"/>
      <c r="J313" s="667"/>
      <c r="K313" s="667" t="e">
        <f>E313+#REF!+#REF!+#REF!+G313+#REF!+#REF!+#REF!+#REF!+#REF!+#REF!+I313+#REF!+#REF!+#REF!</f>
        <v>#REF!</v>
      </c>
      <c r="L313" s="667" t="e">
        <f t="shared" si="17"/>
        <v>#REF!</v>
      </c>
      <c r="M313" s="665" t="e">
        <f>#REF!+K313</f>
        <v>#REF!</v>
      </c>
      <c r="N313" s="666" t="e">
        <f t="shared" si="18"/>
        <v>#REF!</v>
      </c>
      <c r="O313" s="672"/>
      <c r="P313" s="668"/>
      <c r="Q313" s="676"/>
      <c r="R313" s="676"/>
    </row>
    <row r="314" spans="1:18" s="677" customFormat="1" ht="33" hidden="1" customHeight="1">
      <c r="A314" s="666"/>
      <c r="B314" s="663" t="s">
        <v>1500</v>
      </c>
      <c r="C314" s="675">
        <f>[14]Data!AD1380</f>
        <v>8048.46</v>
      </c>
      <c r="D314" s="674" t="s">
        <v>522</v>
      </c>
      <c r="E314" s="684"/>
      <c r="F314" s="667">
        <f t="shared" si="19"/>
        <v>0</v>
      </c>
      <c r="G314" s="675"/>
      <c r="H314" s="667">
        <f t="shared" si="16"/>
        <v>0</v>
      </c>
      <c r="I314" s="667"/>
      <c r="J314" s="667"/>
      <c r="K314" s="667" t="e">
        <f>E314+#REF!+#REF!+#REF!+G314+#REF!+#REF!+#REF!+#REF!+#REF!+#REF!+I314+#REF!+#REF!+#REF!</f>
        <v>#REF!</v>
      </c>
      <c r="L314" s="667" t="e">
        <f t="shared" si="17"/>
        <v>#REF!</v>
      </c>
      <c r="M314" s="665" t="e">
        <f>#REF!+K314</f>
        <v>#REF!</v>
      </c>
      <c r="N314" s="666" t="e">
        <f t="shared" si="18"/>
        <v>#REF!</v>
      </c>
      <c r="O314" s="672"/>
      <c r="P314" s="668"/>
      <c r="Q314" s="676"/>
      <c r="R314" s="676"/>
    </row>
    <row r="315" spans="1:18" s="677" customFormat="1" ht="33" hidden="1" customHeight="1">
      <c r="A315" s="666"/>
      <c r="B315" s="663" t="s">
        <v>1501</v>
      </c>
      <c r="C315" s="675">
        <f>[14]Data!X1382</f>
        <v>7379.44</v>
      </c>
      <c r="D315" s="674" t="s">
        <v>522</v>
      </c>
      <c r="E315" s="684"/>
      <c r="F315" s="667">
        <f t="shared" si="19"/>
        <v>0</v>
      </c>
      <c r="G315" s="675"/>
      <c r="H315" s="667">
        <f t="shared" si="16"/>
        <v>0</v>
      </c>
      <c r="I315" s="667"/>
      <c r="J315" s="667"/>
      <c r="K315" s="667" t="e">
        <f>E315+#REF!+#REF!+#REF!+G315+#REF!+#REF!+#REF!+#REF!+#REF!+#REF!+I315+#REF!+#REF!+#REF!</f>
        <v>#REF!</v>
      </c>
      <c r="L315" s="667" t="e">
        <f t="shared" si="17"/>
        <v>#REF!</v>
      </c>
      <c r="M315" s="665" t="e">
        <f>#REF!+K315</f>
        <v>#REF!</v>
      </c>
      <c r="N315" s="666" t="e">
        <f t="shared" si="18"/>
        <v>#REF!</v>
      </c>
      <c r="O315" s="672"/>
      <c r="P315" s="668"/>
      <c r="Q315" s="676"/>
      <c r="R315" s="676"/>
    </row>
    <row r="316" spans="1:18" s="677" customFormat="1" ht="33" hidden="1" customHeight="1">
      <c r="A316" s="666"/>
      <c r="B316" s="663" t="s">
        <v>1502</v>
      </c>
      <c r="C316" s="675">
        <f>[14]Data!AD1363</f>
        <v>6304.16</v>
      </c>
      <c r="D316" s="674" t="s">
        <v>522</v>
      </c>
      <c r="E316" s="684"/>
      <c r="F316" s="667">
        <f t="shared" si="19"/>
        <v>0</v>
      </c>
      <c r="G316" s="675"/>
      <c r="H316" s="667">
        <f t="shared" si="16"/>
        <v>0</v>
      </c>
      <c r="I316" s="667"/>
      <c r="J316" s="667"/>
      <c r="K316" s="667" t="e">
        <f>E316+#REF!+#REF!+#REF!+G316+#REF!+#REF!+#REF!+#REF!+#REF!+#REF!+I316+#REF!+#REF!+#REF!</f>
        <v>#REF!</v>
      </c>
      <c r="L316" s="667" t="e">
        <f t="shared" si="17"/>
        <v>#REF!</v>
      </c>
      <c r="M316" s="665" t="e">
        <f>#REF!+K316</f>
        <v>#REF!</v>
      </c>
      <c r="N316" s="666" t="e">
        <f t="shared" si="18"/>
        <v>#REF!</v>
      </c>
      <c r="O316" s="672"/>
      <c r="P316" s="668"/>
      <c r="Q316" s="676"/>
      <c r="R316" s="676"/>
    </row>
    <row r="317" spans="1:18" s="677" customFormat="1" ht="33" hidden="1" customHeight="1">
      <c r="A317" s="666"/>
      <c r="B317" s="663" t="s">
        <v>1503</v>
      </c>
      <c r="C317" s="675">
        <f>[14]Data!AD1397</f>
        <v>4015.35</v>
      </c>
      <c r="D317" s="674" t="s">
        <v>522</v>
      </c>
      <c r="E317" s="684"/>
      <c r="F317" s="667">
        <f t="shared" si="19"/>
        <v>0</v>
      </c>
      <c r="G317" s="675"/>
      <c r="H317" s="667">
        <f t="shared" si="16"/>
        <v>0</v>
      </c>
      <c r="I317" s="667"/>
      <c r="J317" s="667"/>
      <c r="K317" s="667" t="e">
        <f>E317+#REF!+#REF!+#REF!+G317+#REF!+#REF!+#REF!+#REF!+#REF!+#REF!+I317+#REF!+#REF!+#REF!</f>
        <v>#REF!</v>
      </c>
      <c r="L317" s="667" t="e">
        <f t="shared" si="17"/>
        <v>#REF!</v>
      </c>
      <c r="M317" s="665" t="e">
        <f>#REF!+K317</f>
        <v>#REF!</v>
      </c>
      <c r="N317" s="666" t="e">
        <f t="shared" si="18"/>
        <v>#REF!</v>
      </c>
      <c r="O317" s="672"/>
      <c r="P317" s="668"/>
      <c r="Q317" s="676"/>
      <c r="R317" s="676"/>
    </row>
    <row r="318" spans="1:18" s="677" customFormat="1" ht="33" hidden="1" customHeight="1">
      <c r="A318" s="666"/>
      <c r="B318" s="663" t="s">
        <v>1504</v>
      </c>
      <c r="C318" s="675">
        <f>[14]Data!R1438</f>
        <v>3794.03</v>
      </c>
      <c r="D318" s="674" t="s">
        <v>522</v>
      </c>
      <c r="E318" s="684"/>
      <c r="F318" s="667">
        <f t="shared" si="19"/>
        <v>0</v>
      </c>
      <c r="G318" s="675"/>
      <c r="H318" s="667">
        <f t="shared" si="16"/>
        <v>0</v>
      </c>
      <c r="I318" s="667"/>
      <c r="J318" s="667"/>
      <c r="K318" s="667" t="e">
        <f>E318+#REF!+#REF!+#REF!+G318+#REF!+#REF!+#REF!+#REF!+#REF!+#REF!+I318+#REF!+#REF!+#REF!</f>
        <v>#REF!</v>
      </c>
      <c r="L318" s="667" t="e">
        <f t="shared" si="17"/>
        <v>#REF!</v>
      </c>
      <c r="M318" s="665" t="e">
        <f>#REF!+K318</f>
        <v>#REF!</v>
      </c>
      <c r="N318" s="666" t="e">
        <f t="shared" si="18"/>
        <v>#REF!</v>
      </c>
      <c r="O318" s="672"/>
      <c r="P318" s="668"/>
      <c r="Q318" s="676"/>
      <c r="R318" s="676"/>
    </row>
    <row r="319" spans="1:18" s="677" customFormat="1" ht="33" hidden="1" customHeight="1">
      <c r="A319" s="666"/>
      <c r="B319" s="663" t="s">
        <v>1505</v>
      </c>
      <c r="C319" s="675">
        <f>[14]Data!R1479</f>
        <v>4535.8900000000003</v>
      </c>
      <c r="D319" s="674" t="s">
        <v>522</v>
      </c>
      <c r="E319" s="684"/>
      <c r="F319" s="667">
        <f t="shared" si="19"/>
        <v>0</v>
      </c>
      <c r="G319" s="675"/>
      <c r="H319" s="667">
        <f t="shared" si="16"/>
        <v>0</v>
      </c>
      <c r="I319" s="667"/>
      <c r="J319" s="667"/>
      <c r="K319" s="667" t="e">
        <f>E319+#REF!+#REF!+#REF!+G319+#REF!+#REF!+#REF!+#REF!+#REF!+#REF!+I319+#REF!+#REF!+#REF!</f>
        <v>#REF!</v>
      </c>
      <c r="L319" s="667" t="e">
        <f t="shared" si="17"/>
        <v>#REF!</v>
      </c>
      <c r="M319" s="665" t="e">
        <f>#REF!+K319</f>
        <v>#REF!</v>
      </c>
      <c r="N319" s="666" t="e">
        <f t="shared" si="18"/>
        <v>#REF!</v>
      </c>
      <c r="O319" s="672"/>
      <c r="P319" s="668"/>
      <c r="Q319" s="676"/>
      <c r="R319" s="676"/>
    </row>
    <row r="320" spans="1:18" s="677" customFormat="1" ht="18" hidden="1" customHeight="1">
      <c r="A320" s="690"/>
      <c r="B320" s="663" t="s">
        <v>1506</v>
      </c>
      <c r="C320" s="675">
        <f>[14]Data!X1440</f>
        <v>5059.03</v>
      </c>
      <c r="D320" s="674" t="s">
        <v>522</v>
      </c>
      <c r="E320" s="684"/>
      <c r="F320" s="667">
        <f t="shared" si="19"/>
        <v>0</v>
      </c>
      <c r="G320" s="675"/>
      <c r="H320" s="667">
        <f t="shared" si="16"/>
        <v>0</v>
      </c>
      <c r="I320" s="667"/>
      <c r="J320" s="667"/>
      <c r="K320" s="667" t="e">
        <f>E320+#REF!+#REF!+#REF!+G320+#REF!+#REF!+#REF!+#REF!+#REF!+#REF!+I320+#REF!+#REF!+#REF!</f>
        <v>#REF!</v>
      </c>
      <c r="L320" s="667" t="e">
        <f t="shared" si="17"/>
        <v>#REF!</v>
      </c>
      <c r="M320" s="665" t="e">
        <f>#REF!+K320</f>
        <v>#REF!</v>
      </c>
      <c r="N320" s="666" t="e">
        <f t="shared" si="18"/>
        <v>#REF!</v>
      </c>
      <c r="O320" s="672"/>
      <c r="P320" s="668"/>
      <c r="Q320" s="676"/>
      <c r="R320" s="676"/>
    </row>
    <row r="321" spans="1:26" ht="56.25" customHeight="1">
      <c r="A321" s="662">
        <v>24</v>
      </c>
      <c r="B321" s="663" t="s">
        <v>1507</v>
      </c>
      <c r="C321" s="667">
        <f>[14]Data!K1191</f>
        <v>62.1</v>
      </c>
      <c r="D321" s="663" t="s">
        <v>271</v>
      </c>
      <c r="E321" s="699"/>
      <c r="F321" s="667">
        <f t="shared" si="19"/>
        <v>0</v>
      </c>
      <c r="G321" s="667"/>
      <c r="H321" s="667">
        <f t="shared" si="16"/>
        <v>0</v>
      </c>
      <c r="I321" s="667"/>
      <c r="J321" s="667"/>
      <c r="K321" s="667" t="e">
        <f>E321+#REF!+#REF!+#REF!+G321+#REF!+#REF!+#REF!+#REF!+#REF!+#REF!+I321+#REF!+#REF!+#REF!</f>
        <v>#REF!</v>
      </c>
      <c r="L321" s="667" t="e">
        <f t="shared" si="17"/>
        <v>#REF!</v>
      </c>
      <c r="M321" s="665" t="e">
        <f>#REF!+K321</f>
        <v>#REF!</v>
      </c>
      <c r="N321" s="666" t="e">
        <f t="shared" si="18"/>
        <v>#REF!</v>
      </c>
      <c r="O321" s="672"/>
      <c r="P321" s="668"/>
    </row>
    <row r="322" spans="1:26" ht="45.75" customHeight="1">
      <c r="A322" s="662">
        <v>25</v>
      </c>
      <c r="B322" s="663" t="s">
        <v>1508</v>
      </c>
      <c r="C322" s="667">
        <f>ROUND([14]Data!K1194,2)</f>
        <v>9.6</v>
      </c>
      <c r="D322" s="663" t="s">
        <v>522</v>
      </c>
      <c r="E322" s="690"/>
      <c r="F322" s="667">
        <f t="shared" si="19"/>
        <v>0</v>
      </c>
      <c r="G322" s="667"/>
      <c r="H322" s="667">
        <f t="shared" si="16"/>
        <v>0</v>
      </c>
      <c r="I322" s="667"/>
      <c r="J322" s="667"/>
      <c r="K322" s="667" t="e">
        <f>E322+#REF!+#REF!+#REF!+G322+#REF!+#REF!+#REF!+#REF!+#REF!+#REF!+I322+#REF!+#REF!+#REF!</f>
        <v>#REF!</v>
      </c>
      <c r="L322" s="667" t="e">
        <f t="shared" si="17"/>
        <v>#REF!</v>
      </c>
      <c r="M322" s="665" t="e">
        <f>#REF!+K322</f>
        <v>#REF!</v>
      </c>
      <c r="N322" s="666" t="e">
        <f t="shared" si="18"/>
        <v>#REF!</v>
      </c>
      <c r="O322" s="672"/>
      <c r="P322" s="668"/>
    </row>
    <row r="323" spans="1:26" ht="45.75" customHeight="1">
      <c r="A323" s="662">
        <v>26</v>
      </c>
      <c r="B323" s="663" t="s">
        <v>1509</v>
      </c>
      <c r="C323" s="667">
        <f>ROUND([14]Data!K204,2)</f>
        <v>4691.3</v>
      </c>
      <c r="D323" s="663" t="s">
        <v>235</v>
      </c>
      <c r="E323" s="699"/>
      <c r="F323" s="667">
        <f t="shared" si="19"/>
        <v>0</v>
      </c>
      <c r="G323" s="667"/>
      <c r="H323" s="667">
        <f t="shared" si="16"/>
        <v>0</v>
      </c>
      <c r="I323" s="667"/>
      <c r="J323" s="667"/>
      <c r="K323" s="667" t="e">
        <f>E323+#REF!+#REF!+#REF!+G323+#REF!+#REF!+#REF!+#REF!+#REF!+#REF!+I323+#REF!+#REF!+#REF!</f>
        <v>#REF!</v>
      </c>
      <c r="L323" s="667" t="e">
        <f t="shared" si="17"/>
        <v>#REF!</v>
      </c>
      <c r="M323" s="665" t="e">
        <f>#REF!+K323</f>
        <v>#REF!</v>
      </c>
      <c r="N323" s="666" t="e">
        <f t="shared" si="18"/>
        <v>#REF!</v>
      </c>
      <c r="O323" s="672"/>
      <c r="P323" s="668"/>
    </row>
    <row r="324" spans="1:26" s="677" customFormat="1" ht="39.950000000000003" hidden="1" customHeight="1">
      <c r="A324" s="662">
        <v>27.1</v>
      </c>
      <c r="B324" s="663" t="s">
        <v>1510</v>
      </c>
      <c r="C324" s="675">
        <f>ROUND([14]Data!Y368,2)</f>
        <v>6592.46</v>
      </c>
      <c r="D324" s="674" t="s">
        <v>235</v>
      </c>
      <c r="E324" s="684"/>
      <c r="F324" s="667">
        <f t="shared" si="19"/>
        <v>0</v>
      </c>
      <c r="G324" s="675"/>
      <c r="H324" s="667">
        <f t="shared" si="16"/>
        <v>0</v>
      </c>
      <c r="I324" s="667"/>
      <c r="J324" s="667"/>
      <c r="K324" s="667" t="e">
        <f>E324+#REF!+#REF!+#REF!+G324+#REF!+#REF!+#REF!+#REF!+#REF!+#REF!+I324+#REF!+#REF!+#REF!</f>
        <v>#REF!</v>
      </c>
      <c r="L324" s="667" t="e">
        <f t="shared" si="17"/>
        <v>#REF!</v>
      </c>
      <c r="M324" s="665" t="e">
        <f>#REF!+K324</f>
        <v>#REF!</v>
      </c>
      <c r="N324" s="666" t="e">
        <f t="shared" si="18"/>
        <v>#REF!</v>
      </c>
      <c r="O324" s="672"/>
      <c r="P324" s="668"/>
      <c r="Q324" s="676"/>
      <c r="R324" s="676"/>
    </row>
    <row r="325" spans="1:26" s="677" customFormat="1" ht="45.75" hidden="1" customHeight="1">
      <c r="A325" s="662">
        <v>27.2</v>
      </c>
      <c r="B325" s="663" t="s">
        <v>1511</v>
      </c>
      <c r="C325" s="675">
        <f>ROUND([14]Data!AG381,2)</f>
        <v>6387.51</v>
      </c>
      <c r="D325" s="674" t="s">
        <v>235</v>
      </c>
      <c r="E325" s="684"/>
      <c r="F325" s="667">
        <f t="shared" si="19"/>
        <v>0</v>
      </c>
      <c r="G325" s="675"/>
      <c r="H325" s="667">
        <f t="shared" si="16"/>
        <v>0</v>
      </c>
      <c r="I325" s="667"/>
      <c r="J325" s="667"/>
      <c r="K325" s="667" t="e">
        <f>E325+#REF!+#REF!+#REF!+G325+#REF!+#REF!+#REF!+#REF!+#REF!+#REF!+I325+#REF!+#REF!+#REF!</f>
        <v>#REF!</v>
      </c>
      <c r="L325" s="667" t="e">
        <f t="shared" si="17"/>
        <v>#REF!</v>
      </c>
      <c r="M325" s="665" t="e">
        <f>#REF!+K325</f>
        <v>#REF!</v>
      </c>
      <c r="N325" s="666" t="e">
        <f t="shared" si="18"/>
        <v>#REF!</v>
      </c>
      <c r="O325" s="672"/>
      <c r="P325" s="668"/>
      <c r="Q325" s="676"/>
      <c r="R325" s="676"/>
    </row>
    <row r="326" spans="1:26" s="677" customFormat="1" ht="39.950000000000003" hidden="1" customHeight="1">
      <c r="A326" s="662">
        <v>27.3</v>
      </c>
      <c r="B326" s="663" t="s">
        <v>1512</v>
      </c>
      <c r="C326" s="675"/>
      <c r="D326" s="674" t="s">
        <v>235</v>
      </c>
      <c r="E326" s="684"/>
      <c r="F326" s="667">
        <f t="shared" si="19"/>
        <v>0</v>
      </c>
      <c r="G326" s="675"/>
      <c r="H326" s="667">
        <f t="shared" ref="H326:H389" si="20">G326*C326</f>
        <v>0</v>
      </c>
      <c r="I326" s="667"/>
      <c r="J326" s="667"/>
      <c r="K326" s="667" t="e">
        <f>E326+#REF!+#REF!+#REF!+G326+#REF!+#REF!+#REF!+#REF!+#REF!+#REF!+I326+#REF!+#REF!+#REF!</f>
        <v>#REF!</v>
      </c>
      <c r="L326" s="667" t="e">
        <f t="shared" ref="L326:L389" si="21">K326*C326</f>
        <v>#REF!</v>
      </c>
      <c r="M326" s="665" t="e">
        <f>#REF!+K326</f>
        <v>#REF!</v>
      </c>
      <c r="N326" s="666" t="e">
        <f t="shared" ref="N326:N389" si="22">M326*C326</f>
        <v>#REF!</v>
      </c>
      <c r="O326" s="672"/>
      <c r="P326" s="668"/>
      <c r="Q326" s="676"/>
      <c r="R326" s="676"/>
    </row>
    <row r="327" spans="1:26" s="677" customFormat="1" ht="39.950000000000003" hidden="1" customHeight="1">
      <c r="A327" s="662">
        <v>27.4</v>
      </c>
      <c r="B327" s="663" t="s">
        <v>1513</v>
      </c>
      <c r="C327" s="675"/>
      <c r="D327" s="674" t="s">
        <v>235</v>
      </c>
      <c r="E327" s="684"/>
      <c r="F327" s="667">
        <f t="shared" si="19"/>
        <v>0</v>
      </c>
      <c r="G327" s="675"/>
      <c r="H327" s="667">
        <f t="shared" si="20"/>
        <v>0</v>
      </c>
      <c r="I327" s="667"/>
      <c r="J327" s="667"/>
      <c r="K327" s="667" t="e">
        <f>E327+#REF!+#REF!+#REF!+G327+#REF!+#REF!+#REF!+#REF!+#REF!+#REF!+I327+#REF!+#REF!+#REF!</f>
        <v>#REF!</v>
      </c>
      <c r="L327" s="667" t="e">
        <f t="shared" si="21"/>
        <v>#REF!</v>
      </c>
      <c r="M327" s="665" t="e">
        <f>#REF!+K327</f>
        <v>#REF!</v>
      </c>
      <c r="N327" s="666" t="e">
        <f t="shared" si="22"/>
        <v>#REF!</v>
      </c>
      <c r="O327" s="672"/>
      <c r="P327" s="668"/>
      <c r="Q327" s="676"/>
      <c r="R327" s="676"/>
    </row>
    <row r="328" spans="1:26" s="677" customFormat="1" ht="39.950000000000003" hidden="1" customHeight="1">
      <c r="A328" s="662">
        <v>27.5</v>
      </c>
      <c r="B328" s="663" t="s">
        <v>1514</v>
      </c>
      <c r="C328" s="675">
        <f>ROUND([14]Data!K372,2)</f>
        <v>6511.38</v>
      </c>
      <c r="D328" s="674" t="s">
        <v>235</v>
      </c>
      <c r="E328" s="684"/>
      <c r="F328" s="667">
        <f t="shared" si="19"/>
        <v>0</v>
      </c>
      <c r="G328" s="675"/>
      <c r="H328" s="667">
        <f t="shared" si="20"/>
        <v>0</v>
      </c>
      <c r="I328" s="667"/>
      <c r="J328" s="667"/>
      <c r="K328" s="667" t="e">
        <f>E328+#REF!+#REF!+#REF!+G328+#REF!+#REF!+#REF!+#REF!+#REF!+#REF!+I328+#REF!+#REF!+#REF!</f>
        <v>#REF!</v>
      </c>
      <c r="L328" s="667" t="e">
        <f t="shared" si="21"/>
        <v>#REF!</v>
      </c>
      <c r="M328" s="665" t="e">
        <f>#REF!+K328</f>
        <v>#REF!</v>
      </c>
      <c r="N328" s="666" t="e">
        <f t="shared" si="22"/>
        <v>#REF!</v>
      </c>
      <c r="O328" s="672"/>
      <c r="P328" s="668"/>
      <c r="Q328" s="676"/>
      <c r="R328" s="676"/>
    </row>
    <row r="329" spans="1:26" s="677" customFormat="1" ht="39.950000000000003" hidden="1" customHeight="1">
      <c r="A329" s="662">
        <v>27.6</v>
      </c>
      <c r="B329" s="663" t="s">
        <v>1515</v>
      </c>
      <c r="C329" s="675"/>
      <c r="D329" s="674" t="s">
        <v>235</v>
      </c>
      <c r="E329" s="684"/>
      <c r="F329" s="667">
        <f t="shared" si="19"/>
        <v>0</v>
      </c>
      <c r="G329" s="675"/>
      <c r="H329" s="667">
        <f t="shared" si="20"/>
        <v>0</v>
      </c>
      <c r="I329" s="667"/>
      <c r="J329" s="667"/>
      <c r="K329" s="667" t="e">
        <f>E329+#REF!+#REF!+#REF!+G329+#REF!+#REF!+#REF!+#REF!+#REF!+#REF!+I329+#REF!+#REF!+#REF!</f>
        <v>#REF!</v>
      </c>
      <c r="L329" s="667" t="e">
        <f t="shared" si="21"/>
        <v>#REF!</v>
      </c>
      <c r="M329" s="665" t="e">
        <f>#REF!+K329</f>
        <v>#REF!</v>
      </c>
      <c r="N329" s="666" t="e">
        <f t="shared" si="22"/>
        <v>#REF!</v>
      </c>
      <c r="O329" s="672"/>
      <c r="P329" s="668"/>
      <c r="Q329" s="676"/>
      <c r="R329" s="676"/>
    </row>
    <row r="330" spans="1:26" ht="45.75" customHeight="1">
      <c r="A330" s="662">
        <v>28</v>
      </c>
      <c r="B330" s="685" t="s">
        <v>1516</v>
      </c>
      <c r="C330" s="667">
        <f>ROUND([14]Data!K1213,2)</f>
        <v>450.53</v>
      </c>
      <c r="D330" s="663" t="s">
        <v>264</v>
      </c>
      <c r="E330" s="699">
        <f>'Septic Tank'!$H$65</f>
        <v>0.79999999999999993</v>
      </c>
      <c r="F330" s="667">
        <f t="shared" si="19"/>
        <v>360.42399999999992</v>
      </c>
      <c r="G330" s="667"/>
      <c r="H330" s="667">
        <f t="shared" si="20"/>
        <v>0</v>
      </c>
      <c r="I330" s="667"/>
      <c r="J330" s="667"/>
      <c r="K330" s="667" t="e">
        <f>E330+#REF!+#REF!+#REF!+G330+#REF!+#REF!+#REF!+#REF!+#REF!+#REF!+I330+#REF!+#REF!+#REF!</f>
        <v>#REF!</v>
      </c>
      <c r="L330" s="667" t="e">
        <f t="shared" si="21"/>
        <v>#REF!</v>
      </c>
      <c r="M330" s="665" t="e">
        <f>#REF!+K330</f>
        <v>#REF!</v>
      </c>
      <c r="N330" s="666" t="e">
        <f t="shared" si="22"/>
        <v>#REF!</v>
      </c>
      <c r="O330" s="672"/>
      <c r="P330" s="668"/>
    </row>
    <row r="331" spans="1:26" s="677" customFormat="1" ht="25.5" hidden="1" customHeight="1">
      <c r="A331" s="662">
        <v>29.1</v>
      </c>
      <c r="B331" s="685" t="s">
        <v>1517</v>
      </c>
      <c r="C331" s="675"/>
      <c r="D331" s="674" t="s">
        <v>264</v>
      </c>
      <c r="E331" s="684"/>
      <c r="F331" s="667">
        <f t="shared" si="19"/>
        <v>0</v>
      </c>
      <c r="G331" s="675"/>
      <c r="H331" s="667">
        <f t="shared" si="20"/>
        <v>0</v>
      </c>
      <c r="I331" s="667"/>
      <c r="J331" s="667"/>
      <c r="K331" s="667" t="e">
        <f>E331+#REF!+#REF!+#REF!+G331+#REF!+#REF!+#REF!+#REF!+#REF!+#REF!+I331+#REF!+#REF!+#REF!</f>
        <v>#REF!</v>
      </c>
      <c r="L331" s="667" t="e">
        <f t="shared" si="21"/>
        <v>#REF!</v>
      </c>
      <c r="M331" s="665" t="e">
        <f>#REF!+K331</f>
        <v>#REF!</v>
      </c>
      <c r="N331" s="666" t="e">
        <f t="shared" si="22"/>
        <v>#REF!</v>
      </c>
      <c r="O331" s="672"/>
      <c r="P331" s="668"/>
      <c r="Q331" s="676"/>
      <c r="R331" s="676"/>
    </row>
    <row r="332" spans="1:26" s="677" customFormat="1" ht="25.5" hidden="1" customHeight="1">
      <c r="A332" s="662">
        <v>29.2</v>
      </c>
      <c r="B332" s="685" t="s">
        <v>1518</v>
      </c>
      <c r="C332" s="675">
        <f>ROUND([14]Data!K1241,2)</f>
        <v>1101.47</v>
      </c>
      <c r="D332" s="674" t="s">
        <v>264</v>
      </c>
      <c r="E332" s="684"/>
      <c r="F332" s="667">
        <f t="shared" si="19"/>
        <v>0</v>
      </c>
      <c r="G332" s="675"/>
      <c r="H332" s="667">
        <f t="shared" si="20"/>
        <v>0</v>
      </c>
      <c r="I332" s="667"/>
      <c r="J332" s="667"/>
      <c r="K332" s="667" t="e">
        <f>E332+#REF!+#REF!+#REF!+G332+#REF!+#REF!+#REF!+#REF!+#REF!+#REF!+I332+#REF!+#REF!+#REF!</f>
        <v>#REF!</v>
      </c>
      <c r="L332" s="667" t="e">
        <f t="shared" si="21"/>
        <v>#REF!</v>
      </c>
      <c r="M332" s="665" t="e">
        <f>#REF!+K332</f>
        <v>#REF!</v>
      </c>
      <c r="N332" s="666" t="e">
        <f t="shared" si="22"/>
        <v>#REF!</v>
      </c>
      <c r="O332" s="672"/>
      <c r="P332" s="668"/>
      <c r="Q332" s="676"/>
      <c r="R332" s="676"/>
    </row>
    <row r="333" spans="1:26" s="677" customFormat="1" ht="25.5" hidden="1" customHeight="1">
      <c r="A333" s="662">
        <v>29.3</v>
      </c>
      <c r="B333" s="663" t="s">
        <v>1519</v>
      </c>
      <c r="C333" s="675">
        <f>ROUND([14]Data!K1264,2)</f>
        <v>1094.29</v>
      </c>
      <c r="D333" s="674" t="s">
        <v>264</v>
      </c>
      <c r="E333" s="684"/>
      <c r="F333" s="667">
        <f t="shared" si="19"/>
        <v>0</v>
      </c>
      <c r="G333" s="675"/>
      <c r="H333" s="667">
        <f t="shared" si="20"/>
        <v>0</v>
      </c>
      <c r="I333" s="667"/>
      <c r="J333" s="667"/>
      <c r="K333" s="667" t="e">
        <f>E333+#REF!+#REF!+#REF!+G333+#REF!+#REF!+#REF!+#REF!+#REF!+#REF!+I333+#REF!+#REF!+#REF!</f>
        <v>#REF!</v>
      </c>
      <c r="L333" s="667" t="e">
        <f t="shared" si="21"/>
        <v>#REF!</v>
      </c>
      <c r="M333" s="665" t="e">
        <f>#REF!+K333</f>
        <v>#REF!</v>
      </c>
      <c r="N333" s="666" t="e">
        <f t="shared" si="22"/>
        <v>#REF!</v>
      </c>
      <c r="O333" s="672"/>
      <c r="P333" s="668"/>
      <c r="Q333" s="676"/>
      <c r="R333" s="676"/>
    </row>
    <row r="334" spans="1:26" s="677" customFormat="1" ht="25.5" hidden="1" customHeight="1">
      <c r="A334" s="662">
        <v>29.4</v>
      </c>
      <c r="B334" s="663" t="s">
        <v>1520</v>
      </c>
      <c r="C334" s="675">
        <f>ROUND([14]Data!K1278,2)</f>
        <v>1237.43</v>
      </c>
      <c r="D334" s="674" t="s">
        <v>264</v>
      </c>
      <c r="E334" s="684"/>
      <c r="F334" s="667">
        <f t="shared" si="19"/>
        <v>0</v>
      </c>
      <c r="G334" s="675"/>
      <c r="H334" s="667">
        <f t="shared" si="20"/>
        <v>0</v>
      </c>
      <c r="I334" s="667"/>
      <c r="J334" s="667"/>
      <c r="K334" s="667" t="e">
        <f>E334+#REF!+#REF!+#REF!+G334+#REF!+#REF!+#REF!+#REF!+#REF!+#REF!+I334+#REF!+#REF!+#REF!</f>
        <v>#REF!</v>
      </c>
      <c r="L334" s="667" t="e">
        <f t="shared" si="21"/>
        <v>#REF!</v>
      </c>
      <c r="M334" s="665" t="e">
        <f>#REF!+K334</f>
        <v>#REF!</v>
      </c>
      <c r="N334" s="666" t="e">
        <f t="shared" si="22"/>
        <v>#REF!</v>
      </c>
      <c r="O334" s="672"/>
      <c r="P334" s="668"/>
      <c r="Q334" s="676"/>
      <c r="R334" s="676"/>
    </row>
    <row r="335" spans="1:26" s="677" customFormat="1" ht="25.5" hidden="1" customHeight="1">
      <c r="A335" s="662">
        <v>29.5</v>
      </c>
      <c r="B335" s="663" t="s">
        <v>1521</v>
      </c>
      <c r="C335" s="675">
        <f>C333</f>
        <v>1094.29</v>
      </c>
      <c r="D335" s="674" t="s">
        <v>264</v>
      </c>
      <c r="E335" s="684"/>
      <c r="F335" s="667">
        <f t="shared" si="19"/>
        <v>0</v>
      </c>
      <c r="G335" s="675"/>
      <c r="H335" s="667">
        <f t="shared" si="20"/>
        <v>0</v>
      </c>
      <c r="I335" s="667"/>
      <c r="J335" s="667"/>
      <c r="K335" s="667" t="e">
        <f>E335+#REF!+#REF!+#REF!+G335+#REF!+#REF!+#REF!+#REF!+#REF!+#REF!+I335+#REF!+#REF!+#REF!</f>
        <v>#REF!</v>
      </c>
      <c r="L335" s="667" t="e">
        <f t="shared" si="21"/>
        <v>#REF!</v>
      </c>
      <c r="M335" s="665" t="e">
        <f>#REF!+K335</f>
        <v>#REF!</v>
      </c>
      <c r="N335" s="666" t="e">
        <f t="shared" si="22"/>
        <v>#REF!</v>
      </c>
      <c r="O335" s="672"/>
      <c r="P335" s="668"/>
      <c r="Q335" s="676"/>
      <c r="R335" s="676"/>
    </row>
    <row r="336" spans="1:26" ht="45.75" customHeight="1">
      <c r="A336" s="662">
        <v>30</v>
      </c>
      <c r="B336" s="663" t="s">
        <v>834</v>
      </c>
      <c r="C336" s="667">
        <f>ROUND([14]Data!K1312,2)</f>
        <v>402.17</v>
      </c>
      <c r="D336" s="663" t="s">
        <v>264</v>
      </c>
      <c r="E336" s="690">
        <f>'Septic Tank'!$H$65</f>
        <v>0.79999999999999993</v>
      </c>
      <c r="F336" s="667">
        <f t="shared" si="19"/>
        <v>321.73599999999999</v>
      </c>
      <c r="G336" s="667"/>
      <c r="H336" s="667">
        <f t="shared" si="20"/>
        <v>0</v>
      </c>
      <c r="I336" s="667"/>
      <c r="J336" s="667"/>
      <c r="K336" s="667" t="e">
        <f>E336+#REF!+#REF!+#REF!+G336+#REF!+#REF!+#REF!+#REF!+#REF!+#REF!+I336+#REF!+#REF!+#REF!</f>
        <v>#REF!</v>
      </c>
      <c r="L336" s="667" t="e">
        <f t="shared" si="21"/>
        <v>#REF!</v>
      </c>
      <c r="M336" s="665" t="e">
        <f>#REF!+K336</f>
        <v>#REF!</v>
      </c>
      <c r="N336" s="666" t="e">
        <f t="shared" si="22"/>
        <v>#REF!</v>
      </c>
      <c r="O336" s="672"/>
      <c r="P336" s="668"/>
      <c r="Z336" s="670">
        <f>146-34.2</f>
        <v>111.8</v>
      </c>
    </row>
    <row r="337" spans="1:23" ht="45.75" customHeight="1">
      <c r="A337" s="662">
        <v>31</v>
      </c>
      <c r="B337" s="663" t="s">
        <v>1522</v>
      </c>
      <c r="C337" s="667">
        <f>ROUND([14]Data!K1330,2)</f>
        <v>3443.33</v>
      </c>
      <c r="D337" s="663" t="s">
        <v>235</v>
      </c>
      <c r="E337" s="667"/>
      <c r="F337" s="667">
        <f t="shared" si="19"/>
        <v>0</v>
      </c>
      <c r="G337" s="667"/>
      <c r="H337" s="667">
        <f t="shared" si="20"/>
        <v>0</v>
      </c>
      <c r="I337" s="667"/>
      <c r="J337" s="667"/>
      <c r="K337" s="667" t="e">
        <f>E337+#REF!+#REF!+#REF!+G337+#REF!+#REF!+#REF!+#REF!+#REF!+#REF!+I337+#REF!+#REF!+#REF!</f>
        <v>#REF!</v>
      </c>
      <c r="L337" s="667" t="e">
        <f t="shared" si="21"/>
        <v>#REF!</v>
      </c>
      <c r="M337" s="665" t="e">
        <f>#REF!+K337</f>
        <v>#REF!</v>
      </c>
      <c r="N337" s="666" t="e">
        <f t="shared" si="22"/>
        <v>#REF!</v>
      </c>
      <c r="O337" s="672"/>
      <c r="P337" s="668"/>
    </row>
    <row r="338" spans="1:23" s="677" customFormat="1" ht="46.5" hidden="1" customHeight="1">
      <c r="A338" s="662">
        <v>32</v>
      </c>
      <c r="B338" s="663" t="s">
        <v>1523</v>
      </c>
      <c r="C338" s="675"/>
      <c r="D338" s="674" t="s">
        <v>264</v>
      </c>
      <c r="E338" s="684"/>
      <c r="F338" s="667">
        <f t="shared" ref="F338:F401" si="23">E338*C338</f>
        <v>0</v>
      </c>
      <c r="G338" s="675"/>
      <c r="H338" s="667">
        <f t="shared" si="20"/>
        <v>0</v>
      </c>
      <c r="I338" s="667"/>
      <c r="J338" s="667"/>
      <c r="K338" s="667" t="e">
        <f>E338+#REF!+#REF!+#REF!+G338+#REF!+#REF!+#REF!+#REF!+#REF!+#REF!+I338+#REF!+#REF!+#REF!</f>
        <v>#REF!</v>
      </c>
      <c r="L338" s="667" t="e">
        <f t="shared" si="21"/>
        <v>#REF!</v>
      </c>
      <c r="M338" s="665" t="e">
        <f>#REF!+K338</f>
        <v>#REF!</v>
      </c>
      <c r="N338" s="666" t="e">
        <f t="shared" si="22"/>
        <v>#REF!</v>
      </c>
      <c r="O338" s="672"/>
      <c r="P338" s="668"/>
      <c r="Q338" s="676"/>
      <c r="R338" s="676"/>
    </row>
    <row r="339" spans="1:23" s="677" customFormat="1" ht="46.5" hidden="1" customHeight="1">
      <c r="A339" s="662">
        <v>32.1</v>
      </c>
      <c r="B339" s="663" t="s">
        <v>1524</v>
      </c>
      <c r="C339" s="675">
        <f>ROUND([14]Data!K1365,2)</f>
        <v>1079.3699999999999</v>
      </c>
      <c r="D339" s="674" t="s">
        <v>264</v>
      </c>
      <c r="E339" s="684"/>
      <c r="F339" s="667">
        <f t="shared" si="23"/>
        <v>0</v>
      </c>
      <c r="G339" s="675"/>
      <c r="H339" s="667">
        <f t="shared" si="20"/>
        <v>0</v>
      </c>
      <c r="I339" s="667"/>
      <c r="J339" s="667"/>
      <c r="K339" s="667" t="e">
        <f>E339+#REF!+#REF!+#REF!+G339+#REF!+#REF!+#REF!+#REF!+#REF!+#REF!+I339+#REF!+#REF!+#REF!</f>
        <v>#REF!</v>
      </c>
      <c r="L339" s="667" t="e">
        <f t="shared" si="21"/>
        <v>#REF!</v>
      </c>
      <c r="M339" s="665" t="e">
        <f>#REF!+K339</f>
        <v>#REF!</v>
      </c>
      <c r="N339" s="666" t="e">
        <f t="shared" si="22"/>
        <v>#REF!</v>
      </c>
      <c r="O339" s="672"/>
      <c r="P339" s="668"/>
      <c r="Q339" s="676"/>
      <c r="R339" s="676"/>
    </row>
    <row r="340" spans="1:23" s="677" customFormat="1" ht="46.5" hidden="1" customHeight="1">
      <c r="A340" s="662">
        <v>32.200000000000003</v>
      </c>
      <c r="B340" s="663" t="s">
        <v>1525</v>
      </c>
      <c r="C340" s="675"/>
      <c r="D340" s="674" t="s">
        <v>264</v>
      </c>
      <c r="E340" s="684"/>
      <c r="F340" s="667">
        <f t="shared" si="23"/>
        <v>0</v>
      </c>
      <c r="G340" s="675"/>
      <c r="H340" s="667">
        <f t="shared" si="20"/>
        <v>0</v>
      </c>
      <c r="I340" s="667"/>
      <c r="J340" s="667"/>
      <c r="K340" s="667" t="e">
        <f>E340+#REF!+#REF!+#REF!+G340+#REF!+#REF!+#REF!+#REF!+#REF!+#REF!+I340+#REF!+#REF!+#REF!</f>
        <v>#REF!</v>
      </c>
      <c r="L340" s="667" t="e">
        <f t="shared" si="21"/>
        <v>#REF!</v>
      </c>
      <c r="M340" s="665" t="e">
        <f>#REF!+K340</f>
        <v>#REF!</v>
      </c>
      <c r="N340" s="666" t="e">
        <f t="shared" si="22"/>
        <v>#REF!</v>
      </c>
      <c r="O340" s="672"/>
      <c r="P340" s="668"/>
      <c r="Q340" s="676"/>
      <c r="R340" s="676"/>
    </row>
    <row r="341" spans="1:23" ht="57.75" customHeight="1">
      <c r="A341" s="662">
        <v>33</v>
      </c>
      <c r="B341" s="663" t="s">
        <v>1526</v>
      </c>
      <c r="C341" s="667">
        <f>ROUND([14]Data!K1400,2)</f>
        <v>222.1</v>
      </c>
      <c r="D341" s="663" t="s">
        <v>264</v>
      </c>
      <c r="E341" s="667">
        <f>'Septic Tank'!$H$75</f>
        <v>48.1</v>
      </c>
      <c r="F341" s="667">
        <f t="shared" si="23"/>
        <v>10683.01</v>
      </c>
      <c r="G341" s="667"/>
      <c r="H341" s="667">
        <f t="shared" si="20"/>
        <v>0</v>
      </c>
      <c r="I341" s="667"/>
      <c r="J341" s="667"/>
      <c r="K341" s="667" t="e">
        <f>E341+#REF!+#REF!+#REF!+G341+#REF!+#REF!+#REF!+#REF!+#REF!+#REF!+I341+#REF!+#REF!+#REF!</f>
        <v>#REF!</v>
      </c>
      <c r="L341" s="667" t="e">
        <f t="shared" si="21"/>
        <v>#REF!</v>
      </c>
      <c r="M341" s="665" t="e">
        <f>#REF!+K341</f>
        <v>#REF!</v>
      </c>
      <c r="N341" s="666" t="e">
        <f t="shared" si="22"/>
        <v>#REF!</v>
      </c>
      <c r="O341" s="672"/>
      <c r="P341" s="668"/>
    </row>
    <row r="342" spans="1:23" ht="66.75" customHeight="1">
      <c r="A342" s="662">
        <v>34</v>
      </c>
      <c r="B342" s="663" t="s">
        <v>1527</v>
      </c>
      <c r="C342" s="667">
        <f>ROUND([14]Data!K1414,2)</f>
        <v>228.11</v>
      </c>
      <c r="D342" s="663" t="s">
        <v>264</v>
      </c>
      <c r="E342" s="667">
        <f>'Septic Tank'!$H$85</f>
        <v>41.104799999999997</v>
      </c>
      <c r="F342" s="667">
        <f t="shared" si="23"/>
        <v>9376.4159280000003</v>
      </c>
      <c r="G342" s="667"/>
      <c r="H342" s="667">
        <f t="shared" si="20"/>
        <v>0</v>
      </c>
      <c r="I342" s="667"/>
      <c r="J342" s="667"/>
      <c r="K342" s="667" t="e">
        <f>E342+#REF!+#REF!+#REF!+G342+#REF!+#REF!+#REF!+#REF!+#REF!+#REF!+I342+#REF!+#REF!+#REF!</f>
        <v>#REF!</v>
      </c>
      <c r="L342" s="667" t="e">
        <f t="shared" si="21"/>
        <v>#REF!</v>
      </c>
      <c r="M342" s="665" t="e">
        <f>#REF!+K342</f>
        <v>#REF!</v>
      </c>
      <c r="N342" s="666" t="e">
        <f t="shared" si="22"/>
        <v>#REF!</v>
      </c>
      <c r="O342" s="672"/>
      <c r="P342" s="668"/>
    </row>
    <row r="343" spans="1:23" ht="57.75" customHeight="1">
      <c r="A343" s="662">
        <v>35</v>
      </c>
      <c r="B343" s="663" t="s">
        <v>1528</v>
      </c>
      <c r="C343" s="667">
        <f>ROUND([14]Data!K1426,2)</f>
        <v>253.53</v>
      </c>
      <c r="D343" s="663" t="s">
        <v>264</v>
      </c>
      <c r="E343" s="667"/>
      <c r="F343" s="667">
        <f t="shared" si="23"/>
        <v>0</v>
      </c>
      <c r="G343" s="667"/>
      <c r="H343" s="667">
        <f t="shared" si="20"/>
        <v>0</v>
      </c>
      <c r="I343" s="667"/>
      <c r="J343" s="667"/>
      <c r="K343" s="667" t="e">
        <f>E343+#REF!+#REF!+#REF!+G343+#REF!+#REF!+#REF!+#REF!+#REF!+#REF!+I343+#REF!+#REF!+#REF!</f>
        <v>#REF!</v>
      </c>
      <c r="L343" s="667" t="e">
        <f t="shared" si="21"/>
        <v>#REF!</v>
      </c>
      <c r="M343" s="665" t="e">
        <f>#REF!+K343</f>
        <v>#REF!</v>
      </c>
      <c r="N343" s="666" t="e">
        <f t="shared" si="22"/>
        <v>#REF!</v>
      </c>
      <c r="O343" s="672"/>
      <c r="P343" s="668"/>
    </row>
    <row r="344" spans="1:23" ht="57.75" customHeight="1">
      <c r="A344" s="662">
        <v>36</v>
      </c>
      <c r="B344" s="685" t="s">
        <v>1529</v>
      </c>
      <c r="C344" s="667"/>
      <c r="D344" s="663"/>
      <c r="E344" s="667"/>
      <c r="F344" s="667">
        <f t="shared" si="23"/>
        <v>0</v>
      </c>
      <c r="G344" s="667"/>
      <c r="H344" s="667">
        <f t="shared" si="20"/>
        <v>0</v>
      </c>
      <c r="I344" s="667"/>
      <c r="J344" s="667"/>
      <c r="K344" s="667" t="e">
        <f>E344+#REF!+#REF!+#REF!+G344+#REF!+#REF!+#REF!+#REF!+#REF!+#REF!+I344+#REF!+#REF!+#REF!</f>
        <v>#REF!</v>
      </c>
      <c r="L344" s="667" t="e">
        <f t="shared" si="21"/>
        <v>#REF!</v>
      </c>
      <c r="M344" s="665" t="e">
        <f>#REF!+K344</f>
        <v>#REF!</v>
      </c>
      <c r="N344" s="666" t="e">
        <f t="shared" si="22"/>
        <v>#REF!</v>
      </c>
      <c r="O344" s="668"/>
      <c r="P344" s="668"/>
      <c r="Q344" s="678"/>
      <c r="S344" s="679"/>
    </row>
    <row r="345" spans="1:23" ht="43.5" customHeight="1">
      <c r="A345" s="666" t="s">
        <v>220</v>
      </c>
      <c r="B345" s="663" t="s">
        <v>1530</v>
      </c>
      <c r="C345" s="667">
        <f>ROUND([14]Data!K1460,2)</f>
        <v>70.16</v>
      </c>
      <c r="D345" s="663" t="s">
        <v>61</v>
      </c>
      <c r="E345" s="690"/>
      <c r="F345" s="667">
        <f t="shared" si="23"/>
        <v>0</v>
      </c>
      <c r="G345" s="667"/>
      <c r="H345" s="667">
        <f t="shared" si="20"/>
        <v>0</v>
      </c>
      <c r="I345" s="667"/>
      <c r="J345" s="667"/>
      <c r="K345" s="667" t="e">
        <f>E345+#REF!+#REF!+#REF!+G345+#REF!+#REF!+#REF!+#REF!+#REF!+#REF!+I345+#REF!+#REF!+#REF!</f>
        <v>#REF!</v>
      </c>
      <c r="L345" s="667" t="e">
        <f t="shared" si="21"/>
        <v>#REF!</v>
      </c>
      <c r="M345" s="665" t="e">
        <f>#REF!+K345</f>
        <v>#REF!</v>
      </c>
      <c r="N345" s="666" t="e">
        <f t="shared" si="22"/>
        <v>#REF!</v>
      </c>
      <c r="O345" s="672"/>
      <c r="P345" s="668"/>
    </row>
    <row r="346" spans="1:23" ht="43.5" customHeight="1">
      <c r="A346" s="666"/>
      <c r="B346" s="663" t="s">
        <v>1531</v>
      </c>
      <c r="C346" s="667">
        <f>ROUND([14]Data!K1472,2)</f>
        <v>45.59</v>
      </c>
      <c r="D346" s="663" t="s">
        <v>61</v>
      </c>
      <c r="E346" s="690"/>
      <c r="F346" s="667">
        <f t="shared" si="23"/>
        <v>0</v>
      </c>
      <c r="G346" s="667"/>
      <c r="H346" s="667">
        <f t="shared" si="20"/>
        <v>0</v>
      </c>
      <c r="I346" s="667"/>
      <c r="J346" s="667"/>
      <c r="K346" s="667" t="e">
        <f>E346+#REF!+#REF!+#REF!+G346+#REF!+#REF!+#REF!+#REF!+#REF!+#REF!+I346+#REF!+#REF!+#REF!</f>
        <v>#REF!</v>
      </c>
      <c r="L346" s="667" t="e">
        <f t="shared" si="21"/>
        <v>#REF!</v>
      </c>
      <c r="M346" s="665" t="e">
        <f>#REF!+K346</f>
        <v>#REF!</v>
      </c>
      <c r="N346" s="666" t="e">
        <f t="shared" si="22"/>
        <v>#REF!</v>
      </c>
      <c r="O346" s="672"/>
      <c r="P346" s="668"/>
    </row>
    <row r="347" spans="1:23" ht="43.5" customHeight="1">
      <c r="A347" s="667"/>
      <c r="B347" s="663" t="s">
        <v>1532</v>
      </c>
      <c r="C347" s="667">
        <f>ROUND([14]Data!K1485,2)</f>
        <v>33.909999999999997</v>
      </c>
      <c r="D347" s="663" t="s">
        <v>61</v>
      </c>
      <c r="E347" s="690"/>
      <c r="F347" s="667">
        <f t="shared" si="23"/>
        <v>0</v>
      </c>
      <c r="G347" s="667"/>
      <c r="H347" s="667">
        <f t="shared" si="20"/>
        <v>0</v>
      </c>
      <c r="I347" s="667"/>
      <c r="J347" s="667"/>
      <c r="K347" s="667" t="e">
        <f>E347+#REF!+#REF!+#REF!+G347+#REF!+#REF!+#REF!+#REF!+#REF!+#REF!+I347+#REF!+#REF!+#REF!</f>
        <v>#REF!</v>
      </c>
      <c r="L347" s="667" t="e">
        <f t="shared" si="21"/>
        <v>#REF!</v>
      </c>
      <c r="M347" s="665" t="e">
        <f>#REF!+K347</f>
        <v>#REF!</v>
      </c>
      <c r="N347" s="666" t="e">
        <f t="shared" si="22"/>
        <v>#REF!</v>
      </c>
      <c r="O347" s="672"/>
      <c r="P347" s="668"/>
    </row>
    <row r="348" spans="1:23" ht="43.5" customHeight="1">
      <c r="A348" s="662">
        <v>37.1</v>
      </c>
      <c r="B348" s="663" t="s">
        <v>1533</v>
      </c>
      <c r="C348" s="667">
        <f>ROUND([14]Data!K1498,2)</f>
        <v>39.22</v>
      </c>
      <c r="D348" s="663" t="s">
        <v>264</v>
      </c>
      <c r="E348" s="690"/>
      <c r="F348" s="667">
        <f t="shared" si="23"/>
        <v>0</v>
      </c>
      <c r="G348" s="667"/>
      <c r="H348" s="667">
        <f t="shared" si="20"/>
        <v>0</v>
      </c>
      <c r="I348" s="667"/>
      <c r="J348" s="667"/>
      <c r="K348" s="667" t="e">
        <f>E348+#REF!+#REF!+#REF!+G348+#REF!+#REF!+#REF!+#REF!+#REF!+#REF!+I348+#REF!+#REF!+#REF!</f>
        <v>#REF!</v>
      </c>
      <c r="L348" s="667" t="e">
        <f t="shared" si="21"/>
        <v>#REF!</v>
      </c>
      <c r="M348" s="665" t="e">
        <f>#REF!+K348</f>
        <v>#REF!</v>
      </c>
      <c r="N348" s="666" t="e">
        <f t="shared" si="22"/>
        <v>#REF!</v>
      </c>
      <c r="O348" s="672"/>
      <c r="P348" s="668"/>
    </row>
    <row r="349" spans="1:23" s="677" customFormat="1" ht="25.5" hidden="1" customHeight="1">
      <c r="A349" s="662">
        <v>37.200000000000003</v>
      </c>
      <c r="B349" s="663" t="s">
        <v>1534</v>
      </c>
      <c r="C349" s="675"/>
      <c r="D349" s="674" t="s">
        <v>264</v>
      </c>
      <c r="E349" s="684"/>
      <c r="F349" s="667">
        <f t="shared" si="23"/>
        <v>0</v>
      </c>
      <c r="G349" s="675"/>
      <c r="H349" s="667">
        <f t="shared" si="20"/>
        <v>0</v>
      </c>
      <c r="I349" s="667"/>
      <c r="J349" s="667"/>
      <c r="K349" s="667" t="e">
        <f>E349+#REF!+#REF!+#REF!+G349+#REF!+#REF!+#REF!+#REF!+#REF!+#REF!+I349+#REF!+#REF!+#REF!</f>
        <v>#REF!</v>
      </c>
      <c r="L349" s="667" t="e">
        <f t="shared" si="21"/>
        <v>#REF!</v>
      </c>
      <c r="M349" s="665" t="e">
        <f>#REF!+K349</f>
        <v>#REF!</v>
      </c>
      <c r="N349" s="666" t="e">
        <f t="shared" si="22"/>
        <v>#REF!</v>
      </c>
      <c r="O349" s="672"/>
      <c r="P349" s="668"/>
      <c r="Q349" s="676"/>
      <c r="R349" s="676"/>
    </row>
    <row r="350" spans="1:23" s="677" customFormat="1" ht="25.5" hidden="1" customHeight="1">
      <c r="A350" s="662">
        <v>38.1</v>
      </c>
      <c r="B350" s="663" t="s">
        <v>1535</v>
      </c>
      <c r="C350" s="675">
        <f>ROUND([14]Data!K1513,2)</f>
        <v>172.93</v>
      </c>
      <c r="D350" s="674" t="s">
        <v>264</v>
      </c>
      <c r="E350" s="684"/>
      <c r="F350" s="667">
        <f t="shared" si="23"/>
        <v>0</v>
      </c>
      <c r="G350" s="675"/>
      <c r="H350" s="667">
        <f t="shared" si="20"/>
        <v>0</v>
      </c>
      <c r="I350" s="667"/>
      <c r="J350" s="667"/>
      <c r="K350" s="667" t="e">
        <f>E350+#REF!+#REF!+#REF!+G350+#REF!+#REF!+#REF!+#REF!+#REF!+#REF!+I350+#REF!+#REF!+#REF!</f>
        <v>#REF!</v>
      </c>
      <c r="L350" s="667" t="e">
        <f t="shared" si="21"/>
        <v>#REF!</v>
      </c>
      <c r="M350" s="665" t="e">
        <f>#REF!+K350</f>
        <v>#REF!</v>
      </c>
      <c r="N350" s="666" t="e">
        <f t="shared" si="22"/>
        <v>#REF!</v>
      </c>
      <c r="O350" s="672"/>
      <c r="P350" s="668"/>
      <c r="Q350" s="676"/>
      <c r="R350" s="676"/>
    </row>
    <row r="351" spans="1:23" s="677" customFormat="1" ht="26.25" hidden="1" customHeight="1">
      <c r="A351" s="662">
        <v>38.200000000000003</v>
      </c>
      <c r="B351" s="663" t="s">
        <v>1536</v>
      </c>
      <c r="C351" s="675">
        <f>ROUND([14]Data!K1526,2)</f>
        <v>147.27000000000001</v>
      </c>
      <c r="D351" s="674" t="s">
        <v>264</v>
      </c>
      <c r="E351" s="684"/>
      <c r="F351" s="667">
        <f t="shared" si="23"/>
        <v>0</v>
      </c>
      <c r="G351" s="675"/>
      <c r="H351" s="667">
        <f t="shared" si="20"/>
        <v>0</v>
      </c>
      <c r="I351" s="667"/>
      <c r="J351" s="667"/>
      <c r="K351" s="667" t="e">
        <f>E351+#REF!+#REF!+#REF!+G351+#REF!+#REF!+#REF!+#REF!+#REF!+#REF!+I351+#REF!+#REF!+#REF!</f>
        <v>#REF!</v>
      </c>
      <c r="L351" s="667" t="e">
        <f t="shared" si="21"/>
        <v>#REF!</v>
      </c>
      <c r="M351" s="665" t="e">
        <f>#REF!+K351</f>
        <v>#REF!</v>
      </c>
      <c r="N351" s="666" t="e">
        <f t="shared" si="22"/>
        <v>#REF!</v>
      </c>
      <c r="O351" s="672"/>
      <c r="P351" s="668"/>
      <c r="Q351" s="676"/>
      <c r="R351" s="676"/>
    </row>
    <row r="352" spans="1:23" ht="43.5" customHeight="1">
      <c r="A352" s="662">
        <v>39</v>
      </c>
      <c r="B352" s="663" t="s">
        <v>1537</v>
      </c>
      <c r="C352" s="667">
        <f>[14]Data!K1193</f>
        <v>62.6</v>
      </c>
      <c r="D352" s="663" t="s">
        <v>271</v>
      </c>
      <c r="E352" s="690"/>
      <c r="F352" s="667">
        <f t="shared" si="23"/>
        <v>0</v>
      </c>
      <c r="G352" s="667"/>
      <c r="H352" s="667">
        <f t="shared" si="20"/>
        <v>0</v>
      </c>
      <c r="I352" s="667"/>
      <c r="J352" s="667"/>
      <c r="K352" s="667" t="e">
        <f>E352+#REF!+#REF!+#REF!+G352+#REF!+#REF!+#REF!+#REF!+#REF!+#REF!+I352+#REF!+#REF!+#REF!</f>
        <v>#REF!</v>
      </c>
      <c r="L352" s="667" t="e">
        <f t="shared" si="21"/>
        <v>#REF!</v>
      </c>
      <c r="M352" s="665" t="e">
        <f>#REF!+K352</f>
        <v>#REF!</v>
      </c>
      <c r="N352" s="666" t="e">
        <f t="shared" si="22"/>
        <v>#REF!</v>
      </c>
      <c r="O352" s="672"/>
      <c r="P352" s="668"/>
      <c r="W352" s="670">
        <f>2.1*35</f>
        <v>73.5</v>
      </c>
    </row>
    <row r="353" spans="1:18" ht="43.5" customHeight="1">
      <c r="A353" s="662">
        <v>40</v>
      </c>
      <c r="B353" s="663" t="s">
        <v>1538</v>
      </c>
      <c r="C353" s="667">
        <f>ROUND([14]Data!K1540,2)</f>
        <v>212.24</v>
      </c>
      <c r="D353" s="663" t="s">
        <v>264</v>
      </c>
      <c r="E353" s="690"/>
      <c r="F353" s="667">
        <f t="shared" si="23"/>
        <v>0</v>
      </c>
      <c r="G353" s="667"/>
      <c r="H353" s="667">
        <f t="shared" si="20"/>
        <v>0</v>
      </c>
      <c r="I353" s="667"/>
      <c r="J353" s="667"/>
      <c r="K353" s="667" t="e">
        <f>E353+#REF!+#REF!+#REF!+G353+#REF!+#REF!+#REF!+#REF!+#REF!+#REF!+I353+#REF!+#REF!+#REF!</f>
        <v>#REF!</v>
      </c>
      <c r="L353" s="667" t="e">
        <f t="shared" si="21"/>
        <v>#REF!</v>
      </c>
      <c r="M353" s="665" t="e">
        <f>#REF!+K353</f>
        <v>#REF!</v>
      </c>
      <c r="N353" s="666" t="e">
        <f t="shared" si="22"/>
        <v>#REF!</v>
      </c>
      <c r="O353" s="672"/>
      <c r="P353" s="668"/>
    </row>
    <row r="354" spans="1:18" ht="65.25" customHeight="1">
      <c r="A354" s="662">
        <v>41</v>
      </c>
      <c r="B354" s="663" t="s">
        <v>1539</v>
      </c>
      <c r="C354" s="667">
        <f>ROUND([14]Data!K1553,2)</f>
        <v>125.87</v>
      </c>
      <c r="D354" s="663" t="s">
        <v>264</v>
      </c>
      <c r="E354" s="690"/>
      <c r="F354" s="667">
        <f t="shared" si="23"/>
        <v>0</v>
      </c>
      <c r="G354" s="667">
        <f>'PAVER ROAD'!$G$35</f>
        <v>19.574999999999999</v>
      </c>
      <c r="H354" s="667">
        <f t="shared" si="20"/>
        <v>2463.9052499999998</v>
      </c>
      <c r="I354" s="667"/>
      <c r="J354" s="667"/>
      <c r="K354" s="667" t="e">
        <f>E354+#REF!+#REF!+#REF!+G354+#REF!+#REF!+#REF!+#REF!+#REF!+#REF!+I354+#REF!+#REF!+#REF!</f>
        <v>#REF!</v>
      </c>
      <c r="L354" s="667" t="e">
        <f t="shared" si="21"/>
        <v>#REF!</v>
      </c>
      <c r="M354" s="665" t="e">
        <f>#REF!+K354</f>
        <v>#REF!</v>
      </c>
      <c r="N354" s="666" t="e">
        <f t="shared" si="22"/>
        <v>#REF!</v>
      </c>
      <c r="O354" s="672"/>
      <c r="P354" s="668"/>
    </row>
    <row r="355" spans="1:18" s="677" customFormat="1" ht="46.5" hidden="1" customHeight="1">
      <c r="A355" s="662">
        <v>42</v>
      </c>
      <c r="B355" s="663" t="s">
        <v>1540</v>
      </c>
      <c r="C355" s="675"/>
      <c r="D355" s="674"/>
      <c r="E355" s="684"/>
      <c r="F355" s="667">
        <f t="shared" si="23"/>
        <v>0</v>
      </c>
      <c r="G355" s="675"/>
      <c r="H355" s="667">
        <f t="shared" si="20"/>
        <v>0</v>
      </c>
      <c r="I355" s="667"/>
      <c r="J355" s="667"/>
      <c r="K355" s="667" t="e">
        <f>E355+#REF!+#REF!+#REF!+G355+#REF!+#REF!+#REF!+#REF!+#REF!+#REF!+I355+#REF!+#REF!+#REF!</f>
        <v>#REF!</v>
      </c>
      <c r="L355" s="667" t="e">
        <f t="shared" si="21"/>
        <v>#REF!</v>
      </c>
      <c r="M355" s="665" t="e">
        <f>#REF!+K355</f>
        <v>#REF!</v>
      </c>
      <c r="N355" s="666" t="e">
        <f t="shared" si="22"/>
        <v>#REF!</v>
      </c>
      <c r="O355" s="672"/>
      <c r="P355" s="668"/>
      <c r="Q355" s="676"/>
      <c r="R355" s="676"/>
    </row>
    <row r="356" spans="1:18" s="677" customFormat="1" ht="25.5" hidden="1" customHeight="1">
      <c r="A356" s="666"/>
      <c r="B356" s="663" t="s">
        <v>1541</v>
      </c>
      <c r="C356" s="675">
        <f>ROUND([14]Data!K1582,2)</f>
        <v>80140.5</v>
      </c>
      <c r="D356" s="674" t="s">
        <v>58</v>
      </c>
      <c r="E356" s="684"/>
      <c r="F356" s="667">
        <f t="shared" si="23"/>
        <v>0</v>
      </c>
      <c r="G356" s="675"/>
      <c r="H356" s="667">
        <f t="shared" si="20"/>
        <v>0</v>
      </c>
      <c r="I356" s="667"/>
      <c r="J356" s="667"/>
      <c r="K356" s="667" t="e">
        <f>E356+#REF!+#REF!+#REF!+G356+#REF!+#REF!+#REF!+#REF!+#REF!+#REF!+I356+#REF!+#REF!+#REF!</f>
        <v>#REF!</v>
      </c>
      <c r="L356" s="667" t="e">
        <f t="shared" si="21"/>
        <v>#REF!</v>
      </c>
      <c r="M356" s="665" t="e">
        <f>#REF!+K356</f>
        <v>#REF!</v>
      </c>
      <c r="N356" s="666" t="e">
        <f t="shared" si="22"/>
        <v>#REF!</v>
      </c>
      <c r="O356" s="672"/>
      <c r="P356" s="668"/>
      <c r="Q356" s="676"/>
      <c r="R356" s="676"/>
    </row>
    <row r="357" spans="1:18" s="677" customFormat="1" ht="25.5" hidden="1" customHeight="1">
      <c r="A357" s="690"/>
      <c r="B357" s="663" t="s">
        <v>1542</v>
      </c>
      <c r="C357" s="675">
        <f>ROUND([14]Data!K1595,2)</f>
        <v>80140.5</v>
      </c>
      <c r="D357" s="674" t="s">
        <v>58</v>
      </c>
      <c r="E357" s="684"/>
      <c r="F357" s="667">
        <f t="shared" si="23"/>
        <v>0</v>
      </c>
      <c r="G357" s="675"/>
      <c r="H357" s="667">
        <f t="shared" si="20"/>
        <v>0</v>
      </c>
      <c r="I357" s="667"/>
      <c r="J357" s="667"/>
      <c r="K357" s="667" t="e">
        <f>E357+#REF!+#REF!+#REF!+G357+#REF!+#REF!+#REF!+#REF!+#REF!+#REF!+I357+#REF!+#REF!+#REF!</f>
        <v>#REF!</v>
      </c>
      <c r="L357" s="667" t="e">
        <f t="shared" si="21"/>
        <v>#REF!</v>
      </c>
      <c r="M357" s="665" t="e">
        <f>#REF!+K357</f>
        <v>#REF!</v>
      </c>
      <c r="N357" s="666" t="e">
        <f t="shared" si="22"/>
        <v>#REF!</v>
      </c>
      <c r="O357" s="672"/>
      <c r="P357" s="668"/>
      <c r="Q357" s="676"/>
      <c r="R357" s="676"/>
    </row>
    <row r="358" spans="1:18" s="677" customFormat="1" ht="46.5" hidden="1" customHeight="1">
      <c r="A358" s="662">
        <v>43</v>
      </c>
      <c r="B358" s="663" t="s">
        <v>1543</v>
      </c>
      <c r="C358" s="675"/>
      <c r="D358" s="674"/>
      <c r="E358" s="684"/>
      <c r="F358" s="667">
        <f t="shared" si="23"/>
        <v>0</v>
      </c>
      <c r="G358" s="675"/>
      <c r="H358" s="667">
        <f t="shared" si="20"/>
        <v>0</v>
      </c>
      <c r="I358" s="667"/>
      <c r="J358" s="667"/>
      <c r="K358" s="667" t="e">
        <f>E358+#REF!+#REF!+#REF!+G358+#REF!+#REF!+#REF!+#REF!+#REF!+#REF!+I358+#REF!+#REF!+#REF!</f>
        <v>#REF!</v>
      </c>
      <c r="L358" s="667" t="e">
        <f t="shared" si="21"/>
        <v>#REF!</v>
      </c>
      <c r="M358" s="665" t="e">
        <f>#REF!+K358</f>
        <v>#REF!</v>
      </c>
      <c r="N358" s="666" t="e">
        <f t="shared" si="22"/>
        <v>#REF!</v>
      </c>
      <c r="O358" s="672"/>
      <c r="P358" s="668"/>
      <c r="Q358" s="676"/>
      <c r="R358" s="676"/>
    </row>
    <row r="359" spans="1:18" s="677" customFormat="1" ht="25.5" hidden="1" customHeight="1">
      <c r="A359" s="666"/>
      <c r="B359" s="663" t="s">
        <v>1541</v>
      </c>
      <c r="C359" s="675">
        <f>ROUND([14]Data!K1608,2)</f>
        <v>78398</v>
      </c>
      <c r="D359" s="674" t="s">
        <v>58</v>
      </c>
      <c r="E359" s="684"/>
      <c r="F359" s="667">
        <f t="shared" si="23"/>
        <v>0</v>
      </c>
      <c r="G359" s="675"/>
      <c r="H359" s="667">
        <f t="shared" si="20"/>
        <v>0</v>
      </c>
      <c r="I359" s="667"/>
      <c r="J359" s="667"/>
      <c r="K359" s="667" t="e">
        <f>E359+#REF!+#REF!+#REF!+G359+#REF!+#REF!+#REF!+#REF!+#REF!+#REF!+I359+#REF!+#REF!+#REF!</f>
        <v>#REF!</v>
      </c>
      <c r="L359" s="667" t="e">
        <f t="shared" si="21"/>
        <v>#REF!</v>
      </c>
      <c r="M359" s="665" t="e">
        <f>#REF!+K359</f>
        <v>#REF!</v>
      </c>
      <c r="N359" s="666" t="e">
        <f t="shared" si="22"/>
        <v>#REF!</v>
      </c>
      <c r="O359" s="672"/>
      <c r="P359" s="668"/>
      <c r="Q359" s="676"/>
      <c r="R359" s="676"/>
    </row>
    <row r="360" spans="1:18" s="677" customFormat="1" ht="25.5" hidden="1" customHeight="1">
      <c r="A360" s="690"/>
      <c r="B360" s="663" t="s">
        <v>1542</v>
      </c>
      <c r="C360" s="675">
        <f>ROUND([14]Data!K1620,2)</f>
        <v>78398</v>
      </c>
      <c r="D360" s="674" t="s">
        <v>58</v>
      </c>
      <c r="E360" s="684"/>
      <c r="F360" s="667">
        <f t="shared" si="23"/>
        <v>0</v>
      </c>
      <c r="G360" s="675"/>
      <c r="H360" s="667">
        <f t="shared" si="20"/>
        <v>0</v>
      </c>
      <c r="I360" s="667"/>
      <c r="J360" s="667"/>
      <c r="K360" s="667" t="e">
        <f>E360+#REF!+#REF!+#REF!+G360+#REF!+#REF!+#REF!+#REF!+#REF!+#REF!+I360+#REF!+#REF!+#REF!</f>
        <v>#REF!</v>
      </c>
      <c r="L360" s="667" t="e">
        <f t="shared" si="21"/>
        <v>#REF!</v>
      </c>
      <c r="M360" s="665" t="e">
        <f>#REF!+K360</f>
        <v>#REF!</v>
      </c>
      <c r="N360" s="666" t="e">
        <f t="shared" si="22"/>
        <v>#REF!</v>
      </c>
      <c r="O360" s="672"/>
      <c r="P360" s="668"/>
      <c r="Q360" s="676"/>
      <c r="R360" s="676"/>
    </row>
    <row r="361" spans="1:18" s="677" customFormat="1" ht="25.5" hidden="1" customHeight="1">
      <c r="A361" s="662">
        <v>44.1</v>
      </c>
      <c r="B361" s="663" t="s">
        <v>1544</v>
      </c>
      <c r="C361" s="675">
        <f>ROUND([14]Data!K1638,2)</f>
        <v>321.74</v>
      </c>
      <c r="D361" s="674" t="s">
        <v>61</v>
      </c>
      <c r="E361" s="684"/>
      <c r="F361" s="667">
        <f t="shared" si="23"/>
        <v>0</v>
      </c>
      <c r="G361" s="675"/>
      <c r="H361" s="667">
        <f t="shared" si="20"/>
        <v>0</v>
      </c>
      <c r="I361" s="667"/>
      <c r="J361" s="667"/>
      <c r="K361" s="667" t="e">
        <f>E361+#REF!+#REF!+#REF!+G361+#REF!+#REF!+#REF!+#REF!+#REF!+#REF!+I361+#REF!+#REF!+#REF!</f>
        <v>#REF!</v>
      </c>
      <c r="L361" s="667" t="e">
        <f t="shared" si="21"/>
        <v>#REF!</v>
      </c>
      <c r="M361" s="665" t="e">
        <f>#REF!+K361</f>
        <v>#REF!</v>
      </c>
      <c r="N361" s="666" t="e">
        <f t="shared" si="22"/>
        <v>#REF!</v>
      </c>
      <c r="O361" s="672"/>
      <c r="P361" s="668"/>
      <c r="Q361" s="676"/>
      <c r="R361" s="676"/>
    </row>
    <row r="362" spans="1:18" s="677" customFormat="1" ht="46.5" hidden="1" customHeight="1">
      <c r="A362" s="662">
        <v>44.2</v>
      </c>
      <c r="B362" s="663" t="s">
        <v>1545</v>
      </c>
      <c r="C362" s="675"/>
      <c r="D362" s="674" t="s">
        <v>522</v>
      </c>
      <c r="E362" s="684"/>
      <c r="F362" s="667">
        <f t="shared" si="23"/>
        <v>0</v>
      </c>
      <c r="G362" s="675"/>
      <c r="H362" s="667">
        <f t="shared" si="20"/>
        <v>0</v>
      </c>
      <c r="I362" s="667"/>
      <c r="J362" s="667"/>
      <c r="K362" s="667" t="e">
        <f>E362+#REF!+#REF!+#REF!+G362+#REF!+#REF!+#REF!+#REF!+#REF!+#REF!+I362+#REF!+#REF!+#REF!</f>
        <v>#REF!</v>
      </c>
      <c r="L362" s="667" t="e">
        <f t="shared" si="21"/>
        <v>#REF!</v>
      </c>
      <c r="M362" s="665" t="e">
        <f>#REF!+K362</f>
        <v>#REF!</v>
      </c>
      <c r="N362" s="666" t="e">
        <f t="shared" si="22"/>
        <v>#REF!</v>
      </c>
      <c r="O362" s="672"/>
      <c r="P362" s="668"/>
      <c r="Q362" s="676"/>
      <c r="R362" s="676"/>
    </row>
    <row r="363" spans="1:18" ht="40.5" hidden="1" customHeight="1">
      <c r="A363" s="673">
        <v>45</v>
      </c>
      <c r="B363" s="695" t="s">
        <v>1546</v>
      </c>
      <c r="C363" s="675">
        <f>ROUND([14]Data!K1653,2)</f>
        <v>286.45999999999998</v>
      </c>
      <c r="D363" s="674" t="s">
        <v>264</v>
      </c>
      <c r="E363" s="696"/>
      <c r="F363" s="667">
        <f t="shared" si="23"/>
        <v>0</v>
      </c>
      <c r="G363" s="675"/>
      <c r="H363" s="667">
        <f t="shared" si="20"/>
        <v>0</v>
      </c>
      <c r="I363" s="667"/>
      <c r="J363" s="667"/>
      <c r="K363" s="667" t="e">
        <f>E363+#REF!+#REF!+#REF!+G363+#REF!+#REF!+#REF!+#REF!+#REF!+#REF!+I363+#REF!+#REF!+#REF!</f>
        <v>#REF!</v>
      </c>
      <c r="L363" s="667" t="e">
        <f t="shared" si="21"/>
        <v>#REF!</v>
      </c>
      <c r="M363" s="665" t="e">
        <f>#REF!+K363</f>
        <v>#REF!</v>
      </c>
      <c r="N363" s="666" t="e">
        <f t="shared" si="22"/>
        <v>#REF!</v>
      </c>
      <c r="O363" s="672"/>
      <c r="P363" s="668"/>
    </row>
    <row r="364" spans="1:18" ht="45.75" customHeight="1">
      <c r="A364" s="662">
        <v>46</v>
      </c>
      <c r="B364" s="663" t="s">
        <v>1547</v>
      </c>
      <c r="C364" s="667">
        <f>ROUND([14]Data!K1670,2)</f>
        <v>58</v>
      </c>
      <c r="D364" s="663" t="s">
        <v>61</v>
      </c>
      <c r="E364" s="690"/>
      <c r="F364" s="667">
        <f t="shared" si="23"/>
        <v>0</v>
      </c>
      <c r="G364" s="667"/>
      <c r="H364" s="667">
        <f t="shared" si="20"/>
        <v>0</v>
      </c>
      <c r="I364" s="667"/>
      <c r="J364" s="667"/>
      <c r="K364" s="667" t="e">
        <f>E364+#REF!+#REF!+#REF!+G364+#REF!+#REF!+#REF!+#REF!+#REF!+#REF!+I364+#REF!+#REF!+#REF!</f>
        <v>#REF!</v>
      </c>
      <c r="L364" s="667" t="e">
        <f t="shared" si="21"/>
        <v>#REF!</v>
      </c>
      <c r="M364" s="665" t="e">
        <f>#REF!+K364</f>
        <v>#REF!</v>
      </c>
      <c r="N364" s="666" t="e">
        <f t="shared" si="22"/>
        <v>#REF!</v>
      </c>
      <c r="O364" s="672"/>
      <c r="P364" s="668"/>
    </row>
    <row r="365" spans="1:18" ht="45.75" customHeight="1">
      <c r="A365" s="662">
        <v>47</v>
      </c>
      <c r="B365" s="663" t="s">
        <v>1548</v>
      </c>
      <c r="C365" s="667">
        <f>ROUND([14]Data!K1682,2)</f>
        <v>95</v>
      </c>
      <c r="D365" s="663" t="s">
        <v>522</v>
      </c>
      <c r="E365" s="690"/>
      <c r="F365" s="667">
        <f t="shared" si="23"/>
        <v>0</v>
      </c>
      <c r="G365" s="667"/>
      <c r="H365" s="667">
        <f t="shared" si="20"/>
        <v>0</v>
      </c>
      <c r="I365" s="667"/>
      <c r="J365" s="667"/>
      <c r="K365" s="667" t="e">
        <f>E365+#REF!+#REF!+#REF!+G365+#REF!+#REF!+#REF!+#REF!+#REF!+#REF!+I365+#REF!+#REF!+#REF!</f>
        <v>#REF!</v>
      </c>
      <c r="L365" s="667" t="e">
        <f t="shared" si="21"/>
        <v>#REF!</v>
      </c>
      <c r="M365" s="665" t="e">
        <f>#REF!+K365</f>
        <v>#REF!</v>
      </c>
      <c r="N365" s="666" t="e">
        <f t="shared" si="22"/>
        <v>#REF!</v>
      </c>
      <c r="O365" s="672"/>
      <c r="P365" s="668"/>
    </row>
    <row r="366" spans="1:18" ht="45.75" customHeight="1">
      <c r="A366" s="662">
        <v>48</v>
      </c>
      <c r="B366" s="663" t="s">
        <v>1549</v>
      </c>
      <c r="C366" s="667">
        <f>ROUND([14]Data!K1690,2)</f>
        <v>55</v>
      </c>
      <c r="D366" s="663" t="s">
        <v>522</v>
      </c>
      <c r="E366" s="690"/>
      <c r="F366" s="667">
        <f t="shared" si="23"/>
        <v>0</v>
      </c>
      <c r="G366" s="667"/>
      <c r="H366" s="667">
        <f t="shared" si="20"/>
        <v>0</v>
      </c>
      <c r="I366" s="667"/>
      <c r="J366" s="667"/>
      <c r="K366" s="667" t="e">
        <f>E366+#REF!+#REF!+#REF!+G366+#REF!+#REF!+#REF!+#REF!+#REF!+#REF!+I366+#REF!+#REF!+#REF!</f>
        <v>#REF!</v>
      </c>
      <c r="L366" s="667" t="e">
        <f t="shared" si="21"/>
        <v>#REF!</v>
      </c>
      <c r="M366" s="665" t="e">
        <f>#REF!+K366</f>
        <v>#REF!</v>
      </c>
      <c r="N366" s="666" t="e">
        <f t="shared" si="22"/>
        <v>#REF!</v>
      </c>
      <c r="O366" s="672"/>
      <c r="P366" s="668"/>
    </row>
    <row r="367" spans="1:18" ht="45.75" customHeight="1">
      <c r="A367" s="662">
        <v>49</v>
      </c>
      <c r="B367" s="663" t="s">
        <v>1550</v>
      </c>
      <c r="C367" s="667">
        <f>ROUND([14]Data!K1697,2)</f>
        <v>1.5</v>
      </c>
      <c r="D367" s="663" t="s">
        <v>522</v>
      </c>
      <c r="E367" s="690"/>
      <c r="F367" s="667">
        <f t="shared" si="23"/>
        <v>0</v>
      </c>
      <c r="G367" s="667"/>
      <c r="H367" s="667">
        <f t="shared" si="20"/>
        <v>0</v>
      </c>
      <c r="I367" s="667"/>
      <c r="J367" s="667"/>
      <c r="K367" s="667" t="e">
        <f>E367+#REF!+#REF!+#REF!+G367+#REF!+#REF!+#REF!+#REF!+#REF!+#REF!+I367+#REF!+#REF!+#REF!</f>
        <v>#REF!</v>
      </c>
      <c r="L367" s="667" t="e">
        <f t="shared" si="21"/>
        <v>#REF!</v>
      </c>
      <c r="M367" s="665" t="e">
        <f>#REF!+K367</f>
        <v>#REF!</v>
      </c>
      <c r="N367" s="666" t="e">
        <f t="shared" si="22"/>
        <v>#REF!</v>
      </c>
      <c r="O367" s="672"/>
      <c r="P367" s="668"/>
    </row>
    <row r="368" spans="1:18" s="677" customFormat="1" ht="25.5" hidden="1" customHeight="1">
      <c r="A368" s="662">
        <v>50.1</v>
      </c>
      <c r="B368" s="663" t="s">
        <v>1551</v>
      </c>
      <c r="C368" s="675"/>
      <c r="D368" s="674" t="s">
        <v>264</v>
      </c>
      <c r="E368" s="684"/>
      <c r="F368" s="667">
        <f t="shared" si="23"/>
        <v>0</v>
      </c>
      <c r="G368" s="675"/>
      <c r="H368" s="667">
        <f t="shared" si="20"/>
        <v>0</v>
      </c>
      <c r="I368" s="667"/>
      <c r="J368" s="667"/>
      <c r="K368" s="667" t="e">
        <f>E368+#REF!+#REF!+#REF!+G368+#REF!+#REF!+#REF!+#REF!+#REF!+#REF!+I368+#REF!+#REF!+#REF!</f>
        <v>#REF!</v>
      </c>
      <c r="L368" s="667" t="e">
        <f t="shared" si="21"/>
        <v>#REF!</v>
      </c>
      <c r="M368" s="665" t="e">
        <f>#REF!+K368</f>
        <v>#REF!</v>
      </c>
      <c r="N368" s="666" t="e">
        <f t="shared" si="22"/>
        <v>#REF!</v>
      </c>
      <c r="O368" s="672"/>
      <c r="P368" s="668"/>
      <c r="Q368" s="676"/>
      <c r="R368" s="676"/>
    </row>
    <row r="369" spans="1:19" ht="65.25" customHeight="1">
      <c r="A369" s="673">
        <v>50.2</v>
      </c>
      <c r="B369" s="663" t="s">
        <v>1190</v>
      </c>
      <c r="C369" s="675">
        <f>ROUND([14]Data!K1746,2)</f>
        <v>256.01</v>
      </c>
      <c r="D369" s="674" t="s">
        <v>61</v>
      </c>
      <c r="E369" s="684"/>
      <c r="F369" s="667">
        <f t="shared" si="23"/>
        <v>0</v>
      </c>
      <c r="G369" s="675">
        <f>'PAVER ROAD'!$G$30</f>
        <v>39.15</v>
      </c>
      <c r="H369" s="667">
        <f t="shared" si="20"/>
        <v>10022.791499999999</v>
      </c>
      <c r="I369" s="667"/>
      <c r="J369" s="667"/>
      <c r="K369" s="667" t="e">
        <f>E369+#REF!+#REF!+#REF!+G369+#REF!+#REF!+#REF!+#REF!+#REF!+#REF!+I369+#REF!+#REF!+#REF!</f>
        <v>#REF!</v>
      </c>
      <c r="L369" s="667" t="e">
        <f t="shared" si="21"/>
        <v>#REF!</v>
      </c>
      <c r="M369" s="665" t="e">
        <f>#REF!+K369</f>
        <v>#REF!</v>
      </c>
      <c r="N369" s="666" t="e">
        <f t="shared" si="22"/>
        <v>#REF!</v>
      </c>
      <c r="O369" s="672"/>
      <c r="P369" s="668"/>
    </row>
    <row r="370" spans="1:19" ht="49.5" customHeight="1">
      <c r="A370" s="662">
        <v>50.3</v>
      </c>
      <c r="B370" s="663" t="s">
        <v>1552</v>
      </c>
      <c r="C370" s="667">
        <f>ROUND([14]Data!K1762,2)</f>
        <v>364.3</v>
      </c>
      <c r="D370" s="663" t="s">
        <v>522</v>
      </c>
      <c r="E370" s="699"/>
      <c r="F370" s="667">
        <f t="shared" si="23"/>
        <v>0</v>
      </c>
      <c r="G370" s="667"/>
      <c r="H370" s="667">
        <f t="shared" si="20"/>
        <v>0</v>
      </c>
      <c r="I370" s="667"/>
      <c r="J370" s="667"/>
      <c r="K370" s="667" t="e">
        <f>E370+#REF!+#REF!+#REF!+G370+#REF!+#REF!+#REF!+#REF!+#REF!+#REF!+I370+#REF!+#REF!+#REF!</f>
        <v>#REF!</v>
      </c>
      <c r="L370" s="667" t="e">
        <f t="shared" si="21"/>
        <v>#REF!</v>
      </c>
      <c r="M370" s="665" t="e">
        <f>#REF!+K370</f>
        <v>#REF!</v>
      </c>
      <c r="N370" s="666" t="e">
        <f t="shared" si="22"/>
        <v>#REF!</v>
      </c>
      <c r="O370" s="672"/>
      <c r="P370" s="668"/>
    </row>
    <row r="371" spans="1:19" ht="43.5" customHeight="1">
      <c r="A371" s="662">
        <v>50.4</v>
      </c>
      <c r="B371" s="663" t="s">
        <v>1553</v>
      </c>
      <c r="C371" s="667">
        <f>ROUND([14]Data!K1775,2)</f>
        <v>812.3</v>
      </c>
      <c r="D371" s="663" t="s">
        <v>522</v>
      </c>
      <c r="E371" s="699"/>
      <c r="F371" s="667">
        <f t="shared" si="23"/>
        <v>0</v>
      </c>
      <c r="G371" s="667"/>
      <c r="H371" s="667">
        <f t="shared" si="20"/>
        <v>0</v>
      </c>
      <c r="I371" s="667"/>
      <c r="J371" s="667"/>
      <c r="K371" s="667" t="e">
        <f>E371+#REF!+#REF!+#REF!+G371+#REF!+#REF!+#REF!+#REF!+#REF!+#REF!+I371+#REF!+#REF!+#REF!</f>
        <v>#REF!</v>
      </c>
      <c r="L371" s="667" t="e">
        <f t="shared" si="21"/>
        <v>#REF!</v>
      </c>
      <c r="M371" s="665" t="e">
        <f>#REF!+K371</f>
        <v>#REF!</v>
      </c>
      <c r="N371" s="666" t="e">
        <f t="shared" si="22"/>
        <v>#REF!</v>
      </c>
      <c r="O371" s="672"/>
      <c r="P371" s="668"/>
    </row>
    <row r="372" spans="1:19" ht="62.25" customHeight="1">
      <c r="A372" s="662">
        <v>50.5</v>
      </c>
      <c r="B372" s="663" t="s">
        <v>967</v>
      </c>
      <c r="C372" s="667">
        <f>ROUND([14]Data!K1790,2)</f>
        <v>17344.5</v>
      </c>
      <c r="D372" s="663" t="s">
        <v>522</v>
      </c>
      <c r="E372" s="667"/>
      <c r="F372" s="667">
        <f t="shared" si="23"/>
        <v>0</v>
      </c>
      <c r="G372" s="667"/>
      <c r="H372" s="667">
        <f t="shared" si="20"/>
        <v>0</v>
      </c>
      <c r="I372" s="667"/>
      <c r="J372" s="667"/>
      <c r="K372" s="667" t="e">
        <f>E372+#REF!+#REF!+#REF!+G372+#REF!+#REF!+#REF!+#REF!+#REF!+#REF!+I372+#REF!+#REF!+#REF!</f>
        <v>#REF!</v>
      </c>
      <c r="L372" s="667" t="e">
        <f t="shared" si="21"/>
        <v>#REF!</v>
      </c>
      <c r="M372" s="665" t="e">
        <f>#REF!+K372</f>
        <v>#REF!</v>
      </c>
      <c r="N372" s="666" t="e">
        <f t="shared" si="22"/>
        <v>#REF!</v>
      </c>
      <c r="O372" s="672"/>
      <c r="P372" s="668"/>
    </row>
    <row r="373" spans="1:19" s="677" customFormat="1" ht="53.25" hidden="1" customHeight="1">
      <c r="A373" s="662">
        <v>51</v>
      </c>
      <c r="B373" s="663" t="s">
        <v>1554</v>
      </c>
      <c r="C373" s="675">
        <f>ROUND([14]Data!K1796,2)</f>
        <v>6720</v>
      </c>
      <c r="D373" s="674" t="s">
        <v>522</v>
      </c>
      <c r="E373" s="684"/>
      <c r="F373" s="667">
        <f t="shared" si="23"/>
        <v>0</v>
      </c>
      <c r="G373" s="675"/>
      <c r="H373" s="667">
        <f t="shared" si="20"/>
        <v>0</v>
      </c>
      <c r="I373" s="667"/>
      <c r="J373" s="667"/>
      <c r="K373" s="667" t="e">
        <f>E373+#REF!+#REF!+#REF!+G373+#REF!+#REF!+#REF!+#REF!+#REF!+#REF!+I373+#REF!+#REF!+#REF!</f>
        <v>#REF!</v>
      </c>
      <c r="L373" s="667" t="e">
        <f t="shared" si="21"/>
        <v>#REF!</v>
      </c>
      <c r="M373" s="665" t="e">
        <f>#REF!+K373</f>
        <v>#REF!</v>
      </c>
      <c r="N373" s="666" t="e">
        <f t="shared" si="22"/>
        <v>#REF!</v>
      </c>
      <c r="O373" s="672"/>
      <c r="P373" s="668"/>
      <c r="Q373" s="676"/>
      <c r="R373" s="676"/>
    </row>
    <row r="374" spans="1:19" s="683" customFormat="1" ht="43.5" customHeight="1">
      <c r="A374" s="662">
        <v>52</v>
      </c>
      <c r="B374" s="685" t="s">
        <v>1555</v>
      </c>
      <c r="C374" s="667"/>
      <c r="D374" s="663"/>
      <c r="E374" s="667"/>
      <c r="F374" s="667">
        <f t="shared" si="23"/>
        <v>0</v>
      </c>
      <c r="G374" s="667"/>
      <c r="H374" s="667">
        <f t="shared" si="20"/>
        <v>0</v>
      </c>
      <c r="I374" s="667"/>
      <c r="J374" s="667"/>
      <c r="K374" s="667" t="e">
        <f>E374+#REF!+#REF!+#REF!+G374+#REF!+#REF!+#REF!+#REF!+#REF!+#REF!+I374+#REF!+#REF!+#REF!</f>
        <v>#REF!</v>
      </c>
      <c r="L374" s="667" t="e">
        <f t="shared" si="21"/>
        <v>#REF!</v>
      </c>
      <c r="M374" s="665" t="e">
        <f>#REF!+K374</f>
        <v>#REF!</v>
      </c>
      <c r="N374" s="666" t="e">
        <f t="shared" si="22"/>
        <v>#REF!</v>
      </c>
      <c r="O374" s="668"/>
      <c r="P374" s="668"/>
      <c r="Q374" s="678"/>
      <c r="R374" s="669"/>
      <c r="S374" s="679"/>
    </row>
    <row r="375" spans="1:19" s="683" customFormat="1" ht="43.5" customHeight="1">
      <c r="A375" s="666"/>
      <c r="B375" s="663" t="s">
        <v>1556</v>
      </c>
      <c r="C375" s="667">
        <f>ROUND([14]Data!K1890,2)</f>
        <v>225.97</v>
      </c>
      <c r="D375" s="663" t="s">
        <v>61</v>
      </c>
      <c r="E375" s="690"/>
      <c r="F375" s="667">
        <f t="shared" si="23"/>
        <v>0</v>
      </c>
      <c r="G375" s="667"/>
      <c r="H375" s="667">
        <f t="shared" si="20"/>
        <v>0</v>
      </c>
      <c r="I375" s="667"/>
      <c r="J375" s="667"/>
      <c r="K375" s="667" t="e">
        <f>E375+#REF!+#REF!+#REF!+G375+#REF!+#REF!+#REF!+#REF!+#REF!+#REF!+I375+#REF!+#REF!+#REF!</f>
        <v>#REF!</v>
      </c>
      <c r="L375" s="667" t="e">
        <f t="shared" si="21"/>
        <v>#REF!</v>
      </c>
      <c r="M375" s="665" t="e">
        <f>#REF!+K375</f>
        <v>#REF!</v>
      </c>
      <c r="N375" s="666" t="e">
        <f t="shared" si="22"/>
        <v>#REF!</v>
      </c>
      <c r="O375" s="672"/>
      <c r="P375" s="668"/>
      <c r="Q375" s="669"/>
      <c r="R375" s="669"/>
    </row>
    <row r="376" spans="1:19" s="683" customFormat="1" ht="43.5" customHeight="1">
      <c r="A376" s="666"/>
      <c r="B376" s="663" t="s">
        <v>1557</v>
      </c>
      <c r="C376" s="667">
        <f>ROUND([14]Data!K1882,2)</f>
        <v>208.73</v>
      </c>
      <c r="D376" s="663" t="s">
        <v>61</v>
      </c>
      <c r="E376" s="690"/>
      <c r="F376" s="667">
        <f t="shared" si="23"/>
        <v>0</v>
      </c>
      <c r="G376" s="667"/>
      <c r="H376" s="667">
        <f t="shared" si="20"/>
        <v>0</v>
      </c>
      <c r="I376" s="667"/>
      <c r="J376" s="667"/>
      <c r="K376" s="667" t="e">
        <f>E376+#REF!+#REF!+#REF!+G376+#REF!+#REF!+#REF!+#REF!+#REF!+#REF!+I376+#REF!+#REF!+#REF!</f>
        <v>#REF!</v>
      </c>
      <c r="L376" s="667" t="e">
        <f t="shared" si="21"/>
        <v>#REF!</v>
      </c>
      <c r="M376" s="665" t="e">
        <f>#REF!+K376</f>
        <v>#REF!</v>
      </c>
      <c r="N376" s="666" t="e">
        <f t="shared" si="22"/>
        <v>#REF!</v>
      </c>
      <c r="O376" s="672"/>
      <c r="P376" s="668"/>
      <c r="Q376" s="669"/>
      <c r="R376" s="669"/>
    </row>
    <row r="377" spans="1:19" s="677" customFormat="1" ht="41.25" customHeight="1">
      <c r="A377" s="690"/>
      <c r="B377" s="663" t="s">
        <v>1558</v>
      </c>
      <c r="C377" s="675">
        <f>ROUND([14]Data!K1874,2)</f>
        <v>203.95</v>
      </c>
      <c r="D377" s="674" t="s">
        <v>61</v>
      </c>
      <c r="E377" s="684"/>
      <c r="F377" s="667">
        <f t="shared" si="23"/>
        <v>0</v>
      </c>
      <c r="G377" s="675"/>
      <c r="H377" s="667">
        <f t="shared" si="20"/>
        <v>0</v>
      </c>
      <c r="I377" s="667"/>
      <c r="J377" s="667"/>
      <c r="K377" s="667" t="e">
        <f>E377+#REF!+#REF!+#REF!+G377+#REF!+#REF!+#REF!+#REF!+#REF!+#REF!+I377+#REF!+#REF!+#REF!</f>
        <v>#REF!</v>
      </c>
      <c r="L377" s="667" t="e">
        <f t="shared" si="21"/>
        <v>#REF!</v>
      </c>
      <c r="M377" s="665" t="e">
        <f>#REF!+K377</f>
        <v>#REF!</v>
      </c>
      <c r="N377" s="666" t="e">
        <f t="shared" si="22"/>
        <v>#REF!</v>
      </c>
      <c r="O377" s="672"/>
      <c r="P377" s="668"/>
      <c r="Q377" s="676"/>
      <c r="R377" s="676"/>
    </row>
    <row r="378" spans="1:19" ht="60" customHeight="1">
      <c r="A378" s="662">
        <v>52.1</v>
      </c>
      <c r="B378" s="663" t="s">
        <v>1559</v>
      </c>
      <c r="C378" s="667">
        <f>ROUND([14]Data!K1927,2)</f>
        <v>286.08</v>
      </c>
      <c r="D378" s="663" t="s">
        <v>61</v>
      </c>
      <c r="E378" s="667"/>
      <c r="F378" s="667">
        <f t="shared" si="23"/>
        <v>0</v>
      </c>
      <c r="G378" s="667"/>
      <c r="H378" s="667">
        <f t="shared" si="20"/>
        <v>0</v>
      </c>
      <c r="I378" s="667"/>
      <c r="J378" s="667"/>
      <c r="K378" s="667" t="e">
        <f>E378+#REF!+#REF!+#REF!+G378+#REF!+#REF!+#REF!+#REF!+#REF!+#REF!+I378+#REF!+#REF!+#REF!</f>
        <v>#REF!</v>
      </c>
      <c r="L378" s="667" t="e">
        <f t="shared" si="21"/>
        <v>#REF!</v>
      </c>
      <c r="M378" s="665" t="e">
        <f>#REF!+K378</f>
        <v>#REF!</v>
      </c>
      <c r="N378" s="666" t="e">
        <f t="shared" si="22"/>
        <v>#REF!</v>
      </c>
      <c r="O378" s="672"/>
      <c r="P378" s="668"/>
    </row>
    <row r="379" spans="1:19" s="677" customFormat="1" ht="56.25" hidden="1" customHeight="1">
      <c r="A379" s="662">
        <v>53.1</v>
      </c>
      <c r="B379" s="663" t="s">
        <v>1142</v>
      </c>
      <c r="C379" s="675">
        <f>ROUND([14]Data!K1948,2)</f>
        <v>3104.82</v>
      </c>
      <c r="D379" s="674" t="s">
        <v>522</v>
      </c>
      <c r="E379" s="684"/>
      <c r="F379" s="667">
        <f t="shared" si="23"/>
        <v>0</v>
      </c>
      <c r="G379" s="675"/>
      <c r="H379" s="667">
        <f t="shared" si="20"/>
        <v>0</v>
      </c>
      <c r="I379" s="667"/>
      <c r="J379" s="667"/>
      <c r="K379" s="667" t="e">
        <f>E379+#REF!+#REF!+#REF!+G379+#REF!+#REF!+#REF!+#REF!+#REF!+#REF!+I379+#REF!+#REF!+#REF!</f>
        <v>#REF!</v>
      </c>
      <c r="L379" s="667" t="e">
        <f t="shared" si="21"/>
        <v>#REF!</v>
      </c>
      <c r="M379" s="665" t="e">
        <f>#REF!+K379</f>
        <v>#REF!</v>
      </c>
      <c r="N379" s="666" t="e">
        <f t="shared" si="22"/>
        <v>#REF!</v>
      </c>
      <c r="O379" s="672"/>
      <c r="P379" s="668"/>
      <c r="Q379" s="676"/>
      <c r="R379" s="676"/>
    </row>
    <row r="380" spans="1:19" s="677" customFormat="1" ht="43.5" hidden="1" customHeight="1">
      <c r="A380" s="662">
        <v>53.2</v>
      </c>
      <c r="B380" s="663" t="s">
        <v>1560</v>
      </c>
      <c r="C380" s="675"/>
      <c r="D380" s="674" t="s">
        <v>522</v>
      </c>
      <c r="E380" s="684"/>
      <c r="F380" s="667">
        <f t="shared" si="23"/>
        <v>0</v>
      </c>
      <c r="G380" s="675"/>
      <c r="H380" s="667">
        <f t="shared" si="20"/>
        <v>0</v>
      </c>
      <c r="I380" s="667"/>
      <c r="J380" s="667"/>
      <c r="K380" s="667" t="e">
        <f>E380+#REF!+#REF!+#REF!+G380+#REF!+#REF!+#REF!+#REF!+#REF!+#REF!+I380+#REF!+#REF!+#REF!</f>
        <v>#REF!</v>
      </c>
      <c r="L380" s="667" t="e">
        <f t="shared" si="21"/>
        <v>#REF!</v>
      </c>
      <c r="M380" s="665" t="e">
        <f>#REF!+K380</f>
        <v>#REF!</v>
      </c>
      <c r="N380" s="666" t="e">
        <f t="shared" si="22"/>
        <v>#REF!</v>
      </c>
      <c r="O380" s="672"/>
      <c r="P380" s="668"/>
      <c r="Q380" s="676"/>
      <c r="R380" s="676"/>
    </row>
    <row r="381" spans="1:19" ht="60.75" customHeight="1">
      <c r="A381" s="662">
        <v>53.3</v>
      </c>
      <c r="B381" s="663" t="s">
        <v>1561</v>
      </c>
      <c r="C381" s="667">
        <f>ROUND([14]Data!K1952,2)</f>
        <v>30</v>
      </c>
      <c r="D381" s="663" t="s">
        <v>522</v>
      </c>
      <c r="E381" s="667"/>
      <c r="F381" s="667">
        <f t="shared" si="23"/>
        <v>0</v>
      </c>
      <c r="G381" s="667"/>
      <c r="H381" s="667">
        <f t="shared" si="20"/>
        <v>0</v>
      </c>
      <c r="I381" s="667"/>
      <c r="J381" s="667"/>
      <c r="K381" s="667" t="e">
        <f>E381+#REF!+#REF!+#REF!+G381+#REF!+#REF!+#REF!+#REF!+#REF!+#REF!+I381+#REF!+#REF!+#REF!</f>
        <v>#REF!</v>
      </c>
      <c r="L381" s="667" t="e">
        <f t="shared" si="21"/>
        <v>#REF!</v>
      </c>
      <c r="M381" s="665" t="e">
        <f>#REF!+K381</f>
        <v>#REF!</v>
      </c>
      <c r="N381" s="666" t="e">
        <f t="shared" si="22"/>
        <v>#REF!</v>
      </c>
      <c r="O381" s="672"/>
      <c r="P381" s="668"/>
    </row>
    <row r="382" spans="1:19" s="677" customFormat="1" ht="25.5" hidden="1" customHeight="1">
      <c r="A382" s="700">
        <v>54</v>
      </c>
      <c r="B382" s="663" t="s">
        <v>1562</v>
      </c>
      <c r="C382" s="675">
        <f>ROUND([14]Data!K1954,2)</f>
        <v>204</v>
      </c>
      <c r="D382" s="674" t="s">
        <v>522</v>
      </c>
      <c r="E382" s="684"/>
      <c r="F382" s="667">
        <f t="shared" si="23"/>
        <v>0</v>
      </c>
      <c r="G382" s="675"/>
      <c r="H382" s="667">
        <f t="shared" si="20"/>
        <v>0</v>
      </c>
      <c r="I382" s="667"/>
      <c r="J382" s="667"/>
      <c r="K382" s="667" t="e">
        <f>E382+#REF!+#REF!+#REF!+G382+#REF!+#REF!+#REF!+#REF!+#REF!+#REF!+I382+#REF!+#REF!+#REF!</f>
        <v>#REF!</v>
      </c>
      <c r="L382" s="667" t="e">
        <f t="shared" si="21"/>
        <v>#REF!</v>
      </c>
      <c r="M382" s="665" t="e">
        <f>#REF!+K382</f>
        <v>#REF!</v>
      </c>
      <c r="N382" s="666" t="e">
        <f t="shared" si="22"/>
        <v>#REF!</v>
      </c>
      <c r="O382" s="672"/>
      <c r="P382" s="668"/>
      <c r="Q382" s="676"/>
      <c r="R382" s="676"/>
    </row>
    <row r="383" spans="1:19" s="677" customFormat="1" ht="36.75" hidden="1" customHeight="1">
      <c r="A383" s="662">
        <v>54.1</v>
      </c>
      <c r="B383" s="663" t="s">
        <v>1563</v>
      </c>
      <c r="C383" s="675">
        <f>ROUND([14]Data!K1957,2)</f>
        <v>300</v>
      </c>
      <c r="D383" s="674" t="s">
        <v>522</v>
      </c>
      <c r="E383" s="684"/>
      <c r="F383" s="667">
        <f t="shared" si="23"/>
        <v>0</v>
      </c>
      <c r="G383" s="675"/>
      <c r="H383" s="667">
        <f t="shared" si="20"/>
        <v>0</v>
      </c>
      <c r="I383" s="667"/>
      <c r="J383" s="667"/>
      <c r="K383" s="667" t="e">
        <f>E383+#REF!+#REF!+#REF!+G383+#REF!+#REF!+#REF!+#REF!+#REF!+#REF!+I383+#REF!+#REF!+#REF!</f>
        <v>#REF!</v>
      </c>
      <c r="L383" s="667" t="e">
        <f t="shared" si="21"/>
        <v>#REF!</v>
      </c>
      <c r="M383" s="665" t="e">
        <f>#REF!+K383</f>
        <v>#REF!</v>
      </c>
      <c r="N383" s="666" t="e">
        <f t="shared" si="22"/>
        <v>#REF!</v>
      </c>
      <c r="O383" s="672"/>
      <c r="P383" s="668"/>
      <c r="Q383" s="676"/>
      <c r="R383" s="676"/>
    </row>
    <row r="384" spans="1:19" s="677" customFormat="1" ht="36.75" hidden="1" customHeight="1">
      <c r="A384" s="662">
        <v>54.2</v>
      </c>
      <c r="B384" s="663" t="s">
        <v>1564</v>
      </c>
      <c r="C384" s="675">
        <f>ROUND([14]Data!K1960,2)</f>
        <v>250</v>
      </c>
      <c r="D384" s="674" t="s">
        <v>522</v>
      </c>
      <c r="E384" s="684"/>
      <c r="F384" s="667">
        <f t="shared" si="23"/>
        <v>0</v>
      </c>
      <c r="G384" s="675"/>
      <c r="H384" s="667">
        <f t="shared" si="20"/>
        <v>0</v>
      </c>
      <c r="I384" s="667"/>
      <c r="J384" s="667"/>
      <c r="K384" s="667" t="e">
        <f>E384+#REF!+#REF!+#REF!+G384+#REF!+#REF!+#REF!+#REF!+#REF!+#REF!+I384+#REF!+#REF!+#REF!</f>
        <v>#REF!</v>
      </c>
      <c r="L384" s="667" t="e">
        <f t="shared" si="21"/>
        <v>#REF!</v>
      </c>
      <c r="M384" s="665" t="e">
        <f>#REF!+K384</f>
        <v>#REF!</v>
      </c>
      <c r="N384" s="666" t="e">
        <f t="shared" si="22"/>
        <v>#REF!</v>
      </c>
      <c r="O384" s="672"/>
      <c r="P384" s="668"/>
      <c r="Q384" s="676"/>
      <c r="R384" s="676"/>
    </row>
    <row r="385" spans="1:18" s="677" customFormat="1" ht="25.5" hidden="1" customHeight="1">
      <c r="A385" s="662">
        <v>55.1</v>
      </c>
      <c r="B385" s="663" t="s">
        <v>1565</v>
      </c>
      <c r="C385" s="675">
        <f>[14]Data!K2403</f>
        <v>822.61</v>
      </c>
      <c r="D385" s="674" t="s">
        <v>522</v>
      </c>
      <c r="E385" s="684"/>
      <c r="F385" s="667">
        <f t="shared" si="23"/>
        <v>0</v>
      </c>
      <c r="G385" s="675"/>
      <c r="H385" s="667">
        <f t="shared" si="20"/>
        <v>0</v>
      </c>
      <c r="I385" s="667"/>
      <c r="J385" s="667"/>
      <c r="K385" s="667" t="e">
        <f>E385+#REF!+#REF!+#REF!+G385+#REF!+#REF!+#REF!+#REF!+#REF!+#REF!+I385+#REF!+#REF!+#REF!</f>
        <v>#REF!</v>
      </c>
      <c r="L385" s="667" t="e">
        <f t="shared" si="21"/>
        <v>#REF!</v>
      </c>
      <c r="M385" s="665" t="e">
        <f>#REF!+K385</f>
        <v>#REF!</v>
      </c>
      <c r="N385" s="666" t="e">
        <f t="shared" si="22"/>
        <v>#REF!</v>
      </c>
      <c r="O385" s="672"/>
      <c r="P385" s="668"/>
      <c r="Q385" s="676"/>
      <c r="R385" s="676"/>
    </row>
    <row r="386" spans="1:18" s="677" customFormat="1" ht="45.75" customHeight="1">
      <c r="A386" s="662">
        <v>55.2</v>
      </c>
      <c r="B386" s="663" t="s">
        <v>1566</v>
      </c>
      <c r="C386" s="675">
        <f>[14]Data!K2415</f>
        <v>2016.25</v>
      </c>
      <c r="D386" s="674" t="s">
        <v>522</v>
      </c>
      <c r="E386" s="684"/>
      <c r="F386" s="667">
        <f t="shared" si="23"/>
        <v>0</v>
      </c>
      <c r="G386" s="675"/>
      <c r="H386" s="667">
        <f t="shared" si="20"/>
        <v>0</v>
      </c>
      <c r="I386" s="667"/>
      <c r="J386" s="667"/>
      <c r="K386" s="667" t="e">
        <f>E386+#REF!+#REF!+#REF!+G386+#REF!+#REF!+#REF!+#REF!+#REF!+#REF!+I386+#REF!+#REF!+#REF!</f>
        <v>#REF!</v>
      </c>
      <c r="L386" s="667" t="e">
        <f t="shared" si="21"/>
        <v>#REF!</v>
      </c>
      <c r="M386" s="665" t="e">
        <f>#REF!+K386</f>
        <v>#REF!</v>
      </c>
      <c r="N386" s="666" t="e">
        <f t="shared" si="22"/>
        <v>#REF!</v>
      </c>
      <c r="O386" s="672"/>
      <c r="P386" s="668"/>
      <c r="Q386" s="676"/>
      <c r="R386" s="676"/>
    </row>
    <row r="387" spans="1:18" s="677" customFormat="1" ht="25.5" hidden="1" customHeight="1">
      <c r="A387" s="662">
        <v>56.1</v>
      </c>
      <c r="B387" s="663" t="s">
        <v>1567</v>
      </c>
      <c r="C387" s="675">
        <f>ROUND([14]Data!K1977,2)</f>
        <v>3071.23</v>
      </c>
      <c r="D387" s="674" t="s">
        <v>522</v>
      </c>
      <c r="E387" s="684"/>
      <c r="F387" s="667">
        <f t="shared" si="23"/>
        <v>0</v>
      </c>
      <c r="G387" s="675"/>
      <c r="H387" s="667">
        <f t="shared" si="20"/>
        <v>0</v>
      </c>
      <c r="I387" s="667"/>
      <c r="J387" s="667"/>
      <c r="K387" s="667" t="e">
        <f>E387+#REF!+#REF!+#REF!+G387+#REF!+#REF!+#REF!+#REF!+#REF!+#REF!+I387+#REF!+#REF!+#REF!</f>
        <v>#REF!</v>
      </c>
      <c r="L387" s="667" t="e">
        <f t="shared" si="21"/>
        <v>#REF!</v>
      </c>
      <c r="M387" s="665" t="e">
        <f>#REF!+K387</f>
        <v>#REF!</v>
      </c>
      <c r="N387" s="666" t="e">
        <f t="shared" si="22"/>
        <v>#REF!</v>
      </c>
      <c r="O387" s="672"/>
      <c r="P387" s="668"/>
      <c r="Q387" s="676"/>
      <c r="R387" s="676"/>
    </row>
    <row r="388" spans="1:18" s="677" customFormat="1" ht="25.5" hidden="1" customHeight="1">
      <c r="A388" s="662">
        <v>56.2</v>
      </c>
      <c r="B388" s="663" t="s">
        <v>1568</v>
      </c>
      <c r="C388" s="675">
        <f>ROUND([14]Data!K1998,2)</f>
        <v>4786.87</v>
      </c>
      <c r="D388" s="674" t="s">
        <v>522</v>
      </c>
      <c r="E388" s="696"/>
      <c r="F388" s="667">
        <f t="shared" si="23"/>
        <v>0</v>
      </c>
      <c r="G388" s="675"/>
      <c r="H388" s="667">
        <f t="shared" si="20"/>
        <v>0</v>
      </c>
      <c r="I388" s="667"/>
      <c r="J388" s="667"/>
      <c r="K388" s="667" t="e">
        <f>E388+#REF!+#REF!+#REF!+G388+#REF!+#REF!+#REF!+#REF!+#REF!+#REF!+I388+#REF!+#REF!+#REF!</f>
        <v>#REF!</v>
      </c>
      <c r="L388" s="667" t="e">
        <f t="shared" si="21"/>
        <v>#REF!</v>
      </c>
      <c r="M388" s="665" t="e">
        <f>#REF!+K388</f>
        <v>#REF!</v>
      </c>
      <c r="N388" s="666" t="e">
        <f t="shared" si="22"/>
        <v>#REF!</v>
      </c>
      <c r="O388" s="672"/>
      <c r="P388" s="668"/>
      <c r="Q388" s="676"/>
      <c r="R388" s="676"/>
    </row>
    <row r="389" spans="1:18" s="677" customFormat="1" ht="41.25" hidden="1" customHeight="1">
      <c r="A389" s="700">
        <v>57</v>
      </c>
      <c r="B389" s="663" t="s">
        <v>1569</v>
      </c>
      <c r="C389" s="675">
        <f>ROUND([14]Data!K2015,2)</f>
        <v>6531.2</v>
      </c>
      <c r="D389" s="674" t="s">
        <v>522</v>
      </c>
      <c r="E389" s="684"/>
      <c r="F389" s="667">
        <f t="shared" si="23"/>
        <v>0</v>
      </c>
      <c r="G389" s="675"/>
      <c r="H389" s="667">
        <f t="shared" si="20"/>
        <v>0</v>
      </c>
      <c r="I389" s="667"/>
      <c r="J389" s="667"/>
      <c r="K389" s="667" t="e">
        <f>E389+#REF!+#REF!+#REF!+G389+#REF!+#REF!+#REF!+#REF!+#REF!+#REF!+I389+#REF!+#REF!+#REF!</f>
        <v>#REF!</v>
      </c>
      <c r="L389" s="667" t="e">
        <f t="shared" si="21"/>
        <v>#REF!</v>
      </c>
      <c r="M389" s="665" t="e">
        <f>#REF!+K389</f>
        <v>#REF!</v>
      </c>
      <c r="N389" s="666" t="e">
        <f t="shared" si="22"/>
        <v>#REF!</v>
      </c>
      <c r="O389" s="672"/>
      <c r="P389" s="668"/>
      <c r="Q389" s="676"/>
      <c r="R389" s="676"/>
    </row>
    <row r="390" spans="1:18" s="677" customFormat="1" ht="45.75" hidden="1" customHeight="1">
      <c r="A390" s="662">
        <v>57.1</v>
      </c>
      <c r="B390" s="663" t="s">
        <v>1570</v>
      </c>
      <c r="C390" s="675">
        <f>ROUND([14]Data!K2034,2)</f>
        <v>6891.2</v>
      </c>
      <c r="D390" s="674" t="s">
        <v>522</v>
      </c>
      <c r="E390" s="684"/>
      <c r="F390" s="667">
        <f t="shared" si="23"/>
        <v>0</v>
      </c>
      <c r="G390" s="675"/>
      <c r="H390" s="667">
        <f t="shared" ref="H390:H453" si="24">G390*C390</f>
        <v>0</v>
      </c>
      <c r="I390" s="667"/>
      <c r="J390" s="667"/>
      <c r="K390" s="667" t="e">
        <f>E390+#REF!+#REF!+#REF!+G390+#REF!+#REF!+#REF!+#REF!+#REF!+#REF!+I390+#REF!+#REF!+#REF!</f>
        <v>#REF!</v>
      </c>
      <c r="L390" s="667" t="e">
        <f t="shared" ref="L390:L453" si="25">K390*C390</f>
        <v>#REF!</v>
      </c>
      <c r="M390" s="665" t="e">
        <f>#REF!+K390</f>
        <v>#REF!</v>
      </c>
      <c r="N390" s="666" t="e">
        <f t="shared" ref="N390:N453" si="26">M390*C390</f>
        <v>#REF!</v>
      </c>
      <c r="O390" s="672"/>
      <c r="P390" s="668"/>
      <c r="Q390" s="676"/>
      <c r="R390" s="676"/>
    </row>
    <row r="391" spans="1:18" s="677" customFormat="1" ht="20.100000000000001" hidden="1" customHeight="1">
      <c r="A391" s="662">
        <v>58.1</v>
      </c>
      <c r="B391" s="663" t="s">
        <v>1571</v>
      </c>
      <c r="C391" s="675"/>
      <c r="D391" s="674"/>
      <c r="E391" s="684"/>
      <c r="F391" s="667">
        <f t="shared" si="23"/>
        <v>0</v>
      </c>
      <c r="G391" s="675"/>
      <c r="H391" s="667">
        <f t="shared" si="24"/>
        <v>0</v>
      </c>
      <c r="I391" s="667"/>
      <c r="J391" s="667"/>
      <c r="K391" s="667" t="e">
        <f>E391+#REF!+#REF!+#REF!+G391+#REF!+#REF!+#REF!+#REF!+#REF!+#REF!+I391+#REF!+#REF!+#REF!</f>
        <v>#REF!</v>
      </c>
      <c r="L391" s="667" t="e">
        <f t="shared" si="25"/>
        <v>#REF!</v>
      </c>
      <c r="M391" s="665" t="e">
        <f>#REF!+K391</f>
        <v>#REF!</v>
      </c>
      <c r="N391" s="666" t="e">
        <f t="shared" si="26"/>
        <v>#REF!</v>
      </c>
      <c r="O391" s="672"/>
      <c r="P391" s="668"/>
      <c r="Q391" s="676"/>
      <c r="R391" s="676"/>
    </row>
    <row r="392" spans="1:18" s="677" customFormat="1" ht="20.100000000000001" hidden="1" customHeight="1">
      <c r="A392" s="666"/>
      <c r="B392" s="663" t="s">
        <v>1572</v>
      </c>
      <c r="C392" s="675">
        <f>ROUND([14]Data!K2063,2)</f>
        <v>657.29</v>
      </c>
      <c r="D392" s="674" t="s">
        <v>61</v>
      </c>
      <c r="E392" s="684"/>
      <c r="F392" s="667">
        <f t="shared" si="23"/>
        <v>0</v>
      </c>
      <c r="G392" s="675"/>
      <c r="H392" s="667">
        <f t="shared" si="24"/>
        <v>0</v>
      </c>
      <c r="I392" s="667"/>
      <c r="J392" s="667"/>
      <c r="K392" s="667" t="e">
        <f>E392+#REF!+#REF!+#REF!+G392+#REF!+#REF!+#REF!+#REF!+#REF!+#REF!+I392+#REF!+#REF!+#REF!</f>
        <v>#REF!</v>
      </c>
      <c r="L392" s="667" t="e">
        <f t="shared" si="25"/>
        <v>#REF!</v>
      </c>
      <c r="M392" s="665" t="e">
        <f>#REF!+K392</f>
        <v>#REF!</v>
      </c>
      <c r="N392" s="666" t="e">
        <f t="shared" si="26"/>
        <v>#REF!</v>
      </c>
      <c r="O392" s="672"/>
      <c r="P392" s="668"/>
      <c r="Q392" s="676"/>
      <c r="R392" s="676"/>
    </row>
    <row r="393" spans="1:18" s="677" customFormat="1" ht="20.100000000000001" hidden="1" customHeight="1">
      <c r="A393" s="690"/>
      <c r="B393" s="663" t="s">
        <v>1573</v>
      </c>
      <c r="C393" s="675">
        <f>ROUND([14]Data!K2087,2)</f>
        <v>541.41999999999996</v>
      </c>
      <c r="D393" s="674" t="s">
        <v>61</v>
      </c>
      <c r="E393" s="684"/>
      <c r="F393" s="667">
        <f t="shared" si="23"/>
        <v>0</v>
      </c>
      <c r="G393" s="675"/>
      <c r="H393" s="667">
        <f t="shared" si="24"/>
        <v>0</v>
      </c>
      <c r="I393" s="667"/>
      <c r="J393" s="667"/>
      <c r="K393" s="667" t="e">
        <f>E393+#REF!+#REF!+#REF!+G393+#REF!+#REF!+#REF!+#REF!+#REF!+#REF!+I393+#REF!+#REF!+#REF!</f>
        <v>#REF!</v>
      </c>
      <c r="L393" s="667" t="e">
        <f t="shared" si="25"/>
        <v>#REF!</v>
      </c>
      <c r="M393" s="665" t="e">
        <f>#REF!+K393</f>
        <v>#REF!</v>
      </c>
      <c r="N393" s="666" t="e">
        <f t="shared" si="26"/>
        <v>#REF!</v>
      </c>
      <c r="O393" s="672"/>
      <c r="P393" s="668"/>
      <c r="Q393" s="676"/>
      <c r="R393" s="676"/>
    </row>
    <row r="394" spans="1:18" s="677" customFormat="1" ht="20.100000000000001" hidden="1" customHeight="1">
      <c r="A394" s="662">
        <v>58.2</v>
      </c>
      <c r="B394" s="663" t="s">
        <v>1574</v>
      </c>
      <c r="C394" s="675">
        <f>ROUND([14]Data!K2098,2)</f>
        <v>450.1</v>
      </c>
      <c r="D394" s="674" t="s">
        <v>522</v>
      </c>
      <c r="E394" s="684"/>
      <c r="F394" s="667">
        <f t="shared" si="23"/>
        <v>0</v>
      </c>
      <c r="G394" s="675"/>
      <c r="H394" s="667">
        <f t="shared" si="24"/>
        <v>0</v>
      </c>
      <c r="I394" s="667"/>
      <c r="J394" s="667"/>
      <c r="K394" s="667" t="e">
        <f>E394+#REF!+#REF!+#REF!+G394+#REF!+#REF!+#REF!+#REF!+#REF!+#REF!+I394+#REF!+#REF!+#REF!</f>
        <v>#REF!</v>
      </c>
      <c r="L394" s="667" t="e">
        <f t="shared" si="25"/>
        <v>#REF!</v>
      </c>
      <c r="M394" s="665" t="e">
        <f>#REF!+K394</f>
        <v>#REF!</v>
      </c>
      <c r="N394" s="666" t="e">
        <f t="shared" si="26"/>
        <v>#REF!</v>
      </c>
      <c r="O394" s="672"/>
      <c r="P394" s="668"/>
      <c r="Q394" s="676"/>
      <c r="R394" s="676"/>
    </row>
    <row r="395" spans="1:18" s="677" customFormat="1" ht="39.950000000000003" hidden="1" customHeight="1">
      <c r="A395" s="662">
        <v>59.1</v>
      </c>
      <c r="B395" s="663" t="s">
        <v>1575</v>
      </c>
      <c r="C395" s="675"/>
      <c r="D395" s="674" t="s">
        <v>522</v>
      </c>
      <c r="E395" s="684"/>
      <c r="F395" s="667">
        <f t="shared" si="23"/>
        <v>0</v>
      </c>
      <c r="G395" s="675"/>
      <c r="H395" s="667">
        <f t="shared" si="24"/>
        <v>0</v>
      </c>
      <c r="I395" s="667"/>
      <c r="J395" s="667"/>
      <c r="K395" s="667" t="e">
        <f>E395+#REF!+#REF!+#REF!+G395+#REF!+#REF!+#REF!+#REF!+#REF!+#REF!+I395+#REF!+#REF!+#REF!</f>
        <v>#REF!</v>
      </c>
      <c r="L395" s="667" t="e">
        <f t="shared" si="25"/>
        <v>#REF!</v>
      </c>
      <c r="M395" s="665" t="e">
        <f>#REF!+K395</f>
        <v>#REF!</v>
      </c>
      <c r="N395" s="666" t="e">
        <f t="shared" si="26"/>
        <v>#REF!</v>
      </c>
      <c r="O395" s="672"/>
      <c r="P395" s="668"/>
      <c r="Q395" s="676"/>
      <c r="R395" s="676"/>
    </row>
    <row r="396" spans="1:18" s="677" customFormat="1" ht="60.75" hidden="1" customHeight="1">
      <c r="A396" s="662">
        <v>59.2</v>
      </c>
      <c r="B396" s="663" t="s">
        <v>1576</v>
      </c>
      <c r="C396" s="675">
        <f>ROUND([14]Data!K2111,2)</f>
        <v>1754.17</v>
      </c>
      <c r="D396" s="674" t="s">
        <v>522</v>
      </c>
      <c r="E396" s="684"/>
      <c r="F396" s="667">
        <f t="shared" si="23"/>
        <v>0</v>
      </c>
      <c r="G396" s="675"/>
      <c r="H396" s="667">
        <f t="shared" si="24"/>
        <v>0</v>
      </c>
      <c r="I396" s="667"/>
      <c r="J396" s="667"/>
      <c r="K396" s="667" t="e">
        <f>E396+#REF!+#REF!+#REF!+G396+#REF!+#REF!+#REF!+#REF!+#REF!+#REF!+I396+#REF!+#REF!+#REF!</f>
        <v>#REF!</v>
      </c>
      <c r="L396" s="667" t="e">
        <f t="shared" si="25"/>
        <v>#REF!</v>
      </c>
      <c r="M396" s="665" t="e">
        <f>#REF!+K396</f>
        <v>#REF!</v>
      </c>
      <c r="N396" s="666" t="e">
        <f t="shared" si="26"/>
        <v>#REF!</v>
      </c>
      <c r="O396" s="672"/>
      <c r="P396" s="668"/>
      <c r="Q396" s="676"/>
      <c r="R396" s="676"/>
    </row>
    <row r="397" spans="1:18" s="677" customFormat="1" ht="39.950000000000003" hidden="1" customHeight="1">
      <c r="A397" s="662">
        <v>59.3</v>
      </c>
      <c r="B397" s="663" t="s">
        <v>1577</v>
      </c>
      <c r="C397" s="675"/>
      <c r="D397" s="674" t="s">
        <v>522</v>
      </c>
      <c r="E397" s="684"/>
      <c r="F397" s="667">
        <f t="shared" si="23"/>
        <v>0</v>
      </c>
      <c r="G397" s="675"/>
      <c r="H397" s="667">
        <f t="shared" si="24"/>
        <v>0</v>
      </c>
      <c r="I397" s="667"/>
      <c r="J397" s="667"/>
      <c r="K397" s="667" t="e">
        <f>E397+#REF!+#REF!+#REF!+G397+#REF!+#REF!+#REF!+#REF!+#REF!+#REF!+I397+#REF!+#REF!+#REF!</f>
        <v>#REF!</v>
      </c>
      <c r="L397" s="667" t="e">
        <f t="shared" si="25"/>
        <v>#REF!</v>
      </c>
      <c r="M397" s="665" t="e">
        <f>#REF!+K397</f>
        <v>#REF!</v>
      </c>
      <c r="N397" s="666" t="e">
        <f t="shared" si="26"/>
        <v>#REF!</v>
      </c>
      <c r="O397" s="672"/>
      <c r="P397" s="668"/>
      <c r="Q397" s="676"/>
      <c r="R397" s="676"/>
    </row>
    <row r="398" spans="1:18" s="677" customFormat="1" ht="39.950000000000003" hidden="1" customHeight="1">
      <c r="A398" s="662">
        <v>59.4</v>
      </c>
      <c r="B398" s="663" t="s">
        <v>1578</v>
      </c>
      <c r="C398" s="675"/>
      <c r="D398" s="674" t="s">
        <v>522</v>
      </c>
      <c r="E398" s="684"/>
      <c r="F398" s="667">
        <f t="shared" si="23"/>
        <v>0</v>
      </c>
      <c r="G398" s="675"/>
      <c r="H398" s="667">
        <f t="shared" si="24"/>
        <v>0</v>
      </c>
      <c r="I398" s="667"/>
      <c r="J398" s="667"/>
      <c r="K398" s="667" t="e">
        <f>E398+#REF!+#REF!+#REF!+G398+#REF!+#REF!+#REF!+#REF!+#REF!+#REF!+I398+#REF!+#REF!+#REF!</f>
        <v>#REF!</v>
      </c>
      <c r="L398" s="667" t="e">
        <f t="shared" si="25"/>
        <v>#REF!</v>
      </c>
      <c r="M398" s="665" t="e">
        <f>#REF!+K398</f>
        <v>#REF!</v>
      </c>
      <c r="N398" s="666" t="e">
        <f t="shared" si="26"/>
        <v>#REF!</v>
      </c>
      <c r="O398" s="672"/>
      <c r="P398" s="668"/>
      <c r="Q398" s="676"/>
      <c r="R398" s="676"/>
    </row>
    <row r="399" spans="1:18" ht="60" hidden="1" customHeight="1">
      <c r="A399" s="662">
        <v>59.5</v>
      </c>
      <c r="B399" s="663" t="s">
        <v>1579</v>
      </c>
      <c r="C399" s="667">
        <f>[14]Data!K2111</f>
        <v>1754.17</v>
      </c>
      <c r="D399" s="663" t="s">
        <v>522</v>
      </c>
      <c r="E399" s="699"/>
      <c r="F399" s="667">
        <f t="shared" si="23"/>
        <v>0</v>
      </c>
      <c r="G399" s="667"/>
      <c r="H399" s="667">
        <f t="shared" si="24"/>
        <v>0</v>
      </c>
      <c r="I399" s="667"/>
      <c r="J399" s="667"/>
      <c r="K399" s="667" t="e">
        <f>E399+#REF!+#REF!+#REF!+G399+#REF!+#REF!+#REF!+#REF!+#REF!+#REF!+I399+#REF!+#REF!+#REF!</f>
        <v>#REF!</v>
      </c>
      <c r="L399" s="667" t="e">
        <f t="shared" si="25"/>
        <v>#REF!</v>
      </c>
      <c r="M399" s="665" t="e">
        <f>#REF!+K399</f>
        <v>#REF!</v>
      </c>
      <c r="N399" s="666" t="e">
        <f t="shared" si="26"/>
        <v>#REF!</v>
      </c>
      <c r="O399" s="672"/>
      <c r="P399" s="668"/>
    </row>
    <row r="400" spans="1:18" s="677" customFormat="1" ht="61.5" hidden="1" customHeight="1">
      <c r="A400" s="662">
        <v>59.6</v>
      </c>
      <c r="B400" s="663" t="s">
        <v>1580</v>
      </c>
      <c r="C400" s="675"/>
      <c r="D400" s="674" t="s">
        <v>522</v>
      </c>
      <c r="E400" s="684"/>
      <c r="F400" s="667">
        <f t="shared" si="23"/>
        <v>0</v>
      </c>
      <c r="G400" s="675"/>
      <c r="H400" s="667">
        <f t="shared" si="24"/>
        <v>0</v>
      </c>
      <c r="I400" s="667"/>
      <c r="J400" s="667"/>
      <c r="K400" s="667" t="e">
        <f>E400+#REF!+#REF!+#REF!+G400+#REF!+#REF!+#REF!+#REF!+#REF!+#REF!+I400+#REF!+#REF!+#REF!</f>
        <v>#REF!</v>
      </c>
      <c r="L400" s="667" t="e">
        <f t="shared" si="25"/>
        <v>#REF!</v>
      </c>
      <c r="M400" s="665" t="e">
        <f>#REF!+K400</f>
        <v>#REF!</v>
      </c>
      <c r="N400" s="666" t="e">
        <f t="shared" si="26"/>
        <v>#REF!</v>
      </c>
      <c r="O400" s="672"/>
      <c r="P400" s="668"/>
      <c r="Q400" s="676"/>
      <c r="R400" s="676"/>
    </row>
    <row r="401" spans="1:19" ht="39.75" customHeight="1">
      <c r="A401" s="662">
        <v>60</v>
      </c>
      <c r="B401" s="663" t="s">
        <v>1581</v>
      </c>
      <c r="C401" s="667">
        <f>ROUND([14]Data!K2119,2)</f>
        <v>152.6</v>
      </c>
      <c r="D401" s="663" t="s">
        <v>522</v>
      </c>
      <c r="E401" s="699"/>
      <c r="F401" s="667">
        <f t="shared" si="23"/>
        <v>0</v>
      </c>
      <c r="G401" s="667"/>
      <c r="H401" s="667">
        <f t="shared" si="24"/>
        <v>0</v>
      </c>
      <c r="I401" s="667"/>
      <c r="J401" s="667"/>
      <c r="K401" s="667" t="e">
        <f>E401+#REF!+#REF!+#REF!+G401+#REF!+#REF!+#REF!+#REF!+#REF!+#REF!+I401+#REF!+#REF!+#REF!</f>
        <v>#REF!</v>
      </c>
      <c r="L401" s="667" t="e">
        <f t="shared" si="25"/>
        <v>#REF!</v>
      </c>
      <c r="M401" s="665" t="e">
        <f>#REF!+K401</f>
        <v>#REF!</v>
      </c>
      <c r="N401" s="666" t="e">
        <f t="shared" si="26"/>
        <v>#REF!</v>
      </c>
      <c r="O401" s="672"/>
      <c r="P401" s="668"/>
    </row>
    <row r="402" spans="1:19" s="677" customFormat="1" ht="41.25" hidden="1" customHeight="1">
      <c r="A402" s="662">
        <v>61.1</v>
      </c>
      <c r="B402" s="663" t="s">
        <v>1582</v>
      </c>
      <c r="C402" s="675"/>
      <c r="D402" s="674"/>
      <c r="E402" s="684"/>
      <c r="F402" s="667">
        <f t="shared" ref="F402:F465" si="27">E402*C402</f>
        <v>0</v>
      </c>
      <c r="G402" s="675"/>
      <c r="H402" s="667">
        <f t="shared" si="24"/>
        <v>0</v>
      </c>
      <c r="I402" s="667"/>
      <c r="J402" s="667"/>
      <c r="K402" s="667" t="e">
        <f>E402+#REF!+#REF!+#REF!+G402+#REF!+#REF!+#REF!+#REF!+#REF!+#REF!+I402+#REF!+#REF!+#REF!</f>
        <v>#REF!</v>
      </c>
      <c r="L402" s="667" t="e">
        <f t="shared" si="25"/>
        <v>#REF!</v>
      </c>
      <c r="M402" s="665" t="e">
        <f>#REF!+K402</f>
        <v>#REF!</v>
      </c>
      <c r="N402" s="666" t="e">
        <f t="shared" si="26"/>
        <v>#REF!</v>
      </c>
      <c r="O402" s="672"/>
      <c r="P402" s="668"/>
      <c r="Q402" s="676"/>
      <c r="R402" s="676"/>
    </row>
    <row r="403" spans="1:19" s="677" customFormat="1" ht="41.25" hidden="1" customHeight="1">
      <c r="A403" s="666"/>
      <c r="B403" s="663" t="s">
        <v>1583</v>
      </c>
      <c r="C403" s="675">
        <f>ROUND([14]Data!K2138,2)</f>
        <v>507.25</v>
      </c>
      <c r="D403" s="674" t="s">
        <v>61</v>
      </c>
      <c r="E403" s="696"/>
      <c r="F403" s="667">
        <f t="shared" si="27"/>
        <v>0</v>
      </c>
      <c r="G403" s="675"/>
      <c r="H403" s="667">
        <f t="shared" si="24"/>
        <v>0</v>
      </c>
      <c r="I403" s="667"/>
      <c r="J403" s="667"/>
      <c r="K403" s="667" t="e">
        <f>E403+#REF!+#REF!+#REF!+G403+#REF!+#REF!+#REF!+#REF!+#REF!+#REF!+I403+#REF!+#REF!+#REF!</f>
        <v>#REF!</v>
      </c>
      <c r="L403" s="667" t="e">
        <f t="shared" si="25"/>
        <v>#REF!</v>
      </c>
      <c r="M403" s="665" t="e">
        <f>#REF!+K403</f>
        <v>#REF!</v>
      </c>
      <c r="N403" s="666" t="e">
        <f t="shared" si="26"/>
        <v>#REF!</v>
      </c>
      <c r="O403" s="672"/>
      <c r="P403" s="668"/>
      <c r="Q403" s="676"/>
      <c r="R403" s="676"/>
    </row>
    <row r="404" spans="1:19" s="677" customFormat="1" ht="41.25" hidden="1" customHeight="1">
      <c r="A404" s="690"/>
      <c r="B404" s="663" t="s">
        <v>1584</v>
      </c>
      <c r="C404" s="675">
        <f>ROUND([14]Data!K2158,2)</f>
        <v>673.35</v>
      </c>
      <c r="D404" s="674" t="s">
        <v>61</v>
      </c>
      <c r="E404" s="696"/>
      <c r="F404" s="667">
        <f t="shared" si="27"/>
        <v>0</v>
      </c>
      <c r="G404" s="675"/>
      <c r="H404" s="667">
        <f t="shared" si="24"/>
        <v>0</v>
      </c>
      <c r="I404" s="667"/>
      <c r="J404" s="667"/>
      <c r="K404" s="667" t="e">
        <f>E404+#REF!+#REF!+#REF!+G404+#REF!+#REF!+#REF!+#REF!+#REF!+#REF!+I404+#REF!+#REF!+#REF!</f>
        <v>#REF!</v>
      </c>
      <c r="L404" s="667" t="e">
        <f t="shared" si="25"/>
        <v>#REF!</v>
      </c>
      <c r="M404" s="665" t="e">
        <f>#REF!+K404</f>
        <v>#REF!</v>
      </c>
      <c r="N404" s="666" t="e">
        <f t="shared" si="26"/>
        <v>#REF!</v>
      </c>
      <c r="O404" s="672"/>
      <c r="P404" s="668"/>
      <c r="Q404" s="676"/>
      <c r="R404" s="676"/>
    </row>
    <row r="405" spans="1:19" s="677" customFormat="1" ht="45.75" hidden="1" customHeight="1">
      <c r="A405" s="662">
        <v>61.2</v>
      </c>
      <c r="B405" s="685" t="s">
        <v>1585</v>
      </c>
      <c r="C405" s="667"/>
      <c r="D405" s="663"/>
      <c r="E405" s="690"/>
      <c r="F405" s="667">
        <f t="shared" si="27"/>
        <v>0</v>
      </c>
      <c r="G405" s="667"/>
      <c r="H405" s="667">
        <f t="shared" si="24"/>
        <v>0</v>
      </c>
      <c r="I405" s="667"/>
      <c r="J405" s="667"/>
      <c r="K405" s="667" t="e">
        <f>E405+#REF!+#REF!+#REF!+G405+#REF!+#REF!+#REF!+#REF!+#REF!+#REF!+I405+#REF!+#REF!+#REF!</f>
        <v>#REF!</v>
      </c>
      <c r="L405" s="667" t="e">
        <f t="shared" si="25"/>
        <v>#REF!</v>
      </c>
      <c r="M405" s="665" t="e">
        <f>#REF!+K405</f>
        <v>#REF!</v>
      </c>
      <c r="N405" s="666" t="e">
        <f t="shared" si="26"/>
        <v>#REF!</v>
      </c>
      <c r="O405" s="672"/>
      <c r="P405" s="668"/>
      <c r="Q405" s="676"/>
      <c r="R405" s="676"/>
    </row>
    <row r="406" spans="1:19" s="677" customFormat="1" ht="45.75" hidden="1" customHeight="1">
      <c r="A406" s="666"/>
      <c r="B406" s="663" t="s">
        <v>1586</v>
      </c>
      <c r="C406" s="675">
        <f>ROUND([14]Data!K2169,2)</f>
        <v>222.53</v>
      </c>
      <c r="D406" s="674" t="s">
        <v>61</v>
      </c>
      <c r="E406" s="684"/>
      <c r="F406" s="667">
        <f t="shared" si="27"/>
        <v>0</v>
      </c>
      <c r="G406" s="675"/>
      <c r="H406" s="667">
        <f t="shared" si="24"/>
        <v>0</v>
      </c>
      <c r="I406" s="667"/>
      <c r="J406" s="667"/>
      <c r="K406" s="667" t="e">
        <f>E406+#REF!+#REF!+#REF!+G406+#REF!+#REF!+#REF!+#REF!+#REF!+#REF!+I406+#REF!+#REF!+#REF!</f>
        <v>#REF!</v>
      </c>
      <c r="L406" s="667" t="e">
        <f t="shared" si="25"/>
        <v>#REF!</v>
      </c>
      <c r="M406" s="665" t="e">
        <f>#REF!+K406</f>
        <v>#REF!</v>
      </c>
      <c r="N406" s="666" t="e">
        <f t="shared" si="26"/>
        <v>#REF!</v>
      </c>
      <c r="O406" s="672"/>
      <c r="P406" s="668"/>
      <c r="Q406" s="676"/>
      <c r="R406" s="676"/>
    </row>
    <row r="407" spans="1:19" s="677" customFormat="1" ht="55.5" hidden="1" customHeight="1">
      <c r="A407" s="690"/>
      <c r="B407" s="663" t="s">
        <v>1587</v>
      </c>
      <c r="C407" s="675">
        <f>ROUND([14]Data!K2184,2)</f>
        <v>329.02</v>
      </c>
      <c r="D407" s="674" t="s">
        <v>61</v>
      </c>
      <c r="E407" s="684"/>
      <c r="F407" s="667">
        <f t="shared" si="27"/>
        <v>0</v>
      </c>
      <c r="G407" s="675"/>
      <c r="H407" s="667">
        <f t="shared" si="24"/>
        <v>0</v>
      </c>
      <c r="I407" s="667"/>
      <c r="J407" s="667"/>
      <c r="K407" s="667" t="e">
        <f>E407+#REF!+#REF!+#REF!+G407+#REF!+#REF!+#REF!+#REF!+#REF!+#REF!+I407+#REF!+#REF!+#REF!</f>
        <v>#REF!</v>
      </c>
      <c r="L407" s="667" t="e">
        <f t="shared" si="25"/>
        <v>#REF!</v>
      </c>
      <c r="M407" s="665" t="e">
        <f>#REF!+K407</f>
        <v>#REF!</v>
      </c>
      <c r="N407" s="666" t="e">
        <f t="shared" si="26"/>
        <v>#REF!</v>
      </c>
      <c r="O407" s="672"/>
      <c r="P407" s="668"/>
      <c r="Q407" s="676"/>
      <c r="R407" s="676"/>
    </row>
    <row r="408" spans="1:19" s="677" customFormat="1" ht="41.25" hidden="1" customHeight="1">
      <c r="A408" s="662">
        <v>62.1</v>
      </c>
      <c r="B408" s="663" t="s">
        <v>1588</v>
      </c>
      <c r="C408" s="675"/>
      <c r="D408" s="674"/>
      <c r="E408" s="684"/>
      <c r="F408" s="667">
        <f t="shared" si="27"/>
        <v>0</v>
      </c>
      <c r="G408" s="675"/>
      <c r="H408" s="667">
        <f t="shared" si="24"/>
        <v>0</v>
      </c>
      <c r="I408" s="667"/>
      <c r="J408" s="667"/>
      <c r="K408" s="667" t="e">
        <f>E408+#REF!+#REF!+#REF!+G408+#REF!+#REF!+#REF!+#REF!+#REF!+#REF!+I408+#REF!+#REF!+#REF!</f>
        <v>#REF!</v>
      </c>
      <c r="L408" s="667" t="e">
        <f t="shared" si="25"/>
        <v>#REF!</v>
      </c>
      <c r="M408" s="665" t="e">
        <f>#REF!+K408</f>
        <v>#REF!</v>
      </c>
      <c r="N408" s="666" t="e">
        <f t="shared" si="26"/>
        <v>#REF!</v>
      </c>
      <c r="O408" s="672"/>
      <c r="P408" s="668"/>
      <c r="Q408" s="676"/>
      <c r="R408" s="676"/>
    </row>
    <row r="409" spans="1:19" s="677" customFormat="1" ht="41.25" hidden="1" customHeight="1">
      <c r="A409" s="666"/>
      <c r="B409" s="663" t="s">
        <v>1586</v>
      </c>
      <c r="C409" s="675">
        <f>ROUND([14]Data!K2193,2)</f>
        <v>103.1</v>
      </c>
      <c r="D409" s="674" t="s">
        <v>522</v>
      </c>
      <c r="E409" s="684"/>
      <c r="F409" s="667">
        <f t="shared" si="27"/>
        <v>0</v>
      </c>
      <c r="G409" s="675"/>
      <c r="H409" s="667">
        <f t="shared" si="24"/>
        <v>0</v>
      </c>
      <c r="I409" s="667"/>
      <c r="J409" s="667"/>
      <c r="K409" s="667" t="e">
        <f>E409+#REF!+#REF!+#REF!+G409+#REF!+#REF!+#REF!+#REF!+#REF!+#REF!+I409+#REF!+#REF!+#REF!</f>
        <v>#REF!</v>
      </c>
      <c r="L409" s="667" t="e">
        <f t="shared" si="25"/>
        <v>#REF!</v>
      </c>
      <c r="M409" s="665" t="e">
        <f>#REF!+K409</f>
        <v>#REF!</v>
      </c>
      <c r="N409" s="666" t="e">
        <f t="shared" si="26"/>
        <v>#REF!</v>
      </c>
      <c r="O409" s="672"/>
      <c r="P409" s="668"/>
      <c r="Q409" s="676"/>
      <c r="R409" s="676"/>
    </row>
    <row r="410" spans="1:19" s="677" customFormat="1" ht="49.5" hidden="1" customHeight="1">
      <c r="A410" s="690"/>
      <c r="B410" s="663" t="s">
        <v>1587</v>
      </c>
      <c r="C410" s="675">
        <f>ROUND([14]Data!K2200,2)</f>
        <v>141.80000000000001</v>
      </c>
      <c r="D410" s="674" t="s">
        <v>522</v>
      </c>
      <c r="E410" s="684"/>
      <c r="F410" s="667">
        <f t="shared" si="27"/>
        <v>0</v>
      </c>
      <c r="G410" s="675"/>
      <c r="H410" s="667">
        <f t="shared" si="24"/>
        <v>0</v>
      </c>
      <c r="I410" s="667"/>
      <c r="J410" s="667"/>
      <c r="K410" s="667" t="e">
        <f>E410+#REF!+#REF!+#REF!+G410+#REF!+#REF!+#REF!+#REF!+#REF!+#REF!+I410+#REF!+#REF!+#REF!</f>
        <v>#REF!</v>
      </c>
      <c r="L410" s="667" t="e">
        <f t="shared" si="25"/>
        <v>#REF!</v>
      </c>
      <c r="M410" s="665" t="e">
        <f>#REF!+K410</f>
        <v>#REF!</v>
      </c>
      <c r="N410" s="666" t="e">
        <f t="shared" si="26"/>
        <v>#REF!</v>
      </c>
      <c r="O410" s="672"/>
      <c r="P410" s="668"/>
      <c r="Q410" s="676"/>
      <c r="R410" s="676"/>
    </row>
    <row r="411" spans="1:19" s="677" customFormat="1" ht="41.25" hidden="1" customHeight="1">
      <c r="A411" s="662">
        <v>62.2</v>
      </c>
      <c r="B411" s="685" t="s">
        <v>1589</v>
      </c>
      <c r="C411" s="667"/>
      <c r="D411" s="663"/>
      <c r="E411" s="690"/>
      <c r="F411" s="667">
        <f t="shared" si="27"/>
        <v>0</v>
      </c>
      <c r="G411" s="667"/>
      <c r="H411" s="667">
        <f t="shared" si="24"/>
        <v>0</v>
      </c>
      <c r="I411" s="667"/>
      <c r="J411" s="667"/>
      <c r="K411" s="667" t="e">
        <f>E411+#REF!+#REF!+#REF!+G411+#REF!+#REF!+#REF!+#REF!+#REF!+#REF!+I411+#REF!+#REF!+#REF!</f>
        <v>#REF!</v>
      </c>
      <c r="L411" s="667" t="e">
        <f t="shared" si="25"/>
        <v>#REF!</v>
      </c>
      <c r="M411" s="665" t="e">
        <f>#REF!+K411</f>
        <v>#REF!</v>
      </c>
      <c r="N411" s="666" t="e">
        <f t="shared" si="26"/>
        <v>#REF!</v>
      </c>
      <c r="O411" s="668"/>
      <c r="P411" s="668"/>
      <c r="Q411" s="676"/>
      <c r="R411" s="676"/>
    </row>
    <row r="412" spans="1:19" s="677" customFormat="1" ht="41.25" hidden="1" customHeight="1">
      <c r="A412" s="666"/>
      <c r="B412" s="663" t="s">
        <v>1586</v>
      </c>
      <c r="C412" s="667">
        <f>ROUND([14]Data!K2206,2)</f>
        <v>129.80000000000001</v>
      </c>
      <c r="D412" s="663" t="s">
        <v>522</v>
      </c>
      <c r="E412" s="690"/>
      <c r="F412" s="667">
        <f t="shared" si="27"/>
        <v>0</v>
      </c>
      <c r="G412" s="667"/>
      <c r="H412" s="667">
        <f t="shared" si="24"/>
        <v>0</v>
      </c>
      <c r="I412" s="667"/>
      <c r="J412" s="667"/>
      <c r="K412" s="667" t="e">
        <f>E412+#REF!+#REF!+#REF!+G412+#REF!+#REF!+#REF!+#REF!+#REF!+#REF!+I412+#REF!+#REF!+#REF!</f>
        <v>#REF!</v>
      </c>
      <c r="L412" s="667" t="e">
        <f t="shared" si="25"/>
        <v>#REF!</v>
      </c>
      <c r="M412" s="665" t="e">
        <f>#REF!+K412</f>
        <v>#REF!</v>
      </c>
      <c r="N412" s="666" t="e">
        <f t="shared" si="26"/>
        <v>#REF!</v>
      </c>
      <c r="O412" s="672"/>
      <c r="P412" s="668"/>
      <c r="Q412" s="676"/>
      <c r="R412" s="676"/>
    </row>
    <row r="413" spans="1:19" s="677" customFormat="1" ht="55.5" hidden="1" customHeight="1">
      <c r="A413" s="690"/>
      <c r="B413" s="663" t="s">
        <v>1587</v>
      </c>
      <c r="C413" s="675">
        <f>ROUND([14]Data!K2216,2)</f>
        <v>167.5</v>
      </c>
      <c r="D413" s="674" t="s">
        <v>522</v>
      </c>
      <c r="E413" s="684"/>
      <c r="F413" s="667">
        <f t="shared" si="27"/>
        <v>0</v>
      </c>
      <c r="G413" s="675"/>
      <c r="H413" s="667">
        <f t="shared" si="24"/>
        <v>0</v>
      </c>
      <c r="I413" s="667"/>
      <c r="J413" s="667"/>
      <c r="K413" s="667" t="e">
        <f>E413+#REF!+#REF!+#REF!+G413+#REF!+#REF!+#REF!+#REF!+#REF!+#REF!+I413+#REF!+#REF!+#REF!</f>
        <v>#REF!</v>
      </c>
      <c r="L413" s="667" t="e">
        <f t="shared" si="25"/>
        <v>#REF!</v>
      </c>
      <c r="M413" s="665" t="e">
        <f>#REF!+K413</f>
        <v>#REF!</v>
      </c>
      <c r="N413" s="666" t="e">
        <f t="shared" si="26"/>
        <v>#REF!</v>
      </c>
      <c r="O413" s="672"/>
      <c r="P413" s="668"/>
      <c r="Q413" s="676"/>
      <c r="R413" s="676"/>
    </row>
    <row r="414" spans="1:19" s="677" customFormat="1" ht="20.100000000000001" hidden="1" customHeight="1">
      <c r="A414" s="662">
        <v>63</v>
      </c>
      <c r="B414" s="663" t="s">
        <v>1590</v>
      </c>
      <c r="C414" s="675">
        <f>ROUND([14]Data!K2225,2)</f>
        <v>31.87</v>
      </c>
      <c r="D414" s="674" t="s">
        <v>522</v>
      </c>
      <c r="E414" s="684"/>
      <c r="F414" s="667">
        <f t="shared" si="27"/>
        <v>0</v>
      </c>
      <c r="G414" s="675"/>
      <c r="H414" s="667">
        <f t="shared" si="24"/>
        <v>0</v>
      </c>
      <c r="I414" s="667"/>
      <c r="J414" s="667"/>
      <c r="K414" s="667" t="e">
        <f>E414+#REF!+#REF!+#REF!+G414+#REF!+#REF!+#REF!+#REF!+#REF!+#REF!+I414+#REF!+#REF!+#REF!</f>
        <v>#REF!</v>
      </c>
      <c r="L414" s="667" t="e">
        <f t="shared" si="25"/>
        <v>#REF!</v>
      </c>
      <c r="M414" s="665" t="e">
        <f>#REF!+K414</f>
        <v>#REF!</v>
      </c>
      <c r="N414" s="666" t="e">
        <f t="shared" si="26"/>
        <v>#REF!</v>
      </c>
      <c r="O414" s="672"/>
      <c r="P414" s="668"/>
      <c r="Q414" s="676"/>
      <c r="R414" s="676"/>
    </row>
    <row r="415" spans="1:19" ht="45.75" hidden="1" customHeight="1">
      <c r="A415" s="662"/>
      <c r="B415" s="685" t="s">
        <v>167</v>
      </c>
      <c r="C415" s="667"/>
      <c r="D415" s="663"/>
      <c r="E415" s="667"/>
      <c r="F415" s="667">
        <f t="shared" si="27"/>
        <v>0</v>
      </c>
      <c r="G415" s="667"/>
      <c r="H415" s="667">
        <f t="shared" si="24"/>
        <v>0</v>
      </c>
      <c r="I415" s="667"/>
      <c r="J415" s="667"/>
      <c r="K415" s="667" t="e">
        <f>E415+#REF!+#REF!+#REF!+G415+#REF!+#REF!+#REF!+#REF!+#REF!+#REF!+I415+#REF!+#REF!+#REF!</f>
        <v>#REF!</v>
      </c>
      <c r="L415" s="667" t="e">
        <f t="shared" si="25"/>
        <v>#REF!</v>
      </c>
      <c r="M415" s="665" t="e">
        <f>#REF!+K415</f>
        <v>#REF!</v>
      </c>
      <c r="N415" s="666" t="e">
        <f t="shared" si="26"/>
        <v>#REF!</v>
      </c>
      <c r="O415" s="668"/>
      <c r="P415" s="668"/>
      <c r="Q415" s="678"/>
      <c r="S415" s="679"/>
    </row>
    <row r="416" spans="1:19" s="677" customFormat="1" ht="20.100000000000001" hidden="1" customHeight="1">
      <c r="A416" s="662">
        <v>64</v>
      </c>
      <c r="B416" s="663" t="s">
        <v>168</v>
      </c>
      <c r="C416" s="675">
        <f>[14]Data!K2261</f>
        <v>1499.29</v>
      </c>
      <c r="D416" s="674" t="s">
        <v>522</v>
      </c>
      <c r="E416" s="684"/>
      <c r="F416" s="667">
        <f t="shared" si="27"/>
        <v>0</v>
      </c>
      <c r="G416" s="675"/>
      <c r="H416" s="667">
        <f t="shared" si="24"/>
        <v>0</v>
      </c>
      <c r="I416" s="667"/>
      <c r="J416" s="667"/>
      <c r="K416" s="667" t="e">
        <f>E416+#REF!+#REF!+#REF!+G416+#REF!+#REF!+#REF!+#REF!+#REF!+#REF!+I416+#REF!+#REF!+#REF!</f>
        <v>#REF!</v>
      </c>
      <c r="L416" s="667" t="e">
        <f t="shared" si="25"/>
        <v>#REF!</v>
      </c>
      <c r="M416" s="665" t="e">
        <f>#REF!+K416</f>
        <v>#REF!</v>
      </c>
      <c r="N416" s="666" t="e">
        <f t="shared" si="26"/>
        <v>#REF!</v>
      </c>
      <c r="O416" s="672"/>
      <c r="P416" s="668"/>
      <c r="Q416" s="676"/>
      <c r="R416" s="676"/>
    </row>
    <row r="417" spans="1:18" s="677" customFormat="1" ht="30.75" hidden="1" customHeight="1">
      <c r="A417" s="666"/>
      <c r="B417" s="663" t="s">
        <v>170</v>
      </c>
      <c r="C417" s="675"/>
      <c r="D417" s="674" t="s">
        <v>522</v>
      </c>
      <c r="E417" s="684"/>
      <c r="F417" s="667">
        <f t="shared" si="27"/>
        <v>0</v>
      </c>
      <c r="G417" s="675"/>
      <c r="H417" s="667">
        <f t="shared" si="24"/>
        <v>0</v>
      </c>
      <c r="I417" s="667"/>
      <c r="J417" s="667"/>
      <c r="K417" s="667" t="e">
        <f>E417+#REF!+#REF!+#REF!+G417+#REF!+#REF!+#REF!+#REF!+#REF!+#REF!+I417+#REF!+#REF!+#REF!</f>
        <v>#REF!</v>
      </c>
      <c r="L417" s="667" t="e">
        <f t="shared" si="25"/>
        <v>#REF!</v>
      </c>
      <c r="M417" s="665" t="e">
        <f>#REF!+K417</f>
        <v>#REF!</v>
      </c>
      <c r="N417" s="666" t="e">
        <f t="shared" si="26"/>
        <v>#REF!</v>
      </c>
      <c r="O417" s="672"/>
      <c r="P417" s="668"/>
      <c r="Q417" s="676"/>
      <c r="R417" s="676"/>
    </row>
    <row r="418" spans="1:18" s="677" customFormat="1" ht="20.100000000000001" hidden="1" customHeight="1">
      <c r="A418" s="690"/>
      <c r="B418" s="663" t="s">
        <v>1591</v>
      </c>
      <c r="C418" s="675">
        <f>[14]Data!K2263</f>
        <v>1531.07</v>
      </c>
      <c r="D418" s="674" t="s">
        <v>522</v>
      </c>
      <c r="E418" s="684"/>
      <c r="F418" s="667">
        <f t="shared" si="27"/>
        <v>0</v>
      </c>
      <c r="G418" s="675"/>
      <c r="H418" s="667">
        <f t="shared" si="24"/>
        <v>0</v>
      </c>
      <c r="I418" s="667"/>
      <c r="J418" s="667"/>
      <c r="K418" s="667" t="e">
        <f>E418+#REF!+#REF!+#REF!+G418+#REF!+#REF!+#REF!+#REF!+#REF!+#REF!+I418+#REF!+#REF!+#REF!</f>
        <v>#REF!</v>
      </c>
      <c r="L418" s="667" t="e">
        <f t="shared" si="25"/>
        <v>#REF!</v>
      </c>
      <c r="M418" s="665" t="e">
        <f>#REF!+K418</f>
        <v>#REF!</v>
      </c>
      <c r="N418" s="666" t="e">
        <f t="shared" si="26"/>
        <v>#REF!</v>
      </c>
      <c r="O418" s="672"/>
      <c r="P418" s="668"/>
      <c r="Q418" s="676"/>
      <c r="R418" s="676"/>
    </row>
    <row r="419" spans="1:18" s="677" customFormat="1" ht="20.100000000000001" hidden="1" customHeight="1">
      <c r="A419" s="662">
        <v>65</v>
      </c>
      <c r="B419" s="663" t="s">
        <v>1592</v>
      </c>
      <c r="C419" s="675">
        <f>[14]Data!K2264</f>
        <v>1565.5</v>
      </c>
      <c r="D419" s="674" t="s">
        <v>522</v>
      </c>
      <c r="E419" s="684"/>
      <c r="F419" s="667">
        <f t="shared" si="27"/>
        <v>0</v>
      </c>
      <c r="G419" s="675"/>
      <c r="H419" s="667">
        <f t="shared" si="24"/>
        <v>0</v>
      </c>
      <c r="I419" s="667"/>
      <c r="J419" s="667"/>
      <c r="K419" s="667" t="e">
        <f>E419+#REF!+#REF!+#REF!+G419+#REF!+#REF!+#REF!+#REF!+#REF!+#REF!+I419+#REF!+#REF!+#REF!</f>
        <v>#REF!</v>
      </c>
      <c r="L419" s="667" t="e">
        <f t="shared" si="25"/>
        <v>#REF!</v>
      </c>
      <c r="M419" s="665" t="e">
        <f>#REF!+K419</f>
        <v>#REF!</v>
      </c>
      <c r="N419" s="666" t="e">
        <f t="shared" si="26"/>
        <v>#REF!</v>
      </c>
      <c r="O419" s="672"/>
      <c r="P419" s="668"/>
      <c r="Q419" s="676"/>
      <c r="R419" s="676"/>
    </row>
    <row r="420" spans="1:18" s="677" customFormat="1" ht="20.100000000000001" hidden="1" customHeight="1">
      <c r="A420" s="662">
        <v>66</v>
      </c>
      <c r="B420" s="663" t="s">
        <v>998</v>
      </c>
      <c r="C420" s="675">
        <f>[14]Data!K2265</f>
        <v>2802.19</v>
      </c>
      <c r="D420" s="674" t="s">
        <v>522</v>
      </c>
      <c r="E420" s="684"/>
      <c r="F420" s="667">
        <f t="shared" si="27"/>
        <v>0</v>
      </c>
      <c r="G420" s="675"/>
      <c r="H420" s="667">
        <f t="shared" si="24"/>
        <v>0</v>
      </c>
      <c r="I420" s="667"/>
      <c r="J420" s="667"/>
      <c r="K420" s="667" t="e">
        <f>E420+#REF!+#REF!+#REF!+G420+#REF!+#REF!+#REF!+#REF!+#REF!+#REF!+I420+#REF!+#REF!+#REF!</f>
        <v>#REF!</v>
      </c>
      <c r="L420" s="667" t="e">
        <f t="shared" si="25"/>
        <v>#REF!</v>
      </c>
      <c r="M420" s="665" t="e">
        <f>#REF!+K420</f>
        <v>#REF!</v>
      </c>
      <c r="N420" s="666" t="e">
        <f t="shared" si="26"/>
        <v>#REF!</v>
      </c>
      <c r="O420" s="672"/>
      <c r="P420" s="668"/>
      <c r="Q420" s="676"/>
      <c r="R420" s="676"/>
    </row>
    <row r="421" spans="1:18" s="677" customFormat="1" ht="20.100000000000001" hidden="1" customHeight="1">
      <c r="A421" s="662">
        <v>67</v>
      </c>
      <c r="B421" s="663" t="s">
        <v>1593</v>
      </c>
      <c r="C421" s="675">
        <f>[14]Data!K2266</f>
        <v>764.91</v>
      </c>
      <c r="D421" s="674" t="s">
        <v>522</v>
      </c>
      <c r="E421" s="684"/>
      <c r="F421" s="667">
        <f t="shared" si="27"/>
        <v>0</v>
      </c>
      <c r="G421" s="675"/>
      <c r="H421" s="667">
        <f t="shared" si="24"/>
        <v>0</v>
      </c>
      <c r="I421" s="667"/>
      <c r="J421" s="667"/>
      <c r="K421" s="667" t="e">
        <f>E421+#REF!+#REF!+#REF!+G421+#REF!+#REF!+#REF!+#REF!+#REF!+#REF!+I421+#REF!+#REF!+#REF!</f>
        <v>#REF!</v>
      </c>
      <c r="L421" s="667" t="e">
        <f t="shared" si="25"/>
        <v>#REF!</v>
      </c>
      <c r="M421" s="665" t="e">
        <f>#REF!+K421</f>
        <v>#REF!</v>
      </c>
      <c r="N421" s="666" t="e">
        <f t="shared" si="26"/>
        <v>#REF!</v>
      </c>
      <c r="O421" s="672"/>
      <c r="P421" s="668"/>
      <c r="Q421" s="676"/>
      <c r="R421" s="676"/>
    </row>
    <row r="422" spans="1:18" s="677" customFormat="1" ht="20.100000000000001" hidden="1" customHeight="1">
      <c r="A422" s="662">
        <v>68</v>
      </c>
      <c r="B422" s="663" t="s">
        <v>1594</v>
      </c>
      <c r="C422" s="675">
        <f>[14]Data!K2267</f>
        <v>1041.2</v>
      </c>
      <c r="D422" s="674" t="s">
        <v>522</v>
      </c>
      <c r="E422" s="684"/>
      <c r="F422" s="667">
        <f t="shared" si="27"/>
        <v>0</v>
      </c>
      <c r="G422" s="675"/>
      <c r="H422" s="667">
        <f t="shared" si="24"/>
        <v>0</v>
      </c>
      <c r="I422" s="667"/>
      <c r="J422" s="667"/>
      <c r="K422" s="667" t="e">
        <f>E422+#REF!+#REF!+#REF!+G422+#REF!+#REF!+#REF!+#REF!+#REF!+#REF!+I422+#REF!+#REF!+#REF!</f>
        <v>#REF!</v>
      </c>
      <c r="L422" s="667" t="e">
        <f t="shared" si="25"/>
        <v>#REF!</v>
      </c>
      <c r="M422" s="665" t="e">
        <f>#REF!+K422</f>
        <v>#REF!</v>
      </c>
      <c r="N422" s="666" t="e">
        <f t="shared" si="26"/>
        <v>#REF!</v>
      </c>
      <c r="O422" s="672"/>
      <c r="P422" s="668"/>
      <c r="Q422" s="676"/>
      <c r="R422" s="676"/>
    </row>
    <row r="423" spans="1:18" ht="45.75" customHeight="1">
      <c r="A423" s="662">
        <v>69</v>
      </c>
      <c r="B423" s="663" t="s">
        <v>1595</v>
      </c>
      <c r="C423" s="667">
        <f>[14]Data!K2268</f>
        <v>138.69999999999999</v>
      </c>
      <c r="D423" s="663" t="s">
        <v>522</v>
      </c>
      <c r="E423" s="699"/>
      <c r="F423" s="667">
        <f t="shared" si="27"/>
        <v>0</v>
      </c>
      <c r="G423" s="667"/>
      <c r="H423" s="667">
        <f t="shared" si="24"/>
        <v>0</v>
      </c>
      <c r="I423" s="667"/>
      <c r="J423" s="667"/>
      <c r="K423" s="667" t="e">
        <f>E423+#REF!+#REF!+#REF!+G423+#REF!+#REF!+#REF!+#REF!+#REF!+#REF!+I423+#REF!+#REF!+#REF!</f>
        <v>#REF!</v>
      </c>
      <c r="L423" s="667" t="e">
        <f t="shared" si="25"/>
        <v>#REF!</v>
      </c>
      <c r="M423" s="665" t="e">
        <f>#REF!+K423</f>
        <v>#REF!</v>
      </c>
      <c r="N423" s="666" t="e">
        <f t="shared" si="26"/>
        <v>#REF!</v>
      </c>
      <c r="O423" s="672"/>
      <c r="P423" s="668"/>
    </row>
    <row r="424" spans="1:18" s="677" customFormat="1" ht="29.25" hidden="1" customHeight="1">
      <c r="A424" s="662">
        <v>70.099999999999994</v>
      </c>
      <c r="B424" s="663" t="s">
        <v>1005</v>
      </c>
      <c r="C424" s="675">
        <f>[14]Data!K2269</f>
        <v>486.5</v>
      </c>
      <c r="D424" s="674" t="s">
        <v>522</v>
      </c>
      <c r="E424" s="684"/>
      <c r="F424" s="667">
        <f t="shared" si="27"/>
        <v>0</v>
      </c>
      <c r="G424" s="675"/>
      <c r="H424" s="667">
        <f t="shared" si="24"/>
        <v>0</v>
      </c>
      <c r="I424" s="667"/>
      <c r="J424" s="667"/>
      <c r="K424" s="667" t="e">
        <f>E424+#REF!+#REF!+#REF!+G424+#REF!+#REF!+#REF!+#REF!+#REF!+#REF!+I424+#REF!+#REF!+#REF!</f>
        <v>#REF!</v>
      </c>
      <c r="L424" s="667" t="e">
        <f t="shared" si="25"/>
        <v>#REF!</v>
      </c>
      <c r="M424" s="665" t="e">
        <f>#REF!+K424</f>
        <v>#REF!</v>
      </c>
      <c r="N424" s="666" t="e">
        <f t="shared" si="26"/>
        <v>#REF!</v>
      </c>
      <c r="O424" s="672"/>
      <c r="P424" s="668"/>
      <c r="Q424" s="676"/>
      <c r="R424" s="676"/>
    </row>
    <row r="425" spans="1:18" s="677" customFormat="1" ht="20.100000000000001" hidden="1" customHeight="1">
      <c r="A425" s="662">
        <v>70.2</v>
      </c>
      <c r="B425" s="663" t="s">
        <v>1596</v>
      </c>
      <c r="C425" s="675"/>
      <c r="D425" s="674" t="s">
        <v>522</v>
      </c>
      <c r="E425" s="684"/>
      <c r="F425" s="667">
        <f t="shared" si="27"/>
        <v>0</v>
      </c>
      <c r="G425" s="675"/>
      <c r="H425" s="667">
        <f t="shared" si="24"/>
        <v>0</v>
      </c>
      <c r="I425" s="667"/>
      <c r="J425" s="667"/>
      <c r="K425" s="667" t="e">
        <f>E425+#REF!+#REF!+#REF!+G425+#REF!+#REF!+#REF!+#REF!+#REF!+#REF!+I425+#REF!+#REF!+#REF!</f>
        <v>#REF!</v>
      </c>
      <c r="L425" s="667" t="e">
        <f t="shared" si="25"/>
        <v>#REF!</v>
      </c>
      <c r="M425" s="665" t="e">
        <f>#REF!+K425</f>
        <v>#REF!</v>
      </c>
      <c r="N425" s="666" t="e">
        <f t="shared" si="26"/>
        <v>#REF!</v>
      </c>
      <c r="O425" s="672"/>
      <c r="P425" s="668"/>
      <c r="Q425" s="676"/>
      <c r="R425" s="676"/>
    </row>
    <row r="426" spans="1:18" s="677" customFormat="1" ht="20.100000000000001" hidden="1" customHeight="1">
      <c r="A426" s="662">
        <v>70.3</v>
      </c>
      <c r="B426" s="663" t="s">
        <v>1597</v>
      </c>
      <c r="C426" s="675">
        <f>[14]Data!K2271</f>
        <v>12</v>
      </c>
      <c r="D426" s="674" t="s">
        <v>522</v>
      </c>
      <c r="E426" s="684"/>
      <c r="F426" s="667">
        <f t="shared" si="27"/>
        <v>0</v>
      </c>
      <c r="G426" s="675"/>
      <c r="H426" s="667">
        <f t="shared" si="24"/>
        <v>0</v>
      </c>
      <c r="I426" s="667"/>
      <c r="J426" s="667"/>
      <c r="K426" s="667" t="e">
        <f>E426+#REF!+#REF!+#REF!+G426+#REF!+#REF!+#REF!+#REF!+#REF!+#REF!+I426+#REF!+#REF!+#REF!</f>
        <v>#REF!</v>
      </c>
      <c r="L426" s="667" t="e">
        <f t="shared" si="25"/>
        <v>#REF!</v>
      </c>
      <c r="M426" s="665" t="e">
        <f>#REF!+K426</f>
        <v>#REF!</v>
      </c>
      <c r="N426" s="666" t="e">
        <f t="shared" si="26"/>
        <v>#REF!</v>
      </c>
      <c r="O426" s="672"/>
      <c r="P426" s="668"/>
      <c r="Q426" s="676"/>
      <c r="R426" s="676"/>
    </row>
    <row r="427" spans="1:18" s="677" customFormat="1" ht="20.100000000000001" hidden="1" customHeight="1">
      <c r="A427" s="662">
        <v>70.400000000000006</v>
      </c>
      <c r="B427" s="663" t="s">
        <v>1598</v>
      </c>
      <c r="C427" s="675">
        <f>[14]Data!K2272</f>
        <v>10</v>
      </c>
      <c r="D427" s="674" t="s">
        <v>522</v>
      </c>
      <c r="E427" s="684"/>
      <c r="F427" s="667">
        <f t="shared" si="27"/>
        <v>0</v>
      </c>
      <c r="G427" s="675"/>
      <c r="H427" s="667">
        <f t="shared" si="24"/>
        <v>0</v>
      </c>
      <c r="I427" s="667"/>
      <c r="J427" s="667"/>
      <c r="K427" s="667" t="e">
        <f>E427+#REF!+#REF!+#REF!+G427+#REF!+#REF!+#REF!+#REF!+#REF!+#REF!+I427+#REF!+#REF!+#REF!</f>
        <v>#REF!</v>
      </c>
      <c r="L427" s="667" t="e">
        <f t="shared" si="25"/>
        <v>#REF!</v>
      </c>
      <c r="M427" s="665" t="e">
        <f>#REF!+K427</f>
        <v>#REF!</v>
      </c>
      <c r="N427" s="666" t="e">
        <f t="shared" si="26"/>
        <v>#REF!</v>
      </c>
      <c r="O427" s="672"/>
      <c r="P427" s="668"/>
      <c r="Q427" s="676"/>
      <c r="R427" s="676"/>
    </row>
    <row r="428" spans="1:18" s="677" customFormat="1" ht="45.75" customHeight="1">
      <c r="A428" s="662">
        <v>71</v>
      </c>
      <c r="B428" s="663" t="s">
        <v>1599</v>
      </c>
      <c r="C428" s="675">
        <f>[14]Data!K2273</f>
        <v>1308</v>
      </c>
      <c r="D428" s="674" t="s">
        <v>522</v>
      </c>
      <c r="E428" s="684"/>
      <c r="F428" s="667">
        <f t="shared" si="27"/>
        <v>0</v>
      </c>
      <c r="G428" s="675"/>
      <c r="H428" s="667">
        <f t="shared" si="24"/>
        <v>0</v>
      </c>
      <c r="I428" s="667"/>
      <c r="J428" s="667"/>
      <c r="K428" s="667" t="e">
        <f>E428+#REF!+#REF!+#REF!+G428+#REF!+#REF!+#REF!+#REF!+#REF!+#REF!+I428+#REF!+#REF!+#REF!</f>
        <v>#REF!</v>
      </c>
      <c r="L428" s="667" t="e">
        <f t="shared" si="25"/>
        <v>#REF!</v>
      </c>
      <c r="M428" s="665" t="e">
        <f>#REF!+K428</f>
        <v>#REF!</v>
      </c>
      <c r="N428" s="666" t="e">
        <f t="shared" si="26"/>
        <v>#REF!</v>
      </c>
      <c r="O428" s="672"/>
      <c r="P428" s="668"/>
      <c r="Q428" s="676"/>
      <c r="R428" s="676"/>
    </row>
    <row r="429" spans="1:18" ht="45.75" customHeight="1">
      <c r="A429" s="662">
        <v>72</v>
      </c>
      <c r="B429" s="663" t="s">
        <v>175</v>
      </c>
      <c r="C429" s="667">
        <f>[14]Data!K2274</f>
        <v>33.9</v>
      </c>
      <c r="D429" s="663" t="s">
        <v>522</v>
      </c>
      <c r="E429" s="699"/>
      <c r="F429" s="667">
        <f t="shared" si="27"/>
        <v>0</v>
      </c>
      <c r="G429" s="667"/>
      <c r="H429" s="667">
        <f t="shared" si="24"/>
        <v>0</v>
      </c>
      <c r="I429" s="667"/>
      <c r="J429" s="667"/>
      <c r="K429" s="667" t="e">
        <f>E429+#REF!+#REF!+#REF!+G429+#REF!+#REF!+#REF!+#REF!+#REF!+#REF!+I429+#REF!+#REF!+#REF!</f>
        <v>#REF!</v>
      </c>
      <c r="L429" s="667" t="e">
        <f t="shared" si="25"/>
        <v>#REF!</v>
      </c>
      <c r="M429" s="665" t="e">
        <f>#REF!+K429</f>
        <v>#REF!</v>
      </c>
      <c r="N429" s="666" t="e">
        <f t="shared" si="26"/>
        <v>#REF!</v>
      </c>
      <c r="O429" s="672"/>
      <c r="P429" s="668"/>
    </row>
    <row r="430" spans="1:18" ht="45.75" hidden="1" customHeight="1">
      <c r="A430" s="666">
        <v>73.099999999999994</v>
      </c>
      <c r="B430" s="663" t="s">
        <v>1600</v>
      </c>
      <c r="C430" s="667">
        <f>[14]Data!K2275</f>
        <v>4116.8500000000004</v>
      </c>
      <c r="D430" s="663" t="s">
        <v>522</v>
      </c>
      <c r="E430" s="667"/>
      <c r="F430" s="667">
        <f t="shared" si="27"/>
        <v>0</v>
      </c>
      <c r="G430" s="667"/>
      <c r="H430" s="667">
        <f t="shared" si="24"/>
        <v>0</v>
      </c>
      <c r="I430" s="667"/>
      <c r="J430" s="667"/>
      <c r="K430" s="667" t="e">
        <f>E430+#REF!+#REF!+#REF!+G430+#REF!+#REF!+#REF!+#REF!+#REF!+#REF!+I430+#REF!+#REF!+#REF!</f>
        <v>#REF!</v>
      </c>
      <c r="L430" s="667" t="e">
        <f t="shared" si="25"/>
        <v>#REF!</v>
      </c>
      <c r="M430" s="665" t="e">
        <f>#REF!+K430</f>
        <v>#REF!</v>
      </c>
      <c r="N430" s="666" t="e">
        <f t="shared" si="26"/>
        <v>#REF!</v>
      </c>
      <c r="O430" s="672"/>
      <c r="P430" s="668"/>
    </row>
    <row r="431" spans="1:18" s="677" customFormat="1" ht="45.75" customHeight="1">
      <c r="A431" s="662">
        <v>73.2</v>
      </c>
      <c r="B431" s="663" t="s">
        <v>1601</v>
      </c>
      <c r="C431" s="667">
        <f>[14]Data!K2276</f>
        <v>3342.85</v>
      </c>
      <c r="D431" s="663" t="s">
        <v>522</v>
      </c>
      <c r="E431" s="699"/>
      <c r="F431" s="667">
        <f t="shared" si="27"/>
        <v>0</v>
      </c>
      <c r="G431" s="667"/>
      <c r="H431" s="667">
        <f t="shared" si="24"/>
        <v>0</v>
      </c>
      <c r="I431" s="667"/>
      <c r="J431" s="667"/>
      <c r="K431" s="667" t="e">
        <f>E431+#REF!+#REF!+#REF!+G431+#REF!+#REF!+#REF!+#REF!+#REF!+#REF!+I431+#REF!+#REF!+#REF!</f>
        <v>#REF!</v>
      </c>
      <c r="L431" s="667" t="e">
        <f t="shared" si="25"/>
        <v>#REF!</v>
      </c>
      <c r="M431" s="665" t="e">
        <f>#REF!+K431</f>
        <v>#REF!</v>
      </c>
      <c r="N431" s="666" t="e">
        <f t="shared" si="26"/>
        <v>#REF!</v>
      </c>
      <c r="O431" s="672"/>
      <c r="P431" s="668"/>
      <c r="Q431" s="676"/>
      <c r="R431" s="676"/>
    </row>
    <row r="432" spans="1:18" ht="45.75" customHeight="1">
      <c r="A432" s="662">
        <v>74</v>
      </c>
      <c r="B432" s="663" t="s">
        <v>176</v>
      </c>
      <c r="C432" s="667">
        <f>[14]Data!K2277</f>
        <v>520.79999999999995</v>
      </c>
      <c r="D432" s="663" t="s">
        <v>522</v>
      </c>
      <c r="E432" s="699"/>
      <c r="F432" s="667">
        <f t="shared" si="27"/>
        <v>0</v>
      </c>
      <c r="G432" s="667"/>
      <c r="H432" s="667">
        <f t="shared" si="24"/>
        <v>0</v>
      </c>
      <c r="I432" s="667"/>
      <c r="J432" s="667"/>
      <c r="K432" s="667" t="e">
        <f>E432+#REF!+#REF!+#REF!+G432+#REF!+#REF!+#REF!+#REF!+#REF!+#REF!+I432+#REF!+#REF!+#REF!</f>
        <v>#REF!</v>
      </c>
      <c r="L432" s="667" t="e">
        <f t="shared" si="25"/>
        <v>#REF!</v>
      </c>
      <c r="M432" s="665" t="e">
        <f>#REF!+K432</f>
        <v>#REF!</v>
      </c>
      <c r="N432" s="666" t="e">
        <f t="shared" si="26"/>
        <v>#REF!</v>
      </c>
      <c r="O432" s="672"/>
      <c r="P432" s="668"/>
    </row>
    <row r="433" spans="1:18" s="677" customFormat="1" ht="20.100000000000001" hidden="1" customHeight="1">
      <c r="A433" s="662">
        <v>75</v>
      </c>
      <c r="B433" s="685" t="s">
        <v>1602</v>
      </c>
      <c r="C433" s="675"/>
      <c r="D433" s="674"/>
      <c r="E433" s="684"/>
      <c r="F433" s="667">
        <f t="shared" si="27"/>
        <v>0</v>
      </c>
      <c r="G433" s="675"/>
      <c r="H433" s="667">
        <f t="shared" si="24"/>
        <v>0</v>
      </c>
      <c r="I433" s="667"/>
      <c r="J433" s="667"/>
      <c r="K433" s="667" t="e">
        <f>E433+#REF!+#REF!+#REF!+G433+#REF!+#REF!+#REF!+#REF!+#REF!+#REF!+I433+#REF!+#REF!+#REF!</f>
        <v>#REF!</v>
      </c>
      <c r="L433" s="667" t="e">
        <f t="shared" si="25"/>
        <v>#REF!</v>
      </c>
      <c r="M433" s="665" t="e">
        <f>#REF!+K433</f>
        <v>#REF!</v>
      </c>
      <c r="N433" s="666" t="e">
        <f t="shared" si="26"/>
        <v>#REF!</v>
      </c>
      <c r="O433" s="672"/>
      <c r="P433" s="668"/>
      <c r="Q433" s="676"/>
      <c r="R433" s="676"/>
    </row>
    <row r="434" spans="1:18" s="677" customFormat="1" ht="20.100000000000001" hidden="1" customHeight="1">
      <c r="A434" s="666"/>
      <c r="B434" s="663" t="s">
        <v>1133</v>
      </c>
      <c r="C434" s="675"/>
      <c r="D434" s="674" t="s">
        <v>522</v>
      </c>
      <c r="E434" s="684"/>
      <c r="F434" s="667">
        <f t="shared" si="27"/>
        <v>0</v>
      </c>
      <c r="G434" s="675"/>
      <c r="H434" s="667">
        <f t="shared" si="24"/>
        <v>0</v>
      </c>
      <c r="I434" s="667"/>
      <c r="J434" s="667"/>
      <c r="K434" s="667" t="e">
        <f>E434+#REF!+#REF!+#REF!+G434+#REF!+#REF!+#REF!+#REF!+#REF!+#REF!+I434+#REF!+#REF!+#REF!</f>
        <v>#REF!</v>
      </c>
      <c r="L434" s="667" t="e">
        <f t="shared" si="25"/>
        <v>#REF!</v>
      </c>
      <c r="M434" s="665" t="e">
        <f>#REF!+K434</f>
        <v>#REF!</v>
      </c>
      <c r="N434" s="666" t="e">
        <f t="shared" si="26"/>
        <v>#REF!</v>
      </c>
      <c r="O434" s="672"/>
      <c r="P434" s="668"/>
      <c r="Q434" s="676"/>
      <c r="R434" s="676"/>
    </row>
    <row r="435" spans="1:18" s="677" customFormat="1" ht="20.100000000000001" hidden="1" customHeight="1">
      <c r="A435" s="690"/>
      <c r="B435" s="663" t="s">
        <v>1603</v>
      </c>
      <c r="C435" s="675"/>
      <c r="D435" s="674" t="s">
        <v>522</v>
      </c>
      <c r="E435" s="684"/>
      <c r="F435" s="667">
        <f t="shared" si="27"/>
        <v>0</v>
      </c>
      <c r="G435" s="675"/>
      <c r="H435" s="667">
        <f t="shared" si="24"/>
        <v>0</v>
      </c>
      <c r="I435" s="667"/>
      <c r="J435" s="667"/>
      <c r="K435" s="667" t="e">
        <f>E435+#REF!+#REF!+#REF!+G435+#REF!+#REF!+#REF!+#REF!+#REF!+#REF!+I435+#REF!+#REF!+#REF!</f>
        <v>#REF!</v>
      </c>
      <c r="L435" s="667" t="e">
        <f t="shared" si="25"/>
        <v>#REF!</v>
      </c>
      <c r="M435" s="665" t="e">
        <f>#REF!+K435</f>
        <v>#REF!</v>
      </c>
      <c r="N435" s="666" t="e">
        <f t="shared" si="26"/>
        <v>#REF!</v>
      </c>
      <c r="O435" s="672"/>
      <c r="P435" s="668"/>
      <c r="Q435" s="676"/>
      <c r="R435" s="676"/>
    </row>
    <row r="436" spans="1:18" ht="45.75" customHeight="1">
      <c r="A436" s="662">
        <v>76</v>
      </c>
      <c r="B436" s="663" t="s">
        <v>1604</v>
      </c>
      <c r="C436" s="667">
        <f>[14]Elec.Data!K3294</f>
        <v>23.79</v>
      </c>
      <c r="D436" s="663" t="s">
        <v>61</v>
      </c>
      <c r="E436" s="699"/>
      <c r="F436" s="667">
        <f t="shared" si="27"/>
        <v>0</v>
      </c>
      <c r="G436" s="667"/>
      <c r="H436" s="667">
        <f t="shared" si="24"/>
        <v>0</v>
      </c>
      <c r="I436" s="667"/>
      <c r="J436" s="667"/>
      <c r="K436" s="667" t="e">
        <f>E436+#REF!+#REF!+#REF!+G436+#REF!+#REF!+#REF!+#REF!+#REF!+#REF!+I436+#REF!+#REF!+#REF!</f>
        <v>#REF!</v>
      </c>
      <c r="L436" s="667" t="e">
        <f t="shared" si="25"/>
        <v>#REF!</v>
      </c>
      <c r="M436" s="665" t="e">
        <f>#REF!+K436</f>
        <v>#REF!</v>
      </c>
      <c r="N436" s="666" t="e">
        <f t="shared" si="26"/>
        <v>#REF!</v>
      </c>
      <c r="O436" s="672"/>
      <c r="P436" s="668"/>
    </row>
    <row r="437" spans="1:18" s="677" customFormat="1" ht="19.899999999999999" hidden="1" customHeight="1">
      <c r="A437" s="662">
        <v>77</v>
      </c>
      <c r="B437" s="663" t="s">
        <v>1605</v>
      </c>
      <c r="C437" s="675">
        <f>ROUND([14]Data!K2282,2)</f>
        <v>192.58</v>
      </c>
      <c r="D437" s="674" t="s">
        <v>61</v>
      </c>
      <c r="E437" s="684"/>
      <c r="F437" s="667">
        <f t="shared" si="27"/>
        <v>0</v>
      </c>
      <c r="G437" s="675"/>
      <c r="H437" s="667">
        <f t="shared" si="24"/>
        <v>0</v>
      </c>
      <c r="I437" s="667"/>
      <c r="J437" s="667"/>
      <c r="K437" s="667" t="e">
        <f>E437+#REF!+#REF!+#REF!+G437+#REF!+#REF!+#REF!+#REF!+#REF!+#REF!+I437+#REF!+#REF!+#REF!</f>
        <v>#REF!</v>
      </c>
      <c r="L437" s="667" t="e">
        <f t="shared" si="25"/>
        <v>#REF!</v>
      </c>
      <c r="M437" s="665" t="e">
        <f>#REF!+K437</f>
        <v>#REF!</v>
      </c>
      <c r="N437" s="666" t="e">
        <f t="shared" si="26"/>
        <v>#REF!</v>
      </c>
      <c r="O437" s="672"/>
      <c r="P437" s="668"/>
      <c r="Q437" s="676"/>
      <c r="R437" s="676"/>
    </row>
    <row r="438" spans="1:18" s="677" customFormat="1" ht="39.950000000000003" hidden="1" customHeight="1">
      <c r="A438" s="662">
        <v>77.099999999999994</v>
      </c>
      <c r="B438" s="663" t="s">
        <v>1606</v>
      </c>
      <c r="C438" s="675">
        <f>ROUND([14]Data!K2283,2)</f>
        <v>246.68</v>
      </c>
      <c r="D438" s="674" t="s">
        <v>61</v>
      </c>
      <c r="E438" s="684"/>
      <c r="F438" s="667">
        <f t="shared" si="27"/>
        <v>0</v>
      </c>
      <c r="G438" s="675"/>
      <c r="H438" s="667">
        <f t="shared" si="24"/>
        <v>0</v>
      </c>
      <c r="I438" s="667"/>
      <c r="J438" s="667"/>
      <c r="K438" s="667" t="e">
        <f>E438+#REF!+#REF!+#REF!+G438+#REF!+#REF!+#REF!+#REF!+#REF!+#REF!+I438+#REF!+#REF!+#REF!</f>
        <v>#REF!</v>
      </c>
      <c r="L438" s="667" t="e">
        <f t="shared" si="25"/>
        <v>#REF!</v>
      </c>
      <c r="M438" s="665" t="e">
        <f>#REF!+K438</f>
        <v>#REF!</v>
      </c>
      <c r="N438" s="666" t="e">
        <f t="shared" si="26"/>
        <v>#REF!</v>
      </c>
      <c r="O438" s="672"/>
      <c r="P438" s="668"/>
      <c r="Q438" s="676"/>
      <c r="R438" s="676"/>
    </row>
    <row r="439" spans="1:18" s="677" customFormat="1" ht="25.5" hidden="1" customHeight="1">
      <c r="A439" s="662">
        <v>77.2</v>
      </c>
      <c r="B439" s="663" t="s">
        <v>1607</v>
      </c>
      <c r="C439" s="675">
        <f>[14]Data!K2284</f>
        <v>500</v>
      </c>
      <c r="D439" s="674" t="s">
        <v>522</v>
      </c>
      <c r="E439" s="696"/>
      <c r="F439" s="667">
        <f t="shared" si="27"/>
        <v>0</v>
      </c>
      <c r="G439" s="675"/>
      <c r="H439" s="667">
        <f t="shared" si="24"/>
        <v>0</v>
      </c>
      <c r="I439" s="667"/>
      <c r="J439" s="667"/>
      <c r="K439" s="667" t="e">
        <f>E439+#REF!+#REF!+#REF!+G439+#REF!+#REF!+#REF!+#REF!+#REF!+#REF!+I439+#REF!+#REF!+#REF!</f>
        <v>#REF!</v>
      </c>
      <c r="L439" s="667" t="e">
        <f t="shared" si="25"/>
        <v>#REF!</v>
      </c>
      <c r="M439" s="665" t="e">
        <f>#REF!+K439</f>
        <v>#REF!</v>
      </c>
      <c r="N439" s="666" t="e">
        <f t="shared" si="26"/>
        <v>#REF!</v>
      </c>
      <c r="O439" s="672"/>
      <c r="P439" s="668"/>
      <c r="Q439" s="676"/>
      <c r="R439" s="676"/>
    </row>
    <row r="440" spans="1:18" ht="45.75" customHeight="1">
      <c r="A440" s="662">
        <v>77.3</v>
      </c>
      <c r="B440" s="663" t="s">
        <v>1608</v>
      </c>
      <c r="C440" s="667">
        <f>[14]Data!K2285</f>
        <v>76.67</v>
      </c>
      <c r="D440" s="663" t="s">
        <v>522</v>
      </c>
      <c r="E440" s="699"/>
      <c r="F440" s="667">
        <f t="shared" si="27"/>
        <v>0</v>
      </c>
      <c r="G440" s="667"/>
      <c r="H440" s="667">
        <f t="shared" si="24"/>
        <v>0</v>
      </c>
      <c r="I440" s="667"/>
      <c r="J440" s="667"/>
      <c r="K440" s="667" t="e">
        <f>E440+#REF!+#REF!+#REF!+G440+#REF!+#REF!+#REF!+#REF!+#REF!+#REF!+I440+#REF!+#REF!+#REF!</f>
        <v>#REF!</v>
      </c>
      <c r="L440" s="667" t="e">
        <f t="shared" si="25"/>
        <v>#REF!</v>
      </c>
      <c r="M440" s="665" t="e">
        <f>#REF!+K440</f>
        <v>#REF!</v>
      </c>
      <c r="N440" s="666" t="e">
        <f t="shared" si="26"/>
        <v>#REF!</v>
      </c>
      <c r="O440" s="672"/>
      <c r="P440" s="668"/>
    </row>
    <row r="441" spans="1:18" ht="45.75" customHeight="1">
      <c r="A441" s="662">
        <v>77.400000000000006</v>
      </c>
      <c r="B441" s="663" t="s">
        <v>1609</v>
      </c>
      <c r="C441" s="667">
        <f>[14]Data!K2304</f>
        <v>79.650000000000006</v>
      </c>
      <c r="D441" s="663" t="s">
        <v>61</v>
      </c>
      <c r="E441" s="699"/>
      <c r="F441" s="667">
        <f t="shared" si="27"/>
        <v>0</v>
      </c>
      <c r="G441" s="667"/>
      <c r="H441" s="667">
        <f t="shared" si="24"/>
        <v>0</v>
      </c>
      <c r="I441" s="667"/>
      <c r="J441" s="667"/>
      <c r="K441" s="667" t="e">
        <f>E441+#REF!+#REF!+#REF!+G441+#REF!+#REF!+#REF!+#REF!+#REF!+#REF!+I441+#REF!+#REF!+#REF!</f>
        <v>#REF!</v>
      </c>
      <c r="L441" s="667" t="e">
        <f t="shared" si="25"/>
        <v>#REF!</v>
      </c>
      <c r="M441" s="665" t="e">
        <f>#REF!+K441</f>
        <v>#REF!</v>
      </c>
      <c r="N441" s="666" t="e">
        <f t="shared" si="26"/>
        <v>#REF!</v>
      </c>
      <c r="O441" s="672"/>
      <c r="P441" s="668"/>
    </row>
    <row r="442" spans="1:18" ht="45.75" customHeight="1">
      <c r="A442" s="662">
        <v>78</v>
      </c>
      <c r="B442" s="663" t="s">
        <v>181</v>
      </c>
      <c r="C442" s="667">
        <f>[14]Data!K2286</f>
        <v>2723</v>
      </c>
      <c r="D442" s="663" t="s">
        <v>522</v>
      </c>
      <c r="E442" s="699"/>
      <c r="F442" s="667">
        <f t="shared" si="27"/>
        <v>0</v>
      </c>
      <c r="G442" s="667"/>
      <c r="H442" s="667">
        <f t="shared" si="24"/>
        <v>0</v>
      </c>
      <c r="I442" s="667"/>
      <c r="J442" s="667"/>
      <c r="K442" s="667" t="e">
        <f>E442+#REF!+#REF!+#REF!+G442+#REF!+#REF!+#REF!+#REF!+#REF!+#REF!+I442+#REF!+#REF!+#REF!</f>
        <v>#REF!</v>
      </c>
      <c r="L442" s="667" t="e">
        <f t="shared" si="25"/>
        <v>#REF!</v>
      </c>
      <c r="M442" s="665" t="e">
        <f>#REF!+K442</f>
        <v>#REF!</v>
      </c>
      <c r="N442" s="666" t="e">
        <f t="shared" si="26"/>
        <v>#REF!</v>
      </c>
      <c r="O442" s="672"/>
      <c r="P442" s="668"/>
    </row>
    <row r="443" spans="1:18" s="677" customFormat="1" ht="25.5" hidden="1" customHeight="1">
      <c r="A443" s="662">
        <v>78.099999999999994</v>
      </c>
      <c r="B443" s="663" t="s">
        <v>1610</v>
      </c>
      <c r="C443" s="675"/>
      <c r="D443" s="674" t="s">
        <v>522</v>
      </c>
      <c r="E443" s="684"/>
      <c r="F443" s="667">
        <f t="shared" si="27"/>
        <v>0</v>
      </c>
      <c r="G443" s="675"/>
      <c r="H443" s="667">
        <f t="shared" si="24"/>
        <v>0</v>
      </c>
      <c r="I443" s="667"/>
      <c r="J443" s="667"/>
      <c r="K443" s="667" t="e">
        <f>E443+#REF!+#REF!+#REF!+G443+#REF!+#REF!+#REF!+#REF!+#REF!+#REF!+I443+#REF!+#REF!+#REF!</f>
        <v>#REF!</v>
      </c>
      <c r="L443" s="667" t="e">
        <f t="shared" si="25"/>
        <v>#REF!</v>
      </c>
      <c r="M443" s="665" t="e">
        <f>#REF!+K443</f>
        <v>#REF!</v>
      </c>
      <c r="N443" s="666" t="e">
        <f t="shared" si="26"/>
        <v>#REF!</v>
      </c>
      <c r="O443" s="672"/>
      <c r="P443" s="668"/>
      <c r="Q443" s="676"/>
      <c r="R443" s="676"/>
    </row>
    <row r="444" spans="1:18" s="677" customFormat="1" ht="46.5" hidden="1" customHeight="1">
      <c r="A444" s="662">
        <v>79.099999999999994</v>
      </c>
      <c r="B444" s="663" t="s">
        <v>1611</v>
      </c>
      <c r="C444" s="675">
        <f>[14]Elec.Data!K3400</f>
        <v>508.26</v>
      </c>
      <c r="D444" s="674" t="s">
        <v>522</v>
      </c>
      <c r="E444" s="684"/>
      <c r="F444" s="667">
        <f t="shared" si="27"/>
        <v>0</v>
      </c>
      <c r="G444" s="675"/>
      <c r="H444" s="667">
        <f t="shared" si="24"/>
        <v>0</v>
      </c>
      <c r="I444" s="667"/>
      <c r="J444" s="667"/>
      <c r="K444" s="667" t="e">
        <f>E444+#REF!+#REF!+#REF!+G444+#REF!+#REF!+#REF!+#REF!+#REF!+#REF!+I444+#REF!+#REF!+#REF!</f>
        <v>#REF!</v>
      </c>
      <c r="L444" s="667" t="e">
        <f t="shared" si="25"/>
        <v>#REF!</v>
      </c>
      <c r="M444" s="665" t="e">
        <f>#REF!+K444</f>
        <v>#REF!</v>
      </c>
      <c r="N444" s="666" t="e">
        <f t="shared" si="26"/>
        <v>#REF!</v>
      </c>
      <c r="O444" s="672"/>
      <c r="P444" s="668"/>
      <c r="Q444" s="676"/>
      <c r="R444" s="676"/>
    </row>
    <row r="445" spans="1:18" s="677" customFormat="1" ht="33" hidden="1" customHeight="1">
      <c r="A445" s="662">
        <v>79.2</v>
      </c>
      <c r="B445" s="663" t="s">
        <v>1612</v>
      </c>
      <c r="C445" s="675">
        <f>[14]Elec.Data!K3419</f>
        <v>776.68</v>
      </c>
      <c r="D445" s="674" t="s">
        <v>522</v>
      </c>
      <c r="E445" s="684"/>
      <c r="F445" s="667">
        <f t="shared" si="27"/>
        <v>0</v>
      </c>
      <c r="G445" s="675"/>
      <c r="H445" s="667">
        <f t="shared" si="24"/>
        <v>0</v>
      </c>
      <c r="I445" s="667"/>
      <c r="J445" s="667"/>
      <c r="K445" s="667" t="e">
        <f>E445+#REF!+#REF!+#REF!+G445+#REF!+#REF!+#REF!+#REF!+#REF!+#REF!+I445+#REF!+#REF!+#REF!</f>
        <v>#REF!</v>
      </c>
      <c r="L445" s="667" t="e">
        <f t="shared" si="25"/>
        <v>#REF!</v>
      </c>
      <c r="M445" s="665" t="e">
        <f>#REF!+K445</f>
        <v>#REF!</v>
      </c>
      <c r="N445" s="666" t="e">
        <f t="shared" si="26"/>
        <v>#REF!</v>
      </c>
      <c r="O445" s="672"/>
      <c r="P445" s="668"/>
      <c r="Q445" s="676"/>
      <c r="R445" s="676"/>
    </row>
    <row r="446" spans="1:18" s="677" customFormat="1" ht="51.75" hidden="1" customHeight="1">
      <c r="A446" s="662">
        <v>80</v>
      </c>
      <c r="B446" s="663" t="s">
        <v>1613</v>
      </c>
      <c r="C446" s="675">
        <f>[14]Data!K2287</f>
        <v>770.34</v>
      </c>
      <c r="D446" s="674" t="s">
        <v>522</v>
      </c>
      <c r="E446" s="684"/>
      <c r="F446" s="667">
        <f t="shared" si="27"/>
        <v>0</v>
      </c>
      <c r="G446" s="675"/>
      <c r="H446" s="667">
        <f t="shared" si="24"/>
        <v>0</v>
      </c>
      <c r="I446" s="667"/>
      <c r="J446" s="667"/>
      <c r="K446" s="667" t="e">
        <f>E446+#REF!+#REF!+#REF!+G446+#REF!+#REF!+#REF!+#REF!+#REF!+#REF!+I446+#REF!+#REF!+#REF!</f>
        <v>#REF!</v>
      </c>
      <c r="L446" s="667" t="e">
        <f t="shared" si="25"/>
        <v>#REF!</v>
      </c>
      <c r="M446" s="665" t="e">
        <f>#REF!+K446</f>
        <v>#REF!</v>
      </c>
      <c r="N446" s="666" t="e">
        <f t="shared" si="26"/>
        <v>#REF!</v>
      </c>
      <c r="O446" s="672"/>
      <c r="P446" s="668"/>
      <c r="Q446" s="676"/>
      <c r="R446" s="676"/>
    </row>
    <row r="447" spans="1:18" ht="45.75" customHeight="1">
      <c r="A447" s="662">
        <v>81</v>
      </c>
      <c r="B447" s="663" t="s">
        <v>1614</v>
      </c>
      <c r="C447" s="667">
        <f>ROUND([14]Data!K2288,2)</f>
        <v>2363.98</v>
      </c>
      <c r="D447" s="663" t="s">
        <v>37</v>
      </c>
      <c r="E447" s="699"/>
      <c r="F447" s="667">
        <f t="shared" si="27"/>
        <v>0</v>
      </c>
      <c r="G447" s="667"/>
      <c r="H447" s="667">
        <f t="shared" si="24"/>
        <v>0</v>
      </c>
      <c r="I447" s="667"/>
      <c r="J447" s="667"/>
      <c r="K447" s="667" t="e">
        <f>E447+#REF!+#REF!+#REF!+G447+#REF!+#REF!+#REF!+#REF!+#REF!+#REF!+I447+#REF!+#REF!+#REF!</f>
        <v>#REF!</v>
      </c>
      <c r="L447" s="667" t="e">
        <f t="shared" si="25"/>
        <v>#REF!</v>
      </c>
      <c r="M447" s="665" t="e">
        <f>#REF!+K447</f>
        <v>#REF!</v>
      </c>
      <c r="N447" s="666" t="e">
        <f t="shared" si="26"/>
        <v>#REF!</v>
      </c>
      <c r="O447" s="672"/>
      <c r="P447" s="668"/>
    </row>
    <row r="448" spans="1:18" s="677" customFormat="1" ht="39" hidden="1" customHeight="1">
      <c r="A448" s="662">
        <v>82</v>
      </c>
      <c r="B448" s="663" t="s">
        <v>1145</v>
      </c>
      <c r="C448" s="675">
        <f>ROUND([14]Data!K2289,2)</f>
        <v>2774.3</v>
      </c>
      <c r="D448" s="674" t="s">
        <v>522</v>
      </c>
      <c r="E448" s="684"/>
      <c r="F448" s="667">
        <f t="shared" si="27"/>
        <v>0</v>
      </c>
      <c r="G448" s="675"/>
      <c r="H448" s="667">
        <f t="shared" si="24"/>
        <v>0</v>
      </c>
      <c r="I448" s="667"/>
      <c r="J448" s="667"/>
      <c r="K448" s="667" t="e">
        <f>E448+#REF!+#REF!+#REF!+G448+#REF!+#REF!+#REF!+#REF!+#REF!+#REF!+I448+#REF!+#REF!+#REF!</f>
        <v>#REF!</v>
      </c>
      <c r="L448" s="667" t="e">
        <f t="shared" si="25"/>
        <v>#REF!</v>
      </c>
      <c r="M448" s="665" t="e">
        <f>#REF!+K448</f>
        <v>#REF!</v>
      </c>
      <c r="N448" s="666" t="e">
        <f t="shared" si="26"/>
        <v>#REF!</v>
      </c>
      <c r="O448" s="672"/>
      <c r="P448" s="668"/>
      <c r="Q448" s="676"/>
      <c r="R448" s="676"/>
    </row>
    <row r="449" spans="1:22" s="677" customFormat="1" ht="40.5" hidden="1" customHeight="1">
      <c r="A449" s="662">
        <v>83</v>
      </c>
      <c r="B449" s="663" t="s">
        <v>1615</v>
      </c>
      <c r="C449" s="675">
        <f>[14]Elec.Data!K3556</f>
        <v>169.77</v>
      </c>
      <c r="D449" s="674" t="s">
        <v>61</v>
      </c>
      <c r="E449" s="684"/>
      <c r="F449" s="667">
        <f t="shared" si="27"/>
        <v>0</v>
      </c>
      <c r="G449" s="675"/>
      <c r="H449" s="667">
        <f t="shared" si="24"/>
        <v>0</v>
      </c>
      <c r="I449" s="667"/>
      <c r="J449" s="667"/>
      <c r="K449" s="667" t="e">
        <f>E449+#REF!+#REF!+#REF!+G449+#REF!+#REF!+#REF!+#REF!+#REF!+#REF!+I449+#REF!+#REF!+#REF!</f>
        <v>#REF!</v>
      </c>
      <c r="L449" s="667" t="e">
        <f t="shared" si="25"/>
        <v>#REF!</v>
      </c>
      <c r="M449" s="665" t="e">
        <f>#REF!+K449</f>
        <v>#REF!</v>
      </c>
      <c r="N449" s="666" t="e">
        <f t="shared" si="26"/>
        <v>#REF!</v>
      </c>
      <c r="O449" s="672"/>
      <c r="P449" s="668"/>
      <c r="Q449" s="676"/>
      <c r="R449" s="676"/>
    </row>
    <row r="450" spans="1:22" s="677" customFormat="1" ht="20.100000000000001" hidden="1" customHeight="1">
      <c r="A450" s="662">
        <v>84</v>
      </c>
      <c r="B450" s="663" t="s">
        <v>1616</v>
      </c>
      <c r="C450" s="675"/>
      <c r="D450" s="674" t="s">
        <v>61</v>
      </c>
      <c r="E450" s="684"/>
      <c r="F450" s="667">
        <f t="shared" si="27"/>
        <v>0</v>
      </c>
      <c r="G450" s="675"/>
      <c r="H450" s="667">
        <f t="shared" si="24"/>
        <v>0</v>
      </c>
      <c r="I450" s="667"/>
      <c r="J450" s="667"/>
      <c r="K450" s="667" t="e">
        <f>E450+#REF!+#REF!+#REF!+G450+#REF!+#REF!+#REF!+#REF!+#REF!+#REF!+I450+#REF!+#REF!+#REF!</f>
        <v>#REF!</v>
      </c>
      <c r="L450" s="667" t="e">
        <f t="shared" si="25"/>
        <v>#REF!</v>
      </c>
      <c r="M450" s="665" t="e">
        <f>#REF!+K450</f>
        <v>#REF!</v>
      </c>
      <c r="N450" s="666" t="e">
        <f t="shared" si="26"/>
        <v>#REF!</v>
      </c>
      <c r="O450" s="672"/>
      <c r="P450" s="668"/>
      <c r="Q450" s="676"/>
      <c r="R450" s="676"/>
    </row>
    <row r="451" spans="1:22" s="677" customFormat="1" ht="20.100000000000001" hidden="1" customHeight="1">
      <c r="A451" s="662">
        <v>85</v>
      </c>
      <c r="B451" s="663" t="s">
        <v>1617</v>
      </c>
      <c r="C451" s="675">
        <f>[14]Elec.Data!K3515</f>
        <v>130</v>
      </c>
      <c r="D451" s="674" t="s">
        <v>61</v>
      </c>
      <c r="E451" s="684"/>
      <c r="F451" s="667">
        <f t="shared" si="27"/>
        <v>0</v>
      </c>
      <c r="G451" s="675"/>
      <c r="H451" s="667">
        <f t="shared" si="24"/>
        <v>0</v>
      </c>
      <c r="I451" s="667"/>
      <c r="J451" s="667"/>
      <c r="K451" s="667" t="e">
        <f>E451+#REF!+#REF!+#REF!+G451+#REF!+#REF!+#REF!+#REF!+#REF!+#REF!+I451+#REF!+#REF!+#REF!</f>
        <v>#REF!</v>
      </c>
      <c r="L451" s="667" t="e">
        <f t="shared" si="25"/>
        <v>#REF!</v>
      </c>
      <c r="M451" s="665" t="e">
        <f>#REF!+K451</f>
        <v>#REF!</v>
      </c>
      <c r="N451" s="666" t="e">
        <f t="shared" si="26"/>
        <v>#REF!</v>
      </c>
      <c r="O451" s="672"/>
      <c r="P451" s="668"/>
      <c r="Q451" s="676"/>
      <c r="R451" s="676"/>
    </row>
    <row r="452" spans="1:22" ht="45.75" customHeight="1">
      <c r="A452" s="662">
        <v>86</v>
      </c>
      <c r="B452" s="663" t="s">
        <v>1618</v>
      </c>
      <c r="C452" s="667">
        <v>34</v>
      </c>
      <c r="D452" s="663" t="s">
        <v>264</v>
      </c>
      <c r="E452" s="690"/>
      <c r="F452" s="667">
        <f t="shared" si="27"/>
        <v>0</v>
      </c>
      <c r="G452" s="667"/>
      <c r="H452" s="667">
        <f t="shared" si="24"/>
        <v>0</v>
      </c>
      <c r="I452" s="667"/>
      <c r="J452" s="667"/>
      <c r="K452" s="667" t="e">
        <f>E452+#REF!+#REF!+#REF!+G452+#REF!+#REF!+#REF!+#REF!+#REF!+#REF!+I452+#REF!+#REF!+#REF!</f>
        <v>#REF!</v>
      </c>
      <c r="L452" s="667" t="e">
        <f t="shared" si="25"/>
        <v>#REF!</v>
      </c>
      <c r="M452" s="665" t="e">
        <f>#REF!+K452</f>
        <v>#REF!</v>
      </c>
      <c r="N452" s="666" t="e">
        <f t="shared" si="26"/>
        <v>#REF!</v>
      </c>
      <c r="O452" s="672"/>
      <c r="P452" s="668"/>
    </row>
    <row r="453" spans="1:22" s="677" customFormat="1" ht="51.75" hidden="1" customHeight="1">
      <c r="A453" s="662">
        <v>87</v>
      </c>
      <c r="B453" s="663" t="s">
        <v>1619</v>
      </c>
      <c r="C453" s="675">
        <f>ROUND([14]Data!K2290,2)</f>
        <v>2602.1</v>
      </c>
      <c r="D453" s="674" t="s">
        <v>522</v>
      </c>
      <c r="E453" s="684"/>
      <c r="F453" s="667">
        <f t="shared" si="27"/>
        <v>0</v>
      </c>
      <c r="G453" s="675"/>
      <c r="H453" s="667">
        <f t="shared" si="24"/>
        <v>0</v>
      </c>
      <c r="I453" s="667"/>
      <c r="J453" s="667"/>
      <c r="K453" s="667" t="e">
        <f>E453+#REF!+#REF!+#REF!+G453+#REF!+#REF!+#REF!+#REF!+#REF!+#REF!+I453+#REF!+#REF!+#REF!</f>
        <v>#REF!</v>
      </c>
      <c r="L453" s="667" t="e">
        <f t="shared" si="25"/>
        <v>#REF!</v>
      </c>
      <c r="M453" s="665" t="e">
        <f>#REF!+K453</f>
        <v>#REF!</v>
      </c>
      <c r="N453" s="666" t="e">
        <f t="shared" si="26"/>
        <v>#REF!</v>
      </c>
      <c r="O453" s="672"/>
      <c r="P453" s="668"/>
      <c r="Q453" s="676"/>
      <c r="R453" s="676"/>
    </row>
    <row r="454" spans="1:22" s="677" customFormat="1" ht="41.25" hidden="1" customHeight="1">
      <c r="A454" s="662">
        <v>112</v>
      </c>
      <c r="B454" s="663" t="s">
        <v>1620</v>
      </c>
      <c r="C454" s="675">
        <f>ROUND([14]Data!K2280,2)</f>
        <v>1967.5</v>
      </c>
      <c r="D454" s="674" t="s">
        <v>522</v>
      </c>
      <c r="E454" s="684"/>
      <c r="F454" s="667">
        <f t="shared" si="27"/>
        <v>0</v>
      </c>
      <c r="G454" s="675"/>
      <c r="H454" s="667">
        <f t="shared" ref="H454:H517" si="28">G454*C454</f>
        <v>0</v>
      </c>
      <c r="I454" s="667"/>
      <c r="J454" s="667"/>
      <c r="K454" s="667" t="e">
        <f>E454+#REF!+#REF!+#REF!+G454+#REF!+#REF!+#REF!+#REF!+#REF!+#REF!+I454+#REF!+#REF!+#REF!</f>
        <v>#REF!</v>
      </c>
      <c r="L454" s="667" t="e">
        <f t="shared" ref="L454:L517" si="29">K454*C454</f>
        <v>#REF!</v>
      </c>
      <c r="M454" s="665" t="e">
        <f>#REF!+K454</f>
        <v>#REF!</v>
      </c>
      <c r="N454" s="666" t="e">
        <f t="shared" ref="N454:N517" si="30">M454*C454</f>
        <v>#REF!</v>
      </c>
      <c r="O454" s="672"/>
      <c r="P454" s="668"/>
      <c r="Q454" s="676"/>
      <c r="R454" s="676"/>
    </row>
    <row r="455" spans="1:22" s="677" customFormat="1" ht="48.75" hidden="1" customHeight="1">
      <c r="A455" s="662">
        <v>238</v>
      </c>
      <c r="B455" s="663" t="s">
        <v>1621</v>
      </c>
      <c r="C455" s="675">
        <f>ROUND([14]Data!K1567,2)</f>
        <v>4403.5</v>
      </c>
      <c r="D455" s="674" t="s">
        <v>58</v>
      </c>
      <c r="E455" s="701"/>
      <c r="F455" s="667">
        <f t="shared" si="27"/>
        <v>0</v>
      </c>
      <c r="G455" s="675"/>
      <c r="H455" s="667">
        <f t="shared" si="28"/>
        <v>0</v>
      </c>
      <c r="I455" s="667"/>
      <c r="J455" s="667"/>
      <c r="K455" s="667" t="e">
        <f>E455+#REF!+#REF!+#REF!+G455+#REF!+#REF!+#REF!+#REF!+#REF!+#REF!+I455+#REF!+#REF!+#REF!</f>
        <v>#REF!</v>
      </c>
      <c r="L455" s="667" t="e">
        <f t="shared" si="29"/>
        <v>#REF!</v>
      </c>
      <c r="M455" s="665" t="e">
        <f>#REF!+K455</f>
        <v>#REF!</v>
      </c>
      <c r="N455" s="666" t="e">
        <f t="shared" si="30"/>
        <v>#REF!</v>
      </c>
      <c r="O455" s="672"/>
      <c r="P455" s="668"/>
      <c r="Q455" s="676"/>
      <c r="R455" s="676"/>
    </row>
    <row r="456" spans="1:22" ht="45.75" customHeight="1">
      <c r="A456" s="662"/>
      <c r="B456" s="658" t="s">
        <v>1622</v>
      </c>
      <c r="C456" s="667"/>
      <c r="D456" s="663"/>
      <c r="E456" s="667"/>
      <c r="F456" s="667">
        <f t="shared" si="27"/>
        <v>0</v>
      </c>
      <c r="G456" s="667"/>
      <c r="H456" s="667">
        <f t="shared" si="28"/>
        <v>0</v>
      </c>
      <c r="I456" s="667"/>
      <c r="J456" s="667"/>
      <c r="K456" s="667" t="e">
        <f>E456+#REF!+#REF!+#REF!+G456+#REF!+#REF!+#REF!+#REF!+#REF!+#REF!+I456+#REF!+#REF!+#REF!</f>
        <v>#REF!</v>
      </c>
      <c r="L456" s="667" t="e">
        <f t="shared" si="29"/>
        <v>#REF!</v>
      </c>
      <c r="M456" s="665" t="e">
        <f>#REF!+K456</f>
        <v>#REF!</v>
      </c>
      <c r="N456" s="666" t="e">
        <f t="shared" si="30"/>
        <v>#REF!</v>
      </c>
      <c r="O456" s="668"/>
      <c r="P456" s="668"/>
      <c r="Q456" s="678"/>
      <c r="S456" s="679"/>
    </row>
    <row r="457" spans="1:22" s="683" customFormat="1" ht="75" customHeight="1">
      <c r="A457" s="666" t="s">
        <v>1454</v>
      </c>
      <c r="B457" s="685" t="s">
        <v>1623</v>
      </c>
      <c r="C457" s="667"/>
      <c r="D457" s="663"/>
      <c r="E457" s="690"/>
      <c r="F457" s="667">
        <f t="shared" si="27"/>
        <v>0</v>
      </c>
      <c r="G457" s="667"/>
      <c r="H457" s="667">
        <f t="shared" si="28"/>
        <v>0</v>
      </c>
      <c r="I457" s="667"/>
      <c r="J457" s="667"/>
      <c r="K457" s="667" t="e">
        <f>E457+#REF!+#REF!+#REF!+G457+#REF!+#REF!+#REF!+#REF!+#REF!+#REF!+I457+#REF!+#REF!+#REF!</f>
        <v>#REF!</v>
      </c>
      <c r="L457" s="667" t="e">
        <f t="shared" si="29"/>
        <v>#REF!</v>
      </c>
      <c r="M457" s="665" t="e">
        <f>#REF!+K457</f>
        <v>#REF!</v>
      </c>
      <c r="N457" s="666" t="e">
        <f t="shared" si="30"/>
        <v>#REF!</v>
      </c>
      <c r="O457" s="668"/>
      <c r="P457" s="668"/>
      <c r="Q457" s="678"/>
      <c r="R457" s="669"/>
      <c r="S457" s="679"/>
      <c r="T457" s="702"/>
      <c r="U457" s="702"/>
      <c r="V457" s="702"/>
    </row>
    <row r="458" spans="1:22" s="683" customFormat="1" ht="41.25" customHeight="1">
      <c r="A458" s="666"/>
      <c r="B458" s="663" t="s">
        <v>1405</v>
      </c>
      <c r="C458" s="667">
        <f>[14]Data!X537</f>
        <v>1288.99</v>
      </c>
      <c r="D458" s="663" t="s">
        <v>264</v>
      </c>
      <c r="E458" s="690"/>
      <c r="F458" s="667">
        <f t="shared" si="27"/>
        <v>0</v>
      </c>
      <c r="G458" s="667"/>
      <c r="H458" s="667">
        <f t="shared" si="28"/>
        <v>0</v>
      </c>
      <c r="I458" s="667"/>
      <c r="J458" s="667"/>
      <c r="K458" s="667" t="e">
        <f>E458+#REF!+#REF!+#REF!+G458+#REF!+#REF!+#REF!+#REF!+#REF!+#REF!+I458+#REF!+#REF!+#REF!</f>
        <v>#REF!</v>
      </c>
      <c r="L458" s="667" t="e">
        <f t="shared" si="29"/>
        <v>#REF!</v>
      </c>
      <c r="M458" s="665" t="e">
        <f>#REF!+K458</f>
        <v>#REF!</v>
      </c>
      <c r="N458" s="666" t="e">
        <f t="shared" si="30"/>
        <v>#REF!</v>
      </c>
      <c r="O458" s="672"/>
      <c r="P458" s="668"/>
      <c r="Q458" s="669"/>
      <c r="R458" s="669"/>
      <c r="S458" s="702"/>
      <c r="T458" s="702"/>
      <c r="U458" s="702"/>
      <c r="V458" s="702"/>
    </row>
    <row r="459" spans="1:22" s="683" customFormat="1" ht="41.25" customHeight="1">
      <c r="A459" s="666"/>
      <c r="B459" s="663" t="s">
        <v>1406</v>
      </c>
      <c r="C459" s="667">
        <f>[14]Data!X538</f>
        <v>1293.0999999999999</v>
      </c>
      <c r="D459" s="663" t="s">
        <v>264</v>
      </c>
      <c r="E459" s="690"/>
      <c r="F459" s="667">
        <f t="shared" si="27"/>
        <v>0</v>
      </c>
      <c r="G459" s="667"/>
      <c r="H459" s="667">
        <f t="shared" si="28"/>
        <v>0</v>
      </c>
      <c r="I459" s="667"/>
      <c r="J459" s="667"/>
      <c r="K459" s="667" t="e">
        <f>E459+#REF!+#REF!+#REF!+G459+#REF!+#REF!+#REF!+#REF!+#REF!+#REF!+I459+#REF!+#REF!+#REF!</f>
        <v>#REF!</v>
      </c>
      <c r="L459" s="667" t="e">
        <f t="shared" si="29"/>
        <v>#REF!</v>
      </c>
      <c r="M459" s="665" t="e">
        <f>#REF!+K459</f>
        <v>#REF!</v>
      </c>
      <c r="N459" s="666" t="e">
        <f t="shared" si="30"/>
        <v>#REF!</v>
      </c>
      <c r="O459" s="672"/>
      <c r="P459" s="668"/>
      <c r="Q459" s="669"/>
      <c r="R459" s="669"/>
      <c r="S459" s="702"/>
      <c r="T459" s="702"/>
      <c r="U459" s="702"/>
      <c r="V459" s="702"/>
    </row>
    <row r="460" spans="1:22" s="683" customFormat="1" ht="37.5" hidden="1" customHeight="1">
      <c r="A460" s="666"/>
      <c r="B460" s="663" t="s">
        <v>1407</v>
      </c>
      <c r="C460" s="667">
        <f>[14]Data!X539</f>
        <v>1297.21</v>
      </c>
      <c r="D460" s="663" t="s">
        <v>264</v>
      </c>
      <c r="E460" s="690"/>
      <c r="F460" s="667">
        <f t="shared" si="27"/>
        <v>0</v>
      </c>
      <c r="G460" s="667"/>
      <c r="H460" s="667">
        <f t="shared" si="28"/>
        <v>0</v>
      </c>
      <c r="I460" s="667"/>
      <c r="J460" s="667"/>
      <c r="K460" s="667" t="e">
        <f>E460+#REF!+#REF!+#REF!+G460+#REF!+#REF!+#REF!+#REF!+#REF!+#REF!+I460+#REF!+#REF!+#REF!</f>
        <v>#REF!</v>
      </c>
      <c r="L460" s="667" t="e">
        <f t="shared" si="29"/>
        <v>#REF!</v>
      </c>
      <c r="M460" s="665" t="e">
        <f>#REF!+K460</f>
        <v>#REF!</v>
      </c>
      <c r="N460" s="666" t="e">
        <f t="shared" si="30"/>
        <v>#REF!</v>
      </c>
      <c r="O460" s="672"/>
      <c r="P460" s="668"/>
      <c r="Q460" s="669"/>
      <c r="R460" s="669"/>
      <c r="S460" s="702"/>
      <c r="T460" s="702"/>
      <c r="U460" s="702"/>
      <c r="V460" s="702"/>
    </row>
    <row r="461" spans="1:22" s="683" customFormat="1" ht="47.25" hidden="1" customHeight="1">
      <c r="A461" s="703"/>
      <c r="B461" s="704" t="s">
        <v>1408</v>
      </c>
      <c r="C461" s="667">
        <f>[14]Data!X540</f>
        <v>1301.32</v>
      </c>
      <c r="D461" s="704" t="s">
        <v>264</v>
      </c>
      <c r="E461" s="690"/>
      <c r="F461" s="667">
        <f t="shared" si="27"/>
        <v>0</v>
      </c>
      <c r="G461" s="667"/>
      <c r="H461" s="667">
        <f t="shared" si="28"/>
        <v>0</v>
      </c>
      <c r="I461" s="667"/>
      <c r="J461" s="667"/>
      <c r="K461" s="667" t="e">
        <f>E461+#REF!+#REF!+#REF!+G461+#REF!+#REF!+#REF!+#REF!+#REF!+#REF!+I461+#REF!+#REF!+#REF!</f>
        <v>#REF!</v>
      </c>
      <c r="L461" s="667" t="e">
        <f t="shared" si="29"/>
        <v>#REF!</v>
      </c>
      <c r="M461" s="665" t="e">
        <f>#REF!+K461</f>
        <v>#REF!</v>
      </c>
      <c r="N461" s="666" t="e">
        <f t="shared" si="30"/>
        <v>#REF!</v>
      </c>
      <c r="O461" s="672"/>
      <c r="P461" s="668"/>
      <c r="Q461" s="669"/>
      <c r="R461" s="669"/>
      <c r="S461" s="702"/>
      <c r="T461" s="702"/>
      <c r="U461" s="702"/>
      <c r="V461" s="702"/>
    </row>
    <row r="462" spans="1:22" s="677" customFormat="1" ht="56.25" hidden="1" customHeight="1">
      <c r="A462" s="705"/>
      <c r="B462" s="706" t="s">
        <v>1409</v>
      </c>
      <c r="C462" s="667">
        <f>[14]Data!X541</f>
        <v>1305.43</v>
      </c>
      <c r="D462" s="706" t="s">
        <v>264</v>
      </c>
      <c r="E462" s="705"/>
      <c r="F462" s="667">
        <f t="shared" si="27"/>
        <v>0</v>
      </c>
      <c r="G462" s="667"/>
      <c r="H462" s="667">
        <f t="shared" si="28"/>
        <v>0</v>
      </c>
      <c r="I462" s="667"/>
      <c r="J462" s="667"/>
      <c r="K462" s="667" t="e">
        <f>E462+#REF!+#REF!+#REF!+G462+#REF!+#REF!+#REF!+#REF!+#REF!+#REF!+I462+#REF!+#REF!+#REF!</f>
        <v>#REF!</v>
      </c>
      <c r="L462" s="667" t="e">
        <f t="shared" si="29"/>
        <v>#REF!</v>
      </c>
      <c r="M462" s="665" t="e">
        <f>#REF!+K462</f>
        <v>#REF!</v>
      </c>
      <c r="N462" s="666" t="e">
        <f t="shared" si="30"/>
        <v>#REF!</v>
      </c>
      <c r="O462" s="672"/>
      <c r="P462" s="668"/>
      <c r="Q462" s="676"/>
      <c r="R462" s="676"/>
      <c r="S462" s="676"/>
      <c r="T462" s="676"/>
      <c r="U462" s="676"/>
      <c r="V462" s="676"/>
    </row>
    <row r="463" spans="1:22" s="683" customFormat="1" ht="68.25" customHeight="1">
      <c r="A463" s="666" t="s">
        <v>39</v>
      </c>
      <c r="B463" s="685" t="s">
        <v>1624</v>
      </c>
      <c r="C463" s="667"/>
      <c r="D463" s="663"/>
      <c r="E463" s="690"/>
      <c r="F463" s="667">
        <f t="shared" si="27"/>
        <v>0</v>
      </c>
      <c r="G463" s="667"/>
      <c r="H463" s="667">
        <f t="shared" si="28"/>
        <v>0</v>
      </c>
      <c r="I463" s="667"/>
      <c r="J463" s="667"/>
      <c r="K463" s="667" t="e">
        <f>E463+#REF!+#REF!+#REF!+G463+#REF!+#REF!+#REF!+#REF!+#REF!+#REF!+I463+#REF!+#REF!+#REF!</f>
        <v>#REF!</v>
      </c>
      <c r="L463" s="667" t="e">
        <f t="shared" si="29"/>
        <v>#REF!</v>
      </c>
      <c r="M463" s="665" t="e">
        <f>#REF!+K463</f>
        <v>#REF!</v>
      </c>
      <c r="N463" s="666" t="e">
        <f t="shared" si="30"/>
        <v>#REF!</v>
      </c>
      <c r="O463" s="668"/>
      <c r="P463" s="668"/>
      <c r="Q463" s="669"/>
      <c r="R463" s="669"/>
      <c r="S463" s="702"/>
      <c r="T463" s="702"/>
      <c r="U463" s="702"/>
      <c r="V463" s="702"/>
    </row>
    <row r="464" spans="1:22" s="683" customFormat="1" ht="49.5" customHeight="1">
      <c r="A464" s="666"/>
      <c r="B464" s="663" t="s">
        <v>1457</v>
      </c>
      <c r="C464" s="667">
        <f>[14]Data!X559</f>
        <v>1427.11</v>
      </c>
      <c r="D464" s="663" t="s">
        <v>264</v>
      </c>
      <c r="E464" s="690">
        <f>'Septic Tank'!$G$61</f>
        <v>1.8</v>
      </c>
      <c r="F464" s="667">
        <f t="shared" si="27"/>
        <v>2568.7979999999998</v>
      </c>
      <c r="G464" s="667"/>
      <c r="H464" s="667">
        <f t="shared" si="28"/>
        <v>0</v>
      </c>
      <c r="I464" s="667"/>
      <c r="J464" s="667"/>
      <c r="K464" s="667" t="e">
        <f>E464+#REF!+#REF!+#REF!+G464+#REF!+#REF!+#REF!+#REF!+#REF!+#REF!+I464+#REF!+#REF!+#REF!</f>
        <v>#REF!</v>
      </c>
      <c r="L464" s="667" t="e">
        <f t="shared" si="29"/>
        <v>#REF!</v>
      </c>
      <c r="M464" s="665" t="e">
        <f>#REF!+K464</f>
        <v>#REF!</v>
      </c>
      <c r="N464" s="666" t="e">
        <f t="shared" si="30"/>
        <v>#REF!</v>
      </c>
      <c r="O464" s="672"/>
      <c r="P464" s="668"/>
      <c r="Q464" s="669"/>
      <c r="R464" s="669"/>
      <c r="S464" s="702"/>
      <c r="T464" s="702"/>
      <c r="U464" s="702"/>
      <c r="V464" s="702"/>
    </row>
    <row r="465" spans="1:22" s="683" customFormat="1" ht="49.5" customHeight="1">
      <c r="A465" s="666"/>
      <c r="B465" s="663" t="s">
        <v>1458</v>
      </c>
      <c r="C465" s="667">
        <f>[14]Data!X561</f>
        <v>1431.28</v>
      </c>
      <c r="D465" s="663" t="s">
        <v>264</v>
      </c>
      <c r="E465" s="690"/>
      <c r="F465" s="667">
        <f t="shared" si="27"/>
        <v>0</v>
      </c>
      <c r="G465" s="667"/>
      <c r="H465" s="667">
        <f t="shared" si="28"/>
        <v>0</v>
      </c>
      <c r="I465" s="667"/>
      <c r="J465" s="667"/>
      <c r="K465" s="667" t="e">
        <f>E465+#REF!+#REF!+#REF!+G465+#REF!+#REF!+#REF!+#REF!+#REF!+#REF!+I465+#REF!+#REF!+#REF!</f>
        <v>#REF!</v>
      </c>
      <c r="L465" s="667" t="e">
        <f t="shared" si="29"/>
        <v>#REF!</v>
      </c>
      <c r="M465" s="665" t="e">
        <f>#REF!+K465</f>
        <v>#REF!</v>
      </c>
      <c r="N465" s="666" t="e">
        <f t="shared" si="30"/>
        <v>#REF!</v>
      </c>
      <c r="O465" s="672"/>
      <c r="P465" s="668"/>
      <c r="Q465" s="669"/>
      <c r="R465" s="669"/>
      <c r="S465" s="702"/>
      <c r="T465" s="702"/>
      <c r="U465" s="702"/>
      <c r="V465" s="702"/>
    </row>
    <row r="466" spans="1:22" s="683" customFormat="1" ht="49.5" customHeight="1">
      <c r="A466" s="666"/>
      <c r="B466" s="663" t="s">
        <v>1459</v>
      </c>
      <c r="C466" s="667">
        <f>[14]Data!X562</f>
        <v>1439.5</v>
      </c>
      <c r="D466" s="663" t="s">
        <v>264</v>
      </c>
      <c r="E466" s="690"/>
      <c r="F466" s="667">
        <f t="shared" ref="F466:F529" si="31">E466*C466</f>
        <v>0</v>
      </c>
      <c r="G466" s="667"/>
      <c r="H466" s="667">
        <f t="shared" si="28"/>
        <v>0</v>
      </c>
      <c r="I466" s="667"/>
      <c r="J466" s="667"/>
      <c r="K466" s="667" t="e">
        <f>E466+#REF!+#REF!+#REF!+G466+#REF!+#REF!+#REF!+#REF!+#REF!+#REF!+I466+#REF!+#REF!+#REF!</f>
        <v>#REF!</v>
      </c>
      <c r="L466" s="667" t="e">
        <f t="shared" si="29"/>
        <v>#REF!</v>
      </c>
      <c r="M466" s="665" t="e">
        <f>#REF!+K466</f>
        <v>#REF!</v>
      </c>
      <c r="N466" s="666" t="e">
        <f t="shared" si="30"/>
        <v>#REF!</v>
      </c>
      <c r="O466" s="672"/>
      <c r="P466" s="668"/>
      <c r="Q466" s="669"/>
      <c r="R466" s="669"/>
      <c r="S466" s="702"/>
      <c r="T466" s="702"/>
      <c r="U466" s="702"/>
      <c r="V466" s="702"/>
    </row>
    <row r="467" spans="1:22" s="683" customFormat="1" ht="49.5" hidden="1" customHeight="1">
      <c r="A467" s="703"/>
      <c r="B467" s="704" t="s">
        <v>1460</v>
      </c>
      <c r="C467" s="667">
        <f>[14]Data!X563</f>
        <v>1447.72</v>
      </c>
      <c r="D467" s="704" t="s">
        <v>264</v>
      </c>
      <c r="E467" s="690"/>
      <c r="F467" s="667">
        <f t="shared" si="31"/>
        <v>0</v>
      </c>
      <c r="G467" s="667"/>
      <c r="H467" s="667">
        <f t="shared" si="28"/>
        <v>0</v>
      </c>
      <c r="I467" s="667"/>
      <c r="J467" s="667"/>
      <c r="K467" s="667" t="e">
        <f>E467+#REF!+#REF!+#REF!+G467+#REF!+#REF!+#REF!+#REF!+#REF!+#REF!+I467+#REF!+#REF!+#REF!</f>
        <v>#REF!</v>
      </c>
      <c r="L467" s="667" t="e">
        <f t="shared" si="29"/>
        <v>#REF!</v>
      </c>
      <c r="M467" s="665" t="e">
        <f>#REF!+K467</f>
        <v>#REF!</v>
      </c>
      <c r="N467" s="666" t="e">
        <f t="shared" si="30"/>
        <v>#REF!</v>
      </c>
      <c r="O467" s="672"/>
      <c r="P467" s="668"/>
      <c r="Q467" s="669"/>
      <c r="R467" s="669"/>
      <c r="S467" s="702"/>
      <c r="T467" s="702"/>
      <c r="U467" s="702"/>
      <c r="V467" s="702"/>
    </row>
    <row r="468" spans="1:22" s="683" customFormat="1" ht="49.5" hidden="1" customHeight="1">
      <c r="A468" s="666"/>
      <c r="B468" s="663" t="s">
        <v>1461</v>
      </c>
      <c r="C468" s="667">
        <f>[14]Data!X564</f>
        <v>1455.94</v>
      </c>
      <c r="D468" s="663" t="s">
        <v>264</v>
      </c>
      <c r="E468" s="690"/>
      <c r="F468" s="667">
        <f t="shared" si="31"/>
        <v>0</v>
      </c>
      <c r="G468" s="667"/>
      <c r="H468" s="667">
        <f t="shared" si="28"/>
        <v>0</v>
      </c>
      <c r="I468" s="667"/>
      <c r="J468" s="667"/>
      <c r="K468" s="667" t="e">
        <f>E468+#REF!+#REF!+#REF!+G468+#REF!+#REF!+#REF!+#REF!+#REF!+#REF!+I468+#REF!+#REF!+#REF!</f>
        <v>#REF!</v>
      </c>
      <c r="L468" s="667" t="e">
        <f t="shared" si="29"/>
        <v>#REF!</v>
      </c>
      <c r="M468" s="665" t="e">
        <f>#REF!+K468</f>
        <v>#REF!</v>
      </c>
      <c r="N468" s="666" t="e">
        <f t="shared" si="30"/>
        <v>#REF!</v>
      </c>
      <c r="O468" s="672"/>
      <c r="P468" s="668"/>
      <c r="Q468" s="669"/>
      <c r="R468" s="669"/>
      <c r="S468" s="702"/>
      <c r="T468" s="702"/>
      <c r="U468" s="702"/>
      <c r="V468" s="702"/>
    </row>
    <row r="469" spans="1:22" s="677" customFormat="1" ht="25.5" hidden="1" customHeight="1">
      <c r="A469" s="707"/>
      <c r="B469" s="708" t="s">
        <v>1462</v>
      </c>
      <c r="C469" s="675">
        <f>[14]Data!X565</f>
        <v>1464.16</v>
      </c>
      <c r="D469" s="674" t="s">
        <v>264</v>
      </c>
      <c r="E469" s="684"/>
      <c r="F469" s="667">
        <f t="shared" si="31"/>
        <v>0</v>
      </c>
      <c r="G469" s="675"/>
      <c r="H469" s="667">
        <f t="shared" si="28"/>
        <v>0</v>
      </c>
      <c r="I469" s="667"/>
      <c r="J469" s="667"/>
      <c r="K469" s="667" t="e">
        <f>E469+#REF!+#REF!+#REF!+G469+#REF!+#REF!+#REF!+#REF!+#REF!+#REF!+I469+#REF!+#REF!+#REF!</f>
        <v>#REF!</v>
      </c>
      <c r="L469" s="667" t="e">
        <f t="shared" si="29"/>
        <v>#REF!</v>
      </c>
      <c r="M469" s="665" t="e">
        <f>#REF!+K469</f>
        <v>#REF!</v>
      </c>
      <c r="N469" s="666" t="e">
        <f t="shared" si="30"/>
        <v>#REF!</v>
      </c>
      <c r="O469" s="672"/>
      <c r="P469" s="668"/>
      <c r="Q469" s="676"/>
      <c r="R469" s="676"/>
      <c r="S469" s="676"/>
      <c r="T469" s="676"/>
      <c r="U469" s="676"/>
      <c r="V469" s="676"/>
    </row>
    <row r="470" spans="1:22" s="677" customFormat="1" ht="43.5" hidden="1" customHeight="1">
      <c r="A470" s="709" t="s">
        <v>1454</v>
      </c>
      <c r="B470" s="710" t="s">
        <v>1625</v>
      </c>
      <c r="C470" s="675"/>
      <c r="D470" s="674"/>
      <c r="E470" s="684"/>
      <c r="F470" s="667">
        <f t="shared" si="31"/>
        <v>0</v>
      </c>
      <c r="G470" s="675"/>
      <c r="H470" s="667">
        <f t="shared" si="28"/>
        <v>0</v>
      </c>
      <c r="I470" s="667"/>
      <c r="J470" s="667"/>
      <c r="K470" s="667" t="e">
        <f>E470+#REF!+#REF!+#REF!+G470+#REF!+#REF!+#REF!+#REF!+#REF!+#REF!+I470+#REF!+#REF!+#REF!</f>
        <v>#REF!</v>
      </c>
      <c r="L470" s="667" t="e">
        <f t="shared" si="29"/>
        <v>#REF!</v>
      </c>
      <c r="M470" s="665" t="e">
        <f>#REF!+K470</f>
        <v>#REF!</v>
      </c>
      <c r="N470" s="666" t="e">
        <f t="shared" si="30"/>
        <v>#REF!</v>
      </c>
      <c r="O470" s="672"/>
      <c r="P470" s="668"/>
      <c r="Q470" s="676"/>
      <c r="R470" s="676"/>
      <c r="S470" s="676"/>
      <c r="T470" s="676"/>
      <c r="U470" s="676"/>
      <c r="V470" s="676"/>
    </row>
    <row r="471" spans="1:22" s="677" customFormat="1" ht="25.5" hidden="1" customHeight="1">
      <c r="A471" s="709"/>
      <c r="B471" s="708" t="s">
        <v>1405</v>
      </c>
      <c r="C471" s="675">
        <f>[14]Data!AD537</f>
        <v>1299.8399999999999</v>
      </c>
      <c r="D471" s="674" t="s">
        <v>264</v>
      </c>
      <c r="E471" s="684"/>
      <c r="F471" s="667">
        <f t="shared" si="31"/>
        <v>0</v>
      </c>
      <c r="G471" s="675"/>
      <c r="H471" s="667">
        <f t="shared" si="28"/>
        <v>0</v>
      </c>
      <c r="I471" s="667"/>
      <c r="J471" s="667"/>
      <c r="K471" s="667" t="e">
        <f>E471+#REF!+#REF!+#REF!+G471+#REF!+#REF!+#REF!+#REF!+#REF!+#REF!+I471+#REF!+#REF!+#REF!</f>
        <v>#REF!</v>
      </c>
      <c r="L471" s="667" t="e">
        <f t="shared" si="29"/>
        <v>#REF!</v>
      </c>
      <c r="M471" s="665" t="e">
        <f>#REF!+K471</f>
        <v>#REF!</v>
      </c>
      <c r="N471" s="666" t="e">
        <f t="shared" si="30"/>
        <v>#REF!</v>
      </c>
      <c r="O471" s="672"/>
      <c r="P471" s="668"/>
      <c r="Q471" s="676"/>
      <c r="R471" s="676"/>
      <c r="S471" s="676"/>
      <c r="T471" s="676"/>
      <c r="U471" s="676"/>
      <c r="V471" s="676"/>
    </row>
    <row r="472" spans="1:22" s="677" customFormat="1" ht="25.5" hidden="1" customHeight="1">
      <c r="A472" s="709"/>
      <c r="B472" s="708" t="s">
        <v>1406</v>
      </c>
      <c r="C472" s="675">
        <f>[14]Data!AD538</f>
        <v>1303.95</v>
      </c>
      <c r="D472" s="674" t="s">
        <v>264</v>
      </c>
      <c r="E472" s="684"/>
      <c r="F472" s="667">
        <f t="shared" si="31"/>
        <v>0</v>
      </c>
      <c r="G472" s="675"/>
      <c r="H472" s="667">
        <f t="shared" si="28"/>
        <v>0</v>
      </c>
      <c r="I472" s="667"/>
      <c r="J472" s="667"/>
      <c r="K472" s="667" t="e">
        <f>E472+#REF!+#REF!+#REF!+G472+#REF!+#REF!+#REF!+#REF!+#REF!+#REF!+I472+#REF!+#REF!+#REF!</f>
        <v>#REF!</v>
      </c>
      <c r="L472" s="667" t="e">
        <f t="shared" si="29"/>
        <v>#REF!</v>
      </c>
      <c r="M472" s="665" t="e">
        <f>#REF!+K472</f>
        <v>#REF!</v>
      </c>
      <c r="N472" s="666" t="e">
        <f t="shared" si="30"/>
        <v>#REF!</v>
      </c>
      <c r="O472" s="672"/>
      <c r="P472" s="668"/>
      <c r="Q472" s="676"/>
      <c r="R472" s="676"/>
      <c r="S472" s="676"/>
      <c r="T472" s="676"/>
      <c r="U472" s="676"/>
      <c r="V472" s="676"/>
    </row>
    <row r="473" spans="1:22" s="677" customFormat="1" ht="25.5" hidden="1" customHeight="1">
      <c r="A473" s="709"/>
      <c r="B473" s="708" t="s">
        <v>1407</v>
      </c>
      <c r="C473" s="675">
        <f>[14]Data!AD539</f>
        <v>1308.06</v>
      </c>
      <c r="D473" s="674" t="s">
        <v>264</v>
      </c>
      <c r="E473" s="684"/>
      <c r="F473" s="667">
        <f t="shared" si="31"/>
        <v>0</v>
      </c>
      <c r="G473" s="675"/>
      <c r="H473" s="667">
        <f t="shared" si="28"/>
        <v>0</v>
      </c>
      <c r="I473" s="667"/>
      <c r="J473" s="667"/>
      <c r="K473" s="667" t="e">
        <f>E473+#REF!+#REF!+#REF!+G473+#REF!+#REF!+#REF!+#REF!+#REF!+#REF!+I473+#REF!+#REF!+#REF!</f>
        <v>#REF!</v>
      </c>
      <c r="L473" s="667" t="e">
        <f t="shared" si="29"/>
        <v>#REF!</v>
      </c>
      <c r="M473" s="665" t="e">
        <f>#REF!+K473</f>
        <v>#REF!</v>
      </c>
      <c r="N473" s="666" t="e">
        <f t="shared" si="30"/>
        <v>#REF!</v>
      </c>
      <c r="O473" s="672"/>
      <c r="P473" s="668"/>
      <c r="Q473" s="676"/>
      <c r="R473" s="676"/>
      <c r="S473" s="676"/>
      <c r="T473" s="676"/>
      <c r="U473" s="676"/>
      <c r="V473" s="676"/>
    </row>
    <row r="474" spans="1:22" s="677" customFormat="1" ht="25.5" hidden="1" customHeight="1">
      <c r="A474" s="711"/>
      <c r="B474" s="712" t="s">
        <v>1408</v>
      </c>
      <c r="C474" s="675">
        <f>[14]Data!AD540</f>
        <v>1312.17</v>
      </c>
      <c r="D474" s="713" t="s">
        <v>264</v>
      </c>
      <c r="E474" s="684"/>
      <c r="F474" s="667">
        <f t="shared" si="31"/>
        <v>0</v>
      </c>
      <c r="G474" s="675"/>
      <c r="H474" s="667">
        <f t="shared" si="28"/>
        <v>0</v>
      </c>
      <c r="I474" s="667"/>
      <c r="J474" s="667"/>
      <c r="K474" s="667" t="e">
        <f>E474+#REF!+#REF!+#REF!+G474+#REF!+#REF!+#REF!+#REF!+#REF!+#REF!+I474+#REF!+#REF!+#REF!</f>
        <v>#REF!</v>
      </c>
      <c r="L474" s="667" t="e">
        <f t="shared" si="29"/>
        <v>#REF!</v>
      </c>
      <c r="M474" s="665" t="e">
        <f>#REF!+K474</f>
        <v>#REF!</v>
      </c>
      <c r="N474" s="666" t="e">
        <f t="shared" si="30"/>
        <v>#REF!</v>
      </c>
      <c r="O474" s="672"/>
      <c r="P474" s="668"/>
      <c r="Q474" s="676"/>
      <c r="R474" s="676"/>
      <c r="S474" s="676"/>
      <c r="T474" s="676"/>
      <c r="U474" s="676"/>
      <c r="V474" s="676"/>
    </row>
    <row r="475" spans="1:22" s="677" customFormat="1" ht="25.5" hidden="1" customHeight="1">
      <c r="A475" s="714"/>
      <c r="B475" s="715" t="s">
        <v>1409</v>
      </c>
      <c r="C475" s="675">
        <f>[14]Data!AD541</f>
        <v>1316.28</v>
      </c>
      <c r="D475" s="716" t="s">
        <v>264</v>
      </c>
      <c r="E475" s="684"/>
      <c r="F475" s="667">
        <f t="shared" si="31"/>
        <v>0</v>
      </c>
      <c r="G475" s="675"/>
      <c r="H475" s="667">
        <f t="shared" si="28"/>
        <v>0</v>
      </c>
      <c r="I475" s="667"/>
      <c r="J475" s="667"/>
      <c r="K475" s="667" t="e">
        <f>E475+#REF!+#REF!+#REF!+G475+#REF!+#REF!+#REF!+#REF!+#REF!+#REF!+I475+#REF!+#REF!+#REF!</f>
        <v>#REF!</v>
      </c>
      <c r="L475" s="667" t="e">
        <f t="shared" si="29"/>
        <v>#REF!</v>
      </c>
      <c r="M475" s="665" t="e">
        <f>#REF!+K475</f>
        <v>#REF!</v>
      </c>
      <c r="N475" s="666" t="e">
        <f t="shared" si="30"/>
        <v>#REF!</v>
      </c>
      <c r="O475" s="672"/>
      <c r="P475" s="668"/>
      <c r="Q475" s="676"/>
      <c r="R475" s="676"/>
      <c r="S475" s="676"/>
      <c r="T475" s="676"/>
      <c r="U475" s="676"/>
      <c r="V475" s="676"/>
    </row>
    <row r="476" spans="1:22" s="677" customFormat="1" ht="61.5" hidden="1" customHeight="1">
      <c r="A476" s="709" t="s">
        <v>39</v>
      </c>
      <c r="B476" s="710" t="s">
        <v>1626</v>
      </c>
      <c r="C476" s="675"/>
      <c r="D476" s="674"/>
      <c r="E476" s="684"/>
      <c r="F476" s="667">
        <f t="shared" si="31"/>
        <v>0</v>
      </c>
      <c r="G476" s="675"/>
      <c r="H476" s="667">
        <f t="shared" si="28"/>
        <v>0</v>
      </c>
      <c r="I476" s="667"/>
      <c r="J476" s="667"/>
      <c r="K476" s="667" t="e">
        <f>E476+#REF!+#REF!+#REF!+G476+#REF!+#REF!+#REF!+#REF!+#REF!+#REF!+I476+#REF!+#REF!+#REF!</f>
        <v>#REF!</v>
      </c>
      <c r="L476" s="667" t="e">
        <f t="shared" si="29"/>
        <v>#REF!</v>
      </c>
      <c r="M476" s="665" t="e">
        <f>#REF!+K476</f>
        <v>#REF!</v>
      </c>
      <c r="N476" s="666" t="e">
        <f t="shared" si="30"/>
        <v>#REF!</v>
      </c>
      <c r="O476" s="672"/>
      <c r="P476" s="668"/>
      <c r="Q476" s="676"/>
      <c r="R476" s="676"/>
      <c r="S476" s="676"/>
      <c r="T476" s="676"/>
      <c r="U476" s="676"/>
      <c r="V476" s="676"/>
    </row>
    <row r="477" spans="1:22" s="677" customFormat="1" ht="39" hidden="1" customHeight="1">
      <c r="A477" s="709"/>
      <c r="B477" s="674" t="s">
        <v>1457</v>
      </c>
      <c r="C477" s="675">
        <f>[14]Data!AD559</f>
        <v>1448.8</v>
      </c>
      <c r="D477" s="674" t="s">
        <v>264</v>
      </c>
      <c r="E477" s="684"/>
      <c r="F477" s="667">
        <f t="shared" si="31"/>
        <v>0</v>
      </c>
      <c r="G477" s="675"/>
      <c r="H477" s="667">
        <f t="shared" si="28"/>
        <v>0</v>
      </c>
      <c r="I477" s="667"/>
      <c r="J477" s="667"/>
      <c r="K477" s="667" t="e">
        <f>E477+#REF!+#REF!+#REF!+G477+#REF!+#REF!+#REF!+#REF!+#REF!+#REF!+I477+#REF!+#REF!+#REF!</f>
        <v>#REF!</v>
      </c>
      <c r="L477" s="667" t="e">
        <f t="shared" si="29"/>
        <v>#REF!</v>
      </c>
      <c r="M477" s="665" t="e">
        <f>#REF!+K477</f>
        <v>#REF!</v>
      </c>
      <c r="N477" s="666" t="e">
        <f t="shared" si="30"/>
        <v>#REF!</v>
      </c>
      <c r="O477" s="672"/>
      <c r="P477" s="668"/>
      <c r="Q477" s="676"/>
      <c r="R477" s="676"/>
      <c r="S477" s="676"/>
      <c r="T477" s="676"/>
      <c r="U477" s="676"/>
      <c r="V477" s="676"/>
    </row>
    <row r="478" spans="1:22" s="677" customFormat="1" ht="25.5" hidden="1" customHeight="1">
      <c r="A478" s="709"/>
      <c r="B478" s="708" t="s">
        <v>1458</v>
      </c>
      <c r="C478" s="675">
        <f>[14]Data!AD561</f>
        <v>1452.97</v>
      </c>
      <c r="D478" s="674" t="s">
        <v>264</v>
      </c>
      <c r="E478" s="684"/>
      <c r="F478" s="667">
        <f t="shared" si="31"/>
        <v>0</v>
      </c>
      <c r="G478" s="675"/>
      <c r="H478" s="667">
        <f t="shared" si="28"/>
        <v>0</v>
      </c>
      <c r="I478" s="667"/>
      <c r="J478" s="667"/>
      <c r="K478" s="667" t="e">
        <f>E478+#REF!+#REF!+#REF!+G478+#REF!+#REF!+#REF!+#REF!+#REF!+#REF!+I478+#REF!+#REF!+#REF!</f>
        <v>#REF!</v>
      </c>
      <c r="L478" s="667" t="e">
        <f t="shared" si="29"/>
        <v>#REF!</v>
      </c>
      <c r="M478" s="665" t="e">
        <f>#REF!+K478</f>
        <v>#REF!</v>
      </c>
      <c r="N478" s="666" t="e">
        <f t="shared" si="30"/>
        <v>#REF!</v>
      </c>
      <c r="O478" s="672"/>
      <c r="P478" s="668"/>
      <c r="Q478" s="676"/>
      <c r="R478" s="676"/>
      <c r="S478" s="676"/>
      <c r="T478" s="676"/>
      <c r="U478" s="676"/>
      <c r="V478" s="676"/>
    </row>
    <row r="479" spans="1:22" s="677" customFormat="1" ht="25.5" hidden="1" customHeight="1">
      <c r="A479" s="709"/>
      <c r="B479" s="708" t="s">
        <v>1459</v>
      </c>
      <c r="C479" s="675">
        <f>[14]Data!AD562</f>
        <v>1461.19</v>
      </c>
      <c r="D479" s="674" t="s">
        <v>264</v>
      </c>
      <c r="E479" s="684"/>
      <c r="F479" s="667">
        <f t="shared" si="31"/>
        <v>0</v>
      </c>
      <c r="G479" s="675"/>
      <c r="H479" s="667">
        <f t="shared" si="28"/>
        <v>0</v>
      </c>
      <c r="I479" s="667"/>
      <c r="J479" s="667"/>
      <c r="K479" s="667" t="e">
        <f>E479+#REF!+#REF!+#REF!+G479+#REF!+#REF!+#REF!+#REF!+#REF!+#REF!+I479+#REF!+#REF!+#REF!</f>
        <v>#REF!</v>
      </c>
      <c r="L479" s="667" t="e">
        <f t="shared" si="29"/>
        <v>#REF!</v>
      </c>
      <c r="M479" s="665" t="e">
        <f>#REF!+K479</f>
        <v>#REF!</v>
      </c>
      <c r="N479" s="666" t="e">
        <f t="shared" si="30"/>
        <v>#REF!</v>
      </c>
      <c r="O479" s="672"/>
      <c r="P479" s="668"/>
      <c r="Q479" s="676"/>
      <c r="R479" s="676"/>
      <c r="S479" s="676"/>
      <c r="T479" s="676"/>
      <c r="U479" s="676"/>
      <c r="V479" s="676"/>
    </row>
    <row r="480" spans="1:22" s="677" customFormat="1" ht="25.5" hidden="1" customHeight="1">
      <c r="A480" s="711"/>
      <c r="B480" s="712" t="s">
        <v>1460</v>
      </c>
      <c r="C480" s="675">
        <f>[14]Data!AD563</f>
        <v>1469.41</v>
      </c>
      <c r="D480" s="713" t="s">
        <v>264</v>
      </c>
      <c r="E480" s="684"/>
      <c r="F480" s="667">
        <f t="shared" si="31"/>
        <v>0</v>
      </c>
      <c r="G480" s="675"/>
      <c r="H480" s="667">
        <f t="shared" si="28"/>
        <v>0</v>
      </c>
      <c r="I480" s="667"/>
      <c r="J480" s="667"/>
      <c r="K480" s="667" t="e">
        <f>E480+#REF!+#REF!+#REF!+G480+#REF!+#REF!+#REF!+#REF!+#REF!+#REF!+I480+#REF!+#REF!+#REF!</f>
        <v>#REF!</v>
      </c>
      <c r="L480" s="667" t="e">
        <f t="shared" si="29"/>
        <v>#REF!</v>
      </c>
      <c r="M480" s="665" t="e">
        <f>#REF!+K480</f>
        <v>#REF!</v>
      </c>
      <c r="N480" s="666" t="e">
        <f t="shared" si="30"/>
        <v>#REF!</v>
      </c>
      <c r="O480" s="672"/>
      <c r="P480" s="668"/>
      <c r="Q480" s="676"/>
      <c r="R480" s="676"/>
      <c r="S480" s="676"/>
      <c r="T480" s="676"/>
      <c r="U480" s="676"/>
      <c r="V480" s="676"/>
    </row>
    <row r="481" spans="1:22" s="677" customFormat="1" ht="25.5" hidden="1" customHeight="1">
      <c r="A481" s="709"/>
      <c r="B481" s="708" t="s">
        <v>1461</v>
      </c>
      <c r="C481" s="675">
        <f>[14]Data!AD564</f>
        <v>1477.63</v>
      </c>
      <c r="D481" s="674" t="s">
        <v>264</v>
      </c>
      <c r="E481" s="684"/>
      <c r="F481" s="667">
        <f t="shared" si="31"/>
        <v>0</v>
      </c>
      <c r="G481" s="675"/>
      <c r="H481" s="667">
        <f t="shared" si="28"/>
        <v>0</v>
      </c>
      <c r="I481" s="667"/>
      <c r="J481" s="667"/>
      <c r="K481" s="667" t="e">
        <f>E481+#REF!+#REF!+#REF!+G481+#REF!+#REF!+#REF!+#REF!+#REF!+#REF!+I481+#REF!+#REF!+#REF!</f>
        <v>#REF!</v>
      </c>
      <c r="L481" s="667" t="e">
        <f t="shared" si="29"/>
        <v>#REF!</v>
      </c>
      <c r="M481" s="665" t="e">
        <f>#REF!+K481</f>
        <v>#REF!</v>
      </c>
      <c r="N481" s="666" t="e">
        <f t="shared" si="30"/>
        <v>#REF!</v>
      </c>
      <c r="O481" s="672"/>
      <c r="P481" s="668"/>
      <c r="Q481" s="676"/>
      <c r="R481" s="676"/>
      <c r="S481" s="676"/>
      <c r="T481" s="676"/>
      <c r="U481" s="676"/>
      <c r="V481" s="676"/>
    </row>
    <row r="482" spans="1:22" s="677" customFormat="1" ht="25.5" hidden="1" customHeight="1">
      <c r="A482" s="707"/>
      <c r="B482" s="708" t="s">
        <v>1462</v>
      </c>
      <c r="C482" s="675">
        <f>[14]Data!AD565</f>
        <v>1485.85</v>
      </c>
      <c r="D482" s="674" t="s">
        <v>264</v>
      </c>
      <c r="E482" s="684"/>
      <c r="F482" s="667">
        <f t="shared" si="31"/>
        <v>0</v>
      </c>
      <c r="G482" s="675"/>
      <c r="H482" s="667">
        <f t="shared" si="28"/>
        <v>0</v>
      </c>
      <c r="I482" s="667"/>
      <c r="J482" s="667"/>
      <c r="K482" s="667" t="e">
        <f>E482+#REF!+#REF!+#REF!+G482+#REF!+#REF!+#REF!+#REF!+#REF!+#REF!+I482+#REF!+#REF!+#REF!</f>
        <v>#REF!</v>
      </c>
      <c r="L482" s="667" t="e">
        <f t="shared" si="29"/>
        <v>#REF!</v>
      </c>
      <c r="M482" s="665" t="e">
        <f>#REF!+K482</f>
        <v>#REF!</v>
      </c>
      <c r="N482" s="666" t="e">
        <f t="shared" si="30"/>
        <v>#REF!</v>
      </c>
      <c r="O482" s="672"/>
      <c r="P482" s="668"/>
      <c r="Q482" s="676"/>
      <c r="R482" s="676"/>
      <c r="S482" s="676"/>
      <c r="T482" s="676"/>
      <c r="U482" s="676"/>
      <c r="V482" s="676"/>
    </row>
    <row r="483" spans="1:22" s="677" customFormat="1" ht="40.5" hidden="1" customHeight="1">
      <c r="A483" s="707"/>
      <c r="B483" s="717" t="s">
        <v>1627</v>
      </c>
      <c r="C483" s="718"/>
      <c r="D483" s="713"/>
      <c r="E483" s="684"/>
      <c r="F483" s="667">
        <f t="shared" si="31"/>
        <v>0</v>
      </c>
      <c r="G483" s="675"/>
      <c r="H483" s="667">
        <f t="shared" si="28"/>
        <v>0</v>
      </c>
      <c r="I483" s="667"/>
      <c r="J483" s="667"/>
      <c r="K483" s="667" t="e">
        <f>E483+#REF!+#REF!+#REF!+G483+#REF!+#REF!+#REF!+#REF!+#REF!+#REF!+I483+#REF!+#REF!+#REF!</f>
        <v>#REF!</v>
      </c>
      <c r="L483" s="667" t="e">
        <f t="shared" si="29"/>
        <v>#REF!</v>
      </c>
      <c r="M483" s="665" t="e">
        <f>#REF!+K483</f>
        <v>#REF!</v>
      </c>
      <c r="N483" s="666" t="e">
        <f t="shared" si="30"/>
        <v>#REF!</v>
      </c>
      <c r="O483" s="672"/>
      <c r="P483" s="668"/>
      <c r="Q483" s="676"/>
      <c r="R483" s="676"/>
      <c r="S483" s="676"/>
      <c r="T483" s="676"/>
      <c r="U483" s="676"/>
      <c r="V483" s="676"/>
    </row>
    <row r="484" spans="1:22" s="677" customFormat="1" ht="25.5" hidden="1" customHeight="1">
      <c r="A484" s="707"/>
      <c r="B484" s="719" t="s">
        <v>1628</v>
      </c>
      <c r="C484" s="720">
        <f>[14]Data!AD486</f>
        <v>2598.2199999999998</v>
      </c>
      <c r="D484" s="719" t="s">
        <v>264</v>
      </c>
      <c r="E484" s="684"/>
      <c r="F484" s="667">
        <f t="shared" si="31"/>
        <v>0</v>
      </c>
      <c r="G484" s="675"/>
      <c r="H484" s="667">
        <f t="shared" si="28"/>
        <v>0</v>
      </c>
      <c r="I484" s="667"/>
      <c r="J484" s="667"/>
      <c r="K484" s="667" t="e">
        <f>E484+#REF!+#REF!+#REF!+G484+#REF!+#REF!+#REF!+#REF!+#REF!+#REF!+I484+#REF!+#REF!+#REF!</f>
        <v>#REF!</v>
      </c>
      <c r="L484" s="667" t="e">
        <f t="shared" si="29"/>
        <v>#REF!</v>
      </c>
      <c r="M484" s="665" t="e">
        <f>#REF!+K484</f>
        <v>#REF!</v>
      </c>
      <c r="N484" s="666" t="e">
        <f t="shared" si="30"/>
        <v>#REF!</v>
      </c>
      <c r="O484" s="672"/>
      <c r="P484" s="668"/>
      <c r="Q484" s="676"/>
      <c r="R484" s="676"/>
      <c r="S484" s="676"/>
      <c r="T484" s="676"/>
      <c r="U484" s="676"/>
      <c r="V484" s="676"/>
    </row>
    <row r="485" spans="1:22" s="677" customFormat="1" ht="25.5" hidden="1" customHeight="1">
      <c r="A485" s="707"/>
      <c r="B485" s="721" t="s">
        <v>1406</v>
      </c>
      <c r="C485" s="720">
        <f>[14]Data!AD487</f>
        <v>2605.88</v>
      </c>
      <c r="D485" s="721" t="s">
        <v>264</v>
      </c>
      <c r="E485" s="684"/>
      <c r="F485" s="667">
        <f t="shared" si="31"/>
        <v>0</v>
      </c>
      <c r="G485" s="675"/>
      <c r="H485" s="667">
        <f t="shared" si="28"/>
        <v>0</v>
      </c>
      <c r="I485" s="667"/>
      <c r="J485" s="667"/>
      <c r="K485" s="667" t="e">
        <f>E485+#REF!+#REF!+#REF!+G485+#REF!+#REF!+#REF!+#REF!+#REF!+#REF!+I485+#REF!+#REF!+#REF!</f>
        <v>#REF!</v>
      </c>
      <c r="L485" s="667" t="e">
        <f t="shared" si="29"/>
        <v>#REF!</v>
      </c>
      <c r="M485" s="665" t="e">
        <f>#REF!+K485</f>
        <v>#REF!</v>
      </c>
      <c r="N485" s="666" t="e">
        <f t="shared" si="30"/>
        <v>#REF!</v>
      </c>
      <c r="O485" s="672"/>
      <c r="P485" s="668"/>
      <c r="Q485" s="676"/>
      <c r="R485" s="676"/>
      <c r="S485" s="676"/>
      <c r="T485" s="676"/>
      <c r="U485" s="676"/>
      <c r="V485" s="676"/>
    </row>
    <row r="486" spans="1:22" s="677" customFormat="1" ht="25.5" hidden="1" customHeight="1">
      <c r="A486" s="707"/>
      <c r="B486" s="708" t="s">
        <v>1407</v>
      </c>
      <c r="C486" s="720">
        <f>[14]Data!AD488</f>
        <v>2613.54</v>
      </c>
      <c r="D486" s="674" t="s">
        <v>264</v>
      </c>
      <c r="E486" s="684"/>
      <c r="F486" s="667">
        <f t="shared" si="31"/>
        <v>0</v>
      </c>
      <c r="G486" s="675"/>
      <c r="H486" s="667">
        <f t="shared" si="28"/>
        <v>0</v>
      </c>
      <c r="I486" s="667"/>
      <c r="J486" s="667"/>
      <c r="K486" s="667" t="e">
        <f>E486+#REF!+#REF!+#REF!+G486+#REF!+#REF!+#REF!+#REF!+#REF!+#REF!+I486+#REF!+#REF!+#REF!</f>
        <v>#REF!</v>
      </c>
      <c r="L486" s="667" t="e">
        <f t="shared" si="29"/>
        <v>#REF!</v>
      </c>
      <c r="M486" s="665" t="e">
        <f>#REF!+K486</f>
        <v>#REF!</v>
      </c>
      <c r="N486" s="666" t="e">
        <f t="shared" si="30"/>
        <v>#REF!</v>
      </c>
      <c r="O486" s="672"/>
      <c r="P486" s="668"/>
      <c r="Q486" s="676"/>
      <c r="R486" s="676"/>
      <c r="S486" s="676"/>
      <c r="T486" s="676"/>
      <c r="U486" s="676"/>
      <c r="V486" s="676"/>
    </row>
    <row r="487" spans="1:22" s="677" customFormat="1" ht="25.5" hidden="1" customHeight="1">
      <c r="A487" s="707"/>
      <c r="B487" s="712" t="s">
        <v>1408</v>
      </c>
      <c r="C487" s="720">
        <f>[14]Data!AD489</f>
        <v>2621.1999999999998</v>
      </c>
      <c r="D487" s="713" t="s">
        <v>264</v>
      </c>
      <c r="E487" s="684"/>
      <c r="F487" s="667">
        <f t="shared" si="31"/>
        <v>0</v>
      </c>
      <c r="G487" s="675"/>
      <c r="H487" s="667">
        <f t="shared" si="28"/>
        <v>0</v>
      </c>
      <c r="I487" s="667"/>
      <c r="J487" s="667"/>
      <c r="K487" s="667" t="e">
        <f>E487+#REF!+#REF!+#REF!+G487+#REF!+#REF!+#REF!+#REF!+#REF!+#REF!+I487+#REF!+#REF!+#REF!</f>
        <v>#REF!</v>
      </c>
      <c r="L487" s="667" t="e">
        <f t="shared" si="29"/>
        <v>#REF!</v>
      </c>
      <c r="M487" s="665" t="e">
        <f>#REF!+K487</f>
        <v>#REF!</v>
      </c>
      <c r="N487" s="666" t="e">
        <f t="shared" si="30"/>
        <v>#REF!</v>
      </c>
      <c r="O487" s="672"/>
      <c r="P487" s="668"/>
      <c r="Q487" s="676"/>
      <c r="R487" s="676"/>
      <c r="S487" s="676"/>
      <c r="T487" s="676"/>
      <c r="U487" s="676"/>
      <c r="V487" s="676"/>
    </row>
    <row r="488" spans="1:22" s="677" customFormat="1" ht="5.25" hidden="1" customHeight="1">
      <c r="A488" s="707"/>
      <c r="B488" s="715" t="s">
        <v>1409</v>
      </c>
      <c r="C488" s="720">
        <f>[14]Data!AD490</f>
        <v>2628.86</v>
      </c>
      <c r="D488" s="716" t="s">
        <v>264</v>
      </c>
      <c r="E488" s="684"/>
      <c r="F488" s="667">
        <f t="shared" si="31"/>
        <v>0</v>
      </c>
      <c r="G488" s="675"/>
      <c r="H488" s="667">
        <f t="shared" si="28"/>
        <v>0</v>
      </c>
      <c r="I488" s="667"/>
      <c r="J488" s="667"/>
      <c r="K488" s="667" t="e">
        <f>E488+#REF!+#REF!+#REF!+G488+#REF!+#REF!+#REF!+#REF!+#REF!+#REF!+I488+#REF!+#REF!+#REF!</f>
        <v>#REF!</v>
      </c>
      <c r="L488" s="667" t="e">
        <f t="shared" si="29"/>
        <v>#REF!</v>
      </c>
      <c r="M488" s="665" t="e">
        <f>#REF!+K488</f>
        <v>#REF!</v>
      </c>
      <c r="N488" s="666" t="e">
        <f t="shared" si="30"/>
        <v>#REF!</v>
      </c>
      <c r="O488" s="672"/>
      <c r="P488" s="668"/>
      <c r="Q488" s="676"/>
      <c r="R488" s="676"/>
      <c r="S488" s="676"/>
      <c r="T488" s="676"/>
      <c r="U488" s="676"/>
      <c r="V488" s="676"/>
    </row>
    <row r="489" spans="1:22" s="683" customFormat="1" ht="90.75" customHeight="1">
      <c r="A489" s="722"/>
      <c r="B489" s="663" t="s">
        <v>1629</v>
      </c>
      <c r="C489" s="667"/>
      <c r="D489" s="663"/>
      <c r="E489" s="690"/>
      <c r="F489" s="667">
        <f t="shared" si="31"/>
        <v>0</v>
      </c>
      <c r="G489" s="667"/>
      <c r="H489" s="667">
        <f t="shared" si="28"/>
        <v>0</v>
      </c>
      <c r="I489" s="667"/>
      <c r="J489" s="667"/>
      <c r="K489" s="667" t="e">
        <f>E489+#REF!+#REF!+#REF!+G489+#REF!+#REF!+#REF!+#REF!+#REF!+#REF!+I489+#REF!+#REF!+#REF!</f>
        <v>#REF!</v>
      </c>
      <c r="L489" s="667" t="e">
        <f t="shared" si="29"/>
        <v>#REF!</v>
      </c>
      <c r="M489" s="665" t="e">
        <f>#REF!+K489</f>
        <v>#REF!</v>
      </c>
      <c r="N489" s="666" t="e">
        <f t="shared" si="30"/>
        <v>#REF!</v>
      </c>
      <c r="O489" s="668"/>
      <c r="P489" s="668"/>
      <c r="Q489" s="678"/>
      <c r="R489" s="669"/>
      <c r="S489" s="679"/>
      <c r="T489" s="702"/>
      <c r="U489" s="702"/>
      <c r="V489" s="702"/>
    </row>
    <row r="490" spans="1:22" s="683" customFormat="1" ht="48.75" customHeight="1">
      <c r="A490" s="662"/>
      <c r="B490" s="663" t="s">
        <v>1420</v>
      </c>
      <c r="C490" s="667">
        <f>[14]Data!X486</f>
        <v>2578</v>
      </c>
      <c r="D490" s="663" t="s">
        <v>264</v>
      </c>
      <c r="E490" s="705"/>
      <c r="F490" s="667">
        <f t="shared" si="31"/>
        <v>0</v>
      </c>
      <c r="G490" s="667"/>
      <c r="H490" s="667">
        <f t="shared" si="28"/>
        <v>0</v>
      </c>
      <c r="I490" s="667"/>
      <c r="J490" s="667"/>
      <c r="K490" s="667" t="e">
        <f>E490+#REF!+#REF!+#REF!+G490+#REF!+#REF!+#REF!+#REF!+#REF!+#REF!+I490+#REF!+#REF!+#REF!</f>
        <v>#REF!</v>
      </c>
      <c r="L490" s="667" t="e">
        <f t="shared" si="29"/>
        <v>#REF!</v>
      </c>
      <c r="M490" s="665" t="e">
        <f>#REF!+K490</f>
        <v>#REF!</v>
      </c>
      <c r="N490" s="666" t="e">
        <f t="shared" si="30"/>
        <v>#REF!</v>
      </c>
      <c r="O490" s="672"/>
      <c r="P490" s="668"/>
      <c r="Q490" s="669"/>
      <c r="R490" s="669"/>
      <c r="S490" s="702"/>
      <c r="T490" s="702"/>
      <c r="U490" s="702"/>
      <c r="V490" s="702"/>
    </row>
    <row r="491" spans="1:22" s="683" customFormat="1" ht="48.75" customHeight="1">
      <c r="A491" s="662"/>
      <c r="B491" s="663" t="s">
        <v>1406</v>
      </c>
      <c r="C491" s="667">
        <f>[14]Data!X487</f>
        <v>2585.66</v>
      </c>
      <c r="D491" s="663" t="s">
        <v>264</v>
      </c>
      <c r="E491" s="705"/>
      <c r="F491" s="667">
        <f t="shared" si="31"/>
        <v>0</v>
      </c>
      <c r="G491" s="667"/>
      <c r="H491" s="667">
        <f t="shared" si="28"/>
        <v>0</v>
      </c>
      <c r="I491" s="667"/>
      <c r="J491" s="667"/>
      <c r="K491" s="667" t="e">
        <f>E491+#REF!+#REF!+#REF!+G491+#REF!+#REF!+#REF!+#REF!+#REF!+#REF!+I491+#REF!+#REF!+#REF!</f>
        <v>#REF!</v>
      </c>
      <c r="L491" s="667" t="e">
        <f t="shared" si="29"/>
        <v>#REF!</v>
      </c>
      <c r="M491" s="665" t="e">
        <f>#REF!+K491</f>
        <v>#REF!</v>
      </c>
      <c r="N491" s="666" t="e">
        <f t="shared" si="30"/>
        <v>#REF!</v>
      </c>
      <c r="O491" s="672"/>
      <c r="P491" s="668"/>
      <c r="Q491" s="669"/>
      <c r="R491" s="669"/>
      <c r="S491" s="702"/>
      <c r="T491" s="702"/>
      <c r="U491" s="702"/>
      <c r="V491" s="702"/>
    </row>
    <row r="492" spans="1:22" s="683" customFormat="1" ht="48.75" hidden="1" customHeight="1">
      <c r="A492" s="662"/>
      <c r="B492" s="663" t="s">
        <v>1407</v>
      </c>
      <c r="C492" s="667">
        <f>[14]Data!X488</f>
        <v>2593.3200000000002</v>
      </c>
      <c r="D492" s="663" t="s">
        <v>264</v>
      </c>
      <c r="E492" s="705"/>
      <c r="F492" s="667">
        <f t="shared" si="31"/>
        <v>0</v>
      </c>
      <c r="G492" s="667"/>
      <c r="H492" s="667">
        <f t="shared" si="28"/>
        <v>0</v>
      </c>
      <c r="I492" s="667"/>
      <c r="J492" s="667"/>
      <c r="K492" s="667" t="e">
        <f>E492+#REF!+#REF!+#REF!+G492+#REF!+#REF!+#REF!+#REF!+#REF!+#REF!+I492+#REF!+#REF!+#REF!</f>
        <v>#REF!</v>
      </c>
      <c r="L492" s="667" t="e">
        <f t="shared" si="29"/>
        <v>#REF!</v>
      </c>
      <c r="M492" s="665" t="e">
        <f>#REF!+K492</f>
        <v>#REF!</v>
      </c>
      <c r="N492" s="666" t="e">
        <f t="shared" si="30"/>
        <v>#REF!</v>
      </c>
      <c r="O492" s="672"/>
      <c r="P492" s="668"/>
      <c r="Q492" s="669"/>
      <c r="R492" s="669"/>
      <c r="S492" s="702"/>
      <c r="T492" s="702"/>
      <c r="U492" s="702"/>
      <c r="V492" s="702"/>
    </row>
    <row r="493" spans="1:22" s="683" customFormat="1" ht="48.75" hidden="1" customHeight="1">
      <c r="A493" s="662"/>
      <c r="B493" s="663" t="s">
        <v>1408</v>
      </c>
      <c r="C493" s="667">
        <f>[14]Data!X489</f>
        <v>2600.98</v>
      </c>
      <c r="D493" s="663" t="s">
        <v>264</v>
      </c>
      <c r="E493" s="705"/>
      <c r="F493" s="667">
        <f t="shared" si="31"/>
        <v>0</v>
      </c>
      <c r="G493" s="667"/>
      <c r="H493" s="667">
        <f t="shared" si="28"/>
        <v>0</v>
      </c>
      <c r="I493" s="667"/>
      <c r="J493" s="667"/>
      <c r="K493" s="667" t="e">
        <f>E493+#REF!+#REF!+#REF!+G493+#REF!+#REF!+#REF!+#REF!+#REF!+#REF!+I493+#REF!+#REF!+#REF!</f>
        <v>#REF!</v>
      </c>
      <c r="L493" s="667" t="e">
        <f t="shared" si="29"/>
        <v>#REF!</v>
      </c>
      <c r="M493" s="665" t="e">
        <f>#REF!+K493</f>
        <v>#REF!</v>
      </c>
      <c r="N493" s="666" t="e">
        <f t="shared" si="30"/>
        <v>#REF!</v>
      </c>
      <c r="O493" s="672"/>
      <c r="P493" s="668"/>
      <c r="Q493" s="669"/>
      <c r="R493" s="669"/>
      <c r="S493" s="702"/>
      <c r="T493" s="702"/>
      <c r="U493" s="702"/>
      <c r="V493" s="702"/>
    </row>
    <row r="494" spans="1:22" s="683" customFormat="1" ht="44.25" hidden="1" customHeight="1">
      <c r="A494" s="688"/>
      <c r="B494" s="663" t="s">
        <v>1409</v>
      </c>
      <c r="C494" s="667">
        <f>[14]Data!X490</f>
        <v>2608.64</v>
      </c>
      <c r="D494" s="663" t="s">
        <v>264</v>
      </c>
      <c r="E494" s="705"/>
      <c r="F494" s="667">
        <f t="shared" si="31"/>
        <v>0</v>
      </c>
      <c r="G494" s="667"/>
      <c r="H494" s="667">
        <f t="shared" si="28"/>
        <v>0</v>
      </c>
      <c r="I494" s="667"/>
      <c r="J494" s="667"/>
      <c r="K494" s="667" t="e">
        <f>E494+#REF!+#REF!+#REF!+G494+#REF!+#REF!+#REF!+#REF!+#REF!+#REF!+I494+#REF!+#REF!+#REF!</f>
        <v>#REF!</v>
      </c>
      <c r="L494" s="667" t="e">
        <f t="shared" si="29"/>
        <v>#REF!</v>
      </c>
      <c r="M494" s="665" t="e">
        <f>#REF!+K494</f>
        <v>#REF!</v>
      </c>
      <c r="N494" s="666" t="e">
        <f t="shared" si="30"/>
        <v>#REF!</v>
      </c>
      <c r="O494" s="672"/>
      <c r="P494" s="668"/>
      <c r="Q494" s="669"/>
      <c r="R494" s="669"/>
      <c r="S494" s="702"/>
      <c r="T494" s="702"/>
      <c r="U494" s="702"/>
      <c r="V494" s="702"/>
    </row>
    <row r="495" spans="1:22" s="726" customFormat="1" ht="25.5" hidden="1" customHeight="1">
      <c r="A495" s="723"/>
      <c r="B495" s="724" t="s">
        <v>1411</v>
      </c>
      <c r="C495" s="675">
        <f>[14]Data!X491</f>
        <v>0</v>
      </c>
      <c r="D495" s="674" t="s">
        <v>264</v>
      </c>
      <c r="E495" s="684"/>
      <c r="F495" s="667">
        <f t="shared" si="31"/>
        <v>0</v>
      </c>
      <c r="G495" s="675"/>
      <c r="H495" s="667">
        <f t="shared" si="28"/>
        <v>0</v>
      </c>
      <c r="I495" s="667"/>
      <c r="J495" s="667"/>
      <c r="K495" s="667" t="e">
        <f>E495+#REF!+#REF!+#REF!+G495+#REF!+#REF!+#REF!+#REF!+#REF!+#REF!+I495+#REF!+#REF!+#REF!</f>
        <v>#REF!</v>
      </c>
      <c r="L495" s="667" t="e">
        <f t="shared" si="29"/>
        <v>#REF!</v>
      </c>
      <c r="M495" s="665" t="e">
        <f>#REF!+K495</f>
        <v>#REF!</v>
      </c>
      <c r="N495" s="666" t="e">
        <f t="shared" si="30"/>
        <v>#REF!</v>
      </c>
      <c r="O495" s="672"/>
      <c r="P495" s="668"/>
      <c r="Q495" s="725"/>
      <c r="R495" s="725"/>
      <c r="S495" s="725"/>
      <c r="T495" s="725"/>
      <c r="U495" s="725"/>
      <c r="V495" s="725"/>
    </row>
    <row r="496" spans="1:22" ht="44.25" customHeight="1">
      <c r="A496" s="727">
        <v>4.0999999999999996</v>
      </c>
      <c r="B496" s="728" t="s">
        <v>547</v>
      </c>
      <c r="C496" s="729"/>
      <c r="D496" s="704"/>
      <c r="E496" s="667"/>
      <c r="F496" s="667">
        <f t="shared" si="31"/>
        <v>0</v>
      </c>
      <c r="G496" s="667"/>
      <c r="H496" s="667">
        <f t="shared" si="28"/>
        <v>0</v>
      </c>
      <c r="I496" s="667"/>
      <c r="J496" s="667"/>
      <c r="K496" s="667" t="e">
        <f>E496+#REF!+#REF!+#REF!+G496+#REF!+#REF!+#REF!+#REF!+#REF!+#REF!+I496+#REF!+#REF!+#REF!</f>
        <v>#REF!</v>
      </c>
      <c r="L496" s="667" t="e">
        <f t="shared" si="29"/>
        <v>#REF!</v>
      </c>
      <c r="M496" s="665" t="e">
        <f>#REF!+K496</f>
        <v>#REF!</v>
      </c>
      <c r="N496" s="666" t="e">
        <f t="shared" si="30"/>
        <v>#REF!</v>
      </c>
      <c r="O496" s="668"/>
      <c r="P496" s="668"/>
      <c r="Q496" s="678"/>
      <c r="S496" s="679"/>
    </row>
    <row r="497" spans="1:18" ht="50.25" customHeight="1">
      <c r="A497" s="727"/>
      <c r="B497" s="663" t="s">
        <v>1433</v>
      </c>
      <c r="C497" s="729">
        <f>[14]Data!X718</f>
        <v>7507.52</v>
      </c>
      <c r="D497" s="663" t="s">
        <v>16</v>
      </c>
      <c r="E497" s="690">
        <f>'Septic Tank'!$G$44</f>
        <v>3.5964899999999997</v>
      </c>
      <c r="F497" s="667">
        <f t="shared" si="31"/>
        <v>27000.720604800001</v>
      </c>
      <c r="G497" s="667"/>
      <c r="H497" s="667">
        <f t="shared" si="28"/>
        <v>0</v>
      </c>
      <c r="I497" s="667"/>
      <c r="J497" s="667"/>
      <c r="K497" s="667" t="e">
        <f>E497+#REF!+#REF!+#REF!+G497+#REF!+#REF!+#REF!+#REF!+#REF!+#REF!+I497+#REF!+#REF!+#REF!</f>
        <v>#REF!</v>
      </c>
      <c r="L497" s="667" t="e">
        <f t="shared" si="29"/>
        <v>#REF!</v>
      </c>
      <c r="M497" s="665" t="e">
        <f>#REF!+K497</f>
        <v>#REF!</v>
      </c>
      <c r="N497" s="666" t="e">
        <f t="shared" si="30"/>
        <v>#REF!</v>
      </c>
      <c r="O497" s="672"/>
      <c r="P497" s="668"/>
    </row>
    <row r="498" spans="1:18" ht="50.25" customHeight="1">
      <c r="A498" s="727">
        <v>8.1</v>
      </c>
      <c r="B498" s="663" t="s">
        <v>1630</v>
      </c>
      <c r="C498" s="729">
        <f>[14]Data!X720</f>
        <v>7610.82</v>
      </c>
      <c r="D498" s="663" t="s">
        <v>16</v>
      </c>
      <c r="E498" s="690"/>
      <c r="F498" s="667">
        <f t="shared" si="31"/>
        <v>0</v>
      </c>
      <c r="G498" s="667"/>
      <c r="H498" s="667">
        <f t="shared" si="28"/>
        <v>0</v>
      </c>
      <c r="I498" s="667"/>
      <c r="J498" s="667"/>
      <c r="K498" s="667" t="e">
        <f>E498+#REF!+#REF!+#REF!+G498+#REF!+#REF!+#REF!+#REF!+#REF!+#REF!+I498+#REF!+#REF!+#REF!</f>
        <v>#REF!</v>
      </c>
      <c r="L498" s="667" t="e">
        <f t="shared" si="29"/>
        <v>#REF!</v>
      </c>
      <c r="M498" s="665" t="e">
        <f>#REF!+K498</f>
        <v>#REF!</v>
      </c>
      <c r="N498" s="666" t="e">
        <f t="shared" si="30"/>
        <v>#REF!</v>
      </c>
      <c r="O498" s="672"/>
      <c r="P498" s="668"/>
    </row>
    <row r="499" spans="1:18" ht="50.25" customHeight="1">
      <c r="A499" s="727"/>
      <c r="B499" s="663" t="s">
        <v>1435</v>
      </c>
      <c r="C499" s="729">
        <f>[14]Data!X721</f>
        <v>7814.32</v>
      </c>
      <c r="D499" s="663" t="s">
        <v>16</v>
      </c>
      <c r="E499" s="690"/>
      <c r="F499" s="667">
        <f t="shared" si="31"/>
        <v>0</v>
      </c>
      <c r="G499" s="667"/>
      <c r="H499" s="667">
        <f t="shared" si="28"/>
        <v>0</v>
      </c>
      <c r="I499" s="667"/>
      <c r="J499" s="667"/>
      <c r="K499" s="667" t="e">
        <f>E499+#REF!+#REF!+#REF!+G499+#REF!+#REF!+#REF!+#REF!+#REF!+#REF!+I499+#REF!+#REF!+#REF!</f>
        <v>#REF!</v>
      </c>
      <c r="L499" s="667" t="e">
        <f t="shared" si="29"/>
        <v>#REF!</v>
      </c>
      <c r="M499" s="665" t="e">
        <f>#REF!+K499</f>
        <v>#REF!</v>
      </c>
      <c r="N499" s="666" t="e">
        <f t="shared" si="30"/>
        <v>#REF!</v>
      </c>
      <c r="O499" s="672"/>
      <c r="P499" s="668"/>
    </row>
    <row r="500" spans="1:18" ht="50.25" customHeight="1">
      <c r="A500" s="727"/>
      <c r="B500" s="663" t="s">
        <v>1436</v>
      </c>
      <c r="C500" s="729">
        <f>[14]Data!X722</f>
        <v>8017.82</v>
      </c>
      <c r="D500" s="663" t="s">
        <v>16</v>
      </c>
      <c r="E500" s="689"/>
      <c r="F500" s="667">
        <f t="shared" si="31"/>
        <v>0</v>
      </c>
      <c r="G500" s="667"/>
      <c r="H500" s="667">
        <f t="shared" si="28"/>
        <v>0</v>
      </c>
      <c r="I500" s="667"/>
      <c r="J500" s="667"/>
      <c r="K500" s="667" t="e">
        <f>E500+#REF!+#REF!+#REF!+G500+#REF!+#REF!+#REF!+#REF!+#REF!+#REF!+I500+#REF!+#REF!+#REF!</f>
        <v>#REF!</v>
      </c>
      <c r="L500" s="667" t="e">
        <f t="shared" si="29"/>
        <v>#REF!</v>
      </c>
      <c r="M500" s="665" t="e">
        <f>#REF!+K500</f>
        <v>#REF!</v>
      </c>
      <c r="N500" s="666" t="e">
        <f t="shared" si="30"/>
        <v>#REF!</v>
      </c>
      <c r="O500" s="672"/>
      <c r="P500" s="668"/>
    </row>
    <row r="501" spans="1:18" ht="50.25" hidden="1" customHeight="1">
      <c r="A501" s="727"/>
      <c r="B501" s="663" t="s">
        <v>1461</v>
      </c>
      <c r="C501" s="729">
        <f>[14]Data!X723</f>
        <v>8221.32</v>
      </c>
      <c r="D501" s="663" t="s">
        <v>16</v>
      </c>
      <c r="E501" s="689"/>
      <c r="F501" s="667">
        <f t="shared" si="31"/>
        <v>0</v>
      </c>
      <c r="G501" s="667"/>
      <c r="H501" s="667">
        <f t="shared" si="28"/>
        <v>0</v>
      </c>
      <c r="I501" s="667"/>
      <c r="J501" s="667"/>
      <c r="K501" s="667" t="e">
        <f>E501+#REF!+#REF!+#REF!+G501+#REF!+#REF!+#REF!+#REF!+#REF!+#REF!+I501+#REF!+#REF!+#REF!</f>
        <v>#REF!</v>
      </c>
      <c r="L501" s="667" t="e">
        <f t="shared" si="29"/>
        <v>#REF!</v>
      </c>
      <c r="M501" s="665" t="e">
        <f>#REF!+K501</f>
        <v>#REF!</v>
      </c>
      <c r="N501" s="666" t="e">
        <f t="shared" si="30"/>
        <v>#REF!</v>
      </c>
      <c r="O501" s="672"/>
      <c r="P501" s="668"/>
    </row>
    <row r="502" spans="1:18" ht="48.75" hidden="1" customHeight="1">
      <c r="A502" s="727"/>
      <c r="B502" s="704" t="s">
        <v>1631</v>
      </c>
      <c r="C502" s="729">
        <f>[14]Data!X724</f>
        <v>8424.82</v>
      </c>
      <c r="D502" s="663" t="s">
        <v>16</v>
      </c>
      <c r="E502" s="689"/>
      <c r="F502" s="667">
        <f t="shared" si="31"/>
        <v>0</v>
      </c>
      <c r="G502" s="667"/>
      <c r="H502" s="667">
        <f t="shared" si="28"/>
        <v>0</v>
      </c>
      <c r="I502" s="667"/>
      <c r="J502" s="667"/>
      <c r="K502" s="667" t="e">
        <f>E502+#REF!+#REF!+#REF!+G502+#REF!+#REF!+#REF!+#REF!+#REF!+#REF!+I502+#REF!+#REF!+#REF!</f>
        <v>#REF!</v>
      </c>
      <c r="L502" s="667" t="e">
        <f t="shared" si="29"/>
        <v>#REF!</v>
      </c>
      <c r="M502" s="665" t="e">
        <f>#REF!+K502</f>
        <v>#REF!</v>
      </c>
      <c r="N502" s="666" t="e">
        <f t="shared" si="30"/>
        <v>#REF!</v>
      </c>
      <c r="O502" s="672"/>
      <c r="P502" s="668"/>
    </row>
    <row r="503" spans="1:18" s="677" customFormat="1" ht="38.25" hidden="1" customHeight="1">
      <c r="A503" s="730" t="s">
        <v>1632</v>
      </c>
      <c r="B503" s="731" t="s">
        <v>1633</v>
      </c>
      <c r="C503" s="675"/>
      <c r="D503" s="674"/>
      <c r="E503" s="675"/>
      <c r="F503" s="667">
        <f t="shared" si="31"/>
        <v>0</v>
      </c>
      <c r="G503" s="675"/>
      <c r="H503" s="667">
        <f t="shared" si="28"/>
        <v>0</v>
      </c>
      <c r="I503" s="667"/>
      <c r="J503" s="667"/>
      <c r="K503" s="667" t="e">
        <f>E503+#REF!+#REF!+#REF!+G503+#REF!+#REF!+#REF!+#REF!+#REF!+#REF!+I503+#REF!+#REF!+#REF!</f>
        <v>#REF!</v>
      </c>
      <c r="L503" s="667" t="e">
        <f t="shared" si="29"/>
        <v>#REF!</v>
      </c>
      <c r="M503" s="665" t="e">
        <f>#REF!+K503</f>
        <v>#REF!</v>
      </c>
      <c r="N503" s="666" t="e">
        <f t="shared" si="30"/>
        <v>#REF!</v>
      </c>
      <c r="O503" s="672"/>
      <c r="P503" s="668"/>
      <c r="Q503" s="676"/>
      <c r="R503" s="676"/>
    </row>
    <row r="504" spans="1:18" s="677" customFormat="1" ht="38.25" hidden="1" customHeight="1">
      <c r="A504" s="730"/>
      <c r="B504" s="708" t="s">
        <v>1433</v>
      </c>
      <c r="C504" s="675">
        <f>[14]Data!X688</f>
        <v>8044.93</v>
      </c>
      <c r="D504" s="674" t="s">
        <v>16</v>
      </c>
      <c r="E504" s="691"/>
      <c r="F504" s="667">
        <f t="shared" si="31"/>
        <v>0</v>
      </c>
      <c r="G504" s="675"/>
      <c r="H504" s="667">
        <f t="shared" si="28"/>
        <v>0</v>
      </c>
      <c r="I504" s="667"/>
      <c r="J504" s="667"/>
      <c r="K504" s="667" t="e">
        <f>E504+#REF!+#REF!+#REF!+G504+#REF!+#REF!+#REF!+#REF!+#REF!+#REF!+I504+#REF!+#REF!+#REF!</f>
        <v>#REF!</v>
      </c>
      <c r="L504" s="667" t="e">
        <f t="shared" si="29"/>
        <v>#REF!</v>
      </c>
      <c r="M504" s="665" t="e">
        <f>#REF!+K504</f>
        <v>#REF!</v>
      </c>
      <c r="N504" s="666" t="e">
        <f t="shared" si="30"/>
        <v>#REF!</v>
      </c>
      <c r="O504" s="672"/>
      <c r="P504" s="668"/>
      <c r="Q504" s="676"/>
      <c r="R504" s="676"/>
    </row>
    <row r="505" spans="1:18" s="677" customFormat="1" ht="38.25" hidden="1" customHeight="1">
      <c r="A505" s="730"/>
      <c r="B505" s="708" t="s">
        <v>1434</v>
      </c>
      <c r="C505" s="675">
        <f>[14]Data!X690</f>
        <v>8148.23</v>
      </c>
      <c r="D505" s="674" t="s">
        <v>16</v>
      </c>
      <c r="E505" s="691"/>
      <c r="F505" s="667">
        <f t="shared" si="31"/>
        <v>0</v>
      </c>
      <c r="G505" s="675"/>
      <c r="H505" s="667">
        <f t="shared" si="28"/>
        <v>0</v>
      </c>
      <c r="I505" s="667"/>
      <c r="J505" s="667"/>
      <c r="K505" s="667" t="e">
        <f>E505+#REF!+#REF!+#REF!+G505+#REF!+#REF!+#REF!+#REF!+#REF!+#REF!+I505+#REF!+#REF!+#REF!</f>
        <v>#REF!</v>
      </c>
      <c r="L505" s="667" t="e">
        <f t="shared" si="29"/>
        <v>#REF!</v>
      </c>
      <c r="M505" s="665" t="e">
        <f>#REF!+K505</f>
        <v>#REF!</v>
      </c>
      <c r="N505" s="666" t="e">
        <f t="shared" si="30"/>
        <v>#REF!</v>
      </c>
      <c r="O505" s="672"/>
      <c r="P505" s="668"/>
      <c r="Q505" s="676"/>
      <c r="R505" s="676"/>
    </row>
    <row r="506" spans="1:18" s="677" customFormat="1" ht="38.25" hidden="1" customHeight="1">
      <c r="A506" s="730"/>
      <c r="B506" s="708" t="s">
        <v>1435</v>
      </c>
      <c r="C506" s="675">
        <f>[14]Data!X691</f>
        <v>8351.73</v>
      </c>
      <c r="D506" s="674" t="s">
        <v>16</v>
      </c>
      <c r="E506" s="691"/>
      <c r="F506" s="667">
        <f t="shared" si="31"/>
        <v>0</v>
      </c>
      <c r="G506" s="675"/>
      <c r="H506" s="667">
        <f t="shared" si="28"/>
        <v>0</v>
      </c>
      <c r="I506" s="667"/>
      <c r="J506" s="667"/>
      <c r="K506" s="667" t="e">
        <f>E506+#REF!+#REF!+#REF!+G506+#REF!+#REF!+#REF!+#REF!+#REF!+#REF!+I506+#REF!+#REF!+#REF!</f>
        <v>#REF!</v>
      </c>
      <c r="L506" s="667" t="e">
        <f t="shared" si="29"/>
        <v>#REF!</v>
      </c>
      <c r="M506" s="665" t="e">
        <f>#REF!+K506</f>
        <v>#REF!</v>
      </c>
      <c r="N506" s="666" t="e">
        <f t="shared" si="30"/>
        <v>#REF!</v>
      </c>
      <c r="O506" s="672"/>
      <c r="P506" s="668"/>
      <c r="Q506" s="676"/>
      <c r="R506" s="676"/>
    </row>
    <row r="507" spans="1:18" s="677" customFormat="1" ht="50.25" hidden="1" customHeight="1">
      <c r="A507" s="732"/>
      <c r="B507" s="708" t="s">
        <v>1436</v>
      </c>
      <c r="C507" s="733">
        <f>[14]Data!X692</f>
        <v>8555.23</v>
      </c>
      <c r="D507" s="674" t="s">
        <v>16</v>
      </c>
      <c r="E507" s="675"/>
      <c r="F507" s="667">
        <f t="shared" si="31"/>
        <v>0</v>
      </c>
      <c r="G507" s="675"/>
      <c r="H507" s="667">
        <f t="shared" si="28"/>
        <v>0</v>
      </c>
      <c r="I507" s="667"/>
      <c r="J507" s="667"/>
      <c r="K507" s="667" t="e">
        <f>E507+#REF!+#REF!+#REF!+G507+#REF!+#REF!+#REF!+#REF!+#REF!+#REF!+I507+#REF!+#REF!+#REF!</f>
        <v>#REF!</v>
      </c>
      <c r="L507" s="667" t="e">
        <f t="shared" si="29"/>
        <v>#REF!</v>
      </c>
      <c r="M507" s="665" t="e">
        <f>#REF!+K507</f>
        <v>#REF!</v>
      </c>
      <c r="N507" s="666" t="e">
        <f t="shared" si="30"/>
        <v>#REF!</v>
      </c>
      <c r="O507" s="672"/>
      <c r="P507" s="668"/>
      <c r="Q507" s="676"/>
      <c r="R507" s="676"/>
    </row>
    <row r="508" spans="1:18" s="677" customFormat="1" ht="50.25" hidden="1" customHeight="1">
      <c r="A508" s="732"/>
      <c r="B508" s="708" t="s">
        <v>1461</v>
      </c>
      <c r="C508" s="733">
        <f>[14]Data!X693</f>
        <v>8758.73</v>
      </c>
      <c r="D508" s="674" t="s">
        <v>16</v>
      </c>
      <c r="E508" s="675"/>
      <c r="F508" s="667">
        <f t="shared" si="31"/>
        <v>0</v>
      </c>
      <c r="G508" s="675"/>
      <c r="H508" s="667">
        <f t="shared" si="28"/>
        <v>0</v>
      </c>
      <c r="I508" s="667"/>
      <c r="J508" s="667"/>
      <c r="K508" s="667" t="e">
        <f>E508+#REF!+#REF!+#REF!+G508+#REF!+#REF!+#REF!+#REF!+#REF!+#REF!+I508+#REF!+#REF!+#REF!</f>
        <v>#REF!</v>
      </c>
      <c r="L508" s="667" t="e">
        <f t="shared" si="29"/>
        <v>#REF!</v>
      </c>
      <c r="M508" s="665" t="e">
        <f>#REF!+K508</f>
        <v>#REF!</v>
      </c>
      <c r="N508" s="666" t="e">
        <f t="shared" si="30"/>
        <v>#REF!</v>
      </c>
      <c r="O508" s="672"/>
      <c r="P508" s="668"/>
      <c r="Q508" s="676"/>
      <c r="R508" s="676"/>
    </row>
    <row r="509" spans="1:18" s="677" customFormat="1" ht="60" hidden="1" customHeight="1">
      <c r="A509" s="662"/>
      <c r="B509" s="734" t="s">
        <v>1634</v>
      </c>
      <c r="C509" s="675"/>
      <c r="D509" s="674"/>
      <c r="E509" s="684"/>
      <c r="F509" s="667">
        <f t="shared" si="31"/>
        <v>0</v>
      </c>
      <c r="G509" s="675"/>
      <c r="H509" s="667">
        <f t="shared" si="28"/>
        <v>0</v>
      </c>
      <c r="I509" s="667"/>
      <c r="J509" s="667"/>
      <c r="K509" s="667" t="e">
        <f>E509+#REF!+#REF!+#REF!+G509+#REF!+#REF!+#REF!+#REF!+#REF!+#REF!+I509+#REF!+#REF!+#REF!</f>
        <v>#REF!</v>
      </c>
      <c r="L509" s="667" t="e">
        <f t="shared" si="29"/>
        <v>#REF!</v>
      </c>
      <c r="M509" s="665" t="e">
        <f>#REF!+K509</f>
        <v>#REF!</v>
      </c>
      <c r="N509" s="666" t="e">
        <f t="shared" si="30"/>
        <v>#REF!</v>
      </c>
      <c r="O509" s="672"/>
      <c r="P509" s="668"/>
      <c r="Q509" s="676"/>
      <c r="R509" s="676"/>
    </row>
    <row r="510" spans="1:18" s="677" customFormat="1" ht="51" hidden="1" customHeight="1">
      <c r="A510" s="662"/>
      <c r="B510" s="735" t="s">
        <v>1635</v>
      </c>
      <c r="C510" s="675">
        <f>[14]Data!R1183</f>
        <v>7897.4</v>
      </c>
      <c r="D510" s="674" t="s">
        <v>16</v>
      </c>
      <c r="E510" s="684"/>
      <c r="F510" s="667">
        <f t="shared" si="31"/>
        <v>0</v>
      </c>
      <c r="G510" s="675"/>
      <c r="H510" s="667">
        <f t="shared" si="28"/>
        <v>0</v>
      </c>
      <c r="I510" s="667"/>
      <c r="J510" s="667"/>
      <c r="K510" s="667" t="e">
        <f>E510+#REF!+#REF!+#REF!+G510+#REF!+#REF!+#REF!+#REF!+#REF!+#REF!+I510+#REF!+#REF!+#REF!</f>
        <v>#REF!</v>
      </c>
      <c r="L510" s="667" t="e">
        <f t="shared" si="29"/>
        <v>#REF!</v>
      </c>
      <c r="M510" s="665" t="e">
        <f>#REF!+K510</f>
        <v>#REF!</v>
      </c>
      <c r="N510" s="666" t="e">
        <f t="shared" si="30"/>
        <v>#REF!</v>
      </c>
      <c r="O510" s="672"/>
      <c r="P510" s="668"/>
      <c r="Q510" s="676"/>
      <c r="R510" s="676"/>
    </row>
    <row r="511" spans="1:18" s="677" customFormat="1" ht="33" hidden="1" customHeight="1">
      <c r="A511" s="662"/>
      <c r="B511" s="735" t="s">
        <v>1636</v>
      </c>
      <c r="C511" s="675">
        <f>[14]Data!R1184</f>
        <v>8000.7</v>
      </c>
      <c r="D511" s="674" t="s">
        <v>16</v>
      </c>
      <c r="E511" s="684"/>
      <c r="F511" s="667">
        <f t="shared" si="31"/>
        <v>0</v>
      </c>
      <c r="G511" s="675"/>
      <c r="H511" s="667">
        <f t="shared" si="28"/>
        <v>0</v>
      </c>
      <c r="I511" s="667"/>
      <c r="J511" s="667"/>
      <c r="K511" s="667" t="e">
        <f>E511+#REF!+#REF!+#REF!+G511+#REF!+#REF!+#REF!+#REF!+#REF!+#REF!+I511+#REF!+#REF!+#REF!</f>
        <v>#REF!</v>
      </c>
      <c r="L511" s="667" t="e">
        <f t="shared" si="29"/>
        <v>#REF!</v>
      </c>
      <c r="M511" s="665" t="e">
        <f>#REF!+K511</f>
        <v>#REF!</v>
      </c>
      <c r="N511" s="666" t="e">
        <f t="shared" si="30"/>
        <v>#REF!</v>
      </c>
      <c r="O511" s="672"/>
      <c r="P511" s="668"/>
      <c r="Q511" s="676"/>
      <c r="R511" s="676"/>
    </row>
    <row r="512" spans="1:18" s="677" customFormat="1" ht="58.5" hidden="1" customHeight="1">
      <c r="A512" s="662"/>
      <c r="B512" s="685" t="s">
        <v>1637</v>
      </c>
      <c r="C512" s="675"/>
      <c r="D512" s="674"/>
      <c r="E512" s="684"/>
      <c r="F512" s="667">
        <f t="shared" si="31"/>
        <v>0</v>
      </c>
      <c r="G512" s="675"/>
      <c r="H512" s="667">
        <f t="shared" si="28"/>
        <v>0</v>
      </c>
      <c r="I512" s="667"/>
      <c r="J512" s="667"/>
      <c r="K512" s="667" t="e">
        <f>E512+#REF!+#REF!+#REF!+G512+#REF!+#REF!+#REF!+#REF!+#REF!+#REF!+I512+#REF!+#REF!+#REF!</f>
        <v>#REF!</v>
      </c>
      <c r="L512" s="667" t="e">
        <f t="shared" si="29"/>
        <v>#REF!</v>
      </c>
      <c r="M512" s="665" t="e">
        <f>#REF!+K512</f>
        <v>#REF!</v>
      </c>
      <c r="N512" s="666" t="e">
        <f t="shared" si="30"/>
        <v>#REF!</v>
      </c>
      <c r="O512" s="672"/>
      <c r="P512" s="668"/>
      <c r="Q512" s="676"/>
      <c r="R512" s="676"/>
    </row>
    <row r="513" spans="1:18" s="677" customFormat="1" ht="45.75" hidden="1" customHeight="1">
      <c r="A513" s="662"/>
      <c r="B513" s="663" t="s">
        <v>1433</v>
      </c>
      <c r="C513" s="675">
        <f>[14]Data!R1156</f>
        <v>7823.57</v>
      </c>
      <c r="D513" s="674" t="s">
        <v>235</v>
      </c>
      <c r="E513" s="684"/>
      <c r="F513" s="667">
        <f t="shared" si="31"/>
        <v>0</v>
      </c>
      <c r="G513" s="675"/>
      <c r="H513" s="667">
        <f t="shared" si="28"/>
        <v>0</v>
      </c>
      <c r="I513" s="667"/>
      <c r="J513" s="667"/>
      <c r="K513" s="667" t="e">
        <f>E513+#REF!+#REF!+#REF!+G513+#REF!+#REF!+#REF!+#REF!+#REF!+#REF!+I513+#REF!+#REF!+#REF!</f>
        <v>#REF!</v>
      </c>
      <c r="L513" s="667" t="e">
        <f t="shared" si="29"/>
        <v>#REF!</v>
      </c>
      <c r="M513" s="665" t="e">
        <f>#REF!+K513</f>
        <v>#REF!</v>
      </c>
      <c r="N513" s="666" t="e">
        <f t="shared" si="30"/>
        <v>#REF!</v>
      </c>
      <c r="O513" s="672"/>
      <c r="P513" s="668"/>
      <c r="Q513" s="676"/>
      <c r="R513" s="676"/>
    </row>
    <row r="514" spans="1:18" s="677" customFormat="1" ht="45.75" hidden="1" customHeight="1">
      <c r="A514" s="662"/>
      <c r="B514" s="663" t="s">
        <v>1638</v>
      </c>
      <c r="C514" s="675">
        <f>[14]Data!R1158</f>
        <v>7926.87</v>
      </c>
      <c r="D514" s="674" t="s">
        <v>235</v>
      </c>
      <c r="E514" s="684"/>
      <c r="F514" s="667">
        <f t="shared" si="31"/>
        <v>0</v>
      </c>
      <c r="G514" s="675"/>
      <c r="H514" s="667">
        <f t="shared" si="28"/>
        <v>0</v>
      </c>
      <c r="I514" s="667"/>
      <c r="J514" s="667"/>
      <c r="K514" s="667" t="e">
        <f>E514+#REF!+#REF!+#REF!+G514+#REF!+#REF!+#REF!+#REF!+#REF!+#REF!+I514+#REF!+#REF!+#REF!</f>
        <v>#REF!</v>
      </c>
      <c r="L514" s="667" t="e">
        <f t="shared" si="29"/>
        <v>#REF!</v>
      </c>
      <c r="M514" s="665" t="e">
        <f>#REF!+K514</f>
        <v>#REF!</v>
      </c>
      <c r="N514" s="666" t="e">
        <f t="shared" si="30"/>
        <v>#REF!</v>
      </c>
      <c r="O514" s="672"/>
      <c r="P514" s="668"/>
      <c r="Q514" s="676"/>
      <c r="R514" s="676"/>
    </row>
    <row r="515" spans="1:18" s="677" customFormat="1" ht="45.75" hidden="1" customHeight="1">
      <c r="A515" s="662"/>
      <c r="B515" s="663" t="s">
        <v>1435</v>
      </c>
      <c r="C515" s="675">
        <f>[14]Data!R1159</f>
        <v>8130.37</v>
      </c>
      <c r="D515" s="674" t="s">
        <v>235</v>
      </c>
      <c r="E515" s="684"/>
      <c r="F515" s="667">
        <f t="shared" si="31"/>
        <v>0</v>
      </c>
      <c r="G515" s="675"/>
      <c r="H515" s="667">
        <f t="shared" si="28"/>
        <v>0</v>
      </c>
      <c r="I515" s="667"/>
      <c r="J515" s="667"/>
      <c r="K515" s="667" t="e">
        <f>E515+#REF!+#REF!+#REF!+G515+#REF!+#REF!+#REF!+#REF!+#REF!+#REF!+I515+#REF!+#REF!+#REF!</f>
        <v>#REF!</v>
      </c>
      <c r="L515" s="667" t="e">
        <f t="shared" si="29"/>
        <v>#REF!</v>
      </c>
      <c r="M515" s="665" t="e">
        <f>#REF!+K515</f>
        <v>#REF!</v>
      </c>
      <c r="N515" s="666" t="e">
        <f t="shared" si="30"/>
        <v>#REF!</v>
      </c>
      <c r="O515" s="672"/>
      <c r="P515" s="668"/>
      <c r="Q515" s="676"/>
      <c r="R515" s="676"/>
    </row>
    <row r="516" spans="1:18" s="677" customFormat="1" ht="45.75" hidden="1" customHeight="1">
      <c r="A516" s="662"/>
      <c r="B516" s="663" t="s">
        <v>1436</v>
      </c>
      <c r="C516" s="675">
        <f>[14]Data!R1160</f>
        <v>8333.8700000000008</v>
      </c>
      <c r="D516" s="674" t="s">
        <v>235</v>
      </c>
      <c r="E516" s="684"/>
      <c r="F516" s="667">
        <f t="shared" si="31"/>
        <v>0</v>
      </c>
      <c r="G516" s="675"/>
      <c r="H516" s="667">
        <f t="shared" si="28"/>
        <v>0</v>
      </c>
      <c r="I516" s="667"/>
      <c r="J516" s="667"/>
      <c r="K516" s="667" t="e">
        <f>E516+#REF!+#REF!+#REF!+G516+#REF!+#REF!+#REF!+#REF!+#REF!+#REF!+I516+#REF!+#REF!+#REF!</f>
        <v>#REF!</v>
      </c>
      <c r="L516" s="667" t="e">
        <f t="shared" si="29"/>
        <v>#REF!</v>
      </c>
      <c r="M516" s="665" t="e">
        <f>#REF!+K516</f>
        <v>#REF!</v>
      </c>
      <c r="N516" s="666" t="e">
        <f t="shared" si="30"/>
        <v>#REF!</v>
      </c>
      <c r="O516" s="672"/>
      <c r="P516" s="668"/>
      <c r="Q516" s="676"/>
      <c r="R516" s="676"/>
    </row>
    <row r="517" spans="1:18" s="677" customFormat="1" ht="45.75" hidden="1" customHeight="1">
      <c r="A517" s="662"/>
      <c r="B517" s="663" t="s">
        <v>1461</v>
      </c>
      <c r="C517" s="675">
        <f>[14]Data!R1161</f>
        <v>8537.3700000000008</v>
      </c>
      <c r="D517" s="674" t="s">
        <v>235</v>
      </c>
      <c r="E517" s="684"/>
      <c r="F517" s="667">
        <f t="shared" si="31"/>
        <v>0</v>
      </c>
      <c r="G517" s="675"/>
      <c r="H517" s="667">
        <f t="shared" si="28"/>
        <v>0</v>
      </c>
      <c r="I517" s="667"/>
      <c r="J517" s="667"/>
      <c r="K517" s="667" t="e">
        <f>E517+#REF!+#REF!+#REF!+G517+#REF!+#REF!+#REF!+#REF!+#REF!+#REF!+I517+#REF!+#REF!+#REF!</f>
        <v>#REF!</v>
      </c>
      <c r="L517" s="667" t="e">
        <f t="shared" si="29"/>
        <v>#REF!</v>
      </c>
      <c r="M517" s="665" t="e">
        <f>#REF!+K517</f>
        <v>#REF!</v>
      </c>
      <c r="N517" s="666" t="e">
        <f t="shared" si="30"/>
        <v>#REF!</v>
      </c>
      <c r="O517" s="672"/>
      <c r="P517" s="668"/>
      <c r="Q517" s="676"/>
      <c r="R517" s="676"/>
    </row>
    <row r="518" spans="1:18" s="677" customFormat="1" ht="45.75" hidden="1" customHeight="1">
      <c r="A518" s="662"/>
      <c r="B518" s="663" t="s">
        <v>1438</v>
      </c>
      <c r="C518" s="675">
        <f>[14]Data!R1162</f>
        <v>8740.8700000000008</v>
      </c>
      <c r="D518" s="674" t="s">
        <v>235</v>
      </c>
      <c r="E518" s="684"/>
      <c r="F518" s="667">
        <f t="shared" si="31"/>
        <v>0</v>
      </c>
      <c r="G518" s="675"/>
      <c r="H518" s="667">
        <f t="shared" ref="H518:H581" si="32">G518*C518</f>
        <v>0</v>
      </c>
      <c r="I518" s="667"/>
      <c r="J518" s="667"/>
      <c r="K518" s="667" t="e">
        <f>E518+#REF!+#REF!+#REF!+G518+#REF!+#REF!+#REF!+#REF!+#REF!+#REF!+I518+#REF!+#REF!+#REF!</f>
        <v>#REF!</v>
      </c>
      <c r="L518" s="667" t="e">
        <f t="shared" ref="L518:L581" si="33">K518*C518</f>
        <v>#REF!</v>
      </c>
      <c r="M518" s="665" t="e">
        <f>#REF!+K518</f>
        <v>#REF!</v>
      </c>
      <c r="N518" s="666" t="e">
        <f t="shared" ref="N518:N581" si="34">M518*C518</f>
        <v>#REF!</v>
      </c>
      <c r="O518" s="672"/>
      <c r="P518" s="668"/>
      <c r="Q518" s="676"/>
      <c r="R518" s="676"/>
    </row>
    <row r="519" spans="1:18" s="677" customFormat="1" ht="45.75" hidden="1" customHeight="1">
      <c r="A519" s="662"/>
      <c r="B519" s="663" t="s">
        <v>1639</v>
      </c>
      <c r="C519" s="675">
        <f>[14]Data!R1163</f>
        <v>8944.3700000000008</v>
      </c>
      <c r="D519" s="674" t="s">
        <v>235</v>
      </c>
      <c r="E519" s="684"/>
      <c r="F519" s="667">
        <f t="shared" si="31"/>
        <v>0</v>
      </c>
      <c r="G519" s="675"/>
      <c r="H519" s="667">
        <f t="shared" si="32"/>
        <v>0</v>
      </c>
      <c r="I519" s="667"/>
      <c r="J519" s="667"/>
      <c r="K519" s="667" t="e">
        <f>E519+#REF!+#REF!+#REF!+G519+#REF!+#REF!+#REF!+#REF!+#REF!+#REF!+I519+#REF!+#REF!+#REF!</f>
        <v>#REF!</v>
      </c>
      <c r="L519" s="667" t="e">
        <f t="shared" si="33"/>
        <v>#REF!</v>
      </c>
      <c r="M519" s="665" t="e">
        <f>#REF!+K519</f>
        <v>#REF!</v>
      </c>
      <c r="N519" s="666" t="e">
        <f t="shared" si="34"/>
        <v>#REF!</v>
      </c>
      <c r="O519" s="672"/>
      <c r="P519" s="668"/>
      <c r="Q519" s="676"/>
      <c r="R519" s="676"/>
    </row>
    <row r="520" spans="1:18" s="677" customFormat="1" ht="45.75" hidden="1" customHeight="1">
      <c r="A520" s="662"/>
      <c r="B520" s="663" t="s">
        <v>1640</v>
      </c>
      <c r="C520" s="675">
        <f>[14]Data!R1164</f>
        <v>9147.8700000000008</v>
      </c>
      <c r="D520" s="674" t="s">
        <v>235</v>
      </c>
      <c r="E520" s="684"/>
      <c r="F520" s="667">
        <f t="shared" si="31"/>
        <v>0</v>
      </c>
      <c r="G520" s="675"/>
      <c r="H520" s="667">
        <f t="shared" si="32"/>
        <v>0</v>
      </c>
      <c r="I520" s="667"/>
      <c r="J520" s="667"/>
      <c r="K520" s="667" t="e">
        <f>E520+#REF!+#REF!+#REF!+G520+#REF!+#REF!+#REF!+#REF!+#REF!+#REF!+I520+#REF!+#REF!+#REF!</f>
        <v>#REF!</v>
      </c>
      <c r="L520" s="667" t="e">
        <f t="shared" si="33"/>
        <v>#REF!</v>
      </c>
      <c r="M520" s="665" t="e">
        <f>#REF!+K520</f>
        <v>#REF!</v>
      </c>
      <c r="N520" s="666" t="e">
        <f t="shared" si="34"/>
        <v>#REF!</v>
      </c>
      <c r="O520" s="672"/>
      <c r="P520" s="668"/>
      <c r="Q520" s="676"/>
      <c r="R520" s="676"/>
    </row>
    <row r="521" spans="1:18" s="677" customFormat="1" ht="45.75" hidden="1" customHeight="1">
      <c r="A521" s="662"/>
      <c r="B521" s="663" t="s">
        <v>1641</v>
      </c>
      <c r="C521" s="675">
        <f>[14]Data!R1165</f>
        <v>9351.3700000000008</v>
      </c>
      <c r="D521" s="674" t="s">
        <v>235</v>
      </c>
      <c r="E521" s="684"/>
      <c r="F521" s="667">
        <f t="shared" si="31"/>
        <v>0</v>
      </c>
      <c r="G521" s="675"/>
      <c r="H521" s="667">
        <f t="shared" si="32"/>
        <v>0</v>
      </c>
      <c r="I521" s="667"/>
      <c r="J521" s="667"/>
      <c r="K521" s="667" t="e">
        <f>E521+#REF!+#REF!+#REF!+G521+#REF!+#REF!+#REF!+#REF!+#REF!+#REF!+I521+#REF!+#REF!+#REF!</f>
        <v>#REF!</v>
      </c>
      <c r="L521" s="667" t="e">
        <f t="shared" si="33"/>
        <v>#REF!</v>
      </c>
      <c r="M521" s="665" t="e">
        <f>#REF!+K521</f>
        <v>#REF!</v>
      </c>
      <c r="N521" s="666" t="e">
        <f t="shared" si="34"/>
        <v>#REF!</v>
      </c>
      <c r="O521" s="672"/>
      <c r="P521" s="668"/>
      <c r="Q521" s="676"/>
      <c r="R521" s="676"/>
    </row>
    <row r="522" spans="1:18" s="677" customFormat="1" ht="45.75" hidden="1" customHeight="1">
      <c r="A522" s="662"/>
      <c r="B522" s="735" t="s">
        <v>1642</v>
      </c>
      <c r="C522" s="675">
        <f>[14]Data!R1166</f>
        <v>9554.8700000000008</v>
      </c>
      <c r="D522" s="674" t="s">
        <v>235</v>
      </c>
      <c r="E522" s="684"/>
      <c r="F522" s="667">
        <f t="shared" si="31"/>
        <v>0</v>
      </c>
      <c r="G522" s="675"/>
      <c r="H522" s="667">
        <f t="shared" si="32"/>
        <v>0</v>
      </c>
      <c r="I522" s="667"/>
      <c r="J522" s="667"/>
      <c r="K522" s="667" t="e">
        <f>E522+#REF!+#REF!+#REF!+G522+#REF!+#REF!+#REF!+#REF!+#REF!+#REF!+I522+#REF!+#REF!+#REF!</f>
        <v>#REF!</v>
      </c>
      <c r="L522" s="667" t="e">
        <f t="shared" si="33"/>
        <v>#REF!</v>
      </c>
      <c r="M522" s="665" t="e">
        <f>#REF!+K522</f>
        <v>#REF!</v>
      </c>
      <c r="N522" s="666" t="e">
        <f t="shared" si="34"/>
        <v>#REF!</v>
      </c>
      <c r="O522" s="672"/>
      <c r="P522" s="668"/>
      <c r="Q522" s="676"/>
      <c r="R522" s="676"/>
    </row>
    <row r="523" spans="1:18" s="677" customFormat="1" ht="45.75" hidden="1" customHeight="1">
      <c r="A523" s="662"/>
      <c r="B523" s="735" t="s">
        <v>1643</v>
      </c>
      <c r="C523" s="675">
        <f>[14]Data!R1167</f>
        <v>9758.3700000000008</v>
      </c>
      <c r="D523" s="674" t="s">
        <v>235</v>
      </c>
      <c r="E523" s="684"/>
      <c r="F523" s="667">
        <f t="shared" si="31"/>
        <v>0</v>
      </c>
      <c r="G523" s="675"/>
      <c r="H523" s="667">
        <f t="shared" si="32"/>
        <v>0</v>
      </c>
      <c r="I523" s="667"/>
      <c r="J523" s="667"/>
      <c r="K523" s="667" t="e">
        <f>E523+#REF!+#REF!+#REF!+G523+#REF!+#REF!+#REF!+#REF!+#REF!+#REF!+I523+#REF!+#REF!+#REF!</f>
        <v>#REF!</v>
      </c>
      <c r="L523" s="667" t="e">
        <f t="shared" si="33"/>
        <v>#REF!</v>
      </c>
      <c r="M523" s="665" t="e">
        <f>#REF!+K523</f>
        <v>#REF!</v>
      </c>
      <c r="N523" s="666" t="e">
        <f t="shared" si="34"/>
        <v>#REF!</v>
      </c>
      <c r="O523" s="672"/>
      <c r="P523" s="668"/>
      <c r="Q523" s="676"/>
      <c r="R523" s="676"/>
    </row>
    <row r="524" spans="1:18" s="677" customFormat="1" ht="45.75" hidden="1" customHeight="1">
      <c r="A524" s="662"/>
      <c r="B524" s="735" t="s">
        <v>1644</v>
      </c>
      <c r="C524" s="675">
        <f>[14]Data!R1168</f>
        <v>9961.8700000000008</v>
      </c>
      <c r="D524" s="674" t="s">
        <v>235</v>
      </c>
      <c r="E524" s="684"/>
      <c r="F524" s="667">
        <f t="shared" si="31"/>
        <v>0</v>
      </c>
      <c r="G524" s="675"/>
      <c r="H524" s="667">
        <f t="shared" si="32"/>
        <v>0</v>
      </c>
      <c r="I524" s="667"/>
      <c r="J524" s="667"/>
      <c r="K524" s="667" t="e">
        <f>E524+#REF!+#REF!+#REF!+G524+#REF!+#REF!+#REF!+#REF!+#REF!+#REF!+I524+#REF!+#REF!+#REF!</f>
        <v>#REF!</v>
      </c>
      <c r="L524" s="667" t="e">
        <f t="shared" si="33"/>
        <v>#REF!</v>
      </c>
      <c r="M524" s="665" t="e">
        <f>#REF!+K524</f>
        <v>#REF!</v>
      </c>
      <c r="N524" s="666" t="e">
        <f t="shared" si="34"/>
        <v>#REF!</v>
      </c>
      <c r="O524" s="672"/>
      <c r="P524" s="668"/>
      <c r="Q524" s="676"/>
      <c r="R524" s="676"/>
    </row>
    <row r="525" spans="1:18" s="677" customFormat="1" ht="45.75" hidden="1" customHeight="1">
      <c r="A525" s="662"/>
      <c r="B525" s="663" t="s">
        <v>1417</v>
      </c>
      <c r="C525" s="675">
        <f>[14]Data!R1169</f>
        <v>10165.370000000001</v>
      </c>
      <c r="D525" s="674" t="s">
        <v>235</v>
      </c>
      <c r="E525" s="684"/>
      <c r="F525" s="667">
        <f t="shared" si="31"/>
        <v>0</v>
      </c>
      <c r="G525" s="675"/>
      <c r="H525" s="667">
        <f t="shared" si="32"/>
        <v>0</v>
      </c>
      <c r="I525" s="667"/>
      <c r="J525" s="667"/>
      <c r="K525" s="667" t="e">
        <f>E525+#REF!+#REF!+#REF!+G525+#REF!+#REF!+#REF!+#REF!+#REF!+#REF!+I525+#REF!+#REF!+#REF!</f>
        <v>#REF!</v>
      </c>
      <c r="L525" s="667" t="e">
        <f t="shared" si="33"/>
        <v>#REF!</v>
      </c>
      <c r="M525" s="665" t="e">
        <f>#REF!+K525</f>
        <v>#REF!</v>
      </c>
      <c r="N525" s="666" t="e">
        <f t="shared" si="34"/>
        <v>#REF!</v>
      </c>
      <c r="O525" s="672"/>
      <c r="P525" s="668"/>
      <c r="Q525" s="676"/>
      <c r="R525" s="676"/>
    </row>
    <row r="526" spans="1:18" s="677" customFormat="1" ht="45.75" hidden="1" customHeight="1">
      <c r="A526" s="662"/>
      <c r="B526" s="663" t="s">
        <v>1418</v>
      </c>
      <c r="C526" s="675">
        <f>[14]Data!R1170</f>
        <v>10368.870000000001</v>
      </c>
      <c r="D526" s="674" t="s">
        <v>235</v>
      </c>
      <c r="E526" s="684"/>
      <c r="F526" s="667">
        <f t="shared" si="31"/>
        <v>0</v>
      </c>
      <c r="G526" s="675"/>
      <c r="H526" s="667">
        <f t="shared" si="32"/>
        <v>0</v>
      </c>
      <c r="I526" s="667"/>
      <c r="J526" s="667"/>
      <c r="K526" s="667" t="e">
        <f>E526+#REF!+#REF!+#REF!+G526+#REF!+#REF!+#REF!+#REF!+#REF!+#REF!+I526+#REF!+#REF!+#REF!</f>
        <v>#REF!</v>
      </c>
      <c r="L526" s="667" t="e">
        <f t="shared" si="33"/>
        <v>#REF!</v>
      </c>
      <c r="M526" s="665" t="e">
        <f>#REF!+K526</f>
        <v>#REF!</v>
      </c>
      <c r="N526" s="666" t="e">
        <f t="shared" si="34"/>
        <v>#REF!</v>
      </c>
      <c r="O526" s="672"/>
      <c r="P526" s="668"/>
      <c r="Q526" s="676"/>
      <c r="R526" s="676"/>
    </row>
    <row r="527" spans="1:18" s="677" customFormat="1" ht="45.75" hidden="1" customHeight="1">
      <c r="A527" s="662"/>
      <c r="B527" s="663" t="s">
        <v>1645</v>
      </c>
      <c r="C527" s="675">
        <f>[14]Data!R1171</f>
        <v>10572.37</v>
      </c>
      <c r="D527" s="674" t="s">
        <v>235</v>
      </c>
      <c r="E527" s="684"/>
      <c r="F527" s="667">
        <f t="shared" si="31"/>
        <v>0</v>
      </c>
      <c r="G527" s="675"/>
      <c r="H527" s="667">
        <f t="shared" si="32"/>
        <v>0</v>
      </c>
      <c r="I527" s="667"/>
      <c r="J527" s="667"/>
      <c r="K527" s="667" t="e">
        <f>E527+#REF!+#REF!+#REF!+G527+#REF!+#REF!+#REF!+#REF!+#REF!+#REF!+I527+#REF!+#REF!+#REF!</f>
        <v>#REF!</v>
      </c>
      <c r="L527" s="667" t="e">
        <f t="shared" si="33"/>
        <v>#REF!</v>
      </c>
      <c r="M527" s="665" t="e">
        <f>#REF!+K527</f>
        <v>#REF!</v>
      </c>
      <c r="N527" s="666" t="e">
        <f t="shared" si="34"/>
        <v>#REF!</v>
      </c>
      <c r="O527" s="672"/>
      <c r="P527" s="668"/>
      <c r="Q527" s="676"/>
      <c r="R527" s="676"/>
    </row>
    <row r="528" spans="1:18" s="677" customFormat="1" ht="49.5" hidden="1" customHeight="1">
      <c r="A528" s="662">
        <v>9.1999999999999993</v>
      </c>
      <c r="B528" s="685" t="s">
        <v>1425</v>
      </c>
      <c r="C528" s="675"/>
      <c r="D528" s="674"/>
      <c r="E528" s="684"/>
      <c r="F528" s="667">
        <f t="shared" si="31"/>
        <v>0</v>
      </c>
      <c r="G528" s="675"/>
      <c r="H528" s="667">
        <f t="shared" si="32"/>
        <v>0</v>
      </c>
      <c r="I528" s="667"/>
      <c r="J528" s="667"/>
      <c r="K528" s="667" t="e">
        <f>E528+#REF!+#REF!+#REF!+G528+#REF!+#REF!+#REF!+#REF!+#REF!+#REF!+I528+#REF!+#REF!+#REF!</f>
        <v>#REF!</v>
      </c>
      <c r="L528" s="667" t="e">
        <f t="shared" si="33"/>
        <v>#REF!</v>
      </c>
      <c r="M528" s="665" t="e">
        <f>#REF!+K528</f>
        <v>#REF!</v>
      </c>
      <c r="N528" s="666" t="e">
        <f t="shared" si="34"/>
        <v>#REF!</v>
      </c>
      <c r="O528" s="672"/>
      <c r="P528" s="668"/>
      <c r="Q528" s="676"/>
      <c r="R528" s="676"/>
    </row>
    <row r="529" spans="1:18" s="677" customFormat="1" ht="33" hidden="1" customHeight="1">
      <c r="A529" s="662"/>
      <c r="B529" s="663" t="s">
        <v>1639</v>
      </c>
      <c r="C529" s="675">
        <f>[14]Data!AG352</f>
        <v>6724.67</v>
      </c>
      <c r="D529" s="674" t="s">
        <v>235</v>
      </c>
      <c r="E529" s="684"/>
      <c r="F529" s="667">
        <f t="shared" si="31"/>
        <v>0</v>
      </c>
      <c r="G529" s="675"/>
      <c r="H529" s="667">
        <f t="shared" si="32"/>
        <v>0</v>
      </c>
      <c r="I529" s="667"/>
      <c r="J529" s="667"/>
      <c r="K529" s="667" t="e">
        <f>E529+#REF!+#REF!+#REF!+G529+#REF!+#REF!+#REF!+#REF!+#REF!+#REF!+I529+#REF!+#REF!+#REF!</f>
        <v>#REF!</v>
      </c>
      <c r="L529" s="667" t="e">
        <f t="shared" si="33"/>
        <v>#REF!</v>
      </c>
      <c r="M529" s="665" t="e">
        <f>#REF!+K529</f>
        <v>#REF!</v>
      </c>
      <c r="N529" s="666" t="e">
        <f t="shared" si="34"/>
        <v>#REF!</v>
      </c>
      <c r="O529" s="672"/>
      <c r="P529" s="668"/>
      <c r="Q529" s="676"/>
      <c r="R529" s="676"/>
    </row>
    <row r="530" spans="1:18" s="677" customFormat="1" ht="33" hidden="1" customHeight="1">
      <c r="A530" s="662"/>
      <c r="B530" s="663" t="s">
        <v>1640</v>
      </c>
      <c r="C530" s="675">
        <f>[14]Data!AG353</f>
        <v>6861.87</v>
      </c>
      <c r="D530" s="674" t="s">
        <v>235</v>
      </c>
      <c r="E530" s="684"/>
      <c r="F530" s="667">
        <f t="shared" ref="F530:F593" si="35">E530*C530</f>
        <v>0</v>
      </c>
      <c r="G530" s="675"/>
      <c r="H530" s="667">
        <f t="shared" si="32"/>
        <v>0</v>
      </c>
      <c r="I530" s="667"/>
      <c r="J530" s="667"/>
      <c r="K530" s="667" t="e">
        <f>E530+#REF!+#REF!+#REF!+G530+#REF!+#REF!+#REF!+#REF!+#REF!+#REF!+I530+#REF!+#REF!+#REF!</f>
        <v>#REF!</v>
      </c>
      <c r="L530" s="667" t="e">
        <f t="shared" si="33"/>
        <v>#REF!</v>
      </c>
      <c r="M530" s="665" t="e">
        <f>#REF!+K530</f>
        <v>#REF!</v>
      </c>
      <c r="N530" s="666" t="e">
        <f t="shared" si="34"/>
        <v>#REF!</v>
      </c>
      <c r="O530" s="672"/>
      <c r="P530" s="668"/>
      <c r="Q530" s="676"/>
      <c r="R530" s="676"/>
    </row>
    <row r="531" spans="1:18" s="677" customFormat="1" ht="33" hidden="1" customHeight="1">
      <c r="A531" s="662"/>
      <c r="B531" s="663" t="s">
        <v>1641</v>
      </c>
      <c r="C531" s="675">
        <f>[14]Data!AG354</f>
        <v>6999.07</v>
      </c>
      <c r="D531" s="674" t="s">
        <v>235</v>
      </c>
      <c r="E531" s="684"/>
      <c r="F531" s="667">
        <f t="shared" si="35"/>
        <v>0</v>
      </c>
      <c r="G531" s="675"/>
      <c r="H531" s="667">
        <f t="shared" si="32"/>
        <v>0</v>
      </c>
      <c r="I531" s="667"/>
      <c r="J531" s="667"/>
      <c r="K531" s="667" t="e">
        <f>E531+#REF!+#REF!+#REF!+G531+#REF!+#REF!+#REF!+#REF!+#REF!+#REF!+I531+#REF!+#REF!+#REF!</f>
        <v>#REF!</v>
      </c>
      <c r="L531" s="667" t="e">
        <f t="shared" si="33"/>
        <v>#REF!</v>
      </c>
      <c r="M531" s="665" t="e">
        <f>#REF!+K531</f>
        <v>#REF!</v>
      </c>
      <c r="N531" s="666" t="e">
        <f t="shared" si="34"/>
        <v>#REF!</v>
      </c>
      <c r="O531" s="672"/>
      <c r="P531" s="668"/>
      <c r="Q531" s="676"/>
      <c r="R531" s="676"/>
    </row>
    <row r="532" spans="1:18" s="677" customFormat="1" ht="33" hidden="1" customHeight="1">
      <c r="A532" s="662"/>
      <c r="B532" s="735" t="s">
        <v>1642</v>
      </c>
      <c r="C532" s="675">
        <f>[14]Data!AG355</f>
        <v>7136.27</v>
      </c>
      <c r="D532" s="674" t="s">
        <v>235</v>
      </c>
      <c r="E532" s="684"/>
      <c r="F532" s="667">
        <f t="shared" si="35"/>
        <v>0</v>
      </c>
      <c r="G532" s="675"/>
      <c r="H532" s="667">
        <f t="shared" si="32"/>
        <v>0</v>
      </c>
      <c r="I532" s="667"/>
      <c r="J532" s="667"/>
      <c r="K532" s="667" t="e">
        <f>E532+#REF!+#REF!+#REF!+G532+#REF!+#REF!+#REF!+#REF!+#REF!+#REF!+I532+#REF!+#REF!+#REF!</f>
        <v>#REF!</v>
      </c>
      <c r="L532" s="667" t="e">
        <f t="shared" si="33"/>
        <v>#REF!</v>
      </c>
      <c r="M532" s="665" t="e">
        <f>#REF!+K532</f>
        <v>#REF!</v>
      </c>
      <c r="N532" s="666" t="e">
        <f t="shared" si="34"/>
        <v>#REF!</v>
      </c>
      <c r="O532" s="672"/>
      <c r="P532" s="668"/>
      <c r="Q532" s="676"/>
      <c r="R532" s="676"/>
    </row>
    <row r="533" spans="1:18" s="677" customFormat="1" ht="33" hidden="1" customHeight="1">
      <c r="A533" s="662"/>
      <c r="B533" s="735" t="s">
        <v>1643</v>
      </c>
      <c r="C533" s="675">
        <f>[14]Data!AG356</f>
        <v>7273.47</v>
      </c>
      <c r="D533" s="674" t="s">
        <v>235</v>
      </c>
      <c r="E533" s="684"/>
      <c r="F533" s="667">
        <f t="shared" si="35"/>
        <v>0</v>
      </c>
      <c r="G533" s="675"/>
      <c r="H533" s="667">
        <f t="shared" si="32"/>
        <v>0</v>
      </c>
      <c r="I533" s="667"/>
      <c r="J533" s="667"/>
      <c r="K533" s="667" t="e">
        <f>E533+#REF!+#REF!+#REF!+G533+#REF!+#REF!+#REF!+#REF!+#REF!+#REF!+I533+#REF!+#REF!+#REF!</f>
        <v>#REF!</v>
      </c>
      <c r="L533" s="667" t="e">
        <f t="shared" si="33"/>
        <v>#REF!</v>
      </c>
      <c r="M533" s="665" t="e">
        <f>#REF!+K533</f>
        <v>#REF!</v>
      </c>
      <c r="N533" s="666" t="e">
        <f t="shared" si="34"/>
        <v>#REF!</v>
      </c>
      <c r="O533" s="672"/>
      <c r="P533" s="668"/>
      <c r="Q533" s="676"/>
      <c r="R533" s="676"/>
    </row>
    <row r="534" spans="1:18" s="677" customFormat="1" ht="33" hidden="1" customHeight="1">
      <c r="A534" s="662"/>
      <c r="B534" s="735" t="s">
        <v>1644</v>
      </c>
      <c r="C534" s="675">
        <f>[14]Data!AG357</f>
        <v>7410.67</v>
      </c>
      <c r="D534" s="674"/>
      <c r="E534" s="684"/>
      <c r="F534" s="667">
        <f t="shared" si="35"/>
        <v>0</v>
      </c>
      <c r="G534" s="675"/>
      <c r="H534" s="667">
        <f t="shared" si="32"/>
        <v>0</v>
      </c>
      <c r="I534" s="667"/>
      <c r="J534" s="667"/>
      <c r="K534" s="667" t="e">
        <f>E534+#REF!+#REF!+#REF!+G534+#REF!+#REF!+#REF!+#REF!+#REF!+#REF!+I534+#REF!+#REF!+#REF!</f>
        <v>#REF!</v>
      </c>
      <c r="L534" s="667" t="e">
        <f t="shared" si="33"/>
        <v>#REF!</v>
      </c>
      <c r="M534" s="665" t="e">
        <f>#REF!+K534</f>
        <v>#REF!</v>
      </c>
      <c r="N534" s="666" t="e">
        <f t="shared" si="34"/>
        <v>#REF!</v>
      </c>
      <c r="O534" s="672"/>
      <c r="P534" s="668"/>
      <c r="Q534" s="676"/>
      <c r="R534" s="676"/>
    </row>
    <row r="535" spans="1:18" s="677" customFormat="1" ht="68.25" hidden="1" customHeight="1">
      <c r="A535" s="662">
        <v>10.199999999999999</v>
      </c>
      <c r="B535" s="685" t="s">
        <v>1439</v>
      </c>
      <c r="C535" s="675"/>
      <c r="D535" s="674"/>
      <c r="E535" s="684"/>
      <c r="F535" s="667">
        <f t="shared" si="35"/>
        <v>0</v>
      </c>
      <c r="G535" s="675"/>
      <c r="H535" s="667">
        <f t="shared" si="32"/>
        <v>0</v>
      </c>
      <c r="I535" s="667"/>
      <c r="J535" s="667"/>
      <c r="K535" s="667" t="e">
        <f>E535+#REF!+#REF!+#REF!+G535+#REF!+#REF!+#REF!+#REF!+#REF!+#REF!+I535+#REF!+#REF!+#REF!</f>
        <v>#REF!</v>
      </c>
      <c r="L535" s="667" t="e">
        <f t="shared" si="33"/>
        <v>#REF!</v>
      </c>
      <c r="M535" s="665" t="e">
        <f>#REF!+K535</f>
        <v>#REF!</v>
      </c>
      <c r="N535" s="666" t="e">
        <f t="shared" si="34"/>
        <v>#REF!</v>
      </c>
      <c r="O535" s="672"/>
      <c r="P535" s="668"/>
      <c r="Q535" s="676"/>
      <c r="R535" s="676"/>
    </row>
    <row r="536" spans="1:18" s="677" customFormat="1" ht="33" hidden="1" customHeight="1">
      <c r="A536" s="662"/>
      <c r="B536" s="663" t="s">
        <v>1639</v>
      </c>
      <c r="C536" s="675">
        <f>[14]Data!AG416</f>
        <v>839.14</v>
      </c>
      <c r="D536" s="674" t="s">
        <v>235</v>
      </c>
      <c r="E536" s="684"/>
      <c r="F536" s="667">
        <f t="shared" si="35"/>
        <v>0</v>
      </c>
      <c r="G536" s="675"/>
      <c r="H536" s="667">
        <f t="shared" si="32"/>
        <v>0</v>
      </c>
      <c r="I536" s="667"/>
      <c r="J536" s="667"/>
      <c r="K536" s="667" t="e">
        <f>E536+#REF!+#REF!+#REF!+G536+#REF!+#REF!+#REF!+#REF!+#REF!+#REF!+I536+#REF!+#REF!+#REF!</f>
        <v>#REF!</v>
      </c>
      <c r="L536" s="667" t="e">
        <f t="shared" si="33"/>
        <v>#REF!</v>
      </c>
      <c r="M536" s="665" t="e">
        <f>#REF!+K536</f>
        <v>#REF!</v>
      </c>
      <c r="N536" s="666" t="e">
        <f t="shared" si="34"/>
        <v>#REF!</v>
      </c>
      <c r="O536" s="672"/>
      <c r="P536" s="668"/>
      <c r="Q536" s="676"/>
      <c r="R536" s="676"/>
    </row>
    <row r="537" spans="1:18" s="677" customFormat="1" ht="33" hidden="1" customHeight="1">
      <c r="A537" s="662"/>
      <c r="B537" s="663" t="s">
        <v>1640</v>
      </c>
      <c r="C537" s="675">
        <f>[14]Data!AG417</f>
        <v>854.78</v>
      </c>
      <c r="D537" s="674" t="s">
        <v>235</v>
      </c>
      <c r="E537" s="684"/>
      <c r="F537" s="667">
        <f t="shared" si="35"/>
        <v>0</v>
      </c>
      <c r="G537" s="675"/>
      <c r="H537" s="667">
        <f t="shared" si="32"/>
        <v>0</v>
      </c>
      <c r="I537" s="667"/>
      <c r="J537" s="667"/>
      <c r="K537" s="667" t="e">
        <f>E537+#REF!+#REF!+#REF!+G537+#REF!+#REF!+#REF!+#REF!+#REF!+#REF!+I537+#REF!+#REF!+#REF!</f>
        <v>#REF!</v>
      </c>
      <c r="L537" s="667" t="e">
        <f t="shared" si="33"/>
        <v>#REF!</v>
      </c>
      <c r="M537" s="665" t="e">
        <f>#REF!+K537</f>
        <v>#REF!</v>
      </c>
      <c r="N537" s="666" t="e">
        <f t="shared" si="34"/>
        <v>#REF!</v>
      </c>
      <c r="O537" s="672"/>
      <c r="P537" s="668"/>
      <c r="Q537" s="676"/>
      <c r="R537" s="676"/>
    </row>
    <row r="538" spans="1:18" ht="35.25" hidden="1" customHeight="1">
      <c r="A538" s="662"/>
      <c r="B538" s="663" t="s">
        <v>1641</v>
      </c>
      <c r="C538" s="667"/>
      <c r="D538" s="663" t="s">
        <v>235</v>
      </c>
      <c r="E538" s="690"/>
      <c r="F538" s="667">
        <f t="shared" si="35"/>
        <v>0</v>
      </c>
      <c r="G538" s="667"/>
      <c r="H538" s="667">
        <f t="shared" si="32"/>
        <v>0</v>
      </c>
      <c r="I538" s="667"/>
      <c r="J538" s="667"/>
      <c r="K538" s="667" t="e">
        <f>E538+#REF!+#REF!+#REF!+G538+#REF!+#REF!+#REF!+#REF!+#REF!+#REF!+I538+#REF!+#REF!+#REF!</f>
        <v>#REF!</v>
      </c>
      <c r="L538" s="667" t="e">
        <f t="shared" si="33"/>
        <v>#REF!</v>
      </c>
      <c r="M538" s="665" t="e">
        <f>#REF!+K538</f>
        <v>#REF!</v>
      </c>
      <c r="N538" s="666" t="e">
        <f t="shared" si="34"/>
        <v>#REF!</v>
      </c>
      <c r="O538" s="672"/>
      <c r="P538" s="668"/>
    </row>
    <row r="539" spans="1:18" s="677" customFormat="1" ht="33" hidden="1" customHeight="1">
      <c r="A539" s="662"/>
      <c r="B539" s="735" t="s">
        <v>1642</v>
      </c>
      <c r="C539" s="675">
        <f>[14]Data!AG419</f>
        <v>886.06</v>
      </c>
      <c r="D539" s="674" t="s">
        <v>235</v>
      </c>
      <c r="E539" s="684"/>
      <c r="F539" s="667">
        <f t="shared" si="35"/>
        <v>0</v>
      </c>
      <c r="G539" s="675"/>
      <c r="H539" s="667">
        <f t="shared" si="32"/>
        <v>0</v>
      </c>
      <c r="I539" s="667"/>
      <c r="J539" s="667"/>
      <c r="K539" s="667" t="e">
        <f>E539+#REF!+#REF!+#REF!+G539+#REF!+#REF!+#REF!+#REF!+#REF!+#REF!+I539+#REF!+#REF!+#REF!</f>
        <v>#REF!</v>
      </c>
      <c r="L539" s="667" t="e">
        <f t="shared" si="33"/>
        <v>#REF!</v>
      </c>
      <c r="M539" s="665" t="e">
        <f>#REF!+K539</f>
        <v>#REF!</v>
      </c>
      <c r="N539" s="666" t="e">
        <f t="shared" si="34"/>
        <v>#REF!</v>
      </c>
      <c r="O539" s="672"/>
      <c r="P539" s="668"/>
      <c r="Q539" s="676"/>
      <c r="R539" s="676"/>
    </row>
    <row r="540" spans="1:18" s="677" customFormat="1" ht="33" hidden="1" customHeight="1">
      <c r="A540" s="662"/>
      <c r="B540" s="735" t="s">
        <v>1643</v>
      </c>
      <c r="C540" s="675">
        <f>[14]Data!AG420</f>
        <v>901.7</v>
      </c>
      <c r="D540" s="674" t="s">
        <v>235</v>
      </c>
      <c r="E540" s="684"/>
      <c r="F540" s="667">
        <f t="shared" si="35"/>
        <v>0</v>
      </c>
      <c r="G540" s="675"/>
      <c r="H540" s="667">
        <f t="shared" si="32"/>
        <v>0</v>
      </c>
      <c r="I540" s="667"/>
      <c r="J540" s="667"/>
      <c r="K540" s="667" t="e">
        <f>E540+#REF!+#REF!+#REF!+G540+#REF!+#REF!+#REF!+#REF!+#REF!+#REF!+I540+#REF!+#REF!+#REF!</f>
        <v>#REF!</v>
      </c>
      <c r="L540" s="667" t="e">
        <f t="shared" si="33"/>
        <v>#REF!</v>
      </c>
      <c r="M540" s="665" t="e">
        <f>#REF!+K540</f>
        <v>#REF!</v>
      </c>
      <c r="N540" s="666" t="e">
        <f t="shared" si="34"/>
        <v>#REF!</v>
      </c>
      <c r="O540" s="672"/>
      <c r="P540" s="668"/>
      <c r="Q540" s="676"/>
      <c r="R540" s="676"/>
    </row>
    <row r="541" spans="1:18" s="677" customFormat="1" ht="62.25" hidden="1" customHeight="1">
      <c r="A541" s="662">
        <v>11.2</v>
      </c>
      <c r="B541" s="685" t="s">
        <v>1446</v>
      </c>
      <c r="C541" s="675"/>
      <c r="D541" s="674"/>
      <c r="E541" s="684"/>
      <c r="F541" s="667">
        <f t="shared" si="35"/>
        <v>0</v>
      </c>
      <c r="G541" s="675"/>
      <c r="H541" s="667">
        <f t="shared" si="32"/>
        <v>0</v>
      </c>
      <c r="I541" s="667"/>
      <c r="J541" s="667"/>
      <c r="K541" s="667" t="e">
        <f>E541+#REF!+#REF!+#REF!+G541+#REF!+#REF!+#REF!+#REF!+#REF!+#REF!+I541+#REF!+#REF!+#REF!</f>
        <v>#REF!</v>
      </c>
      <c r="L541" s="667" t="e">
        <f t="shared" si="33"/>
        <v>#REF!</v>
      </c>
      <c r="M541" s="665" t="e">
        <f>#REF!+K541</f>
        <v>#REF!</v>
      </c>
      <c r="N541" s="666" t="e">
        <f t="shared" si="34"/>
        <v>#REF!</v>
      </c>
      <c r="O541" s="672"/>
      <c r="P541" s="668"/>
      <c r="Q541" s="676"/>
      <c r="R541" s="676"/>
    </row>
    <row r="542" spans="1:18" s="677" customFormat="1" ht="33" hidden="1" customHeight="1">
      <c r="A542" s="662"/>
      <c r="B542" s="663" t="s">
        <v>1639</v>
      </c>
      <c r="C542" s="675">
        <f>[14]Data!AG455</f>
        <v>602.1</v>
      </c>
      <c r="D542" s="674" t="s">
        <v>37</v>
      </c>
      <c r="E542" s="684"/>
      <c r="F542" s="667">
        <f t="shared" si="35"/>
        <v>0</v>
      </c>
      <c r="G542" s="675"/>
      <c r="H542" s="667">
        <f t="shared" si="32"/>
        <v>0</v>
      </c>
      <c r="I542" s="667"/>
      <c r="J542" s="667"/>
      <c r="K542" s="667" t="e">
        <f>E542+#REF!+#REF!+#REF!+G542+#REF!+#REF!+#REF!+#REF!+#REF!+#REF!+I542+#REF!+#REF!+#REF!</f>
        <v>#REF!</v>
      </c>
      <c r="L542" s="667" t="e">
        <f t="shared" si="33"/>
        <v>#REF!</v>
      </c>
      <c r="M542" s="665" t="e">
        <f>#REF!+K542</f>
        <v>#REF!</v>
      </c>
      <c r="N542" s="666" t="e">
        <f t="shared" si="34"/>
        <v>#REF!</v>
      </c>
      <c r="O542" s="672"/>
      <c r="P542" s="668"/>
      <c r="Q542" s="676"/>
      <c r="R542" s="676"/>
    </row>
    <row r="543" spans="1:18" s="677" customFormat="1" ht="33" hidden="1" customHeight="1">
      <c r="A543" s="662"/>
      <c r="B543" s="663" t="s">
        <v>1640</v>
      </c>
      <c r="C543" s="675">
        <f>[14]Data!AG456</f>
        <v>612.39</v>
      </c>
      <c r="D543" s="674" t="s">
        <v>37</v>
      </c>
      <c r="E543" s="684"/>
      <c r="F543" s="667">
        <f t="shared" si="35"/>
        <v>0</v>
      </c>
      <c r="G543" s="675"/>
      <c r="H543" s="667">
        <f t="shared" si="32"/>
        <v>0</v>
      </c>
      <c r="I543" s="667"/>
      <c r="J543" s="667"/>
      <c r="K543" s="667" t="e">
        <f>E543+#REF!+#REF!+#REF!+G543+#REF!+#REF!+#REF!+#REF!+#REF!+#REF!+I543+#REF!+#REF!+#REF!</f>
        <v>#REF!</v>
      </c>
      <c r="L543" s="667" t="e">
        <f t="shared" si="33"/>
        <v>#REF!</v>
      </c>
      <c r="M543" s="665" t="e">
        <f>#REF!+K543</f>
        <v>#REF!</v>
      </c>
      <c r="N543" s="666" t="e">
        <f t="shared" si="34"/>
        <v>#REF!</v>
      </c>
      <c r="O543" s="672"/>
      <c r="P543" s="668"/>
      <c r="Q543" s="676"/>
      <c r="R543" s="676"/>
    </row>
    <row r="544" spans="1:18" s="677" customFormat="1" ht="33" hidden="1" customHeight="1">
      <c r="A544" s="662"/>
      <c r="B544" s="663" t="s">
        <v>1641</v>
      </c>
      <c r="C544" s="675">
        <f>[14]Data!AG457</f>
        <v>622.67999999999995</v>
      </c>
      <c r="D544" s="674" t="s">
        <v>37</v>
      </c>
      <c r="E544" s="684"/>
      <c r="F544" s="667">
        <f t="shared" si="35"/>
        <v>0</v>
      </c>
      <c r="G544" s="675"/>
      <c r="H544" s="667">
        <f t="shared" si="32"/>
        <v>0</v>
      </c>
      <c r="I544" s="667"/>
      <c r="J544" s="667"/>
      <c r="K544" s="667" t="e">
        <f>E544+#REF!+#REF!+#REF!+G544+#REF!+#REF!+#REF!+#REF!+#REF!+#REF!+I544+#REF!+#REF!+#REF!</f>
        <v>#REF!</v>
      </c>
      <c r="L544" s="667" t="e">
        <f t="shared" si="33"/>
        <v>#REF!</v>
      </c>
      <c r="M544" s="665" t="e">
        <f>#REF!+K544</f>
        <v>#REF!</v>
      </c>
      <c r="N544" s="666" t="e">
        <f t="shared" si="34"/>
        <v>#REF!</v>
      </c>
      <c r="O544" s="672"/>
      <c r="P544" s="668"/>
      <c r="Q544" s="676"/>
      <c r="R544" s="676"/>
    </row>
    <row r="545" spans="1:18" s="677" customFormat="1" ht="33" hidden="1" customHeight="1">
      <c r="A545" s="662"/>
      <c r="B545" s="735" t="s">
        <v>1646</v>
      </c>
      <c r="C545" s="675">
        <f>[14]Data!AG458</f>
        <v>632.97</v>
      </c>
      <c r="D545" s="674" t="s">
        <v>37</v>
      </c>
      <c r="E545" s="684"/>
      <c r="F545" s="667">
        <f t="shared" si="35"/>
        <v>0</v>
      </c>
      <c r="G545" s="675"/>
      <c r="H545" s="667">
        <f t="shared" si="32"/>
        <v>0</v>
      </c>
      <c r="I545" s="667"/>
      <c r="J545" s="667"/>
      <c r="K545" s="667" t="e">
        <f>E545+#REF!+#REF!+#REF!+G545+#REF!+#REF!+#REF!+#REF!+#REF!+#REF!+I545+#REF!+#REF!+#REF!</f>
        <v>#REF!</v>
      </c>
      <c r="L545" s="667" t="e">
        <f t="shared" si="33"/>
        <v>#REF!</v>
      </c>
      <c r="M545" s="665" t="e">
        <f>#REF!+K545</f>
        <v>#REF!</v>
      </c>
      <c r="N545" s="666" t="e">
        <f t="shared" si="34"/>
        <v>#REF!</v>
      </c>
      <c r="O545" s="672"/>
      <c r="P545" s="668"/>
      <c r="Q545" s="676"/>
      <c r="R545" s="676"/>
    </row>
    <row r="546" spans="1:18" s="677" customFormat="1" ht="33" hidden="1" customHeight="1">
      <c r="A546" s="662"/>
      <c r="B546" s="735" t="s">
        <v>1643</v>
      </c>
      <c r="C546" s="675">
        <f>[14]Data!AG459</f>
        <v>643.26</v>
      </c>
      <c r="D546" s="674" t="s">
        <v>37</v>
      </c>
      <c r="E546" s="684"/>
      <c r="F546" s="667">
        <f t="shared" si="35"/>
        <v>0</v>
      </c>
      <c r="G546" s="675"/>
      <c r="H546" s="667">
        <f t="shared" si="32"/>
        <v>0</v>
      </c>
      <c r="I546" s="667"/>
      <c r="J546" s="667"/>
      <c r="K546" s="667" t="e">
        <f>E546+#REF!+#REF!+#REF!+G546+#REF!+#REF!+#REF!+#REF!+#REF!+#REF!+I546+#REF!+#REF!+#REF!</f>
        <v>#REF!</v>
      </c>
      <c r="L546" s="667" t="e">
        <f t="shared" si="33"/>
        <v>#REF!</v>
      </c>
      <c r="M546" s="665" t="e">
        <f>#REF!+K546</f>
        <v>#REF!</v>
      </c>
      <c r="N546" s="666" t="e">
        <f t="shared" si="34"/>
        <v>#REF!</v>
      </c>
      <c r="O546" s="672"/>
      <c r="P546" s="668"/>
      <c r="Q546" s="676"/>
      <c r="R546" s="676"/>
    </row>
    <row r="547" spans="1:18" s="677" customFormat="1" ht="45" hidden="1" customHeight="1">
      <c r="A547" s="662"/>
      <c r="B547" s="663" t="s">
        <v>1647</v>
      </c>
      <c r="C547" s="675">
        <v>2796.22</v>
      </c>
      <c r="D547" s="674" t="s">
        <v>16</v>
      </c>
      <c r="E547" s="684"/>
      <c r="F547" s="667">
        <f t="shared" si="35"/>
        <v>0</v>
      </c>
      <c r="G547" s="675"/>
      <c r="H547" s="667">
        <f t="shared" si="32"/>
        <v>0</v>
      </c>
      <c r="I547" s="667"/>
      <c r="J547" s="667"/>
      <c r="K547" s="667" t="e">
        <f>E547+#REF!+#REF!+#REF!+G547+#REF!+#REF!+#REF!+#REF!+#REF!+#REF!+I547+#REF!+#REF!+#REF!</f>
        <v>#REF!</v>
      </c>
      <c r="L547" s="667" t="e">
        <f t="shared" si="33"/>
        <v>#REF!</v>
      </c>
      <c r="M547" s="665" t="e">
        <f>#REF!+K547</f>
        <v>#REF!</v>
      </c>
      <c r="N547" s="666" t="e">
        <f t="shared" si="34"/>
        <v>#REF!</v>
      </c>
      <c r="O547" s="672"/>
      <c r="P547" s="668"/>
      <c r="Q547" s="676"/>
      <c r="R547" s="676"/>
    </row>
    <row r="548" spans="1:18" s="677" customFormat="1" ht="51.75" hidden="1" customHeight="1">
      <c r="A548" s="662"/>
      <c r="B548" s="735" t="s">
        <v>1648</v>
      </c>
      <c r="C548" s="675">
        <f>[14]Data!R154</f>
        <v>156.1</v>
      </c>
      <c r="D548" s="674" t="s">
        <v>235</v>
      </c>
      <c r="E548" s="684"/>
      <c r="F548" s="667">
        <f t="shared" si="35"/>
        <v>0</v>
      </c>
      <c r="G548" s="675"/>
      <c r="H548" s="667">
        <f t="shared" si="32"/>
        <v>0</v>
      </c>
      <c r="I548" s="667"/>
      <c r="J548" s="667"/>
      <c r="K548" s="667" t="e">
        <f>E548+#REF!+#REF!+#REF!+G548+#REF!+#REF!+#REF!+#REF!+#REF!+#REF!+I548+#REF!+#REF!+#REF!</f>
        <v>#REF!</v>
      </c>
      <c r="L548" s="667" t="e">
        <f t="shared" si="33"/>
        <v>#REF!</v>
      </c>
      <c r="M548" s="665" t="e">
        <f>#REF!+K548</f>
        <v>#REF!</v>
      </c>
      <c r="N548" s="666" t="e">
        <f t="shared" si="34"/>
        <v>#REF!</v>
      </c>
      <c r="O548" s="672"/>
      <c r="P548" s="668"/>
      <c r="Q548" s="676"/>
      <c r="R548" s="676"/>
    </row>
    <row r="549" spans="1:18" ht="41.25" customHeight="1">
      <c r="A549" s="667"/>
      <c r="B549" s="663" t="s">
        <v>630</v>
      </c>
      <c r="C549" s="667">
        <f>[14]Data!K1442</f>
        <v>246.58</v>
      </c>
      <c r="D549" s="663" t="s">
        <v>37</v>
      </c>
      <c r="E549" s="665"/>
      <c r="F549" s="667">
        <f t="shared" si="35"/>
        <v>0</v>
      </c>
      <c r="G549" s="667"/>
      <c r="H549" s="667">
        <f t="shared" si="32"/>
        <v>0</v>
      </c>
      <c r="I549" s="667"/>
      <c r="J549" s="667"/>
      <c r="K549" s="667" t="e">
        <f>E549+#REF!+#REF!+#REF!+G549+#REF!+#REF!+#REF!+#REF!+#REF!+#REF!+I549+#REF!+#REF!+#REF!</f>
        <v>#REF!</v>
      </c>
      <c r="L549" s="667" t="e">
        <f t="shared" si="33"/>
        <v>#REF!</v>
      </c>
      <c r="M549" s="665" t="e">
        <f>#REF!+K549</f>
        <v>#REF!</v>
      </c>
      <c r="N549" s="666" t="e">
        <f t="shared" si="34"/>
        <v>#REF!</v>
      </c>
      <c r="O549" s="672"/>
      <c r="P549" s="668"/>
    </row>
    <row r="550" spans="1:18" ht="42.75" customHeight="1">
      <c r="A550" s="736"/>
      <c r="B550" s="704" t="s">
        <v>1649</v>
      </c>
      <c r="C550" s="703">
        <f>[14]Data!R144</f>
        <v>456.4</v>
      </c>
      <c r="D550" s="704" t="s">
        <v>16</v>
      </c>
      <c r="E550" s="665"/>
      <c r="F550" s="667">
        <f t="shared" si="35"/>
        <v>0</v>
      </c>
      <c r="G550" s="667"/>
      <c r="H550" s="667">
        <f t="shared" si="32"/>
        <v>0</v>
      </c>
      <c r="I550" s="667"/>
      <c r="J550" s="667"/>
      <c r="K550" s="667" t="e">
        <f>E550+#REF!+#REF!+#REF!+G550+#REF!+#REF!+#REF!+#REF!+#REF!+#REF!+I550+#REF!+#REF!+#REF!</f>
        <v>#REF!</v>
      </c>
      <c r="L550" s="667" t="e">
        <f t="shared" si="33"/>
        <v>#REF!</v>
      </c>
      <c r="M550" s="665" t="e">
        <f>#REF!+K550</f>
        <v>#REF!</v>
      </c>
      <c r="N550" s="666" t="e">
        <f t="shared" si="34"/>
        <v>#REF!</v>
      </c>
      <c r="O550" s="672"/>
      <c r="P550" s="668"/>
    </row>
    <row r="551" spans="1:18" ht="48.75" hidden="1" customHeight="1">
      <c r="A551" s="657"/>
      <c r="B551" s="663" t="s">
        <v>1650</v>
      </c>
      <c r="C551" s="675">
        <f>[14]Data!K368</f>
        <v>6442.78</v>
      </c>
      <c r="D551" s="674" t="s">
        <v>16</v>
      </c>
      <c r="E551" s="675"/>
      <c r="F551" s="667">
        <f t="shared" si="35"/>
        <v>0</v>
      </c>
      <c r="G551" s="675"/>
      <c r="H551" s="667">
        <f t="shared" si="32"/>
        <v>0</v>
      </c>
      <c r="I551" s="667"/>
      <c r="J551" s="667"/>
      <c r="K551" s="667" t="e">
        <f>E551+#REF!+#REF!+#REF!+G551+#REF!+#REF!+#REF!+#REF!+#REF!+#REF!+I551+#REF!+#REF!+#REF!</f>
        <v>#REF!</v>
      </c>
      <c r="L551" s="667" t="e">
        <f t="shared" si="33"/>
        <v>#REF!</v>
      </c>
      <c r="M551" s="665" t="e">
        <f>#REF!+K551</f>
        <v>#REF!</v>
      </c>
      <c r="N551" s="666" t="e">
        <f t="shared" si="34"/>
        <v>#REF!</v>
      </c>
      <c r="O551" s="672"/>
      <c r="P551" s="668"/>
    </row>
    <row r="552" spans="1:18" s="677" customFormat="1" ht="25.5" hidden="1" customHeight="1">
      <c r="A552" s="737"/>
      <c r="B552" s="663" t="s">
        <v>1651</v>
      </c>
      <c r="C552" s="675">
        <f>[14]Data!K369</f>
        <v>6579.98</v>
      </c>
      <c r="D552" s="674" t="s">
        <v>16</v>
      </c>
      <c r="E552" s="684"/>
      <c r="F552" s="667">
        <f t="shared" si="35"/>
        <v>0</v>
      </c>
      <c r="G552" s="675"/>
      <c r="H552" s="667">
        <f t="shared" si="32"/>
        <v>0</v>
      </c>
      <c r="I552" s="667"/>
      <c r="J552" s="667"/>
      <c r="K552" s="667" t="e">
        <f>E552+#REF!+#REF!+#REF!+G552+#REF!+#REF!+#REF!+#REF!+#REF!+#REF!+I552+#REF!+#REF!+#REF!</f>
        <v>#REF!</v>
      </c>
      <c r="L552" s="667" t="e">
        <f t="shared" si="33"/>
        <v>#REF!</v>
      </c>
      <c r="M552" s="665" t="e">
        <f>#REF!+K552</f>
        <v>#REF!</v>
      </c>
      <c r="N552" s="666" t="e">
        <f t="shared" si="34"/>
        <v>#REF!</v>
      </c>
      <c r="O552" s="672"/>
      <c r="P552" s="668"/>
      <c r="Q552" s="676"/>
      <c r="R552" s="676"/>
    </row>
    <row r="553" spans="1:18" ht="65.25" hidden="1" customHeight="1">
      <c r="A553" s="657"/>
      <c r="B553" s="663" t="s">
        <v>1652</v>
      </c>
      <c r="C553" s="675">
        <f>[14]Data!$K$370</f>
        <v>6717.18</v>
      </c>
      <c r="D553" s="674" t="s">
        <v>16</v>
      </c>
      <c r="E553" s="675"/>
      <c r="F553" s="667">
        <f t="shared" si="35"/>
        <v>0</v>
      </c>
      <c r="G553" s="675"/>
      <c r="H553" s="667">
        <f t="shared" si="32"/>
        <v>0</v>
      </c>
      <c r="I553" s="667"/>
      <c r="J553" s="667"/>
      <c r="K553" s="667" t="e">
        <f>E553+#REF!+#REF!+#REF!+G553+#REF!+#REF!+#REF!+#REF!+#REF!+#REF!+I553+#REF!+#REF!+#REF!</f>
        <v>#REF!</v>
      </c>
      <c r="L553" s="667" t="e">
        <f t="shared" si="33"/>
        <v>#REF!</v>
      </c>
      <c r="M553" s="665" t="e">
        <f>#REF!+K553</f>
        <v>#REF!</v>
      </c>
      <c r="N553" s="666" t="e">
        <f t="shared" si="34"/>
        <v>#REF!</v>
      </c>
      <c r="O553" s="672"/>
      <c r="P553" s="668"/>
    </row>
    <row r="554" spans="1:18" ht="64.5" hidden="1" customHeight="1">
      <c r="A554" s="657"/>
      <c r="B554" s="674" t="s">
        <v>1653</v>
      </c>
      <c r="C554" s="675">
        <f>[14]Data!K371</f>
        <v>6854.38</v>
      </c>
      <c r="D554" s="674" t="s">
        <v>16</v>
      </c>
      <c r="E554" s="675"/>
      <c r="F554" s="667">
        <f t="shared" si="35"/>
        <v>0</v>
      </c>
      <c r="G554" s="675"/>
      <c r="H554" s="667">
        <f t="shared" si="32"/>
        <v>0</v>
      </c>
      <c r="I554" s="667"/>
      <c r="J554" s="667"/>
      <c r="K554" s="667" t="e">
        <f>E554+#REF!+#REF!+#REF!+G554+#REF!+#REF!+#REF!+#REF!+#REF!+#REF!+I554+#REF!+#REF!+#REF!</f>
        <v>#REF!</v>
      </c>
      <c r="L554" s="667" t="e">
        <f t="shared" si="33"/>
        <v>#REF!</v>
      </c>
      <c r="M554" s="665" t="e">
        <f>#REF!+K554</f>
        <v>#REF!</v>
      </c>
      <c r="N554" s="666" t="e">
        <f t="shared" si="34"/>
        <v>#REF!</v>
      </c>
      <c r="O554" s="672"/>
      <c r="P554" s="668"/>
    </row>
    <row r="555" spans="1:18" s="677" customFormat="1" ht="46.5" hidden="1" customHeight="1">
      <c r="A555" s="690"/>
      <c r="B555" s="663" t="s">
        <v>1654</v>
      </c>
      <c r="C555" s="675">
        <f>[14]Data!X88</f>
        <v>138.83000000000001</v>
      </c>
      <c r="D555" s="674"/>
      <c r="E555" s="684"/>
      <c r="F555" s="667">
        <f t="shared" si="35"/>
        <v>0</v>
      </c>
      <c r="G555" s="675"/>
      <c r="H555" s="667">
        <f t="shared" si="32"/>
        <v>0</v>
      </c>
      <c r="I555" s="667"/>
      <c r="J555" s="667"/>
      <c r="K555" s="667" t="e">
        <f>E555+#REF!+#REF!+#REF!+G555+#REF!+#REF!+#REF!+#REF!+#REF!+#REF!+I555+#REF!+#REF!+#REF!</f>
        <v>#REF!</v>
      </c>
      <c r="L555" s="667" t="e">
        <f t="shared" si="33"/>
        <v>#REF!</v>
      </c>
      <c r="M555" s="665" t="e">
        <f>#REF!+K555</f>
        <v>#REF!</v>
      </c>
      <c r="N555" s="666" t="e">
        <f t="shared" si="34"/>
        <v>#REF!</v>
      </c>
      <c r="O555" s="672"/>
      <c r="P555" s="668"/>
      <c r="Q555" s="676"/>
      <c r="R555" s="676"/>
    </row>
    <row r="556" spans="1:18" s="677" customFormat="1" ht="57" hidden="1" customHeight="1">
      <c r="A556" s="690"/>
      <c r="B556" s="663" t="s">
        <v>1655</v>
      </c>
      <c r="C556" s="675">
        <f>[14]Data!X118</f>
        <v>64.5</v>
      </c>
      <c r="D556" s="674"/>
      <c r="E556" s="684"/>
      <c r="F556" s="667">
        <f t="shared" si="35"/>
        <v>0</v>
      </c>
      <c r="G556" s="675"/>
      <c r="H556" s="667">
        <f t="shared" si="32"/>
        <v>0</v>
      </c>
      <c r="I556" s="667"/>
      <c r="J556" s="667"/>
      <c r="K556" s="667" t="e">
        <f>E556+#REF!+#REF!+#REF!+G556+#REF!+#REF!+#REF!+#REF!+#REF!+#REF!+I556+#REF!+#REF!+#REF!</f>
        <v>#REF!</v>
      </c>
      <c r="L556" s="667" t="e">
        <f t="shared" si="33"/>
        <v>#REF!</v>
      </c>
      <c r="M556" s="665" t="e">
        <f>#REF!+K556</f>
        <v>#REF!</v>
      </c>
      <c r="N556" s="666" t="e">
        <f t="shared" si="34"/>
        <v>#REF!</v>
      </c>
      <c r="O556" s="672"/>
      <c r="P556" s="668"/>
      <c r="Q556" s="676"/>
      <c r="R556" s="676"/>
    </row>
    <row r="557" spans="1:18" s="677" customFormat="1" ht="60" hidden="1" customHeight="1">
      <c r="A557" s="690"/>
      <c r="B557" s="663" t="s">
        <v>1656</v>
      </c>
      <c r="C557" s="675">
        <f>[14]Data!X133</f>
        <v>96.75</v>
      </c>
      <c r="D557" s="674"/>
      <c r="E557" s="684"/>
      <c r="F557" s="667">
        <f t="shared" si="35"/>
        <v>0</v>
      </c>
      <c r="G557" s="675"/>
      <c r="H557" s="667">
        <f t="shared" si="32"/>
        <v>0</v>
      </c>
      <c r="I557" s="667"/>
      <c r="J557" s="667"/>
      <c r="K557" s="667" t="e">
        <f>E557+#REF!+#REF!+#REF!+G557+#REF!+#REF!+#REF!+#REF!+#REF!+#REF!+I557+#REF!+#REF!+#REF!</f>
        <v>#REF!</v>
      </c>
      <c r="L557" s="667" t="e">
        <f t="shared" si="33"/>
        <v>#REF!</v>
      </c>
      <c r="M557" s="665" t="e">
        <f>#REF!+K557</f>
        <v>#REF!</v>
      </c>
      <c r="N557" s="666" t="e">
        <f t="shared" si="34"/>
        <v>#REF!</v>
      </c>
      <c r="O557" s="672"/>
      <c r="P557" s="668"/>
      <c r="Q557" s="676"/>
      <c r="R557" s="676"/>
    </row>
    <row r="558" spans="1:18" s="677" customFormat="1" ht="25.5" hidden="1" customHeight="1">
      <c r="A558" s="662">
        <v>8.4</v>
      </c>
      <c r="B558" s="685" t="s">
        <v>1657</v>
      </c>
      <c r="C558" s="675"/>
      <c r="D558" s="674"/>
      <c r="E558" s="684"/>
      <c r="F558" s="667">
        <f t="shared" si="35"/>
        <v>0</v>
      </c>
      <c r="G558" s="675"/>
      <c r="H558" s="667">
        <f t="shared" si="32"/>
        <v>0</v>
      </c>
      <c r="I558" s="667"/>
      <c r="J558" s="667"/>
      <c r="K558" s="667" t="e">
        <f>E558+#REF!+#REF!+#REF!+G558+#REF!+#REF!+#REF!+#REF!+#REF!+#REF!+I558+#REF!+#REF!+#REF!</f>
        <v>#REF!</v>
      </c>
      <c r="L558" s="667" t="e">
        <f t="shared" si="33"/>
        <v>#REF!</v>
      </c>
      <c r="M558" s="665" t="e">
        <f>#REF!+K558</f>
        <v>#REF!</v>
      </c>
      <c r="N558" s="666" t="e">
        <f t="shared" si="34"/>
        <v>#REF!</v>
      </c>
      <c r="O558" s="672"/>
      <c r="P558" s="668"/>
      <c r="Q558" s="676"/>
      <c r="R558" s="676"/>
    </row>
    <row r="559" spans="1:18" s="677" customFormat="1" ht="25.5" hidden="1" customHeight="1">
      <c r="A559" s="662"/>
      <c r="B559" s="663" t="s">
        <v>1635</v>
      </c>
      <c r="C559" s="675">
        <f>ROUND([14]Data!K2911,2)</f>
        <v>6854.05</v>
      </c>
      <c r="D559" s="674" t="s">
        <v>16</v>
      </c>
      <c r="E559" s="684"/>
      <c r="F559" s="667">
        <f t="shared" si="35"/>
        <v>0</v>
      </c>
      <c r="G559" s="675"/>
      <c r="H559" s="667">
        <f t="shared" si="32"/>
        <v>0</v>
      </c>
      <c r="I559" s="667"/>
      <c r="J559" s="667"/>
      <c r="K559" s="667" t="e">
        <f>E559+#REF!+#REF!+#REF!+G559+#REF!+#REF!+#REF!+#REF!+#REF!+#REF!+I559+#REF!+#REF!+#REF!</f>
        <v>#REF!</v>
      </c>
      <c r="L559" s="667" t="e">
        <f t="shared" si="33"/>
        <v>#REF!</v>
      </c>
      <c r="M559" s="665" t="e">
        <f>#REF!+K559</f>
        <v>#REF!</v>
      </c>
      <c r="N559" s="666" t="e">
        <f t="shared" si="34"/>
        <v>#REF!</v>
      </c>
      <c r="O559" s="672"/>
      <c r="P559" s="668"/>
      <c r="Q559" s="676"/>
      <c r="R559" s="676"/>
    </row>
    <row r="560" spans="1:18" s="677" customFormat="1" ht="25.5" hidden="1" customHeight="1">
      <c r="A560" s="662"/>
      <c r="B560" s="663" t="s">
        <v>1630</v>
      </c>
      <c r="C560" s="675">
        <f>ROUND([14]Data!K2913,2)</f>
        <v>6957.35</v>
      </c>
      <c r="D560" s="674" t="s">
        <v>16</v>
      </c>
      <c r="E560" s="684"/>
      <c r="F560" s="667">
        <f t="shared" si="35"/>
        <v>0</v>
      </c>
      <c r="G560" s="675"/>
      <c r="H560" s="667">
        <f t="shared" si="32"/>
        <v>0</v>
      </c>
      <c r="I560" s="667"/>
      <c r="J560" s="667"/>
      <c r="K560" s="667" t="e">
        <f>E560+#REF!+#REF!+#REF!+G560+#REF!+#REF!+#REF!+#REF!+#REF!+#REF!+I560+#REF!+#REF!+#REF!</f>
        <v>#REF!</v>
      </c>
      <c r="L560" s="667" t="e">
        <f t="shared" si="33"/>
        <v>#REF!</v>
      </c>
      <c r="M560" s="665" t="e">
        <f>#REF!+K560</f>
        <v>#REF!</v>
      </c>
      <c r="N560" s="666" t="e">
        <f t="shared" si="34"/>
        <v>#REF!</v>
      </c>
      <c r="O560" s="672"/>
      <c r="P560" s="668"/>
      <c r="Q560" s="676"/>
      <c r="R560" s="676"/>
    </row>
    <row r="561" spans="1:19" s="677" customFormat="1" ht="25.5" hidden="1" customHeight="1">
      <c r="A561" s="662"/>
      <c r="B561" s="663" t="s">
        <v>1658</v>
      </c>
      <c r="C561" s="675">
        <f>ROUND([14]Data!K2914,2)</f>
        <v>7160.85</v>
      </c>
      <c r="D561" s="674" t="s">
        <v>16</v>
      </c>
      <c r="E561" s="684"/>
      <c r="F561" s="667">
        <f t="shared" si="35"/>
        <v>0</v>
      </c>
      <c r="G561" s="675"/>
      <c r="H561" s="667">
        <f t="shared" si="32"/>
        <v>0</v>
      </c>
      <c r="I561" s="667"/>
      <c r="J561" s="667"/>
      <c r="K561" s="667" t="e">
        <f>E561+#REF!+#REF!+#REF!+G561+#REF!+#REF!+#REF!+#REF!+#REF!+#REF!+I561+#REF!+#REF!+#REF!</f>
        <v>#REF!</v>
      </c>
      <c r="L561" s="667" t="e">
        <f t="shared" si="33"/>
        <v>#REF!</v>
      </c>
      <c r="M561" s="665" t="e">
        <f>#REF!+K561</f>
        <v>#REF!</v>
      </c>
      <c r="N561" s="666" t="e">
        <f t="shared" si="34"/>
        <v>#REF!</v>
      </c>
      <c r="O561" s="672"/>
      <c r="P561" s="668"/>
      <c r="Q561" s="676"/>
      <c r="R561" s="676"/>
    </row>
    <row r="562" spans="1:19" s="677" customFormat="1" ht="25.5" hidden="1" customHeight="1">
      <c r="A562" s="690"/>
      <c r="B562" s="663" t="s">
        <v>1659</v>
      </c>
      <c r="C562" s="660">
        <f>ROUND([14]Data!K2915,2)</f>
        <v>7364.35</v>
      </c>
      <c r="D562" s="674" t="s">
        <v>16</v>
      </c>
      <c r="E562" s="684"/>
      <c r="F562" s="667">
        <f t="shared" si="35"/>
        <v>0</v>
      </c>
      <c r="G562" s="675"/>
      <c r="H562" s="667">
        <f t="shared" si="32"/>
        <v>0</v>
      </c>
      <c r="I562" s="667"/>
      <c r="J562" s="667"/>
      <c r="K562" s="667" t="e">
        <f>E562+#REF!+#REF!+#REF!+G562+#REF!+#REF!+#REF!+#REF!+#REF!+#REF!+I562+#REF!+#REF!+#REF!</f>
        <v>#REF!</v>
      </c>
      <c r="L562" s="667" t="e">
        <f t="shared" si="33"/>
        <v>#REF!</v>
      </c>
      <c r="M562" s="665" t="e">
        <f>#REF!+K562</f>
        <v>#REF!</v>
      </c>
      <c r="N562" s="666" t="e">
        <f t="shared" si="34"/>
        <v>#REF!</v>
      </c>
      <c r="O562" s="672"/>
      <c r="P562" s="668"/>
      <c r="Q562" s="676"/>
      <c r="R562" s="676"/>
    </row>
    <row r="563" spans="1:19" s="677" customFormat="1" ht="46.5" hidden="1" customHeight="1">
      <c r="A563" s="662">
        <v>8.5</v>
      </c>
      <c r="B563" s="685" t="s">
        <v>1660</v>
      </c>
      <c r="C563" s="675"/>
      <c r="D563" s="674"/>
      <c r="E563" s="684"/>
      <c r="F563" s="667">
        <f t="shared" si="35"/>
        <v>0</v>
      </c>
      <c r="G563" s="675"/>
      <c r="H563" s="667">
        <f t="shared" si="32"/>
        <v>0</v>
      </c>
      <c r="I563" s="667"/>
      <c r="J563" s="667"/>
      <c r="K563" s="667" t="e">
        <f>E563+#REF!+#REF!+#REF!+G563+#REF!+#REF!+#REF!+#REF!+#REF!+#REF!+I563+#REF!+#REF!+#REF!</f>
        <v>#REF!</v>
      </c>
      <c r="L563" s="667" t="e">
        <f t="shared" si="33"/>
        <v>#REF!</v>
      </c>
      <c r="M563" s="665" t="e">
        <f>#REF!+K563</f>
        <v>#REF!</v>
      </c>
      <c r="N563" s="666" t="e">
        <f t="shared" si="34"/>
        <v>#REF!</v>
      </c>
      <c r="O563" s="672"/>
      <c r="P563" s="668"/>
      <c r="Q563" s="676"/>
      <c r="R563" s="676"/>
    </row>
    <row r="564" spans="1:19" s="677" customFormat="1" ht="25.5" hidden="1" customHeight="1">
      <c r="A564" s="662"/>
      <c r="B564" s="663" t="s">
        <v>1661</v>
      </c>
      <c r="C564" s="675">
        <f>ROUND([14]Data!K2931,2)</f>
        <v>615.28</v>
      </c>
      <c r="D564" s="674" t="s">
        <v>61</v>
      </c>
      <c r="E564" s="684"/>
      <c r="F564" s="667">
        <f t="shared" si="35"/>
        <v>0</v>
      </c>
      <c r="G564" s="675"/>
      <c r="H564" s="667">
        <f t="shared" si="32"/>
        <v>0</v>
      </c>
      <c r="I564" s="667"/>
      <c r="J564" s="667"/>
      <c r="K564" s="667" t="e">
        <f>E564+#REF!+#REF!+#REF!+G564+#REF!+#REF!+#REF!+#REF!+#REF!+#REF!+I564+#REF!+#REF!+#REF!</f>
        <v>#REF!</v>
      </c>
      <c r="L564" s="667" t="e">
        <f t="shared" si="33"/>
        <v>#REF!</v>
      </c>
      <c r="M564" s="665" t="e">
        <f>#REF!+K564</f>
        <v>#REF!</v>
      </c>
      <c r="N564" s="666" t="e">
        <f t="shared" si="34"/>
        <v>#REF!</v>
      </c>
      <c r="O564" s="672"/>
      <c r="P564" s="668"/>
      <c r="Q564" s="676"/>
      <c r="R564" s="676"/>
    </row>
    <row r="565" spans="1:19" s="677" customFormat="1" ht="25.5" hidden="1" customHeight="1">
      <c r="A565" s="662"/>
      <c r="B565" s="663" t="s">
        <v>1662</v>
      </c>
      <c r="C565" s="675">
        <f>ROUND([14]Data!K2940,2)</f>
        <v>618.77</v>
      </c>
      <c r="D565" s="674" t="s">
        <v>61</v>
      </c>
      <c r="E565" s="684"/>
      <c r="F565" s="667">
        <f t="shared" si="35"/>
        <v>0</v>
      </c>
      <c r="G565" s="675"/>
      <c r="H565" s="667">
        <f t="shared" si="32"/>
        <v>0</v>
      </c>
      <c r="I565" s="667"/>
      <c r="J565" s="667"/>
      <c r="K565" s="667" t="e">
        <f>E565+#REF!+#REF!+#REF!+G565+#REF!+#REF!+#REF!+#REF!+#REF!+#REF!+I565+#REF!+#REF!+#REF!</f>
        <v>#REF!</v>
      </c>
      <c r="L565" s="667" t="e">
        <f t="shared" si="33"/>
        <v>#REF!</v>
      </c>
      <c r="M565" s="665" t="e">
        <f>#REF!+K565</f>
        <v>#REF!</v>
      </c>
      <c r="N565" s="666" t="e">
        <f t="shared" si="34"/>
        <v>#REF!</v>
      </c>
      <c r="O565" s="672"/>
      <c r="P565" s="668"/>
      <c r="Q565" s="676"/>
      <c r="R565" s="676"/>
    </row>
    <row r="566" spans="1:19" s="677" customFormat="1" ht="25.5" hidden="1" customHeight="1">
      <c r="A566" s="662"/>
      <c r="B566" s="663" t="s">
        <v>1663</v>
      </c>
      <c r="C566" s="675">
        <f>ROUND([14]Data!K2950,2)</f>
        <v>622.26</v>
      </c>
      <c r="D566" s="674" t="s">
        <v>61</v>
      </c>
      <c r="E566" s="684"/>
      <c r="F566" s="667">
        <f t="shared" si="35"/>
        <v>0</v>
      </c>
      <c r="G566" s="675"/>
      <c r="H566" s="667">
        <f t="shared" si="32"/>
        <v>0</v>
      </c>
      <c r="I566" s="667"/>
      <c r="J566" s="667"/>
      <c r="K566" s="667" t="e">
        <f>E566+#REF!+#REF!+#REF!+G566+#REF!+#REF!+#REF!+#REF!+#REF!+#REF!+I566+#REF!+#REF!+#REF!</f>
        <v>#REF!</v>
      </c>
      <c r="L566" s="667" t="e">
        <f t="shared" si="33"/>
        <v>#REF!</v>
      </c>
      <c r="M566" s="665" t="e">
        <f>#REF!+K566</f>
        <v>#REF!</v>
      </c>
      <c r="N566" s="666" t="e">
        <f t="shared" si="34"/>
        <v>#REF!</v>
      </c>
      <c r="O566" s="672"/>
      <c r="P566" s="668"/>
      <c r="Q566" s="676"/>
      <c r="R566" s="676"/>
    </row>
    <row r="567" spans="1:19" s="677" customFormat="1" ht="51" hidden="1" customHeight="1">
      <c r="A567" s="662" t="s">
        <v>1664</v>
      </c>
      <c r="B567" s="685" t="s">
        <v>1665</v>
      </c>
      <c r="C567" s="675"/>
      <c r="D567" s="674"/>
      <c r="E567" s="684"/>
      <c r="F567" s="667">
        <f t="shared" si="35"/>
        <v>0</v>
      </c>
      <c r="G567" s="675"/>
      <c r="H567" s="667">
        <f t="shared" si="32"/>
        <v>0</v>
      </c>
      <c r="I567" s="667"/>
      <c r="J567" s="667"/>
      <c r="K567" s="667" t="e">
        <f>E567+#REF!+#REF!+#REF!+G567+#REF!+#REF!+#REF!+#REF!+#REF!+#REF!+I567+#REF!+#REF!+#REF!</f>
        <v>#REF!</v>
      </c>
      <c r="L567" s="667" t="e">
        <f t="shared" si="33"/>
        <v>#REF!</v>
      </c>
      <c r="M567" s="665" t="e">
        <f>#REF!+K567</f>
        <v>#REF!</v>
      </c>
      <c r="N567" s="666" t="e">
        <f t="shared" si="34"/>
        <v>#REF!</v>
      </c>
      <c r="O567" s="672"/>
      <c r="P567" s="668"/>
      <c r="Q567" s="676"/>
      <c r="R567" s="676"/>
    </row>
    <row r="568" spans="1:19" s="677" customFormat="1" ht="25.5" hidden="1" customHeight="1">
      <c r="A568" s="662"/>
      <c r="B568" s="663" t="s">
        <v>1666</v>
      </c>
      <c r="C568" s="675">
        <f>'[14]pile data ( M20 grade)'!F81</f>
        <v>2644.2</v>
      </c>
      <c r="D568" s="674" t="s">
        <v>61</v>
      </c>
      <c r="E568" s="684"/>
      <c r="F568" s="667">
        <f t="shared" si="35"/>
        <v>0</v>
      </c>
      <c r="G568" s="675"/>
      <c r="H568" s="667">
        <f t="shared" si="32"/>
        <v>0</v>
      </c>
      <c r="I568" s="667"/>
      <c r="J568" s="667"/>
      <c r="K568" s="667" t="e">
        <f>E568+#REF!+#REF!+#REF!+G568+#REF!+#REF!+#REF!+#REF!+#REF!+#REF!+I568+#REF!+#REF!+#REF!</f>
        <v>#REF!</v>
      </c>
      <c r="L568" s="667" t="e">
        <f t="shared" si="33"/>
        <v>#REF!</v>
      </c>
      <c r="M568" s="665" t="e">
        <f>#REF!+K568</f>
        <v>#REF!</v>
      </c>
      <c r="N568" s="666" t="e">
        <f t="shared" si="34"/>
        <v>#REF!</v>
      </c>
      <c r="O568" s="672"/>
      <c r="P568" s="668"/>
      <c r="Q568" s="676"/>
      <c r="R568" s="676"/>
    </row>
    <row r="569" spans="1:19" s="677" customFormat="1" ht="69.75" hidden="1" customHeight="1">
      <c r="A569" s="662"/>
      <c r="B569" s="738" t="s">
        <v>1667</v>
      </c>
      <c r="C569" s="675"/>
      <c r="D569" s="674"/>
      <c r="E569" s="684"/>
      <c r="F569" s="667">
        <f t="shared" si="35"/>
        <v>0</v>
      </c>
      <c r="G569" s="675"/>
      <c r="H569" s="667">
        <f t="shared" si="32"/>
        <v>0</v>
      </c>
      <c r="I569" s="667"/>
      <c r="J569" s="667"/>
      <c r="K569" s="667" t="e">
        <f>E569+#REF!+#REF!+#REF!+G569+#REF!+#REF!+#REF!+#REF!+#REF!+#REF!+I569+#REF!+#REF!+#REF!</f>
        <v>#REF!</v>
      </c>
      <c r="L569" s="667" t="e">
        <f t="shared" si="33"/>
        <v>#REF!</v>
      </c>
      <c r="M569" s="665" t="e">
        <f>#REF!+K569</f>
        <v>#REF!</v>
      </c>
      <c r="N569" s="666" t="e">
        <f t="shared" si="34"/>
        <v>#REF!</v>
      </c>
      <c r="O569" s="672"/>
      <c r="P569" s="668"/>
      <c r="Q569" s="676"/>
      <c r="R569" s="676"/>
    </row>
    <row r="570" spans="1:19" s="677" customFormat="1" ht="25.5" hidden="1" customHeight="1">
      <c r="A570" s="662"/>
      <c r="B570" s="738" t="s">
        <v>1668</v>
      </c>
      <c r="C570" s="739">
        <f>'[14]pile data ( M20 grade)'!F92</f>
        <v>710.92</v>
      </c>
      <c r="D570" s="740" t="s">
        <v>61</v>
      </c>
      <c r="E570" s="684"/>
      <c r="F570" s="667">
        <f t="shared" si="35"/>
        <v>0</v>
      </c>
      <c r="G570" s="675"/>
      <c r="H570" s="667">
        <f t="shared" si="32"/>
        <v>0</v>
      </c>
      <c r="I570" s="667"/>
      <c r="J570" s="667"/>
      <c r="K570" s="667" t="e">
        <f>E570+#REF!+#REF!+#REF!+G570+#REF!+#REF!+#REF!+#REF!+#REF!+#REF!+I570+#REF!+#REF!+#REF!</f>
        <v>#REF!</v>
      </c>
      <c r="L570" s="667" t="e">
        <f t="shared" si="33"/>
        <v>#REF!</v>
      </c>
      <c r="M570" s="665" t="e">
        <f>#REF!+K570</f>
        <v>#REF!</v>
      </c>
      <c r="N570" s="666" t="e">
        <f t="shared" si="34"/>
        <v>#REF!</v>
      </c>
      <c r="O570" s="672"/>
      <c r="P570" s="668"/>
      <c r="Q570" s="676"/>
      <c r="R570" s="676"/>
    </row>
    <row r="571" spans="1:19" s="677" customFormat="1" ht="46.5" hidden="1" customHeight="1">
      <c r="A571" s="662"/>
      <c r="B571" s="738" t="s">
        <v>1669</v>
      </c>
      <c r="C571" s="739">
        <v>70000</v>
      </c>
      <c r="D571" s="741" t="s">
        <v>4</v>
      </c>
      <c r="E571" s="684"/>
      <c r="F571" s="667">
        <f t="shared" si="35"/>
        <v>0</v>
      </c>
      <c r="G571" s="675"/>
      <c r="H571" s="667">
        <f t="shared" si="32"/>
        <v>0</v>
      </c>
      <c r="I571" s="667"/>
      <c r="J571" s="667"/>
      <c r="K571" s="667" t="e">
        <f>E571+#REF!+#REF!+#REF!+G571+#REF!+#REF!+#REF!+#REF!+#REF!+#REF!+I571+#REF!+#REF!+#REF!</f>
        <v>#REF!</v>
      </c>
      <c r="L571" s="667" t="e">
        <f t="shared" si="33"/>
        <v>#REF!</v>
      </c>
      <c r="M571" s="665" t="e">
        <f>#REF!+K571</f>
        <v>#REF!</v>
      </c>
      <c r="N571" s="666" t="e">
        <f t="shared" si="34"/>
        <v>#REF!</v>
      </c>
      <c r="O571" s="672"/>
      <c r="P571" s="668"/>
      <c r="Q571" s="676"/>
      <c r="R571" s="676"/>
    </row>
    <row r="572" spans="1:19" s="677" customFormat="1" ht="27" hidden="1" customHeight="1">
      <c r="A572" s="662"/>
      <c r="B572" s="738" t="s">
        <v>1670</v>
      </c>
      <c r="C572" s="739">
        <v>50000</v>
      </c>
      <c r="D572" s="741" t="s">
        <v>1671</v>
      </c>
      <c r="E572" s="684"/>
      <c r="F572" s="667">
        <f t="shared" si="35"/>
        <v>0</v>
      </c>
      <c r="G572" s="675"/>
      <c r="H572" s="667">
        <f t="shared" si="32"/>
        <v>0</v>
      </c>
      <c r="I572" s="667"/>
      <c r="J572" s="667"/>
      <c r="K572" s="667" t="e">
        <f>E572+#REF!+#REF!+#REF!+G572+#REF!+#REF!+#REF!+#REF!+#REF!+#REF!+I572+#REF!+#REF!+#REF!</f>
        <v>#REF!</v>
      </c>
      <c r="L572" s="667" t="e">
        <f t="shared" si="33"/>
        <v>#REF!</v>
      </c>
      <c r="M572" s="665" t="e">
        <f>#REF!+K572</f>
        <v>#REF!</v>
      </c>
      <c r="N572" s="666" t="e">
        <f t="shared" si="34"/>
        <v>#REF!</v>
      </c>
      <c r="O572" s="672"/>
      <c r="P572" s="668"/>
      <c r="Q572" s="676"/>
      <c r="R572" s="676"/>
    </row>
    <row r="573" spans="1:19" s="677" customFormat="1" ht="37.5" hidden="1" customHeight="1">
      <c r="A573" s="662"/>
      <c r="B573" s="738" t="s">
        <v>1672</v>
      </c>
      <c r="C573" s="739">
        <f>[14]Data!K2448</f>
        <v>686.18</v>
      </c>
      <c r="D573" s="741" t="s">
        <v>37</v>
      </c>
      <c r="E573" s="684"/>
      <c r="F573" s="667">
        <f t="shared" si="35"/>
        <v>0</v>
      </c>
      <c r="G573" s="675"/>
      <c r="H573" s="667">
        <f t="shared" si="32"/>
        <v>0</v>
      </c>
      <c r="I573" s="667"/>
      <c r="J573" s="667"/>
      <c r="K573" s="667" t="e">
        <f>E573+#REF!+#REF!+#REF!+G573+#REF!+#REF!+#REF!+#REF!+#REF!+#REF!+I573+#REF!+#REF!+#REF!</f>
        <v>#REF!</v>
      </c>
      <c r="L573" s="667" t="e">
        <f t="shared" si="33"/>
        <v>#REF!</v>
      </c>
      <c r="M573" s="665" t="e">
        <f>#REF!+K573</f>
        <v>#REF!</v>
      </c>
      <c r="N573" s="666" t="e">
        <f t="shared" si="34"/>
        <v>#REF!</v>
      </c>
      <c r="O573" s="672"/>
      <c r="P573" s="668"/>
      <c r="Q573" s="676"/>
      <c r="R573" s="676"/>
    </row>
    <row r="574" spans="1:19" ht="45.75" customHeight="1">
      <c r="A574" s="662">
        <v>18.100000000000001</v>
      </c>
      <c r="B574" s="685" t="s">
        <v>549</v>
      </c>
      <c r="C574" s="667"/>
      <c r="D574" s="663"/>
      <c r="E574" s="667"/>
      <c r="F574" s="667">
        <f t="shared" si="35"/>
        <v>0</v>
      </c>
      <c r="G574" s="667"/>
      <c r="H574" s="667">
        <f t="shared" si="32"/>
        <v>0</v>
      </c>
      <c r="I574" s="667"/>
      <c r="J574" s="667"/>
      <c r="K574" s="667" t="e">
        <f>E574+#REF!+#REF!+#REF!+G574+#REF!+#REF!+#REF!+#REF!+#REF!+#REF!+I574+#REF!+#REF!+#REF!</f>
        <v>#REF!</v>
      </c>
      <c r="L574" s="667" t="e">
        <f t="shared" si="33"/>
        <v>#REF!</v>
      </c>
      <c r="M574" s="665" t="e">
        <f>#REF!+K574</f>
        <v>#REF!</v>
      </c>
      <c r="N574" s="666" t="e">
        <f t="shared" si="34"/>
        <v>#REF!</v>
      </c>
      <c r="O574" s="668"/>
      <c r="P574" s="668"/>
      <c r="Q574" s="678"/>
      <c r="S574" s="679"/>
    </row>
    <row r="575" spans="1:19" ht="63" customHeight="1">
      <c r="A575" s="662"/>
      <c r="B575" s="663" t="s">
        <v>124</v>
      </c>
      <c r="C575" s="667">
        <f>ROUND([14]Data!I2354,2)</f>
        <v>739.38</v>
      </c>
      <c r="D575" s="663" t="s">
        <v>37</v>
      </c>
      <c r="E575" s="667"/>
      <c r="F575" s="667">
        <f t="shared" si="35"/>
        <v>0</v>
      </c>
      <c r="G575" s="667"/>
      <c r="H575" s="667">
        <f t="shared" si="32"/>
        <v>0</v>
      </c>
      <c r="I575" s="667"/>
      <c r="J575" s="667"/>
      <c r="K575" s="667" t="e">
        <f>E575+#REF!+#REF!+#REF!+G575+#REF!+#REF!+#REF!+#REF!+#REF!+#REF!+I575+#REF!+#REF!+#REF!</f>
        <v>#REF!</v>
      </c>
      <c r="L575" s="667" t="e">
        <f t="shared" si="33"/>
        <v>#REF!</v>
      </c>
      <c r="M575" s="665" t="e">
        <f>#REF!+K575</f>
        <v>#REF!</v>
      </c>
      <c r="N575" s="666" t="e">
        <f t="shared" si="34"/>
        <v>#REF!</v>
      </c>
      <c r="O575" s="672"/>
      <c r="P575" s="668"/>
    </row>
    <row r="576" spans="1:19" ht="93.75" customHeight="1">
      <c r="A576" s="662"/>
      <c r="B576" s="663" t="s">
        <v>31</v>
      </c>
      <c r="C576" s="667">
        <f>ROUND([14]Data!I2356,2)</f>
        <v>831.23</v>
      </c>
      <c r="D576" s="663" t="s">
        <v>37</v>
      </c>
      <c r="E576" s="699">
        <f>'Septic Tank'!$G$54</f>
        <v>11.701000000000001</v>
      </c>
      <c r="F576" s="667">
        <f t="shared" si="35"/>
        <v>9726.2222300000012</v>
      </c>
      <c r="G576" s="667"/>
      <c r="H576" s="667">
        <f t="shared" si="32"/>
        <v>0</v>
      </c>
      <c r="I576" s="667"/>
      <c r="J576" s="667"/>
      <c r="K576" s="667" t="e">
        <f>E576+#REF!+#REF!+#REF!+G576+#REF!+#REF!+#REF!+#REF!+#REF!+#REF!+I576+#REF!+#REF!+#REF!</f>
        <v>#REF!</v>
      </c>
      <c r="L576" s="667" t="e">
        <f t="shared" si="33"/>
        <v>#REF!</v>
      </c>
      <c r="M576" s="665" t="e">
        <f>#REF!+K576</f>
        <v>#REF!</v>
      </c>
      <c r="N576" s="666" t="e">
        <f t="shared" si="34"/>
        <v>#REF!</v>
      </c>
      <c r="O576" s="672"/>
      <c r="P576" s="668"/>
    </row>
    <row r="577" spans="1:19" ht="63" customHeight="1">
      <c r="A577" s="666"/>
      <c r="B577" s="663" t="s">
        <v>131</v>
      </c>
      <c r="C577" s="667">
        <f>ROUND([14]Data!I2358,2)</f>
        <v>997.48</v>
      </c>
      <c r="D577" s="663" t="s">
        <v>37</v>
      </c>
      <c r="E577" s="699"/>
      <c r="F577" s="667">
        <f t="shared" si="35"/>
        <v>0</v>
      </c>
      <c r="G577" s="667"/>
      <c r="H577" s="667">
        <f t="shared" si="32"/>
        <v>0</v>
      </c>
      <c r="I577" s="667"/>
      <c r="J577" s="667"/>
      <c r="K577" s="667" t="e">
        <f>E577+#REF!+#REF!+#REF!+G577+#REF!+#REF!+#REF!+#REF!+#REF!+#REF!+I577+#REF!+#REF!+#REF!</f>
        <v>#REF!</v>
      </c>
      <c r="L577" s="667" t="e">
        <f t="shared" si="33"/>
        <v>#REF!</v>
      </c>
      <c r="M577" s="665" t="e">
        <f>#REF!+K577</f>
        <v>#REF!</v>
      </c>
      <c r="N577" s="666" t="e">
        <f t="shared" si="34"/>
        <v>#REF!</v>
      </c>
      <c r="O577" s="672"/>
      <c r="P577" s="668"/>
    </row>
    <row r="578" spans="1:19" ht="48" customHeight="1">
      <c r="A578" s="667"/>
      <c r="B578" s="663" t="s">
        <v>1673</v>
      </c>
      <c r="C578" s="667">
        <f>[14]Data!I2360</f>
        <v>914.35</v>
      </c>
      <c r="D578" s="663" t="s">
        <v>37</v>
      </c>
      <c r="E578" s="666"/>
      <c r="F578" s="667">
        <f t="shared" si="35"/>
        <v>0</v>
      </c>
      <c r="G578" s="667"/>
      <c r="H578" s="667">
        <f t="shared" si="32"/>
        <v>0</v>
      </c>
      <c r="I578" s="667"/>
      <c r="J578" s="667"/>
      <c r="K578" s="667" t="e">
        <f>E578+#REF!+#REF!+#REF!+G578+#REF!+#REF!+#REF!+#REF!+#REF!+#REF!+I578+#REF!+#REF!+#REF!</f>
        <v>#REF!</v>
      </c>
      <c r="L578" s="667" t="e">
        <f t="shared" si="33"/>
        <v>#REF!</v>
      </c>
      <c r="M578" s="665" t="e">
        <f>#REF!+K578</f>
        <v>#REF!</v>
      </c>
      <c r="N578" s="666" t="e">
        <f t="shared" si="34"/>
        <v>#REF!</v>
      </c>
      <c r="O578" s="672"/>
      <c r="P578" s="668"/>
    </row>
    <row r="579" spans="1:19" s="677" customFormat="1" ht="64.5" customHeight="1">
      <c r="A579" s="690"/>
      <c r="B579" s="663" t="s">
        <v>1674</v>
      </c>
      <c r="C579" s="675">
        <f>C577*2</f>
        <v>1994.96</v>
      </c>
      <c r="D579" s="674" t="s">
        <v>37</v>
      </c>
      <c r="E579" s="684"/>
      <c r="F579" s="667">
        <f t="shared" si="35"/>
        <v>0</v>
      </c>
      <c r="G579" s="675"/>
      <c r="H579" s="667">
        <f t="shared" si="32"/>
        <v>0</v>
      </c>
      <c r="I579" s="667"/>
      <c r="J579" s="667"/>
      <c r="K579" s="667" t="e">
        <f>E579+#REF!+#REF!+#REF!+G579+#REF!+#REF!+#REF!+#REF!+#REF!+#REF!+I579+#REF!+#REF!+#REF!</f>
        <v>#REF!</v>
      </c>
      <c r="L579" s="667" t="e">
        <f t="shared" si="33"/>
        <v>#REF!</v>
      </c>
      <c r="M579" s="665" t="e">
        <f>#REF!+K579</f>
        <v>#REF!</v>
      </c>
      <c r="N579" s="666" t="e">
        <f t="shared" si="34"/>
        <v>#REF!</v>
      </c>
      <c r="O579" s="672"/>
      <c r="P579" s="668"/>
      <c r="Q579" s="676"/>
      <c r="R579" s="676"/>
    </row>
    <row r="580" spans="1:19" ht="48" hidden="1" customHeight="1">
      <c r="A580" s="690"/>
      <c r="B580" s="663" t="s">
        <v>1675</v>
      </c>
      <c r="C580" s="667">
        <f>C576*1.5</f>
        <v>1246.845</v>
      </c>
      <c r="D580" s="663" t="s">
        <v>37</v>
      </c>
      <c r="E580" s="690"/>
      <c r="F580" s="667">
        <f t="shared" si="35"/>
        <v>0</v>
      </c>
      <c r="G580" s="667"/>
      <c r="H580" s="667">
        <f t="shared" si="32"/>
        <v>0</v>
      </c>
      <c r="I580" s="667"/>
      <c r="J580" s="667"/>
      <c r="K580" s="667" t="e">
        <f>E580+#REF!+#REF!+#REF!+G580+#REF!+#REF!+#REF!+#REF!+#REF!+#REF!+I580+#REF!+#REF!+#REF!</f>
        <v>#REF!</v>
      </c>
      <c r="L580" s="667" t="e">
        <f t="shared" si="33"/>
        <v>#REF!</v>
      </c>
      <c r="M580" s="665" t="e">
        <f>#REF!+K580</f>
        <v>#REF!</v>
      </c>
      <c r="N580" s="666" t="e">
        <f t="shared" si="34"/>
        <v>#REF!</v>
      </c>
      <c r="O580" s="672"/>
      <c r="P580" s="668"/>
    </row>
    <row r="581" spans="1:19" s="677" customFormat="1" ht="57" customHeight="1">
      <c r="A581" s="690"/>
      <c r="B581" s="663" t="s">
        <v>1676</v>
      </c>
      <c r="C581" s="675">
        <f>C576*2</f>
        <v>1662.46</v>
      </c>
      <c r="D581" s="674" t="s">
        <v>37</v>
      </c>
      <c r="E581" s="684"/>
      <c r="F581" s="667">
        <f t="shared" si="35"/>
        <v>0</v>
      </c>
      <c r="G581" s="675"/>
      <c r="H581" s="667">
        <f t="shared" si="32"/>
        <v>0</v>
      </c>
      <c r="I581" s="667"/>
      <c r="J581" s="667"/>
      <c r="K581" s="667" t="e">
        <f>E581+#REF!+#REF!+#REF!+G581+#REF!+#REF!+#REF!+#REF!+#REF!+#REF!+I581+#REF!+#REF!+#REF!</f>
        <v>#REF!</v>
      </c>
      <c r="L581" s="667" t="e">
        <f t="shared" si="33"/>
        <v>#REF!</v>
      </c>
      <c r="M581" s="665" t="e">
        <f>#REF!+K581</f>
        <v>#REF!</v>
      </c>
      <c r="N581" s="666" t="e">
        <f t="shared" si="34"/>
        <v>#REF!</v>
      </c>
      <c r="O581" s="672"/>
      <c r="P581" s="668"/>
      <c r="Q581" s="676"/>
      <c r="R581" s="676"/>
    </row>
    <row r="582" spans="1:19" ht="82.5" hidden="1" customHeight="1">
      <c r="A582" s="662">
        <v>21.6</v>
      </c>
      <c r="B582" s="710" t="s">
        <v>1677</v>
      </c>
      <c r="C582" s="667"/>
      <c r="D582" s="663"/>
      <c r="E582" s="667"/>
      <c r="F582" s="667">
        <f t="shared" si="35"/>
        <v>0</v>
      </c>
      <c r="G582" s="667"/>
      <c r="H582" s="667">
        <f t="shared" ref="H582:H593" si="36">G582*C582</f>
        <v>0</v>
      </c>
      <c r="I582" s="667"/>
      <c r="J582" s="667"/>
      <c r="K582" s="667" t="e">
        <f>E582+#REF!+#REF!+#REF!+G582+#REF!+#REF!+#REF!+#REF!+#REF!+#REF!+I582+#REF!+#REF!+#REF!</f>
        <v>#REF!</v>
      </c>
      <c r="L582" s="667" t="e">
        <f t="shared" ref="L582:L645" si="37">K582*C582</f>
        <v>#REF!</v>
      </c>
      <c r="M582" s="665" t="e">
        <f>#REF!+K582</f>
        <v>#REF!</v>
      </c>
      <c r="N582" s="666" t="e">
        <f t="shared" ref="N582:N645" si="38">M582*C582</f>
        <v>#REF!</v>
      </c>
      <c r="O582" s="668"/>
      <c r="P582" s="668"/>
      <c r="Q582" s="678"/>
      <c r="S582" s="679"/>
    </row>
    <row r="583" spans="1:19" ht="45" hidden="1" customHeight="1">
      <c r="A583" s="700"/>
      <c r="B583" s="663" t="s">
        <v>1473</v>
      </c>
      <c r="C583" s="667">
        <f>ROUND([14]Data!K889,2)</f>
        <v>2440.4499999999998</v>
      </c>
      <c r="D583" s="663" t="s">
        <v>522</v>
      </c>
      <c r="E583" s="699"/>
      <c r="F583" s="667">
        <f t="shared" si="35"/>
        <v>0</v>
      </c>
      <c r="G583" s="667"/>
      <c r="H583" s="667">
        <f t="shared" si="36"/>
        <v>0</v>
      </c>
      <c r="I583" s="667"/>
      <c r="J583" s="667"/>
      <c r="K583" s="667" t="e">
        <f>E583+#REF!+#REF!+#REF!+G583+#REF!+#REF!+#REF!+#REF!+#REF!+#REF!+I583+#REF!+#REF!+#REF!</f>
        <v>#REF!</v>
      </c>
      <c r="L583" s="667" t="e">
        <f t="shared" si="37"/>
        <v>#REF!</v>
      </c>
      <c r="M583" s="665" t="e">
        <f>#REF!+K583</f>
        <v>#REF!</v>
      </c>
      <c r="N583" s="666" t="e">
        <f t="shared" si="38"/>
        <v>#REF!</v>
      </c>
      <c r="O583" s="672"/>
      <c r="P583" s="668"/>
    </row>
    <row r="584" spans="1:19" s="677" customFormat="1" ht="25.5" hidden="1" customHeight="1">
      <c r="A584" s="700"/>
      <c r="B584" s="663" t="s">
        <v>1678</v>
      </c>
      <c r="C584" s="675">
        <f>[14]Data!R864</f>
        <v>2930.64</v>
      </c>
      <c r="D584" s="674" t="s">
        <v>522</v>
      </c>
      <c r="E584" s="684"/>
      <c r="F584" s="667">
        <f t="shared" si="35"/>
        <v>0</v>
      </c>
      <c r="G584" s="675"/>
      <c r="H584" s="667">
        <f t="shared" si="36"/>
        <v>0</v>
      </c>
      <c r="I584" s="667"/>
      <c r="J584" s="667"/>
      <c r="K584" s="667" t="e">
        <f>E584+#REF!+#REF!+#REF!+G584+#REF!+#REF!+#REF!+#REF!+#REF!+#REF!+I584+#REF!+#REF!+#REF!</f>
        <v>#REF!</v>
      </c>
      <c r="L584" s="667" t="e">
        <f t="shared" si="37"/>
        <v>#REF!</v>
      </c>
      <c r="M584" s="665" t="e">
        <f>#REF!+K584</f>
        <v>#REF!</v>
      </c>
      <c r="N584" s="666" t="e">
        <f t="shared" si="38"/>
        <v>#REF!</v>
      </c>
      <c r="O584" s="672"/>
      <c r="P584" s="668"/>
      <c r="Q584" s="676"/>
      <c r="R584" s="676"/>
    </row>
    <row r="585" spans="1:19" s="677" customFormat="1" ht="25.5" hidden="1" customHeight="1">
      <c r="A585" s="700"/>
      <c r="B585" s="663" t="s">
        <v>1679</v>
      </c>
      <c r="C585" s="675">
        <f>[14]Data!K905</f>
        <v>2406.77</v>
      </c>
      <c r="D585" s="674"/>
      <c r="E585" s="684"/>
      <c r="F585" s="667">
        <f t="shared" si="35"/>
        <v>0</v>
      </c>
      <c r="G585" s="675"/>
      <c r="H585" s="667">
        <f t="shared" si="36"/>
        <v>0</v>
      </c>
      <c r="I585" s="667"/>
      <c r="J585" s="667"/>
      <c r="K585" s="667" t="e">
        <f>E585+#REF!+#REF!+#REF!+G585+#REF!+#REF!+#REF!+#REF!+#REF!+#REF!+I585+#REF!+#REF!+#REF!</f>
        <v>#REF!</v>
      </c>
      <c r="L585" s="667" t="e">
        <f t="shared" si="37"/>
        <v>#REF!</v>
      </c>
      <c r="M585" s="665" t="e">
        <f>#REF!+K585</f>
        <v>#REF!</v>
      </c>
      <c r="N585" s="666" t="e">
        <f t="shared" si="38"/>
        <v>#REF!</v>
      </c>
      <c r="O585" s="672"/>
      <c r="P585" s="668"/>
      <c r="Q585" s="676"/>
      <c r="R585" s="676"/>
    </row>
    <row r="586" spans="1:19" s="677" customFormat="1" ht="35.25" hidden="1" customHeight="1">
      <c r="A586" s="690"/>
      <c r="B586" s="663" t="s">
        <v>1475</v>
      </c>
      <c r="C586" s="675">
        <f>ROUND([14]Data!K871,2)</f>
        <v>2460.2199999999998</v>
      </c>
      <c r="D586" s="674" t="s">
        <v>522</v>
      </c>
      <c r="E586" s="684"/>
      <c r="F586" s="667">
        <f t="shared" si="35"/>
        <v>0</v>
      </c>
      <c r="G586" s="675"/>
      <c r="H586" s="667">
        <f t="shared" si="36"/>
        <v>0</v>
      </c>
      <c r="I586" s="667"/>
      <c r="J586" s="667"/>
      <c r="K586" s="667" t="e">
        <f>E586+#REF!+#REF!+#REF!+G586+#REF!+#REF!+#REF!+#REF!+#REF!+#REF!+I586+#REF!+#REF!+#REF!</f>
        <v>#REF!</v>
      </c>
      <c r="L586" s="667" t="e">
        <f t="shared" si="37"/>
        <v>#REF!</v>
      </c>
      <c r="M586" s="665" t="e">
        <f>#REF!+K586</f>
        <v>#REF!</v>
      </c>
      <c r="N586" s="666" t="e">
        <f t="shared" si="38"/>
        <v>#REF!</v>
      </c>
      <c r="O586" s="672"/>
      <c r="P586" s="668"/>
      <c r="Q586" s="676"/>
      <c r="R586" s="676"/>
    </row>
    <row r="587" spans="1:19" s="677" customFormat="1" ht="61.5" hidden="1" customHeight="1">
      <c r="A587" s="690"/>
      <c r="B587" s="685" t="s">
        <v>1680</v>
      </c>
      <c r="C587" s="675"/>
      <c r="D587" s="674"/>
      <c r="E587" s="684"/>
      <c r="F587" s="667">
        <f t="shared" si="35"/>
        <v>0</v>
      </c>
      <c r="G587" s="675"/>
      <c r="H587" s="667">
        <f t="shared" si="36"/>
        <v>0</v>
      </c>
      <c r="I587" s="667"/>
      <c r="J587" s="667"/>
      <c r="K587" s="667" t="e">
        <f>E587+#REF!+#REF!+#REF!+G587+#REF!+#REF!+#REF!+#REF!+#REF!+#REF!+I587+#REF!+#REF!+#REF!</f>
        <v>#REF!</v>
      </c>
      <c r="L587" s="667" t="e">
        <f t="shared" si="37"/>
        <v>#REF!</v>
      </c>
      <c r="M587" s="665" t="e">
        <f>#REF!+K587</f>
        <v>#REF!</v>
      </c>
      <c r="N587" s="666" t="e">
        <f t="shared" si="38"/>
        <v>#REF!</v>
      </c>
      <c r="O587" s="672"/>
      <c r="P587" s="668"/>
      <c r="Q587" s="676"/>
      <c r="R587" s="676"/>
    </row>
    <row r="588" spans="1:19" s="677" customFormat="1" ht="25.5" hidden="1" customHeight="1">
      <c r="A588" s="690"/>
      <c r="B588" s="663" t="s">
        <v>1486</v>
      </c>
      <c r="C588" s="675">
        <f>[14]Data!K1081</f>
        <v>3364.08</v>
      </c>
      <c r="D588" s="674" t="s">
        <v>264</v>
      </c>
      <c r="E588" s="684"/>
      <c r="F588" s="667">
        <f t="shared" si="35"/>
        <v>0</v>
      </c>
      <c r="G588" s="675"/>
      <c r="H588" s="667">
        <f t="shared" si="36"/>
        <v>0</v>
      </c>
      <c r="I588" s="667"/>
      <c r="J588" s="667"/>
      <c r="K588" s="667" t="e">
        <f>E588+#REF!+#REF!+#REF!+G588+#REF!+#REF!+#REF!+#REF!+#REF!+#REF!+I588+#REF!+#REF!+#REF!</f>
        <v>#REF!</v>
      </c>
      <c r="L588" s="667" t="e">
        <f t="shared" si="37"/>
        <v>#REF!</v>
      </c>
      <c r="M588" s="665" t="e">
        <f>#REF!+K588</f>
        <v>#REF!</v>
      </c>
      <c r="N588" s="666" t="e">
        <f t="shared" si="38"/>
        <v>#REF!</v>
      </c>
      <c r="O588" s="672"/>
      <c r="P588" s="668"/>
      <c r="Q588" s="676"/>
      <c r="R588" s="676"/>
    </row>
    <row r="589" spans="1:19" s="677" customFormat="1" ht="25.5" hidden="1" customHeight="1">
      <c r="A589" s="690"/>
      <c r="B589" s="663" t="s">
        <v>1487</v>
      </c>
      <c r="C589" s="675"/>
      <c r="D589" s="674" t="s">
        <v>264</v>
      </c>
      <c r="E589" s="684"/>
      <c r="F589" s="667">
        <f t="shared" si="35"/>
        <v>0</v>
      </c>
      <c r="G589" s="675"/>
      <c r="H589" s="667">
        <f t="shared" si="36"/>
        <v>0</v>
      </c>
      <c r="I589" s="667"/>
      <c r="J589" s="667"/>
      <c r="K589" s="667" t="e">
        <f>E589+#REF!+#REF!+#REF!+G589+#REF!+#REF!+#REF!+#REF!+#REF!+#REF!+I589+#REF!+#REF!+#REF!</f>
        <v>#REF!</v>
      </c>
      <c r="L589" s="667" t="e">
        <f t="shared" si="37"/>
        <v>#REF!</v>
      </c>
      <c r="M589" s="665" t="e">
        <f>#REF!+K589</f>
        <v>#REF!</v>
      </c>
      <c r="N589" s="666" t="e">
        <f t="shared" si="38"/>
        <v>#REF!</v>
      </c>
      <c r="O589" s="672"/>
      <c r="P589" s="668"/>
      <c r="Q589" s="676"/>
      <c r="R589" s="676"/>
    </row>
    <row r="590" spans="1:19" s="677" customFormat="1" ht="31.5" hidden="1" customHeight="1">
      <c r="A590" s="690"/>
      <c r="B590" s="663" t="s">
        <v>1488</v>
      </c>
      <c r="C590" s="675">
        <f>[14]Data!K1097</f>
        <v>3552.27</v>
      </c>
      <c r="D590" s="674" t="s">
        <v>264</v>
      </c>
      <c r="E590" s="684"/>
      <c r="F590" s="667">
        <f t="shared" si="35"/>
        <v>0</v>
      </c>
      <c r="G590" s="675"/>
      <c r="H590" s="667">
        <f t="shared" si="36"/>
        <v>0</v>
      </c>
      <c r="I590" s="667"/>
      <c r="J590" s="667"/>
      <c r="K590" s="667" t="e">
        <f>E590+#REF!+#REF!+#REF!+G590+#REF!+#REF!+#REF!+#REF!+#REF!+#REF!+I590+#REF!+#REF!+#REF!</f>
        <v>#REF!</v>
      </c>
      <c r="L590" s="667" t="e">
        <f t="shared" si="37"/>
        <v>#REF!</v>
      </c>
      <c r="M590" s="665" t="e">
        <f>#REF!+K590</f>
        <v>#REF!</v>
      </c>
      <c r="N590" s="666" t="e">
        <f t="shared" si="38"/>
        <v>#REF!</v>
      </c>
      <c r="O590" s="672"/>
      <c r="P590" s="668"/>
      <c r="Q590" s="676"/>
      <c r="R590" s="676"/>
    </row>
    <row r="591" spans="1:19" s="677" customFormat="1" ht="42" hidden="1" customHeight="1">
      <c r="A591" s="690"/>
      <c r="B591" s="663" t="s">
        <v>1489</v>
      </c>
      <c r="C591" s="675">
        <f>[14]Data!K1112</f>
        <v>2642.35</v>
      </c>
      <c r="D591" s="674" t="s">
        <v>264</v>
      </c>
      <c r="E591" s="684"/>
      <c r="F591" s="667">
        <f t="shared" si="35"/>
        <v>0</v>
      </c>
      <c r="G591" s="675"/>
      <c r="H591" s="667">
        <f t="shared" si="36"/>
        <v>0</v>
      </c>
      <c r="I591" s="667"/>
      <c r="J591" s="667"/>
      <c r="K591" s="667" t="e">
        <f>E591+#REF!+#REF!+#REF!+G591+#REF!+#REF!+#REF!+#REF!+#REF!+#REF!+I591+#REF!+#REF!+#REF!</f>
        <v>#REF!</v>
      </c>
      <c r="L591" s="667" t="e">
        <f t="shared" si="37"/>
        <v>#REF!</v>
      </c>
      <c r="M591" s="665" t="e">
        <f>#REF!+K591</f>
        <v>#REF!</v>
      </c>
      <c r="N591" s="666" t="e">
        <f t="shared" si="38"/>
        <v>#REF!</v>
      </c>
      <c r="O591" s="672"/>
      <c r="P591" s="668"/>
      <c r="Q591" s="676"/>
      <c r="R591" s="676"/>
    </row>
    <row r="592" spans="1:19" s="677" customFormat="1" ht="38.25" hidden="1" customHeight="1">
      <c r="A592" s="690"/>
      <c r="B592" s="663" t="s">
        <v>1681</v>
      </c>
      <c r="C592" s="675">
        <v>2203.2800000000002</v>
      </c>
      <c r="D592" s="674" t="s">
        <v>264</v>
      </c>
      <c r="E592" s="684"/>
      <c r="F592" s="667">
        <f t="shared" si="35"/>
        <v>0</v>
      </c>
      <c r="G592" s="675"/>
      <c r="H592" s="667">
        <f t="shared" si="36"/>
        <v>0</v>
      </c>
      <c r="I592" s="667"/>
      <c r="J592" s="667"/>
      <c r="K592" s="667" t="e">
        <f>E592+#REF!+#REF!+#REF!+G592+#REF!+#REF!+#REF!+#REF!+#REF!+#REF!+I592+#REF!+#REF!+#REF!</f>
        <v>#REF!</v>
      </c>
      <c r="L592" s="667" t="e">
        <f t="shared" si="37"/>
        <v>#REF!</v>
      </c>
      <c r="M592" s="665" t="e">
        <f>#REF!+K592</f>
        <v>#REF!</v>
      </c>
      <c r="N592" s="666" t="e">
        <f t="shared" si="38"/>
        <v>#REF!</v>
      </c>
      <c r="O592" s="672"/>
      <c r="P592" s="668"/>
      <c r="Q592" s="676"/>
      <c r="R592" s="676"/>
    </row>
    <row r="593" spans="1:18" s="677" customFormat="1" ht="46.5" hidden="1" customHeight="1">
      <c r="A593" s="662" t="s">
        <v>1682</v>
      </c>
      <c r="B593" s="663" t="s">
        <v>1683</v>
      </c>
      <c r="C593" s="675">
        <f>ROUND([14]Data!K2877,2)</f>
        <v>2110.4899999999998</v>
      </c>
      <c r="D593" s="674" t="s">
        <v>37</v>
      </c>
      <c r="E593" s="684"/>
      <c r="F593" s="667">
        <f t="shared" si="35"/>
        <v>0</v>
      </c>
      <c r="G593" s="675"/>
      <c r="H593" s="667">
        <f t="shared" si="36"/>
        <v>0</v>
      </c>
      <c r="I593" s="667"/>
      <c r="J593" s="667"/>
      <c r="K593" s="667" t="e">
        <f>E593+#REF!+#REF!+#REF!+G593+#REF!+#REF!+#REF!+#REF!+#REF!+#REF!+I593+#REF!+#REF!+#REF!</f>
        <v>#REF!</v>
      </c>
      <c r="L593" s="667" t="e">
        <f t="shared" si="37"/>
        <v>#REF!</v>
      </c>
      <c r="M593" s="665" t="e">
        <f>#REF!+K593</f>
        <v>#REF!</v>
      </c>
      <c r="N593" s="666" t="e">
        <f t="shared" si="38"/>
        <v>#REF!</v>
      </c>
      <c r="O593" s="672"/>
      <c r="P593" s="668"/>
      <c r="Q593" s="676"/>
      <c r="R593" s="676"/>
    </row>
    <row r="594" spans="1:18" s="677" customFormat="1" ht="78.599999999999994" customHeight="1">
      <c r="A594" s="662"/>
      <c r="B594" s="663" t="s">
        <v>1684</v>
      </c>
      <c r="C594" s="675">
        <f>[14]Data!R2090</f>
        <v>6981.88</v>
      </c>
      <c r="D594" s="674" t="s">
        <v>37</v>
      </c>
      <c r="E594" s="684"/>
      <c r="F594" s="667"/>
      <c r="G594" s="675"/>
      <c r="H594" s="667"/>
      <c r="I594" s="667"/>
      <c r="J594" s="667"/>
      <c r="K594" s="667" t="e">
        <f>E594+#REF!+#REF!+#REF!+G594+#REF!+#REF!+#REF!+#REF!+#REF!+#REF!+I594+#REF!+#REF!+#REF!</f>
        <v>#REF!</v>
      </c>
      <c r="L594" s="667" t="e">
        <f t="shared" si="37"/>
        <v>#REF!</v>
      </c>
      <c r="M594" s="665" t="e">
        <f>#REF!+K594</f>
        <v>#REF!</v>
      </c>
      <c r="N594" s="666" t="e">
        <f t="shared" si="38"/>
        <v>#REF!</v>
      </c>
      <c r="O594" s="672"/>
      <c r="P594" s="668"/>
      <c r="Q594" s="676"/>
      <c r="R594" s="676"/>
    </row>
    <row r="595" spans="1:18" ht="84.75" hidden="1" customHeight="1">
      <c r="A595" s="673"/>
      <c r="B595" s="674" t="s">
        <v>1685</v>
      </c>
      <c r="C595" s="675">
        <f>ROUND([14]Data!K3114,2)</f>
        <v>4024.1</v>
      </c>
      <c r="D595" s="674" t="s">
        <v>37</v>
      </c>
      <c r="E595" s="684"/>
      <c r="F595" s="667">
        <f t="shared" ref="F595:F626" si="39">E595*C595</f>
        <v>0</v>
      </c>
      <c r="G595" s="675"/>
      <c r="H595" s="667">
        <f t="shared" ref="H595:H626" si="40">G595*C595</f>
        <v>0</v>
      </c>
      <c r="I595" s="667"/>
      <c r="J595" s="667"/>
      <c r="K595" s="667" t="e">
        <f>E595+#REF!+#REF!+#REF!+G595+#REF!+#REF!+#REF!+#REF!+#REF!+#REF!+I595+#REF!+#REF!+#REF!</f>
        <v>#REF!</v>
      </c>
      <c r="L595" s="667" t="e">
        <f t="shared" si="37"/>
        <v>#REF!</v>
      </c>
      <c r="M595" s="665" t="e">
        <f>#REF!+K595</f>
        <v>#REF!</v>
      </c>
      <c r="N595" s="666" t="e">
        <f t="shared" si="38"/>
        <v>#REF!</v>
      </c>
      <c r="O595" s="672"/>
      <c r="P595" s="668"/>
    </row>
    <row r="596" spans="1:18" s="677" customFormat="1" ht="72" hidden="1" customHeight="1">
      <c r="A596" s="662">
        <v>22.8</v>
      </c>
      <c r="B596" s="663" t="s">
        <v>1686</v>
      </c>
      <c r="C596" s="675"/>
      <c r="D596" s="674"/>
      <c r="E596" s="684"/>
      <c r="F596" s="667">
        <f t="shared" si="39"/>
        <v>0</v>
      </c>
      <c r="G596" s="675"/>
      <c r="H596" s="667">
        <f t="shared" si="40"/>
        <v>0</v>
      </c>
      <c r="I596" s="667"/>
      <c r="J596" s="667"/>
      <c r="K596" s="667" t="e">
        <f>E596+#REF!+#REF!+#REF!+G596+#REF!+#REF!+#REF!+#REF!+#REF!+#REF!+I596+#REF!+#REF!+#REF!</f>
        <v>#REF!</v>
      </c>
      <c r="L596" s="667" t="e">
        <f t="shared" si="37"/>
        <v>#REF!</v>
      </c>
      <c r="M596" s="665" t="e">
        <f>#REF!+K596</f>
        <v>#REF!</v>
      </c>
      <c r="N596" s="666" t="e">
        <f t="shared" si="38"/>
        <v>#REF!</v>
      </c>
      <c r="O596" s="672"/>
      <c r="P596" s="668"/>
      <c r="Q596" s="676"/>
      <c r="R596" s="676"/>
    </row>
    <row r="597" spans="1:18" s="677" customFormat="1" ht="35.1" hidden="1" customHeight="1">
      <c r="A597" s="662"/>
      <c r="B597" s="663" t="s">
        <v>1687</v>
      </c>
      <c r="C597" s="675">
        <f>ROUND([14]Data!K2845,2)</f>
        <v>2937.59</v>
      </c>
      <c r="D597" s="674" t="s">
        <v>37</v>
      </c>
      <c r="E597" s="684"/>
      <c r="F597" s="667">
        <f t="shared" si="39"/>
        <v>0</v>
      </c>
      <c r="G597" s="675"/>
      <c r="H597" s="667">
        <f t="shared" si="40"/>
        <v>0</v>
      </c>
      <c r="I597" s="667"/>
      <c r="J597" s="667"/>
      <c r="K597" s="667" t="e">
        <f>E597+#REF!+#REF!+#REF!+G597+#REF!+#REF!+#REF!+#REF!+#REF!+#REF!+I597+#REF!+#REF!+#REF!</f>
        <v>#REF!</v>
      </c>
      <c r="L597" s="667" t="e">
        <f t="shared" si="37"/>
        <v>#REF!</v>
      </c>
      <c r="M597" s="665" t="e">
        <f>#REF!+K597</f>
        <v>#REF!</v>
      </c>
      <c r="N597" s="666" t="e">
        <f t="shared" si="38"/>
        <v>#REF!</v>
      </c>
      <c r="O597" s="672"/>
      <c r="P597" s="668"/>
      <c r="Q597" s="676"/>
      <c r="R597" s="676"/>
    </row>
    <row r="598" spans="1:18" s="677" customFormat="1" ht="35.1" hidden="1" customHeight="1">
      <c r="A598" s="662"/>
      <c r="B598" s="663" t="s">
        <v>1688</v>
      </c>
      <c r="C598" s="675">
        <f>ROUND([14]Data!K2981,2)</f>
        <v>2980.14</v>
      </c>
      <c r="D598" s="674" t="s">
        <v>37</v>
      </c>
      <c r="E598" s="684"/>
      <c r="F598" s="667">
        <f t="shared" si="39"/>
        <v>0</v>
      </c>
      <c r="G598" s="675"/>
      <c r="H598" s="667">
        <f t="shared" si="40"/>
        <v>0</v>
      </c>
      <c r="I598" s="667"/>
      <c r="J598" s="667"/>
      <c r="K598" s="667" t="e">
        <f>E598+#REF!+#REF!+#REF!+G598+#REF!+#REF!+#REF!+#REF!+#REF!+#REF!+I598+#REF!+#REF!+#REF!</f>
        <v>#REF!</v>
      </c>
      <c r="L598" s="667" t="e">
        <f t="shared" si="37"/>
        <v>#REF!</v>
      </c>
      <c r="M598" s="665" t="e">
        <f>#REF!+K598</f>
        <v>#REF!</v>
      </c>
      <c r="N598" s="666" t="e">
        <f t="shared" si="38"/>
        <v>#REF!</v>
      </c>
      <c r="O598" s="672"/>
      <c r="P598" s="668"/>
      <c r="Q598" s="676"/>
      <c r="R598" s="676"/>
    </row>
    <row r="599" spans="1:18" s="677" customFormat="1" ht="28.5" hidden="1" customHeight="1">
      <c r="A599" s="690"/>
      <c r="B599" s="663" t="s">
        <v>1689</v>
      </c>
      <c r="C599" s="675"/>
      <c r="D599" s="674" t="s">
        <v>37</v>
      </c>
      <c r="E599" s="684"/>
      <c r="F599" s="667">
        <f t="shared" si="39"/>
        <v>0</v>
      </c>
      <c r="G599" s="675"/>
      <c r="H599" s="667">
        <f t="shared" si="40"/>
        <v>0</v>
      </c>
      <c r="I599" s="667"/>
      <c r="J599" s="667"/>
      <c r="K599" s="667" t="e">
        <f>E599+#REF!+#REF!+#REF!+G599+#REF!+#REF!+#REF!+#REF!+#REF!+#REF!+I599+#REF!+#REF!+#REF!</f>
        <v>#REF!</v>
      </c>
      <c r="L599" s="667" t="e">
        <f t="shared" si="37"/>
        <v>#REF!</v>
      </c>
      <c r="M599" s="665" t="e">
        <f>#REF!+K599</f>
        <v>#REF!</v>
      </c>
      <c r="N599" s="666" t="e">
        <f t="shared" si="38"/>
        <v>#REF!</v>
      </c>
      <c r="O599" s="672"/>
      <c r="P599" s="668"/>
      <c r="Q599" s="676"/>
      <c r="R599" s="676"/>
    </row>
    <row r="600" spans="1:18" ht="47.25" customHeight="1">
      <c r="A600" s="667"/>
      <c r="B600" s="685" t="s">
        <v>1092</v>
      </c>
      <c r="C600" s="667"/>
      <c r="D600" s="663"/>
      <c r="E600" s="667"/>
      <c r="F600" s="667">
        <f t="shared" si="39"/>
        <v>0</v>
      </c>
      <c r="G600" s="667"/>
      <c r="H600" s="667">
        <f t="shared" si="40"/>
        <v>0</v>
      </c>
      <c r="I600" s="667"/>
      <c r="J600" s="667"/>
      <c r="K600" s="667" t="e">
        <f>E600+#REF!+#REF!+#REF!+G600+#REF!+#REF!+#REF!+#REF!+#REF!+#REF!+I600+#REF!+#REF!+#REF!</f>
        <v>#REF!</v>
      </c>
      <c r="L600" s="667" t="e">
        <f t="shared" si="37"/>
        <v>#REF!</v>
      </c>
      <c r="M600" s="665" t="e">
        <f>#REF!+K600</f>
        <v>#REF!</v>
      </c>
      <c r="N600" s="666" t="e">
        <f t="shared" si="38"/>
        <v>#REF!</v>
      </c>
      <c r="O600" s="668"/>
      <c r="P600" s="668"/>
    </row>
    <row r="601" spans="1:18" ht="49.5" hidden="1" customHeight="1">
      <c r="A601" s="667"/>
      <c r="B601" s="663" t="s">
        <v>1690</v>
      </c>
      <c r="C601" s="667">
        <f>ROUND([14]Data!K2827,2)</f>
        <v>5724.71</v>
      </c>
      <c r="D601" s="663" t="s">
        <v>37</v>
      </c>
      <c r="E601" s="699"/>
      <c r="F601" s="667">
        <f t="shared" si="39"/>
        <v>0</v>
      </c>
      <c r="G601" s="667"/>
      <c r="H601" s="667">
        <f t="shared" si="40"/>
        <v>0</v>
      </c>
      <c r="I601" s="667"/>
      <c r="J601" s="667"/>
      <c r="K601" s="667" t="e">
        <f>E601+#REF!+#REF!+#REF!+G601+#REF!+#REF!+#REF!+#REF!+#REF!+#REF!+I601+#REF!+#REF!+#REF!</f>
        <v>#REF!</v>
      </c>
      <c r="L601" s="667" t="e">
        <f t="shared" si="37"/>
        <v>#REF!</v>
      </c>
      <c r="M601" s="665" t="e">
        <f>#REF!+K601</f>
        <v>#REF!</v>
      </c>
      <c r="N601" s="666" t="e">
        <f t="shared" si="38"/>
        <v>#REF!</v>
      </c>
      <c r="O601" s="672"/>
      <c r="P601" s="668"/>
    </row>
    <row r="602" spans="1:18" s="677" customFormat="1" ht="33" hidden="1" customHeight="1">
      <c r="A602" s="690"/>
      <c r="B602" s="663" t="s">
        <v>1691</v>
      </c>
      <c r="C602" s="675"/>
      <c r="D602" s="674"/>
      <c r="E602" s="684"/>
      <c r="F602" s="667">
        <f t="shared" si="39"/>
        <v>0</v>
      </c>
      <c r="G602" s="675"/>
      <c r="H602" s="667">
        <f t="shared" si="40"/>
        <v>0</v>
      </c>
      <c r="I602" s="667"/>
      <c r="J602" s="667"/>
      <c r="K602" s="667" t="e">
        <f>E602+#REF!+#REF!+#REF!+G602+#REF!+#REF!+#REF!+#REF!+#REF!+#REF!+I602+#REF!+#REF!+#REF!</f>
        <v>#REF!</v>
      </c>
      <c r="L602" s="667" t="e">
        <f t="shared" si="37"/>
        <v>#REF!</v>
      </c>
      <c r="M602" s="665" t="e">
        <f>#REF!+K602</f>
        <v>#REF!</v>
      </c>
      <c r="N602" s="666" t="e">
        <f t="shared" si="38"/>
        <v>#REF!</v>
      </c>
      <c r="O602" s="672"/>
      <c r="P602" s="668"/>
      <c r="Q602" s="676"/>
      <c r="R602" s="676"/>
    </row>
    <row r="603" spans="1:18" s="677" customFormat="1" ht="43.5" customHeight="1">
      <c r="A603" s="690"/>
      <c r="B603" s="663" t="s">
        <v>1692</v>
      </c>
      <c r="C603" s="675">
        <f>[14]Data!R2867</f>
        <v>4989.05</v>
      </c>
      <c r="D603" s="674" t="s">
        <v>37</v>
      </c>
      <c r="E603" s="684"/>
      <c r="F603" s="667">
        <f t="shared" si="39"/>
        <v>0</v>
      </c>
      <c r="G603" s="675"/>
      <c r="H603" s="667">
        <f t="shared" si="40"/>
        <v>0</v>
      </c>
      <c r="I603" s="667"/>
      <c r="J603" s="667"/>
      <c r="K603" s="667" t="e">
        <f>E603+#REF!+#REF!+#REF!+G603+#REF!+#REF!+#REF!+#REF!+#REF!+#REF!+I603+#REF!+#REF!+#REF!</f>
        <v>#REF!</v>
      </c>
      <c r="L603" s="667" t="e">
        <f t="shared" si="37"/>
        <v>#REF!</v>
      </c>
      <c r="M603" s="665" t="e">
        <f>#REF!+K603</f>
        <v>#REF!</v>
      </c>
      <c r="N603" s="666" t="e">
        <f t="shared" si="38"/>
        <v>#REF!</v>
      </c>
      <c r="O603" s="672"/>
      <c r="P603" s="668"/>
      <c r="Q603" s="676"/>
      <c r="R603" s="676"/>
    </row>
    <row r="604" spans="1:18" s="677" customFormat="1" ht="46.5" hidden="1" customHeight="1">
      <c r="A604" s="690"/>
      <c r="B604" s="663" t="s">
        <v>1693</v>
      </c>
      <c r="C604" s="675">
        <f>[14]Data!K1000</f>
        <v>4803.54</v>
      </c>
      <c r="D604" s="674"/>
      <c r="E604" s="684"/>
      <c r="F604" s="667">
        <f t="shared" si="39"/>
        <v>0</v>
      </c>
      <c r="G604" s="675"/>
      <c r="H604" s="667">
        <f t="shared" si="40"/>
        <v>0</v>
      </c>
      <c r="I604" s="667"/>
      <c r="J604" s="667"/>
      <c r="K604" s="667" t="e">
        <f>E604+#REF!+#REF!+#REF!+G604+#REF!+#REF!+#REF!+#REF!+#REF!+#REF!+I604+#REF!+#REF!+#REF!</f>
        <v>#REF!</v>
      </c>
      <c r="L604" s="667" t="e">
        <f t="shared" si="37"/>
        <v>#REF!</v>
      </c>
      <c r="M604" s="665" t="e">
        <f>#REF!+K604</f>
        <v>#REF!</v>
      </c>
      <c r="N604" s="666" t="e">
        <f t="shared" si="38"/>
        <v>#REF!</v>
      </c>
      <c r="O604" s="672"/>
      <c r="P604" s="668"/>
      <c r="Q604" s="676"/>
      <c r="R604" s="676"/>
    </row>
    <row r="605" spans="1:18" s="677" customFormat="1" ht="34.5" hidden="1" customHeight="1">
      <c r="A605" s="690"/>
      <c r="B605" s="663" t="s">
        <v>1694</v>
      </c>
      <c r="C605" s="675"/>
      <c r="D605" s="674"/>
      <c r="E605" s="684"/>
      <c r="F605" s="667">
        <f t="shared" si="39"/>
        <v>0</v>
      </c>
      <c r="G605" s="675"/>
      <c r="H605" s="667">
        <f t="shared" si="40"/>
        <v>0</v>
      </c>
      <c r="I605" s="667"/>
      <c r="J605" s="667"/>
      <c r="K605" s="667" t="e">
        <f>E605+#REF!+#REF!+#REF!+G605+#REF!+#REF!+#REF!+#REF!+#REF!+#REF!+I605+#REF!+#REF!+#REF!</f>
        <v>#REF!</v>
      </c>
      <c r="L605" s="667" t="e">
        <f t="shared" si="37"/>
        <v>#REF!</v>
      </c>
      <c r="M605" s="665" t="e">
        <f>#REF!+K605</f>
        <v>#REF!</v>
      </c>
      <c r="N605" s="666" t="e">
        <f t="shared" si="38"/>
        <v>#REF!</v>
      </c>
      <c r="O605" s="672"/>
      <c r="P605" s="668"/>
      <c r="Q605" s="676"/>
      <c r="R605" s="676"/>
    </row>
    <row r="606" spans="1:18" s="677" customFormat="1" ht="59.25" customHeight="1">
      <c r="A606" s="690"/>
      <c r="B606" s="663" t="s">
        <v>1695</v>
      </c>
      <c r="C606" s="675">
        <f>[14]Data!AG2663</f>
        <v>5533.07</v>
      </c>
      <c r="D606" s="742" t="s">
        <v>37</v>
      </c>
      <c r="E606" s="684"/>
      <c r="F606" s="667">
        <f t="shared" si="39"/>
        <v>0</v>
      </c>
      <c r="G606" s="675"/>
      <c r="H606" s="667">
        <f t="shared" si="40"/>
        <v>0</v>
      </c>
      <c r="I606" s="667"/>
      <c r="J606" s="667"/>
      <c r="K606" s="667" t="e">
        <f>E606+#REF!+#REF!+#REF!+G606+#REF!+#REF!+#REF!+#REF!+#REF!+#REF!+I606+#REF!+#REF!+#REF!</f>
        <v>#REF!</v>
      </c>
      <c r="L606" s="667" t="e">
        <f t="shared" si="37"/>
        <v>#REF!</v>
      </c>
      <c r="M606" s="665" t="e">
        <f>#REF!+K606</f>
        <v>#REF!</v>
      </c>
      <c r="N606" s="666" t="e">
        <f t="shared" si="38"/>
        <v>#REF!</v>
      </c>
      <c r="O606" s="672"/>
      <c r="P606" s="668"/>
      <c r="Q606" s="676"/>
      <c r="R606" s="676"/>
    </row>
    <row r="607" spans="1:18" s="677" customFormat="1" ht="59.25" hidden="1" customHeight="1">
      <c r="A607" s="690"/>
      <c r="B607" s="663" t="s">
        <v>1696</v>
      </c>
      <c r="C607" s="675">
        <f>[14]Data!K2647</f>
        <v>5846.33</v>
      </c>
      <c r="D607" s="674" t="s">
        <v>37</v>
      </c>
      <c r="E607" s="684"/>
      <c r="F607" s="667">
        <f t="shared" si="39"/>
        <v>0</v>
      </c>
      <c r="G607" s="675"/>
      <c r="H607" s="667">
        <f t="shared" si="40"/>
        <v>0</v>
      </c>
      <c r="I607" s="667"/>
      <c r="J607" s="667"/>
      <c r="K607" s="667" t="e">
        <f>E607+#REF!+#REF!+#REF!+G607+#REF!+#REF!+#REF!+#REF!+#REF!+#REF!+I607+#REF!+#REF!+#REF!</f>
        <v>#REF!</v>
      </c>
      <c r="L607" s="667" t="e">
        <f t="shared" si="37"/>
        <v>#REF!</v>
      </c>
      <c r="M607" s="665" t="e">
        <f>#REF!+K607</f>
        <v>#REF!</v>
      </c>
      <c r="N607" s="666" t="e">
        <f t="shared" si="38"/>
        <v>#REF!</v>
      </c>
      <c r="O607" s="672"/>
      <c r="P607" s="668"/>
      <c r="Q607" s="676"/>
      <c r="R607" s="676"/>
    </row>
    <row r="608" spans="1:18" s="677" customFormat="1" ht="59.25" hidden="1" customHeight="1">
      <c r="A608" s="690"/>
      <c r="B608" s="663" t="s">
        <v>1697</v>
      </c>
      <c r="C608" s="675">
        <f>[14]Data!K3434</f>
        <v>5051.6899999999996</v>
      </c>
      <c r="D608" s="674" t="s">
        <v>37</v>
      </c>
      <c r="E608" s="696"/>
      <c r="F608" s="667">
        <f t="shared" si="39"/>
        <v>0</v>
      </c>
      <c r="G608" s="675"/>
      <c r="H608" s="667">
        <f t="shared" si="40"/>
        <v>0</v>
      </c>
      <c r="I608" s="667"/>
      <c r="J608" s="667"/>
      <c r="K608" s="667" t="e">
        <f>E608+#REF!+#REF!+#REF!+G608+#REF!+#REF!+#REF!+#REF!+#REF!+#REF!+I608+#REF!+#REF!+#REF!</f>
        <v>#REF!</v>
      </c>
      <c r="L608" s="667" t="e">
        <f t="shared" si="37"/>
        <v>#REF!</v>
      </c>
      <c r="M608" s="665" t="e">
        <f>#REF!+K608</f>
        <v>#REF!</v>
      </c>
      <c r="N608" s="666" t="e">
        <f t="shared" si="38"/>
        <v>#REF!</v>
      </c>
      <c r="O608" s="672"/>
      <c r="P608" s="668"/>
      <c r="Q608" s="676"/>
      <c r="R608" s="676"/>
    </row>
    <row r="609" spans="1:19" s="677" customFormat="1" ht="59.25" hidden="1" customHeight="1">
      <c r="A609" s="690"/>
      <c r="B609" s="743" t="s">
        <v>1698</v>
      </c>
      <c r="C609" s="675">
        <f>[14]Data!R2654</f>
        <v>6199.77</v>
      </c>
      <c r="D609" s="674" t="s">
        <v>37</v>
      </c>
      <c r="E609" s="684"/>
      <c r="F609" s="667">
        <f t="shared" si="39"/>
        <v>0</v>
      </c>
      <c r="G609" s="675"/>
      <c r="H609" s="667">
        <f t="shared" si="40"/>
        <v>0</v>
      </c>
      <c r="I609" s="667"/>
      <c r="J609" s="667"/>
      <c r="K609" s="667" t="e">
        <f>E609+#REF!+#REF!+#REF!+G609+#REF!+#REF!+#REF!+#REF!+#REF!+#REF!+I609+#REF!+#REF!+#REF!</f>
        <v>#REF!</v>
      </c>
      <c r="L609" s="667" t="e">
        <f t="shared" si="37"/>
        <v>#REF!</v>
      </c>
      <c r="M609" s="665" t="e">
        <f>#REF!+K609</f>
        <v>#REF!</v>
      </c>
      <c r="N609" s="666" t="e">
        <f t="shared" si="38"/>
        <v>#REF!</v>
      </c>
      <c r="O609" s="672"/>
      <c r="P609" s="668"/>
      <c r="Q609" s="676"/>
      <c r="R609" s="676"/>
    </row>
    <row r="610" spans="1:19" s="677" customFormat="1" ht="59.25" hidden="1" customHeight="1">
      <c r="A610" s="690"/>
      <c r="B610" s="743" t="s">
        <v>1699</v>
      </c>
      <c r="C610" s="675">
        <f>[14]Data!AG2629</f>
        <v>5298.17</v>
      </c>
      <c r="D610" s="674" t="s">
        <v>37</v>
      </c>
      <c r="E610" s="684"/>
      <c r="F610" s="667">
        <f t="shared" si="39"/>
        <v>0</v>
      </c>
      <c r="G610" s="675"/>
      <c r="H610" s="667">
        <f t="shared" si="40"/>
        <v>0</v>
      </c>
      <c r="I610" s="667"/>
      <c r="J610" s="667"/>
      <c r="K610" s="667" t="e">
        <f>E610+#REF!+#REF!+#REF!+G610+#REF!+#REF!+#REF!+#REF!+#REF!+#REF!+I610+#REF!+#REF!+#REF!</f>
        <v>#REF!</v>
      </c>
      <c r="L610" s="667" t="e">
        <f t="shared" si="37"/>
        <v>#REF!</v>
      </c>
      <c r="M610" s="665" t="e">
        <f>#REF!+K610</f>
        <v>#REF!</v>
      </c>
      <c r="N610" s="666" t="e">
        <f t="shared" si="38"/>
        <v>#REF!</v>
      </c>
      <c r="O610" s="672"/>
      <c r="P610" s="668"/>
      <c r="Q610" s="676"/>
      <c r="R610" s="676"/>
    </row>
    <row r="611" spans="1:19" ht="65.25" hidden="1" customHeight="1">
      <c r="A611" s="667"/>
      <c r="B611" s="663" t="s">
        <v>1700</v>
      </c>
      <c r="C611" s="667">
        <f>[14]Data!K1066</f>
        <v>3424.55</v>
      </c>
      <c r="D611" s="663" t="s">
        <v>37</v>
      </c>
      <c r="E611" s="667"/>
      <c r="F611" s="667">
        <f t="shared" si="39"/>
        <v>0</v>
      </c>
      <c r="G611" s="667"/>
      <c r="H611" s="667">
        <f t="shared" si="40"/>
        <v>0</v>
      </c>
      <c r="I611" s="667"/>
      <c r="J611" s="667"/>
      <c r="K611" s="667" t="e">
        <f>E611+#REF!+#REF!+#REF!+G611+#REF!+#REF!+#REF!+#REF!+#REF!+#REF!+I611+#REF!+#REF!+#REF!</f>
        <v>#REF!</v>
      </c>
      <c r="L611" s="667" t="e">
        <f t="shared" si="37"/>
        <v>#REF!</v>
      </c>
      <c r="M611" s="665" t="e">
        <f>#REF!+K611</f>
        <v>#REF!</v>
      </c>
      <c r="N611" s="666" t="e">
        <f t="shared" si="38"/>
        <v>#REF!</v>
      </c>
      <c r="O611" s="672"/>
      <c r="P611" s="668"/>
    </row>
    <row r="612" spans="1:19" s="677" customFormat="1" ht="82.5" hidden="1" customHeight="1">
      <c r="A612" s="690"/>
      <c r="B612" s="663" t="s">
        <v>1701</v>
      </c>
      <c r="C612" s="675">
        <f>[14]Data!R1000</f>
        <v>3850.37</v>
      </c>
      <c r="D612" s="674" t="s">
        <v>37</v>
      </c>
      <c r="E612" s="684"/>
      <c r="F612" s="667">
        <f t="shared" si="39"/>
        <v>0</v>
      </c>
      <c r="G612" s="675"/>
      <c r="H612" s="667">
        <f t="shared" si="40"/>
        <v>0</v>
      </c>
      <c r="I612" s="667"/>
      <c r="J612" s="667"/>
      <c r="K612" s="667" t="e">
        <f>E612+#REF!+#REF!+#REF!+G612+#REF!+#REF!+#REF!+#REF!+#REF!+#REF!+I612+#REF!+#REF!+#REF!</f>
        <v>#REF!</v>
      </c>
      <c r="L612" s="667" t="e">
        <f t="shared" si="37"/>
        <v>#REF!</v>
      </c>
      <c r="M612" s="665" t="e">
        <f>#REF!+K612</f>
        <v>#REF!</v>
      </c>
      <c r="N612" s="666" t="e">
        <f t="shared" si="38"/>
        <v>#REF!</v>
      </c>
      <c r="O612" s="672"/>
      <c r="P612" s="668"/>
      <c r="Q612" s="676"/>
      <c r="R612" s="676"/>
    </row>
    <row r="613" spans="1:19" s="677" customFormat="1" ht="63.75" hidden="1" customHeight="1">
      <c r="A613" s="690"/>
      <c r="B613" s="663" t="s">
        <v>1702</v>
      </c>
      <c r="C613" s="667">
        <f>[14]Data!R1077</f>
        <v>3309.65</v>
      </c>
      <c r="D613" s="663" t="s">
        <v>37</v>
      </c>
      <c r="E613" s="699"/>
      <c r="F613" s="667">
        <f t="shared" si="39"/>
        <v>0</v>
      </c>
      <c r="G613" s="667"/>
      <c r="H613" s="667">
        <f t="shared" si="40"/>
        <v>0</v>
      </c>
      <c r="I613" s="667"/>
      <c r="J613" s="667"/>
      <c r="K613" s="667" t="e">
        <f>E613+#REF!+#REF!+#REF!+G613+#REF!+#REF!+#REF!+#REF!+#REF!+#REF!+I613+#REF!+#REF!+#REF!</f>
        <v>#REF!</v>
      </c>
      <c r="L613" s="667" t="e">
        <f t="shared" si="37"/>
        <v>#REF!</v>
      </c>
      <c r="M613" s="665" t="e">
        <f>#REF!+K613</f>
        <v>#REF!</v>
      </c>
      <c r="N613" s="666" t="e">
        <f t="shared" si="38"/>
        <v>#REF!</v>
      </c>
      <c r="O613" s="672"/>
      <c r="P613" s="668"/>
      <c r="Q613" s="676"/>
      <c r="R613" s="676"/>
    </row>
    <row r="614" spans="1:19" s="677" customFormat="1" ht="74.25" hidden="1" customHeight="1">
      <c r="A614" s="690"/>
      <c r="B614" s="663" t="s">
        <v>1703</v>
      </c>
      <c r="C614" s="675"/>
      <c r="D614" s="674" t="s">
        <v>37</v>
      </c>
      <c r="E614" s="675"/>
      <c r="F614" s="667">
        <f t="shared" si="39"/>
        <v>0</v>
      </c>
      <c r="G614" s="675"/>
      <c r="H614" s="667">
        <f t="shared" si="40"/>
        <v>0</v>
      </c>
      <c r="I614" s="667"/>
      <c r="J614" s="667"/>
      <c r="K614" s="667" t="e">
        <f>E614+#REF!+#REF!+#REF!+G614+#REF!+#REF!+#REF!+#REF!+#REF!+#REF!+I614+#REF!+#REF!+#REF!</f>
        <v>#REF!</v>
      </c>
      <c r="L614" s="667" t="e">
        <f t="shared" si="37"/>
        <v>#REF!</v>
      </c>
      <c r="M614" s="665" t="e">
        <f>#REF!+K614</f>
        <v>#REF!</v>
      </c>
      <c r="N614" s="666" t="e">
        <f t="shared" si="38"/>
        <v>#REF!</v>
      </c>
      <c r="O614" s="672"/>
      <c r="P614" s="668"/>
      <c r="Q614" s="676"/>
      <c r="R614" s="676"/>
    </row>
    <row r="615" spans="1:19" s="677" customFormat="1" ht="74.25" hidden="1" customHeight="1">
      <c r="A615" s="690"/>
      <c r="B615" s="663" t="s">
        <v>1704</v>
      </c>
      <c r="C615" s="675">
        <f>[14]Data!R3166</f>
        <v>3117.04</v>
      </c>
      <c r="D615" s="674" t="s">
        <v>37</v>
      </c>
      <c r="E615" s="684"/>
      <c r="F615" s="667">
        <f t="shared" si="39"/>
        <v>0</v>
      </c>
      <c r="G615" s="675"/>
      <c r="H615" s="667">
        <f t="shared" si="40"/>
        <v>0</v>
      </c>
      <c r="I615" s="667"/>
      <c r="J615" s="667"/>
      <c r="K615" s="667" t="e">
        <f>E615+#REF!+#REF!+#REF!+G615+#REF!+#REF!+#REF!+#REF!+#REF!+#REF!+I615+#REF!+#REF!+#REF!</f>
        <v>#REF!</v>
      </c>
      <c r="L615" s="667" t="e">
        <f t="shared" si="37"/>
        <v>#REF!</v>
      </c>
      <c r="M615" s="665" t="e">
        <f>#REF!+K615</f>
        <v>#REF!</v>
      </c>
      <c r="N615" s="666" t="e">
        <f t="shared" si="38"/>
        <v>#REF!</v>
      </c>
      <c r="O615" s="672"/>
      <c r="P615" s="668"/>
      <c r="Q615" s="676"/>
      <c r="R615" s="676"/>
    </row>
    <row r="616" spans="1:19" ht="48.75" customHeight="1">
      <c r="A616" s="662" t="s">
        <v>1095</v>
      </c>
      <c r="B616" s="663" t="s">
        <v>1705</v>
      </c>
      <c r="C616" s="667">
        <f>[14]Data!C704</f>
        <v>3167</v>
      </c>
      <c r="D616" s="663" t="s">
        <v>37</v>
      </c>
      <c r="E616" s="667"/>
      <c r="F616" s="667">
        <f t="shared" si="39"/>
        <v>0</v>
      </c>
      <c r="G616" s="667"/>
      <c r="H616" s="667">
        <f t="shared" si="40"/>
        <v>0</v>
      </c>
      <c r="I616" s="667"/>
      <c r="J616" s="667"/>
      <c r="K616" s="667" t="e">
        <f>E616+#REF!+#REF!+#REF!+G616+#REF!+#REF!+#REF!+#REF!+#REF!+#REF!+I616+#REF!+#REF!+#REF!</f>
        <v>#REF!</v>
      </c>
      <c r="L616" s="667" t="e">
        <f t="shared" si="37"/>
        <v>#REF!</v>
      </c>
      <c r="M616" s="665" t="e">
        <f>#REF!+K616</f>
        <v>#REF!</v>
      </c>
      <c r="N616" s="666" t="e">
        <f t="shared" si="38"/>
        <v>#REF!</v>
      </c>
      <c r="O616" s="672"/>
      <c r="P616" s="668"/>
    </row>
    <row r="617" spans="1:19" ht="66.75" customHeight="1">
      <c r="A617" s="700" t="s">
        <v>1100</v>
      </c>
      <c r="B617" s="663" t="s">
        <v>507</v>
      </c>
      <c r="C617" s="667">
        <f>ROUND([14]Data!K1185,2)</f>
        <v>708.1</v>
      </c>
      <c r="D617" s="663" t="s">
        <v>37</v>
      </c>
      <c r="E617" s="667"/>
      <c r="F617" s="667">
        <f t="shared" si="39"/>
        <v>0</v>
      </c>
      <c r="G617" s="667"/>
      <c r="H617" s="667">
        <f t="shared" si="40"/>
        <v>0</v>
      </c>
      <c r="I617" s="667"/>
      <c r="J617" s="667"/>
      <c r="K617" s="667" t="e">
        <f>E617+#REF!+#REF!+#REF!+G617+#REF!+#REF!+#REF!+#REF!+#REF!+#REF!+I617+#REF!+#REF!+#REF!</f>
        <v>#REF!</v>
      </c>
      <c r="L617" s="667" t="e">
        <f t="shared" si="37"/>
        <v>#REF!</v>
      </c>
      <c r="M617" s="665" t="e">
        <f>#REF!+K617</f>
        <v>#REF!</v>
      </c>
      <c r="N617" s="666" t="e">
        <f t="shared" si="38"/>
        <v>#REF!</v>
      </c>
      <c r="O617" s="672"/>
      <c r="P617" s="668"/>
    </row>
    <row r="618" spans="1:19" s="677" customFormat="1" ht="45.75" hidden="1" customHeight="1">
      <c r="A618" s="666"/>
      <c r="B618" s="685" t="s">
        <v>1706</v>
      </c>
      <c r="C618" s="675"/>
      <c r="D618" s="674"/>
      <c r="E618" s="684"/>
      <c r="F618" s="667">
        <f t="shared" si="39"/>
        <v>0</v>
      </c>
      <c r="G618" s="675"/>
      <c r="H618" s="667">
        <f t="shared" si="40"/>
        <v>0</v>
      </c>
      <c r="I618" s="667"/>
      <c r="J618" s="667"/>
      <c r="K618" s="667" t="e">
        <f>E618+#REF!+#REF!+#REF!+G618+#REF!+#REF!+#REF!+#REF!+#REF!+#REF!+I618+#REF!+#REF!+#REF!</f>
        <v>#REF!</v>
      </c>
      <c r="L618" s="667" t="e">
        <f t="shared" si="37"/>
        <v>#REF!</v>
      </c>
      <c r="M618" s="665" t="e">
        <f>#REF!+K618</f>
        <v>#REF!</v>
      </c>
      <c r="N618" s="666" t="e">
        <f t="shared" si="38"/>
        <v>#REF!</v>
      </c>
      <c r="O618" s="672"/>
      <c r="P618" s="668"/>
      <c r="Q618" s="676"/>
      <c r="R618" s="676"/>
    </row>
    <row r="619" spans="1:19" s="677" customFormat="1" ht="39" hidden="1" customHeight="1">
      <c r="A619" s="666"/>
      <c r="B619" s="663" t="s">
        <v>1405</v>
      </c>
      <c r="C619" s="675">
        <f>ROUND([14]Data!K628,2)</f>
        <v>572.35</v>
      </c>
      <c r="D619" s="674" t="s">
        <v>264</v>
      </c>
      <c r="E619" s="684"/>
      <c r="F619" s="667">
        <f t="shared" si="39"/>
        <v>0</v>
      </c>
      <c r="G619" s="675"/>
      <c r="H619" s="667">
        <f t="shared" si="40"/>
        <v>0</v>
      </c>
      <c r="I619" s="667"/>
      <c r="J619" s="667"/>
      <c r="K619" s="667" t="e">
        <f>E619+#REF!+#REF!+#REF!+G619+#REF!+#REF!+#REF!+#REF!+#REF!+#REF!+I619+#REF!+#REF!+#REF!</f>
        <v>#REF!</v>
      </c>
      <c r="L619" s="667" t="e">
        <f t="shared" si="37"/>
        <v>#REF!</v>
      </c>
      <c r="M619" s="665" t="e">
        <f>#REF!+K619</f>
        <v>#REF!</v>
      </c>
      <c r="N619" s="666" t="e">
        <f t="shared" si="38"/>
        <v>#REF!</v>
      </c>
      <c r="O619" s="672"/>
      <c r="P619" s="668"/>
      <c r="Q619" s="676"/>
      <c r="R619" s="676"/>
    </row>
    <row r="620" spans="1:19" s="677" customFormat="1" ht="39" hidden="1" customHeight="1">
      <c r="A620" s="666"/>
      <c r="B620" s="663" t="s">
        <v>1406</v>
      </c>
      <c r="C620" s="675">
        <f>ROUND([14]Data!K629,2)</f>
        <v>576.41999999999996</v>
      </c>
      <c r="D620" s="674" t="s">
        <v>264</v>
      </c>
      <c r="E620" s="684"/>
      <c r="F620" s="667">
        <f t="shared" si="39"/>
        <v>0</v>
      </c>
      <c r="G620" s="675"/>
      <c r="H620" s="667">
        <f t="shared" si="40"/>
        <v>0</v>
      </c>
      <c r="I620" s="667"/>
      <c r="J620" s="667"/>
      <c r="K620" s="667" t="e">
        <f>E620+#REF!+#REF!+#REF!+G620+#REF!+#REF!+#REF!+#REF!+#REF!+#REF!+I620+#REF!+#REF!+#REF!</f>
        <v>#REF!</v>
      </c>
      <c r="L620" s="667" t="e">
        <f t="shared" si="37"/>
        <v>#REF!</v>
      </c>
      <c r="M620" s="665" t="e">
        <f>#REF!+K620</f>
        <v>#REF!</v>
      </c>
      <c r="N620" s="666" t="e">
        <f t="shared" si="38"/>
        <v>#REF!</v>
      </c>
      <c r="O620" s="672"/>
      <c r="P620" s="668"/>
      <c r="Q620" s="676"/>
      <c r="R620" s="676"/>
    </row>
    <row r="621" spans="1:19" s="677" customFormat="1" ht="39" hidden="1" customHeight="1">
      <c r="A621" s="666"/>
      <c r="B621" s="663" t="s">
        <v>1407</v>
      </c>
      <c r="C621" s="675">
        <f>ROUND([14]Data!K630,2)</f>
        <v>580.49</v>
      </c>
      <c r="D621" s="674" t="s">
        <v>264</v>
      </c>
      <c r="E621" s="684"/>
      <c r="F621" s="667">
        <f t="shared" si="39"/>
        <v>0</v>
      </c>
      <c r="G621" s="675"/>
      <c r="H621" s="667">
        <f t="shared" si="40"/>
        <v>0</v>
      </c>
      <c r="I621" s="667"/>
      <c r="J621" s="667"/>
      <c r="K621" s="667" t="e">
        <f>E621+#REF!+#REF!+#REF!+G621+#REF!+#REF!+#REF!+#REF!+#REF!+#REF!+I621+#REF!+#REF!+#REF!</f>
        <v>#REF!</v>
      </c>
      <c r="L621" s="667" t="e">
        <f t="shared" si="37"/>
        <v>#REF!</v>
      </c>
      <c r="M621" s="665" t="e">
        <f>#REF!+K621</f>
        <v>#REF!</v>
      </c>
      <c r="N621" s="666" t="e">
        <f t="shared" si="38"/>
        <v>#REF!</v>
      </c>
      <c r="O621" s="672"/>
      <c r="P621" s="668"/>
      <c r="Q621" s="676"/>
      <c r="R621" s="676"/>
    </row>
    <row r="622" spans="1:19" s="677" customFormat="1" ht="39" hidden="1" customHeight="1">
      <c r="A622" s="666"/>
      <c r="B622" s="663" t="s">
        <v>1408</v>
      </c>
      <c r="C622" s="675">
        <f>ROUND([14]Data!K631,2)</f>
        <v>584.55999999999995</v>
      </c>
      <c r="D622" s="674" t="s">
        <v>264</v>
      </c>
      <c r="E622" s="684"/>
      <c r="F622" s="667">
        <f t="shared" si="39"/>
        <v>0</v>
      </c>
      <c r="G622" s="675"/>
      <c r="H622" s="667">
        <f t="shared" si="40"/>
        <v>0</v>
      </c>
      <c r="I622" s="667"/>
      <c r="J622" s="667"/>
      <c r="K622" s="667" t="e">
        <f>E622+#REF!+#REF!+#REF!+G622+#REF!+#REF!+#REF!+#REF!+#REF!+#REF!+I622+#REF!+#REF!+#REF!</f>
        <v>#REF!</v>
      </c>
      <c r="L622" s="667" t="e">
        <f t="shared" si="37"/>
        <v>#REF!</v>
      </c>
      <c r="M622" s="665" t="e">
        <f>#REF!+K622</f>
        <v>#REF!</v>
      </c>
      <c r="N622" s="666" t="e">
        <f t="shared" si="38"/>
        <v>#REF!</v>
      </c>
      <c r="O622" s="672"/>
      <c r="P622" s="668"/>
      <c r="Q622" s="676"/>
      <c r="R622" s="676"/>
    </row>
    <row r="623" spans="1:19" s="677" customFormat="1" ht="36" hidden="1" customHeight="1">
      <c r="A623" s="690"/>
      <c r="B623" s="663" t="s">
        <v>1409</v>
      </c>
      <c r="C623" s="675">
        <f>ROUND([14]Data!K632,2)</f>
        <v>588.63</v>
      </c>
      <c r="D623" s="674" t="s">
        <v>264</v>
      </c>
      <c r="E623" s="684"/>
      <c r="F623" s="667">
        <f t="shared" si="39"/>
        <v>0</v>
      </c>
      <c r="G623" s="675"/>
      <c r="H623" s="667">
        <f t="shared" si="40"/>
        <v>0</v>
      </c>
      <c r="I623" s="667"/>
      <c r="J623" s="667"/>
      <c r="K623" s="667" t="e">
        <f>E623+#REF!+#REF!+#REF!+G623+#REF!+#REF!+#REF!+#REF!+#REF!+#REF!+I623+#REF!+#REF!+#REF!</f>
        <v>#REF!</v>
      </c>
      <c r="L623" s="667" t="e">
        <f t="shared" si="37"/>
        <v>#REF!</v>
      </c>
      <c r="M623" s="665" t="e">
        <f>#REF!+K623</f>
        <v>#REF!</v>
      </c>
      <c r="N623" s="666" t="e">
        <f t="shared" si="38"/>
        <v>#REF!</v>
      </c>
      <c r="O623" s="672"/>
      <c r="P623" s="668"/>
      <c r="Q623" s="676"/>
      <c r="R623" s="676"/>
    </row>
    <row r="624" spans="1:19" ht="40.5" hidden="1" customHeight="1">
      <c r="A624" s="684"/>
      <c r="B624" s="695" t="s">
        <v>1707</v>
      </c>
      <c r="C624" s="675"/>
      <c r="D624" s="674"/>
      <c r="E624" s="684"/>
      <c r="F624" s="667">
        <f t="shared" si="39"/>
        <v>0</v>
      </c>
      <c r="G624" s="675"/>
      <c r="H624" s="667">
        <f t="shared" si="40"/>
        <v>0</v>
      </c>
      <c r="I624" s="667"/>
      <c r="J624" s="667"/>
      <c r="K624" s="667" t="e">
        <f>E624+#REF!+#REF!+#REF!+G624+#REF!+#REF!+#REF!+#REF!+#REF!+#REF!+I624+#REF!+#REF!+#REF!</f>
        <v>#REF!</v>
      </c>
      <c r="L624" s="667" t="e">
        <f t="shared" si="37"/>
        <v>#REF!</v>
      </c>
      <c r="M624" s="665" t="e">
        <f>#REF!+K624</f>
        <v>#REF!</v>
      </c>
      <c r="N624" s="666" t="e">
        <f t="shared" si="38"/>
        <v>#REF!</v>
      </c>
      <c r="O624" s="672"/>
      <c r="P624" s="668"/>
      <c r="Q624" s="678"/>
      <c r="S624" s="679"/>
    </row>
    <row r="625" spans="1:19" s="677" customFormat="1" ht="39" hidden="1" customHeight="1">
      <c r="A625" s="690"/>
      <c r="B625" s="663" t="s">
        <v>1708</v>
      </c>
      <c r="C625" s="675">
        <f>[14]Data!K590</f>
        <v>529.37</v>
      </c>
      <c r="D625" s="674" t="s">
        <v>264</v>
      </c>
      <c r="E625" s="684"/>
      <c r="F625" s="667">
        <f t="shared" si="39"/>
        <v>0</v>
      </c>
      <c r="G625" s="675"/>
      <c r="H625" s="667">
        <f t="shared" si="40"/>
        <v>0</v>
      </c>
      <c r="I625" s="667"/>
      <c r="J625" s="667"/>
      <c r="K625" s="667" t="e">
        <f>E625+#REF!+#REF!+#REF!+G625+#REF!+#REF!+#REF!+#REF!+#REF!+#REF!+I625+#REF!+#REF!+#REF!</f>
        <v>#REF!</v>
      </c>
      <c r="L625" s="667" t="e">
        <f t="shared" si="37"/>
        <v>#REF!</v>
      </c>
      <c r="M625" s="665" t="e">
        <f>#REF!+K625</f>
        <v>#REF!</v>
      </c>
      <c r="N625" s="666" t="e">
        <f t="shared" si="38"/>
        <v>#REF!</v>
      </c>
      <c r="O625" s="672"/>
      <c r="P625" s="668"/>
      <c r="Q625" s="676"/>
      <c r="R625" s="676"/>
    </row>
    <row r="626" spans="1:19" s="677" customFormat="1" ht="45.75" hidden="1" customHeight="1">
      <c r="A626" s="690"/>
      <c r="B626" s="663" t="s">
        <v>1406</v>
      </c>
      <c r="C626" s="675">
        <f>[14]Data!K591</f>
        <v>533.44000000000005</v>
      </c>
      <c r="D626" s="674" t="s">
        <v>264</v>
      </c>
      <c r="E626" s="684"/>
      <c r="F626" s="667">
        <f t="shared" si="39"/>
        <v>0</v>
      </c>
      <c r="G626" s="675"/>
      <c r="H626" s="667">
        <f t="shared" si="40"/>
        <v>0</v>
      </c>
      <c r="I626" s="667"/>
      <c r="J626" s="667"/>
      <c r="K626" s="667" t="e">
        <f>E626+#REF!+#REF!+#REF!+G626+#REF!+#REF!+#REF!+#REF!+#REF!+#REF!+I626+#REF!+#REF!+#REF!</f>
        <v>#REF!</v>
      </c>
      <c r="L626" s="667" t="e">
        <f t="shared" si="37"/>
        <v>#REF!</v>
      </c>
      <c r="M626" s="665" t="e">
        <f>#REF!+K626</f>
        <v>#REF!</v>
      </c>
      <c r="N626" s="666" t="e">
        <f t="shared" si="38"/>
        <v>#REF!</v>
      </c>
      <c r="O626" s="672"/>
      <c r="P626" s="668"/>
      <c r="Q626" s="676"/>
      <c r="R626" s="676"/>
    </row>
    <row r="627" spans="1:19" s="677" customFormat="1" ht="45.75" hidden="1" customHeight="1">
      <c r="A627" s="690"/>
      <c r="B627" s="663" t="s">
        <v>1407</v>
      </c>
      <c r="C627" s="675">
        <f>[14]Data!K592</f>
        <v>537.51</v>
      </c>
      <c r="D627" s="674" t="s">
        <v>264</v>
      </c>
      <c r="E627" s="684"/>
      <c r="F627" s="667">
        <f t="shared" ref="F627:F658" si="41">E627*C627</f>
        <v>0</v>
      </c>
      <c r="G627" s="675"/>
      <c r="H627" s="667">
        <f t="shared" ref="H627:H658" si="42">G627*C627</f>
        <v>0</v>
      </c>
      <c r="I627" s="667"/>
      <c r="J627" s="667"/>
      <c r="K627" s="667" t="e">
        <f>E627+#REF!+#REF!+#REF!+G627+#REF!+#REF!+#REF!+#REF!+#REF!+#REF!+I627+#REF!+#REF!+#REF!</f>
        <v>#REF!</v>
      </c>
      <c r="L627" s="667" t="e">
        <f t="shared" si="37"/>
        <v>#REF!</v>
      </c>
      <c r="M627" s="665" t="e">
        <f>#REF!+K627</f>
        <v>#REF!</v>
      </c>
      <c r="N627" s="666" t="e">
        <f t="shared" si="38"/>
        <v>#REF!</v>
      </c>
      <c r="O627" s="672"/>
      <c r="P627" s="668"/>
      <c r="Q627" s="676"/>
      <c r="R627" s="676"/>
    </row>
    <row r="628" spans="1:19" s="677" customFormat="1" ht="45.75" hidden="1" customHeight="1">
      <c r="A628" s="690"/>
      <c r="B628" s="663" t="s">
        <v>1408</v>
      </c>
      <c r="C628" s="675">
        <f>[14]Data!K593</f>
        <v>541.58000000000004</v>
      </c>
      <c r="D628" s="674" t="s">
        <v>264</v>
      </c>
      <c r="E628" s="684"/>
      <c r="F628" s="667">
        <f t="shared" si="41"/>
        <v>0</v>
      </c>
      <c r="G628" s="675"/>
      <c r="H628" s="667">
        <f t="shared" si="42"/>
        <v>0</v>
      </c>
      <c r="I628" s="667"/>
      <c r="J628" s="667"/>
      <c r="K628" s="667" t="e">
        <f>E628+#REF!+#REF!+#REF!+G628+#REF!+#REF!+#REF!+#REF!+#REF!+#REF!+I628+#REF!+#REF!+#REF!</f>
        <v>#REF!</v>
      </c>
      <c r="L628" s="667" t="e">
        <f t="shared" si="37"/>
        <v>#REF!</v>
      </c>
      <c r="M628" s="665" t="e">
        <f>#REF!+K628</f>
        <v>#REF!</v>
      </c>
      <c r="N628" s="666" t="e">
        <f t="shared" si="38"/>
        <v>#REF!</v>
      </c>
      <c r="O628" s="672"/>
      <c r="P628" s="668"/>
      <c r="Q628" s="676"/>
      <c r="R628" s="676"/>
    </row>
    <row r="629" spans="1:19" s="677" customFormat="1" ht="36" hidden="1" customHeight="1">
      <c r="A629" s="690"/>
      <c r="B629" s="663" t="s">
        <v>1409</v>
      </c>
      <c r="C629" s="675">
        <f>[14]Data!K594</f>
        <v>545.65</v>
      </c>
      <c r="D629" s="674" t="s">
        <v>264</v>
      </c>
      <c r="E629" s="684"/>
      <c r="F629" s="667">
        <f t="shared" si="41"/>
        <v>0</v>
      </c>
      <c r="G629" s="675"/>
      <c r="H629" s="667">
        <f t="shared" si="42"/>
        <v>0</v>
      </c>
      <c r="I629" s="667"/>
      <c r="J629" s="667"/>
      <c r="K629" s="667" t="e">
        <f>E629+#REF!+#REF!+#REF!+G629+#REF!+#REF!+#REF!+#REF!+#REF!+#REF!+I629+#REF!+#REF!+#REF!</f>
        <v>#REF!</v>
      </c>
      <c r="L629" s="667" t="e">
        <f t="shared" si="37"/>
        <v>#REF!</v>
      </c>
      <c r="M629" s="665" t="e">
        <f>#REF!+K629</f>
        <v>#REF!</v>
      </c>
      <c r="N629" s="666" t="e">
        <f t="shared" si="38"/>
        <v>#REF!</v>
      </c>
      <c r="O629" s="672"/>
      <c r="P629" s="668"/>
      <c r="Q629" s="676"/>
      <c r="R629" s="676"/>
    </row>
    <row r="630" spans="1:19" ht="26.25" customHeight="1">
      <c r="A630" s="684"/>
      <c r="B630" s="695" t="s">
        <v>1709</v>
      </c>
      <c r="C630" s="675"/>
      <c r="D630" s="674"/>
      <c r="E630" s="684"/>
      <c r="F630" s="667">
        <f t="shared" si="41"/>
        <v>0</v>
      </c>
      <c r="G630" s="675"/>
      <c r="H630" s="667">
        <f t="shared" si="42"/>
        <v>0</v>
      </c>
      <c r="I630" s="667"/>
      <c r="J630" s="667"/>
      <c r="K630" s="667" t="e">
        <f>E630+#REF!+#REF!+#REF!+G630+#REF!+#REF!+#REF!+#REF!+#REF!+#REF!+I630+#REF!+#REF!+#REF!</f>
        <v>#REF!</v>
      </c>
      <c r="L630" s="667" t="e">
        <f t="shared" si="37"/>
        <v>#REF!</v>
      </c>
      <c r="M630" s="665" t="e">
        <f>#REF!+K630</f>
        <v>#REF!</v>
      </c>
      <c r="N630" s="666" t="e">
        <f t="shared" si="38"/>
        <v>#REF!</v>
      </c>
      <c r="O630" s="672"/>
      <c r="P630" s="668"/>
      <c r="Q630" s="678"/>
      <c r="S630" s="679"/>
    </row>
    <row r="631" spans="1:19" s="677" customFormat="1" ht="41.25" customHeight="1">
      <c r="A631" s="690"/>
      <c r="B631" s="663" t="s">
        <v>1405</v>
      </c>
      <c r="C631" s="675">
        <f>[14]Data!X589</f>
        <v>558.29999999999995</v>
      </c>
      <c r="D631" s="674" t="s">
        <v>264</v>
      </c>
      <c r="E631" s="684"/>
      <c r="F631" s="667">
        <f t="shared" si="41"/>
        <v>0</v>
      </c>
      <c r="G631" s="675"/>
      <c r="H631" s="667">
        <f t="shared" si="42"/>
        <v>0</v>
      </c>
      <c r="I631" s="667"/>
      <c r="J631" s="667"/>
      <c r="K631" s="667" t="e">
        <f>E631+#REF!+#REF!+#REF!+G631+#REF!+#REF!+#REF!+#REF!+#REF!+#REF!+I631+#REF!+#REF!+#REF!</f>
        <v>#REF!</v>
      </c>
      <c r="L631" s="667" t="e">
        <f t="shared" si="37"/>
        <v>#REF!</v>
      </c>
      <c r="M631" s="665" t="e">
        <f>#REF!+K631</f>
        <v>#REF!</v>
      </c>
      <c r="N631" s="666" t="e">
        <f t="shared" si="38"/>
        <v>#REF!</v>
      </c>
      <c r="O631" s="672"/>
      <c r="P631" s="668"/>
      <c r="Q631" s="676"/>
      <c r="R631" s="676"/>
    </row>
    <row r="632" spans="1:19" s="677" customFormat="1" ht="43.5" hidden="1" customHeight="1">
      <c r="A632" s="690"/>
      <c r="B632" s="663" t="s">
        <v>1406</v>
      </c>
      <c r="C632" s="675">
        <f>[14]Data!X590</f>
        <v>562.42999999999995</v>
      </c>
      <c r="D632" s="674" t="s">
        <v>264</v>
      </c>
      <c r="E632" s="684"/>
      <c r="F632" s="667">
        <f t="shared" si="41"/>
        <v>0</v>
      </c>
      <c r="G632" s="675"/>
      <c r="H632" s="667">
        <f t="shared" si="42"/>
        <v>0</v>
      </c>
      <c r="I632" s="667"/>
      <c r="J632" s="667"/>
      <c r="K632" s="667" t="e">
        <f>E632+#REF!+#REF!+#REF!+G632+#REF!+#REF!+#REF!+#REF!+#REF!+#REF!+I632+#REF!+#REF!+#REF!</f>
        <v>#REF!</v>
      </c>
      <c r="L632" s="667" t="e">
        <f t="shared" si="37"/>
        <v>#REF!</v>
      </c>
      <c r="M632" s="665" t="e">
        <f>#REF!+K632</f>
        <v>#REF!</v>
      </c>
      <c r="N632" s="666" t="e">
        <f t="shared" si="38"/>
        <v>#REF!</v>
      </c>
      <c r="O632" s="672"/>
      <c r="P632" s="668"/>
      <c r="Q632" s="676"/>
      <c r="R632" s="676"/>
    </row>
    <row r="633" spans="1:19" s="677" customFormat="1" ht="36" hidden="1" customHeight="1">
      <c r="A633" s="690"/>
      <c r="B633" s="663" t="s">
        <v>1407</v>
      </c>
      <c r="C633" s="675">
        <f>[14]Data!X591</f>
        <v>570.57000000000005</v>
      </c>
      <c r="D633" s="674" t="s">
        <v>264</v>
      </c>
      <c r="E633" s="684"/>
      <c r="F633" s="667">
        <f t="shared" si="41"/>
        <v>0</v>
      </c>
      <c r="G633" s="675"/>
      <c r="H633" s="667">
        <f t="shared" si="42"/>
        <v>0</v>
      </c>
      <c r="I633" s="667"/>
      <c r="J633" s="667"/>
      <c r="K633" s="667" t="e">
        <f>E633+#REF!+#REF!+#REF!+G633+#REF!+#REF!+#REF!+#REF!+#REF!+#REF!+I633+#REF!+#REF!+#REF!</f>
        <v>#REF!</v>
      </c>
      <c r="L633" s="667" t="e">
        <f t="shared" si="37"/>
        <v>#REF!</v>
      </c>
      <c r="M633" s="665" t="e">
        <f>#REF!+K633</f>
        <v>#REF!</v>
      </c>
      <c r="N633" s="666" t="e">
        <f t="shared" si="38"/>
        <v>#REF!</v>
      </c>
      <c r="O633" s="672"/>
      <c r="P633" s="668"/>
      <c r="Q633" s="676"/>
      <c r="R633" s="676"/>
    </row>
    <row r="634" spans="1:19" s="677" customFormat="1" ht="36" hidden="1" customHeight="1">
      <c r="A634" s="690"/>
      <c r="B634" s="663" t="s">
        <v>1408</v>
      </c>
      <c r="C634" s="675">
        <f>[14]Data!X592</f>
        <v>578.71</v>
      </c>
      <c r="D634" s="674" t="s">
        <v>264</v>
      </c>
      <c r="E634" s="684"/>
      <c r="F634" s="667">
        <f t="shared" si="41"/>
        <v>0</v>
      </c>
      <c r="G634" s="675"/>
      <c r="H634" s="667">
        <f t="shared" si="42"/>
        <v>0</v>
      </c>
      <c r="I634" s="667"/>
      <c r="J634" s="667"/>
      <c r="K634" s="667" t="e">
        <f>E634+#REF!+#REF!+#REF!+G634+#REF!+#REF!+#REF!+#REF!+#REF!+#REF!+I634+#REF!+#REF!+#REF!</f>
        <v>#REF!</v>
      </c>
      <c r="L634" s="667" t="e">
        <f t="shared" si="37"/>
        <v>#REF!</v>
      </c>
      <c r="M634" s="665" t="e">
        <f>#REF!+K634</f>
        <v>#REF!</v>
      </c>
      <c r="N634" s="666" t="e">
        <f t="shared" si="38"/>
        <v>#REF!</v>
      </c>
      <c r="O634" s="672"/>
      <c r="P634" s="668"/>
      <c r="Q634" s="676"/>
      <c r="R634" s="676"/>
    </row>
    <row r="635" spans="1:19" s="677" customFormat="1" ht="36" hidden="1" customHeight="1">
      <c r="A635" s="690"/>
      <c r="B635" s="663" t="s">
        <v>1409</v>
      </c>
      <c r="C635" s="675">
        <f>[14]Data!X593</f>
        <v>586.85</v>
      </c>
      <c r="D635" s="674"/>
      <c r="E635" s="684"/>
      <c r="F635" s="667">
        <f t="shared" si="41"/>
        <v>0</v>
      </c>
      <c r="G635" s="675"/>
      <c r="H635" s="667">
        <f t="shared" si="42"/>
        <v>0</v>
      </c>
      <c r="I635" s="667"/>
      <c r="J635" s="667"/>
      <c r="K635" s="667" t="e">
        <f>E635+#REF!+#REF!+#REF!+G635+#REF!+#REF!+#REF!+#REF!+#REF!+#REF!+I635+#REF!+#REF!+#REF!</f>
        <v>#REF!</v>
      </c>
      <c r="L635" s="667" t="e">
        <f t="shared" si="37"/>
        <v>#REF!</v>
      </c>
      <c r="M635" s="665" t="e">
        <f>#REF!+K635</f>
        <v>#REF!</v>
      </c>
      <c r="N635" s="666" t="e">
        <f t="shared" si="38"/>
        <v>#REF!</v>
      </c>
      <c r="O635" s="672"/>
      <c r="P635" s="668"/>
      <c r="Q635" s="676"/>
      <c r="R635" s="676"/>
    </row>
    <row r="636" spans="1:19" s="677" customFormat="1" ht="45.75" hidden="1" customHeight="1">
      <c r="A636" s="690"/>
      <c r="B636" s="685" t="s">
        <v>1710</v>
      </c>
      <c r="C636" s="675"/>
      <c r="D636" s="674"/>
      <c r="E636" s="684"/>
      <c r="F636" s="667">
        <f t="shared" si="41"/>
        <v>0</v>
      </c>
      <c r="G636" s="675"/>
      <c r="H636" s="667">
        <f t="shared" si="42"/>
        <v>0</v>
      </c>
      <c r="I636" s="667"/>
      <c r="J636" s="667"/>
      <c r="K636" s="667" t="e">
        <f>E636+#REF!+#REF!+#REF!+G636+#REF!+#REF!+#REF!+#REF!+#REF!+#REF!+I636+#REF!+#REF!+#REF!</f>
        <v>#REF!</v>
      </c>
      <c r="L636" s="667" t="e">
        <f t="shared" si="37"/>
        <v>#REF!</v>
      </c>
      <c r="M636" s="665" t="e">
        <f>#REF!+K636</f>
        <v>#REF!</v>
      </c>
      <c r="N636" s="666" t="e">
        <f t="shared" si="38"/>
        <v>#REF!</v>
      </c>
      <c r="O636" s="672"/>
      <c r="P636" s="668"/>
      <c r="Q636" s="676"/>
      <c r="R636" s="676"/>
    </row>
    <row r="637" spans="1:19" s="677" customFormat="1" ht="25.5" hidden="1" customHeight="1">
      <c r="A637" s="690"/>
      <c r="B637" s="663" t="s">
        <v>1405</v>
      </c>
      <c r="C637" s="675">
        <f>[14]Data!K612</f>
        <v>1847.38</v>
      </c>
      <c r="D637" s="674" t="s">
        <v>264</v>
      </c>
      <c r="E637" s="684"/>
      <c r="F637" s="667">
        <f t="shared" si="41"/>
        <v>0</v>
      </c>
      <c r="G637" s="675"/>
      <c r="H637" s="667">
        <f t="shared" si="42"/>
        <v>0</v>
      </c>
      <c r="I637" s="667"/>
      <c r="J637" s="667"/>
      <c r="K637" s="667" t="e">
        <f>E637+#REF!+#REF!+#REF!+G637+#REF!+#REF!+#REF!+#REF!+#REF!+#REF!+I637+#REF!+#REF!+#REF!</f>
        <v>#REF!</v>
      </c>
      <c r="L637" s="667" t="e">
        <f t="shared" si="37"/>
        <v>#REF!</v>
      </c>
      <c r="M637" s="665" t="e">
        <f>#REF!+K637</f>
        <v>#REF!</v>
      </c>
      <c r="N637" s="666" t="e">
        <f t="shared" si="38"/>
        <v>#REF!</v>
      </c>
      <c r="O637" s="672"/>
      <c r="P637" s="668"/>
      <c r="Q637" s="676"/>
      <c r="R637" s="676"/>
    </row>
    <row r="638" spans="1:19" s="677" customFormat="1" ht="25.5" hidden="1" customHeight="1">
      <c r="A638" s="690"/>
      <c r="B638" s="663" t="s">
        <v>1406</v>
      </c>
      <c r="C638" s="675">
        <f>[14]Data!K613</f>
        <v>1855.52</v>
      </c>
      <c r="D638" s="674" t="s">
        <v>264</v>
      </c>
      <c r="E638" s="684"/>
      <c r="F638" s="667">
        <f t="shared" si="41"/>
        <v>0</v>
      </c>
      <c r="G638" s="675"/>
      <c r="H638" s="667">
        <f t="shared" si="42"/>
        <v>0</v>
      </c>
      <c r="I638" s="667"/>
      <c r="J638" s="667"/>
      <c r="K638" s="667" t="e">
        <f>E638+#REF!+#REF!+#REF!+G638+#REF!+#REF!+#REF!+#REF!+#REF!+#REF!+I638+#REF!+#REF!+#REF!</f>
        <v>#REF!</v>
      </c>
      <c r="L638" s="667" t="e">
        <f t="shared" si="37"/>
        <v>#REF!</v>
      </c>
      <c r="M638" s="665" t="e">
        <f>#REF!+K638</f>
        <v>#REF!</v>
      </c>
      <c r="N638" s="666" t="e">
        <f t="shared" si="38"/>
        <v>#REF!</v>
      </c>
      <c r="O638" s="672"/>
      <c r="P638" s="668"/>
      <c r="Q638" s="676"/>
      <c r="R638" s="676"/>
    </row>
    <row r="639" spans="1:19" s="677" customFormat="1" ht="25.5" hidden="1" customHeight="1">
      <c r="A639" s="690"/>
      <c r="B639" s="663" t="s">
        <v>1407</v>
      </c>
      <c r="C639" s="675">
        <f>[14]Data!K614</f>
        <v>1863.66</v>
      </c>
      <c r="D639" s="674" t="s">
        <v>264</v>
      </c>
      <c r="E639" s="684"/>
      <c r="F639" s="667">
        <f t="shared" si="41"/>
        <v>0</v>
      </c>
      <c r="G639" s="675"/>
      <c r="H639" s="667">
        <f t="shared" si="42"/>
        <v>0</v>
      </c>
      <c r="I639" s="667"/>
      <c r="J639" s="667"/>
      <c r="K639" s="667" t="e">
        <f>E639+#REF!+#REF!+#REF!+G639+#REF!+#REF!+#REF!+#REF!+#REF!+#REF!+I639+#REF!+#REF!+#REF!</f>
        <v>#REF!</v>
      </c>
      <c r="L639" s="667" t="e">
        <f t="shared" si="37"/>
        <v>#REF!</v>
      </c>
      <c r="M639" s="665" t="e">
        <f>#REF!+K639</f>
        <v>#REF!</v>
      </c>
      <c r="N639" s="666" t="e">
        <f t="shared" si="38"/>
        <v>#REF!</v>
      </c>
      <c r="O639" s="672"/>
      <c r="P639" s="668"/>
      <c r="Q639" s="676"/>
      <c r="R639" s="676"/>
    </row>
    <row r="640" spans="1:19" s="677" customFormat="1" ht="25.5" hidden="1" customHeight="1">
      <c r="A640" s="690"/>
      <c r="B640" s="663" t="s">
        <v>1408</v>
      </c>
      <c r="C640" s="675">
        <f>[14]Data!K615</f>
        <v>1871.8</v>
      </c>
      <c r="D640" s="674" t="s">
        <v>264</v>
      </c>
      <c r="E640" s="684"/>
      <c r="F640" s="667">
        <f t="shared" si="41"/>
        <v>0</v>
      </c>
      <c r="G640" s="675"/>
      <c r="H640" s="667">
        <f t="shared" si="42"/>
        <v>0</v>
      </c>
      <c r="I640" s="667"/>
      <c r="J640" s="667"/>
      <c r="K640" s="667" t="e">
        <f>E640+#REF!+#REF!+#REF!+G640+#REF!+#REF!+#REF!+#REF!+#REF!+#REF!+I640+#REF!+#REF!+#REF!</f>
        <v>#REF!</v>
      </c>
      <c r="L640" s="667" t="e">
        <f t="shared" si="37"/>
        <v>#REF!</v>
      </c>
      <c r="M640" s="665" t="e">
        <f>#REF!+K640</f>
        <v>#REF!</v>
      </c>
      <c r="N640" s="666" t="e">
        <f t="shared" si="38"/>
        <v>#REF!</v>
      </c>
      <c r="O640" s="672"/>
      <c r="P640" s="668"/>
      <c r="Q640" s="676"/>
      <c r="R640" s="676"/>
    </row>
    <row r="641" spans="1:21" s="677" customFormat="1" ht="25.5" hidden="1" customHeight="1">
      <c r="A641" s="690"/>
      <c r="B641" s="663" t="s">
        <v>1409</v>
      </c>
      <c r="C641" s="675">
        <f>[14]Data!K616</f>
        <v>1879.94</v>
      </c>
      <c r="D641" s="674" t="s">
        <v>264</v>
      </c>
      <c r="E641" s="684"/>
      <c r="F641" s="667">
        <f t="shared" si="41"/>
        <v>0</v>
      </c>
      <c r="G641" s="675"/>
      <c r="H641" s="667">
        <f t="shared" si="42"/>
        <v>0</v>
      </c>
      <c r="I641" s="667"/>
      <c r="J641" s="667"/>
      <c r="K641" s="667" t="e">
        <f>E641+#REF!+#REF!+#REF!+G641+#REF!+#REF!+#REF!+#REF!+#REF!+#REF!+I641+#REF!+#REF!+#REF!</f>
        <v>#REF!</v>
      </c>
      <c r="L641" s="667" t="e">
        <f t="shared" si="37"/>
        <v>#REF!</v>
      </c>
      <c r="M641" s="665" t="e">
        <f>#REF!+K641</f>
        <v>#REF!</v>
      </c>
      <c r="N641" s="666" t="e">
        <f t="shared" si="38"/>
        <v>#REF!</v>
      </c>
      <c r="O641" s="672"/>
      <c r="P641" s="668"/>
      <c r="Q641" s="676"/>
      <c r="R641" s="676"/>
    </row>
    <row r="642" spans="1:21" ht="46.5" customHeight="1">
      <c r="A642" s="662">
        <v>29.8</v>
      </c>
      <c r="B642" s="663" t="s">
        <v>1711</v>
      </c>
      <c r="C642" s="667">
        <f>ROUND([14]Data!K1278,2)</f>
        <v>1237.43</v>
      </c>
      <c r="D642" s="663" t="s">
        <v>37</v>
      </c>
      <c r="E642" s="667"/>
      <c r="F642" s="667">
        <f t="shared" si="41"/>
        <v>0</v>
      </c>
      <c r="G642" s="667"/>
      <c r="H642" s="667">
        <f t="shared" si="42"/>
        <v>0</v>
      </c>
      <c r="I642" s="667"/>
      <c r="J642" s="667"/>
      <c r="K642" s="667" t="e">
        <f>E642+#REF!+#REF!+#REF!+G642+#REF!+#REF!+#REF!+#REF!+#REF!+#REF!+I642+#REF!+#REF!+#REF!</f>
        <v>#REF!</v>
      </c>
      <c r="L642" s="667" t="e">
        <f t="shared" si="37"/>
        <v>#REF!</v>
      </c>
      <c r="M642" s="665" t="e">
        <f>#REF!+K642</f>
        <v>#REF!</v>
      </c>
      <c r="N642" s="666" t="e">
        <f t="shared" si="38"/>
        <v>#REF!</v>
      </c>
      <c r="O642" s="672"/>
      <c r="P642" s="668"/>
      <c r="U642" s="670">
        <f>43.34+32.51+10.84+3.6</f>
        <v>90.289999999999992</v>
      </c>
    </row>
    <row r="643" spans="1:21" s="677" customFormat="1" ht="25.5" hidden="1" customHeight="1">
      <c r="A643" s="662"/>
      <c r="B643" s="663" t="s">
        <v>1712</v>
      </c>
      <c r="C643" s="675">
        <f>ROUND([14]Data!K1264,2)</f>
        <v>1094.29</v>
      </c>
      <c r="D643" s="674" t="s">
        <v>37</v>
      </c>
      <c r="E643" s="675"/>
      <c r="F643" s="667">
        <f t="shared" si="41"/>
        <v>0</v>
      </c>
      <c r="G643" s="675"/>
      <c r="H643" s="667">
        <f t="shared" si="42"/>
        <v>0</v>
      </c>
      <c r="I643" s="667"/>
      <c r="J643" s="667"/>
      <c r="K643" s="667" t="e">
        <f>E643+#REF!+#REF!+#REF!+G643+#REF!+#REF!+#REF!+#REF!+#REF!+#REF!+I643+#REF!+#REF!+#REF!</f>
        <v>#REF!</v>
      </c>
      <c r="L643" s="667" t="e">
        <f t="shared" si="37"/>
        <v>#REF!</v>
      </c>
      <c r="M643" s="665" t="e">
        <f>#REF!+K643</f>
        <v>#REF!</v>
      </c>
      <c r="N643" s="666" t="e">
        <f t="shared" si="38"/>
        <v>#REF!</v>
      </c>
      <c r="O643" s="672"/>
      <c r="P643" s="668"/>
      <c r="Q643" s="676"/>
      <c r="R643" s="676"/>
    </row>
    <row r="644" spans="1:21" ht="56.25" customHeight="1">
      <c r="A644" s="662">
        <v>29.9</v>
      </c>
      <c r="B644" s="663" t="s">
        <v>137</v>
      </c>
      <c r="C644" s="667">
        <f>ROUND([14]Data!K1264,2)</f>
        <v>1094.29</v>
      </c>
      <c r="D644" s="663" t="s">
        <v>37</v>
      </c>
      <c r="E644" s="667"/>
      <c r="F644" s="667">
        <f t="shared" si="41"/>
        <v>0</v>
      </c>
      <c r="G644" s="667"/>
      <c r="H644" s="667">
        <f t="shared" si="42"/>
        <v>0</v>
      </c>
      <c r="I644" s="667"/>
      <c r="J644" s="667"/>
      <c r="K644" s="667" t="e">
        <f>E644+#REF!+#REF!+#REF!+G644+#REF!+#REF!+#REF!+#REF!+#REF!+#REF!+I644+#REF!+#REF!+#REF!</f>
        <v>#REF!</v>
      </c>
      <c r="L644" s="667" t="e">
        <f t="shared" si="37"/>
        <v>#REF!</v>
      </c>
      <c r="M644" s="665" t="e">
        <f>#REF!+K644</f>
        <v>#REF!</v>
      </c>
      <c r="N644" s="666" t="e">
        <f t="shared" si="38"/>
        <v>#REF!</v>
      </c>
      <c r="O644" s="672"/>
      <c r="P644" s="668"/>
      <c r="U644" s="670">
        <f>U642+1685</f>
        <v>1775.29</v>
      </c>
    </row>
    <row r="645" spans="1:21" ht="72.75" hidden="1" customHeight="1">
      <c r="A645" s="673">
        <v>38.4</v>
      </c>
      <c r="B645" s="674" t="s">
        <v>1713</v>
      </c>
      <c r="C645" s="675">
        <f>[14]Data!K2725</f>
        <v>114.39</v>
      </c>
      <c r="D645" s="674" t="s">
        <v>37</v>
      </c>
      <c r="E645" s="675"/>
      <c r="F645" s="667">
        <f t="shared" si="41"/>
        <v>0</v>
      </c>
      <c r="G645" s="675"/>
      <c r="H645" s="667">
        <f t="shared" si="42"/>
        <v>0</v>
      </c>
      <c r="I645" s="667"/>
      <c r="J645" s="667"/>
      <c r="K645" s="667" t="e">
        <f>E645+#REF!+#REF!+#REF!+G645+#REF!+#REF!+#REF!+#REF!+#REF!+#REF!+I645+#REF!+#REF!+#REF!</f>
        <v>#REF!</v>
      </c>
      <c r="L645" s="667" t="e">
        <f t="shared" si="37"/>
        <v>#REF!</v>
      </c>
      <c r="M645" s="665" t="e">
        <f>#REF!+K645</f>
        <v>#REF!</v>
      </c>
      <c r="N645" s="666" t="e">
        <f t="shared" si="38"/>
        <v>#REF!</v>
      </c>
      <c r="O645" s="672"/>
      <c r="P645" s="668"/>
    </row>
    <row r="646" spans="1:21" s="677" customFormat="1" ht="16.5" hidden="1" customHeight="1">
      <c r="A646" s="662">
        <v>38.5</v>
      </c>
      <c r="B646" s="663" t="s">
        <v>1536</v>
      </c>
      <c r="C646" s="675">
        <f>ROUND([14]Data!K1526,2)</f>
        <v>147.27000000000001</v>
      </c>
      <c r="D646" s="674" t="s">
        <v>37</v>
      </c>
      <c r="E646" s="684"/>
      <c r="F646" s="667">
        <f t="shared" si="41"/>
        <v>0</v>
      </c>
      <c r="G646" s="675"/>
      <c r="H646" s="667">
        <f t="shared" si="42"/>
        <v>0</v>
      </c>
      <c r="I646" s="667"/>
      <c r="J646" s="667"/>
      <c r="K646" s="667" t="e">
        <f>E646+#REF!+#REF!+#REF!+G646+#REF!+#REF!+#REF!+#REF!+#REF!+#REF!+I646+#REF!+#REF!+#REF!</f>
        <v>#REF!</v>
      </c>
      <c r="L646" s="667" t="e">
        <f t="shared" ref="L646:L709" si="43">K646*C646</f>
        <v>#REF!</v>
      </c>
      <c r="M646" s="665" t="e">
        <f>#REF!+K646</f>
        <v>#REF!</v>
      </c>
      <c r="N646" s="666" t="e">
        <f t="shared" ref="N646:N709" si="44">M646*C646</f>
        <v>#REF!</v>
      </c>
      <c r="O646" s="672"/>
      <c r="P646" s="668"/>
      <c r="Q646" s="676"/>
      <c r="R646" s="676"/>
    </row>
    <row r="647" spans="1:21" ht="63" customHeight="1">
      <c r="A647" s="662">
        <v>38.6</v>
      </c>
      <c r="B647" s="663" t="s">
        <v>160</v>
      </c>
      <c r="C647" s="667">
        <f>ROUND([14]Data!K2716,2)</f>
        <v>53.72</v>
      </c>
      <c r="D647" s="663" t="s">
        <v>37</v>
      </c>
      <c r="E647" s="699"/>
      <c r="F647" s="667">
        <f t="shared" si="41"/>
        <v>0</v>
      </c>
      <c r="G647" s="667"/>
      <c r="H647" s="667">
        <f t="shared" si="42"/>
        <v>0</v>
      </c>
      <c r="I647" s="667"/>
      <c r="J647" s="667"/>
      <c r="K647" s="667" t="e">
        <f>E647+#REF!+#REF!+#REF!+G647+#REF!+#REF!+#REF!+#REF!+#REF!+#REF!+I647+#REF!+#REF!+#REF!</f>
        <v>#REF!</v>
      </c>
      <c r="L647" s="667" t="e">
        <f t="shared" si="43"/>
        <v>#REF!</v>
      </c>
      <c r="M647" s="665" t="e">
        <f>#REF!+K647</f>
        <v>#REF!</v>
      </c>
      <c r="N647" s="666" t="e">
        <f t="shared" si="44"/>
        <v>#REF!</v>
      </c>
      <c r="O647" s="672"/>
      <c r="P647" s="668"/>
    </row>
    <row r="648" spans="1:21" s="677" customFormat="1" ht="73.5" hidden="1" customHeight="1">
      <c r="A648" s="662">
        <v>42</v>
      </c>
      <c r="B648" s="663" t="s">
        <v>1714</v>
      </c>
      <c r="C648" s="675">
        <f>ROUND([14]Data!K1582,2)</f>
        <v>80140.5</v>
      </c>
      <c r="D648" s="674" t="s">
        <v>58</v>
      </c>
      <c r="E648" s="660"/>
      <c r="F648" s="667">
        <f t="shared" si="41"/>
        <v>0</v>
      </c>
      <c r="G648" s="675"/>
      <c r="H648" s="667">
        <f t="shared" si="42"/>
        <v>0</v>
      </c>
      <c r="I648" s="667"/>
      <c r="J648" s="667"/>
      <c r="K648" s="667" t="e">
        <f>E648+#REF!+#REF!+#REF!+G648+#REF!+#REF!+#REF!+#REF!+#REF!+#REF!+I648+#REF!+#REF!+#REF!</f>
        <v>#REF!</v>
      </c>
      <c r="L648" s="667" t="e">
        <f t="shared" si="43"/>
        <v>#REF!</v>
      </c>
      <c r="M648" s="665" t="e">
        <f>#REF!+K648</f>
        <v>#REF!</v>
      </c>
      <c r="N648" s="666" t="e">
        <f t="shared" si="44"/>
        <v>#REF!</v>
      </c>
      <c r="O648" s="672"/>
      <c r="P648" s="668"/>
      <c r="Q648" s="676"/>
      <c r="R648" s="676"/>
    </row>
    <row r="649" spans="1:21" ht="66" customHeight="1">
      <c r="A649" s="662">
        <v>43</v>
      </c>
      <c r="B649" s="663" t="s">
        <v>1715</v>
      </c>
      <c r="C649" s="667">
        <f>ROUND([14]Data!K1608,2)</f>
        <v>78398</v>
      </c>
      <c r="D649" s="663" t="s">
        <v>58</v>
      </c>
      <c r="E649" s="745">
        <f>'Septic Tank'!$G$94</f>
        <v>0.36684899999999998</v>
      </c>
      <c r="F649" s="667">
        <f t="shared" si="41"/>
        <v>28760.227901999999</v>
      </c>
      <c r="G649" s="667"/>
      <c r="H649" s="667">
        <f t="shared" si="42"/>
        <v>0</v>
      </c>
      <c r="I649" s="667"/>
      <c r="J649" s="667"/>
      <c r="K649" s="671" t="e">
        <f>E649+#REF!+#REF!+#REF!+G649+#REF!+#REF!+#REF!+#REF!+#REF!+#REF!+I649+#REF!+#REF!+#REF!</f>
        <v>#REF!</v>
      </c>
      <c r="L649" s="667" t="e">
        <f t="shared" si="43"/>
        <v>#REF!</v>
      </c>
      <c r="M649" s="744" t="e">
        <f>#REF!+K649</f>
        <v>#REF!</v>
      </c>
      <c r="N649" s="666" t="e">
        <f t="shared" si="44"/>
        <v>#REF!</v>
      </c>
      <c r="O649" s="672"/>
      <c r="P649" s="668"/>
    </row>
    <row r="650" spans="1:21" ht="65.25" customHeight="1">
      <c r="A650" s="662">
        <v>44.6</v>
      </c>
      <c r="B650" s="706" t="s">
        <v>1716</v>
      </c>
      <c r="C650" s="667">
        <f>ROUND([14]Data!K1638,2)</f>
        <v>321.74</v>
      </c>
      <c r="D650" s="663" t="s">
        <v>61</v>
      </c>
      <c r="E650" s="699"/>
      <c r="F650" s="667">
        <f t="shared" si="41"/>
        <v>0</v>
      </c>
      <c r="G650" s="667"/>
      <c r="H650" s="667">
        <f t="shared" si="42"/>
        <v>0</v>
      </c>
      <c r="I650" s="667"/>
      <c r="J650" s="667"/>
      <c r="K650" s="667" t="e">
        <f>E650+#REF!+#REF!+#REF!+G650+#REF!+#REF!+#REF!+#REF!+#REF!+#REF!+I650+#REF!+#REF!+#REF!</f>
        <v>#REF!</v>
      </c>
      <c r="L650" s="667" t="e">
        <f t="shared" si="43"/>
        <v>#REF!</v>
      </c>
      <c r="M650" s="665" t="e">
        <f>#REF!+K650</f>
        <v>#REF!</v>
      </c>
      <c r="N650" s="666" t="e">
        <f t="shared" si="44"/>
        <v>#REF!</v>
      </c>
      <c r="O650" s="672"/>
      <c r="P650" s="668"/>
    </row>
    <row r="651" spans="1:21" ht="47.25" customHeight="1">
      <c r="A651" s="746">
        <v>50.6</v>
      </c>
      <c r="B651" s="747" t="s">
        <v>71</v>
      </c>
      <c r="C651" s="748">
        <f>ROUND([14]Data!K2392,2)</f>
        <v>386.19</v>
      </c>
      <c r="D651" s="663" t="s">
        <v>37</v>
      </c>
      <c r="E651" s="667"/>
      <c r="F651" s="667">
        <f t="shared" si="41"/>
        <v>0</v>
      </c>
      <c r="G651" s="667"/>
      <c r="H651" s="667">
        <f t="shared" si="42"/>
        <v>0</v>
      </c>
      <c r="I651" s="667"/>
      <c r="J651" s="667"/>
      <c r="K651" s="667" t="e">
        <f>E651+#REF!+#REF!+#REF!+G651+#REF!+#REF!+#REF!+#REF!+#REF!+#REF!+I651+#REF!+#REF!+#REF!</f>
        <v>#REF!</v>
      </c>
      <c r="L651" s="667" t="e">
        <f t="shared" si="43"/>
        <v>#REF!</v>
      </c>
      <c r="M651" s="665" t="e">
        <f>#REF!+K651</f>
        <v>#REF!</v>
      </c>
      <c r="N651" s="666" t="e">
        <f t="shared" si="44"/>
        <v>#REF!</v>
      </c>
      <c r="O651" s="672"/>
      <c r="P651" s="668"/>
    </row>
    <row r="652" spans="1:21" ht="63.75" hidden="1" customHeight="1">
      <c r="A652" s="662">
        <v>52.4</v>
      </c>
      <c r="B652" s="704" t="s">
        <v>1717</v>
      </c>
      <c r="C652" s="667">
        <f>ROUND([14]Data!K2767,2)</f>
        <v>205.94</v>
      </c>
      <c r="D652" s="663" t="s">
        <v>61</v>
      </c>
      <c r="E652" s="699"/>
      <c r="F652" s="667">
        <f t="shared" si="41"/>
        <v>0</v>
      </c>
      <c r="G652" s="667"/>
      <c r="H652" s="667">
        <f t="shared" si="42"/>
        <v>0</v>
      </c>
      <c r="I652" s="667"/>
      <c r="J652" s="667"/>
      <c r="K652" s="667" t="e">
        <f>E652+#REF!+#REF!+#REF!+G652+#REF!+#REF!+#REF!+#REF!+#REF!+#REF!+I652+#REF!+#REF!+#REF!</f>
        <v>#REF!</v>
      </c>
      <c r="L652" s="667" t="e">
        <f t="shared" si="43"/>
        <v>#REF!</v>
      </c>
      <c r="M652" s="665" t="e">
        <f>#REF!+K652</f>
        <v>#REF!</v>
      </c>
      <c r="N652" s="666" t="e">
        <f t="shared" si="44"/>
        <v>#REF!</v>
      </c>
      <c r="O652" s="672"/>
      <c r="P652" s="668"/>
    </row>
    <row r="653" spans="1:21" ht="55.5" customHeight="1">
      <c r="A653" s="662">
        <v>53.4</v>
      </c>
      <c r="B653" s="663" t="s">
        <v>38</v>
      </c>
      <c r="C653" s="667">
        <f>[14]Data!K1951</f>
        <v>1846</v>
      </c>
      <c r="D653" s="663" t="s">
        <v>522</v>
      </c>
      <c r="E653" s="699">
        <f>'Septic Tank'!$G$56</f>
        <v>2</v>
      </c>
      <c r="F653" s="667">
        <f t="shared" si="41"/>
        <v>3692</v>
      </c>
      <c r="G653" s="667"/>
      <c r="H653" s="667">
        <f t="shared" si="42"/>
        <v>0</v>
      </c>
      <c r="I653" s="667"/>
      <c r="J653" s="667"/>
      <c r="K653" s="667" t="e">
        <f>E653+#REF!+#REF!+#REF!+G653+#REF!+#REF!+#REF!+#REF!+#REF!+#REF!+I653+#REF!+#REF!+#REF!</f>
        <v>#REF!</v>
      </c>
      <c r="L653" s="667" t="e">
        <f t="shared" si="43"/>
        <v>#REF!</v>
      </c>
      <c r="M653" s="665" t="e">
        <f>#REF!+K653</f>
        <v>#REF!</v>
      </c>
      <c r="N653" s="666" t="e">
        <f t="shared" si="44"/>
        <v>#REF!</v>
      </c>
      <c r="O653" s="672"/>
      <c r="P653" s="668"/>
    </row>
    <row r="654" spans="1:21" ht="45.75" customHeight="1">
      <c r="A654" s="662"/>
      <c r="B654" s="663" t="s">
        <v>1718</v>
      </c>
      <c r="C654" s="667">
        <f>[14]Data!K3569</f>
        <v>3104.82</v>
      </c>
      <c r="D654" s="663" t="s">
        <v>522</v>
      </c>
      <c r="E654" s="749"/>
      <c r="F654" s="667">
        <f t="shared" si="41"/>
        <v>0</v>
      </c>
      <c r="G654" s="667"/>
      <c r="H654" s="667">
        <f t="shared" si="42"/>
        <v>0</v>
      </c>
      <c r="I654" s="667"/>
      <c r="J654" s="667"/>
      <c r="K654" s="667" t="e">
        <f>E654+#REF!+#REF!+#REF!+G654+#REF!+#REF!+#REF!+#REF!+#REF!+#REF!+I654+#REF!+#REF!+#REF!</f>
        <v>#REF!</v>
      </c>
      <c r="L654" s="667" t="e">
        <f t="shared" si="43"/>
        <v>#REF!</v>
      </c>
      <c r="M654" s="665" t="e">
        <f>#REF!+K654</f>
        <v>#REF!</v>
      </c>
      <c r="N654" s="666" t="e">
        <f t="shared" si="44"/>
        <v>#REF!</v>
      </c>
      <c r="O654" s="672"/>
      <c r="P654" s="668"/>
    </row>
    <row r="655" spans="1:21" s="677" customFormat="1" ht="88.5" hidden="1" customHeight="1">
      <c r="A655" s="662">
        <v>54.3</v>
      </c>
      <c r="B655" s="663" t="s">
        <v>1719</v>
      </c>
      <c r="C655" s="675">
        <f>ROUND([14]Data!K1954,2)</f>
        <v>204</v>
      </c>
      <c r="D655" s="674" t="s">
        <v>522</v>
      </c>
      <c r="E655" s="684"/>
      <c r="F655" s="667">
        <f t="shared" si="41"/>
        <v>0</v>
      </c>
      <c r="G655" s="675"/>
      <c r="H655" s="667">
        <f t="shared" si="42"/>
        <v>0</v>
      </c>
      <c r="I655" s="667"/>
      <c r="J655" s="667"/>
      <c r="K655" s="667" t="e">
        <f>E655+#REF!+#REF!+#REF!+G655+#REF!+#REF!+#REF!+#REF!+#REF!+#REF!+I655+#REF!+#REF!+#REF!</f>
        <v>#REF!</v>
      </c>
      <c r="L655" s="667" t="e">
        <f t="shared" si="43"/>
        <v>#REF!</v>
      </c>
      <c r="M655" s="665" t="e">
        <f>#REF!+K655</f>
        <v>#REF!</v>
      </c>
      <c r="N655" s="666" t="e">
        <f t="shared" si="44"/>
        <v>#REF!</v>
      </c>
      <c r="O655" s="672"/>
      <c r="P655" s="668"/>
      <c r="Q655" s="676"/>
      <c r="R655" s="676"/>
    </row>
    <row r="656" spans="1:21" s="677" customFormat="1" ht="72.75" hidden="1" customHeight="1">
      <c r="A656" s="662">
        <v>56.3</v>
      </c>
      <c r="B656" s="663" t="s">
        <v>1167</v>
      </c>
      <c r="C656" s="675">
        <f>ROUND([14]Data!K1977,2)</f>
        <v>3071.23</v>
      </c>
      <c r="D656" s="674" t="s">
        <v>522</v>
      </c>
      <c r="E656" s="684"/>
      <c r="F656" s="667">
        <f t="shared" si="41"/>
        <v>0</v>
      </c>
      <c r="G656" s="675"/>
      <c r="H656" s="667">
        <f t="shared" si="42"/>
        <v>0</v>
      </c>
      <c r="I656" s="667"/>
      <c r="J656" s="667"/>
      <c r="K656" s="667" t="e">
        <f>E656+#REF!+#REF!+#REF!+G656+#REF!+#REF!+#REF!+#REF!+#REF!+#REF!+I656+#REF!+#REF!+#REF!</f>
        <v>#REF!</v>
      </c>
      <c r="L656" s="667" t="e">
        <f t="shared" si="43"/>
        <v>#REF!</v>
      </c>
      <c r="M656" s="665" t="e">
        <f>#REF!+K656</f>
        <v>#REF!</v>
      </c>
      <c r="N656" s="666" t="e">
        <f t="shared" si="44"/>
        <v>#REF!</v>
      </c>
      <c r="O656" s="672"/>
      <c r="P656" s="668"/>
      <c r="Q656" s="676"/>
      <c r="R656" s="676"/>
    </row>
    <row r="657" spans="1:19" s="677" customFormat="1" ht="86.25" hidden="1" customHeight="1">
      <c r="A657" s="662">
        <v>56.4</v>
      </c>
      <c r="B657" s="663" t="s">
        <v>1720</v>
      </c>
      <c r="C657" s="675">
        <f>ROUND([14]Data!K1998,2)</f>
        <v>4786.87</v>
      </c>
      <c r="D657" s="674" t="s">
        <v>522</v>
      </c>
      <c r="E657" s="684"/>
      <c r="F657" s="667">
        <f t="shared" si="41"/>
        <v>0</v>
      </c>
      <c r="G657" s="675"/>
      <c r="H657" s="667">
        <f t="shared" si="42"/>
        <v>0</v>
      </c>
      <c r="I657" s="667"/>
      <c r="J657" s="667"/>
      <c r="K657" s="667" t="e">
        <f>E657+#REF!+#REF!+#REF!+G657+#REF!+#REF!+#REF!+#REF!+#REF!+#REF!+I657+#REF!+#REF!+#REF!</f>
        <v>#REF!</v>
      </c>
      <c r="L657" s="667" t="e">
        <f t="shared" si="43"/>
        <v>#REF!</v>
      </c>
      <c r="M657" s="665" t="e">
        <f>#REF!+K657</f>
        <v>#REF!</v>
      </c>
      <c r="N657" s="666" t="e">
        <f t="shared" si="44"/>
        <v>#REF!</v>
      </c>
      <c r="O657" s="672"/>
      <c r="P657" s="668"/>
      <c r="Q657" s="676"/>
      <c r="R657" s="676"/>
    </row>
    <row r="658" spans="1:19" ht="43.5" customHeight="1">
      <c r="A658" s="662">
        <v>58.3</v>
      </c>
      <c r="B658" s="685" t="s">
        <v>1721</v>
      </c>
      <c r="C658" s="667"/>
      <c r="D658" s="750"/>
      <c r="E658" s="667"/>
      <c r="F658" s="667">
        <f t="shared" si="41"/>
        <v>0</v>
      </c>
      <c r="G658" s="667"/>
      <c r="H658" s="667">
        <f t="shared" si="42"/>
        <v>0</v>
      </c>
      <c r="I658" s="667"/>
      <c r="J658" s="667"/>
      <c r="K658" s="667" t="e">
        <f>E658+#REF!+#REF!+#REF!+G658+#REF!+#REF!+#REF!+#REF!+#REF!+#REF!+I658+#REF!+#REF!+#REF!</f>
        <v>#REF!</v>
      </c>
      <c r="L658" s="667" t="e">
        <f t="shared" si="43"/>
        <v>#REF!</v>
      </c>
      <c r="M658" s="665" t="e">
        <f>#REF!+K658</f>
        <v>#REF!</v>
      </c>
      <c r="N658" s="666" t="e">
        <f t="shared" si="44"/>
        <v>#REF!</v>
      </c>
      <c r="O658" s="668"/>
      <c r="P658" s="668"/>
      <c r="Q658" s="678"/>
      <c r="S658" s="679"/>
    </row>
    <row r="659" spans="1:19" ht="48" customHeight="1">
      <c r="A659" s="662"/>
      <c r="B659" s="663" t="s">
        <v>1572</v>
      </c>
      <c r="C659" s="667">
        <f>ROUND([14]Data!K2063,2)</f>
        <v>657.29</v>
      </c>
      <c r="D659" s="663" t="s">
        <v>61</v>
      </c>
      <c r="E659" s="699"/>
      <c r="F659" s="667">
        <f t="shared" ref="F659:F687" si="45">E659*C659</f>
        <v>0</v>
      </c>
      <c r="G659" s="667"/>
      <c r="H659" s="667">
        <f t="shared" ref="H659:H687" si="46">G659*C659</f>
        <v>0</v>
      </c>
      <c r="I659" s="667"/>
      <c r="J659" s="667"/>
      <c r="K659" s="667" t="e">
        <f>E659+#REF!+#REF!+#REF!+G659+#REF!+#REF!+#REF!+#REF!+#REF!+#REF!+I659+#REF!+#REF!+#REF!</f>
        <v>#REF!</v>
      </c>
      <c r="L659" s="667" t="e">
        <f t="shared" si="43"/>
        <v>#REF!</v>
      </c>
      <c r="M659" s="665" t="e">
        <f>#REF!+K659</f>
        <v>#REF!</v>
      </c>
      <c r="N659" s="666" t="e">
        <f t="shared" si="44"/>
        <v>#REF!</v>
      </c>
      <c r="O659" s="672"/>
      <c r="P659" s="668"/>
    </row>
    <row r="660" spans="1:19" ht="48" customHeight="1">
      <c r="A660" s="667"/>
      <c r="B660" s="663" t="s">
        <v>1573</v>
      </c>
      <c r="C660" s="667">
        <f>ROUND([14]Data!K2087,2)</f>
        <v>541.41999999999996</v>
      </c>
      <c r="D660" s="663" t="s">
        <v>61</v>
      </c>
      <c r="E660" s="699"/>
      <c r="F660" s="667">
        <f t="shared" si="45"/>
        <v>0</v>
      </c>
      <c r="G660" s="667"/>
      <c r="H660" s="667">
        <f t="shared" si="46"/>
        <v>0</v>
      </c>
      <c r="I660" s="667"/>
      <c r="J660" s="667"/>
      <c r="K660" s="667" t="e">
        <f>E660+#REF!+#REF!+#REF!+G660+#REF!+#REF!+#REF!+#REF!+#REF!+#REF!+I660+#REF!+#REF!+#REF!</f>
        <v>#REF!</v>
      </c>
      <c r="L660" s="667" t="e">
        <f t="shared" si="43"/>
        <v>#REF!</v>
      </c>
      <c r="M660" s="665" t="e">
        <f>#REF!+K660</f>
        <v>#REF!</v>
      </c>
      <c r="N660" s="666" t="e">
        <f t="shared" si="44"/>
        <v>#REF!</v>
      </c>
      <c r="O660" s="672"/>
      <c r="P660" s="668"/>
    </row>
    <row r="661" spans="1:19" ht="78.75" customHeight="1">
      <c r="A661" s="662">
        <v>58.4</v>
      </c>
      <c r="B661" s="663" t="s">
        <v>1722</v>
      </c>
      <c r="C661" s="667">
        <f>ROUND([14]Data!K2888,2)</f>
        <v>81.2</v>
      </c>
      <c r="D661" s="750" t="s">
        <v>61</v>
      </c>
      <c r="E661" s="699"/>
      <c r="F661" s="667">
        <f t="shared" si="45"/>
        <v>0</v>
      </c>
      <c r="G661" s="667"/>
      <c r="H661" s="667">
        <f t="shared" si="46"/>
        <v>0</v>
      </c>
      <c r="I661" s="667"/>
      <c r="J661" s="667"/>
      <c r="K661" s="667" t="e">
        <f>E661+#REF!+#REF!+#REF!+G661+#REF!+#REF!+#REF!+#REF!+#REF!+#REF!+I661+#REF!+#REF!+#REF!</f>
        <v>#REF!</v>
      </c>
      <c r="L661" s="667" t="e">
        <f t="shared" si="43"/>
        <v>#REF!</v>
      </c>
      <c r="M661" s="665" t="e">
        <f>#REF!+K661</f>
        <v>#REF!</v>
      </c>
      <c r="N661" s="666" t="e">
        <f t="shared" si="44"/>
        <v>#REF!</v>
      </c>
      <c r="O661" s="672"/>
      <c r="P661" s="668"/>
    </row>
    <row r="662" spans="1:19" ht="61.5" customHeight="1">
      <c r="A662" s="662">
        <v>58.5</v>
      </c>
      <c r="B662" s="663" t="s">
        <v>1723</v>
      </c>
      <c r="C662" s="667">
        <f>ROUND([14]Data!K2098,2)</f>
        <v>450.1</v>
      </c>
      <c r="D662" s="750" t="s">
        <v>522</v>
      </c>
      <c r="E662" s="667">
        <f>'Septic Tank'!$G$88</f>
        <v>1</v>
      </c>
      <c r="F662" s="667">
        <f t="shared" si="45"/>
        <v>450.1</v>
      </c>
      <c r="G662" s="667"/>
      <c r="H662" s="667">
        <f t="shared" si="46"/>
        <v>0</v>
      </c>
      <c r="I662" s="667"/>
      <c r="J662" s="667"/>
      <c r="K662" s="667" t="e">
        <f>E662+#REF!+#REF!+#REF!+G662+#REF!+#REF!+#REF!+#REF!+#REF!+#REF!+I662+#REF!+#REF!+#REF!</f>
        <v>#REF!</v>
      </c>
      <c r="L662" s="667" t="e">
        <f t="shared" si="43"/>
        <v>#REF!</v>
      </c>
      <c r="M662" s="665" t="e">
        <f>#REF!+K662</f>
        <v>#REF!</v>
      </c>
      <c r="N662" s="666" t="e">
        <f t="shared" si="44"/>
        <v>#REF!</v>
      </c>
      <c r="O662" s="672"/>
      <c r="P662" s="668"/>
    </row>
    <row r="663" spans="1:19" ht="92.25" customHeight="1">
      <c r="A663" s="662"/>
      <c r="B663" s="685" t="s">
        <v>1724</v>
      </c>
      <c r="C663" s="667"/>
      <c r="D663" s="750"/>
      <c r="E663" s="667"/>
      <c r="F663" s="667">
        <f t="shared" si="45"/>
        <v>0</v>
      </c>
      <c r="G663" s="667"/>
      <c r="H663" s="667">
        <f t="shared" si="46"/>
        <v>0</v>
      </c>
      <c r="I663" s="667"/>
      <c r="J663" s="667"/>
      <c r="K663" s="667" t="e">
        <f>E663+#REF!+#REF!+#REF!+G663+#REF!+#REF!+#REF!+#REF!+#REF!+#REF!+I663+#REF!+#REF!+#REF!</f>
        <v>#REF!</v>
      </c>
      <c r="L663" s="667" t="e">
        <f t="shared" si="43"/>
        <v>#REF!</v>
      </c>
      <c r="M663" s="665" t="e">
        <f>#REF!+K663</f>
        <v>#REF!</v>
      </c>
      <c r="N663" s="666" t="e">
        <f t="shared" si="44"/>
        <v>#REF!</v>
      </c>
      <c r="O663" s="668"/>
      <c r="P663" s="668"/>
    </row>
    <row r="664" spans="1:19" ht="47.25" customHeight="1">
      <c r="A664" s="662"/>
      <c r="B664" s="663" t="s">
        <v>168</v>
      </c>
      <c r="C664" s="667">
        <f>[14]Data!K2261</f>
        <v>1499.29</v>
      </c>
      <c r="D664" s="751" t="s">
        <v>522</v>
      </c>
      <c r="E664" s="667"/>
      <c r="F664" s="667">
        <f t="shared" si="45"/>
        <v>0</v>
      </c>
      <c r="G664" s="667"/>
      <c r="H664" s="667">
        <f t="shared" si="46"/>
        <v>0</v>
      </c>
      <c r="I664" s="667"/>
      <c r="J664" s="667"/>
      <c r="K664" s="667" t="e">
        <f>E664+#REF!+#REF!+#REF!+G664+#REF!+#REF!+#REF!+#REF!+#REF!+#REF!+I664+#REF!+#REF!+#REF!</f>
        <v>#REF!</v>
      </c>
      <c r="L664" s="667" t="e">
        <f t="shared" si="43"/>
        <v>#REF!</v>
      </c>
      <c r="M664" s="665" t="e">
        <f>#REF!+K664</f>
        <v>#REF!</v>
      </c>
      <c r="N664" s="666" t="e">
        <f t="shared" si="44"/>
        <v>#REF!</v>
      </c>
      <c r="O664" s="672"/>
      <c r="P664" s="668"/>
    </row>
    <row r="665" spans="1:19" ht="47.25" customHeight="1">
      <c r="A665" s="662"/>
      <c r="B665" s="663" t="s">
        <v>170</v>
      </c>
      <c r="C665" s="667">
        <f>[14]Data!K2262</f>
        <v>1503.34</v>
      </c>
      <c r="D665" s="751" t="s">
        <v>522</v>
      </c>
      <c r="E665" s="667"/>
      <c r="F665" s="667">
        <f t="shared" si="45"/>
        <v>0</v>
      </c>
      <c r="G665" s="667"/>
      <c r="H665" s="667">
        <f t="shared" si="46"/>
        <v>0</v>
      </c>
      <c r="I665" s="667"/>
      <c r="J665" s="667"/>
      <c r="K665" s="667" t="e">
        <f>E665+#REF!+#REF!+#REF!+G665+#REF!+#REF!+#REF!+#REF!+#REF!+#REF!+I665+#REF!+#REF!+#REF!</f>
        <v>#REF!</v>
      </c>
      <c r="L665" s="667" t="e">
        <f t="shared" si="43"/>
        <v>#REF!</v>
      </c>
      <c r="M665" s="665" t="e">
        <f>#REF!+K665</f>
        <v>#REF!</v>
      </c>
      <c r="N665" s="666" t="e">
        <f t="shared" si="44"/>
        <v>#REF!</v>
      </c>
      <c r="O665" s="672"/>
      <c r="P665" s="668"/>
    </row>
    <row r="666" spans="1:19" ht="47.25" customHeight="1">
      <c r="A666" s="667"/>
      <c r="B666" s="663" t="s">
        <v>1591</v>
      </c>
      <c r="C666" s="667">
        <f>[14]Data!K2263</f>
        <v>1531.07</v>
      </c>
      <c r="D666" s="751" t="s">
        <v>522</v>
      </c>
      <c r="E666" s="667"/>
      <c r="F666" s="667">
        <f t="shared" si="45"/>
        <v>0</v>
      </c>
      <c r="G666" s="667"/>
      <c r="H666" s="667">
        <f t="shared" si="46"/>
        <v>0</v>
      </c>
      <c r="I666" s="667"/>
      <c r="J666" s="667"/>
      <c r="K666" s="667" t="e">
        <f>E666+#REF!+#REF!+#REF!+G666+#REF!+#REF!+#REF!+#REF!+#REF!+#REF!+I666+#REF!+#REF!+#REF!</f>
        <v>#REF!</v>
      </c>
      <c r="L666" s="667" t="e">
        <f t="shared" si="43"/>
        <v>#REF!</v>
      </c>
      <c r="M666" s="665" t="e">
        <f>#REF!+K666</f>
        <v>#REF!</v>
      </c>
      <c r="N666" s="666" t="e">
        <f t="shared" si="44"/>
        <v>#REF!</v>
      </c>
      <c r="O666" s="672"/>
      <c r="P666" s="668"/>
    </row>
    <row r="667" spans="1:19" ht="90.75" customHeight="1">
      <c r="A667" s="662">
        <v>65.099999999999994</v>
      </c>
      <c r="B667" s="663" t="s">
        <v>1725</v>
      </c>
      <c r="C667" s="667">
        <f>[14]Data!K2264</f>
        <v>1565.5</v>
      </c>
      <c r="D667" s="751" t="s">
        <v>522</v>
      </c>
      <c r="E667" s="667"/>
      <c r="F667" s="667">
        <f t="shared" si="45"/>
        <v>0</v>
      </c>
      <c r="G667" s="667"/>
      <c r="H667" s="667">
        <f t="shared" si="46"/>
        <v>0</v>
      </c>
      <c r="I667" s="667"/>
      <c r="J667" s="667"/>
      <c r="K667" s="667" t="e">
        <f>E667+#REF!+#REF!+#REF!+G667+#REF!+#REF!+#REF!+#REF!+#REF!+#REF!+I667+#REF!+#REF!+#REF!</f>
        <v>#REF!</v>
      </c>
      <c r="L667" s="667" t="e">
        <f t="shared" si="43"/>
        <v>#REF!</v>
      </c>
      <c r="M667" s="665" t="e">
        <f>#REF!+K667</f>
        <v>#REF!</v>
      </c>
      <c r="N667" s="666" t="e">
        <f t="shared" si="44"/>
        <v>#REF!</v>
      </c>
      <c r="O667" s="672"/>
      <c r="P667" s="668"/>
    </row>
    <row r="668" spans="1:19" ht="93" customHeight="1">
      <c r="A668" s="662">
        <v>66.099999999999994</v>
      </c>
      <c r="B668" s="663" t="s">
        <v>1726</v>
      </c>
      <c r="C668" s="667">
        <f>[14]Data!K2265</f>
        <v>2802.19</v>
      </c>
      <c r="D668" s="751" t="s">
        <v>522</v>
      </c>
      <c r="E668" s="667"/>
      <c r="F668" s="667">
        <f t="shared" si="45"/>
        <v>0</v>
      </c>
      <c r="G668" s="667"/>
      <c r="H668" s="667">
        <f t="shared" si="46"/>
        <v>0</v>
      </c>
      <c r="I668" s="667"/>
      <c r="J668" s="667"/>
      <c r="K668" s="667" t="e">
        <f>E668+#REF!+#REF!+#REF!+G668+#REF!+#REF!+#REF!+#REF!+#REF!+#REF!+I668+#REF!+#REF!+#REF!</f>
        <v>#REF!</v>
      </c>
      <c r="L668" s="667" t="e">
        <f t="shared" si="43"/>
        <v>#REF!</v>
      </c>
      <c r="M668" s="665" t="e">
        <f>#REF!+K668</f>
        <v>#REF!</v>
      </c>
      <c r="N668" s="666" t="e">
        <f t="shared" si="44"/>
        <v>#REF!</v>
      </c>
      <c r="O668" s="672"/>
      <c r="P668" s="668"/>
    </row>
    <row r="669" spans="1:19" ht="120.75" customHeight="1">
      <c r="A669" s="662">
        <v>67.099999999999994</v>
      </c>
      <c r="B669" s="663" t="s">
        <v>1727</v>
      </c>
      <c r="C669" s="667">
        <f>[14]Data!K2266</f>
        <v>764.91</v>
      </c>
      <c r="D669" s="751" t="s">
        <v>522</v>
      </c>
      <c r="E669" s="667"/>
      <c r="F669" s="667">
        <f t="shared" si="45"/>
        <v>0</v>
      </c>
      <c r="G669" s="667"/>
      <c r="H669" s="667">
        <f t="shared" si="46"/>
        <v>0</v>
      </c>
      <c r="I669" s="667"/>
      <c r="J669" s="667"/>
      <c r="K669" s="667" t="e">
        <f>E669+#REF!+#REF!+#REF!+G669+#REF!+#REF!+#REF!+#REF!+#REF!+#REF!+I669+#REF!+#REF!+#REF!</f>
        <v>#REF!</v>
      </c>
      <c r="L669" s="667" t="e">
        <f t="shared" si="43"/>
        <v>#REF!</v>
      </c>
      <c r="M669" s="665" t="e">
        <f>#REF!+K669</f>
        <v>#REF!</v>
      </c>
      <c r="N669" s="666" t="e">
        <f t="shared" si="44"/>
        <v>#REF!</v>
      </c>
      <c r="O669" s="672"/>
      <c r="P669" s="668"/>
    </row>
    <row r="670" spans="1:19" ht="114.75" hidden="1" customHeight="1">
      <c r="A670" s="662">
        <v>68.2</v>
      </c>
      <c r="B670" s="663" t="s">
        <v>1728</v>
      </c>
      <c r="C670" s="667">
        <f>[14]Data!K2267</f>
        <v>1041.2</v>
      </c>
      <c r="D670" s="751" t="s">
        <v>522</v>
      </c>
      <c r="E670" s="667"/>
      <c r="F670" s="667">
        <f t="shared" si="45"/>
        <v>0</v>
      </c>
      <c r="G670" s="667"/>
      <c r="H670" s="667">
        <f t="shared" si="46"/>
        <v>0</v>
      </c>
      <c r="I670" s="667"/>
      <c r="J670" s="667"/>
      <c r="K670" s="667" t="e">
        <f>E670+#REF!+#REF!+#REF!+G670+#REF!+#REF!+#REF!+#REF!+#REF!+#REF!+I670+#REF!+#REF!+#REF!</f>
        <v>#REF!</v>
      </c>
      <c r="L670" s="667" t="e">
        <f t="shared" si="43"/>
        <v>#REF!</v>
      </c>
      <c r="M670" s="665" t="e">
        <f>#REF!+K670</f>
        <v>#REF!</v>
      </c>
      <c r="N670" s="666" t="e">
        <f t="shared" si="44"/>
        <v>#REF!</v>
      </c>
      <c r="O670" s="672"/>
      <c r="P670" s="668"/>
    </row>
    <row r="671" spans="1:19" s="677" customFormat="1" ht="60.75" hidden="1" customHeight="1">
      <c r="A671" s="662">
        <v>70.5</v>
      </c>
      <c r="B671" s="663" t="s">
        <v>1729</v>
      </c>
      <c r="C671" s="675">
        <f>[14]Elec.Data!K3781</f>
        <v>501.49</v>
      </c>
      <c r="D671" s="742" t="s">
        <v>522</v>
      </c>
      <c r="E671" s="684"/>
      <c r="F671" s="667">
        <f t="shared" si="45"/>
        <v>0</v>
      </c>
      <c r="G671" s="675"/>
      <c r="H671" s="667">
        <f t="shared" si="46"/>
        <v>0</v>
      </c>
      <c r="I671" s="667"/>
      <c r="J671" s="667"/>
      <c r="K671" s="667" t="e">
        <f>E671+#REF!+#REF!+#REF!+G671+#REF!+#REF!+#REF!+#REF!+#REF!+#REF!+I671+#REF!+#REF!+#REF!</f>
        <v>#REF!</v>
      </c>
      <c r="L671" s="667" t="e">
        <f t="shared" si="43"/>
        <v>#REF!</v>
      </c>
      <c r="M671" s="665" t="e">
        <f>#REF!+K671</f>
        <v>#REF!</v>
      </c>
      <c r="N671" s="666" t="e">
        <f t="shared" si="44"/>
        <v>#REF!</v>
      </c>
      <c r="O671" s="672"/>
      <c r="P671" s="668"/>
      <c r="Q671" s="676"/>
      <c r="R671" s="676"/>
    </row>
    <row r="672" spans="1:19" ht="63.75" customHeight="1">
      <c r="A672" s="667"/>
      <c r="B672" s="663" t="s">
        <v>1730</v>
      </c>
      <c r="C672" s="667">
        <f>ROUND([14]Data!K3038,2)</f>
        <v>1437.4</v>
      </c>
      <c r="D672" s="751" t="s">
        <v>522</v>
      </c>
      <c r="E672" s="667"/>
      <c r="F672" s="667">
        <f t="shared" si="45"/>
        <v>0</v>
      </c>
      <c r="G672" s="667"/>
      <c r="H672" s="667">
        <f t="shared" si="46"/>
        <v>0</v>
      </c>
      <c r="I672" s="667"/>
      <c r="J672" s="667"/>
      <c r="K672" s="667" t="e">
        <f>E672+#REF!+#REF!+#REF!+G672+#REF!+#REF!+#REF!+#REF!+#REF!+#REF!+I672+#REF!+#REF!+#REF!</f>
        <v>#REF!</v>
      </c>
      <c r="L672" s="667" t="e">
        <f t="shared" si="43"/>
        <v>#REF!</v>
      </c>
      <c r="M672" s="665" t="e">
        <f>#REF!+K672</f>
        <v>#REF!</v>
      </c>
      <c r="N672" s="666" t="e">
        <f t="shared" si="44"/>
        <v>#REF!</v>
      </c>
      <c r="O672" s="672"/>
      <c r="P672" s="668"/>
    </row>
    <row r="673" spans="1:18" ht="87" hidden="1" customHeight="1">
      <c r="A673" s="667"/>
      <c r="B673" s="663" t="s">
        <v>1731</v>
      </c>
      <c r="C673" s="667">
        <f>[14]Data!K2283</f>
        <v>246.68</v>
      </c>
      <c r="D673" s="750" t="s">
        <v>61</v>
      </c>
      <c r="E673" s="749"/>
      <c r="F673" s="667">
        <f t="shared" si="45"/>
        <v>0</v>
      </c>
      <c r="G673" s="667"/>
      <c r="H673" s="667">
        <f t="shared" si="46"/>
        <v>0</v>
      </c>
      <c r="I673" s="667"/>
      <c r="J673" s="667"/>
      <c r="K673" s="667" t="e">
        <f>E673+#REF!+#REF!+#REF!+G673+#REF!+#REF!+#REF!+#REF!+#REF!+#REF!+I673+#REF!+#REF!+#REF!</f>
        <v>#REF!</v>
      </c>
      <c r="L673" s="667" t="e">
        <f t="shared" si="43"/>
        <v>#REF!</v>
      </c>
      <c r="M673" s="665" t="e">
        <f>#REF!+K673</f>
        <v>#REF!</v>
      </c>
      <c r="N673" s="666" t="e">
        <f t="shared" si="44"/>
        <v>#REF!</v>
      </c>
      <c r="O673" s="672"/>
      <c r="P673" s="668"/>
    </row>
    <row r="674" spans="1:18" s="677" customFormat="1" ht="84.75" hidden="1" customHeight="1">
      <c r="A674" s="662">
        <v>77.5</v>
      </c>
      <c r="B674" s="663" t="s">
        <v>1732</v>
      </c>
      <c r="C674" s="675">
        <f>ROUND([14]Data!K2282,2)</f>
        <v>192.58</v>
      </c>
      <c r="D674" s="752" t="s">
        <v>61</v>
      </c>
      <c r="E674" s="684"/>
      <c r="F674" s="667">
        <f t="shared" si="45"/>
        <v>0</v>
      </c>
      <c r="G674" s="675"/>
      <c r="H674" s="667">
        <f t="shared" si="46"/>
        <v>0</v>
      </c>
      <c r="I674" s="667"/>
      <c r="J674" s="667"/>
      <c r="K674" s="667" t="e">
        <f>E674+#REF!+#REF!+#REF!+G674+#REF!+#REF!+#REF!+#REF!+#REF!+#REF!+I674+#REF!+#REF!+#REF!</f>
        <v>#REF!</v>
      </c>
      <c r="L674" s="667" t="e">
        <f t="shared" si="43"/>
        <v>#REF!</v>
      </c>
      <c r="M674" s="665" t="e">
        <f>#REF!+K674</f>
        <v>#REF!</v>
      </c>
      <c r="N674" s="666" t="e">
        <f t="shared" si="44"/>
        <v>#REF!</v>
      </c>
      <c r="O674" s="672"/>
      <c r="P674" s="668"/>
      <c r="Q674" s="676"/>
      <c r="R674" s="676"/>
    </row>
    <row r="675" spans="1:18" ht="102" hidden="1" customHeight="1">
      <c r="A675" s="673"/>
      <c r="B675" s="674" t="s">
        <v>1731</v>
      </c>
      <c r="C675" s="675">
        <f>ROUND([14]Data!K2283,2)</f>
        <v>246.68</v>
      </c>
      <c r="D675" s="752" t="s">
        <v>61</v>
      </c>
      <c r="E675" s="684"/>
      <c r="F675" s="667">
        <f t="shared" si="45"/>
        <v>0</v>
      </c>
      <c r="G675" s="675"/>
      <c r="H675" s="667">
        <f t="shared" si="46"/>
        <v>0</v>
      </c>
      <c r="I675" s="667"/>
      <c r="J675" s="667"/>
      <c r="K675" s="667" t="e">
        <f>E675+#REF!+#REF!+#REF!+G675+#REF!+#REF!+#REF!+#REF!+#REF!+#REF!+I675+#REF!+#REF!+#REF!</f>
        <v>#REF!</v>
      </c>
      <c r="L675" s="667" t="e">
        <f t="shared" si="43"/>
        <v>#REF!</v>
      </c>
      <c r="M675" s="665" t="e">
        <f>#REF!+K675</f>
        <v>#REF!</v>
      </c>
      <c r="N675" s="666" t="e">
        <f t="shared" si="44"/>
        <v>#REF!</v>
      </c>
      <c r="O675" s="672"/>
      <c r="P675" s="668"/>
    </row>
    <row r="676" spans="1:18" ht="71.25" customHeight="1">
      <c r="A676" s="662"/>
      <c r="B676" s="663" t="s">
        <v>397</v>
      </c>
      <c r="C676" s="667">
        <f>[14]Elec.Data!K3539</f>
        <v>251.18</v>
      </c>
      <c r="D676" s="750" t="s">
        <v>61</v>
      </c>
      <c r="E676" s="749"/>
      <c r="F676" s="667">
        <f t="shared" si="45"/>
        <v>0</v>
      </c>
      <c r="G676" s="667"/>
      <c r="H676" s="667">
        <f t="shared" si="46"/>
        <v>0</v>
      </c>
      <c r="I676" s="667"/>
      <c r="J676" s="667"/>
      <c r="K676" s="667" t="e">
        <f>E676+#REF!+#REF!+#REF!+G676+#REF!+#REF!+#REF!+#REF!+#REF!+#REF!+I676+#REF!+#REF!+#REF!</f>
        <v>#REF!</v>
      </c>
      <c r="L676" s="667" t="e">
        <f t="shared" si="43"/>
        <v>#REF!</v>
      </c>
      <c r="M676" s="665" t="e">
        <f>#REF!+K676</f>
        <v>#REF!</v>
      </c>
      <c r="N676" s="666" t="e">
        <f t="shared" si="44"/>
        <v>#REF!</v>
      </c>
      <c r="O676" s="672"/>
      <c r="P676" s="668"/>
    </row>
    <row r="677" spans="1:18" s="677" customFormat="1" ht="91.5" customHeight="1">
      <c r="A677" s="662"/>
      <c r="B677" s="663" t="s">
        <v>1134</v>
      </c>
      <c r="C677" s="667">
        <f>C1061</f>
        <v>209.78</v>
      </c>
      <c r="D677" s="753" t="s">
        <v>61</v>
      </c>
      <c r="E677" s="749"/>
      <c r="F677" s="667">
        <f t="shared" si="45"/>
        <v>0</v>
      </c>
      <c r="G677" s="667"/>
      <c r="H677" s="667">
        <f t="shared" si="46"/>
        <v>0</v>
      </c>
      <c r="I677" s="667"/>
      <c r="J677" s="667"/>
      <c r="K677" s="667" t="e">
        <f>E677+#REF!+#REF!+#REF!+G677+#REF!+#REF!+#REF!+#REF!+#REF!+#REF!+I677+#REF!+#REF!+#REF!</f>
        <v>#REF!</v>
      </c>
      <c r="L677" s="667" t="e">
        <f t="shared" si="43"/>
        <v>#REF!</v>
      </c>
      <c r="M677" s="665" t="e">
        <f>#REF!+K677</f>
        <v>#REF!</v>
      </c>
      <c r="N677" s="666" t="e">
        <f t="shared" si="44"/>
        <v>#REF!</v>
      </c>
      <c r="O677" s="672"/>
      <c r="P677" s="668"/>
      <c r="Q677" s="676"/>
      <c r="R677" s="676"/>
    </row>
    <row r="678" spans="1:18" s="677" customFormat="1" ht="59.25" hidden="1" customHeight="1">
      <c r="A678" s="662"/>
      <c r="B678" s="754" t="s">
        <v>1733</v>
      </c>
      <c r="C678" s="675">
        <f>[14]Elec.Data!R3119</f>
        <v>457.07</v>
      </c>
      <c r="D678" s="755" t="s">
        <v>61</v>
      </c>
      <c r="E678" s="684"/>
      <c r="F678" s="667">
        <f t="shared" si="45"/>
        <v>0</v>
      </c>
      <c r="G678" s="675"/>
      <c r="H678" s="667">
        <f t="shared" si="46"/>
        <v>0</v>
      </c>
      <c r="I678" s="667"/>
      <c r="J678" s="667"/>
      <c r="K678" s="667" t="e">
        <f>E678+#REF!+#REF!+#REF!+G678+#REF!+#REF!+#REF!+#REF!+#REF!+#REF!+I678+#REF!+#REF!+#REF!</f>
        <v>#REF!</v>
      </c>
      <c r="L678" s="667" t="e">
        <f t="shared" si="43"/>
        <v>#REF!</v>
      </c>
      <c r="M678" s="665" t="e">
        <f>#REF!+K678</f>
        <v>#REF!</v>
      </c>
      <c r="N678" s="666" t="e">
        <f t="shared" si="44"/>
        <v>#REF!</v>
      </c>
      <c r="O678" s="672"/>
      <c r="P678" s="668"/>
      <c r="Q678" s="676"/>
      <c r="R678" s="676"/>
    </row>
    <row r="679" spans="1:18" s="677" customFormat="1" ht="66.75" hidden="1" customHeight="1">
      <c r="A679" s="662"/>
      <c r="B679" s="754" t="s">
        <v>1734</v>
      </c>
      <c r="C679" s="675">
        <f>[14]Elec.Data!R3133</f>
        <v>589.27</v>
      </c>
      <c r="D679" s="755" t="s">
        <v>61</v>
      </c>
      <c r="E679" s="684"/>
      <c r="F679" s="667">
        <f t="shared" si="45"/>
        <v>0</v>
      </c>
      <c r="G679" s="675"/>
      <c r="H679" s="667">
        <f t="shared" si="46"/>
        <v>0</v>
      </c>
      <c r="I679" s="667"/>
      <c r="J679" s="667"/>
      <c r="K679" s="667" t="e">
        <f>E679+#REF!+#REF!+#REF!+G679+#REF!+#REF!+#REF!+#REF!+#REF!+#REF!+I679+#REF!+#REF!+#REF!</f>
        <v>#REF!</v>
      </c>
      <c r="L679" s="667" t="e">
        <f t="shared" si="43"/>
        <v>#REF!</v>
      </c>
      <c r="M679" s="665" t="e">
        <f>#REF!+K679</f>
        <v>#REF!</v>
      </c>
      <c r="N679" s="666" t="e">
        <f t="shared" si="44"/>
        <v>#REF!</v>
      </c>
      <c r="O679" s="672"/>
      <c r="P679" s="668"/>
      <c r="Q679" s="676"/>
      <c r="R679" s="676"/>
    </row>
    <row r="680" spans="1:18" ht="42" customHeight="1">
      <c r="A680" s="662">
        <v>112.1</v>
      </c>
      <c r="B680" s="663" t="s">
        <v>1735</v>
      </c>
      <c r="C680" s="667">
        <f>[14]Data!K3018</f>
        <v>1942.75</v>
      </c>
      <c r="D680" s="751" t="s">
        <v>522</v>
      </c>
      <c r="E680" s="667"/>
      <c r="F680" s="667">
        <f t="shared" si="45"/>
        <v>0</v>
      </c>
      <c r="G680" s="667"/>
      <c r="H680" s="667">
        <f t="shared" si="46"/>
        <v>0</v>
      </c>
      <c r="I680" s="667"/>
      <c r="J680" s="667"/>
      <c r="K680" s="667" t="e">
        <f>E680+#REF!+#REF!+#REF!+G680+#REF!+#REF!+#REF!+#REF!+#REF!+#REF!+I680+#REF!+#REF!+#REF!</f>
        <v>#REF!</v>
      </c>
      <c r="L680" s="667" t="e">
        <f t="shared" si="43"/>
        <v>#REF!</v>
      </c>
      <c r="M680" s="665" t="e">
        <f>#REF!+K680</f>
        <v>#REF!</v>
      </c>
      <c r="N680" s="666" t="e">
        <f t="shared" si="44"/>
        <v>#REF!</v>
      </c>
      <c r="O680" s="672"/>
      <c r="P680" s="668"/>
    </row>
    <row r="681" spans="1:18" s="677" customFormat="1" ht="46.5" hidden="1" customHeight="1">
      <c r="A681" s="662"/>
      <c r="B681" s="685" t="s">
        <v>1736</v>
      </c>
      <c r="C681" s="675"/>
      <c r="D681" s="742"/>
      <c r="E681" s="684"/>
      <c r="F681" s="667">
        <f t="shared" si="45"/>
        <v>0</v>
      </c>
      <c r="G681" s="675"/>
      <c r="H681" s="667">
        <f t="shared" si="46"/>
        <v>0</v>
      </c>
      <c r="I681" s="667"/>
      <c r="J681" s="667"/>
      <c r="K681" s="667" t="e">
        <f>E681+#REF!+#REF!+#REF!+G681+#REF!+#REF!+#REF!+#REF!+#REF!+#REF!+I681+#REF!+#REF!+#REF!</f>
        <v>#REF!</v>
      </c>
      <c r="L681" s="667" t="e">
        <f t="shared" si="43"/>
        <v>#REF!</v>
      </c>
      <c r="M681" s="665" t="e">
        <f>#REF!+K681</f>
        <v>#REF!</v>
      </c>
      <c r="N681" s="666" t="e">
        <f t="shared" si="44"/>
        <v>#REF!</v>
      </c>
      <c r="O681" s="672"/>
      <c r="P681" s="668"/>
      <c r="Q681" s="676"/>
      <c r="R681" s="676"/>
    </row>
    <row r="682" spans="1:18" s="677" customFormat="1" ht="51.75" hidden="1" customHeight="1">
      <c r="A682" s="662"/>
      <c r="B682" s="663" t="s">
        <v>1737</v>
      </c>
      <c r="C682" s="675">
        <f>ROUND([14]Data!K3031,2)</f>
        <v>130</v>
      </c>
      <c r="D682" s="742" t="s">
        <v>522</v>
      </c>
      <c r="E682" s="675"/>
      <c r="F682" s="667">
        <f t="shared" si="45"/>
        <v>0</v>
      </c>
      <c r="G682" s="675"/>
      <c r="H682" s="667">
        <f t="shared" si="46"/>
        <v>0</v>
      </c>
      <c r="I682" s="667"/>
      <c r="J682" s="667"/>
      <c r="K682" s="667" t="e">
        <f>E682+#REF!+#REF!+#REF!+G682+#REF!+#REF!+#REF!+#REF!+#REF!+#REF!+I682+#REF!+#REF!+#REF!</f>
        <v>#REF!</v>
      </c>
      <c r="L682" s="667" t="e">
        <f t="shared" si="43"/>
        <v>#REF!</v>
      </c>
      <c r="M682" s="665" t="e">
        <f>#REF!+K682</f>
        <v>#REF!</v>
      </c>
      <c r="N682" s="666" t="e">
        <f t="shared" si="44"/>
        <v>#REF!</v>
      </c>
      <c r="O682" s="672"/>
      <c r="P682" s="668"/>
      <c r="Q682" s="676"/>
      <c r="R682" s="676"/>
    </row>
    <row r="683" spans="1:18" s="677" customFormat="1" ht="51.75" hidden="1" customHeight="1">
      <c r="A683" s="662"/>
      <c r="B683" s="663" t="s">
        <v>1738</v>
      </c>
      <c r="C683" s="675">
        <f>[14]Data!K3033</f>
        <v>170</v>
      </c>
      <c r="D683" s="742" t="s">
        <v>522</v>
      </c>
      <c r="E683" s="675"/>
      <c r="F683" s="667">
        <f t="shared" si="45"/>
        <v>0</v>
      </c>
      <c r="G683" s="675"/>
      <c r="H683" s="667">
        <f t="shared" si="46"/>
        <v>0</v>
      </c>
      <c r="I683" s="667"/>
      <c r="J683" s="667"/>
      <c r="K683" s="667" t="e">
        <f>E683+#REF!+#REF!+#REF!+G683+#REF!+#REF!+#REF!+#REF!+#REF!+#REF!+I683+#REF!+#REF!+#REF!</f>
        <v>#REF!</v>
      </c>
      <c r="L683" s="667" t="e">
        <f t="shared" si="43"/>
        <v>#REF!</v>
      </c>
      <c r="M683" s="665" t="e">
        <f>#REF!+K683</f>
        <v>#REF!</v>
      </c>
      <c r="N683" s="666" t="e">
        <f t="shared" si="44"/>
        <v>#REF!</v>
      </c>
      <c r="O683" s="672"/>
      <c r="P683" s="668"/>
      <c r="Q683" s="676"/>
      <c r="R683" s="676"/>
    </row>
    <row r="684" spans="1:18" s="677" customFormat="1" ht="39" hidden="1" customHeight="1">
      <c r="A684" s="662"/>
      <c r="B684" s="663" t="s">
        <v>1739</v>
      </c>
      <c r="C684" s="675">
        <f>[14]Data!K3036</f>
        <v>443</v>
      </c>
      <c r="D684" s="742" t="s">
        <v>522</v>
      </c>
      <c r="E684" s="675"/>
      <c r="F684" s="667">
        <f t="shared" si="45"/>
        <v>0</v>
      </c>
      <c r="G684" s="675"/>
      <c r="H684" s="667">
        <f t="shared" si="46"/>
        <v>0</v>
      </c>
      <c r="I684" s="667"/>
      <c r="J684" s="667"/>
      <c r="K684" s="667" t="e">
        <f>E684+#REF!+#REF!+#REF!+G684+#REF!+#REF!+#REF!+#REF!+#REF!+#REF!+I684+#REF!+#REF!+#REF!</f>
        <v>#REF!</v>
      </c>
      <c r="L684" s="667" t="e">
        <f t="shared" si="43"/>
        <v>#REF!</v>
      </c>
      <c r="M684" s="665" t="e">
        <f>#REF!+K684</f>
        <v>#REF!</v>
      </c>
      <c r="N684" s="666" t="e">
        <f t="shared" si="44"/>
        <v>#REF!</v>
      </c>
      <c r="O684" s="672"/>
      <c r="P684" s="668"/>
      <c r="Q684" s="676"/>
      <c r="R684" s="676"/>
    </row>
    <row r="685" spans="1:18" s="677" customFormat="1" ht="67.5" customHeight="1">
      <c r="A685" s="662">
        <v>44.2</v>
      </c>
      <c r="B685" s="685" t="s">
        <v>1740</v>
      </c>
      <c r="C685" s="667"/>
      <c r="D685" s="751"/>
      <c r="E685" s="749"/>
      <c r="F685" s="667">
        <f t="shared" si="45"/>
        <v>0</v>
      </c>
      <c r="G685" s="667"/>
      <c r="H685" s="667">
        <f t="shared" si="46"/>
        <v>0</v>
      </c>
      <c r="I685" s="667"/>
      <c r="J685" s="667"/>
      <c r="K685" s="667" t="e">
        <f>E685+#REF!+#REF!+#REF!+G685+#REF!+#REF!+#REF!+#REF!+#REF!+#REF!+I685+#REF!+#REF!+#REF!</f>
        <v>#REF!</v>
      </c>
      <c r="L685" s="667" t="e">
        <f t="shared" si="43"/>
        <v>#REF!</v>
      </c>
      <c r="M685" s="665" t="e">
        <f>#REF!+K685</f>
        <v>#REF!</v>
      </c>
      <c r="N685" s="666" t="e">
        <f t="shared" si="44"/>
        <v>#REF!</v>
      </c>
      <c r="O685" s="668"/>
      <c r="P685" s="668"/>
      <c r="Q685" s="676"/>
      <c r="R685" s="676"/>
    </row>
    <row r="686" spans="1:18" ht="48.75" customHeight="1">
      <c r="A686" s="662"/>
      <c r="B686" s="663" t="s">
        <v>1741</v>
      </c>
      <c r="C686" s="667">
        <f>[14]Data!R2350</f>
        <v>1968.19</v>
      </c>
      <c r="D686" s="751" t="s">
        <v>522</v>
      </c>
      <c r="E686" s="667"/>
      <c r="F686" s="667">
        <f t="shared" si="45"/>
        <v>0</v>
      </c>
      <c r="G686" s="667"/>
      <c r="H686" s="667">
        <f t="shared" si="46"/>
        <v>0</v>
      </c>
      <c r="I686" s="667"/>
      <c r="J686" s="667"/>
      <c r="K686" s="667" t="e">
        <f>E686+#REF!+#REF!+#REF!+G686+#REF!+#REF!+#REF!+#REF!+#REF!+#REF!+I686+#REF!+#REF!+#REF!</f>
        <v>#REF!</v>
      </c>
      <c r="L686" s="667" t="e">
        <f t="shared" si="43"/>
        <v>#REF!</v>
      </c>
      <c r="M686" s="665" t="e">
        <f>#REF!+K686</f>
        <v>#REF!</v>
      </c>
      <c r="N686" s="666" t="e">
        <f t="shared" si="44"/>
        <v>#REF!</v>
      </c>
      <c r="O686" s="672"/>
      <c r="P686" s="668"/>
    </row>
    <row r="687" spans="1:18" ht="48.75" customHeight="1">
      <c r="A687" s="662"/>
      <c r="B687" s="663" t="s">
        <v>1742</v>
      </c>
      <c r="C687" s="667">
        <f>[14]Data!R2357</f>
        <v>450.99</v>
      </c>
      <c r="D687" s="751" t="s">
        <v>61</v>
      </c>
      <c r="E687" s="667"/>
      <c r="F687" s="667">
        <f t="shared" si="45"/>
        <v>0</v>
      </c>
      <c r="G687" s="667"/>
      <c r="H687" s="667">
        <f t="shared" si="46"/>
        <v>0</v>
      </c>
      <c r="I687" s="667"/>
      <c r="J687" s="667"/>
      <c r="K687" s="667" t="e">
        <f>E687+#REF!+#REF!+#REF!+G687+#REF!+#REF!+#REF!+#REF!+#REF!+#REF!+I687+#REF!+#REF!+#REF!</f>
        <v>#REF!</v>
      </c>
      <c r="L687" s="667" t="e">
        <f t="shared" si="43"/>
        <v>#REF!</v>
      </c>
      <c r="M687" s="665" t="e">
        <f>#REF!+K687</f>
        <v>#REF!</v>
      </c>
      <c r="N687" s="666" t="e">
        <f t="shared" si="44"/>
        <v>#REF!</v>
      </c>
      <c r="O687" s="672"/>
      <c r="P687" s="668"/>
    </row>
    <row r="688" spans="1:18" ht="79.900000000000006" customHeight="1">
      <c r="A688" s="662"/>
      <c r="B688" s="663" t="s">
        <v>1743</v>
      </c>
      <c r="C688" s="667">
        <f>[14]Data!R2044</f>
        <v>1297.5899999999999</v>
      </c>
      <c r="D688" s="751" t="s">
        <v>522</v>
      </c>
      <c r="E688" s="667"/>
      <c r="F688" s="667"/>
      <c r="G688" s="667"/>
      <c r="H688" s="667"/>
      <c r="I688" s="667"/>
      <c r="J688" s="667"/>
      <c r="K688" s="667" t="e">
        <f>E688+#REF!+#REF!+#REF!+G688+#REF!+#REF!+#REF!+#REF!+#REF!+#REF!+I688+#REF!+#REF!+#REF!</f>
        <v>#REF!</v>
      </c>
      <c r="L688" s="667" t="e">
        <f t="shared" si="43"/>
        <v>#REF!</v>
      </c>
      <c r="M688" s="665" t="e">
        <f>#REF!+K688</f>
        <v>#REF!</v>
      </c>
      <c r="N688" s="666" t="e">
        <f t="shared" si="44"/>
        <v>#REF!</v>
      </c>
      <c r="O688" s="672"/>
      <c r="P688" s="668"/>
    </row>
    <row r="689" spans="1:18" s="677" customFormat="1" ht="45.75" hidden="1" customHeight="1">
      <c r="A689" s="662">
        <v>257.10000000000002</v>
      </c>
      <c r="B689" s="663" t="s">
        <v>1744</v>
      </c>
      <c r="C689" s="675">
        <f>ROUND([14]Data!K2703,2)</f>
        <v>239.99</v>
      </c>
      <c r="D689" s="742" t="s">
        <v>61</v>
      </c>
      <c r="E689" s="684"/>
      <c r="F689" s="667">
        <f t="shared" ref="F689:F707" si="47">E689*C689</f>
        <v>0</v>
      </c>
      <c r="G689" s="675"/>
      <c r="H689" s="667">
        <f t="shared" ref="H689:H707" si="48">G689*C689</f>
        <v>0</v>
      </c>
      <c r="I689" s="667"/>
      <c r="J689" s="667"/>
      <c r="K689" s="667" t="e">
        <f>E689+#REF!+#REF!+#REF!+G689+#REF!+#REF!+#REF!+#REF!+#REF!+#REF!+I689+#REF!+#REF!+#REF!</f>
        <v>#REF!</v>
      </c>
      <c r="L689" s="667" t="e">
        <f t="shared" si="43"/>
        <v>#REF!</v>
      </c>
      <c r="M689" s="665" t="e">
        <f>#REF!+K689</f>
        <v>#REF!</v>
      </c>
      <c r="N689" s="666" t="e">
        <f t="shared" si="44"/>
        <v>#REF!</v>
      </c>
      <c r="O689" s="672"/>
      <c r="P689" s="668"/>
      <c r="Q689" s="676"/>
      <c r="R689" s="676"/>
    </row>
    <row r="690" spans="1:18" ht="48.75" customHeight="1">
      <c r="A690" s="662">
        <v>344.2</v>
      </c>
      <c r="B690" s="663" t="s">
        <v>1139</v>
      </c>
      <c r="C690" s="667">
        <f>ROUND([14]Data!K3014,2)</f>
        <v>379.4</v>
      </c>
      <c r="D690" s="751" t="s">
        <v>522</v>
      </c>
      <c r="E690" s="667"/>
      <c r="F690" s="667">
        <f t="shared" si="47"/>
        <v>0</v>
      </c>
      <c r="G690" s="667"/>
      <c r="H690" s="667">
        <f t="shared" si="48"/>
        <v>0</v>
      </c>
      <c r="I690" s="667"/>
      <c r="J690" s="667"/>
      <c r="K690" s="667" t="e">
        <f>E690+#REF!+#REF!+#REF!+G690+#REF!+#REF!+#REF!+#REF!+#REF!+#REF!+I690+#REF!+#REF!+#REF!</f>
        <v>#REF!</v>
      </c>
      <c r="L690" s="667" t="e">
        <f t="shared" si="43"/>
        <v>#REF!</v>
      </c>
      <c r="M690" s="665" t="e">
        <f>#REF!+K690</f>
        <v>#REF!</v>
      </c>
      <c r="N690" s="666" t="e">
        <f t="shared" si="44"/>
        <v>#REF!</v>
      </c>
      <c r="O690" s="672"/>
      <c r="P690" s="668"/>
    </row>
    <row r="691" spans="1:18" ht="48.75" customHeight="1">
      <c r="A691" s="700">
        <v>383</v>
      </c>
      <c r="B691" s="663" t="s">
        <v>1745</v>
      </c>
      <c r="C691" s="667">
        <f>[14]Data!C764</f>
        <v>1010</v>
      </c>
      <c r="D691" s="663" t="s">
        <v>522</v>
      </c>
      <c r="E691" s="699"/>
      <c r="F691" s="667">
        <f t="shared" si="47"/>
        <v>0</v>
      </c>
      <c r="G691" s="667"/>
      <c r="H691" s="667">
        <f t="shared" si="48"/>
        <v>0</v>
      </c>
      <c r="I691" s="667"/>
      <c r="J691" s="667"/>
      <c r="K691" s="667" t="e">
        <f>E691+#REF!+#REF!+#REF!+G691+#REF!+#REF!+#REF!+#REF!+#REF!+#REF!+I691+#REF!+#REF!+#REF!</f>
        <v>#REF!</v>
      </c>
      <c r="L691" s="667" t="e">
        <f t="shared" si="43"/>
        <v>#REF!</v>
      </c>
      <c r="M691" s="665" t="e">
        <f>#REF!+K691</f>
        <v>#REF!</v>
      </c>
      <c r="N691" s="666" t="e">
        <f t="shared" si="44"/>
        <v>#REF!</v>
      </c>
      <c r="O691" s="672"/>
      <c r="P691" s="668"/>
    </row>
    <row r="692" spans="1:18" s="677" customFormat="1" ht="44.25" hidden="1" customHeight="1">
      <c r="A692" s="662">
        <v>383.1</v>
      </c>
      <c r="B692" s="663" t="s">
        <v>1746</v>
      </c>
      <c r="C692" s="675">
        <v>235</v>
      </c>
      <c r="D692" s="742" t="s">
        <v>61</v>
      </c>
      <c r="E692" s="684"/>
      <c r="F692" s="667">
        <f t="shared" si="47"/>
        <v>0</v>
      </c>
      <c r="G692" s="675"/>
      <c r="H692" s="667">
        <f t="shared" si="48"/>
        <v>0</v>
      </c>
      <c r="I692" s="667"/>
      <c r="J692" s="667"/>
      <c r="K692" s="667" t="e">
        <f>E692+#REF!+#REF!+#REF!+G692+#REF!+#REF!+#REF!+#REF!+#REF!+#REF!+I692+#REF!+#REF!+#REF!</f>
        <v>#REF!</v>
      </c>
      <c r="L692" s="667" t="e">
        <f t="shared" si="43"/>
        <v>#REF!</v>
      </c>
      <c r="M692" s="665" t="e">
        <f>#REF!+K692</f>
        <v>#REF!</v>
      </c>
      <c r="N692" s="666" t="e">
        <f t="shared" si="44"/>
        <v>#REF!</v>
      </c>
      <c r="O692" s="672"/>
      <c r="P692" s="668"/>
      <c r="Q692" s="676"/>
      <c r="R692" s="676"/>
    </row>
    <row r="693" spans="1:18" s="677" customFormat="1" ht="45" hidden="1" customHeight="1">
      <c r="A693" s="662"/>
      <c r="B693" s="663" t="s">
        <v>1747</v>
      </c>
      <c r="C693" s="675">
        <f>[14]Data!R1912</f>
        <v>273.74</v>
      </c>
      <c r="D693" s="742"/>
      <c r="E693" s="684"/>
      <c r="F693" s="667">
        <f t="shared" si="47"/>
        <v>0</v>
      </c>
      <c r="G693" s="675"/>
      <c r="H693" s="667">
        <f t="shared" si="48"/>
        <v>0</v>
      </c>
      <c r="I693" s="667"/>
      <c r="J693" s="667"/>
      <c r="K693" s="667" t="e">
        <f>E693+#REF!+#REF!+#REF!+G693+#REF!+#REF!+#REF!+#REF!+#REF!+#REF!+I693+#REF!+#REF!+#REF!</f>
        <v>#REF!</v>
      </c>
      <c r="L693" s="667" t="e">
        <f t="shared" si="43"/>
        <v>#REF!</v>
      </c>
      <c r="M693" s="665" t="e">
        <f>#REF!+K693</f>
        <v>#REF!</v>
      </c>
      <c r="N693" s="666" t="e">
        <f t="shared" si="44"/>
        <v>#REF!</v>
      </c>
      <c r="O693" s="672"/>
      <c r="P693" s="668"/>
      <c r="Q693" s="676"/>
      <c r="R693" s="676"/>
    </row>
    <row r="694" spans="1:18" ht="48.75" hidden="1" customHeight="1">
      <c r="A694" s="700">
        <v>384</v>
      </c>
      <c r="B694" s="663" t="s">
        <v>1748</v>
      </c>
      <c r="C694" s="667">
        <f>[14]Data!K3046</f>
        <v>1602.5</v>
      </c>
      <c r="D694" s="753" t="s">
        <v>522</v>
      </c>
      <c r="E694" s="666"/>
      <c r="F694" s="667">
        <f t="shared" si="47"/>
        <v>0</v>
      </c>
      <c r="G694" s="667"/>
      <c r="H694" s="667">
        <f t="shared" si="48"/>
        <v>0</v>
      </c>
      <c r="I694" s="667"/>
      <c r="J694" s="667"/>
      <c r="K694" s="667" t="e">
        <f>E694+#REF!+#REF!+#REF!+G694+#REF!+#REF!+#REF!+#REF!+#REF!+#REF!+I694+#REF!+#REF!+#REF!</f>
        <v>#REF!</v>
      </c>
      <c r="L694" s="667" t="e">
        <f t="shared" si="43"/>
        <v>#REF!</v>
      </c>
      <c r="M694" s="665" t="e">
        <f>#REF!+K694</f>
        <v>#REF!</v>
      </c>
      <c r="N694" s="666" t="e">
        <f t="shared" si="44"/>
        <v>#REF!</v>
      </c>
      <c r="O694" s="672"/>
      <c r="P694" s="668"/>
    </row>
    <row r="695" spans="1:18" s="677" customFormat="1" ht="33.75" hidden="1" customHeight="1">
      <c r="A695" s="700">
        <v>385</v>
      </c>
      <c r="B695" s="663" t="s">
        <v>1749</v>
      </c>
      <c r="C695" s="675">
        <f>ROUND([14]Data!K2690,2)</f>
        <v>762.6</v>
      </c>
      <c r="D695" s="674" t="s">
        <v>522</v>
      </c>
      <c r="E695" s="684"/>
      <c r="F695" s="667">
        <f t="shared" si="47"/>
        <v>0</v>
      </c>
      <c r="G695" s="675"/>
      <c r="H695" s="667">
        <f t="shared" si="48"/>
        <v>0</v>
      </c>
      <c r="I695" s="667"/>
      <c r="J695" s="667"/>
      <c r="K695" s="667" t="e">
        <f>E695+#REF!+#REF!+#REF!+G695+#REF!+#REF!+#REF!+#REF!+#REF!+#REF!+I695+#REF!+#REF!+#REF!</f>
        <v>#REF!</v>
      </c>
      <c r="L695" s="667" t="e">
        <f t="shared" si="43"/>
        <v>#REF!</v>
      </c>
      <c r="M695" s="665" t="e">
        <f>#REF!+K695</f>
        <v>#REF!</v>
      </c>
      <c r="N695" s="666" t="e">
        <f t="shared" si="44"/>
        <v>#REF!</v>
      </c>
      <c r="O695" s="672"/>
      <c r="P695" s="668"/>
      <c r="Q695" s="676"/>
      <c r="R695" s="676"/>
    </row>
    <row r="696" spans="1:18" s="677" customFormat="1" ht="42" hidden="1" customHeight="1">
      <c r="A696" s="662">
        <v>238.1</v>
      </c>
      <c r="B696" s="663" t="s">
        <v>1750</v>
      </c>
      <c r="C696" s="675">
        <f>ROUND([14]Data!K2778,2)</f>
        <v>2595.25</v>
      </c>
      <c r="D696" s="755" t="s">
        <v>58</v>
      </c>
      <c r="E696" s="701"/>
      <c r="F696" s="667">
        <f t="shared" si="47"/>
        <v>0</v>
      </c>
      <c r="G696" s="675"/>
      <c r="H696" s="667">
        <f t="shared" si="48"/>
        <v>0</v>
      </c>
      <c r="I696" s="667"/>
      <c r="J696" s="667"/>
      <c r="K696" s="667" t="e">
        <f>E696+#REF!+#REF!+#REF!+G696+#REF!+#REF!+#REF!+#REF!+#REF!+#REF!+I696+#REF!+#REF!+#REF!</f>
        <v>#REF!</v>
      </c>
      <c r="L696" s="667" t="e">
        <f t="shared" si="43"/>
        <v>#REF!</v>
      </c>
      <c r="M696" s="665" t="e">
        <f>#REF!+K696</f>
        <v>#REF!</v>
      </c>
      <c r="N696" s="666" t="e">
        <f t="shared" si="44"/>
        <v>#REF!</v>
      </c>
      <c r="O696" s="672"/>
      <c r="P696" s="668"/>
      <c r="Q696" s="676"/>
      <c r="R696" s="676"/>
    </row>
    <row r="697" spans="1:18" ht="58.5" customHeight="1">
      <c r="A697" s="662">
        <v>71.2</v>
      </c>
      <c r="B697" s="663" t="s">
        <v>1181</v>
      </c>
      <c r="C697" s="667">
        <f>[14]Elec.Data!K3210</f>
        <v>2083.67</v>
      </c>
      <c r="D697" s="753" t="s">
        <v>522</v>
      </c>
      <c r="E697" s="699"/>
      <c r="F697" s="667">
        <f t="shared" si="47"/>
        <v>0</v>
      </c>
      <c r="G697" s="667"/>
      <c r="H697" s="667">
        <f t="shared" si="48"/>
        <v>0</v>
      </c>
      <c r="I697" s="667"/>
      <c r="J697" s="667"/>
      <c r="K697" s="667" t="e">
        <f>E697+#REF!+#REF!+#REF!+G697+#REF!+#REF!+#REF!+#REF!+#REF!+#REF!+I697+#REF!+#REF!+#REF!</f>
        <v>#REF!</v>
      </c>
      <c r="L697" s="667" t="e">
        <f t="shared" si="43"/>
        <v>#REF!</v>
      </c>
      <c r="M697" s="665" t="e">
        <f>#REF!+K697</f>
        <v>#REF!</v>
      </c>
      <c r="N697" s="666" t="e">
        <f t="shared" si="44"/>
        <v>#REF!</v>
      </c>
      <c r="O697" s="672"/>
      <c r="P697" s="668"/>
    </row>
    <row r="698" spans="1:18" ht="47.25" customHeight="1">
      <c r="A698" s="662">
        <v>80.099999999999994</v>
      </c>
      <c r="B698" s="663" t="s">
        <v>1751</v>
      </c>
      <c r="C698" s="667">
        <f>C1043</f>
        <v>1242.21</v>
      </c>
      <c r="D698" s="753" t="s">
        <v>522</v>
      </c>
      <c r="E698" s="699"/>
      <c r="F698" s="667">
        <f t="shared" si="47"/>
        <v>0</v>
      </c>
      <c r="G698" s="667"/>
      <c r="H698" s="667">
        <f t="shared" si="48"/>
        <v>0</v>
      </c>
      <c r="I698" s="667"/>
      <c r="J698" s="667"/>
      <c r="K698" s="667" t="e">
        <f>E698+#REF!+#REF!+#REF!+G698+#REF!+#REF!+#REF!+#REF!+#REF!+#REF!+I698+#REF!+#REF!+#REF!</f>
        <v>#REF!</v>
      </c>
      <c r="L698" s="667" t="e">
        <f t="shared" si="43"/>
        <v>#REF!</v>
      </c>
      <c r="M698" s="665" t="e">
        <f>#REF!+K698</f>
        <v>#REF!</v>
      </c>
      <c r="N698" s="666" t="e">
        <f t="shared" si="44"/>
        <v>#REF!</v>
      </c>
      <c r="O698" s="672"/>
      <c r="P698" s="668"/>
    </row>
    <row r="699" spans="1:18" s="677" customFormat="1" ht="39.75" customHeight="1">
      <c r="A699" s="662"/>
      <c r="B699" s="663" t="s">
        <v>1752</v>
      </c>
      <c r="C699" s="675">
        <f>[14]Elec.Data!K3419</f>
        <v>776.68</v>
      </c>
      <c r="D699" s="755" t="s">
        <v>522</v>
      </c>
      <c r="E699" s="684"/>
      <c r="F699" s="667">
        <f t="shared" si="47"/>
        <v>0</v>
      </c>
      <c r="G699" s="675"/>
      <c r="H699" s="667">
        <f t="shared" si="48"/>
        <v>0</v>
      </c>
      <c r="I699" s="667"/>
      <c r="J699" s="667"/>
      <c r="K699" s="667" t="e">
        <f>E699+#REF!+#REF!+#REF!+G699+#REF!+#REF!+#REF!+#REF!+#REF!+#REF!+I699+#REF!+#REF!+#REF!</f>
        <v>#REF!</v>
      </c>
      <c r="L699" s="667" t="e">
        <f t="shared" si="43"/>
        <v>#REF!</v>
      </c>
      <c r="M699" s="665" t="e">
        <f>#REF!+K699</f>
        <v>#REF!</v>
      </c>
      <c r="N699" s="666" t="e">
        <f t="shared" si="44"/>
        <v>#REF!</v>
      </c>
      <c r="O699" s="672"/>
      <c r="P699" s="668"/>
      <c r="Q699" s="676"/>
      <c r="R699" s="676"/>
    </row>
    <row r="700" spans="1:18" s="677" customFormat="1" ht="39.75" customHeight="1">
      <c r="A700" s="662"/>
      <c r="B700" s="663" t="s">
        <v>1753</v>
      </c>
      <c r="C700" s="675">
        <f>[14]Elec.Data!K3400</f>
        <v>508.26</v>
      </c>
      <c r="D700" s="755" t="s">
        <v>522</v>
      </c>
      <c r="E700" s="684"/>
      <c r="F700" s="667">
        <f t="shared" si="47"/>
        <v>0</v>
      </c>
      <c r="G700" s="675"/>
      <c r="H700" s="667">
        <f t="shared" si="48"/>
        <v>0</v>
      </c>
      <c r="I700" s="667"/>
      <c r="J700" s="667"/>
      <c r="K700" s="667" t="e">
        <f>E700+#REF!+#REF!+#REF!+G700+#REF!+#REF!+#REF!+#REF!+#REF!+#REF!+I700+#REF!+#REF!+#REF!</f>
        <v>#REF!</v>
      </c>
      <c r="L700" s="667" t="e">
        <f t="shared" si="43"/>
        <v>#REF!</v>
      </c>
      <c r="M700" s="665" t="e">
        <f>#REF!+K700</f>
        <v>#REF!</v>
      </c>
      <c r="N700" s="666" t="e">
        <f t="shared" si="44"/>
        <v>#REF!</v>
      </c>
      <c r="O700" s="672"/>
      <c r="P700" s="668"/>
      <c r="Q700" s="676"/>
      <c r="R700" s="676"/>
    </row>
    <row r="701" spans="1:18" ht="45.75" customHeight="1">
      <c r="A701" s="662">
        <v>87.1</v>
      </c>
      <c r="B701" s="663" t="str">
        <f>B1077</f>
        <v>Supplying and delivery of Three phase ELCB/RCCB</v>
      </c>
      <c r="C701" s="667">
        <f>[14]Elec.Data!K3468</f>
        <v>2972.1</v>
      </c>
      <c r="D701" s="753" t="s">
        <v>522</v>
      </c>
      <c r="E701" s="699"/>
      <c r="F701" s="667">
        <f t="shared" si="47"/>
        <v>0</v>
      </c>
      <c r="G701" s="667"/>
      <c r="H701" s="667">
        <f t="shared" si="48"/>
        <v>0</v>
      </c>
      <c r="I701" s="667"/>
      <c r="J701" s="667"/>
      <c r="K701" s="667" t="e">
        <f>E701+#REF!+#REF!+#REF!+G701+#REF!+#REF!+#REF!+#REF!+#REF!+#REF!+I701+#REF!+#REF!+#REF!</f>
        <v>#REF!</v>
      </c>
      <c r="L701" s="667" t="e">
        <f t="shared" si="43"/>
        <v>#REF!</v>
      </c>
      <c r="M701" s="665" t="e">
        <f>#REF!+K701</f>
        <v>#REF!</v>
      </c>
      <c r="N701" s="666" t="e">
        <f t="shared" si="44"/>
        <v>#REF!</v>
      </c>
      <c r="O701" s="672"/>
      <c r="P701" s="668"/>
    </row>
    <row r="702" spans="1:18" s="677" customFormat="1" ht="46.5" customHeight="1">
      <c r="A702" s="662"/>
      <c r="B702" s="663" t="s">
        <v>1754</v>
      </c>
      <c r="C702" s="675">
        <f>C1080</f>
        <v>165</v>
      </c>
      <c r="D702" s="755" t="s">
        <v>61</v>
      </c>
      <c r="E702" s="684"/>
      <c r="F702" s="667">
        <f t="shared" si="47"/>
        <v>0</v>
      </c>
      <c r="G702" s="675"/>
      <c r="H702" s="667">
        <f t="shared" si="48"/>
        <v>0</v>
      </c>
      <c r="I702" s="667"/>
      <c r="J702" s="667"/>
      <c r="K702" s="667" t="e">
        <f>E702+#REF!+#REF!+#REF!+G702+#REF!+#REF!+#REF!+#REF!+#REF!+#REF!+I702+#REF!+#REF!+#REF!</f>
        <v>#REF!</v>
      </c>
      <c r="L702" s="667" t="e">
        <f t="shared" si="43"/>
        <v>#REF!</v>
      </c>
      <c r="M702" s="665" t="e">
        <f>#REF!+K702</f>
        <v>#REF!</v>
      </c>
      <c r="N702" s="666" t="e">
        <f t="shared" si="44"/>
        <v>#REF!</v>
      </c>
      <c r="O702" s="672"/>
      <c r="P702" s="668"/>
      <c r="Q702" s="676"/>
      <c r="R702" s="676"/>
    </row>
    <row r="703" spans="1:18" ht="62.25" customHeight="1">
      <c r="A703" s="662"/>
      <c r="B703" s="663" t="s">
        <v>1755</v>
      </c>
      <c r="C703" s="667">
        <f>[14]Data!R1326</f>
        <v>206.91</v>
      </c>
      <c r="D703" s="753" t="s">
        <v>37</v>
      </c>
      <c r="E703" s="690"/>
      <c r="F703" s="667">
        <f t="shared" si="47"/>
        <v>0</v>
      </c>
      <c r="G703" s="667"/>
      <c r="H703" s="667">
        <f t="shared" si="48"/>
        <v>0</v>
      </c>
      <c r="I703" s="667"/>
      <c r="J703" s="667"/>
      <c r="K703" s="667" t="e">
        <f>E703+#REF!+#REF!+#REF!+G703+#REF!+#REF!+#REF!+#REF!+#REF!+#REF!+I703+#REF!+#REF!+#REF!</f>
        <v>#REF!</v>
      </c>
      <c r="L703" s="667" t="e">
        <f t="shared" si="43"/>
        <v>#REF!</v>
      </c>
      <c r="M703" s="665" t="e">
        <f>#REF!+K703</f>
        <v>#REF!</v>
      </c>
      <c r="N703" s="666" t="e">
        <f t="shared" si="44"/>
        <v>#REF!</v>
      </c>
      <c r="O703" s="672"/>
      <c r="P703" s="668"/>
    </row>
    <row r="704" spans="1:18" ht="59.25" customHeight="1">
      <c r="A704" s="662" t="s">
        <v>1172</v>
      </c>
      <c r="B704" s="663" t="s">
        <v>1756</v>
      </c>
      <c r="C704" s="667">
        <f>[14]Data!K3348</f>
        <v>109.44</v>
      </c>
      <c r="D704" s="753" t="s">
        <v>37</v>
      </c>
      <c r="E704" s="690"/>
      <c r="F704" s="667">
        <f t="shared" si="47"/>
        <v>0</v>
      </c>
      <c r="G704" s="667"/>
      <c r="H704" s="667">
        <f t="shared" si="48"/>
        <v>0</v>
      </c>
      <c r="I704" s="667"/>
      <c r="J704" s="667"/>
      <c r="K704" s="667" t="e">
        <f>E704+#REF!+#REF!+#REF!+G704+#REF!+#REF!+#REF!+#REF!+#REF!+#REF!+I704+#REF!+#REF!+#REF!</f>
        <v>#REF!</v>
      </c>
      <c r="L704" s="667" t="e">
        <f t="shared" si="43"/>
        <v>#REF!</v>
      </c>
      <c r="M704" s="665" t="e">
        <f>#REF!+K704</f>
        <v>#REF!</v>
      </c>
      <c r="N704" s="666" t="e">
        <f t="shared" si="44"/>
        <v>#REF!</v>
      </c>
      <c r="O704" s="672"/>
      <c r="P704" s="668"/>
    </row>
    <row r="705" spans="1:18" s="677" customFormat="1" ht="81" hidden="1" customHeight="1">
      <c r="A705" s="662"/>
      <c r="B705" s="663" t="str">
        <f>B1078</f>
        <v>2 x 4 Sqmm Copper PVC insulated unsheathed single core 1 KV grade cable for EB service single phase.</v>
      </c>
      <c r="C705" s="675">
        <f>C1078</f>
        <v>142.97999999999999</v>
      </c>
      <c r="D705" s="755" t="s">
        <v>61</v>
      </c>
      <c r="E705" s="684"/>
      <c r="F705" s="667">
        <f t="shared" si="47"/>
        <v>0</v>
      </c>
      <c r="G705" s="675"/>
      <c r="H705" s="667">
        <f t="shared" si="48"/>
        <v>0</v>
      </c>
      <c r="I705" s="667"/>
      <c r="J705" s="667"/>
      <c r="K705" s="667" t="e">
        <f>E705+#REF!+#REF!+#REF!+G705+#REF!+#REF!+#REF!+#REF!+#REF!+#REF!+I705+#REF!+#REF!+#REF!</f>
        <v>#REF!</v>
      </c>
      <c r="L705" s="667" t="e">
        <f t="shared" si="43"/>
        <v>#REF!</v>
      </c>
      <c r="M705" s="665" t="e">
        <f>#REF!+K705</f>
        <v>#REF!</v>
      </c>
      <c r="N705" s="666" t="e">
        <f t="shared" si="44"/>
        <v>#REF!</v>
      </c>
      <c r="O705" s="672"/>
      <c r="P705" s="668"/>
      <c r="Q705" s="676"/>
      <c r="R705" s="676"/>
    </row>
    <row r="706" spans="1:18" s="677" customFormat="1" ht="42.75" customHeight="1">
      <c r="A706" s="662"/>
      <c r="B706" s="663" t="str">
        <f>B1044</f>
        <v>40 mm dia GI pipe "B"class</v>
      </c>
      <c r="C706" s="660">
        <f>C1044</f>
        <v>165</v>
      </c>
      <c r="D706" s="755" t="s">
        <v>61</v>
      </c>
      <c r="E706" s="675"/>
      <c r="F706" s="667">
        <f t="shared" si="47"/>
        <v>0</v>
      </c>
      <c r="G706" s="675"/>
      <c r="H706" s="667">
        <f t="shared" si="48"/>
        <v>0</v>
      </c>
      <c r="I706" s="667"/>
      <c r="J706" s="667"/>
      <c r="K706" s="667" t="e">
        <f>E706+#REF!+#REF!+#REF!+G706+#REF!+#REF!+#REF!+#REF!+#REF!+#REF!+I706+#REF!+#REF!+#REF!</f>
        <v>#REF!</v>
      </c>
      <c r="L706" s="667" t="e">
        <f t="shared" si="43"/>
        <v>#REF!</v>
      </c>
      <c r="M706" s="665" t="e">
        <f>#REF!+K706</f>
        <v>#REF!</v>
      </c>
      <c r="N706" s="666" t="e">
        <f t="shared" si="44"/>
        <v>#REF!</v>
      </c>
      <c r="O706" s="672"/>
      <c r="P706" s="668"/>
      <c r="Q706" s="676"/>
      <c r="R706" s="676"/>
    </row>
    <row r="707" spans="1:18" s="677" customFormat="1" ht="44.25" hidden="1" customHeight="1">
      <c r="A707" s="662"/>
      <c r="B707" s="663" t="s">
        <v>1757</v>
      </c>
      <c r="C707" s="675">
        <f>[14]Elec.Data!K3400</f>
        <v>508.26</v>
      </c>
      <c r="D707" s="674" t="s">
        <v>522</v>
      </c>
      <c r="E707" s="684"/>
      <c r="F707" s="667">
        <f t="shared" si="47"/>
        <v>0</v>
      </c>
      <c r="G707" s="675"/>
      <c r="H707" s="667">
        <f t="shared" si="48"/>
        <v>0</v>
      </c>
      <c r="I707" s="667"/>
      <c r="J707" s="667"/>
      <c r="K707" s="667" t="e">
        <f>E707+#REF!+#REF!+#REF!+G707+#REF!+#REF!+#REF!+#REF!+#REF!+#REF!+I707+#REF!+#REF!+#REF!</f>
        <v>#REF!</v>
      </c>
      <c r="L707" s="667" t="e">
        <f t="shared" si="43"/>
        <v>#REF!</v>
      </c>
      <c r="M707" s="665" t="e">
        <f>#REF!+K707</f>
        <v>#REF!</v>
      </c>
      <c r="N707" s="666" t="e">
        <f t="shared" si="44"/>
        <v>#REF!</v>
      </c>
      <c r="O707" s="672"/>
      <c r="P707" s="668"/>
      <c r="Q707" s="676"/>
      <c r="R707" s="676"/>
    </row>
    <row r="708" spans="1:18" s="677" customFormat="1" ht="44.25" customHeight="1">
      <c r="A708" s="662"/>
      <c r="B708" s="663" t="s">
        <v>1758</v>
      </c>
      <c r="C708" s="675">
        <f>[14]A.DATA!F602</f>
        <v>211</v>
      </c>
      <c r="D708" s="674" t="s">
        <v>61</v>
      </c>
      <c r="E708" s="684"/>
      <c r="F708" s="667"/>
      <c r="G708" s="675"/>
      <c r="H708" s="667"/>
      <c r="I708" s="667"/>
      <c r="J708" s="667"/>
      <c r="K708" s="667" t="e">
        <f>E708+#REF!+#REF!+#REF!+G708+#REF!+#REF!+#REF!+#REF!+#REF!+#REF!+I708+#REF!+#REF!+#REF!</f>
        <v>#REF!</v>
      </c>
      <c r="L708" s="667" t="e">
        <f t="shared" si="43"/>
        <v>#REF!</v>
      </c>
      <c r="M708" s="665" t="e">
        <f>#REF!+K708</f>
        <v>#REF!</v>
      </c>
      <c r="N708" s="666" t="e">
        <f t="shared" si="44"/>
        <v>#REF!</v>
      </c>
      <c r="O708" s="672"/>
      <c r="P708" s="668"/>
      <c r="Q708" s="676"/>
      <c r="R708" s="676"/>
    </row>
    <row r="709" spans="1:18" s="677" customFormat="1" ht="60" customHeight="1">
      <c r="A709" s="662"/>
      <c r="B709" s="663" t="s">
        <v>1759</v>
      </c>
      <c r="C709" s="675">
        <f>[14]Data!R204</f>
        <v>5568.94</v>
      </c>
      <c r="D709" s="674" t="s">
        <v>16</v>
      </c>
      <c r="E709" s="684"/>
      <c r="F709" s="667">
        <f t="shared" ref="F709:F740" si="49">E709*C709</f>
        <v>0</v>
      </c>
      <c r="G709" s="675"/>
      <c r="H709" s="667">
        <f t="shared" ref="H709:H740" si="50">G709*C709</f>
        <v>0</v>
      </c>
      <c r="I709" s="667"/>
      <c r="J709" s="667"/>
      <c r="K709" s="667" t="e">
        <f>E709+#REF!+#REF!+#REF!+G709+#REF!+#REF!+#REF!+#REF!+#REF!+#REF!+I709+#REF!+#REF!+#REF!</f>
        <v>#REF!</v>
      </c>
      <c r="L709" s="667" t="e">
        <f t="shared" si="43"/>
        <v>#REF!</v>
      </c>
      <c r="M709" s="665" t="e">
        <f>#REF!+K709</f>
        <v>#REF!</v>
      </c>
      <c r="N709" s="666" t="e">
        <f t="shared" si="44"/>
        <v>#REF!</v>
      </c>
      <c r="O709" s="672"/>
      <c r="P709" s="668"/>
      <c r="Q709" s="676"/>
      <c r="R709" s="676"/>
    </row>
    <row r="710" spans="1:18" ht="43.5" customHeight="1">
      <c r="A710" s="662">
        <v>448.2</v>
      </c>
      <c r="B710" s="663" t="s">
        <v>1141</v>
      </c>
      <c r="C710" s="667">
        <f>[14]Data!R3123</f>
        <v>122.25</v>
      </c>
      <c r="D710" s="753" t="s">
        <v>522</v>
      </c>
      <c r="E710" s="666"/>
      <c r="F710" s="667">
        <f t="shared" si="49"/>
        <v>0</v>
      </c>
      <c r="G710" s="667"/>
      <c r="H710" s="667">
        <f t="shared" si="50"/>
        <v>0</v>
      </c>
      <c r="I710" s="667"/>
      <c r="J710" s="667"/>
      <c r="K710" s="667" t="e">
        <f>E710+#REF!+#REF!+#REF!+G710+#REF!+#REF!+#REF!+#REF!+#REF!+#REF!+I710+#REF!+#REF!+#REF!</f>
        <v>#REF!</v>
      </c>
      <c r="L710" s="667" t="e">
        <f t="shared" ref="L710:L773" si="51">K710*C710</f>
        <v>#REF!</v>
      </c>
      <c r="M710" s="665" t="e">
        <f>#REF!+K710</f>
        <v>#REF!</v>
      </c>
      <c r="N710" s="666" t="e">
        <f t="shared" ref="N710:N773" si="52">M710*C710</f>
        <v>#REF!</v>
      </c>
      <c r="O710" s="672"/>
      <c r="P710" s="668"/>
    </row>
    <row r="711" spans="1:18" s="677" customFormat="1" ht="25.5" hidden="1" customHeight="1">
      <c r="A711" s="662"/>
      <c r="B711" s="663" t="s">
        <v>1760</v>
      </c>
      <c r="C711" s="675">
        <f>C1028</f>
        <v>1493.95</v>
      </c>
      <c r="D711" s="742" t="s">
        <v>37</v>
      </c>
      <c r="E711" s="684"/>
      <c r="F711" s="667">
        <f t="shared" si="49"/>
        <v>0</v>
      </c>
      <c r="G711" s="675"/>
      <c r="H711" s="667">
        <f t="shared" si="50"/>
        <v>0</v>
      </c>
      <c r="I711" s="667"/>
      <c r="J711" s="667"/>
      <c r="K711" s="667" t="e">
        <f>E711+#REF!+#REF!+#REF!+G711+#REF!+#REF!+#REF!+#REF!+#REF!+#REF!+I711+#REF!+#REF!+#REF!</f>
        <v>#REF!</v>
      </c>
      <c r="L711" s="667" t="e">
        <f t="shared" si="51"/>
        <v>#REF!</v>
      </c>
      <c r="M711" s="665" t="e">
        <f>#REF!+K711</f>
        <v>#REF!</v>
      </c>
      <c r="N711" s="666" t="e">
        <f t="shared" si="52"/>
        <v>#REF!</v>
      </c>
      <c r="O711" s="672"/>
      <c r="P711" s="668"/>
      <c r="Q711" s="676"/>
      <c r="R711" s="676"/>
    </row>
    <row r="712" spans="1:18" ht="48.75" customHeight="1">
      <c r="A712" s="662"/>
      <c r="B712" s="663" t="s">
        <v>1761</v>
      </c>
      <c r="C712" s="667">
        <f>[14]Data!R2416</f>
        <v>1298.51</v>
      </c>
      <c r="D712" s="751" t="s">
        <v>37</v>
      </c>
      <c r="E712" s="666"/>
      <c r="F712" s="667">
        <f t="shared" si="49"/>
        <v>0</v>
      </c>
      <c r="G712" s="667"/>
      <c r="H712" s="667">
        <f t="shared" si="50"/>
        <v>0</v>
      </c>
      <c r="I712" s="667"/>
      <c r="J712" s="667"/>
      <c r="K712" s="667" t="e">
        <f>E712+#REF!+#REF!+#REF!+G712+#REF!+#REF!+#REF!+#REF!+#REF!+#REF!+I712+#REF!+#REF!+#REF!</f>
        <v>#REF!</v>
      </c>
      <c r="L712" s="667" t="e">
        <f t="shared" si="51"/>
        <v>#REF!</v>
      </c>
      <c r="M712" s="665" t="e">
        <f>#REF!+K712</f>
        <v>#REF!</v>
      </c>
      <c r="N712" s="666" t="e">
        <f t="shared" si="52"/>
        <v>#REF!</v>
      </c>
      <c r="O712" s="672"/>
      <c r="P712" s="668"/>
    </row>
    <row r="713" spans="1:18" s="677" customFormat="1" ht="72" hidden="1" customHeight="1">
      <c r="A713" s="662"/>
      <c r="B713" s="663" t="s">
        <v>1762</v>
      </c>
      <c r="C713" s="675">
        <v>4500</v>
      </c>
      <c r="D713" s="742" t="s">
        <v>61</v>
      </c>
      <c r="E713" s="684"/>
      <c r="F713" s="667">
        <f t="shared" si="49"/>
        <v>0</v>
      </c>
      <c r="G713" s="675"/>
      <c r="H713" s="667">
        <f t="shared" si="50"/>
        <v>0</v>
      </c>
      <c r="I713" s="667"/>
      <c r="J713" s="667"/>
      <c r="K713" s="667" t="e">
        <f>E713+#REF!+#REF!+#REF!+G713+#REF!+#REF!+#REF!+#REF!+#REF!+#REF!+I713+#REF!+#REF!+#REF!</f>
        <v>#REF!</v>
      </c>
      <c r="L713" s="667" t="e">
        <f t="shared" si="51"/>
        <v>#REF!</v>
      </c>
      <c r="M713" s="665" t="e">
        <f>#REF!+K713</f>
        <v>#REF!</v>
      </c>
      <c r="N713" s="666" t="e">
        <f t="shared" si="52"/>
        <v>#REF!</v>
      </c>
      <c r="O713" s="672"/>
      <c r="P713" s="668"/>
      <c r="Q713" s="676"/>
      <c r="R713" s="676"/>
    </row>
    <row r="714" spans="1:18" ht="49.5" customHeight="1">
      <c r="A714" s="662"/>
      <c r="B714" s="663" t="s">
        <v>1763</v>
      </c>
      <c r="C714" s="667">
        <f>[14]Data!R1272</f>
        <v>1152.25</v>
      </c>
      <c r="D714" s="751" t="s">
        <v>37</v>
      </c>
      <c r="E714" s="666"/>
      <c r="F714" s="667">
        <f t="shared" si="49"/>
        <v>0</v>
      </c>
      <c r="G714" s="667"/>
      <c r="H714" s="667">
        <f t="shared" si="50"/>
        <v>0</v>
      </c>
      <c r="I714" s="667"/>
      <c r="J714" s="667"/>
      <c r="K714" s="667" t="e">
        <f>E714+#REF!+#REF!+#REF!+G714+#REF!+#REF!+#REF!+#REF!+#REF!+#REF!+I714+#REF!+#REF!+#REF!</f>
        <v>#REF!</v>
      </c>
      <c r="L714" s="667" t="e">
        <f t="shared" si="51"/>
        <v>#REF!</v>
      </c>
      <c r="M714" s="665" t="e">
        <f>#REF!+K714</f>
        <v>#REF!</v>
      </c>
      <c r="N714" s="666" t="e">
        <f t="shared" si="52"/>
        <v>#REF!</v>
      </c>
      <c r="O714" s="672"/>
      <c r="P714" s="668"/>
    </row>
    <row r="715" spans="1:18" s="677" customFormat="1" ht="27.75" hidden="1" customHeight="1">
      <c r="A715" s="662"/>
      <c r="B715" s="663" t="s">
        <v>1764</v>
      </c>
      <c r="C715" s="675">
        <f>[14]Data!R1249</f>
        <v>1327.95</v>
      </c>
      <c r="D715" s="742" t="s">
        <v>37</v>
      </c>
      <c r="E715" s="684"/>
      <c r="F715" s="667">
        <f t="shared" si="49"/>
        <v>0</v>
      </c>
      <c r="G715" s="675"/>
      <c r="H715" s="667">
        <f t="shared" si="50"/>
        <v>0</v>
      </c>
      <c r="I715" s="667"/>
      <c r="J715" s="667"/>
      <c r="K715" s="667" t="e">
        <f>E715+#REF!+#REF!+#REF!+G715+#REF!+#REF!+#REF!+#REF!+#REF!+#REF!+I715+#REF!+#REF!+#REF!</f>
        <v>#REF!</v>
      </c>
      <c r="L715" s="667" t="e">
        <f t="shared" si="51"/>
        <v>#REF!</v>
      </c>
      <c r="M715" s="665" t="e">
        <f>#REF!+K715</f>
        <v>#REF!</v>
      </c>
      <c r="N715" s="666" t="e">
        <f t="shared" si="52"/>
        <v>#REF!</v>
      </c>
      <c r="O715" s="672"/>
      <c r="P715" s="668"/>
      <c r="Q715" s="676"/>
      <c r="R715" s="676"/>
    </row>
    <row r="716" spans="1:18" s="677" customFormat="1" ht="39" hidden="1" customHeight="1">
      <c r="A716" s="662" t="s">
        <v>1765</v>
      </c>
      <c r="B716" s="663" t="s">
        <v>1766</v>
      </c>
      <c r="C716" s="675">
        <f>[14]Data!R1230</f>
        <v>1357.13</v>
      </c>
      <c r="D716" s="742" t="s">
        <v>37</v>
      </c>
      <c r="E716" s="684"/>
      <c r="F716" s="667">
        <f t="shared" si="49"/>
        <v>0</v>
      </c>
      <c r="G716" s="675"/>
      <c r="H716" s="667">
        <f t="shared" si="50"/>
        <v>0</v>
      </c>
      <c r="I716" s="667"/>
      <c r="J716" s="667"/>
      <c r="K716" s="667" t="e">
        <f>E716+#REF!+#REF!+#REF!+G716+#REF!+#REF!+#REF!+#REF!+#REF!+#REF!+I716+#REF!+#REF!+#REF!</f>
        <v>#REF!</v>
      </c>
      <c r="L716" s="667" t="e">
        <f t="shared" si="51"/>
        <v>#REF!</v>
      </c>
      <c r="M716" s="665" t="e">
        <f>#REF!+K716</f>
        <v>#REF!</v>
      </c>
      <c r="N716" s="666" t="e">
        <f t="shared" si="52"/>
        <v>#REF!</v>
      </c>
      <c r="O716" s="672"/>
      <c r="P716" s="668"/>
      <c r="Q716" s="676"/>
      <c r="R716" s="676"/>
    </row>
    <row r="717" spans="1:18" s="677" customFormat="1" ht="66" customHeight="1">
      <c r="A717" s="662"/>
      <c r="B717" s="663" t="s">
        <v>1767</v>
      </c>
      <c r="C717" s="675">
        <f>[14]Data!R1230</f>
        <v>1357.13</v>
      </c>
      <c r="D717" s="742" t="s">
        <v>37</v>
      </c>
      <c r="E717" s="684"/>
      <c r="F717" s="667">
        <f t="shared" si="49"/>
        <v>0</v>
      </c>
      <c r="G717" s="675"/>
      <c r="H717" s="667">
        <f t="shared" si="50"/>
        <v>0</v>
      </c>
      <c r="I717" s="667"/>
      <c r="J717" s="667"/>
      <c r="K717" s="667" t="e">
        <f>E717+#REF!+#REF!+#REF!+G717+#REF!+#REF!+#REF!+#REF!+#REF!+#REF!+I717+#REF!+#REF!+#REF!</f>
        <v>#REF!</v>
      </c>
      <c r="L717" s="667" t="e">
        <f t="shared" si="51"/>
        <v>#REF!</v>
      </c>
      <c r="M717" s="665" t="e">
        <f>#REF!+K717</f>
        <v>#REF!</v>
      </c>
      <c r="N717" s="666" t="e">
        <f t="shared" si="52"/>
        <v>#REF!</v>
      </c>
      <c r="O717" s="672"/>
      <c r="P717" s="668"/>
      <c r="Q717" s="676"/>
      <c r="R717" s="676"/>
    </row>
    <row r="718" spans="1:18" s="677" customFormat="1" ht="46.5" hidden="1" customHeight="1">
      <c r="A718" s="662"/>
      <c r="B718" s="756" t="s">
        <v>1768</v>
      </c>
      <c r="C718" s="675"/>
      <c r="D718" s="742"/>
      <c r="E718" s="684"/>
      <c r="F718" s="667">
        <f t="shared" si="49"/>
        <v>0</v>
      </c>
      <c r="G718" s="675"/>
      <c r="H718" s="667">
        <f t="shared" si="50"/>
        <v>0</v>
      </c>
      <c r="I718" s="667"/>
      <c r="J718" s="667"/>
      <c r="K718" s="667" t="e">
        <f>E718+#REF!+#REF!+#REF!+G718+#REF!+#REF!+#REF!+#REF!+#REF!+#REF!+I718+#REF!+#REF!+#REF!</f>
        <v>#REF!</v>
      </c>
      <c r="L718" s="667" t="e">
        <f t="shared" si="51"/>
        <v>#REF!</v>
      </c>
      <c r="M718" s="665" t="e">
        <f>#REF!+K718</f>
        <v>#REF!</v>
      </c>
      <c r="N718" s="666" t="e">
        <f t="shared" si="52"/>
        <v>#REF!</v>
      </c>
      <c r="O718" s="672"/>
      <c r="P718" s="668"/>
      <c r="Q718" s="676"/>
      <c r="R718" s="676"/>
    </row>
    <row r="719" spans="1:18" s="677" customFormat="1" ht="25.5" hidden="1" customHeight="1">
      <c r="A719" s="662"/>
      <c r="B719" s="738" t="s">
        <v>1769</v>
      </c>
      <c r="C719" s="675">
        <f>[14]Data!X3711</f>
        <v>3584</v>
      </c>
      <c r="D719" s="742"/>
      <c r="E719" s="684"/>
      <c r="F719" s="667">
        <f t="shared" si="49"/>
        <v>0</v>
      </c>
      <c r="G719" s="675"/>
      <c r="H719" s="667">
        <f t="shared" si="50"/>
        <v>0</v>
      </c>
      <c r="I719" s="667"/>
      <c r="J719" s="667"/>
      <c r="K719" s="667" t="e">
        <f>E719+#REF!+#REF!+#REF!+G719+#REF!+#REF!+#REF!+#REF!+#REF!+#REF!+I719+#REF!+#REF!+#REF!</f>
        <v>#REF!</v>
      </c>
      <c r="L719" s="667" t="e">
        <f t="shared" si="51"/>
        <v>#REF!</v>
      </c>
      <c r="M719" s="665" t="e">
        <f>#REF!+K719</f>
        <v>#REF!</v>
      </c>
      <c r="N719" s="666" t="e">
        <f t="shared" si="52"/>
        <v>#REF!</v>
      </c>
      <c r="O719" s="672"/>
      <c r="P719" s="668"/>
      <c r="Q719" s="676"/>
      <c r="R719" s="676"/>
    </row>
    <row r="720" spans="1:18" s="677" customFormat="1" ht="25.5" hidden="1" customHeight="1">
      <c r="A720" s="662"/>
      <c r="B720" s="738" t="s">
        <v>1770</v>
      </c>
      <c r="C720" s="675">
        <f>[14]Data!X3725</f>
        <v>3873</v>
      </c>
      <c r="D720" s="742"/>
      <c r="E720" s="684"/>
      <c r="F720" s="667">
        <f t="shared" si="49"/>
        <v>0</v>
      </c>
      <c r="G720" s="675"/>
      <c r="H720" s="667">
        <f t="shared" si="50"/>
        <v>0</v>
      </c>
      <c r="I720" s="667"/>
      <c r="J720" s="667"/>
      <c r="K720" s="667" t="e">
        <f>E720+#REF!+#REF!+#REF!+G720+#REF!+#REF!+#REF!+#REF!+#REF!+#REF!+I720+#REF!+#REF!+#REF!</f>
        <v>#REF!</v>
      </c>
      <c r="L720" s="667" t="e">
        <f t="shared" si="51"/>
        <v>#REF!</v>
      </c>
      <c r="M720" s="665" t="e">
        <f>#REF!+K720</f>
        <v>#REF!</v>
      </c>
      <c r="N720" s="666" t="e">
        <f t="shared" si="52"/>
        <v>#REF!</v>
      </c>
      <c r="O720" s="672"/>
      <c r="P720" s="668"/>
      <c r="Q720" s="676"/>
      <c r="R720" s="676"/>
    </row>
    <row r="721" spans="1:18" s="677" customFormat="1" ht="25.5" hidden="1" customHeight="1">
      <c r="A721" s="662"/>
      <c r="B721" s="738" t="s">
        <v>1771</v>
      </c>
      <c r="C721" s="675"/>
      <c r="D721" s="742" t="s">
        <v>37</v>
      </c>
      <c r="E721" s="684"/>
      <c r="F721" s="667">
        <f t="shared" si="49"/>
        <v>0</v>
      </c>
      <c r="G721" s="675"/>
      <c r="H721" s="667">
        <f t="shared" si="50"/>
        <v>0</v>
      </c>
      <c r="I721" s="667"/>
      <c r="J721" s="667"/>
      <c r="K721" s="667" t="e">
        <f>E721+#REF!+#REF!+#REF!+G721+#REF!+#REF!+#REF!+#REF!+#REF!+#REF!+I721+#REF!+#REF!+#REF!</f>
        <v>#REF!</v>
      </c>
      <c r="L721" s="667" t="e">
        <f t="shared" si="51"/>
        <v>#REF!</v>
      </c>
      <c r="M721" s="665" t="e">
        <f>#REF!+K721</f>
        <v>#REF!</v>
      </c>
      <c r="N721" s="666" t="e">
        <f t="shared" si="52"/>
        <v>#REF!</v>
      </c>
      <c r="O721" s="672"/>
      <c r="P721" s="668"/>
      <c r="Q721" s="676"/>
      <c r="R721" s="676"/>
    </row>
    <row r="722" spans="1:18" s="677" customFormat="1" ht="25.5" hidden="1" customHeight="1">
      <c r="A722" s="662"/>
      <c r="B722" s="738" t="s">
        <v>1772</v>
      </c>
      <c r="C722" s="675"/>
      <c r="D722" s="742" t="s">
        <v>37</v>
      </c>
      <c r="E722" s="684"/>
      <c r="F722" s="667">
        <f t="shared" si="49"/>
        <v>0</v>
      </c>
      <c r="G722" s="675"/>
      <c r="H722" s="667">
        <f t="shared" si="50"/>
        <v>0</v>
      </c>
      <c r="I722" s="667"/>
      <c r="J722" s="667"/>
      <c r="K722" s="667" t="e">
        <f>E722+#REF!+#REF!+#REF!+G722+#REF!+#REF!+#REF!+#REF!+#REF!+#REF!+I722+#REF!+#REF!+#REF!</f>
        <v>#REF!</v>
      </c>
      <c r="L722" s="667" t="e">
        <f t="shared" si="51"/>
        <v>#REF!</v>
      </c>
      <c r="M722" s="665" t="e">
        <f>#REF!+K722</f>
        <v>#REF!</v>
      </c>
      <c r="N722" s="666" t="e">
        <f t="shared" si="52"/>
        <v>#REF!</v>
      </c>
      <c r="O722" s="672"/>
      <c r="P722" s="668"/>
      <c r="Q722" s="676"/>
      <c r="R722" s="676"/>
    </row>
    <row r="723" spans="1:18" s="677" customFormat="1" ht="46.5" hidden="1" customHeight="1">
      <c r="A723" s="662"/>
      <c r="B723" s="738" t="s">
        <v>1773</v>
      </c>
      <c r="C723" s="739">
        <f>[14]Data!X1293</f>
        <v>1269.1600000000001</v>
      </c>
      <c r="D723" s="741" t="s">
        <v>264</v>
      </c>
      <c r="E723" s="684"/>
      <c r="F723" s="667">
        <f t="shared" si="49"/>
        <v>0</v>
      </c>
      <c r="G723" s="675"/>
      <c r="H723" s="667">
        <f t="shared" si="50"/>
        <v>0</v>
      </c>
      <c r="I723" s="667"/>
      <c r="J723" s="667"/>
      <c r="K723" s="667" t="e">
        <f>E723+#REF!+#REF!+#REF!+G723+#REF!+#REF!+#REF!+#REF!+#REF!+#REF!+I723+#REF!+#REF!+#REF!</f>
        <v>#REF!</v>
      </c>
      <c r="L723" s="667" t="e">
        <f t="shared" si="51"/>
        <v>#REF!</v>
      </c>
      <c r="M723" s="665" t="e">
        <f>#REF!+K723</f>
        <v>#REF!</v>
      </c>
      <c r="N723" s="666" t="e">
        <f t="shared" si="52"/>
        <v>#REF!</v>
      </c>
      <c r="O723" s="672"/>
      <c r="P723" s="668"/>
      <c r="Q723" s="676"/>
      <c r="R723" s="676"/>
    </row>
    <row r="724" spans="1:18" s="677" customFormat="1" ht="46.5" hidden="1" customHeight="1">
      <c r="A724" s="662"/>
      <c r="B724" s="738" t="s">
        <v>1774</v>
      </c>
      <c r="C724" s="739">
        <f>[14]Data!K1292</f>
        <v>2810.78</v>
      </c>
      <c r="D724" s="741" t="s">
        <v>264</v>
      </c>
      <c r="E724" s="684"/>
      <c r="F724" s="667">
        <f t="shared" si="49"/>
        <v>0</v>
      </c>
      <c r="G724" s="675"/>
      <c r="H724" s="667">
        <f t="shared" si="50"/>
        <v>0</v>
      </c>
      <c r="I724" s="667"/>
      <c r="J724" s="667"/>
      <c r="K724" s="667" t="e">
        <f>E724+#REF!+#REF!+#REF!+G724+#REF!+#REF!+#REF!+#REF!+#REF!+#REF!+I724+#REF!+#REF!+#REF!</f>
        <v>#REF!</v>
      </c>
      <c r="L724" s="667" t="e">
        <f t="shared" si="51"/>
        <v>#REF!</v>
      </c>
      <c r="M724" s="665" t="e">
        <f>#REF!+K724</f>
        <v>#REF!</v>
      </c>
      <c r="N724" s="666" t="e">
        <f t="shared" si="52"/>
        <v>#REF!</v>
      </c>
      <c r="O724" s="672"/>
      <c r="P724" s="668"/>
      <c r="Q724" s="676"/>
      <c r="R724" s="676"/>
    </row>
    <row r="725" spans="1:18" s="677" customFormat="1" ht="46.5" hidden="1" customHeight="1">
      <c r="A725" s="662"/>
      <c r="B725" s="663" t="s">
        <v>1775</v>
      </c>
      <c r="C725" s="739">
        <v>3034.4</v>
      </c>
      <c r="D725" s="674" t="s">
        <v>37</v>
      </c>
      <c r="E725" s="684"/>
      <c r="F725" s="667">
        <f t="shared" si="49"/>
        <v>0</v>
      </c>
      <c r="G725" s="675"/>
      <c r="H725" s="667">
        <f t="shared" si="50"/>
        <v>0</v>
      </c>
      <c r="I725" s="667"/>
      <c r="J725" s="667"/>
      <c r="K725" s="667" t="e">
        <f>E725+#REF!+#REF!+#REF!+G725+#REF!+#REF!+#REF!+#REF!+#REF!+#REF!+I725+#REF!+#REF!+#REF!</f>
        <v>#REF!</v>
      </c>
      <c r="L725" s="667" t="e">
        <f t="shared" si="51"/>
        <v>#REF!</v>
      </c>
      <c r="M725" s="665" t="e">
        <f>#REF!+K725</f>
        <v>#REF!</v>
      </c>
      <c r="N725" s="666" t="e">
        <f t="shared" si="52"/>
        <v>#REF!</v>
      </c>
      <c r="O725" s="672"/>
      <c r="P725" s="668"/>
      <c r="Q725" s="676"/>
      <c r="R725" s="676"/>
    </row>
    <row r="726" spans="1:18" s="677" customFormat="1" ht="46.5" hidden="1" customHeight="1">
      <c r="A726" s="662">
        <f>11.6-7.25</f>
        <v>4.3499999999999996</v>
      </c>
      <c r="B726" s="663" t="s">
        <v>1776</v>
      </c>
      <c r="C726" s="739">
        <v>915.02</v>
      </c>
      <c r="D726" s="674" t="s">
        <v>37</v>
      </c>
      <c r="E726" s="684"/>
      <c r="F726" s="667">
        <f t="shared" si="49"/>
        <v>0</v>
      </c>
      <c r="G726" s="675"/>
      <c r="H726" s="667">
        <f t="shared" si="50"/>
        <v>0</v>
      </c>
      <c r="I726" s="667"/>
      <c r="J726" s="667"/>
      <c r="K726" s="667" t="e">
        <f>E726+#REF!+#REF!+#REF!+G726+#REF!+#REF!+#REF!+#REF!+#REF!+#REF!+I726+#REF!+#REF!+#REF!</f>
        <v>#REF!</v>
      </c>
      <c r="L726" s="667" t="e">
        <f t="shared" si="51"/>
        <v>#REF!</v>
      </c>
      <c r="M726" s="665" t="e">
        <f>#REF!+K726</f>
        <v>#REF!</v>
      </c>
      <c r="N726" s="666" t="e">
        <f t="shared" si="52"/>
        <v>#REF!</v>
      </c>
      <c r="O726" s="672"/>
      <c r="P726" s="668"/>
      <c r="Q726" s="676"/>
      <c r="R726" s="676"/>
    </row>
    <row r="727" spans="1:18" s="677" customFormat="1" ht="69.75" hidden="1" customHeight="1">
      <c r="A727" s="662"/>
      <c r="B727" s="663" t="s">
        <v>1777</v>
      </c>
      <c r="C727" s="739">
        <v>990</v>
      </c>
      <c r="D727" s="674" t="s">
        <v>37</v>
      </c>
      <c r="E727" s="684"/>
      <c r="F727" s="667">
        <f t="shared" si="49"/>
        <v>0</v>
      </c>
      <c r="G727" s="675"/>
      <c r="H727" s="667">
        <f t="shared" si="50"/>
        <v>0</v>
      </c>
      <c r="I727" s="667"/>
      <c r="J727" s="667"/>
      <c r="K727" s="667" t="e">
        <f>E727+#REF!+#REF!+#REF!+G727+#REF!+#REF!+#REF!+#REF!+#REF!+#REF!+I727+#REF!+#REF!+#REF!</f>
        <v>#REF!</v>
      </c>
      <c r="L727" s="667" t="e">
        <f t="shared" si="51"/>
        <v>#REF!</v>
      </c>
      <c r="M727" s="665" t="e">
        <f>#REF!+K727</f>
        <v>#REF!</v>
      </c>
      <c r="N727" s="666" t="e">
        <f t="shared" si="52"/>
        <v>#REF!</v>
      </c>
      <c r="O727" s="672"/>
      <c r="P727" s="668"/>
      <c r="Q727" s="676"/>
      <c r="R727" s="676"/>
    </row>
    <row r="728" spans="1:18" s="677" customFormat="1" ht="25.5" hidden="1" customHeight="1">
      <c r="A728" s="662"/>
      <c r="B728" s="663" t="s">
        <v>1778</v>
      </c>
      <c r="C728" s="739">
        <v>905</v>
      </c>
      <c r="D728" s="674" t="s">
        <v>61</v>
      </c>
      <c r="E728" s="684"/>
      <c r="F728" s="667">
        <f t="shared" si="49"/>
        <v>0</v>
      </c>
      <c r="G728" s="675"/>
      <c r="H728" s="667">
        <f t="shared" si="50"/>
        <v>0</v>
      </c>
      <c r="I728" s="667"/>
      <c r="J728" s="667"/>
      <c r="K728" s="667" t="e">
        <f>E728+#REF!+#REF!+#REF!+G728+#REF!+#REF!+#REF!+#REF!+#REF!+#REF!+I728+#REF!+#REF!+#REF!</f>
        <v>#REF!</v>
      </c>
      <c r="L728" s="667" t="e">
        <f t="shared" si="51"/>
        <v>#REF!</v>
      </c>
      <c r="M728" s="665" t="e">
        <f>#REF!+K728</f>
        <v>#REF!</v>
      </c>
      <c r="N728" s="666" t="e">
        <f t="shared" si="52"/>
        <v>#REF!</v>
      </c>
      <c r="O728" s="672"/>
      <c r="P728" s="668"/>
      <c r="Q728" s="676"/>
      <c r="R728" s="676"/>
    </row>
    <row r="729" spans="1:18" s="677" customFormat="1" ht="25.5" hidden="1" customHeight="1">
      <c r="A729" s="662"/>
      <c r="B729" s="663" t="s">
        <v>1779</v>
      </c>
      <c r="C729" s="739">
        <v>8467.2999999999993</v>
      </c>
      <c r="D729" s="674" t="s">
        <v>522</v>
      </c>
      <c r="E729" s="684"/>
      <c r="F729" s="667">
        <f t="shared" si="49"/>
        <v>0</v>
      </c>
      <c r="G729" s="675"/>
      <c r="H729" s="667">
        <f t="shared" si="50"/>
        <v>0</v>
      </c>
      <c r="I729" s="667"/>
      <c r="J729" s="667"/>
      <c r="K729" s="667" t="e">
        <f>E729+#REF!+#REF!+#REF!+G729+#REF!+#REF!+#REF!+#REF!+#REF!+#REF!+I729+#REF!+#REF!+#REF!</f>
        <v>#REF!</v>
      </c>
      <c r="L729" s="667" t="e">
        <f t="shared" si="51"/>
        <v>#REF!</v>
      </c>
      <c r="M729" s="665" t="e">
        <f>#REF!+K729</f>
        <v>#REF!</v>
      </c>
      <c r="N729" s="666" t="e">
        <f t="shared" si="52"/>
        <v>#REF!</v>
      </c>
      <c r="O729" s="672"/>
      <c r="P729" s="668"/>
      <c r="Q729" s="676"/>
      <c r="R729" s="676"/>
    </row>
    <row r="730" spans="1:18" s="677" customFormat="1" ht="93" hidden="1" customHeight="1">
      <c r="A730" s="662"/>
      <c r="B730" s="663" t="s">
        <v>1780</v>
      </c>
      <c r="C730" s="739">
        <v>3409</v>
      </c>
      <c r="D730" s="674" t="s">
        <v>522</v>
      </c>
      <c r="E730" s="684"/>
      <c r="F730" s="667">
        <f t="shared" si="49"/>
        <v>0</v>
      </c>
      <c r="G730" s="675"/>
      <c r="H730" s="667">
        <f t="shared" si="50"/>
        <v>0</v>
      </c>
      <c r="I730" s="667"/>
      <c r="J730" s="667"/>
      <c r="K730" s="667" t="e">
        <f>E730+#REF!+#REF!+#REF!+G730+#REF!+#REF!+#REF!+#REF!+#REF!+#REF!+I730+#REF!+#REF!+#REF!</f>
        <v>#REF!</v>
      </c>
      <c r="L730" s="667" t="e">
        <f t="shared" si="51"/>
        <v>#REF!</v>
      </c>
      <c r="M730" s="665" t="e">
        <f>#REF!+K730</f>
        <v>#REF!</v>
      </c>
      <c r="N730" s="666" t="e">
        <f t="shared" si="52"/>
        <v>#REF!</v>
      </c>
      <c r="O730" s="672"/>
      <c r="P730" s="668"/>
      <c r="Q730" s="676"/>
      <c r="R730" s="676"/>
    </row>
    <row r="731" spans="1:18" s="677" customFormat="1" ht="93" hidden="1" customHeight="1">
      <c r="A731" s="662"/>
      <c r="B731" s="663" t="s">
        <v>1781</v>
      </c>
      <c r="C731" s="739">
        <v>469.42</v>
      </c>
      <c r="D731" s="674" t="s">
        <v>522</v>
      </c>
      <c r="E731" s="684"/>
      <c r="F731" s="667">
        <f t="shared" si="49"/>
        <v>0</v>
      </c>
      <c r="G731" s="675"/>
      <c r="H731" s="667">
        <f t="shared" si="50"/>
        <v>0</v>
      </c>
      <c r="I731" s="667"/>
      <c r="J731" s="667"/>
      <c r="K731" s="667" t="e">
        <f>E731+#REF!+#REF!+#REF!+G731+#REF!+#REF!+#REF!+#REF!+#REF!+#REF!+I731+#REF!+#REF!+#REF!</f>
        <v>#REF!</v>
      </c>
      <c r="L731" s="667" t="e">
        <f t="shared" si="51"/>
        <v>#REF!</v>
      </c>
      <c r="M731" s="665" t="e">
        <f>#REF!+K731</f>
        <v>#REF!</v>
      </c>
      <c r="N731" s="666" t="e">
        <f t="shared" si="52"/>
        <v>#REF!</v>
      </c>
      <c r="O731" s="672"/>
      <c r="P731" s="668"/>
      <c r="Q731" s="676"/>
      <c r="R731" s="676"/>
    </row>
    <row r="732" spans="1:18" s="677" customFormat="1" ht="25.5" hidden="1" customHeight="1">
      <c r="A732" s="662"/>
      <c r="B732" s="663" t="s">
        <v>1782</v>
      </c>
      <c r="C732" s="739"/>
      <c r="D732" s="674"/>
      <c r="E732" s="684"/>
      <c r="F732" s="667">
        <f t="shared" si="49"/>
        <v>0</v>
      </c>
      <c r="G732" s="675"/>
      <c r="H732" s="667">
        <f t="shared" si="50"/>
        <v>0</v>
      </c>
      <c r="I732" s="667"/>
      <c r="J732" s="667"/>
      <c r="K732" s="667" t="e">
        <f>E732+#REF!+#REF!+#REF!+G732+#REF!+#REF!+#REF!+#REF!+#REF!+#REF!+I732+#REF!+#REF!+#REF!</f>
        <v>#REF!</v>
      </c>
      <c r="L732" s="667" t="e">
        <f t="shared" si="51"/>
        <v>#REF!</v>
      </c>
      <c r="M732" s="665" t="e">
        <f>#REF!+K732</f>
        <v>#REF!</v>
      </c>
      <c r="N732" s="666" t="e">
        <f t="shared" si="52"/>
        <v>#REF!</v>
      </c>
      <c r="O732" s="672"/>
      <c r="P732" s="668"/>
      <c r="Q732" s="676"/>
      <c r="R732" s="676"/>
    </row>
    <row r="733" spans="1:18" s="677" customFormat="1" ht="26.25" hidden="1" customHeight="1">
      <c r="A733" s="662"/>
      <c r="B733" s="663" t="s">
        <v>1783</v>
      </c>
      <c r="C733" s="739">
        <v>5640</v>
      </c>
      <c r="D733" s="674" t="s">
        <v>522</v>
      </c>
      <c r="E733" s="684"/>
      <c r="F733" s="667">
        <f t="shared" si="49"/>
        <v>0</v>
      </c>
      <c r="G733" s="675"/>
      <c r="H733" s="667">
        <f t="shared" si="50"/>
        <v>0</v>
      </c>
      <c r="I733" s="667"/>
      <c r="J733" s="667"/>
      <c r="K733" s="667" t="e">
        <f>E733+#REF!+#REF!+#REF!+G733+#REF!+#REF!+#REF!+#REF!+#REF!+#REF!+I733+#REF!+#REF!+#REF!</f>
        <v>#REF!</v>
      </c>
      <c r="L733" s="667" t="e">
        <f t="shared" si="51"/>
        <v>#REF!</v>
      </c>
      <c r="M733" s="665" t="e">
        <f>#REF!+K733</f>
        <v>#REF!</v>
      </c>
      <c r="N733" s="666" t="e">
        <f t="shared" si="52"/>
        <v>#REF!</v>
      </c>
      <c r="O733" s="672"/>
      <c r="P733" s="668"/>
      <c r="Q733" s="676"/>
      <c r="R733" s="676"/>
    </row>
    <row r="734" spans="1:18" s="677" customFormat="1" ht="25.5" hidden="1" customHeight="1">
      <c r="A734" s="662"/>
      <c r="B734" s="663" t="s">
        <v>1784</v>
      </c>
      <c r="C734" s="739">
        <v>1340</v>
      </c>
      <c r="D734" s="674" t="s">
        <v>522</v>
      </c>
      <c r="E734" s="684"/>
      <c r="F734" s="667">
        <f t="shared" si="49"/>
        <v>0</v>
      </c>
      <c r="G734" s="675"/>
      <c r="H734" s="667">
        <f t="shared" si="50"/>
        <v>0</v>
      </c>
      <c r="I734" s="667"/>
      <c r="J734" s="667"/>
      <c r="K734" s="667" t="e">
        <f>E734+#REF!+#REF!+#REF!+G734+#REF!+#REF!+#REF!+#REF!+#REF!+#REF!+I734+#REF!+#REF!+#REF!</f>
        <v>#REF!</v>
      </c>
      <c r="L734" s="667" t="e">
        <f t="shared" si="51"/>
        <v>#REF!</v>
      </c>
      <c r="M734" s="665" t="e">
        <f>#REF!+K734</f>
        <v>#REF!</v>
      </c>
      <c r="N734" s="666" t="e">
        <f t="shared" si="52"/>
        <v>#REF!</v>
      </c>
      <c r="O734" s="672"/>
      <c r="P734" s="668"/>
      <c r="Q734" s="676"/>
      <c r="R734" s="676"/>
    </row>
    <row r="735" spans="1:18" s="677" customFormat="1" ht="25.5" hidden="1" customHeight="1">
      <c r="A735" s="662"/>
      <c r="B735" s="663" t="s">
        <v>1785</v>
      </c>
      <c r="C735" s="739">
        <v>604</v>
      </c>
      <c r="D735" s="674" t="s">
        <v>522</v>
      </c>
      <c r="E735" s="684"/>
      <c r="F735" s="667">
        <f t="shared" si="49"/>
        <v>0</v>
      </c>
      <c r="G735" s="675"/>
      <c r="H735" s="667">
        <f t="shared" si="50"/>
        <v>0</v>
      </c>
      <c r="I735" s="667"/>
      <c r="J735" s="667"/>
      <c r="K735" s="667" t="e">
        <f>E735+#REF!+#REF!+#REF!+G735+#REF!+#REF!+#REF!+#REF!+#REF!+#REF!+I735+#REF!+#REF!+#REF!</f>
        <v>#REF!</v>
      </c>
      <c r="L735" s="667" t="e">
        <f t="shared" si="51"/>
        <v>#REF!</v>
      </c>
      <c r="M735" s="665" t="e">
        <f>#REF!+K735</f>
        <v>#REF!</v>
      </c>
      <c r="N735" s="666" t="e">
        <f t="shared" si="52"/>
        <v>#REF!</v>
      </c>
      <c r="O735" s="672"/>
      <c r="P735" s="668"/>
      <c r="Q735" s="676"/>
      <c r="R735" s="676"/>
    </row>
    <row r="736" spans="1:18" s="677" customFormat="1" ht="69.75" hidden="1" customHeight="1">
      <c r="A736" s="662"/>
      <c r="B736" s="663" t="s">
        <v>1786</v>
      </c>
      <c r="C736" s="739"/>
      <c r="D736" s="674"/>
      <c r="E736" s="684"/>
      <c r="F736" s="667">
        <f t="shared" si="49"/>
        <v>0</v>
      </c>
      <c r="G736" s="675"/>
      <c r="H736" s="667">
        <f t="shared" si="50"/>
        <v>0</v>
      </c>
      <c r="I736" s="667"/>
      <c r="J736" s="667"/>
      <c r="K736" s="667" t="e">
        <f>E736+#REF!+#REF!+#REF!+G736+#REF!+#REF!+#REF!+#REF!+#REF!+#REF!+I736+#REF!+#REF!+#REF!</f>
        <v>#REF!</v>
      </c>
      <c r="L736" s="667" t="e">
        <f t="shared" si="51"/>
        <v>#REF!</v>
      </c>
      <c r="M736" s="665" t="e">
        <f>#REF!+K736</f>
        <v>#REF!</v>
      </c>
      <c r="N736" s="666" t="e">
        <f t="shared" si="52"/>
        <v>#REF!</v>
      </c>
      <c r="O736" s="672"/>
      <c r="P736" s="668"/>
      <c r="Q736" s="676"/>
      <c r="R736" s="676"/>
    </row>
    <row r="737" spans="1:18" s="677" customFormat="1" ht="25.5" hidden="1" customHeight="1">
      <c r="A737" s="662"/>
      <c r="B737" s="663" t="s">
        <v>168</v>
      </c>
      <c r="C737" s="739">
        <v>1000.51</v>
      </c>
      <c r="D737" s="674" t="s">
        <v>522</v>
      </c>
      <c r="E737" s="684"/>
      <c r="F737" s="667">
        <f t="shared" si="49"/>
        <v>0</v>
      </c>
      <c r="G737" s="675"/>
      <c r="H737" s="667">
        <f t="shared" si="50"/>
        <v>0</v>
      </c>
      <c r="I737" s="667"/>
      <c r="J737" s="667"/>
      <c r="K737" s="667" t="e">
        <f>E737+#REF!+#REF!+#REF!+G737+#REF!+#REF!+#REF!+#REF!+#REF!+#REF!+I737+#REF!+#REF!+#REF!</f>
        <v>#REF!</v>
      </c>
      <c r="L737" s="667" t="e">
        <f t="shared" si="51"/>
        <v>#REF!</v>
      </c>
      <c r="M737" s="665" t="e">
        <f>#REF!+K737</f>
        <v>#REF!</v>
      </c>
      <c r="N737" s="666" t="e">
        <f t="shared" si="52"/>
        <v>#REF!</v>
      </c>
      <c r="O737" s="672"/>
      <c r="P737" s="668"/>
      <c r="Q737" s="676"/>
      <c r="R737" s="676"/>
    </row>
    <row r="738" spans="1:18" s="677" customFormat="1" ht="25.5" hidden="1" customHeight="1">
      <c r="A738" s="662"/>
      <c r="B738" s="663" t="s">
        <v>170</v>
      </c>
      <c r="C738" s="739">
        <v>1003.51</v>
      </c>
      <c r="D738" s="674" t="s">
        <v>522</v>
      </c>
      <c r="E738" s="684"/>
      <c r="F738" s="667">
        <f t="shared" si="49"/>
        <v>0</v>
      </c>
      <c r="G738" s="675"/>
      <c r="H738" s="667">
        <f t="shared" si="50"/>
        <v>0</v>
      </c>
      <c r="I738" s="667"/>
      <c r="J738" s="667"/>
      <c r="K738" s="667" t="e">
        <f>E738+#REF!+#REF!+#REF!+G738+#REF!+#REF!+#REF!+#REF!+#REF!+#REF!+I738+#REF!+#REF!+#REF!</f>
        <v>#REF!</v>
      </c>
      <c r="L738" s="667" t="e">
        <f t="shared" si="51"/>
        <v>#REF!</v>
      </c>
      <c r="M738" s="665" t="e">
        <f>#REF!+K738</f>
        <v>#REF!</v>
      </c>
      <c r="N738" s="666" t="e">
        <f t="shared" si="52"/>
        <v>#REF!</v>
      </c>
      <c r="O738" s="672"/>
      <c r="P738" s="668"/>
      <c r="Q738" s="676"/>
      <c r="R738" s="676"/>
    </row>
    <row r="739" spans="1:18" s="677" customFormat="1" ht="116.25" hidden="1" customHeight="1">
      <c r="A739" s="662"/>
      <c r="B739" s="663" t="s">
        <v>1787</v>
      </c>
      <c r="C739" s="739">
        <v>769.3</v>
      </c>
      <c r="D739" s="674" t="s">
        <v>522</v>
      </c>
      <c r="E739" s="684"/>
      <c r="F739" s="667">
        <f t="shared" si="49"/>
        <v>0</v>
      </c>
      <c r="G739" s="675"/>
      <c r="H739" s="667">
        <f t="shared" si="50"/>
        <v>0</v>
      </c>
      <c r="I739" s="667"/>
      <c r="J739" s="667"/>
      <c r="K739" s="667" t="e">
        <f>E739+#REF!+#REF!+#REF!+G739+#REF!+#REF!+#REF!+#REF!+#REF!+#REF!+I739+#REF!+#REF!+#REF!</f>
        <v>#REF!</v>
      </c>
      <c r="L739" s="667" t="e">
        <f t="shared" si="51"/>
        <v>#REF!</v>
      </c>
      <c r="M739" s="665" t="e">
        <f>#REF!+K739</f>
        <v>#REF!</v>
      </c>
      <c r="N739" s="666" t="e">
        <f t="shared" si="52"/>
        <v>#REF!</v>
      </c>
      <c r="O739" s="672"/>
      <c r="P739" s="668"/>
      <c r="Q739" s="676"/>
      <c r="R739" s="676"/>
    </row>
    <row r="740" spans="1:18" s="677" customFormat="1" ht="116.25" hidden="1" customHeight="1">
      <c r="A740" s="662"/>
      <c r="B740" s="663" t="s">
        <v>1788</v>
      </c>
      <c r="C740" s="739">
        <v>536.54999999999995</v>
      </c>
      <c r="D740" s="674" t="s">
        <v>522</v>
      </c>
      <c r="E740" s="684"/>
      <c r="F740" s="667">
        <f t="shared" si="49"/>
        <v>0</v>
      </c>
      <c r="G740" s="675"/>
      <c r="H740" s="667">
        <f t="shared" si="50"/>
        <v>0</v>
      </c>
      <c r="I740" s="667"/>
      <c r="J740" s="667"/>
      <c r="K740" s="667" t="e">
        <f>E740+#REF!+#REF!+#REF!+G740+#REF!+#REF!+#REF!+#REF!+#REF!+#REF!+I740+#REF!+#REF!+#REF!</f>
        <v>#REF!</v>
      </c>
      <c r="L740" s="667" t="e">
        <f t="shared" si="51"/>
        <v>#REF!</v>
      </c>
      <c r="M740" s="665" t="e">
        <f>#REF!+K740</f>
        <v>#REF!</v>
      </c>
      <c r="N740" s="666" t="e">
        <f t="shared" si="52"/>
        <v>#REF!</v>
      </c>
      <c r="O740" s="672"/>
      <c r="P740" s="668"/>
      <c r="Q740" s="676"/>
      <c r="R740" s="676"/>
    </row>
    <row r="741" spans="1:18" s="677" customFormat="1" ht="46.5" hidden="1" customHeight="1">
      <c r="A741" s="662"/>
      <c r="B741" s="663" t="s">
        <v>1789</v>
      </c>
      <c r="C741" s="739">
        <v>627.4</v>
      </c>
      <c r="D741" s="757" t="s">
        <v>1790</v>
      </c>
      <c r="E741" s="684"/>
      <c r="F741" s="667">
        <f t="shared" ref="F741:F772" si="53">E741*C741</f>
        <v>0</v>
      </c>
      <c r="G741" s="675"/>
      <c r="H741" s="667">
        <f t="shared" ref="H741:H772" si="54">G741*C741</f>
        <v>0</v>
      </c>
      <c r="I741" s="667"/>
      <c r="J741" s="667"/>
      <c r="K741" s="667" t="e">
        <f>E741+#REF!+#REF!+#REF!+G741+#REF!+#REF!+#REF!+#REF!+#REF!+#REF!+I741+#REF!+#REF!+#REF!</f>
        <v>#REF!</v>
      </c>
      <c r="L741" s="667" t="e">
        <f t="shared" si="51"/>
        <v>#REF!</v>
      </c>
      <c r="M741" s="665" t="e">
        <f>#REF!+K741</f>
        <v>#REF!</v>
      </c>
      <c r="N741" s="666" t="e">
        <f t="shared" si="52"/>
        <v>#REF!</v>
      </c>
      <c r="O741" s="672"/>
      <c r="P741" s="668"/>
      <c r="Q741" s="676"/>
      <c r="R741" s="676"/>
    </row>
    <row r="742" spans="1:18" s="677" customFormat="1" ht="25.5" hidden="1" customHeight="1">
      <c r="A742" s="662"/>
      <c r="B742" s="663" t="s">
        <v>1791</v>
      </c>
      <c r="C742" s="739">
        <v>435</v>
      </c>
      <c r="D742" s="757" t="s">
        <v>1790</v>
      </c>
      <c r="E742" s="684"/>
      <c r="F742" s="667">
        <f t="shared" si="53"/>
        <v>0</v>
      </c>
      <c r="G742" s="675"/>
      <c r="H742" s="667">
        <f t="shared" si="54"/>
        <v>0</v>
      </c>
      <c r="I742" s="667"/>
      <c r="J742" s="667"/>
      <c r="K742" s="667" t="e">
        <f>E742+#REF!+#REF!+#REF!+G742+#REF!+#REF!+#REF!+#REF!+#REF!+#REF!+I742+#REF!+#REF!+#REF!</f>
        <v>#REF!</v>
      </c>
      <c r="L742" s="667" t="e">
        <f t="shared" si="51"/>
        <v>#REF!</v>
      </c>
      <c r="M742" s="665" t="e">
        <f>#REF!+K742</f>
        <v>#REF!</v>
      </c>
      <c r="N742" s="666" t="e">
        <f t="shared" si="52"/>
        <v>#REF!</v>
      </c>
      <c r="O742" s="672"/>
      <c r="P742" s="668"/>
      <c r="Q742" s="676"/>
      <c r="R742" s="676"/>
    </row>
    <row r="743" spans="1:18" s="677" customFormat="1" ht="25.5" hidden="1" customHeight="1">
      <c r="A743" s="662"/>
      <c r="B743" s="663" t="s">
        <v>1792</v>
      </c>
      <c r="C743" s="739">
        <v>356</v>
      </c>
      <c r="D743" s="757" t="s">
        <v>1790</v>
      </c>
      <c r="E743" s="684"/>
      <c r="F743" s="667">
        <f t="shared" si="53"/>
        <v>0</v>
      </c>
      <c r="G743" s="675"/>
      <c r="H743" s="667">
        <f t="shared" si="54"/>
        <v>0</v>
      </c>
      <c r="I743" s="667"/>
      <c r="J743" s="667"/>
      <c r="K743" s="667" t="e">
        <f>E743+#REF!+#REF!+#REF!+G743+#REF!+#REF!+#REF!+#REF!+#REF!+#REF!+I743+#REF!+#REF!+#REF!</f>
        <v>#REF!</v>
      </c>
      <c r="L743" s="667" t="e">
        <f t="shared" si="51"/>
        <v>#REF!</v>
      </c>
      <c r="M743" s="665" t="e">
        <f>#REF!+K743</f>
        <v>#REF!</v>
      </c>
      <c r="N743" s="666" t="e">
        <f t="shared" si="52"/>
        <v>#REF!</v>
      </c>
      <c r="O743" s="672"/>
      <c r="P743" s="668"/>
      <c r="Q743" s="676"/>
      <c r="R743" s="676"/>
    </row>
    <row r="744" spans="1:18" s="677" customFormat="1" ht="25.5" hidden="1" customHeight="1">
      <c r="A744" s="662"/>
      <c r="B744" s="663" t="s">
        <v>1793</v>
      </c>
      <c r="C744" s="739">
        <v>317</v>
      </c>
      <c r="D744" s="757" t="s">
        <v>1790</v>
      </c>
      <c r="E744" s="684"/>
      <c r="F744" s="667">
        <f t="shared" si="53"/>
        <v>0</v>
      </c>
      <c r="G744" s="675"/>
      <c r="H744" s="667">
        <f t="shared" si="54"/>
        <v>0</v>
      </c>
      <c r="I744" s="667"/>
      <c r="J744" s="667"/>
      <c r="K744" s="667" t="e">
        <f>E744+#REF!+#REF!+#REF!+G744+#REF!+#REF!+#REF!+#REF!+#REF!+#REF!+I744+#REF!+#REF!+#REF!</f>
        <v>#REF!</v>
      </c>
      <c r="L744" s="667" t="e">
        <f t="shared" si="51"/>
        <v>#REF!</v>
      </c>
      <c r="M744" s="665" t="e">
        <f>#REF!+K744</f>
        <v>#REF!</v>
      </c>
      <c r="N744" s="666" t="e">
        <f t="shared" si="52"/>
        <v>#REF!</v>
      </c>
      <c r="O744" s="672"/>
      <c r="P744" s="668"/>
      <c r="Q744" s="676"/>
      <c r="R744" s="676"/>
    </row>
    <row r="745" spans="1:18" s="677" customFormat="1" ht="25.5" hidden="1" customHeight="1">
      <c r="A745" s="662"/>
      <c r="B745" s="663" t="s">
        <v>1794</v>
      </c>
      <c r="C745" s="739">
        <v>176.84</v>
      </c>
      <c r="D745" s="757" t="s">
        <v>61</v>
      </c>
      <c r="E745" s="684"/>
      <c r="F745" s="667">
        <f t="shared" si="53"/>
        <v>0</v>
      </c>
      <c r="G745" s="675"/>
      <c r="H745" s="667">
        <f t="shared" si="54"/>
        <v>0</v>
      </c>
      <c r="I745" s="667"/>
      <c r="J745" s="667"/>
      <c r="K745" s="667" t="e">
        <f>E745+#REF!+#REF!+#REF!+G745+#REF!+#REF!+#REF!+#REF!+#REF!+#REF!+I745+#REF!+#REF!+#REF!</f>
        <v>#REF!</v>
      </c>
      <c r="L745" s="667" t="e">
        <f t="shared" si="51"/>
        <v>#REF!</v>
      </c>
      <c r="M745" s="665" t="e">
        <f>#REF!+K745</f>
        <v>#REF!</v>
      </c>
      <c r="N745" s="666" t="e">
        <f t="shared" si="52"/>
        <v>#REF!</v>
      </c>
      <c r="O745" s="672"/>
      <c r="P745" s="668"/>
      <c r="Q745" s="676"/>
      <c r="R745" s="676"/>
    </row>
    <row r="746" spans="1:18" s="677" customFormat="1" ht="69.75" hidden="1" customHeight="1">
      <c r="A746" s="662"/>
      <c r="B746" s="663" t="s">
        <v>1795</v>
      </c>
      <c r="C746" s="739">
        <v>293.25</v>
      </c>
      <c r="D746" s="757" t="s">
        <v>522</v>
      </c>
      <c r="E746" s="684"/>
      <c r="F746" s="667">
        <f t="shared" si="53"/>
        <v>0</v>
      </c>
      <c r="G746" s="675"/>
      <c r="H746" s="667">
        <f t="shared" si="54"/>
        <v>0</v>
      </c>
      <c r="I746" s="667"/>
      <c r="J746" s="667"/>
      <c r="K746" s="667" t="e">
        <f>E746+#REF!+#REF!+#REF!+G746+#REF!+#REF!+#REF!+#REF!+#REF!+#REF!+I746+#REF!+#REF!+#REF!</f>
        <v>#REF!</v>
      </c>
      <c r="L746" s="667" t="e">
        <f t="shared" si="51"/>
        <v>#REF!</v>
      </c>
      <c r="M746" s="665" t="e">
        <f>#REF!+K746</f>
        <v>#REF!</v>
      </c>
      <c r="N746" s="666" t="e">
        <f t="shared" si="52"/>
        <v>#REF!</v>
      </c>
      <c r="O746" s="672"/>
      <c r="P746" s="668"/>
      <c r="Q746" s="676"/>
      <c r="R746" s="676"/>
    </row>
    <row r="747" spans="1:18" s="677" customFormat="1" ht="69.75" hidden="1" customHeight="1">
      <c r="A747" s="662"/>
      <c r="B747" s="756" t="s">
        <v>1796</v>
      </c>
      <c r="C747" s="684"/>
      <c r="D747" s="674"/>
      <c r="E747" s="684"/>
      <c r="F747" s="667">
        <f t="shared" si="53"/>
        <v>0</v>
      </c>
      <c r="G747" s="675"/>
      <c r="H747" s="667">
        <f t="shared" si="54"/>
        <v>0</v>
      </c>
      <c r="I747" s="667"/>
      <c r="J747" s="667"/>
      <c r="K747" s="667" t="e">
        <f>E747+#REF!+#REF!+#REF!+G747+#REF!+#REF!+#REF!+#REF!+#REF!+#REF!+I747+#REF!+#REF!+#REF!</f>
        <v>#REF!</v>
      </c>
      <c r="L747" s="667" t="e">
        <f t="shared" si="51"/>
        <v>#REF!</v>
      </c>
      <c r="M747" s="665" t="e">
        <f>#REF!+K747</f>
        <v>#REF!</v>
      </c>
      <c r="N747" s="666" t="e">
        <f t="shared" si="52"/>
        <v>#REF!</v>
      </c>
      <c r="O747" s="672"/>
      <c r="P747" s="668"/>
      <c r="Q747" s="676"/>
      <c r="R747" s="676"/>
    </row>
    <row r="748" spans="1:18" s="677" customFormat="1" ht="25.5" hidden="1" customHeight="1">
      <c r="A748" s="662"/>
      <c r="B748" s="738" t="s">
        <v>1797</v>
      </c>
      <c r="C748" s="684">
        <f>[14]Data!R1455</f>
        <v>5611.1</v>
      </c>
      <c r="D748" s="674" t="s">
        <v>37</v>
      </c>
      <c r="E748" s="684"/>
      <c r="F748" s="667">
        <f t="shared" si="53"/>
        <v>0</v>
      </c>
      <c r="G748" s="675"/>
      <c r="H748" s="667">
        <f t="shared" si="54"/>
        <v>0</v>
      </c>
      <c r="I748" s="667"/>
      <c r="J748" s="667"/>
      <c r="K748" s="667" t="e">
        <f>E748+#REF!+#REF!+#REF!+G748+#REF!+#REF!+#REF!+#REF!+#REF!+#REF!+I748+#REF!+#REF!+#REF!</f>
        <v>#REF!</v>
      </c>
      <c r="L748" s="667" t="e">
        <f t="shared" si="51"/>
        <v>#REF!</v>
      </c>
      <c r="M748" s="665" t="e">
        <f>#REF!+K748</f>
        <v>#REF!</v>
      </c>
      <c r="N748" s="666" t="e">
        <f t="shared" si="52"/>
        <v>#REF!</v>
      </c>
      <c r="O748" s="672"/>
      <c r="P748" s="668"/>
      <c r="Q748" s="676"/>
      <c r="R748" s="676"/>
    </row>
    <row r="749" spans="1:18" s="677" customFormat="1" ht="25.5" hidden="1" customHeight="1">
      <c r="A749" s="662"/>
      <c r="B749" s="738" t="s">
        <v>1798</v>
      </c>
      <c r="C749" s="684">
        <f>'[14]Sliding and french window'!F145</f>
        <v>5107.12</v>
      </c>
      <c r="D749" s="674" t="s">
        <v>37</v>
      </c>
      <c r="E749" s="684"/>
      <c r="F749" s="667">
        <f t="shared" si="53"/>
        <v>0</v>
      </c>
      <c r="G749" s="675"/>
      <c r="H749" s="667">
        <f t="shared" si="54"/>
        <v>0</v>
      </c>
      <c r="I749" s="667"/>
      <c r="J749" s="667"/>
      <c r="K749" s="667" t="e">
        <f>E749+#REF!+#REF!+#REF!+G749+#REF!+#REF!+#REF!+#REF!+#REF!+#REF!+I749+#REF!+#REF!+#REF!</f>
        <v>#REF!</v>
      </c>
      <c r="L749" s="667" t="e">
        <f t="shared" si="51"/>
        <v>#REF!</v>
      </c>
      <c r="M749" s="665" t="e">
        <f>#REF!+K749</f>
        <v>#REF!</v>
      </c>
      <c r="N749" s="666" t="e">
        <f t="shared" si="52"/>
        <v>#REF!</v>
      </c>
      <c r="O749" s="672"/>
      <c r="P749" s="668"/>
      <c r="Q749" s="676"/>
      <c r="R749" s="676"/>
    </row>
    <row r="750" spans="1:18" s="677" customFormat="1" ht="25.5" hidden="1" customHeight="1">
      <c r="A750" s="662"/>
      <c r="B750" s="738" t="s">
        <v>1799</v>
      </c>
      <c r="C750" s="684">
        <f>'[14]Sliding and french window'!F32</f>
        <v>4757.03</v>
      </c>
      <c r="D750" s="674" t="s">
        <v>37</v>
      </c>
      <c r="E750" s="684"/>
      <c r="F750" s="667">
        <f t="shared" si="53"/>
        <v>0</v>
      </c>
      <c r="G750" s="675"/>
      <c r="H750" s="667">
        <f t="shared" si="54"/>
        <v>0</v>
      </c>
      <c r="I750" s="667"/>
      <c r="J750" s="667"/>
      <c r="K750" s="667" t="e">
        <f>E750+#REF!+#REF!+#REF!+G750+#REF!+#REF!+#REF!+#REF!+#REF!+#REF!+I750+#REF!+#REF!+#REF!</f>
        <v>#REF!</v>
      </c>
      <c r="L750" s="667" t="e">
        <f t="shared" si="51"/>
        <v>#REF!</v>
      </c>
      <c r="M750" s="665" t="e">
        <f>#REF!+K750</f>
        <v>#REF!</v>
      </c>
      <c r="N750" s="666" t="e">
        <f t="shared" si="52"/>
        <v>#REF!</v>
      </c>
      <c r="O750" s="672"/>
      <c r="P750" s="668"/>
      <c r="Q750" s="676"/>
      <c r="R750" s="676"/>
    </row>
    <row r="751" spans="1:18" s="677" customFormat="1" ht="25.5" hidden="1" customHeight="1">
      <c r="A751" s="662"/>
      <c r="B751" s="738" t="s">
        <v>1800</v>
      </c>
      <c r="C751" s="684">
        <f>'[14]Sliding and french window'!F310</f>
        <v>5118.9399999999996</v>
      </c>
      <c r="D751" s="674" t="s">
        <v>37</v>
      </c>
      <c r="E751" s="684"/>
      <c r="F751" s="667">
        <f t="shared" si="53"/>
        <v>0</v>
      </c>
      <c r="G751" s="675"/>
      <c r="H751" s="667">
        <f t="shared" si="54"/>
        <v>0</v>
      </c>
      <c r="I751" s="667"/>
      <c r="J751" s="667"/>
      <c r="K751" s="667" t="e">
        <f>E751+#REF!+#REF!+#REF!+G751+#REF!+#REF!+#REF!+#REF!+#REF!+#REF!+I751+#REF!+#REF!+#REF!</f>
        <v>#REF!</v>
      </c>
      <c r="L751" s="667" t="e">
        <f t="shared" si="51"/>
        <v>#REF!</v>
      </c>
      <c r="M751" s="665" t="e">
        <f>#REF!+K751</f>
        <v>#REF!</v>
      </c>
      <c r="N751" s="666" t="e">
        <f t="shared" si="52"/>
        <v>#REF!</v>
      </c>
      <c r="O751" s="672"/>
      <c r="P751" s="668"/>
      <c r="Q751" s="676"/>
      <c r="R751" s="676"/>
    </row>
    <row r="752" spans="1:18" s="677" customFormat="1" ht="25.5" hidden="1" customHeight="1">
      <c r="A752" s="662"/>
      <c r="B752" s="738" t="s">
        <v>1801</v>
      </c>
      <c r="C752" s="684">
        <f>'[14]Sliding and french window'!F167</f>
        <v>4446.5</v>
      </c>
      <c r="D752" s="674" t="s">
        <v>37</v>
      </c>
      <c r="E752" s="684"/>
      <c r="F752" s="667">
        <f t="shared" si="53"/>
        <v>0</v>
      </c>
      <c r="G752" s="675"/>
      <c r="H752" s="667">
        <f t="shared" si="54"/>
        <v>0</v>
      </c>
      <c r="I752" s="667"/>
      <c r="J752" s="667"/>
      <c r="K752" s="667" t="e">
        <f>E752+#REF!+#REF!+#REF!+G752+#REF!+#REF!+#REF!+#REF!+#REF!+#REF!+I752+#REF!+#REF!+#REF!</f>
        <v>#REF!</v>
      </c>
      <c r="L752" s="667" t="e">
        <f t="shared" si="51"/>
        <v>#REF!</v>
      </c>
      <c r="M752" s="665" t="e">
        <f>#REF!+K752</f>
        <v>#REF!</v>
      </c>
      <c r="N752" s="666" t="e">
        <f t="shared" si="52"/>
        <v>#REF!</v>
      </c>
      <c r="O752" s="672"/>
      <c r="P752" s="668"/>
      <c r="Q752" s="676"/>
      <c r="R752" s="676"/>
    </row>
    <row r="753" spans="1:18" s="677" customFormat="1" ht="25.5" hidden="1" customHeight="1">
      <c r="A753" s="662"/>
      <c r="B753" s="738" t="s">
        <v>1802</v>
      </c>
      <c r="C753" s="684">
        <f>'[14]Sliding and french window'!F145</f>
        <v>5107.12</v>
      </c>
      <c r="D753" s="674" t="s">
        <v>37</v>
      </c>
      <c r="E753" s="684"/>
      <c r="F753" s="667">
        <f t="shared" si="53"/>
        <v>0</v>
      </c>
      <c r="G753" s="675"/>
      <c r="H753" s="667">
        <f t="shared" si="54"/>
        <v>0</v>
      </c>
      <c r="I753" s="667"/>
      <c r="J753" s="667"/>
      <c r="K753" s="667" t="e">
        <f>E753+#REF!+#REF!+#REF!+G753+#REF!+#REF!+#REF!+#REF!+#REF!+#REF!+I753+#REF!+#REF!+#REF!</f>
        <v>#REF!</v>
      </c>
      <c r="L753" s="667" t="e">
        <f t="shared" si="51"/>
        <v>#REF!</v>
      </c>
      <c r="M753" s="665" t="e">
        <f>#REF!+K753</f>
        <v>#REF!</v>
      </c>
      <c r="N753" s="666" t="e">
        <f t="shared" si="52"/>
        <v>#REF!</v>
      </c>
      <c r="O753" s="672"/>
      <c r="P753" s="668"/>
      <c r="Q753" s="676"/>
      <c r="R753" s="676"/>
    </row>
    <row r="754" spans="1:18" s="677" customFormat="1" ht="25.5" hidden="1" customHeight="1">
      <c r="A754" s="662"/>
      <c r="B754" s="738" t="s">
        <v>1803</v>
      </c>
      <c r="C754" s="684">
        <f>'[14]Sliding and french window'!F46</f>
        <v>4517.32</v>
      </c>
      <c r="D754" s="674" t="s">
        <v>37</v>
      </c>
      <c r="E754" s="684"/>
      <c r="F754" s="667">
        <f t="shared" si="53"/>
        <v>0</v>
      </c>
      <c r="G754" s="675"/>
      <c r="H754" s="667">
        <f t="shared" si="54"/>
        <v>0</v>
      </c>
      <c r="I754" s="667"/>
      <c r="J754" s="667"/>
      <c r="K754" s="667" t="e">
        <f>E754+#REF!+#REF!+#REF!+G754+#REF!+#REF!+#REF!+#REF!+#REF!+#REF!+I754+#REF!+#REF!+#REF!</f>
        <v>#REF!</v>
      </c>
      <c r="L754" s="667" t="e">
        <f t="shared" si="51"/>
        <v>#REF!</v>
      </c>
      <c r="M754" s="665" t="e">
        <f>#REF!+K754</f>
        <v>#REF!</v>
      </c>
      <c r="N754" s="666" t="e">
        <f t="shared" si="52"/>
        <v>#REF!</v>
      </c>
      <c r="O754" s="672"/>
      <c r="P754" s="668"/>
      <c r="Q754" s="676"/>
      <c r="R754" s="676"/>
    </row>
    <row r="755" spans="1:18" s="677" customFormat="1" ht="25.5" hidden="1" customHeight="1">
      <c r="A755" s="662"/>
      <c r="B755" s="738" t="s">
        <v>1804</v>
      </c>
      <c r="C755" s="684">
        <f>'[14]Sliding and french window'!F32</f>
        <v>4757.03</v>
      </c>
      <c r="D755" s="674" t="s">
        <v>37</v>
      </c>
      <c r="E755" s="684"/>
      <c r="F755" s="667">
        <f t="shared" si="53"/>
        <v>0</v>
      </c>
      <c r="G755" s="675"/>
      <c r="H755" s="667">
        <f t="shared" si="54"/>
        <v>0</v>
      </c>
      <c r="I755" s="667"/>
      <c r="J755" s="667"/>
      <c r="K755" s="667" t="e">
        <f>E755+#REF!+#REF!+#REF!+G755+#REF!+#REF!+#REF!+#REF!+#REF!+#REF!+I755+#REF!+#REF!+#REF!</f>
        <v>#REF!</v>
      </c>
      <c r="L755" s="667" t="e">
        <f t="shared" si="51"/>
        <v>#REF!</v>
      </c>
      <c r="M755" s="665" t="e">
        <f>#REF!+K755</f>
        <v>#REF!</v>
      </c>
      <c r="N755" s="666" t="e">
        <f t="shared" si="52"/>
        <v>#REF!</v>
      </c>
      <c r="O755" s="672"/>
      <c r="P755" s="668"/>
      <c r="Q755" s="676"/>
      <c r="R755" s="676"/>
    </row>
    <row r="756" spans="1:18" s="677" customFormat="1" ht="25.5" hidden="1" customHeight="1">
      <c r="A756" s="662"/>
      <c r="B756" s="738" t="s">
        <v>1805</v>
      </c>
      <c r="C756" s="684">
        <f>'[14]Sliding and french window'!F167</f>
        <v>4446.5</v>
      </c>
      <c r="D756" s="674" t="s">
        <v>37</v>
      </c>
      <c r="E756" s="684"/>
      <c r="F756" s="667">
        <f t="shared" si="53"/>
        <v>0</v>
      </c>
      <c r="G756" s="675"/>
      <c r="H756" s="667">
        <f t="shared" si="54"/>
        <v>0</v>
      </c>
      <c r="I756" s="667"/>
      <c r="J756" s="667"/>
      <c r="K756" s="667" t="e">
        <f>E756+#REF!+#REF!+#REF!+G756+#REF!+#REF!+#REF!+#REF!+#REF!+#REF!+I756+#REF!+#REF!+#REF!</f>
        <v>#REF!</v>
      </c>
      <c r="L756" s="667" t="e">
        <f t="shared" si="51"/>
        <v>#REF!</v>
      </c>
      <c r="M756" s="665" t="e">
        <f>#REF!+K756</f>
        <v>#REF!</v>
      </c>
      <c r="N756" s="666" t="e">
        <f t="shared" si="52"/>
        <v>#REF!</v>
      </c>
      <c r="O756" s="672"/>
      <c r="P756" s="668"/>
      <c r="Q756" s="676"/>
      <c r="R756" s="676"/>
    </row>
    <row r="757" spans="1:18" s="677" customFormat="1" ht="25.5" hidden="1" customHeight="1">
      <c r="A757" s="662"/>
      <c r="B757" s="756" t="s">
        <v>1806</v>
      </c>
      <c r="C757" s="684"/>
      <c r="D757" s="674"/>
      <c r="E757" s="684"/>
      <c r="F757" s="667">
        <f t="shared" si="53"/>
        <v>0</v>
      </c>
      <c r="G757" s="675"/>
      <c r="H757" s="667">
        <f t="shared" si="54"/>
        <v>0</v>
      </c>
      <c r="I757" s="667"/>
      <c r="J757" s="667"/>
      <c r="K757" s="667" t="e">
        <f>E757+#REF!+#REF!+#REF!+G757+#REF!+#REF!+#REF!+#REF!+#REF!+#REF!+I757+#REF!+#REF!+#REF!</f>
        <v>#REF!</v>
      </c>
      <c r="L757" s="667" t="e">
        <f t="shared" si="51"/>
        <v>#REF!</v>
      </c>
      <c r="M757" s="665" t="e">
        <f>#REF!+K757</f>
        <v>#REF!</v>
      </c>
      <c r="N757" s="666" t="e">
        <f t="shared" si="52"/>
        <v>#REF!</v>
      </c>
      <c r="O757" s="672"/>
      <c r="P757" s="668"/>
      <c r="Q757" s="676"/>
      <c r="R757" s="676"/>
    </row>
    <row r="758" spans="1:18" s="677" customFormat="1" ht="33" hidden="1" customHeight="1">
      <c r="A758" s="662"/>
      <c r="B758" s="756" t="s">
        <v>1807</v>
      </c>
      <c r="C758" s="758">
        <f>[14]Data!K3999</f>
        <v>4714.8100000000004</v>
      </c>
      <c r="D758" s="674" t="s">
        <v>37</v>
      </c>
      <c r="E758" s="684"/>
      <c r="F758" s="667">
        <f t="shared" si="53"/>
        <v>0</v>
      </c>
      <c r="G758" s="675"/>
      <c r="H758" s="667">
        <f t="shared" si="54"/>
        <v>0</v>
      </c>
      <c r="I758" s="667"/>
      <c r="J758" s="667"/>
      <c r="K758" s="667" t="e">
        <f>E758+#REF!+#REF!+#REF!+G758+#REF!+#REF!+#REF!+#REF!+#REF!+#REF!+I758+#REF!+#REF!+#REF!</f>
        <v>#REF!</v>
      </c>
      <c r="L758" s="667" t="e">
        <f t="shared" si="51"/>
        <v>#REF!</v>
      </c>
      <c r="M758" s="665" t="e">
        <f>#REF!+K758</f>
        <v>#REF!</v>
      </c>
      <c r="N758" s="666" t="e">
        <f t="shared" si="52"/>
        <v>#REF!</v>
      </c>
      <c r="O758" s="672"/>
      <c r="P758" s="668"/>
      <c r="Q758" s="676"/>
      <c r="R758" s="676"/>
    </row>
    <row r="759" spans="1:18" s="677" customFormat="1" ht="33" hidden="1" customHeight="1">
      <c r="A759" s="662"/>
      <c r="B759" s="759" t="s">
        <v>1808</v>
      </c>
      <c r="C759" s="760">
        <f>[14]Data!K4015</f>
        <v>4530.8</v>
      </c>
      <c r="D759" s="674" t="s">
        <v>37</v>
      </c>
      <c r="E759" s="684"/>
      <c r="F759" s="667">
        <f t="shared" si="53"/>
        <v>0</v>
      </c>
      <c r="G759" s="675"/>
      <c r="H759" s="667">
        <f t="shared" si="54"/>
        <v>0</v>
      </c>
      <c r="I759" s="667"/>
      <c r="J759" s="667"/>
      <c r="K759" s="667" t="e">
        <f>E759+#REF!+#REF!+#REF!+G759+#REF!+#REF!+#REF!+#REF!+#REF!+#REF!+I759+#REF!+#REF!+#REF!</f>
        <v>#REF!</v>
      </c>
      <c r="L759" s="667" t="e">
        <f t="shared" si="51"/>
        <v>#REF!</v>
      </c>
      <c r="M759" s="665" t="e">
        <f>#REF!+K759</f>
        <v>#REF!</v>
      </c>
      <c r="N759" s="666" t="e">
        <f t="shared" si="52"/>
        <v>#REF!</v>
      </c>
      <c r="O759" s="672"/>
      <c r="P759" s="668"/>
      <c r="Q759" s="676"/>
      <c r="R759" s="676"/>
    </row>
    <row r="760" spans="1:18" s="677" customFormat="1" ht="33" hidden="1" customHeight="1">
      <c r="A760" s="662"/>
      <c r="B760" s="759" t="s">
        <v>1809</v>
      </c>
      <c r="C760" s="761">
        <f>[14]Data!K4030</f>
        <v>4872.84</v>
      </c>
      <c r="D760" s="674" t="s">
        <v>37</v>
      </c>
      <c r="E760" s="684"/>
      <c r="F760" s="667">
        <f t="shared" si="53"/>
        <v>0</v>
      </c>
      <c r="G760" s="675"/>
      <c r="H760" s="667">
        <f t="shared" si="54"/>
        <v>0</v>
      </c>
      <c r="I760" s="667"/>
      <c r="J760" s="667"/>
      <c r="K760" s="667" t="e">
        <f>E760+#REF!+#REF!+#REF!+G760+#REF!+#REF!+#REF!+#REF!+#REF!+#REF!+I760+#REF!+#REF!+#REF!</f>
        <v>#REF!</v>
      </c>
      <c r="L760" s="667" t="e">
        <f t="shared" si="51"/>
        <v>#REF!</v>
      </c>
      <c r="M760" s="665" t="e">
        <f>#REF!+K760</f>
        <v>#REF!</v>
      </c>
      <c r="N760" s="666" t="e">
        <f t="shared" si="52"/>
        <v>#REF!</v>
      </c>
      <c r="O760" s="672"/>
      <c r="P760" s="668"/>
      <c r="Q760" s="676"/>
      <c r="R760" s="676"/>
    </row>
    <row r="761" spans="1:18" s="677" customFormat="1" ht="33" hidden="1" customHeight="1">
      <c r="A761" s="662"/>
      <c r="B761" s="759" t="s">
        <v>1810</v>
      </c>
      <c r="C761" s="761">
        <f>[14]Data!K4042</f>
        <v>4763.7</v>
      </c>
      <c r="D761" s="674" t="s">
        <v>37</v>
      </c>
      <c r="E761" s="684"/>
      <c r="F761" s="667">
        <f t="shared" si="53"/>
        <v>0</v>
      </c>
      <c r="G761" s="675"/>
      <c r="H761" s="667">
        <f t="shared" si="54"/>
        <v>0</v>
      </c>
      <c r="I761" s="667"/>
      <c r="J761" s="667"/>
      <c r="K761" s="667" t="e">
        <f>E761+#REF!+#REF!+#REF!+G761+#REF!+#REF!+#REF!+#REF!+#REF!+#REF!+I761+#REF!+#REF!+#REF!</f>
        <v>#REF!</v>
      </c>
      <c r="L761" s="667" t="e">
        <f t="shared" si="51"/>
        <v>#REF!</v>
      </c>
      <c r="M761" s="665" t="e">
        <f>#REF!+K761</f>
        <v>#REF!</v>
      </c>
      <c r="N761" s="666" t="e">
        <f t="shared" si="52"/>
        <v>#REF!</v>
      </c>
      <c r="O761" s="672"/>
      <c r="P761" s="668"/>
      <c r="Q761" s="676"/>
      <c r="R761" s="676"/>
    </row>
    <row r="762" spans="1:18" s="677" customFormat="1" ht="25.5" hidden="1" customHeight="1">
      <c r="A762" s="662"/>
      <c r="B762" s="762"/>
      <c r="C762" s="739"/>
      <c r="D762" s="757" t="s">
        <v>522</v>
      </c>
      <c r="E762" s="684"/>
      <c r="F762" s="667">
        <f t="shared" si="53"/>
        <v>0</v>
      </c>
      <c r="G762" s="675"/>
      <c r="H762" s="667">
        <f t="shared" si="54"/>
        <v>0</v>
      </c>
      <c r="I762" s="667"/>
      <c r="J762" s="667"/>
      <c r="K762" s="667" t="e">
        <f>E762+#REF!+#REF!+#REF!+G762+#REF!+#REF!+#REF!+#REF!+#REF!+#REF!+I762+#REF!+#REF!+#REF!</f>
        <v>#REF!</v>
      </c>
      <c r="L762" s="667" t="e">
        <f t="shared" si="51"/>
        <v>#REF!</v>
      </c>
      <c r="M762" s="665" t="e">
        <f>#REF!+K762</f>
        <v>#REF!</v>
      </c>
      <c r="N762" s="666" t="e">
        <f t="shared" si="52"/>
        <v>#REF!</v>
      </c>
      <c r="O762" s="672"/>
      <c r="P762" s="668"/>
      <c r="Q762" s="676"/>
      <c r="R762" s="676"/>
    </row>
    <row r="763" spans="1:18" s="677" customFormat="1" ht="93" hidden="1" customHeight="1">
      <c r="A763" s="662"/>
      <c r="B763" s="663" t="s">
        <v>1811</v>
      </c>
      <c r="C763" s="739">
        <v>6950</v>
      </c>
      <c r="D763" s="757" t="s">
        <v>522</v>
      </c>
      <c r="E763" s="684"/>
      <c r="F763" s="667">
        <f t="shared" si="53"/>
        <v>0</v>
      </c>
      <c r="G763" s="675"/>
      <c r="H763" s="667">
        <f t="shared" si="54"/>
        <v>0</v>
      </c>
      <c r="I763" s="667"/>
      <c r="J763" s="667"/>
      <c r="K763" s="667" t="e">
        <f>E763+#REF!+#REF!+#REF!+G763+#REF!+#REF!+#REF!+#REF!+#REF!+#REF!+I763+#REF!+#REF!+#REF!</f>
        <v>#REF!</v>
      </c>
      <c r="L763" s="667" t="e">
        <f t="shared" si="51"/>
        <v>#REF!</v>
      </c>
      <c r="M763" s="665" t="e">
        <f>#REF!+K763</f>
        <v>#REF!</v>
      </c>
      <c r="N763" s="666" t="e">
        <f t="shared" si="52"/>
        <v>#REF!</v>
      </c>
      <c r="O763" s="672"/>
      <c r="P763" s="668"/>
      <c r="Q763" s="676"/>
      <c r="R763" s="676"/>
    </row>
    <row r="764" spans="1:18" s="677" customFormat="1" ht="46.5" hidden="1" customHeight="1">
      <c r="A764" s="662"/>
      <c r="B764" s="663" t="s">
        <v>1812</v>
      </c>
      <c r="C764" s="739">
        <v>634</v>
      </c>
      <c r="D764" s="757" t="s">
        <v>522</v>
      </c>
      <c r="E764" s="684"/>
      <c r="F764" s="667">
        <f t="shared" si="53"/>
        <v>0</v>
      </c>
      <c r="G764" s="675"/>
      <c r="H764" s="667">
        <f t="shared" si="54"/>
        <v>0</v>
      </c>
      <c r="I764" s="667"/>
      <c r="J764" s="667"/>
      <c r="K764" s="667" t="e">
        <f>E764+#REF!+#REF!+#REF!+G764+#REF!+#REF!+#REF!+#REF!+#REF!+#REF!+I764+#REF!+#REF!+#REF!</f>
        <v>#REF!</v>
      </c>
      <c r="L764" s="667" t="e">
        <f t="shared" si="51"/>
        <v>#REF!</v>
      </c>
      <c r="M764" s="665" t="e">
        <f>#REF!+K764</f>
        <v>#REF!</v>
      </c>
      <c r="N764" s="666" t="e">
        <f t="shared" si="52"/>
        <v>#REF!</v>
      </c>
      <c r="O764" s="672"/>
      <c r="P764" s="668"/>
      <c r="Q764" s="676"/>
      <c r="R764" s="676"/>
    </row>
    <row r="765" spans="1:18" s="677" customFormat="1" ht="69.75" hidden="1" customHeight="1">
      <c r="A765" s="662"/>
      <c r="B765" s="663" t="s">
        <v>1813</v>
      </c>
      <c r="C765" s="739">
        <v>9470</v>
      </c>
      <c r="D765" s="757" t="s">
        <v>522</v>
      </c>
      <c r="E765" s="684"/>
      <c r="F765" s="667">
        <f t="shared" si="53"/>
        <v>0</v>
      </c>
      <c r="G765" s="675"/>
      <c r="H765" s="667">
        <f t="shared" si="54"/>
        <v>0</v>
      </c>
      <c r="I765" s="667"/>
      <c r="J765" s="667"/>
      <c r="K765" s="667" t="e">
        <f>E765+#REF!+#REF!+#REF!+G765+#REF!+#REF!+#REF!+#REF!+#REF!+#REF!+I765+#REF!+#REF!+#REF!</f>
        <v>#REF!</v>
      </c>
      <c r="L765" s="667" t="e">
        <f t="shared" si="51"/>
        <v>#REF!</v>
      </c>
      <c r="M765" s="665" t="e">
        <f>#REF!+K765</f>
        <v>#REF!</v>
      </c>
      <c r="N765" s="666" t="e">
        <f t="shared" si="52"/>
        <v>#REF!</v>
      </c>
      <c r="O765" s="672"/>
      <c r="P765" s="668"/>
      <c r="Q765" s="676"/>
      <c r="R765" s="676"/>
    </row>
    <row r="766" spans="1:18" s="677" customFormat="1" ht="46.5" hidden="1" customHeight="1">
      <c r="A766" s="662"/>
      <c r="B766" s="663" t="s">
        <v>1814</v>
      </c>
      <c r="C766" s="739">
        <v>123622</v>
      </c>
      <c r="D766" s="757" t="s">
        <v>522</v>
      </c>
      <c r="E766" s="684"/>
      <c r="F766" s="667">
        <f t="shared" si="53"/>
        <v>0</v>
      </c>
      <c r="G766" s="675"/>
      <c r="H766" s="667">
        <f t="shared" si="54"/>
        <v>0</v>
      </c>
      <c r="I766" s="667"/>
      <c r="J766" s="667"/>
      <c r="K766" s="667" t="e">
        <f>E766+#REF!+#REF!+#REF!+G766+#REF!+#REF!+#REF!+#REF!+#REF!+#REF!+I766+#REF!+#REF!+#REF!</f>
        <v>#REF!</v>
      </c>
      <c r="L766" s="667" t="e">
        <f t="shared" si="51"/>
        <v>#REF!</v>
      </c>
      <c r="M766" s="665" t="e">
        <f>#REF!+K766</f>
        <v>#REF!</v>
      </c>
      <c r="N766" s="666" t="e">
        <f t="shared" si="52"/>
        <v>#REF!</v>
      </c>
      <c r="O766" s="672"/>
      <c r="P766" s="668"/>
      <c r="Q766" s="676"/>
      <c r="R766" s="676"/>
    </row>
    <row r="767" spans="1:18" s="677" customFormat="1" ht="69.75" hidden="1" customHeight="1">
      <c r="A767" s="662"/>
      <c r="B767" s="663" t="s">
        <v>1815</v>
      </c>
      <c r="C767" s="739">
        <v>704.75</v>
      </c>
      <c r="D767" s="674" t="s">
        <v>522</v>
      </c>
      <c r="E767" s="684"/>
      <c r="F767" s="667">
        <f t="shared" si="53"/>
        <v>0</v>
      </c>
      <c r="G767" s="675"/>
      <c r="H767" s="667">
        <f t="shared" si="54"/>
        <v>0</v>
      </c>
      <c r="I767" s="667"/>
      <c r="J767" s="667"/>
      <c r="K767" s="667" t="e">
        <f>E767+#REF!+#REF!+#REF!+G767+#REF!+#REF!+#REF!+#REF!+#REF!+#REF!+I767+#REF!+#REF!+#REF!</f>
        <v>#REF!</v>
      </c>
      <c r="L767" s="667" t="e">
        <f t="shared" si="51"/>
        <v>#REF!</v>
      </c>
      <c r="M767" s="665" t="e">
        <f>#REF!+K767</f>
        <v>#REF!</v>
      </c>
      <c r="N767" s="666" t="e">
        <f t="shared" si="52"/>
        <v>#REF!</v>
      </c>
      <c r="O767" s="672"/>
      <c r="P767" s="668"/>
      <c r="Q767" s="676"/>
      <c r="R767" s="676"/>
    </row>
    <row r="768" spans="1:18" s="677" customFormat="1" ht="69.75" hidden="1" customHeight="1">
      <c r="A768" s="662"/>
      <c r="B768" s="663" t="s">
        <v>1816</v>
      </c>
      <c r="C768" s="739">
        <v>514.85</v>
      </c>
      <c r="D768" s="674" t="s">
        <v>522</v>
      </c>
      <c r="E768" s="684"/>
      <c r="F768" s="667">
        <f t="shared" si="53"/>
        <v>0</v>
      </c>
      <c r="G768" s="675"/>
      <c r="H768" s="667">
        <f t="shared" si="54"/>
        <v>0</v>
      </c>
      <c r="I768" s="667"/>
      <c r="J768" s="667"/>
      <c r="K768" s="667" t="e">
        <f>E768+#REF!+#REF!+#REF!+G768+#REF!+#REF!+#REF!+#REF!+#REF!+#REF!+I768+#REF!+#REF!+#REF!</f>
        <v>#REF!</v>
      </c>
      <c r="L768" s="667" t="e">
        <f t="shared" si="51"/>
        <v>#REF!</v>
      </c>
      <c r="M768" s="665" t="e">
        <f>#REF!+K768</f>
        <v>#REF!</v>
      </c>
      <c r="N768" s="666" t="e">
        <f t="shared" si="52"/>
        <v>#REF!</v>
      </c>
      <c r="O768" s="672"/>
      <c r="P768" s="668"/>
      <c r="Q768" s="676"/>
      <c r="R768" s="676"/>
    </row>
    <row r="769" spans="1:18" s="677" customFormat="1" ht="25.5" hidden="1" customHeight="1">
      <c r="A769" s="662"/>
      <c r="B769" s="762" t="s">
        <v>1817</v>
      </c>
      <c r="C769" s="739">
        <v>473.5</v>
      </c>
      <c r="D769" s="757" t="s">
        <v>61</v>
      </c>
      <c r="E769" s="684"/>
      <c r="F769" s="667">
        <f t="shared" si="53"/>
        <v>0</v>
      </c>
      <c r="G769" s="675"/>
      <c r="H769" s="667">
        <f t="shared" si="54"/>
        <v>0</v>
      </c>
      <c r="I769" s="667"/>
      <c r="J769" s="667"/>
      <c r="K769" s="667" t="e">
        <f>E769+#REF!+#REF!+#REF!+G769+#REF!+#REF!+#REF!+#REF!+#REF!+#REF!+I769+#REF!+#REF!+#REF!</f>
        <v>#REF!</v>
      </c>
      <c r="L769" s="667" t="e">
        <f t="shared" si="51"/>
        <v>#REF!</v>
      </c>
      <c r="M769" s="665" t="e">
        <f>#REF!+K769</f>
        <v>#REF!</v>
      </c>
      <c r="N769" s="666" t="e">
        <f t="shared" si="52"/>
        <v>#REF!</v>
      </c>
      <c r="O769" s="672"/>
      <c r="P769" s="668"/>
      <c r="Q769" s="676"/>
      <c r="R769" s="676"/>
    </row>
    <row r="770" spans="1:18" s="677" customFormat="1" ht="46.5" hidden="1" customHeight="1">
      <c r="A770" s="662"/>
      <c r="B770" s="762" t="s">
        <v>1818</v>
      </c>
      <c r="C770" s="739">
        <v>952</v>
      </c>
      <c r="D770" s="757" t="s">
        <v>522</v>
      </c>
      <c r="E770" s="684"/>
      <c r="F770" s="667">
        <f t="shared" si="53"/>
        <v>0</v>
      </c>
      <c r="G770" s="675"/>
      <c r="H770" s="667">
        <f t="shared" si="54"/>
        <v>0</v>
      </c>
      <c r="I770" s="667"/>
      <c r="J770" s="667"/>
      <c r="K770" s="667" t="e">
        <f>E770+#REF!+#REF!+#REF!+G770+#REF!+#REF!+#REF!+#REF!+#REF!+#REF!+I770+#REF!+#REF!+#REF!</f>
        <v>#REF!</v>
      </c>
      <c r="L770" s="667" t="e">
        <f t="shared" si="51"/>
        <v>#REF!</v>
      </c>
      <c r="M770" s="665" t="e">
        <f>#REF!+K770</f>
        <v>#REF!</v>
      </c>
      <c r="N770" s="666" t="e">
        <f t="shared" si="52"/>
        <v>#REF!</v>
      </c>
      <c r="O770" s="672"/>
      <c r="P770" s="668"/>
      <c r="Q770" s="676"/>
      <c r="R770" s="676"/>
    </row>
    <row r="771" spans="1:18" s="677" customFormat="1" ht="25.5" hidden="1" customHeight="1">
      <c r="A771" s="662"/>
      <c r="B771" s="762" t="s">
        <v>1819</v>
      </c>
      <c r="C771" s="739">
        <v>11481.8</v>
      </c>
      <c r="D771" s="757" t="s">
        <v>522</v>
      </c>
      <c r="E771" s="684"/>
      <c r="F771" s="667">
        <f t="shared" si="53"/>
        <v>0</v>
      </c>
      <c r="G771" s="675"/>
      <c r="H771" s="667">
        <f t="shared" si="54"/>
        <v>0</v>
      </c>
      <c r="I771" s="667"/>
      <c r="J771" s="667"/>
      <c r="K771" s="667" t="e">
        <f>E771+#REF!+#REF!+#REF!+G771+#REF!+#REF!+#REF!+#REF!+#REF!+#REF!+I771+#REF!+#REF!+#REF!</f>
        <v>#REF!</v>
      </c>
      <c r="L771" s="667" t="e">
        <f t="shared" si="51"/>
        <v>#REF!</v>
      </c>
      <c r="M771" s="665" t="e">
        <f>#REF!+K771</f>
        <v>#REF!</v>
      </c>
      <c r="N771" s="666" t="e">
        <f t="shared" si="52"/>
        <v>#REF!</v>
      </c>
      <c r="O771" s="672"/>
      <c r="P771" s="668"/>
      <c r="Q771" s="676"/>
      <c r="R771" s="676"/>
    </row>
    <row r="772" spans="1:18" s="677" customFormat="1" ht="46.5" hidden="1" customHeight="1">
      <c r="A772" s="662"/>
      <c r="B772" s="762" t="s">
        <v>1820</v>
      </c>
      <c r="C772" s="739">
        <v>5325.6</v>
      </c>
      <c r="D772" s="757" t="s">
        <v>522</v>
      </c>
      <c r="E772" s="684"/>
      <c r="F772" s="667">
        <f t="shared" si="53"/>
        <v>0</v>
      </c>
      <c r="G772" s="675"/>
      <c r="H772" s="667">
        <f t="shared" si="54"/>
        <v>0</v>
      </c>
      <c r="I772" s="667"/>
      <c r="J772" s="667"/>
      <c r="K772" s="667" t="e">
        <f>E772+#REF!+#REF!+#REF!+G772+#REF!+#REF!+#REF!+#REF!+#REF!+#REF!+I772+#REF!+#REF!+#REF!</f>
        <v>#REF!</v>
      </c>
      <c r="L772" s="667" t="e">
        <f t="shared" si="51"/>
        <v>#REF!</v>
      </c>
      <c r="M772" s="665" t="e">
        <f>#REF!+K772</f>
        <v>#REF!</v>
      </c>
      <c r="N772" s="666" t="e">
        <f t="shared" si="52"/>
        <v>#REF!</v>
      </c>
      <c r="O772" s="672"/>
      <c r="P772" s="668"/>
      <c r="Q772" s="676"/>
      <c r="R772" s="676"/>
    </row>
    <row r="773" spans="1:18" s="677" customFormat="1" ht="46.5" hidden="1" customHeight="1">
      <c r="A773" s="662"/>
      <c r="B773" s="762" t="s">
        <v>1821</v>
      </c>
      <c r="C773" s="739">
        <v>8254.6</v>
      </c>
      <c r="D773" s="757" t="s">
        <v>522</v>
      </c>
      <c r="E773" s="684"/>
      <c r="F773" s="667">
        <f t="shared" ref="F773:F804" si="55">E773*C773</f>
        <v>0</v>
      </c>
      <c r="G773" s="675"/>
      <c r="H773" s="667">
        <f t="shared" ref="H773:H804" si="56">G773*C773</f>
        <v>0</v>
      </c>
      <c r="I773" s="667"/>
      <c r="J773" s="667"/>
      <c r="K773" s="667" t="e">
        <f>E773+#REF!+#REF!+#REF!+G773+#REF!+#REF!+#REF!+#REF!+#REF!+#REF!+I773+#REF!+#REF!+#REF!</f>
        <v>#REF!</v>
      </c>
      <c r="L773" s="667" t="e">
        <f t="shared" si="51"/>
        <v>#REF!</v>
      </c>
      <c r="M773" s="665" t="e">
        <f>#REF!+K773</f>
        <v>#REF!</v>
      </c>
      <c r="N773" s="666" t="e">
        <f t="shared" si="52"/>
        <v>#REF!</v>
      </c>
      <c r="O773" s="672"/>
      <c r="P773" s="668"/>
      <c r="Q773" s="676"/>
      <c r="R773" s="676"/>
    </row>
    <row r="774" spans="1:18" s="677" customFormat="1" ht="46.5" hidden="1" customHeight="1">
      <c r="A774" s="662"/>
      <c r="B774" s="762" t="s">
        <v>1822</v>
      </c>
      <c r="C774" s="739">
        <v>6588</v>
      </c>
      <c r="D774" s="757" t="s">
        <v>522</v>
      </c>
      <c r="E774" s="684"/>
      <c r="F774" s="667">
        <f t="shared" si="55"/>
        <v>0</v>
      </c>
      <c r="G774" s="675"/>
      <c r="H774" s="667">
        <f t="shared" si="56"/>
        <v>0</v>
      </c>
      <c r="I774" s="667"/>
      <c r="J774" s="667"/>
      <c r="K774" s="667" t="e">
        <f>E774+#REF!+#REF!+#REF!+G774+#REF!+#REF!+#REF!+#REF!+#REF!+#REF!+I774+#REF!+#REF!+#REF!</f>
        <v>#REF!</v>
      </c>
      <c r="L774" s="667" t="e">
        <f t="shared" ref="L774:L837" si="57">K774*C774</f>
        <v>#REF!</v>
      </c>
      <c r="M774" s="665" t="e">
        <f>#REF!+K774</f>
        <v>#REF!</v>
      </c>
      <c r="N774" s="666" t="e">
        <f t="shared" ref="N774:N837" si="58">M774*C774</f>
        <v>#REF!</v>
      </c>
      <c r="O774" s="672"/>
      <c r="P774" s="668"/>
      <c r="Q774" s="676"/>
      <c r="R774" s="676"/>
    </row>
    <row r="775" spans="1:18" s="677" customFormat="1" ht="46.5" hidden="1" customHeight="1">
      <c r="A775" s="662"/>
      <c r="B775" s="762" t="s">
        <v>1823</v>
      </c>
      <c r="C775" s="739">
        <v>593</v>
      </c>
      <c r="D775" s="763" t="s">
        <v>522</v>
      </c>
      <c r="E775" s="684"/>
      <c r="F775" s="667">
        <f t="shared" si="55"/>
        <v>0</v>
      </c>
      <c r="G775" s="675"/>
      <c r="H775" s="667">
        <f t="shared" si="56"/>
        <v>0</v>
      </c>
      <c r="I775" s="667"/>
      <c r="J775" s="667"/>
      <c r="K775" s="667" t="e">
        <f>E775+#REF!+#REF!+#REF!+G775+#REF!+#REF!+#REF!+#REF!+#REF!+#REF!+I775+#REF!+#REF!+#REF!</f>
        <v>#REF!</v>
      </c>
      <c r="L775" s="667" t="e">
        <f t="shared" si="57"/>
        <v>#REF!</v>
      </c>
      <c r="M775" s="665" t="e">
        <f>#REF!+K775</f>
        <v>#REF!</v>
      </c>
      <c r="N775" s="666" t="e">
        <f t="shared" si="58"/>
        <v>#REF!</v>
      </c>
      <c r="O775" s="672"/>
      <c r="P775" s="668"/>
      <c r="Q775" s="676"/>
      <c r="R775" s="676"/>
    </row>
    <row r="776" spans="1:18" s="677" customFormat="1" ht="25.5" hidden="1" customHeight="1">
      <c r="A776" s="662"/>
      <c r="B776" s="738" t="s">
        <v>1824</v>
      </c>
      <c r="C776" s="739"/>
      <c r="D776" s="741"/>
      <c r="E776" s="684"/>
      <c r="F776" s="667">
        <f t="shared" si="55"/>
        <v>0</v>
      </c>
      <c r="G776" s="675"/>
      <c r="H776" s="667">
        <f t="shared" si="56"/>
        <v>0</v>
      </c>
      <c r="I776" s="667"/>
      <c r="J776" s="667"/>
      <c r="K776" s="667" t="e">
        <f>E776+#REF!+#REF!+#REF!+G776+#REF!+#REF!+#REF!+#REF!+#REF!+#REF!+I776+#REF!+#REF!+#REF!</f>
        <v>#REF!</v>
      </c>
      <c r="L776" s="667" t="e">
        <f t="shared" si="57"/>
        <v>#REF!</v>
      </c>
      <c r="M776" s="665" t="e">
        <f>#REF!+K776</f>
        <v>#REF!</v>
      </c>
      <c r="N776" s="666" t="e">
        <f t="shared" si="58"/>
        <v>#REF!</v>
      </c>
      <c r="O776" s="672"/>
      <c r="P776" s="668"/>
      <c r="Q776" s="676"/>
      <c r="R776" s="676"/>
    </row>
    <row r="777" spans="1:18" s="677" customFormat="1" ht="25.5" hidden="1" customHeight="1">
      <c r="A777" s="662"/>
      <c r="B777" s="738" t="s">
        <v>1825</v>
      </c>
      <c r="C777" s="739">
        <v>6300</v>
      </c>
      <c r="D777" s="741" t="s">
        <v>37</v>
      </c>
      <c r="E777" s="684"/>
      <c r="F777" s="667">
        <f t="shared" si="55"/>
        <v>0</v>
      </c>
      <c r="G777" s="675"/>
      <c r="H777" s="667">
        <f t="shared" si="56"/>
        <v>0</v>
      </c>
      <c r="I777" s="667"/>
      <c r="J777" s="667"/>
      <c r="K777" s="667" t="e">
        <f>E777+#REF!+#REF!+#REF!+G777+#REF!+#REF!+#REF!+#REF!+#REF!+#REF!+I777+#REF!+#REF!+#REF!</f>
        <v>#REF!</v>
      </c>
      <c r="L777" s="667" t="e">
        <f t="shared" si="57"/>
        <v>#REF!</v>
      </c>
      <c r="M777" s="665" t="e">
        <f>#REF!+K777</f>
        <v>#REF!</v>
      </c>
      <c r="N777" s="666" t="e">
        <f t="shared" si="58"/>
        <v>#REF!</v>
      </c>
      <c r="O777" s="672"/>
      <c r="P777" s="668"/>
      <c r="Q777" s="676"/>
      <c r="R777" s="676"/>
    </row>
    <row r="778" spans="1:18" s="677" customFormat="1" ht="25.5" hidden="1" customHeight="1">
      <c r="A778" s="662"/>
      <c r="B778" s="738" t="s">
        <v>1826</v>
      </c>
      <c r="C778" s="739">
        <v>6300</v>
      </c>
      <c r="D778" s="741" t="s">
        <v>37</v>
      </c>
      <c r="E778" s="684"/>
      <c r="F778" s="667">
        <f t="shared" si="55"/>
        <v>0</v>
      </c>
      <c r="G778" s="675"/>
      <c r="H778" s="667">
        <f t="shared" si="56"/>
        <v>0</v>
      </c>
      <c r="I778" s="667"/>
      <c r="J778" s="667"/>
      <c r="K778" s="667" t="e">
        <f>E778+#REF!+#REF!+#REF!+G778+#REF!+#REF!+#REF!+#REF!+#REF!+#REF!+I778+#REF!+#REF!+#REF!</f>
        <v>#REF!</v>
      </c>
      <c r="L778" s="667" t="e">
        <f t="shared" si="57"/>
        <v>#REF!</v>
      </c>
      <c r="M778" s="665" t="e">
        <f>#REF!+K778</f>
        <v>#REF!</v>
      </c>
      <c r="N778" s="666" t="e">
        <f t="shared" si="58"/>
        <v>#REF!</v>
      </c>
      <c r="O778" s="672"/>
      <c r="P778" s="668"/>
      <c r="Q778" s="676"/>
      <c r="R778" s="676"/>
    </row>
    <row r="779" spans="1:18" s="677" customFormat="1" ht="25.5" hidden="1" customHeight="1">
      <c r="A779" s="662"/>
      <c r="B779" s="738" t="s">
        <v>1827</v>
      </c>
      <c r="C779" s="739">
        <v>6300</v>
      </c>
      <c r="D779" s="741" t="s">
        <v>37</v>
      </c>
      <c r="E779" s="684"/>
      <c r="F779" s="667">
        <f t="shared" si="55"/>
        <v>0</v>
      </c>
      <c r="G779" s="675"/>
      <c r="H779" s="667">
        <f t="shared" si="56"/>
        <v>0</v>
      </c>
      <c r="I779" s="667"/>
      <c r="J779" s="667"/>
      <c r="K779" s="667" t="e">
        <f>E779+#REF!+#REF!+#REF!+G779+#REF!+#REF!+#REF!+#REF!+#REF!+#REF!+I779+#REF!+#REF!+#REF!</f>
        <v>#REF!</v>
      </c>
      <c r="L779" s="667" t="e">
        <f t="shared" si="57"/>
        <v>#REF!</v>
      </c>
      <c r="M779" s="665" t="e">
        <f>#REF!+K779</f>
        <v>#REF!</v>
      </c>
      <c r="N779" s="666" t="e">
        <f t="shared" si="58"/>
        <v>#REF!</v>
      </c>
      <c r="O779" s="672"/>
      <c r="P779" s="668"/>
      <c r="Q779" s="676"/>
      <c r="R779" s="676"/>
    </row>
    <row r="780" spans="1:18" s="677" customFormat="1" ht="25.5" hidden="1" customHeight="1">
      <c r="A780" s="662"/>
      <c r="B780" s="738" t="s">
        <v>1828</v>
      </c>
      <c r="C780" s="739">
        <v>6300</v>
      </c>
      <c r="D780" s="741" t="s">
        <v>37</v>
      </c>
      <c r="E780" s="684"/>
      <c r="F780" s="667">
        <f t="shared" si="55"/>
        <v>0</v>
      </c>
      <c r="G780" s="675"/>
      <c r="H780" s="667">
        <f t="shared" si="56"/>
        <v>0</v>
      </c>
      <c r="I780" s="667"/>
      <c r="J780" s="667"/>
      <c r="K780" s="667" t="e">
        <f>E780+#REF!+#REF!+#REF!+G780+#REF!+#REF!+#REF!+#REF!+#REF!+#REF!+I780+#REF!+#REF!+#REF!</f>
        <v>#REF!</v>
      </c>
      <c r="L780" s="667" t="e">
        <f t="shared" si="57"/>
        <v>#REF!</v>
      </c>
      <c r="M780" s="665" t="e">
        <f>#REF!+K780</f>
        <v>#REF!</v>
      </c>
      <c r="N780" s="666" t="e">
        <f t="shared" si="58"/>
        <v>#REF!</v>
      </c>
      <c r="O780" s="672"/>
      <c r="P780" s="668"/>
      <c r="Q780" s="676"/>
      <c r="R780" s="676"/>
    </row>
    <row r="781" spans="1:18" s="677" customFormat="1" ht="25.5" hidden="1" customHeight="1">
      <c r="A781" s="662"/>
      <c r="B781" s="738" t="s">
        <v>1829</v>
      </c>
      <c r="C781" s="739">
        <v>6300</v>
      </c>
      <c r="D781" s="741" t="s">
        <v>37</v>
      </c>
      <c r="E781" s="684"/>
      <c r="F781" s="667">
        <f t="shared" si="55"/>
        <v>0</v>
      </c>
      <c r="G781" s="675"/>
      <c r="H781" s="667">
        <f t="shared" si="56"/>
        <v>0</v>
      </c>
      <c r="I781" s="667"/>
      <c r="J781" s="667"/>
      <c r="K781" s="667" t="e">
        <f>E781+#REF!+#REF!+#REF!+G781+#REF!+#REF!+#REF!+#REF!+#REF!+#REF!+I781+#REF!+#REF!+#REF!</f>
        <v>#REF!</v>
      </c>
      <c r="L781" s="667" t="e">
        <f t="shared" si="57"/>
        <v>#REF!</v>
      </c>
      <c r="M781" s="665" t="e">
        <f>#REF!+K781</f>
        <v>#REF!</v>
      </c>
      <c r="N781" s="666" t="e">
        <f t="shared" si="58"/>
        <v>#REF!</v>
      </c>
      <c r="O781" s="672"/>
      <c r="P781" s="668"/>
      <c r="Q781" s="676"/>
      <c r="R781" s="676"/>
    </row>
    <row r="782" spans="1:18" s="677" customFormat="1" ht="25.5" hidden="1" customHeight="1">
      <c r="A782" s="662"/>
      <c r="B782" s="738" t="s">
        <v>1830</v>
      </c>
      <c r="C782" s="739">
        <v>6300</v>
      </c>
      <c r="D782" s="741" t="s">
        <v>37</v>
      </c>
      <c r="E782" s="684"/>
      <c r="F782" s="667">
        <f t="shared" si="55"/>
        <v>0</v>
      </c>
      <c r="G782" s="675"/>
      <c r="H782" s="667">
        <f t="shared" si="56"/>
        <v>0</v>
      </c>
      <c r="I782" s="667"/>
      <c r="J782" s="667"/>
      <c r="K782" s="667" t="e">
        <f>E782+#REF!+#REF!+#REF!+G782+#REF!+#REF!+#REF!+#REF!+#REF!+#REF!+I782+#REF!+#REF!+#REF!</f>
        <v>#REF!</v>
      </c>
      <c r="L782" s="667" t="e">
        <f t="shared" si="57"/>
        <v>#REF!</v>
      </c>
      <c r="M782" s="665" t="e">
        <f>#REF!+K782</f>
        <v>#REF!</v>
      </c>
      <c r="N782" s="666" t="e">
        <f t="shared" si="58"/>
        <v>#REF!</v>
      </c>
      <c r="O782" s="672"/>
      <c r="P782" s="668"/>
      <c r="Q782" s="676"/>
      <c r="R782" s="676"/>
    </row>
    <row r="783" spans="1:18" s="677" customFormat="1" ht="25.5" hidden="1" customHeight="1">
      <c r="A783" s="662"/>
      <c r="B783" s="738" t="s">
        <v>1831</v>
      </c>
      <c r="C783" s="739">
        <v>6300</v>
      </c>
      <c r="D783" s="741" t="s">
        <v>37</v>
      </c>
      <c r="E783" s="684"/>
      <c r="F783" s="667">
        <f t="shared" si="55"/>
        <v>0</v>
      </c>
      <c r="G783" s="675"/>
      <c r="H783" s="667">
        <f t="shared" si="56"/>
        <v>0</v>
      </c>
      <c r="I783" s="667"/>
      <c r="J783" s="667"/>
      <c r="K783" s="667" t="e">
        <f>E783+#REF!+#REF!+#REF!+G783+#REF!+#REF!+#REF!+#REF!+#REF!+#REF!+I783+#REF!+#REF!+#REF!</f>
        <v>#REF!</v>
      </c>
      <c r="L783" s="667" t="e">
        <f t="shared" si="57"/>
        <v>#REF!</v>
      </c>
      <c r="M783" s="665" t="e">
        <f>#REF!+K783</f>
        <v>#REF!</v>
      </c>
      <c r="N783" s="666" t="e">
        <f t="shared" si="58"/>
        <v>#REF!</v>
      </c>
      <c r="O783" s="672"/>
      <c r="P783" s="668"/>
      <c r="Q783" s="676"/>
      <c r="R783" s="676"/>
    </row>
    <row r="784" spans="1:18" s="677" customFormat="1" ht="25.5" hidden="1" customHeight="1">
      <c r="A784" s="662"/>
      <c r="B784" s="738" t="s">
        <v>1832</v>
      </c>
      <c r="C784" s="739">
        <v>6300</v>
      </c>
      <c r="D784" s="741" t="s">
        <v>37</v>
      </c>
      <c r="E784" s="684"/>
      <c r="F784" s="667">
        <f t="shared" si="55"/>
        <v>0</v>
      </c>
      <c r="G784" s="675"/>
      <c r="H784" s="667">
        <f t="shared" si="56"/>
        <v>0</v>
      </c>
      <c r="I784" s="667"/>
      <c r="J784" s="667"/>
      <c r="K784" s="667" t="e">
        <f>E784+#REF!+#REF!+#REF!+G784+#REF!+#REF!+#REF!+#REF!+#REF!+#REF!+I784+#REF!+#REF!+#REF!</f>
        <v>#REF!</v>
      </c>
      <c r="L784" s="667" t="e">
        <f t="shared" si="57"/>
        <v>#REF!</v>
      </c>
      <c r="M784" s="665" t="e">
        <f>#REF!+K784</f>
        <v>#REF!</v>
      </c>
      <c r="N784" s="666" t="e">
        <f t="shared" si="58"/>
        <v>#REF!</v>
      </c>
      <c r="O784" s="672"/>
      <c r="P784" s="668"/>
      <c r="Q784" s="676"/>
      <c r="R784" s="676"/>
    </row>
    <row r="785" spans="1:18" s="677" customFormat="1" ht="26.25" hidden="1" customHeight="1">
      <c r="A785" s="662"/>
      <c r="B785" s="685" t="s">
        <v>1833</v>
      </c>
      <c r="C785" s="739"/>
      <c r="D785" s="741"/>
      <c r="E785" s="684"/>
      <c r="F785" s="667">
        <f t="shared" si="55"/>
        <v>0</v>
      </c>
      <c r="G785" s="675"/>
      <c r="H785" s="667">
        <f t="shared" si="56"/>
        <v>0</v>
      </c>
      <c r="I785" s="667"/>
      <c r="J785" s="667"/>
      <c r="K785" s="667" t="e">
        <f>E785+#REF!+#REF!+#REF!+G785+#REF!+#REF!+#REF!+#REF!+#REF!+#REF!+I785+#REF!+#REF!+#REF!</f>
        <v>#REF!</v>
      </c>
      <c r="L785" s="667" t="e">
        <f t="shared" si="57"/>
        <v>#REF!</v>
      </c>
      <c r="M785" s="665" t="e">
        <f>#REF!+K785</f>
        <v>#REF!</v>
      </c>
      <c r="N785" s="666" t="e">
        <f t="shared" si="58"/>
        <v>#REF!</v>
      </c>
      <c r="O785" s="672"/>
      <c r="P785" s="668"/>
      <c r="Q785" s="676"/>
      <c r="R785" s="676"/>
    </row>
    <row r="786" spans="1:18" s="677" customFormat="1" ht="25.5" hidden="1" customHeight="1">
      <c r="A786" s="662"/>
      <c r="B786" s="738" t="s">
        <v>1834</v>
      </c>
      <c r="C786" s="739">
        <v>8520</v>
      </c>
      <c r="D786" s="741" t="s">
        <v>522</v>
      </c>
      <c r="E786" s="684"/>
      <c r="F786" s="667">
        <f t="shared" si="55"/>
        <v>0</v>
      </c>
      <c r="G786" s="675"/>
      <c r="H786" s="667">
        <f t="shared" si="56"/>
        <v>0</v>
      </c>
      <c r="I786" s="667"/>
      <c r="J786" s="667"/>
      <c r="K786" s="667" t="e">
        <f>E786+#REF!+#REF!+#REF!+G786+#REF!+#REF!+#REF!+#REF!+#REF!+#REF!+I786+#REF!+#REF!+#REF!</f>
        <v>#REF!</v>
      </c>
      <c r="L786" s="667" t="e">
        <f t="shared" si="57"/>
        <v>#REF!</v>
      </c>
      <c r="M786" s="665" t="e">
        <f>#REF!+K786</f>
        <v>#REF!</v>
      </c>
      <c r="N786" s="666" t="e">
        <f t="shared" si="58"/>
        <v>#REF!</v>
      </c>
      <c r="O786" s="672"/>
      <c r="P786" s="668"/>
      <c r="Q786" s="676"/>
      <c r="R786" s="676"/>
    </row>
    <row r="787" spans="1:18" s="677" customFormat="1" ht="46.5" hidden="1" customHeight="1">
      <c r="A787" s="662"/>
      <c r="B787" s="685" t="s">
        <v>1835</v>
      </c>
      <c r="C787" s="739"/>
      <c r="D787" s="741"/>
      <c r="E787" s="684"/>
      <c r="F787" s="667">
        <f t="shared" si="55"/>
        <v>0</v>
      </c>
      <c r="G787" s="675"/>
      <c r="H787" s="667">
        <f t="shared" si="56"/>
        <v>0</v>
      </c>
      <c r="I787" s="667"/>
      <c r="J787" s="667"/>
      <c r="K787" s="667" t="e">
        <f>E787+#REF!+#REF!+#REF!+G787+#REF!+#REF!+#REF!+#REF!+#REF!+#REF!+I787+#REF!+#REF!+#REF!</f>
        <v>#REF!</v>
      </c>
      <c r="L787" s="667" t="e">
        <f t="shared" si="57"/>
        <v>#REF!</v>
      </c>
      <c r="M787" s="665" t="e">
        <f>#REF!+K787</f>
        <v>#REF!</v>
      </c>
      <c r="N787" s="666" t="e">
        <f t="shared" si="58"/>
        <v>#REF!</v>
      </c>
      <c r="O787" s="672"/>
      <c r="P787" s="668"/>
      <c r="Q787" s="676"/>
      <c r="R787" s="676"/>
    </row>
    <row r="788" spans="1:18" s="677" customFormat="1" ht="25.5" hidden="1" customHeight="1">
      <c r="A788" s="662"/>
      <c r="B788" s="738" t="s">
        <v>1836</v>
      </c>
      <c r="C788" s="739">
        <f>[14]Data!K2492</f>
        <v>4353.33</v>
      </c>
      <c r="D788" s="741" t="s">
        <v>37</v>
      </c>
      <c r="E788" s="684"/>
      <c r="F788" s="667">
        <f t="shared" si="55"/>
        <v>0</v>
      </c>
      <c r="G788" s="675"/>
      <c r="H788" s="667">
        <f t="shared" si="56"/>
        <v>0</v>
      </c>
      <c r="I788" s="667"/>
      <c r="J788" s="667"/>
      <c r="K788" s="667" t="e">
        <f>E788+#REF!+#REF!+#REF!+G788+#REF!+#REF!+#REF!+#REF!+#REF!+#REF!+I788+#REF!+#REF!+#REF!</f>
        <v>#REF!</v>
      </c>
      <c r="L788" s="667" t="e">
        <f t="shared" si="57"/>
        <v>#REF!</v>
      </c>
      <c r="M788" s="665" t="e">
        <f>#REF!+K788</f>
        <v>#REF!</v>
      </c>
      <c r="N788" s="666" t="e">
        <f t="shared" si="58"/>
        <v>#REF!</v>
      </c>
      <c r="O788" s="672"/>
      <c r="P788" s="668"/>
      <c r="Q788" s="676"/>
      <c r="R788" s="676"/>
    </row>
    <row r="789" spans="1:18" s="677" customFormat="1" ht="25.5" hidden="1" customHeight="1">
      <c r="A789" s="662"/>
      <c r="B789" s="738" t="s">
        <v>1837</v>
      </c>
      <c r="C789" s="675">
        <v>5654</v>
      </c>
      <c r="D789" s="742" t="s">
        <v>1838</v>
      </c>
      <c r="E789" s="684"/>
      <c r="F789" s="667">
        <f t="shared" si="55"/>
        <v>0</v>
      </c>
      <c r="G789" s="675"/>
      <c r="H789" s="667">
        <f t="shared" si="56"/>
        <v>0</v>
      </c>
      <c r="I789" s="667"/>
      <c r="J789" s="667"/>
      <c r="K789" s="667" t="e">
        <f>E789+#REF!+#REF!+#REF!+G789+#REF!+#REF!+#REF!+#REF!+#REF!+#REF!+I789+#REF!+#REF!+#REF!</f>
        <v>#REF!</v>
      </c>
      <c r="L789" s="667" t="e">
        <f t="shared" si="57"/>
        <v>#REF!</v>
      </c>
      <c r="M789" s="665" t="e">
        <f>#REF!+K789</f>
        <v>#REF!</v>
      </c>
      <c r="N789" s="666" t="e">
        <f t="shared" si="58"/>
        <v>#REF!</v>
      </c>
      <c r="O789" s="672"/>
      <c r="P789" s="668"/>
      <c r="Q789" s="676"/>
      <c r="R789" s="676"/>
    </row>
    <row r="790" spans="1:18" s="677" customFormat="1" ht="81.75" hidden="1" customHeight="1">
      <c r="A790" s="662"/>
      <c r="B790" s="764" t="s">
        <v>1839</v>
      </c>
      <c r="C790" s="675">
        <v>6500</v>
      </c>
      <c r="D790" s="765" t="s">
        <v>37</v>
      </c>
      <c r="E790" s="684"/>
      <c r="F790" s="667">
        <f t="shared" si="55"/>
        <v>0</v>
      </c>
      <c r="G790" s="675"/>
      <c r="H790" s="667">
        <f t="shared" si="56"/>
        <v>0</v>
      </c>
      <c r="I790" s="667"/>
      <c r="J790" s="667"/>
      <c r="K790" s="667" t="e">
        <f>E790+#REF!+#REF!+#REF!+G790+#REF!+#REF!+#REF!+#REF!+#REF!+#REF!+I790+#REF!+#REF!+#REF!</f>
        <v>#REF!</v>
      </c>
      <c r="L790" s="667" t="e">
        <f t="shared" si="57"/>
        <v>#REF!</v>
      </c>
      <c r="M790" s="665" t="e">
        <f>#REF!+K790</f>
        <v>#REF!</v>
      </c>
      <c r="N790" s="666" t="e">
        <f t="shared" si="58"/>
        <v>#REF!</v>
      </c>
      <c r="O790" s="672"/>
      <c r="P790" s="668"/>
      <c r="Q790" s="676"/>
      <c r="R790" s="676"/>
    </row>
    <row r="791" spans="1:18" s="677" customFormat="1" ht="65.25" hidden="1" customHeight="1">
      <c r="A791" s="662"/>
      <c r="B791" s="764" t="s">
        <v>1840</v>
      </c>
      <c r="C791" s="675">
        <v>6000</v>
      </c>
      <c r="D791" s="765" t="s">
        <v>37</v>
      </c>
      <c r="E791" s="684"/>
      <c r="F791" s="667">
        <f t="shared" si="55"/>
        <v>0</v>
      </c>
      <c r="G791" s="675"/>
      <c r="H791" s="667">
        <f t="shared" si="56"/>
        <v>0</v>
      </c>
      <c r="I791" s="667"/>
      <c r="J791" s="667"/>
      <c r="K791" s="667" t="e">
        <f>E791+#REF!+#REF!+#REF!+G791+#REF!+#REF!+#REF!+#REF!+#REF!+#REF!+I791+#REF!+#REF!+#REF!</f>
        <v>#REF!</v>
      </c>
      <c r="L791" s="667" t="e">
        <f t="shared" si="57"/>
        <v>#REF!</v>
      </c>
      <c r="M791" s="665" t="e">
        <f>#REF!+K791</f>
        <v>#REF!</v>
      </c>
      <c r="N791" s="666" t="e">
        <f t="shared" si="58"/>
        <v>#REF!</v>
      </c>
      <c r="O791" s="672"/>
      <c r="P791" s="668"/>
      <c r="Q791" s="676"/>
      <c r="R791" s="676"/>
    </row>
    <row r="792" spans="1:18" s="677" customFormat="1" ht="46.5" hidden="1" customHeight="1">
      <c r="A792" s="662"/>
      <c r="B792" s="738" t="s">
        <v>1841</v>
      </c>
      <c r="C792" s="739">
        <v>2286.4499999999998</v>
      </c>
      <c r="D792" s="741" t="s">
        <v>522</v>
      </c>
      <c r="E792" s="684"/>
      <c r="F792" s="667">
        <f t="shared" si="55"/>
        <v>0</v>
      </c>
      <c r="G792" s="675"/>
      <c r="H792" s="667">
        <f t="shared" si="56"/>
        <v>0</v>
      </c>
      <c r="I792" s="667"/>
      <c r="J792" s="667"/>
      <c r="K792" s="667" t="e">
        <f>E792+#REF!+#REF!+#REF!+G792+#REF!+#REF!+#REF!+#REF!+#REF!+#REF!+I792+#REF!+#REF!+#REF!</f>
        <v>#REF!</v>
      </c>
      <c r="L792" s="667" t="e">
        <f t="shared" si="57"/>
        <v>#REF!</v>
      </c>
      <c r="M792" s="665" t="e">
        <f>#REF!+K792</f>
        <v>#REF!</v>
      </c>
      <c r="N792" s="666" t="e">
        <f t="shared" si="58"/>
        <v>#REF!</v>
      </c>
      <c r="O792" s="672"/>
      <c r="P792" s="668"/>
      <c r="Q792" s="676"/>
      <c r="R792" s="676"/>
    </row>
    <row r="793" spans="1:18" s="677" customFormat="1" ht="86.25" hidden="1" customHeight="1">
      <c r="A793" s="662"/>
      <c r="B793" s="743" t="s">
        <v>1842</v>
      </c>
      <c r="C793" s="684">
        <v>2240</v>
      </c>
      <c r="D793" s="766" t="s">
        <v>37</v>
      </c>
      <c r="E793" s="684"/>
      <c r="F793" s="667">
        <f t="shared" si="55"/>
        <v>0</v>
      </c>
      <c r="G793" s="675"/>
      <c r="H793" s="667">
        <f t="shared" si="56"/>
        <v>0</v>
      </c>
      <c r="I793" s="667"/>
      <c r="J793" s="667"/>
      <c r="K793" s="667" t="e">
        <f>E793+#REF!+#REF!+#REF!+G793+#REF!+#REF!+#REF!+#REF!+#REF!+#REF!+I793+#REF!+#REF!+#REF!</f>
        <v>#REF!</v>
      </c>
      <c r="L793" s="667" t="e">
        <f t="shared" si="57"/>
        <v>#REF!</v>
      </c>
      <c r="M793" s="665" t="e">
        <f>#REF!+K793</f>
        <v>#REF!</v>
      </c>
      <c r="N793" s="666" t="e">
        <f t="shared" si="58"/>
        <v>#REF!</v>
      </c>
      <c r="O793" s="672"/>
      <c r="P793" s="668"/>
      <c r="Q793" s="676"/>
      <c r="R793" s="676"/>
    </row>
    <row r="794" spans="1:18" s="677" customFormat="1" ht="46.5" customHeight="1">
      <c r="A794" s="662"/>
      <c r="B794" s="685" t="s">
        <v>1843</v>
      </c>
      <c r="C794" s="739"/>
      <c r="D794" s="741"/>
      <c r="E794" s="684"/>
      <c r="F794" s="667">
        <f t="shared" si="55"/>
        <v>0</v>
      </c>
      <c r="G794" s="675"/>
      <c r="H794" s="667">
        <f t="shared" si="56"/>
        <v>0</v>
      </c>
      <c r="I794" s="667"/>
      <c r="J794" s="667"/>
      <c r="K794" s="667" t="e">
        <f>E794+#REF!+#REF!+#REF!+G794+#REF!+#REF!+#REF!+#REF!+#REF!+#REF!+I794+#REF!+#REF!+#REF!</f>
        <v>#REF!</v>
      </c>
      <c r="L794" s="667" t="e">
        <f t="shared" si="57"/>
        <v>#REF!</v>
      </c>
      <c r="M794" s="665" t="e">
        <f>#REF!+K794</f>
        <v>#REF!</v>
      </c>
      <c r="N794" s="666" t="e">
        <f t="shared" si="58"/>
        <v>#REF!</v>
      </c>
      <c r="O794" s="672"/>
      <c r="P794" s="668"/>
      <c r="Q794" s="676"/>
      <c r="R794" s="676"/>
    </row>
    <row r="795" spans="1:18" s="677" customFormat="1" ht="25.5" hidden="1" customHeight="1">
      <c r="A795" s="662"/>
      <c r="B795" s="663" t="s">
        <v>1844</v>
      </c>
      <c r="C795" s="739">
        <f>[14]Data!X3628</f>
        <v>2795.43</v>
      </c>
      <c r="D795" s="741" t="s">
        <v>37</v>
      </c>
      <c r="E795" s="684"/>
      <c r="F795" s="667">
        <f t="shared" si="55"/>
        <v>0</v>
      </c>
      <c r="G795" s="675"/>
      <c r="H795" s="667">
        <f t="shared" si="56"/>
        <v>0</v>
      </c>
      <c r="I795" s="667"/>
      <c r="J795" s="667"/>
      <c r="K795" s="667" t="e">
        <f>E795+#REF!+#REF!+#REF!+G795+#REF!+#REF!+#REF!+#REF!+#REF!+#REF!+I795+#REF!+#REF!+#REF!</f>
        <v>#REF!</v>
      </c>
      <c r="L795" s="667" t="e">
        <f t="shared" si="57"/>
        <v>#REF!</v>
      </c>
      <c r="M795" s="665" t="e">
        <f>#REF!+K795</f>
        <v>#REF!</v>
      </c>
      <c r="N795" s="666" t="e">
        <f t="shared" si="58"/>
        <v>#REF!</v>
      </c>
      <c r="O795" s="672"/>
      <c r="P795" s="668"/>
      <c r="Q795" s="676"/>
      <c r="R795" s="676"/>
    </row>
    <row r="796" spans="1:18" s="677" customFormat="1" ht="45" customHeight="1">
      <c r="A796" s="662"/>
      <c r="B796" s="663" t="s">
        <v>1845</v>
      </c>
      <c r="C796" s="739">
        <f>[14]Data!K3533</f>
        <v>3127.38</v>
      </c>
      <c r="D796" s="741" t="s">
        <v>37</v>
      </c>
      <c r="E796" s="684"/>
      <c r="F796" s="667">
        <f t="shared" si="55"/>
        <v>0</v>
      </c>
      <c r="G796" s="675"/>
      <c r="H796" s="667">
        <f t="shared" si="56"/>
        <v>0</v>
      </c>
      <c r="I796" s="667"/>
      <c r="J796" s="667"/>
      <c r="K796" s="667" t="e">
        <f>E796+#REF!+#REF!+#REF!+G796+#REF!+#REF!+#REF!+#REF!+#REF!+#REF!+I796+#REF!+#REF!+#REF!</f>
        <v>#REF!</v>
      </c>
      <c r="L796" s="667" t="e">
        <f t="shared" si="57"/>
        <v>#REF!</v>
      </c>
      <c r="M796" s="665" t="e">
        <f>#REF!+K796</f>
        <v>#REF!</v>
      </c>
      <c r="N796" s="666" t="e">
        <f t="shared" si="58"/>
        <v>#REF!</v>
      </c>
      <c r="O796" s="672"/>
      <c r="P796" s="668"/>
      <c r="Q796" s="676"/>
      <c r="R796" s="676"/>
    </row>
    <row r="797" spans="1:18" s="677" customFormat="1" ht="25.5" hidden="1" customHeight="1">
      <c r="A797" s="662"/>
      <c r="B797" s="663" t="s">
        <v>1846</v>
      </c>
      <c r="C797" s="739">
        <f>[14]Data!K3549</f>
        <v>2997.34</v>
      </c>
      <c r="D797" s="741" t="s">
        <v>37</v>
      </c>
      <c r="E797" s="684"/>
      <c r="F797" s="667">
        <f t="shared" si="55"/>
        <v>0</v>
      </c>
      <c r="G797" s="675"/>
      <c r="H797" s="667">
        <f t="shared" si="56"/>
        <v>0</v>
      </c>
      <c r="I797" s="667"/>
      <c r="J797" s="667"/>
      <c r="K797" s="667" t="e">
        <f>E797+#REF!+#REF!+#REF!+G797+#REF!+#REF!+#REF!+#REF!+#REF!+#REF!+I797+#REF!+#REF!+#REF!</f>
        <v>#REF!</v>
      </c>
      <c r="L797" s="667" t="e">
        <f t="shared" si="57"/>
        <v>#REF!</v>
      </c>
      <c r="M797" s="665" t="e">
        <f>#REF!+K797</f>
        <v>#REF!</v>
      </c>
      <c r="N797" s="666" t="e">
        <f t="shared" si="58"/>
        <v>#REF!</v>
      </c>
      <c r="O797" s="672"/>
      <c r="P797" s="668"/>
      <c r="Q797" s="676"/>
      <c r="R797" s="676"/>
    </row>
    <row r="798" spans="1:18" s="677" customFormat="1" ht="25.5" hidden="1" customHeight="1">
      <c r="A798" s="662"/>
      <c r="B798" s="663" t="s">
        <v>1847</v>
      </c>
      <c r="C798" s="739">
        <v>2225.27</v>
      </c>
      <c r="D798" s="741" t="s">
        <v>37</v>
      </c>
      <c r="E798" s="684"/>
      <c r="F798" s="667">
        <f t="shared" si="55"/>
        <v>0</v>
      </c>
      <c r="G798" s="675"/>
      <c r="H798" s="667">
        <f t="shared" si="56"/>
        <v>0</v>
      </c>
      <c r="I798" s="667"/>
      <c r="J798" s="667"/>
      <c r="K798" s="667" t="e">
        <f>E798+#REF!+#REF!+#REF!+G798+#REF!+#REF!+#REF!+#REF!+#REF!+#REF!+I798+#REF!+#REF!+#REF!</f>
        <v>#REF!</v>
      </c>
      <c r="L798" s="667" t="e">
        <f t="shared" si="57"/>
        <v>#REF!</v>
      </c>
      <c r="M798" s="665" t="e">
        <f>#REF!+K798</f>
        <v>#REF!</v>
      </c>
      <c r="N798" s="666" t="e">
        <f t="shared" si="58"/>
        <v>#REF!</v>
      </c>
      <c r="O798" s="672"/>
      <c r="P798" s="668"/>
      <c r="Q798" s="676"/>
      <c r="R798" s="676"/>
    </row>
    <row r="799" spans="1:18" s="677" customFormat="1" ht="48" customHeight="1">
      <c r="A799" s="662"/>
      <c r="B799" s="663" t="s">
        <v>1848</v>
      </c>
      <c r="C799" s="739">
        <f>[14]Data!X3549</f>
        <v>2959.11</v>
      </c>
      <c r="D799" s="741" t="s">
        <v>37</v>
      </c>
      <c r="E799" s="684"/>
      <c r="F799" s="667">
        <f t="shared" si="55"/>
        <v>0</v>
      </c>
      <c r="G799" s="675"/>
      <c r="H799" s="667">
        <f t="shared" si="56"/>
        <v>0</v>
      </c>
      <c r="I799" s="667"/>
      <c r="J799" s="667"/>
      <c r="K799" s="667" t="e">
        <f>E799+#REF!+#REF!+#REF!+G799+#REF!+#REF!+#REF!+#REF!+#REF!+#REF!+I799+#REF!+#REF!+#REF!</f>
        <v>#REF!</v>
      </c>
      <c r="L799" s="667" t="e">
        <f t="shared" si="57"/>
        <v>#REF!</v>
      </c>
      <c r="M799" s="665" t="e">
        <f>#REF!+K799</f>
        <v>#REF!</v>
      </c>
      <c r="N799" s="666" t="e">
        <f t="shared" si="58"/>
        <v>#REF!</v>
      </c>
      <c r="O799" s="672"/>
      <c r="P799" s="668"/>
      <c r="Q799" s="676"/>
      <c r="R799" s="676"/>
    </row>
    <row r="800" spans="1:18" s="677" customFormat="1" ht="25.5" hidden="1" customHeight="1">
      <c r="A800" s="662"/>
      <c r="B800" s="663" t="s">
        <v>1849</v>
      </c>
      <c r="C800" s="739">
        <f>[14]Data!X3565</f>
        <v>3204.22</v>
      </c>
      <c r="D800" s="741" t="s">
        <v>37</v>
      </c>
      <c r="E800" s="684"/>
      <c r="F800" s="667">
        <f t="shared" si="55"/>
        <v>0</v>
      </c>
      <c r="G800" s="675"/>
      <c r="H800" s="667">
        <f t="shared" si="56"/>
        <v>0</v>
      </c>
      <c r="I800" s="667"/>
      <c r="J800" s="667"/>
      <c r="K800" s="667" t="e">
        <f>E800+#REF!+#REF!+#REF!+G800+#REF!+#REF!+#REF!+#REF!+#REF!+#REF!+I800+#REF!+#REF!+#REF!</f>
        <v>#REF!</v>
      </c>
      <c r="L800" s="667" t="e">
        <f t="shared" si="57"/>
        <v>#REF!</v>
      </c>
      <c r="M800" s="665" t="e">
        <f>#REF!+K800</f>
        <v>#REF!</v>
      </c>
      <c r="N800" s="666" t="e">
        <f t="shared" si="58"/>
        <v>#REF!</v>
      </c>
      <c r="O800" s="672"/>
      <c r="P800" s="668"/>
      <c r="Q800" s="676"/>
      <c r="R800" s="676"/>
    </row>
    <row r="801" spans="1:18" s="677" customFormat="1" ht="25.5" hidden="1" customHeight="1">
      <c r="A801" s="662"/>
      <c r="B801" s="663" t="s">
        <v>1850</v>
      </c>
      <c r="C801" s="739">
        <f>[14]Data!X3581</f>
        <v>3167.17</v>
      </c>
      <c r="D801" s="741" t="s">
        <v>37</v>
      </c>
      <c r="E801" s="684"/>
      <c r="F801" s="667">
        <f t="shared" si="55"/>
        <v>0</v>
      </c>
      <c r="G801" s="675"/>
      <c r="H801" s="667">
        <f t="shared" si="56"/>
        <v>0</v>
      </c>
      <c r="I801" s="667"/>
      <c r="J801" s="667"/>
      <c r="K801" s="667" t="e">
        <f>E801+#REF!+#REF!+#REF!+G801+#REF!+#REF!+#REF!+#REF!+#REF!+#REF!+I801+#REF!+#REF!+#REF!</f>
        <v>#REF!</v>
      </c>
      <c r="L801" s="667" t="e">
        <f t="shared" si="57"/>
        <v>#REF!</v>
      </c>
      <c r="M801" s="665" t="e">
        <f>#REF!+K801</f>
        <v>#REF!</v>
      </c>
      <c r="N801" s="666" t="e">
        <f t="shared" si="58"/>
        <v>#REF!</v>
      </c>
      <c r="O801" s="672"/>
      <c r="P801" s="668"/>
      <c r="Q801" s="676"/>
      <c r="R801" s="676"/>
    </row>
    <row r="802" spans="1:18" s="677" customFormat="1" ht="25.5" hidden="1" customHeight="1">
      <c r="A802" s="662"/>
      <c r="B802" s="663" t="s">
        <v>1851</v>
      </c>
      <c r="C802" s="739">
        <f>[14]Data!X3596</f>
        <v>2939.44</v>
      </c>
      <c r="D802" s="741" t="s">
        <v>37</v>
      </c>
      <c r="E802" s="684"/>
      <c r="F802" s="667">
        <f t="shared" si="55"/>
        <v>0</v>
      </c>
      <c r="G802" s="675"/>
      <c r="H802" s="667">
        <f t="shared" si="56"/>
        <v>0</v>
      </c>
      <c r="I802" s="667"/>
      <c r="J802" s="667"/>
      <c r="K802" s="667" t="e">
        <f>E802+#REF!+#REF!+#REF!+G802+#REF!+#REF!+#REF!+#REF!+#REF!+#REF!+I802+#REF!+#REF!+#REF!</f>
        <v>#REF!</v>
      </c>
      <c r="L802" s="667" t="e">
        <f t="shared" si="57"/>
        <v>#REF!</v>
      </c>
      <c r="M802" s="665" t="e">
        <f>#REF!+K802</f>
        <v>#REF!</v>
      </c>
      <c r="N802" s="666" t="e">
        <f t="shared" si="58"/>
        <v>#REF!</v>
      </c>
      <c r="O802" s="672"/>
      <c r="P802" s="668"/>
      <c r="Q802" s="676"/>
      <c r="R802" s="676"/>
    </row>
    <row r="803" spans="1:18" s="677" customFormat="1" ht="25.5" hidden="1" customHeight="1">
      <c r="A803" s="662"/>
      <c r="B803" s="663" t="s">
        <v>1852</v>
      </c>
      <c r="C803" s="739">
        <f>[14]Data!X3613</f>
        <v>3007.4</v>
      </c>
      <c r="D803" s="741" t="s">
        <v>37</v>
      </c>
      <c r="E803" s="684"/>
      <c r="F803" s="667">
        <f t="shared" si="55"/>
        <v>0</v>
      </c>
      <c r="G803" s="675"/>
      <c r="H803" s="667">
        <f t="shared" si="56"/>
        <v>0</v>
      </c>
      <c r="I803" s="667"/>
      <c r="J803" s="667"/>
      <c r="K803" s="667" t="e">
        <f>E803+#REF!+#REF!+#REF!+G803+#REF!+#REF!+#REF!+#REF!+#REF!+#REF!+I803+#REF!+#REF!+#REF!</f>
        <v>#REF!</v>
      </c>
      <c r="L803" s="667" t="e">
        <f t="shared" si="57"/>
        <v>#REF!</v>
      </c>
      <c r="M803" s="665" t="e">
        <f>#REF!+K803</f>
        <v>#REF!</v>
      </c>
      <c r="N803" s="666" t="e">
        <f t="shared" si="58"/>
        <v>#REF!</v>
      </c>
      <c r="O803" s="672"/>
      <c r="P803" s="668"/>
      <c r="Q803" s="676"/>
      <c r="R803" s="676"/>
    </row>
    <row r="804" spans="1:18" s="677" customFormat="1" ht="46.5" hidden="1" customHeight="1">
      <c r="A804" s="662"/>
      <c r="B804" s="663" t="s">
        <v>1853</v>
      </c>
      <c r="C804" s="675">
        <f>[14]Data!K2353</f>
        <v>30.62</v>
      </c>
      <c r="D804" s="742" t="s">
        <v>37</v>
      </c>
      <c r="E804" s="684"/>
      <c r="F804" s="667">
        <f t="shared" si="55"/>
        <v>0</v>
      </c>
      <c r="G804" s="675"/>
      <c r="H804" s="667">
        <f t="shared" si="56"/>
        <v>0</v>
      </c>
      <c r="I804" s="667"/>
      <c r="J804" s="667"/>
      <c r="K804" s="667" t="e">
        <f>E804+#REF!+#REF!+#REF!+G804+#REF!+#REF!+#REF!+#REF!+#REF!+#REF!+I804+#REF!+#REF!+#REF!</f>
        <v>#REF!</v>
      </c>
      <c r="L804" s="667" t="e">
        <f t="shared" si="57"/>
        <v>#REF!</v>
      </c>
      <c r="M804" s="665" t="e">
        <f>#REF!+K804</f>
        <v>#REF!</v>
      </c>
      <c r="N804" s="666" t="e">
        <f t="shared" si="58"/>
        <v>#REF!</v>
      </c>
      <c r="O804" s="672"/>
      <c r="P804" s="668"/>
      <c r="Q804" s="676"/>
      <c r="R804" s="676"/>
    </row>
    <row r="805" spans="1:18" s="677" customFormat="1" ht="46.5" hidden="1" customHeight="1">
      <c r="A805" s="662"/>
      <c r="B805" s="756" t="s">
        <v>1854</v>
      </c>
      <c r="C805" s="675"/>
      <c r="D805" s="742"/>
      <c r="E805" s="675"/>
      <c r="F805" s="667">
        <f t="shared" ref="F805:F836" si="59">E805*C805</f>
        <v>0</v>
      </c>
      <c r="G805" s="675"/>
      <c r="H805" s="667">
        <f t="shared" ref="H805:H836" si="60">G805*C805</f>
        <v>0</v>
      </c>
      <c r="I805" s="667"/>
      <c r="J805" s="667"/>
      <c r="K805" s="667" t="e">
        <f>E805+#REF!+#REF!+#REF!+G805+#REF!+#REF!+#REF!+#REF!+#REF!+#REF!+I805+#REF!+#REF!+#REF!</f>
        <v>#REF!</v>
      </c>
      <c r="L805" s="667" t="e">
        <f t="shared" si="57"/>
        <v>#REF!</v>
      </c>
      <c r="M805" s="665" t="e">
        <f>#REF!+K805</f>
        <v>#REF!</v>
      </c>
      <c r="N805" s="666" t="e">
        <f t="shared" si="58"/>
        <v>#REF!</v>
      </c>
      <c r="O805" s="672"/>
      <c r="P805" s="668"/>
      <c r="Q805" s="676"/>
      <c r="R805" s="676"/>
    </row>
    <row r="806" spans="1:18" s="677" customFormat="1" ht="46.5" hidden="1" customHeight="1">
      <c r="A806" s="662"/>
      <c r="B806" s="663" t="s">
        <v>1405</v>
      </c>
      <c r="C806" s="675">
        <f>[14]Data!AD1196</f>
        <v>1917.28</v>
      </c>
      <c r="D806" s="742" t="s">
        <v>37</v>
      </c>
      <c r="E806" s="660"/>
      <c r="F806" s="667">
        <f t="shared" si="59"/>
        <v>0</v>
      </c>
      <c r="G806" s="675"/>
      <c r="H806" s="667">
        <f t="shared" si="60"/>
        <v>0</v>
      </c>
      <c r="I806" s="667"/>
      <c r="J806" s="667"/>
      <c r="K806" s="667" t="e">
        <f>E806+#REF!+#REF!+#REF!+G806+#REF!+#REF!+#REF!+#REF!+#REF!+#REF!+I806+#REF!+#REF!+#REF!</f>
        <v>#REF!</v>
      </c>
      <c r="L806" s="667" t="e">
        <f t="shared" si="57"/>
        <v>#REF!</v>
      </c>
      <c r="M806" s="665" t="e">
        <f>#REF!+K806</f>
        <v>#REF!</v>
      </c>
      <c r="N806" s="666" t="e">
        <f t="shared" si="58"/>
        <v>#REF!</v>
      </c>
      <c r="O806" s="672"/>
      <c r="P806" s="668"/>
      <c r="Q806" s="676"/>
      <c r="R806" s="676"/>
    </row>
    <row r="807" spans="1:18" s="677" customFormat="1" ht="46.5" hidden="1" customHeight="1">
      <c r="A807" s="662"/>
      <c r="B807" s="663" t="s">
        <v>1406</v>
      </c>
      <c r="C807" s="675">
        <f>[14]Data!AD1198</f>
        <v>1923.42</v>
      </c>
      <c r="D807" s="742" t="s">
        <v>37</v>
      </c>
      <c r="E807" s="660"/>
      <c r="F807" s="667">
        <f t="shared" si="59"/>
        <v>0</v>
      </c>
      <c r="G807" s="675"/>
      <c r="H807" s="667">
        <f t="shared" si="60"/>
        <v>0</v>
      </c>
      <c r="I807" s="667"/>
      <c r="J807" s="667"/>
      <c r="K807" s="667" t="e">
        <f>E807+#REF!+#REF!+#REF!+G807+#REF!+#REF!+#REF!+#REF!+#REF!+#REF!+I807+#REF!+#REF!+#REF!</f>
        <v>#REF!</v>
      </c>
      <c r="L807" s="667" t="e">
        <f t="shared" si="57"/>
        <v>#REF!</v>
      </c>
      <c r="M807" s="665" t="e">
        <f>#REF!+K807</f>
        <v>#REF!</v>
      </c>
      <c r="N807" s="666" t="e">
        <f t="shared" si="58"/>
        <v>#REF!</v>
      </c>
      <c r="O807" s="672"/>
      <c r="P807" s="668"/>
      <c r="Q807" s="676"/>
      <c r="R807" s="676"/>
    </row>
    <row r="808" spans="1:18" s="677" customFormat="1" ht="46.5" hidden="1" customHeight="1">
      <c r="A808" s="662"/>
      <c r="B808" s="663" t="s">
        <v>1407</v>
      </c>
      <c r="C808" s="675">
        <f>[14]Data!AD1199</f>
        <v>1927.49</v>
      </c>
      <c r="D808" s="742" t="s">
        <v>37</v>
      </c>
      <c r="E808" s="660"/>
      <c r="F808" s="667">
        <f t="shared" si="59"/>
        <v>0</v>
      </c>
      <c r="G808" s="675"/>
      <c r="H808" s="667">
        <f t="shared" si="60"/>
        <v>0</v>
      </c>
      <c r="I808" s="667"/>
      <c r="J808" s="667"/>
      <c r="K808" s="667" t="e">
        <f>E808+#REF!+#REF!+#REF!+G808+#REF!+#REF!+#REF!+#REF!+#REF!+#REF!+I808+#REF!+#REF!+#REF!</f>
        <v>#REF!</v>
      </c>
      <c r="L808" s="667" t="e">
        <f t="shared" si="57"/>
        <v>#REF!</v>
      </c>
      <c r="M808" s="665" t="e">
        <f>#REF!+K808</f>
        <v>#REF!</v>
      </c>
      <c r="N808" s="666" t="e">
        <f t="shared" si="58"/>
        <v>#REF!</v>
      </c>
      <c r="O808" s="672"/>
      <c r="P808" s="668"/>
      <c r="Q808" s="676"/>
      <c r="R808" s="676"/>
    </row>
    <row r="809" spans="1:18" s="677" customFormat="1" ht="6" hidden="1" customHeight="1">
      <c r="A809" s="662"/>
      <c r="B809" s="663" t="s">
        <v>1408</v>
      </c>
      <c r="C809" s="675">
        <f>[14]Data!AD1200</f>
        <v>1931.56</v>
      </c>
      <c r="D809" s="742" t="s">
        <v>37</v>
      </c>
      <c r="E809" s="675"/>
      <c r="F809" s="667">
        <f t="shared" si="59"/>
        <v>0</v>
      </c>
      <c r="G809" s="675"/>
      <c r="H809" s="667">
        <f t="shared" si="60"/>
        <v>0</v>
      </c>
      <c r="I809" s="667"/>
      <c r="J809" s="667"/>
      <c r="K809" s="667" t="e">
        <f>E809+#REF!+#REF!+#REF!+G809+#REF!+#REF!+#REF!+#REF!+#REF!+#REF!+I809+#REF!+#REF!+#REF!</f>
        <v>#REF!</v>
      </c>
      <c r="L809" s="667" t="e">
        <f t="shared" si="57"/>
        <v>#REF!</v>
      </c>
      <c r="M809" s="665" t="e">
        <f>#REF!+K809</f>
        <v>#REF!</v>
      </c>
      <c r="N809" s="666" t="e">
        <f t="shared" si="58"/>
        <v>#REF!</v>
      </c>
      <c r="O809" s="672"/>
      <c r="P809" s="668"/>
      <c r="Q809" s="676"/>
      <c r="R809" s="676"/>
    </row>
    <row r="810" spans="1:18" ht="57.75" hidden="1" customHeight="1">
      <c r="A810" s="662"/>
      <c r="B810" s="756" t="s">
        <v>1855</v>
      </c>
      <c r="C810" s="667"/>
      <c r="D810" s="751"/>
      <c r="E810" s="667"/>
      <c r="F810" s="667">
        <f t="shared" si="59"/>
        <v>0</v>
      </c>
      <c r="G810" s="667"/>
      <c r="H810" s="667">
        <f t="shared" si="60"/>
        <v>0</v>
      </c>
      <c r="I810" s="667"/>
      <c r="J810" s="667"/>
      <c r="K810" s="667" t="e">
        <f>E810+#REF!+#REF!+#REF!+G810+#REF!+#REF!+#REF!+#REF!+#REF!+#REF!+I810+#REF!+#REF!+#REF!</f>
        <v>#REF!</v>
      </c>
      <c r="L810" s="667" t="e">
        <f t="shared" si="57"/>
        <v>#REF!</v>
      </c>
      <c r="M810" s="665" t="e">
        <f>#REF!+K810</f>
        <v>#REF!</v>
      </c>
      <c r="N810" s="666" t="e">
        <f t="shared" si="58"/>
        <v>#REF!</v>
      </c>
      <c r="O810" s="668"/>
      <c r="P810" s="668"/>
    </row>
    <row r="811" spans="1:18" ht="48.75" hidden="1" customHeight="1">
      <c r="A811" s="662"/>
      <c r="B811" s="663" t="s">
        <v>1405</v>
      </c>
      <c r="C811" s="667">
        <f>[14]Data!AK1197</f>
        <v>1050.31</v>
      </c>
      <c r="D811" s="751" t="s">
        <v>37</v>
      </c>
      <c r="E811" s="667"/>
      <c r="F811" s="667">
        <f t="shared" si="59"/>
        <v>0</v>
      </c>
      <c r="G811" s="667"/>
      <c r="H811" s="667">
        <f t="shared" si="60"/>
        <v>0</v>
      </c>
      <c r="I811" s="667"/>
      <c r="J811" s="667"/>
      <c r="K811" s="667" t="e">
        <f>E811+#REF!+#REF!+#REF!+G811+#REF!+#REF!+#REF!+#REF!+#REF!+#REF!+I811+#REF!+#REF!+#REF!</f>
        <v>#REF!</v>
      </c>
      <c r="L811" s="667" t="e">
        <f t="shared" si="57"/>
        <v>#REF!</v>
      </c>
      <c r="M811" s="665" t="e">
        <f>#REF!+K811</f>
        <v>#REF!</v>
      </c>
      <c r="N811" s="666" t="e">
        <f t="shared" si="58"/>
        <v>#REF!</v>
      </c>
      <c r="O811" s="672"/>
      <c r="P811" s="668"/>
    </row>
    <row r="812" spans="1:18" ht="48.75" hidden="1" customHeight="1">
      <c r="A812" s="662"/>
      <c r="B812" s="663" t="s">
        <v>1406</v>
      </c>
      <c r="C812" s="667">
        <f>[14]Data!AK1198</f>
        <v>1052.3499999999999</v>
      </c>
      <c r="D812" s="751" t="s">
        <v>37</v>
      </c>
      <c r="E812" s="667"/>
      <c r="F812" s="667">
        <f t="shared" si="59"/>
        <v>0</v>
      </c>
      <c r="G812" s="667"/>
      <c r="H812" s="667">
        <f t="shared" si="60"/>
        <v>0</v>
      </c>
      <c r="I812" s="667"/>
      <c r="J812" s="667"/>
      <c r="K812" s="667" t="e">
        <f>E812+#REF!+#REF!+#REF!+G812+#REF!+#REF!+#REF!+#REF!+#REF!+#REF!+I812+#REF!+#REF!+#REF!</f>
        <v>#REF!</v>
      </c>
      <c r="L812" s="667" t="e">
        <f t="shared" si="57"/>
        <v>#REF!</v>
      </c>
      <c r="M812" s="665" t="e">
        <f>#REF!+K812</f>
        <v>#REF!</v>
      </c>
      <c r="N812" s="666" t="e">
        <f t="shared" si="58"/>
        <v>#REF!</v>
      </c>
      <c r="O812" s="672"/>
      <c r="P812" s="668"/>
    </row>
    <row r="813" spans="1:18" ht="48.75" hidden="1" customHeight="1">
      <c r="A813" s="662"/>
      <c r="B813" s="663" t="s">
        <v>1407</v>
      </c>
      <c r="C813" s="667">
        <f>[14]Data!AK1199</f>
        <v>1054.3900000000001</v>
      </c>
      <c r="D813" s="751" t="s">
        <v>37</v>
      </c>
      <c r="E813" s="667"/>
      <c r="F813" s="667">
        <f t="shared" si="59"/>
        <v>0</v>
      </c>
      <c r="G813" s="667"/>
      <c r="H813" s="667">
        <f t="shared" si="60"/>
        <v>0</v>
      </c>
      <c r="I813" s="667"/>
      <c r="J813" s="667"/>
      <c r="K813" s="667" t="e">
        <f>E813+#REF!+#REF!+#REF!+G813+#REF!+#REF!+#REF!+#REF!+#REF!+#REF!+I813+#REF!+#REF!+#REF!</f>
        <v>#REF!</v>
      </c>
      <c r="L813" s="667" t="e">
        <f t="shared" si="57"/>
        <v>#REF!</v>
      </c>
      <c r="M813" s="665" t="e">
        <f>#REF!+K813</f>
        <v>#REF!</v>
      </c>
      <c r="N813" s="666" t="e">
        <f t="shared" si="58"/>
        <v>#REF!</v>
      </c>
      <c r="O813" s="672"/>
      <c r="P813" s="668"/>
    </row>
    <row r="814" spans="1:18" ht="48.75" hidden="1" customHeight="1">
      <c r="A814" s="662"/>
      <c r="B814" s="663" t="s">
        <v>1856</v>
      </c>
      <c r="C814" s="667">
        <f>[14]Data!AK1200</f>
        <v>1056.3399999999999</v>
      </c>
      <c r="D814" s="751" t="s">
        <v>37</v>
      </c>
      <c r="E814" s="667"/>
      <c r="F814" s="667">
        <f t="shared" si="59"/>
        <v>0</v>
      </c>
      <c r="G814" s="667"/>
      <c r="H814" s="667">
        <f t="shared" si="60"/>
        <v>0</v>
      </c>
      <c r="I814" s="667"/>
      <c r="J814" s="667"/>
      <c r="K814" s="667" t="e">
        <f>E814+#REF!+#REF!+#REF!+G814+#REF!+#REF!+#REF!+#REF!+#REF!+#REF!+I814+#REF!+#REF!+#REF!</f>
        <v>#REF!</v>
      </c>
      <c r="L814" s="667" t="e">
        <f t="shared" si="57"/>
        <v>#REF!</v>
      </c>
      <c r="M814" s="665" t="e">
        <f>#REF!+K814</f>
        <v>#REF!</v>
      </c>
      <c r="N814" s="666" t="e">
        <f t="shared" si="58"/>
        <v>#REF!</v>
      </c>
      <c r="O814" s="672"/>
      <c r="P814" s="668"/>
    </row>
    <row r="815" spans="1:18" s="677" customFormat="1" ht="39" hidden="1" customHeight="1">
      <c r="A815" s="662"/>
      <c r="B815" s="685" t="s">
        <v>1857</v>
      </c>
      <c r="C815" s="739"/>
      <c r="D815" s="741"/>
      <c r="E815" s="684"/>
      <c r="F815" s="667">
        <f t="shared" si="59"/>
        <v>0</v>
      </c>
      <c r="G815" s="675"/>
      <c r="H815" s="667">
        <f t="shared" si="60"/>
        <v>0</v>
      </c>
      <c r="I815" s="667"/>
      <c r="J815" s="667"/>
      <c r="K815" s="667" t="e">
        <f>E815+#REF!+#REF!+#REF!+G815+#REF!+#REF!+#REF!+#REF!+#REF!+#REF!+I815+#REF!+#REF!+#REF!</f>
        <v>#REF!</v>
      </c>
      <c r="L815" s="667" t="e">
        <f t="shared" si="57"/>
        <v>#REF!</v>
      </c>
      <c r="M815" s="665" t="e">
        <f>#REF!+K815</f>
        <v>#REF!</v>
      </c>
      <c r="N815" s="666" t="e">
        <f t="shared" si="58"/>
        <v>#REF!</v>
      </c>
      <c r="O815" s="672"/>
      <c r="P815" s="668"/>
      <c r="Q815" s="676"/>
      <c r="R815" s="676"/>
    </row>
    <row r="816" spans="1:18" s="677" customFormat="1" ht="45" hidden="1" customHeight="1">
      <c r="A816" s="662"/>
      <c r="B816" s="663" t="s">
        <v>1858</v>
      </c>
      <c r="C816" s="675">
        <f>[14]Data!X3126</f>
        <v>3402.37</v>
      </c>
      <c r="D816" s="742" t="s">
        <v>264</v>
      </c>
      <c r="E816" s="684"/>
      <c r="F816" s="667">
        <f t="shared" si="59"/>
        <v>0</v>
      </c>
      <c r="G816" s="675"/>
      <c r="H816" s="667">
        <f t="shared" si="60"/>
        <v>0</v>
      </c>
      <c r="I816" s="667"/>
      <c r="J816" s="667"/>
      <c r="K816" s="667" t="e">
        <f>E816+#REF!+#REF!+#REF!+G816+#REF!+#REF!+#REF!+#REF!+#REF!+#REF!+I816+#REF!+#REF!+#REF!</f>
        <v>#REF!</v>
      </c>
      <c r="L816" s="667" t="e">
        <f t="shared" si="57"/>
        <v>#REF!</v>
      </c>
      <c r="M816" s="665" t="e">
        <f>#REF!+K816</f>
        <v>#REF!</v>
      </c>
      <c r="N816" s="666" t="e">
        <f t="shared" si="58"/>
        <v>#REF!</v>
      </c>
      <c r="O816" s="672"/>
      <c r="P816" s="668"/>
      <c r="Q816" s="676"/>
      <c r="R816" s="676"/>
    </row>
    <row r="817" spans="1:18" s="677" customFormat="1" ht="49.5" hidden="1" customHeight="1">
      <c r="A817" s="662"/>
      <c r="B817" s="738" t="s">
        <v>1859</v>
      </c>
      <c r="C817" s="684">
        <v>3358.02</v>
      </c>
      <c r="D817" s="741" t="s">
        <v>37</v>
      </c>
      <c r="E817" s="684"/>
      <c r="F817" s="667">
        <f t="shared" si="59"/>
        <v>0</v>
      </c>
      <c r="G817" s="675"/>
      <c r="H817" s="667">
        <f t="shared" si="60"/>
        <v>0</v>
      </c>
      <c r="I817" s="667"/>
      <c r="J817" s="667"/>
      <c r="K817" s="667" t="e">
        <f>E817+#REF!+#REF!+#REF!+G817+#REF!+#REF!+#REF!+#REF!+#REF!+#REF!+I817+#REF!+#REF!+#REF!</f>
        <v>#REF!</v>
      </c>
      <c r="L817" s="667" t="e">
        <f t="shared" si="57"/>
        <v>#REF!</v>
      </c>
      <c r="M817" s="665" t="e">
        <f>#REF!+K817</f>
        <v>#REF!</v>
      </c>
      <c r="N817" s="666" t="e">
        <f t="shared" si="58"/>
        <v>#REF!</v>
      </c>
      <c r="O817" s="672"/>
      <c r="P817" s="668"/>
      <c r="Q817" s="676"/>
      <c r="R817" s="676"/>
    </row>
    <row r="818" spans="1:18" s="677" customFormat="1" ht="41.25" hidden="1" customHeight="1">
      <c r="A818" s="662"/>
      <c r="B818" s="738" t="s">
        <v>1860</v>
      </c>
      <c r="C818" s="684">
        <v>3828.85</v>
      </c>
      <c r="D818" s="741" t="s">
        <v>37</v>
      </c>
      <c r="E818" s="684"/>
      <c r="F818" s="667">
        <f t="shared" si="59"/>
        <v>0</v>
      </c>
      <c r="G818" s="675"/>
      <c r="H818" s="667">
        <f t="shared" si="60"/>
        <v>0</v>
      </c>
      <c r="I818" s="667"/>
      <c r="J818" s="667"/>
      <c r="K818" s="667" t="e">
        <f>E818+#REF!+#REF!+#REF!+G818+#REF!+#REF!+#REF!+#REF!+#REF!+#REF!+I818+#REF!+#REF!+#REF!</f>
        <v>#REF!</v>
      </c>
      <c r="L818" s="667" t="e">
        <f t="shared" si="57"/>
        <v>#REF!</v>
      </c>
      <c r="M818" s="665" t="e">
        <f>#REF!+K818</f>
        <v>#REF!</v>
      </c>
      <c r="N818" s="666" t="e">
        <f t="shared" si="58"/>
        <v>#REF!</v>
      </c>
      <c r="O818" s="672"/>
      <c r="P818" s="668"/>
      <c r="Q818" s="676"/>
      <c r="R818" s="676"/>
    </row>
    <row r="819" spans="1:18" s="677" customFormat="1" ht="41.25" hidden="1" customHeight="1">
      <c r="A819" s="662"/>
      <c r="B819" s="756" t="s">
        <v>1861</v>
      </c>
      <c r="C819" s="684">
        <f>[14]Data!X3168</f>
        <v>3283.94</v>
      </c>
      <c r="D819" s="741" t="s">
        <v>37</v>
      </c>
      <c r="E819" s="684"/>
      <c r="F819" s="667">
        <f t="shared" si="59"/>
        <v>0</v>
      </c>
      <c r="G819" s="675"/>
      <c r="H819" s="667">
        <f t="shared" si="60"/>
        <v>0</v>
      </c>
      <c r="I819" s="667"/>
      <c r="J819" s="667"/>
      <c r="K819" s="667" t="e">
        <f>E819+#REF!+#REF!+#REF!+G819+#REF!+#REF!+#REF!+#REF!+#REF!+#REF!+I819+#REF!+#REF!+#REF!</f>
        <v>#REF!</v>
      </c>
      <c r="L819" s="667" t="e">
        <f t="shared" si="57"/>
        <v>#REF!</v>
      </c>
      <c r="M819" s="665" t="e">
        <f>#REF!+K819</f>
        <v>#REF!</v>
      </c>
      <c r="N819" s="666" t="e">
        <f t="shared" si="58"/>
        <v>#REF!</v>
      </c>
      <c r="O819" s="672"/>
      <c r="P819" s="668"/>
      <c r="Q819" s="676"/>
      <c r="R819" s="676"/>
    </row>
    <row r="820" spans="1:18" s="677" customFormat="1" ht="42" hidden="1" customHeight="1">
      <c r="A820" s="662"/>
      <c r="B820" s="756" t="s">
        <v>1862</v>
      </c>
      <c r="C820" s="739"/>
      <c r="D820" s="741"/>
      <c r="E820" s="684"/>
      <c r="F820" s="667">
        <f t="shared" si="59"/>
        <v>0</v>
      </c>
      <c r="G820" s="675"/>
      <c r="H820" s="667">
        <f t="shared" si="60"/>
        <v>0</v>
      </c>
      <c r="I820" s="667"/>
      <c r="J820" s="667"/>
      <c r="K820" s="667" t="e">
        <f>E820+#REF!+#REF!+#REF!+G820+#REF!+#REF!+#REF!+#REF!+#REF!+#REF!+I820+#REF!+#REF!+#REF!</f>
        <v>#REF!</v>
      </c>
      <c r="L820" s="667" t="e">
        <f t="shared" si="57"/>
        <v>#REF!</v>
      </c>
      <c r="M820" s="665" t="e">
        <f>#REF!+K820</f>
        <v>#REF!</v>
      </c>
      <c r="N820" s="666" t="e">
        <f t="shared" si="58"/>
        <v>#REF!</v>
      </c>
      <c r="O820" s="672"/>
      <c r="P820" s="668"/>
      <c r="Q820" s="676"/>
      <c r="R820" s="676"/>
    </row>
    <row r="821" spans="1:18" s="677" customFormat="1" ht="42" hidden="1" customHeight="1">
      <c r="A821" s="662"/>
      <c r="B821" s="738" t="s">
        <v>1863</v>
      </c>
      <c r="C821" s="739">
        <f>[14]Data!R1479</f>
        <v>4535.8900000000003</v>
      </c>
      <c r="D821" s="741" t="s">
        <v>37</v>
      </c>
      <c r="E821" s="684"/>
      <c r="F821" s="667">
        <f t="shared" si="59"/>
        <v>0</v>
      </c>
      <c r="G821" s="675"/>
      <c r="H821" s="667">
        <f t="shared" si="60"/>
        <v>0</v>
      </c>
      <c r="I821" s="667"/>
      <c r="J821" s="667"/>
      <c r="K821" s="667" t="e">
        <f>E821+#REF!+#REF!+#REF!+G821+#REF!+#REF!+#REF!+#REF!+#REF!+#REF!+I821+#REF!+#REF!+#REF!</f>
        <v>#REF!</v>
      </c>
      <c r="L821" s="667" t="e">
        <f t="shared" si="57"/>
        <v>#REF!</v>
      </c>
      <c r="M821" s="665" t="e">
        <f>#REF!+K821</f>
        <v>#REF!</v>
      </c>
      <c r="N821" s="666" t="e">
        <f t="shared" si="58"/>
        <v>#REF!</v>
      </c>
      <c r="O821" s="672"/>
      <c r="P821" s="668"/>
      <c r="Q821" s="676"/>
      <c r="R821" s="676"/>
    </row>
    <row r="822" spans="1:18" s="677" customFormat="1" ht="42" hidden="1" customHeight="1">
      <c r="A822" s="662"/>
      <c r="B822" s="738" t="s">
        <v>1864</v>
      </c>
      <c r="C822" s="739">
        <f>[14]Data!X1440</f>
        <v>5059.03</v>
      </c>
      <c r="D822" s="741" t="s">
        <v>37</v>
      </c>
      <c r="E822" s="684"/>
      <c r="F822" s="667">
        <f t="shared" si="59"/>
        <v>0</v>
      </c>
      <c r="G822" s="675"/>
      <c r="H822" s="667">
        <f t="shared" si="60"/>
        <v>0</v>
      </c>
      <c r="I822" s="667"/>
      <c r="J822" s="667"/>
      <c r="K822" s="667" t="e">
        <f>E822+#REF!+#REF!+#REF!+G822+#REF!+#REF!+#REF!+#REF!+#REF!+#REF!+I822+#REF!+#REF!+#REF!</f>
        <v>#REF!</v>
      </c>
      <c r="L822" s="667" t="e">
        <f t="shared" si="57"/>
        <v>#REF!</v>
      </c>
      <c r="M822" s="665" t="e">
        <f>#REF!+K822</f>
        <v>#REF!</v>
      </c>
      <c r="N822" s="666" t="e">
        <f t="shared" si="58"/>
        <v>#REF!</v>
      </c>
      <c r="O822" s="672"/>
      <c r="P822" s="668"/>
      <c r="Q822" s="676"/>
      <c r="R822" s="676"/>
    </row>
    <row r="823" spans="1:18" s="677" customFormat="1" ht="23.1" hidden="1" customHeight="1">
      <c r="A823" s="662"/>
      <c r="B823" s="738" t="s">
        <v>1865</v>
      </c>
      <c r="C823" s="739">
        <f>[14]Data!X1447</f>
        <v>4748.82</v>
      </c>
      <c r="D823" s="741" t="s">
        <v>37</v>
      </c>
      <c r="E823" s="684"/>
      <c r="F823" s="667">
        <f t="shared" si="59"/>
        <v>0</v>
      </c>
      <c r="G823" s="675"/>
      <c r="H823" s="667">
        <f t="shared" si="60"/>
        <v>0</v>
      </c>
      <c r="I823" s="667"/>
      <c r="J823" s="667"/>
      <c r="K823" s="667" t="e">
        <f>E823+#REF!+#REF!+#REF!+G823+#REF!+#REF!+#REF!+#REF!+#REF!+#REF!+I823+#REF!+#REF!+#REF!</f>
        <v>#REF!</v>
      </c>
      <c r="L823" s="667" t="e">
        <f t="shared" si="57"/>
        <v>#REF!</v>
      </c>
      <c r="M823" s="665" t="e">
        <f>#REF!+K823</f>
        <v>#REF!</v>
      </c>
      <c r="N823" s="666" t="e">
        <f t="shared" si="58"/>
        <v>#REF!</v>
      </c>
      <c r="O823" s="672"/>
      <c r="P823" s="668"/>
      <c r="Q823" s="676"/>
      <c r="R823" s="676"/>
    </row>
    <row r="824" spans="1:18" s="677" customFormat="1" ht="23.1" hidden="1" customHeight="1">
      <c r="A824" s="662"/>
      <c r="B824" s="738" t="s">
        <v>1866</v>
      </c>
      <c r="C824" s="739">
        <f>[14]Data!R1479</f>
        <v>4535.8900000000003</v>
      </c>
      <c r="D824" s="741" t="s">
        <v>37</v>
      </c>
      <c r="E824" s="684"/>
      <c r="F824" s="667">
        <f t="shared" si="59"/>
        <v>0</v>
      </c>
      <c r="G824" s="675"/>
      <c r="H824" s="667">
        <f t="shared" si="60"/>
        <v>0</v>
      </c>
      <c r="I824" s="667"/>
      <c r="J824" s="667"/>
      <c r="K824" s="667" t="e">
        <f>E824+#REF!+#REF!+#REF!+G824+#REF!+#REF!+#REF!+#REF!+#REF!+#REF!+I824+#REF!+#REF!+#REF!</f>
        <v>#REF!</v>
      </c>
      <c r="L824" s="667" t="e">
        <f t="shared" si="57"/>
        <v>#REF!</v>
      </c>
      <c r="M824" s="665" t="e">
        <f>#REF!+K824</f>
        <v>#REF!</v>
      </c>
      <c r="N824" s="666" t="e">
        <f t="shared" si="58"/>
        <v>#REF!</v>
      </c>
      <c r="O824" s="672"/>
      <c r="P824" s="668"/>
      <c r="Q824" s="676"/>
      <c r="R824" s="676"/>
    </row>
    <row r="825" spans="1:18" s="677" customFormat="1" ht="25.5" hidden="1" customHeight="1">
      <c r="A825" s="662"/>
      <c r="B825" s="756" t="str">
        <f>'[9]Bldg+Dev'!$B$566</f>
        <v>Supply &amp; Fixing of MS door  (for lockup door )</v>
      </c>
      <c r="C825" s="675"/>
      <c r="D825" s="742"/>
      <c r="E825" s="684"/>
      <c r="F825" s="667">
        <f t="shared" si="59"/>
        <v>0</v>
      </c>
      <c r="G825" s="675"/>
      <c r="H825" s="667">
        <f t="shared" si="60"/>
        <v>0</v>
      </c>
      <c r="I825" s="667"/>
      <c r="J825" s="667"/>
      <c r="K825" s="667" t="e">
        <f>E825+#REF!+#REF!+#REF!+G825+#REF!+#REF!+#REF!+#REF!+#REF!+#REF!+I825+#REF!+#REF!+#REF!</f>
        <v>#REF!</v>
      </c>
      <c r="L825" s="667" t="e">
        <f t="shared" si="57"/>
        <v>#REF!</v>
      </c>
      <c r="M825" s="665" t="e">
        <f>#REF!+K825</f>
        <v>#REF!</v>
      </c>
      <c r="N825" s="666" t="e">
        <f t="shared" si="58"/>
        <v>#REF!</v>
      </c>
      <c r="O825" s="672"/>
      <c r="P825" s="668"/>
      <c r="Q825" s="676"/>
      <c r="R825" s="676"/>
    </row>
    <row r="826" spans="1:18" s="677" customFormat="1" ht="25.5" hidden="1" customHeight="1">
      <c r="A826" s="662"/>
      <c r="B826" s="663" t="s">
        <v>1867</v>
      </c>
      <c r="C826" s="675">
        <f>C1014</f>
        <v>0</v>
      </c>
      <c r="D826" s="742" t="s">
        <v>992</v>
      </c>
      <c r="E826" s="684"/>
      <c r="F826" s="667">
        <f t="shared" si="59"/>
        <v>0</v>
      </c>
      <c r="G826" s="675"/>
      <c r="H826" s="667">
        <f t="shared" si="60"/>
        <v>0</v>
      </c>
      <c r="I826" s="667"/>
      <c r="J826" s="667"/>
      <c r="K826" s="667" t="e">
        <f>E826+#REF!+#REF!+#REF!+G826+#REF!+#REF!+#REF!+#REF!+#REF!+#REF!+I826+#REF!+#REF!+#REF!</f>
        <v>#REF!</v>
      </c>
      <c r="L826" s="667" t="e">
        <f t="shared" si="57"/>
        <v>#REF!</v>
      </c>
      <c r="M826" s="665" t="e">
        <f>#REF!+K826</f>
        <v>#REF!</v>
      </c>
      <c r="N826" s="666" t="e">
        <f t="shared" si="58"/>
        <v>#REF!</v>
      </c>
      <c r="O826" s="672"/>
      <c r="P826" s="668"/>
      <c r="Q826" s="676"/>
      <c r="R826" s="676"/>
    </row>
    <row r="827" spans="1:18" s="677" customFormat="1" ht="25.5" hidden="1" customHeight="1">
      <c r="A827" s="662"/>
      <c r="B827" s="663" t="s">
        <v>1868</v>
      </c>
      <c r="C827" s="675">
        <f>C1015</f>
        <v>0</v>
      </c>
      <c r="D827" s="742" t="s">
        <v>522</v>
      </c>
      <c r="E827" s="684"/>
      <c r="F827" s="667">
        <f t="shared" si="59"/>
        <v>0</v>
      </c>
      <c r="G827" s="675"/>
      <c r="H827" s="667">
        <f t="shared" si="60"/>
        <v>0</v>
      </c>
      <c r="I827" s="667"/>
      <c r="J827" s="667"/>
      <c r="K827" s="667" t="e">
        <f>E827+#REF!+#REF!+#REF!+G827+#REF!+#REF!+#REF!+#REF!+#REF!+#REF!+I827+#REF!+#REF!+#REF!</f>
        <v>#REF!</v>
      </c>
      <c r="L827" s="667" t="e">
        <f t="shared" si="57"/>
        <v>#REF!</v>
      </c>
      <c r="M827" s="665" t="e">
        <f>#REF!+K827</f>
        <v>#REF!</v>
      </c>
      <c r="N827" s="666" t="e">
        <f t="shared" si="58"/>
        <v>#REF!</v>
      </c>
      <c r="O827" s="672"/>
      <c r="P827" s="668"/>
      <c r="Q827" s="676"/>
      <c r="R827" s="676"/>
    </row>
    <row r="828" spans="1:18" s="677" customFormat="1" ht="69.75" hidden="1" customHeight="1">
      <c r="A828" s="662"/>
      <c r="B828" s="685" t="s">
        <v>1869</v>
      </c>
      <c r="C828" s="675"/>
      <c r="D828" s="742"/>
      <c r="E828" s="684"/>
      <c r="F828" s="667">
        <f t="shared" si="59"/>
        <v>0</v>
      </c>
      <c r="G828" s="675"/>
      <c r="H828" s="667">
        <f t="shared" si="60"/>
        <v>0</v>
      </c>
      <c r="I828" s="667"/>
      <c r="J828" s="667"/>
      <c r="K828" s="667" t="e">
        <f>E828+#REF!+#REF!+#REF!+G828+#REF!+#REF!+#REF!+#REF!+#REF!+#REF!+I828+#REF!+#REF!+#REF!</f>
        <v>#REF!</v>
      </c>
      <c r="L828" s="667" t="e">
        <f t="shared" si="57"/>
        <v>#REF!</v>
      </c>
      <c r="M828" s="665" t="e">
        <f>#REF!+K828</f>
        <v>#REF!</v>
      </c>
      <c r="N828" s="666" t="e">
        <f t="shared" si="58"/>
        <v>#REF!</v>
      </c>
      <c r="O828" s="672"/>
      <c r="P828" s="668"/>
      <c r="Q828" s="676"/>
      <c r="R828" s="676"/>
    </row>
    <row r="829" spans="1:18" s="677" customFormat="1" ht="51" hidden="1" customHeight="1">
      <c r="A829" s="662"/>
      <c r="B829" s="663" t="s">
        <v>1870</v>
      </c>
      <c r="C829" s="675">
        <v>3004.33</v>
      </c>
      <c r="D829" s="742" t="s">
        <v>37</v>
      </c>
      <c r="E829" s="684"/>
      <c r="F829" s="667">
        <f t="shared" si="59"/>
        <v>0</v>
      </c>
      <c r="G829" s="675"/>
      <c r="H829" s="667">
        <f t="shared" si="60"/>
        <v>0</v>
      </c>
      <c r="I829" s="667"/>
      <c r="J829" s="667"/>
      <c r="K829" s="667" t="e">
        <f>E829+#REF!+#REF!+#REF!+G829+#REF!+#REF!+#REF!+#REF!+#REF!+#REF!+I829+#REF!+#REF!+#REF!</f>
        <v>#REF!</v>
      </c>
      <c r="L829" s="667" t="e">
        <f t="shared" si="57"/>
        <v>#REF!</v>
      </c>
      <c r="M829" s="665" t="e">
        <f>#REF!+K829</f>
        <v>#REF!</v>
      </c>
      <c r="N829" s="666" t="e">
        <f t="shared" si="58"/>
        <v>#REF!</v>
      </c>
      <c r="O829" s="672"/>
      <c r="P829" s="668"/>
      <c r="Q829" s="676"/>
      <c r="R829" s="676"/>
    </row>
    <row r="830" spans="1:18" ht="51" hidden="1" customHeight="1">
      <c r="A830" s="662"/>
      <c r="B830" s="663" t="s">
        <v>1871</v>
      </c>
      <c r="C830" s="667">
        <f>C1016</f>
        <v>4353.33</v>
      </c>
      <c r="D830" s="751" t="s">
        <v>37</v>
      </c>
      <c r="E830" s="690"/>
      <c r="F830" s="667">
        <f t="shared" si="59"/>
        <v>0</v>
      </c>
      <c r="G830" s="667"/>
      <c r="H830" s="667">
        <f t="shared" si="60"/>
        <v>0</v>
      </c>
      <c r="I830" s="667"/>
      <c r="J830" s="667"/>
      <c r="K830" s="667" t="e">
        <f>E830+#REF!+#REF!+#REF!+G830+#REF!+#REF!+#REF!+#REF!+#REF!+#REF!+I830+#REF!+#REF!+#REF!</f>
        <v>#REF!</v>
      </c>
      <c r="L830" s="667" t="e">
        <f t="shared" si="57"/>
        <v>#REF!</v>
      </c>
      <c r="M830" s="665" t="e">
        <f>#REF!+K830</f>
        <v>#REF!</v>
      </c>
      <c r="N830" s="666" t="e">
        <f t="shared" si="58"/>
        <v>#REF!</v>
      </c>
      <c r="O830" s="672"/>
      <c r="P830" s="668"/>
    </row>
    <row r="831" spans="1:18" s="677" customFormat="1" ht="51" hidden="1" customHeight="1">
      <c r="A831" s="662"/>
      <c r="B831" s="663" t="s">
        <v>1872</v>
      </c>
      <c r="C831" s="675">
        <f>Development!C1017</f>
        <v>4626.8100000000004</v>
      </c>
      <c r="D831" s="742" t="s">
        <v>37</v>
      </c>
      <c r="E831" s="684"/>
      <c r="F831" s="667">
        <f t="shared" si="59"/>
        <v>0</v>
      </c>
      <c r="G831" s="675"/>
      <c r="H831" s="667">
        <f t="shared" si="60"/>
        <v>0</v>
      </c>
      <c r="I831" s="667"/>
      <c r="J831" s="667"/>
      <c r="K831" s="667" t="e">
        <f>E831+#REF!+#REF!+#REF!+G831+#REF!+#REF!+#REF!+#REF!+#REF!+#REF!+I831+#REF!+#REF!+#REF!</f>
        <v>#REF!</v>
      </c>
      <c r="L831" s="667" t="e">
        <f t="shared" si="57"/>
        <v>#REF!</v>
      </c>
      <c r="M831" s="665" t="e">
        <f>#REF!+K831</f>
        <v>#REF!</v>
      </c>
      <c r="N831" s="666" t="e">
        <f t="shared" si="58"/>
        <v>#REF!</v>
      </c>
      <c r="O831" s="672"/>
      <c r="P831" s="668"/>
      <c r="Q831" s="676"/>
      <c r="R831" s="676"/>
    </row>
    <row r="832" spans="1:18" s="677" customFormat="1" ht="42" hidden="1" customHeight="1">
      <c r="A832" s="662"/>
      <c r="B832" s="663" t="s">
        <v>1873</v>
      </c>
      <c r="C832" s="675">
        <f>C1018</f>
        <v>3971.57</v>
      </c>
      <c r="D832" s="742" t="s">
        <v>37</v>
      </c>
      <c r="E832" s="684"/>
      <c r="F832" s="667">
        <f t="shared" si="59"/>
        <v>0</v>
      </c>
      <c r="G832" s="675"/>
      <c r="H832" s="667">
        <f t="shared" si="60"/>
        <v>0</v>
      </c>
      <c r="I832" s="667"/>
      <c r="J832" s="667"/>
      <c r="K832" s="667" t="e">
        <f>E832+#REF!+#REF!+#REF!+G832+#REF!+#REF!+#REF!+#REF!+#REF!+#REF!+I832+#REF!+#REF!+#REF!</f>
        <v>#REF!</v>
      </c>
      <c r="L832" s="667" t="e">
        <f t="shared" si="57"/>
        <v>#REF!</v>
      </c>
      <c r="M832" s="665" t="e">
        <f>#REF!+K832</f>
        <v>#REF!</v>
      </c>
      <c r="N832" s="666" t="e">
        <f t="shared" si="58"/>
        <v>#REF!</v>
      </c>
      <c r="O832" s="672"/>
      <c r="P832" s="668"/>
      <c r="Q832" s="676"/>
      <c r="R832" s="676"/>
    </row>
    <row r="833" spans="1:18" s="677" customFormat="1" ht="50.25" hidden="1" customHeight="1">
      <c r="A833" s="662"/>
      <c r="B833" s="685" t="s">
        <v>1874</v>
      </c>
      <c r="C833" s="739">
        <f>[14]Data!J3859</f>
        <v>4173.82</v>
      </c>
      <c r="D833" s="743" t="s">
        <v>37</v>
      </c>
      <c r="E833" s="684"/>
      <c r="F833" s="667">
        <f t="shared" si="59"/>
        <v>0</v>
      </c>
      <c r="G833" s="675"/>
      <c r="H833" s="667">
        <f t="shared" si="60"/>
        <v>0</v>
      </c>
      <c r="I833" s="667"/>
      <c r="J833" s="667"/>
      <c r="K833" s="667" t="e">
        <f>E833+#REF!+#REF!+#REF!+G833+#REF!+#REF!+#REF!+#REF!+#REF!+#REF!+I833+#REF!+#REF!+#REF!</f>
        <v>#REF!</v>
      </c>
      <c r="L833" s="667" t="e">
        <f t="shared" si="57"/>
        <v>#REF!</v>
      </c>
      <c r="M833" s="665" t="e">
        <f>#REF!+K833</f>
        <v>#REF!</v>
      </c>
      <c r="N833" s="666" t="e">
        <f t="shared" si="58"/>
        <v>#REF!</v>
      </c>
      <c r="O833" s="672"/>
      <c r="P833" s="668"/>
      <c r="Q833" s="676"/>
      <c r="R833" s="676"/>
    </row>
    <row r="834" spans="1:18" s="677" customFormat="1" ht="42" hidden="1" customHeight="1">
      <c r="A834" s="662"/>
      <c r="B834" s="685" t="s">
        <v>1875</v>
      </c>
      <c r="C834" s="739">
        <f>[14]Data!J3880</f>
        <v>3464.01</v>
      </c>
      <c r="D834" s="743" t="s">
        <v>37</v>
      </c>
      <c r="E834" s="684"/>
      <c r="F834" s="667">
        <f t="shared" si="59"/>
        <v>0</v>
      </c>
      <c r="G834" s="675"/>
      <c r="H834" s="667">
        <f t="shared" si="60"/>
        <v>0</v>
      </c>
      <c r="I834" s="667"/>
      <c r="J834" s="667"/>
      <c r="K834" s="667" t="e">
        <f>E834+#REF!+#REF!+#REF!+G834+#REF!+#REF!+#REF!+#REF!+#REF!+#REF!+I834+#REF!+#REF!+#REF!</f>
        <v>#REF!</v>
      </c>
      <c r="L834" s="667" t="e">
        <f t="shared" si="57"/>
        <v>#REF!</v>
      </c>
      <c r="M834" s="665" t="e">
        <f>#REF!+K834</f>
        <v>#REF!</v>
      </c>
      <c r="N834" s="666" t="e">
        <f t="shared" si="58"/>
        <v>#REF!</v>
      </c>
      <c r="O834" s="672"/>
      <c r="P834" s="668"/>
      <c r="Q834" s="676"/>
      <c r="R834" s="676"/>
    </row>
    <row r="835" spans="1:18" s="677" customFormat="1" ht="52.5" hidden="1" customHeight="1">
      <c r="A835" s="662"/>
      <c r="B835" s="715" t="s">
        <v>1876</v>
      </c>
      <c r="C835" s="767">
        <v>61.8</v>
      </c>
      <c r="D835" s="768" t="s">
        <v>522</v>
      </c>
      <c r="E835" s="684"/>
      <c r="F835" s="667">
        <f t="shared" si="59"/>
        <v>0</v>
      </c>
      <c r="G835" s="675"/>
      <c r="H835" s="667">
        <f t="shared" si="60"/>
        <v>0</v>
      </c>
      <c r="I835" s="667"/>
      <c r="J835" s="667"/>
      <c r="K835" s="667" t="e">
        <f>E835+#REF!+#REF!+#REF!+G835+#REF!+#REF!+#REF!+#REF!+#REF!+#REF!+I835+#REF!+#REF!+#REF!</f>
        <v>#REF!</v>
      </c>
      <c r="L835" s="667" t="e">
        <f t="shared" si="57"/>
        <v>#REF!</v>
      </c>
      <c r="M835" s="665" t="e">
        <f>#REF!+K835</f>
        <v>#REF!</v>
      </c>
      <c r="N835" s="666" t="e">
        <f t="shared" si="58"/>
        <v>#REF!</v>
      </c>
      <c r="O835" s="672"/>
      <c r="P835" s="668"/>
      <c r="Q835" s="676"/>
      <c r="R835" s="676"/>
    </row>
    <row r="836" spans="1:18" s="677" customFormat="1" ht="59.25" hidden="1" customHeight="1">
      <c r="A836" s="662"/>
      <c r="B836" s="663" t="s">
        <v>1877</v>
      </c>
      <c r="C836" s="739">
        <v>405</v>
      </c>
      <c r="D836" s="674" t="s">
        <v>61</v>
      </c>
      <c r="E836" s="684"/>
      <c r="F836" s="667">
        <f t="shared" si="59"/>
        <v>0</v>
      </c>
      <c r="G836" s="675"/>
      <c r="H836" s="667">
        <f t="shared" si="60"/>
        <v>0</v>
      </c>
      <c r="I836" s="667"/>
      <c r="J836" s="667"/>
      <c r="K836" s="667" t="e">
        <f>E836+#REF!+#REF!+#REF!+G836+#REF!+#REF!+#REF!+#REF!+#REF!+#REF!+I836+#REF!+#REF!+#REF!</f>
        <v>#REF!</v>
      </c>
      <c r="L836" s="667" t="e">
        <f t="shared" si="57"/>
        <v>#REF!</v>
      </c>
      <c r="M836" s="665" t="e">
        <f>#REF!+K836</f>
        <v>#REF!</v>
      </c>
      <c r="N836" s="666" t="e">
        <f t="shared" si="58"/>
        <v>#REF!</v>
      </c>
      <c r="O836" s="672"/>
      <c r="P836" s="668"/>
      <c r="Q836" s="676"/>
      <c r="R836" s="676"/>
    </row>
    <row r="837" spans="1:18" s="677" customFormat="1" ht="45.75" hidden="1" customHeight="1">
      <c r="A837" s="662"/>
      <c r="B837" s="663" t="s">
        <v>1878</v>
      </c>
      <c r="C837" s="684">
        <v>325</v>
      </c>
      <c r="D837" s="766" t="s">
        <v>37</v>
      </c>
      <c r="E837" s="684"/>
      <c r="F837" s="667">
        <f t="shared" ref="F837:F855" si="61">E837*C837</f>
        <v>0</v>
      </c>
      <c r="G837" s="675"/>
      <c r="H837" s="667">
        <f t="shared" ref="H837:H855" si="62">G837*C837</f>
        <v>0</v>
      </c>
      <c r="I837" s="667"/>
      <c r="J837" s="667"/>
      <c r="K837" s="667" t="e">
        <f>E837+#REF!+#REF!+#REF!+G837+#REF!+#REF!+#REF!+#REF!+#REF!+#REF!+I837+#REF!+#REF!+#REF!</f>
        <v>#REF!</v>
      </c>
      <c r="L837" s="667" t="e">
        <f t="shared" si="57"/>
        <v>#REF!</v>
      </c>
      <c r="M837" s="665" t="e">
        <f>#REF!+K837</f>
        <v>#REF!</v>
      </c>
      <c r="N837" s="666" t="e">
        <f t="shared" si="58"/>
        <v>#REF!</v>
      </c>
      <c r="O837" s="672"/>
      <c r="P837" s="668"/>
      <c r="Q837" s="676"/>
      <c r="R837" s="676"/>
    </row>
    <row r="838" spans="1:18" s="677" customFormat="1" ht="37.5" hidden="1" customHeight="1">
      <c r="A838" s="662"/>
      <c r="B838" s="663" t="s">
        <v>1879</v>
      </c>
      <c r="C838" s="684">
        <v>35</v>
      </c>
      <c r="D838" s="766" t="s">
        <v>37</v>
      </c>
      <c r="E838" s="684"/>
      <c r="F838" s="667">
        <f t="shared" si="61"/>
        <v>0</v>
      </c>
      <c r="G838" s="675"/>
      <c r="H838" s="667">
        <f t="shared" si="62"/>
        <v>0</v>
      </c>
      <c r="I838" s="667"/>
      <c r="J838" s="667"/>
      <c r="K838" s="667" t="e">
        <f>E838+#REF!+#REF!+#REF!+G838+#REF!+#REF!+#REF!+#REF!+#REF!+#REF!+I838+#REF!+#REF!+#REF!</f>
        <v>#REF!</v>
      </c>
      <c r="L838" s="667" t="e">
        <f t="shared" ref="L838:L901" si="63">K838*C838</f>
        <v>#REF!</v>
      </c>
      <c r="M838" s="665" t="e">
        <f>#REF!+K838</f>
        <v>#REF!</v>
      </c>
      <c r="N838" s="666" t="e">
        <f t="shared" ref="N838:N901" si="64">M838*C838</f>
        <v>#REF!</v>
      </c>
      <c r="O838" s="672"/>
      <c r="P838" s="668"/>
      <c r="Q838" s="676"/>
      <c r="R838" s="676"/>
    </row>
    <row r="839" spans="1:18" s="677" customFormat="1" ht="63.75" hidden="1" customHeight="1">
      <c r="A839" s="662"/>
      <c r="B839" s="738" t="s">
        <v>1880</v>
      </c>
      <c r="C839" s="696">
        <f>[14]Data!AQ3116</f>
        <v>231</v>
      </c>
      <c r="D839" s="741" t="s">
        <v>522</v>
      </c>
      <c r="E839" s="684"/>
      <c r="F839" s="667">
        <f t="shared" si="61"/>
        <v>0</v>
      </c>
      <c r="G839" s="675"/>
      <c r="H839" s="667">
        <f t="shared" si="62"/>
        <v>0</v>
      </c>
      <c r="I839" s="667"/>
      <c r="J839" s="667"/>
      <c r="K839" s="667" t="e">
        <f>E839+#REF!+#REF!+#REF!+G839+#REF!+#REF!+#REF!+#REF!+#REF!+#REF!+I839+#REF!+#REF!+#REF!</f>
        <v>#REF!</v>
      </c>
      <c r="L839" s="667" t="e">
        <f t="shared" si="63"/>
        <v>#REF!</v>
      </c>
      <c r="M839" s="665" t="e">
        <f>#REF!+K839</f>
        <v>#REF!</v>
      </c>
      <c r="N839" s="666" t="e">
        <f t="shared" si="64"/>
        <v>#REF!</v>
      </c>
      <c r="O839" s="672"/>
      <c r="P839" s="668"/>
      <c r="Q839" s="676"/>
      <c r="R839" s="676"/>
    </row>
    <row r="840" spans="1:18" s="677" customFormat="1" ht="55.5" hidden="1" customHeight="1">
      <c r="A840" s="662"/>
      <c r="B840" s="738" t="s">
        <v>1881</v>
      </c>
      <c r="C840" s="696">
        <f>[14]Data!AR3116</f>
        <v>220</v>
      </c>
      <c r="D840" s="741" t="s">
        <v>522</v>
      </c>
      <c r="E840" s="684"/>
      <c r="F840" s="667">
        <f t="shared" si="61"/>
        <v>0</v>
      </c>
      <c r="G840" s="675"/>
      <c r="H840" s="667">
        <f t="shared" si="62"/>
        <v>0</v>
      </c>
      <c r="I840" s="667"/>
      <c r="J840" s="667"/>
      <c r="K840" s="667" t="e">
        <f>E840+#REF!+#REF!+#REF!+G840+#REF!+#REF!+#REF!+#REF!+#REF!+#REF!+I840+#REF!+#REF!+#REF!</f>
        <v>#REF!</v>
      </c>
      <c r="L840" s="667" t="e">
        <f t="shared" si="63"/>
        <v>#REF!</v>
      </c>
      <c r="M840" s="665" t="e">
        <f>#REF!+K840</f>
        <v>#REF!</v>
      </c>
      <c r="N840" s="666" t="e">
        <f t="shared" si="64"/>
        <v>#REF!</v>
      </c>
      <c r="O840" s="672"/>
      <c r="P840" s="668"/>
      <c r="Q840" s="676"/>
      <c r="R840" s="676"/>
    </row>
    <row r="841" spans="1:18" s="677" customFormat="1" ht="63" hidden="1" customHeight="1">
      <c r="A841" s="662"/>
      <c r="B841" s="738" t="s">
        <v>1882</v>
      </c>
      <c r="C841" s="696">
        <f>[14]Elec.Data!R3638</f>
        <v>2808.14</v>
      </c>
      <c r="D841" s="674" t="s">
        <v>522</v>
      </c>
      <c r="E841" s="660"/>
      <c r="F841" s="667">
        <f t="shared" si="61"/>
        <v>0</v>
      </c>
      <c r="G841" s="675"/>
      <c r="H841" s="667">
        <f t="shared" si="62"/>
        <v>0</v>
      </c>
      <c r="I841" s="667"/>
      <c r="J841" s="667"/>
      <c r="K841" s="667" t="e">
        <f>E841+#REF!+#REF!+#REF!+G841+#REF!+#REF!+#REF!+#REF!+#REF!+#REF!+I841+#REF!+#REF!+#REF!</f>
        <v>#REF!</v>
      </c>
      <c r="L841" s="667" t="e">
        <f t="shared" si="63"/>
        <v>#REF!</v>
      </c>
      <c r="M841" s="665" t="e">
        <f>#REF!+K841</f>
        <v>#REF!</v>
      </c>
      <c r="N841" s="666" t="e">
        <f t="shared" si="64"/>
        <v>#REF!</v>
      </c>
      <c r="O841" s="672"/>
      <c r="P841" s="668"/>
      <c r="Q841" s="676"/>
      <c r="R841" s="676"/>
    </row>
    <row r="842" spans="1:18" s="677" customFormat="1" ht="45.75" hidden="1" customHeight="1">
      <c r="A842" s="662"/>
      <c r="B842" s="663" t="s">
        <v>1883</v>
      </c>
      <c r="C842" s="660">
        <f>[14]Data!R2365</f>
        <v>343.98</v>
      </c>
      <c r="D842" s="674" t="s">
        <v>61</v>
      </c>
      <c r="E842" s="684"/>
      <c r="F842" s="667">
        <f t="shared" si="61"/>
        <v>0</v>
      </c>
      <c r="G842" s="675"/>
      <c r="H842" s="667">
        <f t="shared" si="62"/>
        <v>0</v>
      </c>
      <c r="I842" s="667"/>
      <c r="J842" s="667"/>
      <c r="K842" s="667" t="e">
        <f>E842+#REF!+#REF!+#REF!+G842+#REF!+#REF!+#REF!+#REF!+#REF!+#REF!+I842+#REF!+#REF!+#REF!</f>
        <v>#REF!</v>
      </c>
      <c r="L842" s="667" t="e">
        <f t="shared" si="63"/>
        <v>#REF!</v>
      </c>
      <c r="M842" s="665" t="e">
        <f>#REF!+K842</f>
        <v>#REF!</v>
      </c>
      <c r="N842" s="666" t="e">
        <f t="shared" si="64"/>
        <v>#REF!</v>
      </c>
      <c r="O842" s="672"/>
      <c r="P842" s="668"/>
      <c r="Q842" s="676"/>
      <c r="R842" s="676"/>
    </row>
    <row r="843" spans="1:18" ht="61.15" customHeight="1">
      <c r="A843" s="662"/>
      <c r="B843" s="663" t="s">
        <v>1884</v>
      </c>
      <c r="C843" s="769">
        <f>[14]Data!X1347</f>
        <v>1324.24</v>
      </c>
      <c r="D843" s="663" t="s">
        <v>264</v>
      </c>
      <c r="E843" s="690"/>
      <c r="F843" s="667">
        <f t="shared" si="61"/>
        <v>0</v>
      </c>
      <c r="G843" s="667"/>
      <c r="H843" s="667">
        <f t="shared" si="62"/>
        <v>0</v>
      </c>
      <c r="I843" s="667"/>
      <c r="J843" s="667"/>
      <c r="K843" s="667" t="e">
        <f>E843+#REF!+#REF!+#REF!+G843+#REF!+#REF!+#REF!+#REF!+#REF!+#REF!+I843+#REF!+#REF!+#REF!</f>
        <v>#REF!</v>
      </c>
      <c r="L843" s="667" t="e">
        <f t="shared" si="63"/>
        <v>#REF!</v>
      </c>
      <c r="M843" s="665" t="e">
        <f>#REF!+K843</f>
        <v>#REF!</v>
      </c>
      <c r="N843" s="666" t="e">
        <f t="shared" si="64"/>
        <v>#REF!</v>
      </c>
      <c r="O843" s="672"/>
      <c r="P843" s="668"/>
    </row>
    <row r="844" spans="1:18" s="677" customFormat="1" ht="40.15" hidden="1" customHeight="1">
      <c r="A844" s="662" t="s">
        <v>1885</v>
      </c>
      <c r="B844" s="663" t="s">
        <v>1886</v>
      </c>
      <c r="C844" s="675">
        <f>[14]Data!K1797</f>
        <v>1920</v>
      </c>
      <c r="D844" s="674" t="s">
        <v>522</v>
      </c>
      <c r="E844" s="684"/>
      <c r="F844" s="667">
        <f t="shared" si="61"/>
        <v>0</v>
      </c>
      <c r="G844" s="675"/>
      <c r="H844" s="667">
        <f t="shared" si="62"/>
        <v>0</v>
      </c>
      <c r="I844" s="667"/>
      <c r="J844" s="667"/>
      <c r="K844" s="667" t="e">
        <f>E844+#REF!+#REF!+#REF!+G844+#REF!+#REF!+#REF!+#REF!+#REF!+#REF!+I844+#REF!+#REF!+#REF!</f>
        <v>#REF!</v>
      </c>
      <c r="L844" s="667" t="e">
        <f t="shared" si="63"/>
        <v>#REF!</v>
      </c>
      <c r="M844" s="665" t="e">
        <f>#REF!+K844</f>
        <v>#REF!</v>
      </c>
      <c r="N844" s="666" t="e">
        <f t="shared" si="64"/>
        <v>#REF!</v>
      </c>
      <c r="O844" s="672"/>
      <c r="P844" s="668"/>
      <c r="Q844" s="676"/>
      <c r="R844" s="676"/>
    </row>
    <row r="845" spans="1:18" ht="60.75" customHeight="1">
      <c r="A845" s="662"/>
      <c r="B845" s="685" t="s">
        <v>1887</v>
      </c>
      <c r="C845" s="667"/>
      <c r="D845" s="663"/>
      <c r="E845" s="667"/>
      <c r="F845" s="667">
        <f t="shared" si="61"/>
        <v>0</v>
      </c>
      <c r="G845" s="667"/>
      <c r="H845" s="667">
        <f t="shared" si="62"/>
        <v>0</v>
      </c>
      <c r="I845" s="667"/>
      <c r="J845" s="667"/>
      <c r="K845" s="667" t="e">
        <f>E845+#REF!+#REF!+#REF!+G845+#REF!+#REF!+#REF!+#REF!+#REF!+#REF!+I845+#REF!+#REF!+#REF!</f>
        <v>#REF!</v>
      </c>
      <c r="L845" s="667" t="e">
        <f t="shared" si="63"/>
        <v>#REF!</v>
      </c>
      <c r="M845" s="665" t="e">
        <f>#REF!+K845</f>
        <v>#REF!</v>
      </c>
      <c r="N845" s="666" t="e">
        <f t="shared" si="64"/>
        <v>#REF!</v>
      </c>
      <c r="O845" s="668"/>
      <c r="P845" s="668"/>
    </row>
    <row r="846" spans="1:18" ht="50.25" customHeight="1">
      <c r="A846" s="662"/>
      <c r="B846" s="663" t="s">
        <v>1888</v>
      </c>
      <c r="C846" s="769">
        <f>[14]Data!K3677</f>
        <v>442.95</v>
      </c>
      <c r="D846" s="663" t="s">
        <v>61</v>
      </c>
      <c r="E846" s="699">
        <f>'Septic Tank'!$G$101</f>
        <v>40</v>
      </c>
      <c r="F846" s="667">
        <f t="shared" si="61"/>
        <v>17718</v>
      </c>
      <c r="G846" s="667"/>
      <c r="H846" s="667">
        <f t="shared" si="62"/>
        <v>0</v>
      </c>
      <c r="I846" s="667"/>
      <c r="J846" s="667"/>
      <c r="K846" s="667" t="e">
        <f>E846+#REF!+#REF!+#REF!+G846+#REF!+#REF!+#REF!+#REF!+#REF!+#REF!+I846+#REF!+#REF!+#REF!</f>
        <v>#REF!</v>
      </c>
      <c r="L846" s="667" t="e">
        <f t="shared" si="63"/>
        <v>#REF!</v>
      </c>
      <c r="M846" s="665" t="e">
        <f>#REF!+K846</f>
        <v>#REF!</v>
      </c>
      <c r="N846" s="666" t="e">
        <f t="shared" si="64"/>
        <v>#REF!</v>
      </c>
      <c r="O846" s="672"/>
      <c r="P846" s="668"/>
    </row>
    <row r="847" spans="1:18" ht="50.25" customHeight="1">
      <c r="A847" s="662"/>
      <c r="B847" s="663" t="s">
        <v>1889</v>
      </c>
      <c r="C847" s="769">
        <f>[14]Data!K3697</f>
        <v>753.21</v>
      </c>
      <c r="D847" s="663" t="s">
        <v>61</v>
      </c>
      <c r="E847" s="699">
        <f>'Septic Tank'!$G$104</f>
        <v>10</v>
      </c>
      <c r="F847" s="667">
        <f t="shared" si="61"/>
        <v>7532.1</v>
      </c>
      <c r="G847" s="667"/>
      <c r="H847" s="667">
        <f t="shared" si="62"/>
        <v>0</v>
      </c>
      <c r="I847" s="667"/>
      <c r="J847" s="667"/>
      <c r="K847" s="667" t="e">
        <f>E847+#REF!+#REF!+#REF!+G847+#REF!+#REF!+#REF!+#REF!+#REF!+#REF!+I847+#REF!+#REF!+#REF!</f>
        <v>#REF!</v>
      </c>
      <c r="L847" s="667" t="e">
        <f t="shared" si="63"/>
        <v>#REF!</v>
      </c>
      <c r="M847" s="665" t="e">
        <f>#REF!+K847</f>
        <v>#REF!</v>
      </c>
      <c r="N847" s="666" t="e">
        <f t="shared" si="64"/>
        <v>#REF!</v>
      </c>
      <c r="O847" s="672"/>
      <c r="P847" s="668"/>
    </row>
    <row r="848" spans="1:18" ht="50.25" customHeight="1">
      <c r="A848" s="662"/>
      <c r="B848" s="685" t="s">
        <v>1890</v>
      </c>
      <c r="C848" s="769"/>
      <c r="D848" s="663"/>
      <c r="E848" s="699"/>
      <c r="F848" s="667">
        <f t="shared" si="61"/>
        <v>0</v>
      </c>
      <c r="G848" s="667"/>
      <c r="H848" s="667">
        <f t="shared" si="62"/>
        <v>0</v>
      </c>
      <c r="I848" s="667"/>
      <c r="J848" s="667"/>
      <c r="K848" s="667" t="e">
        <f>E848+#REF!+#REF!+#REF!+G848+#REF!+#REF!+#REF!+#REF!+#REF!+#REF!+I848+#REF!+#REF!+#REF!</f>
        <v>#REF!</v>
      </c>
      <c r="L848" s="667" t="e">
        <f t="shared" si="63"/>
        <v>#REF!</v>
      </c>
      <c r="M848" s="665" t="e">
        <f>#REF!+K848</f>
        <v>#REF!</v>
      </c>
      <c r="N848" s="666" t="e">
        <f t="shared" si="64"/>
        <v>#REF!</v>
      </c>
      <c r="O848" s="668"/>
      <c r="P848" s="668"/>
    </row>
    <row r="849" spans="1:18" ht="57.75" customHeight="1">
      <c r="A849" s="662"/>
      <c r="B849" s="770" t="s">
        <v>1891</v>
      </c>
      <c r="C849" s="769">
        <v>248</v>
      </c>
      <c r="D849" s="663" t="s">
        <v>522</v>
      </c>
      <c r="E849" s="699"/>
      <c r="F849" s="667">
        <f t="shared" si="61"/>
        <v>0</v>
      </c>
      <c r="G849" s="667"/>
      <c r="H849" s="667">
        <f t="shared" si="62"/>
        <v>0</v>
      </c>
      <c r="I849" s="667"/>
      <c r="J849" s="667"/>
      <c r="K849" s="667" t="e">
        <f>E849+#REF!+#REF!+#REF!+G849+#REF!+#REF!+#REF!+#REF!+#REF!+#REF!+I849+#REF!+#REF!+#REF!</f>
        <v>#REF!</v>
      </c>
      <c r="L849" s="667" t="e">
        <f t="shared" si="63"/>
        <v>#REF!</v>
      </c>
      <c r="M849" s="665" t="e">
        <f>#REF!+K849</f>
        <v>#REF!</v>
      </c>
      <c r="N849" s="666" t="e">
        <f t="shared" si="64"/>
        <v>#REF!</v>
      </c>
      <c r="O849" s="672"/>
      <c r="P849" s="668"/>
    </row>
    <row r="850" spans="1:18" ht="63.75" customHeight="1">
      <c r="A850" s="662"/>
      <c r="B850" s="708" t="s">
        <v>1892</v>
      </c>
      <c r="C850" s="769">
        <v>1048</v>
      </c>
      <c r="D850" s="663" t="s">
        <v>522</v>
      </c>
      <c r="E850" s="699"/>
      <c r="F850" s="667">
        <f t="shared" si="61"/>
        <v>0</v>
      </c>
      <c r="G850" s="667"/>
      <c r="H850" s="667">
        <f t="shared" si="62"/>
        <v>0</v>
      </c>
      <c r="I850" s="667"/>
      <c r="J850" s="667"/>
      <c r="K850" s="667" t="e">
        <f>E850+#REF!+#REF!+#REF!+G850+#REF!+#REF!+#REF!+#REF!+#REF!+#REF!+I850+#REF!+#REF!+#REF!</f>
        <v>#REF!</v>
      </c>
      <c r="L850" s="667" t="e">
        <f t="shared" si="63"/>
        <v>#REF!</v>
      </c>
      <c r="M850" s="665" t="e">
        <f>#REF!+K850</f>
        <v>#REF!</v>
      </c>
      <c r="N850" s="666" t="e">
        <f t="shared" si="64"/>
        <v>#REF!</v>
      </c>
      <c r="O850" s="672"/>
      <c r="P850" s="668"/>
    </row>
    <row r="851" spans="1:18" ht="51.75" customHeight="1">
      <c r="A851" s="662"/>
      <c r="B851" s="685" t="s">
        <v>1893</v>
      </c>
      <c r="C851" s="769"/>
      <c r="D851" s="663"/>
      <c r="E851" s="699"/>
      <c r="F851" s="667">
        <f t="shared" si="61"/>
        <v>0</v>
      </c>
      <c r="G851" s="667"/>
      <c r="H851" s="667">
        <f t="shared" si="62"/>
        <v>0</v>
      </c>
      <c r="I851" s="667"/>
      <c r="J851" s="667"/>
      <c r="K851" s="667" t="e">
        <f>E851+#REF!+#REF!+#REF!+G851+#REF!+#REF!+#REF!+#REF!+#REF!+#REF!+I851+#REF!+#REF!+#REF!</f>
        <v>#REF!</v>
      </c>
      <c r="L851" s="667" t="e">
        <f t="shared" si="63"/>
        <v>#REF!</v>
      </c>
      <c r="M851" s="665" t="e">
        <f>#REF!+K851</f>
        <v>#REF!</v>
      </c>
      <c r="N851" s="666" t="e">
        <f t="shared" si="64"/>
        <v>#REF!</v>
      </c>
      <c r="O851" s="668"/>
      <c r="P851" s="668"/>
    </row>
    <row r="852" spans="1:18" ht="52.5" customHeight="1">
      <c r="A852" s="662"/>
      <c r="B852" s="663" t="s">
        <v>1894</v>
      </c>
      <c r="C852" s="769">
        <v>303</v>
      </c>
      <c r="D852" s="663" t="s">
        <v>522</v>
      </c>
      <c r="E852" s="699"/>
      <c r="F852" s="667">
        <f t="shared" si="61"/>
        <v>0</v>
      </c>
      <c r="G852" s="667"/>
      <c r="H852" s="667">
        <f t="shared" si="62"/>
        <v>0</v>
      </c>
      <c r="I852" s="667"/>
      <c r="J852" s="667"/>
      <c r="K852" s="667" t="e">
        <f>E852+#REF!+#REF!+#REF!+G852+#REF!+#REF!+#REF!+#REF!+#REF!+#REF!+I852+#REF!+#REF!+#REF!</f>
        <v>#REF!</v>
      </c>
      <c r="L852" s="667" t="e">
        <f t="shared" si="63"/>
        <v>#REF!</v>
      </c>
      <c r="M852" s="665" t="e">
        <f>#REF!+K852</f>
        <v>#REF!</v>
      </c>
      <c r="N852" s="666" t="e">
        <f t="shared" si="64"/>
        <v>#REF!</v>
      </c>
      <c r="O852" s="672"/>
      <c r="P852" s="668"/>
    </row>
    <row r="853" spans="1:18" ht="65.25" customHeight="1">
      <c r="A853" s="662"/>
      <c r="B853" s="663" t="s">
        <v>1895</v>
      </c>
      <c r="C853" s="771">
        <v>827</v>
      </c>
      <c r="D853" s="663" t="s">
        <v>522</v>
      </c>
      <c r="E853" s="699"/>
      <c r="F853" s="667">
        <f t="shared" si="61"/>
        <v>0</v>
      </c>
      <c r="G853" s="667"/>
      <c r="H853" s="667">
        <f t="shared" si="62"/>
        <v>0</v>
      </c>
      <c r="I853" s="667"/>
      <c r="J853" s="667"/>
      <c r="K853" s="667" t="e">
        <f>E853+#REF!+#REF!+#REF!+G853+#REF!+#REF!+#REF!+#REF!+#REF!+#REF!+I853+#REF!+#REF!+#REF!</f>
        <v>#REF!</v>
      </c>
      <c r="L853" s="667" t="e">
        <f t="shared" si="63"/>
        <v>#REF!</v>
      </c>
      <c r="M853" s="665" t="e">
        <f>#REF!+K853</f>
        <v>#REF!</v>
      </c>
      <c r="N853" s="666" t="e">
        <f t="shared" si="64"/>
        <v>#REF!</v>
      </c>
      <c r="O853" s="672"/>
      <c r="P853" s="668"/>
    </row>
    <row r="854" spans="1:18" ht="86.25" customHeight="1">
      <c r="A854" s="662"/>
      <c r="B854" s="663" t="s">
        <v>1896</v>
      </c>
      <c r="C854" s="769">
        <f>[14]Data!R1978</f>
        <v>3040.4</v>
      </c>
      <c r="D854" s="663" t="s">
        <v>522</v>
      </c>
      <c r="E854" s="666"/>
      <c r="F854" s="667">
        <f t="shared" si="61"/>
        <v>0</v>
      </c>
      <c r="G854" s="667"/>
      <c r="H854" s="667">
        <f t="shared" si="62"/>
        <v>0</v>
      </c>
      <c r="I854" s="667"/>
      <c r="J854" s="667"/>
      <c r="K854" s="667" t="e">
        <f>E854+#REF!+#REF!+#REF!+G854+#REF!+#REF!+#REF!+#REF!+#REF!+#REF!+I854+#REF!+#REF!+#REF!</f>
        <v>#REF!</v>
      </c>
      <c r="L854" s="667" t="e">
        <f t="shared" si="63"/>
        <v>#REF!</v>
      </c>
      <c r="M854" s="665" t="e">
        <f>#REF!+K854</f>
        <v>#REF!</v>
      </c>
      <c r="N854" s="666" t="e">
        <f t="shared" si="64"/>
        <v>#REF!</v>
      </c>
      <c r="O854" s="672"/>
      <c r="P854" s="668"/>
    </row>
    <row r="855" spans="1:18" ht="84.75" customHeight="1">
      <c r="A855" s="662"/>
      <c r="B855" s="663" t="s">
        <v>1897</v>
      </c>
      <c r="C855" s="769">
        <f>[14]Data!R1999</f>
        <v>4756.41</v>
      </c>
      <c r="D855" s="663" t="s">
        <v>522</v>
      </c>
      <c r="E855" s="666"/>
      <c r="F855" s="667">
        <f t="shared" si="61"/>
        <v>0</v>
      </c>
      <c r="G855" s="667"/>
      <c r="H855" s="667">
        <f t="shared" si="62"/>
        <v>0</v>
      </c>
      <c r="I855" s="667"/>
      <c r="J855" s="667"/>
      <c r="K855" s="667" t="e">
        <f>E855+#REF!+#REF!+#REF!+G855+#REF!+#REF!+#REF!+#REF!+#REF!+#REF!+I855+#REF!+#REF!+#REF!</f>
        <v>#REF!</v>
      </c>
      <c r="L855" s="667" t="e">
        <f t="shared" si="63"/>
        <v>#REF!</v>
      </c>
      <c r="M855" s="665" t="e">
        <f>#REF!+K855</f>
        <v>#REF!</v>
      </c>
      <c r="N855" s="666" t="e">
        <f t="shared" si="64"/>
        <v>#REF!</v>
      </c>
      <c r="O855" s="672"/>
      <c r="P855" s="668"/>
    </row>
    <row r="856" spans="1:18" ht="84.75" customHeight="1">
      <c r="A856" s="662"/>
      <c r="B856" s="663" t="s">
        <v>1898</v>
      </c>
      <c r="C856" s="769">
        <f>[14]Data!R2018</f>
        <v>6501.3</v>
      </c>
      <c r="D856" s="663" t="s">
        <v>522</v>
      </c>
      <c r="E856" s="666"/>
      <c r="F856" s="667"/>
      <c r="G856" s="667"/>
      <c r="H856" s="667"/>
      <c r="I856" s="667"/>
      <c r="J856" s="667"/>
      <c r="K856" s="667" t="e">
        <f>E856+#REF!+#REF!+#REF!+G856+#REF!+#REF!+#REF!+#REF!+#REF!+#REF!+I856+#REF!+#REF!+#REF!</f>
        <v>#REF!</v>
      </c>
      <c r="L856" s="667" t="e">
        <f t="shared" si="63"/>
        <v>#REF!</v>
      </c>
      <c r="M856" s="665" t="e">
        <f>#REF!+K856</f>
        <v>#REF!</v>
      </c>
      <c r="N856" s="666" t="e">
        <f t="shared" si="64"/>
        <v>#REF!</v>
      </c>
      <c r="O856" s="672"/>
      <c r="P856" s="668"/>
    </row>
    <row r="857" spans="1:18" ht="61.5" hidden="1" customHeight="1">
      <c r="A857" s="662"/>
      <c r="B857" s="663" t="s">
        <v>1899</v>
      </c>
      <c r="C857" s="769">
        <f>[14]Data!R2037</f>
        <v>6861.3</v>
      </c>
      <c r="D857" s="663" t="s">
        <v>522</v>
      </c>
      <c r="E857" s="666"/>
      <c r="F857" s="667">
        <f t="shared" ref="F857:F888" si="65">E857*C857</f>
        <v>0</v>
      </c>
      <c r="G857" s="667"/>
      <c r="H857" s="667">
        <f t="shared" ref="H857:H888" si="66">G857*C857</f>
        <v>0</v>
      </c>
      <c r="I857" s="667"/>
      <c r="J857" s="667"/>
      <c r="K857" s="667" t="e">
        <f>E857+#REF!+#REF!+#REF!+G857+#REF!+#REF!+#REF!+#REF!+#REF!+#REF!+I857+#REF!+#REF!+#REF!</f>
        <v>#REF!</v>
      </c>
      <c r="L857" s="667" t="e">
        <f t="shared" si="63"/>
        <v>#REF!</v>
      </c>
      <c r="M857" s="665" t="e">
        <f>#REF!+K857</f>
        <v>#REF!</v>
      </c>
      <c r="N857" s="666" t="e">
        <f t="shared" si="64"/>
        <v>#REF!</v>
      </c>
      <c r="O857" s="672"/>
      <c r="P857" s="668"/>
    </row>
    <row r="858" spans="1:18" s="677" customFormat="1" ht="38.25" hidden="1" customHeight="1">
      <c r="A858" s="662"/>
      <c r="B858" s="685" t="s">
        <v>1857</v>
      </c>
      <c r="C858" s="739"/>
      <c r="D858" s="674"/>
      <c r="E858" s="684"/>
      <c r="F858" s="667">
        <f t="shared" si="65"/>
        <v>0</v>
      </c>
      <c r="G858" s="675"/>
      <c r="H858" s="667">
        <f t="shared" si="66"/>
        <v>0</v>
      </c>
      <c r="I858" s="667"/>
      <c r="J858" s="667"/>
      <c r="K858" s="667" t="e">
        <f>E858+#REF!+#REF!+#REF!+G858+#REF!+#REF!+#REF!+#REF!+#REF!+#REF!+I858+#REF!+#REF!+#REF!</f>
        <v>#REF!</v>
      </c>
      <c r="L858" s="667" t="e">
        <f t="shared" si="63"/>
        <v>#REF!</v>
      </c>
      <c r="M858" s="665" t="e">
        <f>#REF!+K858</f>
        <v>#REF!</v>
      </c>
      <c r="N858" s="666" t="e">
        <f t="shared" si="64"/>
        <v>#REF!</v>
      </c>
      <c r="O858" s="672"/>
      <c r="P858" s="668"/>
      <c r="Q858" s="676"/>
      <c r="R858" s="676"/>
    </row>
    <row r="859" spans="1:18" s="677" customFormat="1" ht="45.75" hidden="1" customHeight="1">
      <c r="A859" s="662"/>
      <c r="B859" s="663" t="s">
        <v>1900</v>
      </c>
      <c r="C859" s="761">
        <f>'[10]doors &amp; windows'!$F$979</f>
        <v>2729.4446820175435</v>
      </c>
      <c r="D859" s="766" t="s">
        <v>37</v>
      </c>
      <c r="E859" s="684"/>
      <c r="F859" s="667">
        <f t="shared" si="65"/>
        <v>0</v>
      </c>
      <c r="G859" s="675"/>
      <c r="H859" s="667">
        <f t="shared" si="66"/>
        <v>0</v>
      </c>
      <c r="I859" s="667"/>
      <c r="J859" s="667"/>
      <c r="K859" s="667" t="e">
        <f>E859+#REF!+#REF!+#REF!+G859+#REF!+#REF!+#REF!+#REF!+#REF!+#REF!+I859+#REF!+#REF!+#REF!</f>
        <v>#REF!</v>
      </c>
      <c r="L859" s="667" t="e">
        <f t="shared" si="63"/>
        <v>#REF!</v>
      </c>
      <c r="M859" s="665" t="e">
        <f>#REF!+K859</f>
        <v>#REF!</v>
      </c>
      <c r="N859" s="666" t="e">
        <f t="shared" si="64"/>
        <v>#REF!</v>
      </c>
      <c r="O859" s="672"/>
      <c r="P859" s="668"/>
      <c r="Q859" s="676"/>
      <c r="R859" s="676"/>
    </row>
    <row r="860" spans="1:18" s="677" customFormat="1" ht="45.75" hidden="1" customHeight="1">
      <c r="A860" s="662"/>
      <c r="B860" s="663" t="s">
        <v>1901</v>
      </c>
      <c r="C860" s="739">
        <f>'[10]doors &amp; windows'!$F$942</f>
        <v>3025.6259868421052</v>
      </c>
      <c r="D860" s="766" t="s">
        <v>37</v>
      </c>
      <c r="E860" s="684"/>
      <c r="F860" s="667">
        <f t="shared" si="65"/>
        <v>0</v>
      </c>
      <c r="G860" s="675"/>
      <c r="H860" s="667">
        <f t="shared" si="66"/>
        <v>0</v>
      </c>
      <c r="I860" s="667"/>
      <c r="J860" s="667"/>
      <c r="K860" s="667" t="e">
        <f>E860+#REF!+#REF!+#REF!+G860+#REF!+#REF!+#REF!+#REF!+#REF!+#REF!+I860+#REF!+#REF!+#REF!</f>
        <v>#REF!</v>
      </c>
      <c r="L860" s="667" t="e">
        <f t="shared" si="63"/>
        <v>#REF!</v>
      </c>
      <c r="M860" s="665" t="e">
        <f>#REF!+K860</f>
        <v>#REF!</v>
      </c>
      <c r="N860" s="666" t="e">
        <f t="shared" si="64"/>
        <v>#REF!</v>
      </c>
      <c r="O860" s="672"/>
      <c r="P860" s="668"/>
      <c r="Q860" s="676"/>
      <c r="R860" s="676"/>
    </row>
    <row r="861" spans="1:18" s="677" customFormat="1" ht="45.75" hidden="1" customHeight="1">
      <c r="A861" s="662"/>
      <c r="B861" s="663" t="s">
        <v>1902</v>
      </c>
      <c r="C861" s="739">
        <f>'[10]doors &amp; windows'!$F$1014</f>
        <v>3025.6259868421048</v>
      </c>
      <c r="D861" s="766" t="s">
        <v>37</v>
      </c>
      <c r="E861" s="684"/>
      <c r="F861" s="667">
        <f t="shared" si="65"/>
        <v>0</v>
      </c>
      <c r="G861" s="675"/>
      <c r="H861" s="667">
        <f t="shared" si="66"/>
        <v>0</v>
      </c>
      <c r="I861" s="667"/>
      <c r="J861" s="667"/>
      <c r="K861" s="667" t="e">
        <f>E861+#REF!+#REF!+#REF!+G861+#REF!+#REF!+#REF!+#REF!+#REF!+#REF!+I861+#REF!+#REF!+#REF!</f>
        <v>#REF!</v>
      </c>
      <c r="L861" s="667" t="e">
        <f t="shared" si="63"/>
        <v>#REF!</v>
      </c>
      <c r="M861" s="665" t="e">
        <f>#REF!+K861</f>
        <v>#REF!</v>
      </c>
      <c r="N861" s="666" t="e">
        <f t="shared" si="64"/>
        <v>#REF!</v>
      </c>
      <c r="O861" s="672"/>
      <c r="P861" s="668"/>
      <c r="Q861" s="676"/>
      <c r="R861" s="676"/>
    </row>
    <row r="862" spans="1:18" s="677" customFormat="1" ht="45.75" hidden="1" customHeight="1">
      <c r="A862" s="662"/>
      <c r="B862" s="663" t="s">
        <v>1903</v>
      </c>
      <c r="C862" s="739">
        <f>'[10]doors &amp; windows'!$F$1050</f>
        <v>3553.6057186234821</v>
      </c>
      <c r="D862" s="766" t="s">
        <v>37</v>
      </c>
      <c r="E862" s="684"/>
      <c r="F862" s="667">
        <f t="shared" si="65"/>
        <v>0</v>
      </c>
      <c r="G862" s="675"/>
      <c r="H862" s="667">
        <f t="shared" si="66"/>
        <v>0</v>
      </c>
      <c r="I862" s="667"/>
      <c r="J862" s="667"/>
      <c r="K862" s="667" t="e">
        <f>E862+#REF!+#REF!+#REF!+G862+#REF!+#REF!+#REF!+#REF!+#REF!+#REF!+I862+#REF!+#REF!+#REF!</f>
        <v>#REF!</v>
      </c>
      <c r="L862" s="667" t="e">
        <f t="shared" si="63"/>
        <v>#REF!</v>
      </c>
      <c r="M862" s="665" t="e">
        <f>#REF!+K862</f>
        <v>#REF!</v>
      </c>
      <c r="N862" s="666" t="e">
        <f t="shared" si="64"/>
        <v>#REF!</v>
      </c>
      <c r="O862" s="672"/>
      <c r="P862" s="668"/>
      <c r="Q862" s="676"/>
      <c r="R862" s="676"/>
    </row>
    <row r="863" spans="1:18" s="677" customFormat="1" ht="45.75" hidden="1" customHeight="1">
      <c r="A863" s="662"/>
      <c r="B863" s="663" t="s">
        <v>1904</v>
      </c>
      <c r="C863" s="739">
        <f>[14]Data!X3143</f>
        <v>3717.9</v>
      </c>
      <c r="D863" s="766" t="s">
        <v>37</v>
      </c>
      <c r="E863" s="684"/>
      <c r="F863" s="667">
        <f t="shared" si="65"/>
        <v>0</v>
      </c>
      <c r="G863" s="675"/>
      <c r="H863" s="667">
        <f t="shared" si="66"/>
        <v>0</v>
      </c>
      <c r="I863" s="667"/>
      <c r="J863" s="667"/>
      <c r="K863" s="667" t="e">
        <f>E863+#REF!+#REF!+#REF!+G863+#REF!+#REF!+#REF!+#REF!+#REF!+#REF!+I863+#REF!+#REF!+#REF!</f>
        <v>#REF!</v>
      </c>
      <c r="L863" s="667" t="e">
        <f t="shared" si="63"/>
        <v>#REF!</v>
      </c>
      <c r="M863" s="665" t="e">
        <f>#REF!+K863</f>
        <v>#REF!</v>
      </c>
      <c r="N863" s="666" t="e">
        <f t="shared" si="64"/>
        <v>#REF!</v>
      </c>
      <c r="O863" s="672"/>
      <c r="P863" s="668"/>
      <c r="Q863" s="676"/>
      <c r="R863" s="676"/>
    </row>
    <row r="864" spans="1:18" s="677" customFormat="1" ht="110.25" hidden="1" customHeight="1">
      <c r="A864" s="662"/>
      <c r="B864" s="685" t="s">
        <v>1905</v>
      </c>
      <c r="C864" s="739"/>
      <c r="D864" s="752"/>
      <c r="E864" s="684"/>
      <c r="F864" s="667">
        <f t="shared" si="65"/>
        <v>0</v>
      </c>
      <c r="G864" s="675"/>
      <c r="H864" s="667">
        <f t="shared" si="66"/>
        <v>0</v>
      </c>
      <c r="I864" s="667"/>
      <c r="J864" s="667"/>
      <c r="K864" s="667" t="e">
        <f>E864+#REF!+#REF!+#REF!+G864+#REF!+#REF!+#REF!+#REF!+#REF!+#REF!+I864+#REF!+#REF!+#REF!</f>
        <v>#REF!</v>
      </c>
      <c r="L864" s="667" t="e">
        <f t="shared" si="63"/>
        <v>#REF!</v>
      </c>
      <c r="M864" s="665" t="e">
        <f>#REF!+K864</f>
        <v>#REF!</v>
      </c>
      <c r="N864" s="666" t="e">
        <f t="shared" si="64"/>
        <v>#REF!</v>
      </c>
      <c r="O864" s="672"/>
      <c r="P864" s="668"/>
      <c r="Q864" s="676"/>
      <c r="R864" s="676"/>
    </row>
    <row r="865" spans="1:18" s="677" customFormat="1" ht="51" hidden="1" customHeight="1">
      <c r="A865" s="662"/>
      <c r="B865" s="663" t="s">
        <v>168</v>
      </c>
      <c r="C865" s="739">
        <f>'[14]  Coastal  Elec.Data '!K2860</f>
        <v>1493.27</v>
      </c>
      <c r="D865" s="742" t="s">
        <v>522</v>
      </c>
      <c r="E865" s="684"/>
      <c r="F865" s="667">
        <f t="shared" si="65"/>
        <v>0</v>
      </c>
      <c r="G865" s="675"/>
      <c r="H865" s="667">
        <f t="shared" si="66"/>
        <v>0</v>
      </c>
      <c r="I865" s="667"/>
      <c r="J865" s="667"/>
      <c r="K865" s="667" t="e">
        <f>E865+#REF!+#REF!+#REF!+G865+#REF!+#REF!+#REF!+#REF!+#REF!+#REF!+I865+#REF!+#REF!+#REF!</f>
        <v>#REF!</v>
      </c>
      <c r="L865" s="667" t="e">
        <f t="shared" si="63"/>
        <v>#REF!</v>
      </c>
      <c r="M865" s="665" t="e">
        <f>#REF!+K865</f>
        <v>#REF!</v>
      </c>
      <c r="N865" s="666" t="e">
        <f t="shared" si="64"/>
        <v>#REF!</v>
      </c>
      <c r="O865" s="672"/>
      <c r="P865" s="668"/>
      <c r="Q865" s="676"/>
      <c r="R865" s="676"/>
    </row>
    <row r="866" spans="1:18" s="677" customFormat="1" ht="51" hidden="1" customHeight="1">
      <c r="A866" s="662"/>
      <c r="B866" s="663" t="s">
        <v>170</v>
      </c>
      <c r="C866" s="739">
        <f>'[14]  Coastal  Elec.Data '!K2884</f>
        <v>1496.32</v>
      </c>
      <c r="D866" s="742" t="s">
        <v>522</v>
      </c>
      <c r="E866" s="684"/>
      <c r="F866" s="667">
        <f t="shared" si="65"/>
        <v>0</v>
      </c>
      <c r="G866" s="675"/>
      <c r="H866" s="667">
        <f t="shared" si="66"/>
        <v>0</v>
      </c>
      <c r="I866" s="667"/>
      <c r="J866" s="667"/>
      <c r="K866" s="667" t="e">
        <f>E866+#REF!+#REF!+#REF!+G866+#REF!+#REF!+#REF!+#REF!+#REF!+#REF!+I866+#REF!+#REF!+#REF!</f>
        <v>#REF!</v>
      </c>
      <c r="L866" s="667" t="e">
        <f t="shared" si="63"/>
        <v>#REF!</v>
      </c>
      <c r="M866" s="665" t="e">
        <f>#REF!+K866</f>
        <v>#REF!</v>
      </c>
      <c r="N866" s="666" t="e">
        <f t="shared" si="64"/>
        <v>#REF!</v>
      </c>
      <c r="O866" s="672"/>
      <c r="P866" s="668"/>
      <c r="Q866" s="676"/>
      <c r="R866" s="676"/>
    </row>
    <row r="867" spans="1:18" s="677" customFormat="1" ht="51" hidden="1" customHeight="1">
      <c r="A867" s="690"/>
      <c r="B867" s="663" t="s">
        <v>1591</v>
      </c>
      <c r="C867" s="739">
        <f>'[14]  Coastal  Elec.Data '!K2899</f>
        <v>1526.05</v>
      </c>
      <c r="D867" s="742" t="s">
        <v>522</v>
      </c>
      <c r="E867" s="684"/>
      <c r="F867" s="667">
        <f t="shared" si="65"/>
        <v>0</v>
      </c>
      <c r="G867" s="675"/>
      <c r="H867" s="667">
        <f t="shared" si="66"/>
        <v>0</v>
      </c>
      <c r="I867" s="667"/>
      <c r="J867" s="667"/>
      <c r="K867" s="667" t="e">
        <f>E867+#REF!+#REF!+#REF!+G867+#REF!+#REF!+#REF!+#REF!+#REF!+#REF!+I867+#REF!+#REF!+#REF!</f>
        <v>#REF!</v>
      </c>
      <c r="L867" s="667" t="e">
        <f t="shared" si="63"/>
        <v>#REF!</v>
      </c>
      <c r="M867" s="665" t="e">
        <f>#REF!+K867</f>
        <v>#REF!</v>
      </c>
      <c r="N867" s="666" t="e">
        <f t="shared" si="64"/>
        <v>#REF!</v>
      </c>
      <c r="O867" s="672"/>
      <c r="P867" s="668"/>
      <c r="Q867" s="676"/>
      <c r="R867" s="676"/>
    </row>
    <row r="868" spans="1:18" s="677" customFormat="1" ht="108" hidden="1" customHeight="1">
      <c r="A868" s="662"/>
      <c r="B868" s="663" t="s">
        <v>1906</v>
      </c>
      <c r="C868" s="739">
        <f>'[14]  Coastal  Elec.Data '!K2921</f>
        <v>1547.28</v>
      </c>
      <c r="D868" s="742" t="s">
        <v>522</v>
      </c>
      <c r="E868" s="684"/>
      <c r="F868" s="667">
        <f t="shared" si="65"/>
        <v>0</v>
      </c>
      <c r="G868" s="675"/>
      <c r="H868" s="667">
        <f t="shared" si="66"/>
        <v>0</v>
      </c>
      <c r="I868" s="667"/>
      <c r="J868" s="667"/>
      <c r="K868" s="667" t="e">
        <f>E868+#REF!+#REF!+#REF!+G868+#REF!+#REF!+#REF!+#REF!+#REF!+#REF!+I868+#REF!+#REF!+#REF!</f>
        <v>#REF!</v>
      </c>
      <c r="L868" s="667" t="e">
        <f t="shared" si="63"/>
        <v>#REF!</v>
      </c>
      <c r="M868" s="665" t="e">
        <f>#REF!+K868</f>
        <v>#REF!</v>
      </c>
      <c r="N868" s="666" t="e">
        <f t="shared" si="64"/>
        <v>#REF!</v>
      </c>
      <c r="O868" s="672"/>
      <c r="P868" s="668"/>
      <c r="Q868" s="676"/>
      <c r="R868" s="676"/>
    </row>
    <row r="869" spans="1:18" s="677" customFormat="1" ht="105" hidden="1" customHeight="1">
      <c r="A869" s="662"/>
      <c r="B869" s="663" t="s">
        <v>1907</v>
      </c>
      <c r="C869" s="739">
        <f>'[14]  Coastal  Elec.Data '!K2945</f>
        <v>2795.01</v>
      </c>
      <c r="D869" s="742" t="s">
        <v>522</v>
      </c>
      <c r="E869" s="684"/>
      <c r="F869" s="667">
        <f t="shared" si="65"/>
        <v>0</v>
      </c>
      <c r="G869" s="675"/>
      <c r="H869" s="667">
        <f t="shared" si="66"/>
        <v>0</v>
      </c>
      <c r="I869" s="667"/>
      <c r="J869" s="667"/>
      <c r="K869" s="667" t="e">
        <f>E869+#REF!+#REF!+#REF!+G869+#REF!+#REF!+#REF!+#REF!+#REF!+#REF!+I869+#REF!+#REF!+#REF!</f>
        <v>#REF!</v>
      </c>
      <c r="L869" s="667" t="e">
        <f t="shared" si="63"/>
        <v>#REF!</v>
      </c>
      <c r="M869" s="665" t="e">
        <f>#REF!+K869</f>
        <v>#REF!</v>
      </c>
      <c r="N869" s="666" t="e">
        <f t="shared" si="64"/>
        <v>#REF!</v>
      </c>
      <c r="O869" s="672"/>
      <c r="P869" s="668"/>
      <c r="Q869" s="676"/>
      <c r="R869" s="676"/>
    </row>
    <row r="870" spans="1:18" s="677" customFormat="1" ht="113.25" hidden="1" customHeight="1">
      <c r="A870" s="662">
        <v>67.099999999999994</v>
      </c>
      <c r="B870" s="663" t="s">
        <v>1727</v>
      </c>
      <c r="C870" s="739">
        <f>'[14]  Coastal  Elec.Data '!K2977</f>
        <v>764.91</v>
      </c>
      <c r="D870" s="742" t="s">
        <v>522</v>
      </c>
      <c r="E870" s="684"/>
      <c r="F870" s="667">
        <f t="shared" si="65"/>
        <v>0</v>
      </c>
      <c r="G870" s="675"/>
      <c r="H870" s="667">
        <f t="shared" si="66"/>
        <v>0</v>
      </c>
      <c r="I870" s="667"/>
      <c r="J870" s="667"/>
      <c r="K870" s="667" t="e">
        <f>E870+#REF!+#REF!+#REF!+G870+#REF!+#REF!+#REF!+#REF!+#REF!+#REF!+I870+#REF!+#REF!+#REF!</f>
        <v>#REF!</v>
      </c>
      <c r="L870" s="667" t="e">
        <f t="shared" si="63"/>
        <v>#REF!</v>
      </c>
      <c r="M870" s="665" t="e">
        <f>#REF!+K870</f>
        <v>#REF!</v>
      </c>
      <c r="N870" s="666" t="e">
        <f t="shared" si="64"/>
        <v>#REF!</v>
      </c>
      <c r="O870" s="672"/>
      <c r="P870" s="668"/>
      <c r="Q870" s="676"/>
      <c r="R870" s="676"/>
    </row>
    <row r="871" spans="1:18" s="677" customFormat="1" ht="126" hidden="1" customHeight="1">
      <c r="A871" s="662"/>
      <c r="B871" s="663" t="s">
        <v>1908</v>
      </c>
      <c r="C871" s="739">
        <f>'[14]  Coastal  Elec.Data '!K2965</f>
        <v>1037.46</v>
      </c>
      <c r="D871" s="742" t="s">
        <v>522</v>
      </c>
      <c r="E871" s="684"/>
      <c r="F871" s="667">
        <f t="shared" si="65"/>
        <v>0</v>
      </c>
      <c r="G871" s="675"/>
      <c r="H871" s="667">
        <f t="shared" si="66"/>
        <v>0</v>
      </c>
      <c r="I871" s="667"/>
      <c r="J871" s="667"/>
      <c r="K871" s="667" t="e">
        <f>E871+#REF!+#REF!+#REF!+G871+#REF!+#REF!+#REF!+#REF!+#REF!+#REF!+I871+#REF!+#REF!+#REF!</f>
        <v>#REF!</v>
      </c>
      <c r="L871" s="667" t="e">
        <f t="shared" si="63"/>
        <v>#REF!</v>
      </c>
      <c r="M871" s="665" t="e">
        <f>#REF!+K871</f>
        <v>#REF!</v>
      </c>
      <c r="N871" s="666" t="e">
        <f t="shared" si="64"/>
        <v>#REF!</v>
      </c>
      <c r="O871" s="672"/>
      <c r="P871" s="668"/>
      <c r="Q871" s="676"/>
      <c r="R871" s="676"/>
    </row>
    <row r="872" spans="1:18" s="677" customFormat="1" ht="59.25" hidden="1" customHeight="1">
      <c r="A872" s="662"/>
      <c r="B872" s="663" t="s">
        <v>1909</v>
      </c>
      <c r="C872" s="739">
        <f>'[14]  Coastal  Elec.Data '!K2988</f>
        <v>133.5</v>
      </c>
      <c r="D872" s="742" t="s">
        <v>522</v>
      </c>
      <c r="E872" s="684"/>
      <c r="F872" s="667">
        <f t="shared" si="65"/>
        <v>0</v>
      </c>
      <c r="G872" s="675"/>
      <c r="H872" s="667">
        <f t="shared" si="66"/>
        <v>0</v>
      </c>
      <c r="I872" s="667"/>
      <c r="J872" s="667"/>
      <c r="K872" s="667" t="e">
        <f>E872+#REF!+#REF!+#REF!+G872+#REF!+#REF!+#REF!+#REF!+#REF!+#REF!+I872+#REF!+#REF!+#REF!</f>
        <v>#REF!</v>
      </c>
      <c r="L872" s="667" t="e">
        <f t="shared" si="63"/>
        <v>#REF!</v>
      </c>
      <c r="M872" s="665" t="e">
        <f>#REF!+K872</f>
        <v>#REF!</v>
      </c>
      <c r="N872" s="666" t="e">
        <f t="shared" si="64"/>
        <v>#REF!</v>
      </c>
      <c r="O872" s="672"/>
      <c r="P872" s="668"/>
      <c r="Q872" s="676"/>
      <c r="R872" s="676"/>
    </row>
    <row r="873" spans="1:18" s="677" customFormat="1" ht="85.5" hidden="1" customHeight="1">
      <c r="A873" s="662"/>
      <c r="B873" s="663" t="s">
        <v>1910</v>
      </c>
      <c r="C873" s="739">
        <f>[14]Data!R1609</f>
        <v>78609.3</v>
      </c>
      <c r="D873" s="674" t="s">
        <v>58</v>
      </c>
      <c r="E873" s="701"/>
      <c r="F873" s="667">
        <f t="shared" si="65"/>
        <v>0</v>
      </c>
      <c r="G873" s="675"/>
      <c r="H873" s="667">
        <f t="shared" si="66"/>
        <v>0</v>
      </c>
      <c r="I873" s="667"/>
      <c r="J873" s="667"/>
      <c r="K873" s="667" t="e">
        <f>E873+#REF!+#REF!+#REF!+G873+#REF!+#REF!+#REF!+#REF!+#REF!+#REF!+I873+#REF!+#REF!+#REF!</f>
        <v>#REF!</v>
      </c>
      <c r="L873" s="667" t="e">
        <f t="shared" si="63"/>
        <v>#REF!</v>
      </c>
      <c r="M873" s="665" t="e">
        <f>#REF!+K873</f>
        <v>#REF!</v>
      </c>
      <c r="N873" s="666" t="e">
        <f t="shared" si="64"/>
        <v>#REF!</v>
      </c>
      <c r="O873" s="672"/>
      <c r="P873" s="668"/>
      <c r="Q873" s="676"/>
      <c r="R873" s="676"/>
    </row>
    <row r="874" spans="1:18" s="677" customFormat="1" ht="75" hidden="1" customHeight="1">
      <c r="A874" s="662"/>
      <c r="B874" s="663" t="s">
        <v>1911</v>
      </c>
      <c r="C874" s="739">
        <f>[14]Data!R1640</f>
        <v>326.29000000000002</v>
      </c>
      <c r="D874" s="674" t="s">
        <v>61</v>
      </c>
      <c r="E874" s="684"/>
      <c r="F874" s="667">
        <f t="shared" si="65"/>
        <v>0</v>
      </c>
      <c r="G874" s="675"/>
      <c r="H874" s="667">
        <f t="shared" si="66"/>
        <v>0</v>
      </c>
      <c r="I874" s="667"/>
      <c r="J874" s="667"/>
      <c r="K874" s="667" t="e">
        <f>E874+#REF!+#REF!+#REF!+G874+#REF!+#REF!+#REF!+#REF!+#REF!+#REF!+I874+#REF!+#REF!+#REF!</f>
        <v>#REF!</v>
      </c>
      <c r="L874" s="667" t="e">
        <f t="shared" si="63"/>
        <v>#REF!</v>
      </c>
      <c r="M874" s="665" t="e">
        <f>#REF!+K874</f>
        <v>#REF!</v>
      </c>
      <c r="N874" s="666" t="e">
        <f t="shared" si="64"/>
        <v>#REF!</v>
      </c>
      <c r="O874" s="672"/>
      <c r="P874" s="668"/>
      <c r="Q874" s="676"/>
      <c r="R874" s="676"/>
    </row>
    <row r="875" spans="1:18" s="677" customFormat="1" ht="54" hidden="1" customHeight="1">
      <c r="A875" s="662"/>
      <c r="B875" s="685" t="s">
        <v>1912</v>
      </c>
      <c r="C875" s="739">
        <f>[14]Data!K2331</f>
        <v>33.229999999999997</v>
      </c>
      <c r="D875" s="674"/>
      <c r="E875" s="684"/>
      <c r="F875" s="667">
        <f t="shared" si="65"/>
        <v>0</v>
      </c>
      <c r="G875" s="675"/>
      <c r="H875" s="667">
        <f t="shared" si="66"/>
        <v>0</v>
      </c>
      <c r="I875" s="667"/>
      <c r="J875" s="667"/>
      <c r="K875" s="667" t="e">
        <f>E875+#REF!+#REF!+#REF!+G875+#REF!+#REF!+#REF!+#REF!+#REF!+#REF!+I875+#REF!+#REF!+#REF!</f>
        <v>#REF!</v>
      </c>
      <c r="L875" s="667" t="e">
        <f t="shared" si="63"/>
        <v>#REF!</v>
      </c>
      <c r="M875" s="665" t="e">
        <f>#REF!+K875</f>
        <v>#REF!</v>
      </c>
      <c r="N875" s="666" t="e">
        <f t="shared" si="64"/>
        <v>#REF!</v>
      </c>
      <c r="O875" s="672"/>
      <c r="P875" s="668"/>
      <c r="Q875" s="676"/>
      <c r="R875" s="676"/>
    </row>
    <row r="876" spans="1:18" s="677" customFormat="1" ht="54" hidden="1" customHeight="1">
      <c r="A876" s="662"/>
      <c r="B876" s="756" t="s">
        <v>1913</v>
      </c>
      <c r="C876" s="739"/>
      <c r="D876" s="674"/>
      <c r="E876" s="684"/>
      <c r="F876" s="667">
        <f t="shared" si="65"/>
        <v>0</v>
      </c>
      <c r="G876" s="675"/>
      <c r="H876" s="667">
        <f t="shared" si="66"/>
        <v>0</v>
      </c>
      <c r="I876" s="667"/>
      <c r="J876" s="667"/>
      <c r="K876" s="667" t="e">
        <f>E876+#REF!+#REF!+#REF!+G876+#REF!+#REF!+#REF!+#REF!+#REF!+#REF!+I876+#REF!+#REF!+#REF!</f>
        <v>#REF!</v>
      </c>
      <c r="L876" s="667" t="e">
        <f t="shared" si="63"/>
        <v>#REF!</v>
      </c>
      <c r="M876" s="665" t="e">
        <f>#REF!+K876</f>
        <v>#REF!</v>
      </c>
      <c r="N876" s="666" t="e">
        <f t="shared" si="64"/>
        <v>#REF!</v>
      </c>
      <c r="O876" s="672"/>
      <c r="P876" s="668"/>
      <c r="Q876" s="676"/>
      <c r="R876" s="676"/>
    </row>
    <row r="877" spans="1:18" s="677" customFormat="1" ht="45" hidden="1" customHeight="1">
      <c r="A877" s="662"/>
      <c r="B877" s="663" t="s">
        <v>1556</v>
      </c>
      <c r="C877" s="739">
        <f>[14]Data!K1890</f>
        <v>225.97</v>
      </c>
      <c r="D877" s="674" t="s">
        <v>61</v>
      </c>
      <c r="E877" s="684"/>
      <c r="F877" s="667">
        <f t="shared" si="65"/>
        <v>0</v>
      </c>
      <c r="G877" s="675"/>
      <c r="H877" s="667">
        <f t="shared" si="66"/>
        <v>0</v>
      </c>
      <c r="I877" s="667"/>
      <c r="J877" s="667"/>
      <c r="K877" s="667" t="e">
        <f>E877+#REF!+#REF!+#REF!+G877+#REF!+#REF!+#REF!+#REF!+#REF!+#REF!+I877+#REF!+#REF!+#REF!</f>
        <v>#REF!</v>
      </c>
      <c r="L877" s="667" t="e">
        <f t="shared" si="63"/>
        <v>#REF!</v>
      </c>
      <c r="M877" s="665" t="e">
        <f>#REF!+K877</f>
        <v>#REF!</v>
      </c>
      <c r="N877" s="666" t="e">
        <f t="shared" si="64"/>
        <v>#REF!</v>
      </c>
      <c r="O877" s="672"/>
      <c r="P877" s="668"/>
      <c r="Q877" s="676"/>
      <c r="R877" s="676"/>
    </row>
    <row r="878" spans="1:18" s="677" customFormat="1" ht="45" hidden="1" customHeight="1">
      <c r="A878" s="662"/>
      <c r="B878" s="663" t="s">
        <v>1557</v>
      </c>
      <c r="C878" s="739">
        <f>[14]Data!K1882</f>
        <v>208.73</v>
      </c>
      <c r="D878" s="674" t="s">
        <v>61</v>
      </c>
      <c r="E878" s="684"/>
      <c r="F878" s="667">
        <f t="shared" si="65"/>
        <v>0</v>
      </c>
      <c r="G878" s="675"/>
      <c r="H878" s="667">
        <f t="shared" si="66"/>
        <v>0</v>
      </c>
      <c r="I878" s="667"/>
      <c r="J878" s="667"/>
      <c r="K878" s="667" t="e">
        <f>E878+#REF!+#REF!+#REF!+G878+#REF!+#REF!+#REF!+#REF!+#REF!+#REF!+I878+#REF!+#REF!+#REF!</f>
        <v>#REF!</v>
      </c>
      <c r="L878" s="667" t="e">
        <f t="shared" si="63"/>
        <v>#REF!</v>
      </c>
      <c r="M878" s="665" t="e">
        <f>#REF!+K878</f>
        <v>#REF!</v>
      </c>
      <c r="N878" s="666" t="e">
        <f t="shared" si="64"/>
        <v>#REF!</v>
      </c>
      <c r="O878" s="672"/>
      <c r="P878" s="668"/>
      <c r="Q878" s="676"/>
      <c r="R878" s="676"/>
    </row>
    <row r="879" spans="1:18" s="677" customFormat="1" ht="53.25" hidden="1" customHeight="1">
      <c r="A879" s="662"/>
      <c r="B879" s="663" t="s">
        <v>1914</v>
      </c>
      <c r="C879" s="739">
        <f>[14]Data!K2767</f>
        <v>205.94</v>
      </c>
      <c r="D879" s="674" t="s">
        <v>61</v>
      </c>
      <c r="E879" s="684"/>
      <c r="F879" s="667">
        <f t="shared" si="65"/>
        <v>0</v>
      </c>
      <c r="G879" s="675"/>
      <c r="H879" s="667">
        <f t="shared" si="66"/>
        <v>0</v>
      </c>
      <c r="I879" s="667"/>
      <c r="J879" s="667"/>
      <c r="K879" s="667" t="e">
        <f>E879+#REF!+#REF!+#REF!+G879+#REF!+#REF!+#REF!+#REF!+#REF!+#REF!+I879+#REF!+#REF!+#REF!</f>
        <v>#REF!</v>
      </c>
      <c r="L879" s="667" t="e">
        <f t="shared" si="63"/>
        <v>#REF!</v>
      </c>
      <c r="M879" s="665" t="e">
        <f>#REF!+K879</f>
        <v>#REF!</v>
      </c>
      <c r="N879" s="666" t="e">
        <f t="shared" si="64"/>
        <v>#REF!</v>
      </c>
      <c r="O879" s="672"/>
      <c r="P879" s="668"/>
      <c r="Q879" s="676"/>
      <c r="R879" s="676"/>
    </row>
    <row r="880" spans="1:18" s="677" customFormat="1" ht="21" hidden="1" customHeight="1">
      <c r="A880" s="662"/>
      <c r="B880" s="756" t="s">
        <v>184</v>
      </c>
      <c r="C880" s="739">
        <f>[14]Data!K3648</f>
        <v>334.22</v>
      </c>
      <c r="D880" s="742" t="s">
        <v>37</v>
      </c>
      <c r="E880" s="684"/>
      <c r="F880" s="667">
        <f t="shared" si="65"/>
        <v>0</v>
      </c>
      <c r="G880" s="675"/>
      <c r="H880" s="667">
        <f t="shared" si="66"/>
        <v>0</v>
      </c>
      <c r="I880" s="667"/>
      <c r="J880" s="667"/>
      <c r="K880" s="667" t="e">
        <f>E880+#REF!+#REF!+#REF!+G880+#REF!+#REF!+#REF!+#REF!+#REF!+#REF!+I880+#REF!+#REF!+#REF!</f>
        <v>#REF!</v>
      </c>
      <c r="L880" s="667" t="e">
        <f t="shared" si="63"/>
        <v>#REF!</v>
      </c>
      <c r="M880" s="665" t="e">
        <f>#REF!+K880</f>
        <v>#REF!</v>
      </c>
      <c r="N880" s="666" t="e">
        <f t="shared" si="64"/>
        <v>#REF!</v>
      </c>
      <c r="O880" s="672"/>
      <c r="P880" s="668"/>
      <c r="Q880" s="676"/>
      <c r="R880" s="676"/>
    </row>
    <row r="881" spans="1:18" ht="48.75" customHeight="1">
      <c r="A881" s="662"/>
      <c r="B881" s="738" t="s">
        <v>1915</v>
      </c>
      <c r="C881" s="769">
        <f>[14]Data!AF3115</f>
        <v>467</v>
      </c>
      <c r="D881" s="751" t="s">
        <v>522</v>
      </c>
      <c r="E881" s="699"/>
      <c r="F881" s="667">
        <f t="shared" si="65"/>
        <v>0</v>
      </c>
      <c r="G881" s="667"/>
      <c r="H881" s="667">
        <f t="shared" si="66"/>
        <v>0</v>
      </c>
      <c r="I881" s="667"/>
      <c r="J881" s="667"/>
      <c r="K881" s="667" t="e">
        <f>E881+#REF!+#REF!+#REF!+G881+#REF!+#REF!+#REF!+#REF!+#REF!+#REF!+I881+#REF!+#REF!+#REF!</f>
        <v>#REF!</v>
      </c>
      <c r="L881" s="667" t="e">
        <f t="shared" si="63"/>
        <v>#REF!</v>
      </c>
      <c r="M881" s="665" t="e">
        <f>#REF!+K881</f>
        <v>#REF!</v>
      </c>
      <c r="N881" s="666" t="e">
        <f t="shared" si="64"/>
        <v>#REF!</v>
      </c>
      <c r="O881" s="672"/>
      <c r="P881" s="668"/>
    </row>
    <row r="882" spans="1:18" ht="48.75" customHeight="1">
      <c r="A882" s="662"/>
      <c r="B882" s="738" t="s">
        <v>1916</v>
      </c>
      <c r="C882" s="769">
        <f>[14]Data!AH3115</f>
        <v>419</v>
      </c>
      <c r="D882" s="751" t="s">
        <v>522</v>
      </c>
      <c r="E882" s="699"/>
      <c r="F882" s="667">
        <f t="shared" si="65"/>
        <v>0</v>
      </c>
      <c r="G882" s="667"/>
      <c r="H882" s="667">
        <f t="shared" si="66"/>
        <v>0</v>
      </c>
      <c r="I882" s="667"/>
      <c r="J882" s="667"/>
      <c r="K882" s="667" t="e">
        <f>E882+#REF!+#REF!+#REF!+G882+#REF!+#REF!+#REF!+#REF!+#REF!+#REF!+I882+#REF!+#REF!+#REF!</f>
        <v>#REF!</v>
      </c>
      <c r="L882" s="667" t="e">
        <f t="shared" si="63"/>
        <v>#REF!</v>
      </c>
      <c r="M882" s="665" t="e">
        <f>#REF!+K882</f>
        <v>#REF!</v>
      </c>
      <c r="N882" s="666" t="e">
        <f t="shared" si="64"/>
        <v>#REF!</v>
      </c>
      <c r="O882" s="672"/>
      <c r="P882" s="668"/>
    </row>
    <row r="883" spans="1:18" s="677" customFormat="1" ht="25.5" hidden="1" customHeight="1">
      <c r="A883" s="662"/>
      <c r="B883" s="663" t="s">
        <v>1917</v>
      </c>
      <c r="C883" s="739">
        <v>51.4</v>
      </c>
      <c r="D883" s="766" t="s">
        <v>165</v>
      </c>
      <c r="E883" s="684"/>
      <c r="F883" s="667">
        <f t="shared" si="65"/>
        <v>0</v>
      </c>
      <c r="G883" s="675"/>
      <c r="H883" s="667">
        <f t="shared" si="66"/>
        <v>0</v>
      </c>
      <c r="I883" s="667"/>
      <c r="J883" s="667"/>
      <c r="K883" s="667" t="e">
        <f>E883+#REF!+#REF!+#REF!+G883+#REF!+#REF!+#REF!+#REF!+#REF!+#REF!+I883+#REF!+#REF!+#REF!</f>
        <v>#REF!</v>
      </c>
      <c r="L883" s="667" t="e">
        <f t="shared" si="63"/>
        <v>#REF!</v>
      </c>
      <c r="M883" s="665" t="e">
        <f>#REF!+K883</f>
        <v>#REF!</v>
      </c>
      <c r="N883" s="666" t="e">
        <f t="shared" si="64"/>
        <v>#REF!</v>
      </c>
      <c r="O883" s="672"/>
      <c r="P883" s="668"/>
      <c r="Q883" s="676"/>
      <c r="R883" s="676"/>
    </row>
    <row r="884" spans="1:18" s="677" customFormat="1" ht="46.5" hidden="1" customHeight="1">
      <c r="A884" s="662"/>
      <c r="B884" s="663" t="s">
        <v>1918</v>
      </c>
      <c r="C884" s="739">
        <f>[14]Data!AD1229</f>
        <v>1322.54</v>
      </c>
      <c r="D884" s="742" t="s">
        <v>37</v>
      </c>
      <c r="E884" s="675"/>
      <c r="F884" s="667">
        <f t="shared" si="65"/>
        <v>0</v>
      </c>
      <c r="G884" s="675"/>
      <c r="H884" s="667">
        <f t="shared" si="66"/>
        <v>0</v>
      </c>
      <c r="I884" s="667"/>
      <c r="J884" s="667"/>
      <c r="K884" s="667" t="e">
        <f>E884+#REF!+#REF!+#REF!+G884+#REF!+#REF!+#REF!+#REF!+#REF!+#REF!+I884+#REF!+#REF!+#REF!</f>
        <v>#REF!</v>
      </c>
      <c r="L884" s="667" t="e">
        <f t="shared" si="63"/>
        <v>#REF!</v>
      </c>
      <c r="M884" s="665" t="e">
        <f>#REF!+K884</f>
        <v>#REF!</v>
      </c>
      <c r="N884" s="666" t="e">
        <f t="shared" si="64"/>
        <v>#REF!</v>
      </c>
      <c r="O884" s="672"/>
      <c r="P884" s="668"/>
      <c r="Q884" s="676"/>
      <c r="R884" s="676"/>
    </row>
    <row r="885" spans="1:18" s="677" customFormat="1" ht="104.25" hidden="1" customHeight="1">
      <c r="A885" s="662"/>
      <c r="B885" s="685" t="s">
        <v>1919</v>
      </c>
      <c r="C885" s="707"/>
      <c r="D885" s="772"/>
      <c r="E885" s="707"/>
      <c r="F885" s="667">
        <f t="shared" si="65"/>
        <v>0</v>
      </c>
      <c r="G885" s="675"/>
      <c r="H885" s="667">
        <f t="shared" si="66"/>
        <v>0</v>
      </c>
      <c r="I885" s="667"/>
      <c r="J885" s="667"/>
      <c r="K885" s="667" t="e">
        <f>E885+#REF!+#REF!+#REF!+G885+#REF!+#REF!+#REF!+#REF!+#REF!+#REF!+I885+#REF!+#REF!+#REF!</f>
        <v>#REF!</v>
      </c>
      <c r="L885" s="667" t="e">
        <f t="shared" si="63"/>
        <v>#REF!</v>
      </c>
      <c r="M885" s="665" t="e">
        <f>#REF!+K885</f>
        <v>#REF!</v>
      </c>
      <c r="N885" s="666" t="e">
        <f t="shared" si="64"/>
        <v>#REF!</v>
      </c>
      <c r="O885" s="672"/>
      <c r="P885" s="668"/>
      <c r="R885" s="676"/>
    </row>
    <row r="886" spans="1:18" s="677" customFormat="1" ht="25.5" hidden="1" customHeight="1">
      <c r="A886" s="662"/>
      <c r="B886" s="685" t="s">
        <v>1920</v>
      </c>
      <c r="C886" s="660">
        <f>'[14]pile data ( M20 grade)'!F17</f>
        <v>2977.36</v>
      </c>
      <c r="D886" s="674" t="s">
        <v>61</v>
      </c>
      <c r="E886" s="660"/>
      <c r="F886" s="667">
        <f t="shared" si="65"/>
        <v>0</v>
      </c>
      <c r="G886" s="675"/>
      <c r="H886" s="667">
        <f t="shared" si="66"/>
        <v>0</v>
      </c>
      <c r="I886" s="667"/>
      <c r="J886" s="667"/>
      <c r="K886" s="667" t="e">
        <f>E886+#REF!+#REF!+#REF!+G886+#REF!+#REF!+#REF!+#REF!+#REF!+#REF!+I886+#REF!+#REF!+#REF!</f>
        <v>#REF!</v>
      </c>
      <c r="L886" s="667" t="e">
        <f t="shared" si="63"/>
        <v>#REF!</v>
      </c>
      <c r="M886" s="665" t="e">
        <f>#REF!+K886</f>
        <v>#REF!</v>
      </c>
      <c r="N886" s="666" t="e">
        <f t="shared" si="64"/>
        <v>#REF!</v>
      </c>
      <c r="O886" s="672"/>
      <c r="P886" s="668"/>
      <c r="Q886" s="676"/>
      <c r="R886" s="676"/>
    </row>
    <row r="887" spans="1:18" s="677" customFormat="1" ht="25.5" hidden="1" customHeight="1">
      <c r="A887" s="662"/>
      <c r="B887" s="685" t="s">
        <v>1921</v>
      </c>
      <c r="C887" s="660">
        <f>'[14]pile data ( M20 grade)'!F81</f>
        <v>2644.2</v>
      </c>
      <c r="D887" s="674" t="s">
        <v>61</v>
      </c>
      <c r="E887" s="660"/>
      <c r="F887" s="667">
        <f t="shared" si="65"/>
        <v>0</v>
      </c>
      <c r="G887" s="675"/>
      <c r="H887" s="667">
        <f t="shared" si="66"/>
        <v>0</v>
      </c>
      <c r="I887" s="667"/>
      <c r="J887" s="667"/>
      <c r="K887" s="667" t="e">
        <f>E887+#REF!+#REF!+#REF!+G887+#REF!+#REF!+#REF!+#REF!+#REF!+#REF!+I887+#REF!+#REF!+#REF!</f>
        <v>#REF!</v>
      </c>
      <c r="L887" s="667" t="e">
        <f t="shared" si="63"/>
        <v>#REF!</v>
      </c>
      <c r="M887" s="665" t="e">
        <f>#REF!+K887</f>
        <v>#REF!</v>
      </c>
      <c r="N887" s="666" t="e">
        <f t="shared" si="64"/>
        <v>#REF!</v>
      </c>
      <c r="O887" s="672"/>
      <c r="P887" s="668"/>
      <c r="Q887" s="676"/>
      <c r="R887" s="676"/>
    </row>
    <row r="888" spans="1:18" s="677" customFormat="1" ht="25.5" hidden="1" customHeight="1">
      <c r="A888" s="662"/>
      <c r="B888" s="685" t="s">
        <v>1922</v>
      </c>
      <c r="C888" s="660">
        <f>'[14]pile data ( M20 grade)'!F141</f>
        <v>2345.71</v>
      </c>
      <c r="D888" s="674" t="s">
        <v>61</v>
      </c>
      <c r="E888" s="660"/>
      <c r="F888" s="667">
        <f t="shared" si="65"/>
        <v>0</v>
      </c>
      <c r="G888" s="675"/>
      <c r="H888" s="667">
        <f t="shared" si="66"/>
        <v>0</v>
      </c>
      <c r="I888" s="667"/>
      <c r="J888" s="667"/>
      <c r="K888" s="667" t="e">
        <f>E888+#REF!+#REF!+#REF!+G888+#REF!+#REF!+#REF!+#REF!+#REF!+#REF!+I888+#REF!+#REF!+#REF!</f>
        <v>#REF!</v>
      </c>
      <c r="L888" s="667" t="e">
        <f t="shared" si="63"/>
        <v>#REF!</v>
      </c>
      <c r="M888" s="665" t="e">
        <f>#REF!+K888</f>
        <v>#REF!</v>
      </c>
      <c r="N888" s="666" t="e">
        <f t="shared" si="64"/>
        <v>#REF!</v>
      </c>
      <c r="O888" s="672"/>
      <c r="P888" s="668"/>
      <c r="Q888" s="676"/>
      <c r="R888" s="676"/>
    </row>
    <row r="889" spans="1:18" s="677" customFormat="1" ht="69.75" hidden="1" customHeight="1">
      <c r="A889" s="662"/>
      <c r="B889" s="685" t="s">
        <v>1923</v>
      </c>
      <c r="C889" s="660">
        <f>'[11]pile data'!G83</f>
        <v>0</v>
      </c>
      <c r="D889" s="674"/>
      <c r="E889" s="660"/>
      <c r="F889" s="667">
        <f t="shared" ref="F889:F919" si="67">E889*C889</f>
        <v>0</v>
      </c>
      <c r="G889" s="675"/>
      <c r="H889" s="667">
        <f t="shared" ref="H889:H911" si="68">G889*C889</f>
        <v>0</v>
      </c>
      <c r="I889" s="667"/>
      <c r="J889" s="667"/>
      <c r="K889" s="667" t="e">
        <f>E889+#REF!+#REF!+#REF!+G889+#REF!+#REF!+#REF!+#REF!+#REF!+#REF!+I889+#REF!+#REF!+#REF!</f>
        <v>#REF!</v>
      </c>
      <c r="L889" s="667" t="e">
        <f t="shared" si="63"/>
        <v>#REF!</v>
      </c>
      <c r="M889" s="665" t="e">
        <f>#REF!+K889</f>
        <v>#REF!</v>
      </c>
      <c r="N889" s="666" t="e">
        <f t="shared" si="64"/>
        <v>#REF!</v>
      </c>
      <c r="O889" s="672"/>
      <c r="P889" s="668"/>
      <c r="Q889" s="676"/>
      <c r="R889" s="676"/>
    </row>
    <row r="890" spans="1:18" s="677" customFormat="1" ht="93" hidden="1" customHeight="1">
      <c r="A890" s="662"/>
      <c r="B890" s="685" t="s">
        <v>1924</v>
      </c>
      <c r="C890" s="707"/>
      <c r="D890" s="772"/>
      <c r="E890" s="707"/>
      <c r="F890" s="667">
        <f t="shared" si="67"/>
        <v>0</v>
      </c>
      <c r="G890" s="675"/>
      <c r="H890" s="667">
        <f t="shared" si="68"/>
        <v>0</v>
      </c>
      <c r="I890" s="667"/>
      <c r="J890" s="667"/>
      <c r="K890" s="667" t="e">
        <f>E890+#REF!+#REF!+#REF!+G890+#REF!+#REF!+#REF!+#REF!+#REF!+#REF!+I890+#REF!+#REF!+#REF!</f>
        <v>#REF!</v>
      </c>
      <c r="L890" s="667" t="e">
        <f t="shared" si="63"/>
        <v>#REF!</v>
      </c>
      <c r="M890" s="665" t="e">
        <f>#REF!+K890</f>
        <v>#REF!</v>
      </c>
      <c r="N890" s="666" t="e">
        <f t="shared" si="64"/>
        <v>#REF!</v>
      </c>
      <c r="O890" s="672"/>
      <c r="P890" s="668"/>
    </row>
    <row r="891" spans="1:18" s="677" customFormat="1" ht="25.5" hidden="1" customHeight="1">
      <c r="A891" s="662"/>
      <c r="B891" s="685" t="s">
        <v>1920</v>
      </c>
      <c r="C891" s="660">
        <f>'[14]pile data ( M20 grade)'!F28</f>
        <v>876.36</v>
      </c>
      <c r="D891" s="674" t="s">
        <v>61</v>
      </c>
      <c r="E891" s="660"/>
      <c r="F891" s="667">
        <f t="shared" si="67"/>
        <v>0</v>
      </c>
      <c r="G891" s="675"/>
      <c r="H891" s="667">
        <f t="shared" si="68"/>
        <v>0</v>
      </c>
      <c r="I891" s="667"/>
      <c r="J891" s="667"/>
      <c r="K891" s="667" t="e">
        <f>E891+#REF!+#REF!+#REF!+G891+#REF!+#REF!+#REF!+#REF!+#REF!+#REF!+I891+#REF!+#REF!+#REF!</f>
        <v>#REF!</v>
      </c>
      <c r="L891" s="667" t="e">
        <f t="shared" si="63"/>
        <v>#REF!</v>
      </c>
      <c r="M891" s="665" t="e">
        <f>#REF!+K891</f>
        <v>#REF!</v>
      </c>
      <c r="N891" s="666" t="e">
        <f t="shared" si="64"/>
        <v>#REF!</v>
      </c>
      <c r="O891" s="672"/>
      <c r="P891" s="668"/>
      <c r="Q891" s="676"/>
      <c r="R891" s="676"/>
    </row>
    <row r="892" spans="1:18" s="677" customFormat="1" ht="25.5" hidden="1" customHeight="1">
      <c r="A892" s="662"/>
      <c r="B892" s="685" t="s">
        <v>1921</v>
      </c>
      <c r="C892" s="660">
        <f>'[14]pile data ( M20 grade)'!F92</f>
        <v>710.92</v>
      </c>
      <c r="D892" s="674" t="s">
        <v>61</v>
      </c>
      <c r="E892" s="660"/>
      <c r="F892" s="667">
        <f t="shared" si="67"/>
        <v>0</v>
      </c>
      <c r="G892" s="675"/>
      <c r="H892" s="667">
        <f t="shared" si="68"/>
        <v>0</v>
      </c>
      <c r="I892" s="667"/>
      <c r="J892" s="667"/>
      <c r="K892" s="667" t="e">
        <f>E892+#REF!+#REF!+#REF!+G892+#REF!+#REF!+#REF!+#REF!+#REF!+#REF!+I892+#REF!+#REF!+#REF!</f>
        <v>#REF!</v>
      </c>
      <c r="L892" s="667" t="e">
        <f t="shared" si="63"/>
        <v>#REF!</v>
      </c>
      <c r="M892" s="665" t="e">
        <f>#REF!+K892</f>
        <v>#REF!</v>
      </c>
      <c r="N892" s="666" t="e">
        <f t="shared" si="64"/>
        <v>#REF!</v>
      </c>
      <c r="O892" s="672"/>
      <c r="P892" s="668"/>
      <c r="Q892" s="676"/>
      <c r="R892" s="676"/>
    </row>
    <row r="893" spans="1:18" s="677" customFormat="1" ht="25.5" hidden="1" customHeight="1">
      <c r="A893" s="662"/>
      <c r="B893" s="685" t="s">
        <v>1922</v>
      </c>
      <c r="C893" s="660">
        <f>'[14]pile data ( M20 grade)'!F152</f>
        <v>563.37</v>
      </c>
      <c r="D893" s="674" t="s">
        <v>61</v>
      </c>
      <c r="E893" s="660"/>
      <c r="F893" s="667">
        <f t="shared" si="67"/>
        <v>0</v>
      </c>
      <c r="G893" s="675"/>
      <c r="H893" s="667">
        <f t="shared" si="68"/>
        <v>0</v>
      </c>
      <c r="I893" s="667"/>
      <c r="J893" s="667"/>
      <c r="K893" s="667" t="e">
        <f>E893+#REF!+#REF!+#REF!+G893+#REF!+#REF!+#REF!+#REF!+#REF!+#REF!+I893+#REF!+#REF!+#REF!</f>
        <v>#REF!</v>
      </c>
      <c r="L893" s="667" t="e">
        <f t="shared" si="63"/>
        <v>#REF!</v>
      </c>
      <c r="M893" s="665" t="e">
        <f>#REF!+K893</f>
        <v>#REF!</v>
      </c>
      <c r="N893" s="666" t="e">
        <f t="shared" si="64"/>
        <v>#REF!</v>
      </c>
      <c r="O893" s="672"/>
      <c r="P893" s="668"/>
      <c r="Q893" s="676"/>
      <c r="R893" s="676"/>
    </row>
    <row r="894" spans="1:18" s="677" customFormat="1" ht="93" hidden="1" customHeight="1">
      <c r="A894" s="662"/>
      <c r="B894" s="685" t="s">
        <v>1925</v>
      </c>
      <c r="C894" s="660">
        <v>40000</v>
      </c>
      <c r="D894" s="674" t="s">
        <v>54</v>
      </c>
      <c r="E894" s="660"/>
      <c r="F894" s="667">
        <f t="shared" si="67"/>
        <v>0</v>
      </c>
      <c r="G894" s="675"/>
      <c r="H894" s="667">
        <f t="shared" si="68"/>
        <v>0</v>
      </c>
      <c r="I894" s="667"/>
      <c r="J894" s="667"/>
      <c r="K894" s="667" t="e">
        <f>E894+#REF!+#REF!+#REF!+G894+#REF!+#REF!+#REF!+#REF!+#REF!+#REF!+I894+#REF!+#REF!+#REF!</f>
        <v>#REF!</v>
      </c>
      <c r="L894" s="667" t="e">
        <f t="shared" si="63"/>
        <v>#REF!</v>
      </c>
      <c r="M894" s="665" t="e">
        <f>#REF!+K894</f>
        <v>#REF!</v>
      </c>
      <c r="N894" s="666" t="e">
        <f t="shared" si="64"/>
        <v>#REF!</v>
      </c>
      <c r="O894" s="672"/>
      <c r="P894" s="668"/>
      <c r="Q894" s="676"/>
      <c r="R894" s="676"/>
    </row>
    <row r="895" spans="1:18" s="677" customFormat="1" ht="162.75" hidden="1" customHeight="1">
      <c r="A895" s="662"/>
      <c r="B895" s="685" t="s">
        <v>1926</v>
      </c>
      <c r="C895" s="660">
        <v>70000</v>
      </c>
      <c r="D895" s="674" t="s">
        <v>54</v>
      </c>
      <c r="E895" s="660"/>
      <c r="F895" s="667">
        <f t="shared" si="67"/>
        <v>0</v>
      </c>
      <c r="G895" s="675"/>
      <c r="H895" s="667">
        <f t="shared" si="68"/>
        <v>0</v>
      </c>
      <c r="I895" s="667"/>
      <c r="J895" s="667"/>
      <c r="K895" s="667" t="e">
        <f>E895+#REF!+#REF!+#REF!+G895+#REF!+#REF!+#REF!+#REF!+#REF!+#REF!+I895+#REF!+#REF!+#REF!</f>
        <v>#REF!</v>
      </c>
      <c r="L895" s="667" t="e">
        <f t="shared" si="63"/>
        <v>#REF!</v>
      </c>
      <c r="M895" s="665" t="e">
        <f>#REF!+K895</f>
        <v>#REF!</v>
      </c>
      <c r="N895" s="666" t="e">
        <f t="shared" si="64"/>
        <v>#REF!</v>
      </c>
      <c r="O895" s="672"/>
      <c r="P895" s="668"/>
      <c r="Q895" s="676"/>
      <c r="R895" s="676"/>
    </row>
    <row r="896" spans="1:18" s="677" customFormat="1" ht="39.75" hidden="1" customHeight="1">
      <c r="A896" s="662"/>
      <c r="B896" s="663" t="s">
        <v>1927</v>
      </c>
      <c r="C896" s="739">
        <v>713.54</v>
      </c>
      <c r="D896" s="708" t="s">
        <v>37</v>
      </c>
      <c r="E896" s="660"/>
      <c r="F896" s="667">
        <f t="shared" si="67"/>
        <v>0</v>
      </c>
      <c r="G896" s="675"/>
      <c r="H896" s="667">
        <f t="shared" si="68"/>
        <v>0</v>
      </c>
      <c r="I896" s="667"/>
      <c r="J896" s="667"/>
      <c r="K896" s="667" t="e">
        <f>E896+#REF!+#REF!+#REF!+G896+#REF!+#REF!+#REF!+#REF!+#REF!+#REF!+I896+#REF!+#REF!+#REF!</f>
        <v>#REF!</v>
      </c>
      <c r="L896" s="667" t="e">
        <f t="shared" si="63"/>
        <v>#REF!</v>
      </c>
      <c r="M896" s="665" t="e">
        <f>#REF!+K896</f>
        <v>#REF!</v>
      </c>
      <c r="N896" s="666" t="e">
        <f t="shared" si="64"/>
        <v>#REF!</v>
      </c>
      <c r="O896" s="672"/>
      <c r="P896" s="668"/>
      <c r="Q896" s="676"/>
      <c r="R896" s="676"/>
    </row>
    <row r="897" spans="1:18" s="677" customFormat="1" ht="93" hidden="1" customHeight="1">
      <c r="A897" s="662"/>
      <c r="B897" s="685" t="s">
        <v>1928</v>
      </c>
      <c r="C897" s="773"/>
      <c r="D897" s="708"/>
      <c r="E897" s="660"/>
      <c r="F897" s="667">
        <f t="shared" si="67"/>
        <v>0</v>
      </c>
      <c r="G897" s="675"/>
      <c r="H897" s="667">
        <f t="shared" si="68"/>
        <v>0</v>
      </c>
      <c r="I897" s="667"/>
      <c r="J897" s="667"/>
      <c r="K897" s="667" t="e">
        <f>E897+#REF!+#REF!+#REF!+G897+#REF!+#REF!+#REF!+#REF!+#REF!+#REF!+I897+#REF!+#REF!+#REF!</f>
        <v>#REF!</v>
      </c>
      <c r="L897" s="667" t="e">
        <f t="shared" si="63"/>
        <v>#REF!</v>
      </c>
      <c r="M897" s="665" t="e">
        <f>#REF!+K897</f>
        <v>#REF!</v>
      </c>
      <c r="N897" s="666" t="e">
        <f t="shared" si="64"/>
        <v>#REF!</v>
      </c>
      <c r="O897" s="672"/>
      <c r="P897" s="668"/>
      <c r="Q897" s="676"/>
      <c r="R897" s="676"/>
    </row>
    <row r="898" spans="1:18" s="677" customFormat="1" ht="25.5" hidden="1" customHeight="1">
      <c r="A898" s="662"/>
      <c r="B898" s="708" t="s">
        <v>168</v>
      </c>
      <c r="C898" s="773">
        <f>[14]Elec.Data!K3815</f>
        <v>830.11</v>
      </c>
      <c r="D898" s="708" t="s">
        <v>522</v>
      </c>
      <c r="E898" s="660"/>
      <c r="F898" s="667">
        <f t="shared" si="67"/>
        <v>0</v>
      </c>
      <c r="G898" s="675"/>
      <c r="H898" s="667">
        <f t="shared" si="68"/>
        <v>0</v>
      </c>
      <c r="I898" s="667"/>
      <c r="J898" s="667"/>
      <c r="K898" s="667" t="e">
        <f>E898+#REF!+#REF!+#REF!+G898+#REF!+#REF!+#REF!+#REF!+#REF!+#REF!+I898+#REF!+#REF!+#REF!</f>
        <v>#REF!</v>
      </c>
      <c r="L898" s="667" t="e">
        <f t="shared" si="63"/>
        <v>#REF!</v>
      </c>
      <c r="M898" s="665" t="e">
        <f>#REF!+K898</f>
        <v>#REF!</v>
      </c>
      <c r="N898" s="666" t="e">
        <f t="shared" si="64"/>
        <v>#REF!</v>
      </c>
      <c r="O898" s="672"/>
      <c r="P898" s="668"/>
      <c r="Q898" s="676"/>
      <c r="R898" s="676"/>
    </row>
    <row r="899" spans="1:18" s="677" customFormat="1" ht="25.5" hidden="1" customHeight="1">
      <c r="A899" s="662"/>
      <c r="B899" s="708" t="s">
        <v>170</v>
      </c>
      <c r="C899" s="773">
        <f>[14]Elec.Data!K3841</f>
        <v>833.16</v>
      </c>
      <c r="D899" s="708" t="s">
        <v>522</v>
      </c>
      <c r="E899" s="660"/>
      <c r="F899" s="667">
        <f t="shared" si="67"/>
        <v>0</v>
      </c>
      <c r="G899" s="675"/>
      <c r="H899" s="667">
        <f t="shared" si="68"/>
        <v>0</v>
      </c>
      <c r="I899" s="667"/>
      <c r="J899" s="667"/>
      <c r="K899" s="667" t="e">
        <f>E899+#REF!+#REF!+#REF!+G899+#REF!+#REF!+#REF!+#REF!+#REF!+#REF!+I899+#REF!+#REF!+#REF!</f>
        <v>#REF!</v>
      </c>
      <c r="L899" s="667" t="e">
        <f t="shared" si="63"/>
        <v>#REF!</v>
      </c>
      <c r="M899" s="665" t="e">
        <f>#REF!+K899</f>
        <v>#REF!</v>
      </c>
      <c r="N899" s="666" t="e">
        <f t="shared" si="64"/>
        <v>#REF!</v>
      </c>
      <c r="O899" s="672"/>
      <c r="P899" s="668"/>
      <c r="Q899" s="676"/>
      <c r="R899" s="676"/>
    </row>
    <row r="900" spans="1:18" s="677" customFormat="1" ht="87" hidden="1" customHeight="1">
      <c r="A900" s="662"/>
      <c r="B900" s="708" t="s">
        <v>1929</v>
      </c>
      <c r="C900" s="773">
        <f>[14]Elec.Data!K3918</f>
        <v>638.45000000000005</v>
      </c>
      <c r="D900" s="708" t="s">
        <v>522</v>
      </c>
      <c r="E900" s="660"/>
      <c r="F900" s="667">
        <f t="shared" si="67"/>
        <v>0</v>
      </c>
      <c r="G900" s="675"/>
      <c r="H900" s="667">
        <f t="shared" si="68"/>
        <v>0</v>
      </c>
      <c r="I900" s="667"/>
      <c r="J900" s="667"/>
      <c r="K900" s="667" t="e">
        <f>E900+#REF!+#REF!+#REF!+G900+#REF!+#REF!+#REF!+#REF!+#REF!+#REF!+I900+#REF!+#REF!+#REF!</f>
        <v>#REF!</v>
      </c>
      <c r="L900" s="667" t="e">
        <f t="shared" si="63"/>
        <v>#REF!</v>
      </c>
      <c r="M900" s="665" t="e">
        <f>#REF!+K900</f>
        <v>#REF!</v>
      </c>
      <c r="N900" s="666" t="e">
        <f t="shared" si="64"/>
        <v>#REF!</v>
      </c>
      <c r="O900" s="672"/>
      <c r="P900" s="668"/>
      <c r="Q900" s="676"/>
      <c r="R900" s="676"/>
    </row>
    <row r="901" spans="1:18" s="677" customFormat="1" ht="87" hidden="1" customHeight="1">
      <c r="A901" s="662"/>
      <c r="B901" s="708" t="s">
        <v>1930</v>
      </c>
      <c r="C901" s="773">
        <f>[14]Elec.Data!K2977</f>
        <v>764.91</v>
      </c>
      <c r="D901" s="708" t="s">
        <v>522</v>
      </c>
      <c r="E901" s="660"/>
      <c r="F901" s="667">
        <f t="shared" si="67"/>
        <v>0</v>
      </c>
      <c r="G901" s="675"/>
      <c r="H901" s="667">
        <f t="shared" si="68"/>
        <v>0</v>
      </c>
      <c r="I901" s="667"/>
      <c r="J901" s="667"/>
      <c r="K901" s="667" t="e">
        <f>E901+#REF!+#REF!+#REF!+G901+#REF!+#REF!+#REF!+#REF!+#REF!+#REF!+I901+#REF!+#REF!+#REF!</f>
        <v>#REF!</v>
      </c>
      <c r="L901" s="667" t="e">
        <f t="shared" si="63"/>
        <v>#REF!</v>
      </c>
      <c r="M901" s="665" t="e">
        <f>#REF!+K901</f>
        <v>#REF!</v>
      </c>
      <c r="N901" s="666" t="e">
        <f t="shared" si="64"/>
        <v>#REF!</v>
      </c>
      <c r="O901" s="672"/>
      <c r="P901" s="668"/>
      <c r="Q901" s="676"/>
      <c r="R901" s="676"/>
    </row>
    <row r="902" spans="1:18" s="677" customFormat="1" ht="65.25" hidden="1" customHeight="1">
      <c r="A902" s="662"/>
      <c r="B902" s="774" t="s">
        <v>1931</v>
      </c>
      <c r="C902" s="775">
        <f>[14]Elec.Data!K3879</f>
        <v>917.46</v>
      </c>
      <c r="D902" s="776" t="s">
        <v>1790</v>
      </c>
      <c r="E902" s="660"/>
      <c r="F902" s="667">
        <f t="shared" si="67"/>
        <v>0</v>
      </c>
      <c r="G902" s="675"/>
      <c r="H902" s="667">
        <f t="shared" si="68"/>
        <v>0</v>
      </c>
      <c r="I902" s="667"/>
      <c r="J902" s="667"/>
      <c r="K902" s="667" t="e">
        <f>E902+#REF!+#REF!+#REF!+G902+#REF!+#REF!+#REF!+#REF!+#REF!+#REF!+I902+#REF!+#REF!+#REF!</f>
        <v>#REF!</v>
      </c>
      <c r="L902" s="667" t="e">
        <f t="shared" ref="L902:L965" si="69">K902*C902</f>
        <v>#REF!</v>
      </c>
      <c r="M902" s="665" t="e">
        <f>#REF!+K902</f>
        <v>#REF!</v>
      </c>
      <c r="N902" s="666" t="e">
        <f t="shared" ref="N902:N965" si="70">M902*C902</f>
        <v>#REF!</v>
      </c>
      <c r="O902" s="672"/>
      <c r="P902" s="668"/>
      <c r="Q902" s="676"/>
      <c r="R902" s="676"/>
    </row>
    <row r="903" spans="1:18" s="677" customFormat="1" ht="43.5" hidden="1" customHeight="1">
      <c r="A903" s="662"/>
      <c r="B903" s="708" t="s">
        <v>1932</v>
      </c>
      <c r="C903" s="775">
        <f>[14]Data!R2654</f>
        <v>6199.77</v>
      </c>
      <c r="D903" s="776" t="s">
        <v>37</v>
      </c>
      <c r="E903" s="660"/>
      <c r="F903" s="667">
        <f t="shared" si="67"/>
        <v>0</v>
      </c>
      <c r="G903" s="675"/>
      <c r="H903" s="667">
        <f t="shared" si="68"/>
        <v>0</v>
      </c>
      <c r="I903" s="667"/>
      <c r="J903" s="667"/>
      <c r="K903" s="667" t="e">
        <f>E903+#REF!+#REF!+#REF!+G903+#REF!+#REF!+#REF!+#REF!+#REF!+#REF!+I903+#REF!+#REF!+#REF!</f>
        <v>#REF!</v>
      </c>
      <c r="L903" s="667" t="e">
        <f t="shared" si="69"/>
        <v>#REF!</v>
      </c>
      <c r="M903" s="665" t="e">
        <f>#REF!+K903</f>
        <v>#REF!</v>
      </c>
      <c r="N903" s="666" t="e">
        <f t="shared" si="70"/>
        <v>#REF!</v>
      </c>
      <c r="O903" s="672"/>
      <c r="P903" s="668"/>
      <c r="Q903" s="676"/>
      <c r="R903" s="676"/>
    </row>
    <row r="904" spans="1:18" s="677" customFormat="1" ht="26.25" hidden="1" customHeight="1">
      <c r="A904" s="662"/>
      <c r="B904" s="663" t="s">
        <v>1933</v>
      </c>
      <c r="C904" s="775">
        <f>[14]Data!K3738</f>
        <v>82.53</v>
      </c>
      <c r="D904" s="674" t="s">
        <v>37</v>
      </c>
      <c r="E904" s="660"/>
      <c r="F904" s="667">
        <f t="shared" si="67"/>
        <v>0</v>
      </c>
      <c r="G904" s="675"/>
      <c r="H904" s="667">
        <f t="shared" si="68"/>
        <v>0</v>
      </c>
      <c r="I904" s="667"/>
      <c r="J904" s="667"/>
      <c r="K904" s="667" t="e">
        <f>E904+#REF!+#REF!+#REF!+G904+#REF!+#REF!+#REF!+#REF!+#REF!+#REF!+I904+#REF!+#REF!+#REF!</f>
        <v>#REF!</v>
      </c>
      <c r="L904" s="667" t="e">
        <f t="shared" si="69"/>
        <v>#REF!</v>
      </c>
      <c r="M904" s="665" t="e">
        <f>#REF!+K904</f>
        <v>#REF!</v>
      </c>
      <c r="N904" s="666" t="e">
        <f t="shared" si="70"/>
        <v>#REF!</v>
      </c>
      <c r="O904" s="672"/>
      <c r="P904" s="668"/>
      <c r="Q904" s="676"/>
      <c r="R904" s="676"/>
    </row>
    <row r="905" spans="1:18" s="677" customFormat="1" ht="54" hidden="1" customHeight="1">
      <c r="A905" s="662"/>
      <c r="B905" s="777" t="s">
        <v>1934</v>
      </c>
      <c r="C905" s="775">
        <f>[14]Data!K3792</f>
        <v>3709.53</v>
      </c>
      <c r="D905" s="778" t="s">
        <v>37</v>
      </c>
      <c r="E905" s="660"/>
      <c r="F905" s="667">
        <f t="shared" si="67"/>
        <v>0</v>
      </c>
      <c r="G905" s="675"/>
      <c r="H905" s="667">
        <f t="shared" si="68"/>
        <v>0</v>
      </c>
      <c r="I905" s="667"/>
      <c r="J905" s="667"/>
      <c r="K905" s="667" t="e">
        <f>E905+#REF!+#REF!+#REF!+G905+#REF!+#REF!+#REF!+#REF!+#REF!+#REF!+I905+#REF!+#REF!+#REF!</f>
        <v>#REF!</v>
      </c>
      <c r="L905" s="667" t="e">
        <f t="shared" si="69"/>
        <v>#REF!</v>
      </c>
      <c r="M905" s="665" t="e">
        <f>#REF!+K905</f>
        <v>#REF!</v>
      </c>
      <c r="N905" s="666" t="e">
        <f t="shared" si="70"/>
        <v>#REF!</v>
      </c>
      <c r="O905" s="672"/>
      <c r="P905" s="668"/>
      <c r="Q905" s="676"/>
      <c r="R905" s="676"/>
    </row>
    <row r="906" spans="1:18" s="677" customFormat="1" ht="72" hidden="1" customHeight="1">
      <c r="A906" s="662"/>
      <c r="B906" s="777" t="s">
        <v>1935</v>
      </c>
      <c r="C906" s="775">
        <f>[14]Data!X3668</f>
        <v>5543.77</v>
      </c>
      <c r="D906" s="778" t="s">
        <v>37</v>
      </c>
      <c r="E906" s="660"/>
      <c r="F906" s="667">
        <f t="shared" si="67"/>
        <v>0</v>
      </c>
      <c r="G906" s="675"/>
      <c r="H906" s="667">
        <f t="shared" si="68"/>
        <v>0</v>
      </c>
      <c r="I906" s="667"/>
      <c r="J906" s="667"/>
      <c r="K906" s="667" t="e">
        <f>E906+#REF!+#REF!+#REF!+G906+#REF!+#REF!+#REF!+#REF!+#REF!+#REF!+I906+#REF!+#REF!+#REF!</f>
        <v>#REF!</v>
      </c>
      <c r="L906" s="667" t="e">
        <f t="shared" si="69"/>
        <v>#REF!</v>
      </c>
      <c r="M906" s="665" t="e">
        <f>#REF!+K906</f>
        <v>#REF!</v>
      </c>
      <c r="N906" s="666" t="e">
        <f t="shared" si="70"/>
        <v>#REF!</v>
      </c>
      <c r="O906" s="672"/>
      <c r="P906" s="668"/>
      <c r="Q906" s="676"/>
      <c r="R906" s="676"/>
    </row>
    <row r="907" spans="1:18" s="677" customFormat="1" ht="69" hidden="1" customHeight="1">
      <c r="A907" s="662"/>
      <c r="B907" s="777" t="s">
        <v>1936</v>
      </c>
      <c r="C907" s="775">
        <f>[14]Data!X3696</f>
        <v>7170.69</v>
      </c>
      <c r="D907" s="778" t="s">
        <v>37</v>
      </c>
      <c r="E907" s="660"/>
      <c r="F907" s="667">
        <f t="shared" si="67"/>
        <v>0</v>
      </c>
      <c r="G907" s="675"/>
      <c r="H907" s="667">
        <f t="shared" si="68"/>
        <v>0</v>
      </c>
      <c r="I907" s="667"/>
      <c r="J907" s="667"/>
      <c r="K907" s="667" t="e">
        <f>E907+#REF!+#REF!+#REF!+G907+#REF!+#REF!+#REF!+#REF!+#REF!+#REF!+I907+#REF!+#REF!+#REF!</f>
        <v>#REF!</v>
      </c>
      <c r="L907" s="667" t="e">
        <f t="shared" si="69"/>
        <v>#REF!</v>
      </c>
      <c r="M907" s="665" t="e">
        <f>#REF!+K907</f>
        <v>#REF!</v>
      </c>
      <c r="N907" s="666" t="e">
        <f t="shared" si="70"/>
        <v>#REF!</v>
      </c>
      <c r="O907" s="672"/>
      <c r="P907" s="668"/>
      <c r="Q907" s="676"/>
      <c r="R907" s="676"/>
    </row>
    <row r="908" spans="1:18" s="677" customFormat="1" ht="66" hidden="1" customHeight="1">
      <c r="A908" s="662"/>
      <c r="B908" s="777" t="s">
        <v>1937</v>
      </c>
      <c r="C908" s="775">
        <f>[14]Data!K3837</f>
        <v>1269.1600000000001</v>
      </c>
      <c r="D908" s="776" t="s">
        <v>37</v>
      </c>
      <c r="E908" s="660"/>
      <c r="F908" s="667">
        <f t="shared" si="67"/>
        <v>0</v>
      </c>
      <c r="G908" s="675"/>
      <c r="H908" s="667">
        <f t="shared" si="68"/>
        <v>0</v>
      </c>
      <c r="I908" s="667"/>
      <c r="J908" s="667"/>
      <c r="K908" s="667" t="e">
        <f>E908+#REF!+#REF!+#REF!+G908+#REF!+#REF!+#REF!+#REF!+#REF!+#REF!+I908+#REF!+#REF!+#REF!</f>
        <v>#REF!</v>
      </c>
      <c r="L908" s="667" t="e">
        <f t="shared" si="69"/>
        <v>#REF!</v>
      </c>
      <c r="M908" s="665" t="e">
        <f>#REF!+K908</f>
        <v>#REF!</v>
      </c>
      <c r="N908" s="666" t="e">
        <f t="shared" si="70"/>
        <v>#REF!</v>
      </c>
      <c r="O908" s="672"/>
      <c r="P908" s="668"/>
      <c r="Q908" s="676"/>
      <c r="R908" s="676"/>
    </row>
    <row r="909" spans="1:18" s="677" customFormat="1" ht="76.5" hidden="1" customHeight="1">
      <c r="A909" s="662"/>
      <c r="B909" s="743" t="s">
        <v>1938</v>
      </c>
      <c r="C909" s="775">
        <f>[14]Data!K3814</f>
        <v>1536.83</v>
      </c>
      <c r="D909" s="776" t="s">
        <v>37</v>
      </c>
      <c r="E909" s="660"/>
      <c r="F909" s="667">
        <f t="shared" si="67"/>
        <v>0</v>
      </c>
      <c r="G909" s="675"/>
      <c r="H909" s="667">
        <f t="shared" si="68"/>
        <v>0</v>
      </c>
      <c r="I909" s="667"/>
      <c r="J909" s="667"/>
      <c r="K909" s="667" t="e">
        <f>E909+#REF!+#REF!+#REF!+G909+#REF!+#REF!+#REF!+#REF!+#REF!+#REF!+I909+#REF!+#REF!+#REF!</f>
        <v>#REF!</v>
      </c>
      <c r="L909" s="667" t="e">
        <f t="shared" si="69"/>
        <v>#REF!</v>
      </c>
      <c r="M909" s="665" t="e">
        <f>#REF!+K909</f>
        <v>#REF!</v>
      </c>
      <c r="N909" s="666" t="e">
        <f t="shared" si="70"/>
        <v>#REF!</v>
      </c>
      <c r="O909" s="672"/>
      <c r="P909" s="668"/>
      <c r="Q909" s="676"/>
      <c r="R909" s="676"/>
    </row>
    <row r="910" spans="1:18" s="677" customFormat="1" ht="129" hidden="1" customHeight="1">
      <c r="A910" s="662"/>
      <c r="B910" s="663" t="s">
        <v>1939</v>
      </c>
      <c r="C910" s="771">
        <v>1692</v>
      </c>
      <c r="D910" s="779" t="s">
        <v>522</v>
      </c>
      <c r="E910" s="667"/>
      <c r="F910" s="667">
        <f t="shared" si="67"/>
        <v>0</v>
      </c>
      <c r="G910" s="667"/>
      <c r="H910" s="667">
        <f t="shared" si="68"/>
        <v>0</v>
      </c>
      <c r="I910" s="667"/>
      <c r="J910" s="667"/>
      <c r="K910" s="667" t="e">
        <f>E910+#REF!+#REF!+#REF!+G910+#REF!+#REF!+#REF!+#REF!+#REF!+#REF!+I910+#REF!+#REF!+#REF!</f>
        <v>#REF!</v>
      </c>
      <c r="L910" s="667" t="e">
        <f t="shared" si="69"/>
        <v>#REF!</v>
      </c>
      <c r="M910" s="665" t="e">
        <f>#REF!+K910</f>
        <v>#REF!</v>
      </c>
      <c r="N910" s="666" t="e">
        <f t="shared" si="70"/>
        <v>#REF!</v>
      </c>
      <c r="O910" s="672"/>
      <c r="P910" s="668"/>
      <c r="Q910" s="676"/>
      <c r="R910" s="676"/>
    </row>
    <row r="911" spans="1:18" s="677" customFormat="1" ht="94.5" hidden="1" customHeight="1">
      <c r="A911" s="662"/>
      <c r="B911" s="780" t="s">
        <v>1940</v>
      </c>
      <c r="C911" s="781">
        <f>[14]Elec.Data!K4087</f>
        <v>34310</v>
      </c>
      <c r="D911" s="780" t="s">
        <v>522</v>
      </c>
      <c r="E911" s="675"/>
      <c r="F911" s="667">
        <f t="shared" si="67"/>
        <v>0</v>
      </c>
      <c r="G911" s="675"/>
      <c r="H911" s="667">
        <f t="shared" si="68"/>
        <v>0</v>
      </c>
      <c r="I911" s="667"/>
      <c r="J911" s="667"/>
      <c r="K911" s="667" t="e">
        <f>E911+#REF!+#REF!+#REF!+G911+#REF!+#REF!+#REF!+#REF!+#REF!+#REF!+I911+#REF!+#REF!+#REF!</f>
        <v>#REF!</v>
      </c>
      <c r="L911" s="667" t="e">
        <f t="shared" si="69"/>
        <v>#REF!</v>
      </c>
      <c r="M911" s="665" t="e">
        <f>#REF!+K911</f>
        <v>#REF!</v>
      </c>
      <c r="N911" s="666" t="e">
        <f t="shared" si="70"/>
        <v>#REF!</v>
      </c>
      <c r="O911" s="672"/>
      <c r="P911" s="668"/>
      <c r="Q911" s="676"/>
      <c r="R911" s="676"/>
    </row>
    <row r="912" spans="1:18" s="677" customFormat="1" ht="89.25" hidden="1" customHeight="1">
      <c r="A912" s="662"/>
      <c r="B912" s="674" t="s">
        <v>1941</v>
      </c>
      <c r="C912" s="781">
        <v>8100</v>
      </c>
      <c r="D912" s="780" t="s">
        <v>522</v>
      </c>
      <c r="E912" s="675"/>
      <c r="F912" s="667">
        <f t="shared" si="67"/>
        <v>0</v>
      </c>
      <c r="G912" s="675"/>
      <c r="H912" s="667"/>
      <c r="I912" s="667"/>
      <c r="J912" s="667"/>
      <c r="K912" s="667" t="e">
        <f>E912+#REF!+#REF!+#REF!+G912+#REF!+#REF!+#REF!+#REF!+#REF!+#REF!+I912+#REF!+#REF!+#REF!</f>
        <v>#REF!</v>
      </c>
      <c r="L912" s="667" t="e">
        <f t="shared" si="69"/>
        <v>#REF!</v>
      </c>
      <c r="M912" s="665" t="e">
        <f>#REF!+K912</f>
        <v>#REF!</v>
      </c>
      <c r="N912" s="666" t="e">
        <f t="shared" si="70"/>
        <v>#REF!</v>
      </c>
      <c r="O912" s="672"/>
      <c r="P912" s="668"/>
      <c r="Q912" s="676"/>
      <c r="R912" s="676"/>
    </row>
    <row r="913" spans="1:18" ht="117.75" customHeight="1">
      <c r="A913" s="673"/>
      <c r="B913" s="674" t="s">
        <v>1942</v>
      </c>
      <c r="C913" s="660">
        <v>829</v>
      </c>
      <c r="D913" s="742" t="s">
        <v>522</v>
      </c>
      <c r="E913" s="675"/>
      <c r="F913" s="667">
        <f t="shared" si="67"/>
        <v>0</v>
      </c>
      <c r="G913" s="675">
        <f>'PAVER ROAD'!$G$48</f>
        <v>237.21999999999997</v>
      </c>
      <c r="H913" s="667">
        <f t="shared" ref="H913:H919" si="71">G913*C913</f>
        <v>196655.37999999998</v>
      </c>
      <c r="I913" s="667"/>
      <c r="J913" s="667"/>
      <c r="K913" s="667" t="e">
        <f>E913+#REF!+#REF!+#REF!+G913+#REF!+#REF!+#REF!+#REF!+#REF!+#REF!+I913+#REF!+#REF!+#REF!</f>
        <v>#REF!</v>
      </c>
      <c r="L913" s="667" t="e">
        <f t="shared" si="69"/>
        <v>#REF!</v>
      </c>
      <c r="M913" s="665" t="e">
        <f>#REF!+K913</f>
        <v>#REF!</v>
      </c>
      <c r="N913" s="666" t="e">
        <f t="shared" si="70"/>
        <v>#REF!</v>
      </c>
      <c r="O913" s="672"/>
      <c r="P913" s="668"/>
    </row>
    <row r="914" spans="1:18" s="677" customFormat="1" ht="45" hidden="1" customHeight="1">
      <c r="A914" s="662"/>
      <c r="B914" s="782" t="s">
        <v>1943</v>
      </c>
      <c r="C914" s="783">
        <f>[14]Elec.Data!R3646</f>
        <v>8624.34</v>
      </c>
      <c r="D914" s="780" t="s">
        <v>522</v>
      </c>
      <c r="E914" s="675"/>
      <c r="F914" s="667">
        <f t="shared" si="67"/>
        <v>0</v>
      </c>
      <c r="G914" s="675"/>
      <c r="H914" s="667">
        <f t="shared" si="71"/>
        <v>0</v>
      </c>
      <c r="I914" s="667"/>
      <c r="J914" s="667"/>
      <c r="K914" s="667" t="e">
        <f>E914+#REF!+#REF!+#REF!+G914+#REF!+#REF!+#REF!+#REF!+#REF!+#REF!+I914+#REF!+#REF!+#REF!</f>
        <v>#REF!</v>
      </c>
      <c r="L914" s="667" t="e">
        <f t="shared" si="69"/>
        <v>#REF!</v>
      </c>
      <c r="M914" s="665" t="e">
        <f>#REF!+K914</f>
        <v>#REF!</v>
      </c>
      <c r="N914" s="666" t="e">
        <f t="shared" si="70"/>
        <v>#REF!</v>
      </c>
      <c r="O914" s="672"/>
      <c r="P914" s="668"/>
      <c r="Q914" s="676"/>
      <c r="R914" s="676"/>
    </row>
    <row r="915" spans="1:18" s="677" customFormat="1" ht="111" hidden="1" customHeight="1">
      <c r="A915" s="673">
        <v>21.6</v>
      </c>
      <c r="B915" s="695" t="s">
        <v>1944</v>
      </c>
      <c r="C915" s="675"/>
      <c r="D915" s="674"/>
      <c r="E915" s="675"/>
      <c r="F915" s="667">
        <f t="shared" si="67"/>
        <v>0</v>
      </c>
      <c r="G915" s="675"/>
      <c r="H915" s="667">
        <f t="shared" si="71"/>
        <v>0</v>
      </c>
      <c r="I915" s="667"/>
      <c r="J915" s="667"/>
      <c r="K915" s="667" t="e">
        <f>E915+#REF!+#REF!+#REF!+G915+#REF!+#REF!+#REF!+#REF!+#REF!+#REF!+I915+#REF!+#REF!+#REF!</f>
        <v>#REF!</v>
      </c>
      <c r="L915" s="667" t="e">
        <f t="shared" si="69"/>
        <v>#REF!</v>
      </c>
      <c r="M915" s="665" t="e">
        <f>#REF!+K915</f>
        <v>#REF!</v>
      </c>
      <c r="N915" s="666" t="e">
        <f t="shared" si="70"/>
        <v>#REF!</v>
      </c>
      <c r="O915" s="672"/>
      <c r="P915" s="668"/>
      <c r="Q915" s="676"/>
      <c r="R915" s="676"/>
    </row>
    <row r="916" spans="1:18" s="677" customFormat="1" ht="45" hidden="1" customHeight="1">
      <c r="A916" s="784"/>
      <c r="B916" s="674" t="s">
        <v>1473</v>
      </c>
      <c r="C916" s="675">
        <f>[14]Data!K3950</f>
        <v>2468.8000000000002</v>
      </c>
      <c r="D916" s="674" t="s">
        <v>522</v>
      </c>
      <c r="E916" s="675"/>
      <c r="F916" s="667">
        <f t="shared" si="67"/>
        <v>0</v>
      </c>
      <c r="G916" s="675"/>
      <c r="H916" s="667">
        <f t="shared" si="71"/>
        <v>0</v>
      </c>
      <c r="I916" s="667"/>
      <c r="J916" s="667"/>
      <c r="K916" s="667" t="e">
        <f>E916+#REF!+#REF!+#REF!+G916+#REF!+#REF!+#REF!+#REF!+#REF!+#REF!+I916+#REF!+#REF!+#REF!</f>
        <v>#REF!</v>
      </c>
      <c r="L916" s="667" t="e">
        <f t="shared" si="69"/>
        <v>#REF!</v>
      </c>
      <c r="M916" s="665" t="e">
        <f>#REF!+K916</f>
        <v>#REF!</v>
      </c>
      <c r="N916" s="666" t="e">
        <f t="shared" si="70"/>
        <v>#REF!</v>
      </c>
      <c r="O916" s="672"/>
      <c r="P916" s="668"/>
      <c r="Q916" s="676"/>
      <c r="R916" s="676"/>
    </row>
    <row r="917" spans="1:18" s="677" customFormat="1" ht="45" hidden="1" customHeight="1">
      <c r="A917" s="700"/>
      <c r="B917" s="663" t="s">
        <v>1678</v>
      </c>
      <c r="C917" s="675">
        <f>[14]Data!K3983</f>
        <v>2980.71</v>
      </c>
      <c r="D917" s="674" t="s">
        <v>522</v>
      </c>
      <c r="E917" s="675"/>
      <c r="F917" s="667">
        <f t="shared" si="67"/>
        <v>0</v>
      </c>
      <c r="G917" s="675"/>
      <c r="H917" s="667">
        <f t="shared" si="71"/>
        <v>0</v>
      </c>
      <c r="I917" s="667"/>
      <c r="J917" s="667"/>
      <c r="K917" s="667" t="e">
        <f>E917+#REF!+#REF!+#REF!+G917+#REF!+#REF!+#REF!+#REF!+#REF!+#REF!+I917+#REF!+#REF!+#REF!</f>
        <v>#REF!</v>
      </c>
      <c r="L917" s="667" t="e">
        <f t="shared" si="69"/>
        <v>#REF!</v>
      </c>
      <c r="M917" s="665" t="e">
        <f>#REF!+K917</f>
        <v>#REF!</v>
      </c>
      <c r="N917" s="666" t="e">
        <f t="shared" si="70"/>
        <v>#REF!</v>
      </c>
      <c r="O917" s="672"/>
      <c r="P917" s="668"/>
      <c r="Q917" s="676"/>
      <c r="R917" s="676"/>
    </row>
    <row r="918" spans="1:18" s="677" customFormat="1" ht="45" hidden="1" customHeight="1">
      <c r="A918" s="700"/>
      <c r="B918" s="663" t="s">
        <v>1679</v>
      </c>
      <c r="C918" s="675">
        <f>[14]Data!K3966</f>
        <v>2433.96</v>
      </c>
      <c r="D918" s="674"/>
      <c r="E918" s="675"/>
      <c r="F918" s="667">
        <f t="shared" si="67"/>
        <v>0</v>
      </c>
      <c r="G918" s="675"/>
      <c r="H918" s="667">
        <f t="shared" si="71"/>
        <v>0</v>
      </c>
      <c r="I918" s="667"/>
      <c r="J918" s="667"/>
      <c r="K918" s="667" t="e">
        <f>E918+#REF!+#REF!+#REF!+G918+#REF!+#REF!+#REF!+#REF!+#REF!+#REF!+I918+#REF!+#REF!+#REF!</f>
        <v>#REF!</v>
      </c>
      <c r="L918" s="667" t="e">
        <f t="shared" si="69"/>
        <v>#REF!</v>
      </c>
      <c r="M918" s="665" t="e">
        <f>#REF!+K918</f>
        <v>#REF!</v>
      </c>
      <c r="N918" s="666" t="e">
        <f t="shared" si="70"/>
        <v>#REF!</v>
      </c>
      <c r="O918" s="672"/>
      <c r="P918" s="668"/>
      <c r="Q918" s="676"/>
      <c r="R918" s="676"/>
    </row>
    <row r="919" spans="1:18" s="677" customFormat="1" ht="54.75" hidden="1" customHeight="1">
      <c r="A919" s="700"/>
      <c r="B919" s="663" t="s">
        <v>1475</v>
      </c>
      <c r="C919" s="675">
        <f>[14]Data!K3932</f>
        <v>2489.5700000000002</v>
      </c>
      <c r="D919" s="674" t="s">
        <v>522</v>
      </c>
      <c r="E919" s="660"/>
      <c r="F919" s="667">
        <f t="shared" si="67"/>
        <v>0</v>
      </c>
      <c r="G919" s="675"/>
      <c r="H919" s="667">
        <f t="shared" si="71"/>
        <v>0</v>
      </c>
      <c r="I919" s="667"/>
      <c r="J919" s="667"/>
      <c r="K919" s="667" t="e">
        <f>E919+#REF!+#REF!+#REF!+G919+#REF!+#REF!+#REF!+#REF!+#REF!+#REF!+I919+#REF!+#REF!+#REF!</f>
        <v>#REF!</v>
      </c>
      <c r="L919" s="667" t="e">
        <f t="shared" si="69"/>
        <v>#REF!</v>
      </c>
      <c r="M919" s="665" t="e">
        <f>#REF!+K919</f>
        <v>#REF!</v>
      </c>
      <c r="N919" s="666" t="e">
        <f t="shared" si="70"/>
        <v>#REF!</v>
      </c>
      <c r="O919" s="672"/>
      <c r="P919" s="668"/>
      <c r="Q919" s="676"/>
      <c r="R919" s="676"/>
    </row>
    <row r="920" spans="1:18" s="677" customFormat="1" ht="54.75" customHeight="1">
      <c r="A920" s="700"/>
      <c r="B920" s="663" t="s">
        <v>1945</v>
      </c>
      <c r="C920" s="666">
        <v>134</v>
      </c>
      <c r="D920" s="674" t="s">
        <v>522</v>
      </c>
      <c r="E920" s="660"/>
      <c r="F920" s="667"/>
      <c r="G920" s="675"/>
      <c r="H920" s="667"/>
      <c r="I920" s="667"/>
      <c r="J920" s="667"/>
      <c r="K920" s="667" t="e">
        <f>E920+#REF!+#REF!+#REF!+G920+#REF!+#REF!+#REF!+#REF!+#REF!+#REF!+I920+#REF!+#REF!+#REF!</f>
        <v>#REF!</v>
      </c>
      <c r="L920" s="667" t="e">
        <f t="shared" si="69"/>
        <v>#REF!</v>
      </c>
      <c r="M920" s="665" t="e">
        <f>#REF!+K920</f>
        <v>#REF!</v>
      </c>
      <c r="N920" s="666" t="e">
        <f t="shared" si="70"/>
        <v>#REF!</v>
      </c>
      <c r="O920" s="672"/>
      <c r="P920" s="668"/>
      <c r="Q920" s="676"/>
      <c r="R920" s="676"/>
    </row>
    <row r="921" spans="1:18" s="677" customFormat="1" ht="54.75" customHeight="1">
      <c r="A921" s="700"/>
      <c r="B921" s="663" t="s">
        <v>1946</v>
      </c>
      <c r="C921" s="666">
        <v>170</v>
      </c>
      <c r="D921" s="674" t="s">
        <v>522</v>
      </c>
      <c r="E921" s="660"/>
      <c r="F921" s="667"/>
      <c r="G921" s="675"/>
      <c r="H921" s="667"/>
      <c r="I921" s="667"/>
      <c r="J921" s="667"/>
      <c r="K921" s="667" t="e">
        <f>E921+#REF!+#REF!+#REF!+G921+#REF!+#REF!+#REF!+#REF!+#REF!+#REF!+I921+#REF!+#REF!+#REF!</f>
        <v>#REF!</v>
      </c>
      <c r="L921" s="667" t="e">
        <f t="shared" si="69"/>
        <v>#REF!</v>
      </c>
      <c r="M921" s="665" t="e">
        <f>#REF!+K921</f>
        <v>#REF!</v>
      </c>
      <c r="N921" s="666" t="e">
        <f t="shared" si="70"/>
        <v>#REF!</v>
      </c>
      <c r="O921" s="672"/>
      <c r="P921" s="668"/>
      <c r="Q921" s="676"/>
      <c r="R921" s="676"/>
    </row>
    <row r="922" spans="1:18" s="677" customFormat="1" ht="54.75" customHeight="1">
      <c r="A922" s="700"/>
      <c r="B922" s="663" t="s">
        <v>1947</v>
      </c>
      <c r="C922" s="666">
        <f>[14]Elec.Data!K3787</f>
        <v>663.89</v>
      </c>
      <c r="D922" s="674" t="s">
        <v>522</v>
      </c>
      <c r="E922" s="660"/>
      <c r="F922" s="667"/>
      <c r="G922" s="675"/>
      <c r="H922" s="667"/>
      <c r="I922" s="667"/>
      <c r="J922" s="667"/>
      <c r="K922" s="667" t="e">
        <f>E922+#REF!+#REF!+#REF!+G922+#REF!+#REF!+#REF!+#REF!+#REF!+#REF!+I922+#REF!+#REF!+#REF!</f>
        <v>#REF!</v>
      </c>
      <c r="L922" s="667" t="e">
        <f t="shared" si="69"/>
        <v>#REF!</v>
      </c>
      <c r="M922" s="665" t="e">
        <f>#REF!+K922</f>
        <v>#REF!</v>
      </c>
      <c r="N922" s="666" t="e">
        <f t="shared" si="70"/>
        <v>#REF!</v>
      </c>
      <c r="O922" s="672"/>
      <c r="P922" s="668"/>
      <c r="Q922" s="676"/>
      <c r="R922" s="676"/>
    </row>
    <row r="923" spans="1:18" s="677" customFormat="1" ht="54.75" customHeight="1">
      <c r="A923" s="700"/>
      <c r="B923" s="663" t="s">
        <v>1948</v>
      </c>
      <c r="C923" s="666">
        <v>431</v>
      </c>
      <c r="D923" s="674" t="s">
        <v>522</v>
      </c>
      <c r="E923" s="660"/>
      <c r="F923" s="667"/>
      <c r="G923" s="675"/>
      <c r="H923" s="667"/>
      <c r="I923" s="667"/>
      <c r="J923" s="667"/>
      <c r="K923" s="667" t="e">
        <f>E923+#REF!+#REF!+#REF!+G923+#REF!+#REF!+#REF!+#REF!+#REF!+#REF!+I923+#REF!+#REF!+#REF!</f>
        <v>#REF!</v>
      </c>
      <c r="L923" s="667" t="e">
        <f t="shared" si="69"/>
        <v>#REF!</v>
      </c>
      <c r="M923" s="665" t="e">
        <f>#REF!+K923</f>
        <v>#REF!</v>
      </c>
      <c r="N923" s="666" t="e">
        <f t="shared" si="70"/>
        <v>#REF!</v>
      </c>
      <c r="O923" s="672"/>
      <c r="P923" s="668"/>
      <c r="Q923" s="676"/>
      <c r="R923" s="676"/>
    </row>
    <row r="924" spans="1:18" s="677" customFormat="1" ht="54.75" customHeight="1">
      <c r="A924" s="700"/>
      <c r="B924" s="663" t="s">
        <v>1949</v>
      </c>
      <c r="C924" s="666">
        <f>1182+[14]Elec.Data!K3619</f>
        <v>3274</v>
      </c>
      <c r="D924" s="674" t="s">
        <v>522</v>
      </c>
      <c r="E924" s="660"/>
      <c r="F924" s="667"/>
      <c r="G924" s="675"/>
      <c r="H924" s="667"/>
      <c r="I924" s="667"/>
      <c r="J924" s="667"/>
      <c r="K924" s="667" t="e">
        <f>E924+#REF!+#REF!+#REF!+G924+#REF!+#REF!+#REF!+#REF!+#REF!+#REF!+I924+#REF!+#REF!+#REF!</f>
        <v>#REF!</v>
      </c>
      <c r="L924" s="667" t="e">
        <f t="shared" si="69"/>
        <v>#REF!</v>
      </c>
      <c r="M924" s="665" t="e">
        <f>#REF!+K924</f>
        <v>#REF!</v>
      </c>
      <c r="N924" s="666" t="e">
        <f t="shared" si="70"/>
        <v>#REF!</v>
      </c>
      <c r="O924" s="672"/>
      <c r="P924" s="668"/>
      <c r="Q924" s="676"/>
      <c r="R924" s="676"/>
    </row>
    <row r="925" spans="1:18" s="677" customFormat="1" ht="60.75" hidden="1" customHeight="1">
      <c r="A925" s="700"/>
      <c r="B925" s="663" t="s">
        <v>1950</v>
      </c>
      <c r="C925" s="666">
        <v>5500</v>
      </c>
      <c r="D925" s="674" t="s">
        <v>522</v>
      </c>
      <c r="E925" s="660"/>
      <c r="F925" s="667">
        <f>E925*C925</f>
        <v>0</v>
      </c>
      <c r="G925" s="675"/>
      <c r="H925" s="667">
        <f>G925*C925</f>
        <v>0</v>
      </c>
      <c r="I925" s="667"/>
      <c r="J925" s="667"/>
      <c r="K925" s="667" t="e">
        <f>E925+#REF!+#REF!+#REF!+G925+#REF!+#REF!+#REF!+#REF!+#REF!+#REF!+I925+#REF!+#REF!+#REF!</f>
        <v>#REF!</v>
      </c>
      <c r="L925" s="667" t="e">
        <f t="shared" si="69"/>
        <v>#REF!</v>
      </c>
      <c r="M925" s="665" t="e">
        <f>#REF!+K925</f>
        <v>#REF!</v>
      </c>
      <c r="N925" s="666" t="e">
        <f t="shared" si="70"/>
        <v>#REF!</v>
      </c>
      <c r="O925" s="672"/>
      <c r="P925" s="668"/>
      <c r="Q925" s="676"/>
      <c r="R925" s="676"/>
    </row>
    <row r="926" spans="1:18" s="677" customFormat="1" ht="60.75" hidden="1" customHeight="1">
      <c r="A926" s="700"/>
      <c r="B926" s="663" t="s">
        <v>1951</v>
      </c>
      <c r="C926" s="666">
        <v>5800</v>
      </c>
      <c r="D926" s="674" t="s">
        <v>522</v>
      </c>
      <c r="E926" s="660"/>
      <c r="F926" s="667">
        <f>E926*C926</f>
        <v>0</v>
      </c>
      <c r="G926" s="675"/>
      <c r="H926" s="667">
        <f>G926*C926</f>
        <v>0</v>
      </c>
      <c r="I926" s="667"/>
      <c r="J926" s="667"/>
      <c r="K926" s="667" t="e">
        <f>E926+#REF!+#REF!+#REF!+G926+#REF!+#REF!+#REF!+#REF!+#REF!+#REF!+I926+#REF!+#REF!+#REF!</f>
        <v>#REF!</v>
      </c>
      <c r="L926" s="667" t="e">
        <f t="shared" si="69"/>
        <v>#REF!</v>
      </c>
      <c r="M926" s="665" t="e">
        <f>#REF!+K926</f>
        <v>#REF!</v>
      </c>
      <c r="N926" s="666" t="e">
        <f t="shared" si="70"/>
        <v>#REF!</v>
      </c>
      <c r="O926" s="672"/>
      <c r="P926" s="668"/>
      <c r="Q926" s="676"/>
      <c r="R926" s="676"/>
    </row>
    <row r="927" spans="1:18" s="677" customFormat="1" ht="60.75" hidden="1" customHeight="1">
      <c r="A927" s="700"/>
      <c r="B927" s="663" t="s">
        <v>1952</v>
      </c>
      <c r="C927" s="666">
        <v>1535.1</v>
      </c>
      <c r="D927" s="674" t="s">
        <v>204</v>
      </c>
      <c r="E927" s="660"/>
      <c r="F927" s="667">
        <f>E927*C927</f>
        <v>0</v>
      </c>
      <c r="G927" s="675"/>
      <c r="H927" s="667">
        <f>G927*C927</f>
        <v>0</v>
      </c>
      <c r="I927" s="667"/>
      <c r="J927" s="667"/>
      <c r="K927" s="667" t="e">
        <f>E927+#REF!+#REF!+#REF!+G927+#REF!+#REF!+#REF!+#REF!+#REF!+#REF!+I927+#REF!+#REF!+#REF!</f>
        <v>#REF!</v>
      </c>
      <c r="L927" s="667" t="e">
        <f t="shared" si="69"/>
        <v>#REF!</v>
      </c>
      <c r="M927" s="665" t="e">
        <f>#REF!+K927</f>
        <v>#REF!</v>
      </c>
      <c r="N927" s="666" t="e">
        <f t="shared" si="70"/>
        <v>#REF!</v>
      </c>
      <c r="O927" s="672"/>
      <c r="P927" s="668"/>
      <c r="Q927" s="676"/>
      <c r="R927" s="676"/>
    </row>
    <row r="928" spans="1:18" s="677" customFormat="1" ht="83.25" hidden="1" customHeight="1">
      <c r="A928" s="700"/>
      <c r="B928" s="663" t="s">
        <v>1953</v>
      </c>
      <c r="C928" s="666">
        <v>1938.65</v>
      </c>
      <c r="D928" s="674" t="str">
        <f>D927</f>
        <v>cum</v>
      </c>
      <c r="E928" s="660"/>
      <c r="F928" s="667">
        <f>E928*C928</f>
        <v>0</v>
      </c>
      <c r="G928" s="675"/>
      <c r="H928" s="667">
        <f>G928*C928</f>
        <v>0</v>
      </c>
      <c r="I928" s="667"/>
      <c r="J928" s="667"/>
      <c r="K928" s="667" t="e">
        <f>E928+#REF!+#REF!+#REF!+G928+#REF!+#REF!+#REF!+#REF!+#REF!+#REF!+I928+#REF!+#REF!+#REF!</f>
        <v>#REF!</v>
      </c>
      <c r="L928" s="667" t="e">
        <f t="shared" si="69"/>
        <v>#REF!</v>
      </c>
      <c r="M928" s="665" t="e">
        <f>#REF!+K928</f>
        <v>#REF!</v>
      </c>
      <c r="N928" s="666" t="e">
        <f t="shared" si="70"/>
        <v>#REF!</v>
      </c>
      <c r="O928" s="672"/>
      <c r="P928" s="668"/>
      <c r="Q928" s="676"/>
      <c r="R928" s="676"/>
    </row>
    <row r="929" spans="1:18" s="677" customFormat="1" ht="34.9" customHeight="1">
      <c r="A929" s="700"/>
      <c r="B929" s="785" t="s">
        <v>1954</v>
      </c>
      <c r="C929" s="666"/>
      <c r="D929" s="674"/>
      <c r="E929" s="660"/>
      <c r="F929" s="667"/>
      <c r="G929" s="675"/>
      <c r="H929" s="667"/>
      <c r="I929" s="667"/>
      <c r="J929" s="667"/>
      <c r="K929" s="667" t="e">
        <f>E929+#REF!+#REF!+#REF!+G929+#REF!+#REF!+#REF!+#REF!+#REF!+#REF!+I929+#REF!+#REF!+#REF!</f>
        <v>#REF!</v>
      </c>
      <c r="L929" s="667" t="e">
        <f t="shared" si="69"/>
        <v>#REF!</v>
      </c>
      <c r="M929" s="665" t="e">
        <f>#REF!+K929</f>
        <v>#REF!</v>
      </c>
      <c r="N929" s="666" t="e">
        <f t="shared" si="70"/>
        <v>#REF!</v>
      </c>
      <c r="O929" s="672"/>
      <c r="P929" s="668"/>
      <c r="Q929" s="676"/>
      <c r="R929" s="676"/>
    </row>
    <row r="930" spans="1:18" s="677" customFormat="1" ht="93">
      <c r="A930" s="700">
        <f>Borewell!$A$8</f>
        <v>1</v>
      </c>
      <c r="B930" s="663" t="str">
        <f>Borewell!$B$8</f>
        <v>Drilling of Borewell any where in Tamilnadu including transportation from one place to another with in Tamilnadu in alluvial soil sedimentary strator etc., all complete.</v>
      </c>
      <c r="C930" s="666"/>
      <c r="D930" s="674"/>
      <c r="E930" s="660"/>
      <c r="F930" s="667"/>
      <c r="G930" s="675"/>
      <c r="H930" s="667"/>
      <c r="I930" s="667"/>
      <c r="J930" s="667"/>
      <c r="K930" s="667" t="e">
        <f>E930+#REF!+#REF!+#REF!+G930+#REF!+#REF!+#REF!+#REF!+#REF!+#REF!+I930+#REF!+#REF!+#REF!</f>
        <v>#REF!</v>
      </c>
      <c r="L930" s="667" t="e">
        <f t="shared" si="69"/>
        <v>#REF!</v>
      </c>
      <c r="M930" s="665" t="e">
        <f>#REF!+K930</f>
        <v>#REF!</v>
      </c>
      <c r="N930" s="666" t="e">
        <f t="shared" si="70"/>
        <v>#REF!</v>
      </c>
      <c r="O930" s="672"/>
      <c r="P930" s="668"/>
      <c r="Q930" s="676"/>
      <c r="R930" s="676"/>
    </row>
    <row r="931" spans="1:18" s="677" customFormat="1" ht="45" customHeight="1">
      <c r="A931" s="700"/>
      <c r="B931" s="663" t="str">
        <f>Borewell!$B$9</f>
        <v>a) Up to 60mt. depth ending below ground level.</v>
      </c>
      <c r="C931" s="666">
        <v>1536.1</v>
      </c>
      <c r="D931" s="674" t="str">
        <f>Borewell!$I$10</f>
        <v>Rmt</v>
      </c>
      <c r="E931" s="660"/>
      <c r="F931" s="667"/>
      <c r="G931" s="675"/>
      <c r="H931" s="667"/>
      <c r="I931" s="667"/>
      <c r="J931" s="667"/>
      <c r="K931" s="667" t="e">
        <f>E931+#REF!+#REF!+#REF!+G931+#REF!+#REF!+#REF!+#REF!+#REF!+#REF!+I931+#REF!+#REF!+#REF!</f>
        <v>#REF!</v>
      </c>
      <c r="L931" s="667" t="e">
        <f t="shared" si="69"/>
        <v>#REF!</v>
      </c>
      <c r="M931" s="665" t="e">
        <f>#REF!+K931</f>
        <v>#REF!</v>
      </c>
      <c r="N931" s="666" t="e">
        <f t="shared" si="70"/>
        <v>#REF!</v>
      </c>
      <c r="O931" s="672"/>
      <c r="P931" s="668"/>
      <c r="Q931" s="676"/>
      <c r="R931" s="676"/>
    </row>
    <row r="932" spans="1:18" s="677" customFormat="1" ht="83.25" customHeight="1">
      <c r="A932" s="700"/>
      <c r="B932" s="663" t="str">
        <f>Borewell!$B$12</f>
        <v>b) From 60mt.up to 90mt. depth ending from ground level.</v>
      </c>
      <c r="C932" s="666">
        <v>1663.6</v>
      </c>
      <c r="D932" s="674" t="str">
        <f>Borewell!$I$13</f>
        <v>Rmt</v>
      </c>
      <c r="E932" s="660"/>
      <c r="F932" s="667"/>
      <c r="G932" s="675"/>
      <c r="H932" s="667"/>
      <c r="I932" s="667"/>
      <c r="J932" s="667"/>
      <c r="K932" s="667" t="e">
        <f>E932+#REF!+#REF!+#REF!+G932+#REF!+#REF!+#REF!+#REF!+#REF!+#REF!+I932+#REF!+#REF!+#REF!</f>
        <v>#REF!</v>
      </c>
      <c r="L932" s="667" t="e">
        <f t="shared" si="69"/>
        <v>#REF!</v>
      </c>
      <c r="M932" s="665" t="e">
        <f>#REF!+K932</f>
        <v>#REF!</v>
      </c>
      <c r="N932" s="666" t="e">
        <f t="shared" si="70"/>
        <v>#REF!</v>
      </c>
      <c r="O932" s="672"/>
      <c r="P932" s="668"/>
      <c r="Q932" s="676"/>
      <c r="R932" s="676"/>
    </row>
    <row r="933" spans="1:18" s="677" customFormat="1" ht="83.25" customHeight="1">
      <c r="A933" s="700">
        <f>Borewell!$A$15</f>
        <v>2</v>
      </c>
      <c r="B933" s="663" t="str">
        <f>Borewell!$B$15</f>
        <v>Reaming from 140/150mm dia. pilot bore to 300mm dia. bore as direct by the TNPHC officers.</v>
      </c>
      <c r="C933" s="666"/>
      <c r="D933" s="674"/>
      <c r="E933" s="660"/>
      <c r="F933" s="667"/>
      <c r="G933" s="675"/>
      <c r="H933" s="667"/>
      <c r="I933" s="667"/>
      <c r="J933" s="667"/>
      <c r="K933" s="667" t="e">
        <f>E933+#REF!+#REF!+#REF!+G933+#REF!+#REF!+#REF!+#REF!+#REF!+#REF!+I933+#REF!+#REF!+#REF!</f>
        <v>#REF!</v>
      </c>
      <c r="L933" s="667" t="e">
        <f t="shared" si="69"/>
        <v>#REF!</v>
      </c>
      <c r="M933" s="665" t="e">
        <f>#REF!+K933</f>
        <v>#REF!</v>
      </c>
      <c r="N933" s="666" t="e">
        <f t="shared" si="70"/>
        <v>#REF!</v>
      </c>
      <c r="O933" s="672"/>
      <c r="P933" s="668"/>
      <c r="Q933" s="676"/>
      <c r="R933" s="676"/>
    </row>
    <row r="934" spans="1:18" s="677" customFormat="1" ht="45" customHeight="1">
      <c r="A934" s="700"/>
      <c r="B934" s="663" t="str">
        <f>Borewell!$B$16</f>
        <v>a) Up to 60mt. depth ending below ground level.</v>
      </c>
      <c r="C934" s="666">
        <v>385.7</v>
      </c>
      <c r="D934" s="674" t="str">
        <f>Borewell!$I$17</f>
        <v>Rmt</v>
      </c>
      <c r="E934" s="660"/>
      <c r="F934" s="667"/>
      <c r="G934" s="675"/>
      <c r="H934" s="667"/>
      <c r="I934" s="667"/>
      <c r="J934" s="667"/>
      <c r="K934" s="667" t="e">
        <f>E934+#REF!+#REF!+#REF!+G934+#REF!+#REF!+#REF!+#REF!+#REF!+#REF!+I934+#REF!+#REF!+#REF!</f>
        <v>#REF!</v>
      </c>
      <c r="L934" s="667" t="e">
        <f t="shared" si="69"/>
        <v>#REF!</v>
      </c>
      <c r="M934" s="665" t="e">
        <f>#REF!+K934</f>
        <v>#REF!</v>
      </c>
      <c r="N934" s="666" t="e">
        <f t="shared" si="70"/>
        <v>#REF!</v>
      </c>
      <c r="O934" s="672"/>
      <c r="P934" s="668"/>
      <c r="Q934" s="676"/>
      <c r="R934" s="676"/>
    </row>
    <row r="935" spans="1:18" s="677" customFormat="1" ht="83.25" customHeight="1">
      <c r="A935" s="700"/>
      <c r="B935" s="663" t="str">
        <f>Borewell!$B$19</f>
        <v>b) From 60mt.up to 90mt. depth ending from ground level.</v>
      </c>
      <c r="C935" s="666">
        <v>409.5</v>
      </c>
      <c r="D935" s="674" t="str">
        <f>Borewell!$I$20</f>
        <v>Rmt</v>
      </c>
      <c r="E935" s="660"/>
      <c r="F935" s="667"/>
      <c r="G935" s="675"/>
      <c r="H935" s="667"/>
      <c r="I935" s="667"/>
      <c r="J935" s="667"/>
      <c r="K935" s="667" t="e">
        <f>E935+#REF!+#REF!+#REF!+G935+#REF!+#REF!+#REF!+#REF!+#REF!+#REF!+I935+#REF!+#REF!+#REF!</f>
        <v>#REF!</v>
      </c>
      <c r="L935" s="667" t="e">
        <f t="shared" si="69"/>
        <v>#REF!</v>
      </c>
      <c r="M935" s="665" t="e">
        <f>#REF!+K935</f>
        <v>#REF!</v>
      </c>
      <c r="N935" s="666" t="e">
        <f t="shared" si="70"/>
        <v>#REF!</v>
      </c>
      <c r="O935" s="672"/>
      <c r="P935" s="668"/>
      <c r="Q935" s="676"/>
      <c r="R935" s="676"/>
    </row>
    <row r="936" spans="1:18" s="677" customFormat="1" ht="83.25" customHeight="1">
      <c r="A936" s="700">
        <f>Borewell!$A$22</f>
        <v>3</v>
      </c>
      <c r="B936" s="663" t="str">
        <f>Borewell!$B$22</f>
        <v>Labour charges for inserting 150mm PVC casing pipes assembly in the drilled hole including jointing the pipes etc., all complete.</v>
      </c>
      <c r="C936" s="666">
        <v>346.3</v>
      </c>
      <c r="D936" s="674" t="str">
        <f>Borewell!$I$23</f>
        <v>Rmt</v>
      </c>
      <c r="E936" s="660"/>
      <c r="F936" s="667"/>
      <c r="G936" s="675"/>
      <c r="H936" s="667"/>
      <c r="I936" s="667"/>
      <c r="J936" s="667"/>
      <c r="K936" s="667" t="e">
        <f>E936+#REF!+#REF!+#REF!+G936+#REF!+#REF!+#REF!+#REF!+#REF!+#REF!+I936+#REF!+#REF!+#REF!</f>
        <v>#REF!</v>
      </c>
      <c r="L936" s="667" t="e">
        <f t="shared" si="69"/>
        <v>#REF!</v>
      </c>
      <c r="M936" s="665" t="e">
        <f>#REF!+K936</f>
        <v>#REF!</v>
      </c>
      <c r="N936" s="666" t="e">
        <f t="shared" si="70"/>
        <v>#REF!</v>
      </c>
      <c r="O936" s="672"/>
      <c r="P936" s="668"/>
      <c r="Q936" s="676"/>
      <c r="R936" s="676"/>
    </row>
    <row r="937" spans="1:18" s="677" customFormat="1" ht="83.25" customHeight="1">
      <c r="A937" s="700">
        <f>Borewell!$A$25</f>
        <v>4</v>
      </c>
      <c r="B937" s="663" t="str">
        <f>Borewell!$B$25</f>
        <v>Supplying and delivery of 150mm dia PVC casing pipe wih ribs of PVC casing pipe suitable for medium with in 3m length all complete with ribs (R.S) up to 250m. (7.5 to 8.5mm wall thick)</v>
      </c>
      <c r="C937" s="666">
        <v>969</v>
      </c>
      <c r="D937" s="674" t="str">
        <f>Borewell!$I$26</f>
        <v>Rmt</v>
      </c>
      <c r="E937" s="660"/>
      <c r="F937" s="667"/>
      <c r="G937" s="675"/>
      <c r="H937" s="667"/>
      <c r="I937" s="667"/>
      <c r="J937" s="667"/>
      <c r="K937" s="667" t="e">
        <f>E937+#REF!+#REF!+#REF!+G937+#REF!+#REF!+#REF!+#REF!+#REF!+#REF!+I937+#REF!+#REF!+#REF!</f>
        <v>#REF!</v>
      </c>
      <c r="L937" s="667" t="e">
        <f t="shared" si="69"/>
        <v>#REF!</v>
      </c>
      <c r="M937" s="665" t="e">
        <f>#REF!+K937</f>
        <v>#REF!</v>
      </c>
      <c r="N937" s="666" t="e">
        <f t="shared" si="70"/>
        <v>#REF!</v>
      </c>
      <c r="O937" s="672"/>
      <c r="P937" s="668"/>
      <c r="Q937" s="676"/>
      <c r="R937" s="676"/>
    </row>
    <row r="938" spans="1:18" s="677" customFormat="1" ht="97.15" customHeight="1">
      <c r="A938" s="700">
        <f>Borewell!$A$28</f>
        <v>5</v>
      </c>
      <c r="B938" s="663" t="str">
        <f>Borewell!$B$28</f>
        <v>Supplying and delivery of 150mm dia PVC casing pipe PVC plain casing pipe suitable for medium with in 3m length etc., Casing medium above 80m.(7.5mm to 8.5mm wall thick.</v>
      </c>
      <c r="C938" s="666">
        <v>807</v>
      </c>
      <c r="D938" s="674" t="str">
        <f>Borewell!$I$29</f>
        <v>Rmt</v>
      </c>
      <c r="E938" s="660"/>
      <c r="F938" s="667"/>
      <c r="G938" s="675"/>
      <c r="H938" s="667"/>
      <c r="I938" s="667"/>
      <c r="J938" s="667"/>
      <c r="K938" s="667" t="e">
        <f>E938+#REF!+#REF!+#REF!+G938+#REF!+#REF!+#REF!+#REF!+#REF!+#REF!+I938+#REF!+#REF!+#REF!</f>
        <v>#REF!</v>
      </c>
      <c r="L938" s="667" t="e">
        <f t="shared" si="69"/>
        <v>#REF!</v>
      </c>
      <c r="M938" s="665" t="e">
        <f>#REF!+K938</f>
        <v>#REF!</v>
      </c>
      <c r="N938" s="666" t="e">
        <f t="shared" si="70"/>
        <v>#REF!</v>
      </c>
      <c r="O938" s="672"/>
      <c r="P938" s="668"/>
      <c r="Q938" s="676"/>
      <c r="R938" s="676"/>
    </row>
    <row r="939" spans="1:18" s="677" customFormat="1" ht="83.25" customHeight="1">
      <c r="A939" s="700">
        <f>Borewell!$A$31</f>
        <v>6</v>
      </c>
      <c r="B939" s="663" t="str">
        <f>Borewell!$B$31</f>
        <v>Charges for developing of bore well with air compressor of 600 CFM capacity (minimum 8 hours) including etc., all complete for existing bore.</v>
      </c>
      <c r="C939" s="666">
        <v>2263.9</v>
      </c>
      <c r="D939" s="674" t="str">
        <f>Borewell!$I$32</f>
        <v>Hrs.</v>
      </c>
      <c r="E939" s="660"/>
      <c r="F939" s="667"/>
      <c r="G939" s="675"/>
      <c r="H939" s="667"/>
      <c r="I939" s="667"/>
      <c r="J939" s="667"/>
      <c r="K939" s="667" t="e">
        <f>E939+#REF!+#REF!+#REF!+G939+#REF!+#REF!+#REF!+#REF!+#REF!+#REF!+I939+#REF!+#REF!+#REF!</f>
        <v>#REF!</v>
      </c>
      <c r="L939" s="667" t="e">
        <f t="shared" si="69"/>
        <v>#REF!</v>
      </c>
      <c r="M939" s="665" t="e">
        <f>#REF!+K939</f>
        <v>#REF!</v>
      </c>
      <c r="N939" s="666" t="e">
        <f t="shared" si="70"/>
        <v>#REF!</v>
      </c>
      <c r="O939" s="672"/>
      <c r="P939" s="668"/>
      <c r="Q939" s="676"/>
      <c r="R939" s="676"/>
    </row>
    <row r="940" spans="1:18" s="677" customFormat="1" ht="83.25" customHeight="1">
      <c r="A940" s="700">
        <f>Borewell!$A$34</f>
        <v>7</v>
      </c>
      <c r="B940" s="663" t="str">
        <f>Borewell!$B$34</f>
        <v>Supply and delivery of PVC end cap suitable for 150 PVC casing pipe of approved quality etc., all complete.</v>
      </c>
      <c r="C940" s="666">
        <v>105</v>
      </c>
      <c r="D940" s="674" t="str">
        <f>Borewell!$I$35</f>
        <v>No</v>
      </c>
      <c r="E940" s="660"/>
      <c r="F940" s="667"/>
      <c r="G940" s="675"/>
      <c r="H940" s="667"/>
      <c r="I940" s="667"/>
      <c r="J940" s="667"/>
      <c r="K940" s="667" t="e">
        <f>E940+#REF!+#REF!+#REF!+G940+#REF!+#REF!+#REF!+#REF!+#REF!+#REF!+I940+#REF!+#REF!+#REF!</f>
        <v>#REF!</v>
      </c>
      <c r="L940" s="667" t="e">
        <f t="shared" si="69"/>
        <v>#REF!</v>
      </c>
      <c r="M940" s="665" t="e">
        <f>#REF!+K940</f>
        <v>#REF!</v>
      </c>
      <c r="N940" s="666" t="e">
        <f t="shared" si="70"/>
        <v>#REF!</v>
      </c>
      <c r="O940" s="672"/>
      <c r="P940" s="668"/>
      <c r="Q940" s="676"/>
      <c r="R940" s="676"/>
    </row>
    <row r="941" spans="1:18" s="677" customFormat="1" ht="83.25" customHeight="1">
      <c r="A941" s="700">
        <f>Borewell!$A$37</f>
        <v>8</v>
      </c>
      <c r="B941" s="663" t="str">
        <f>Borewell!$B$37</f>
        <v>Supplying and fixing of MS bore well clamp set etc., all complete.</v>
      </c>
      <c r="C941" s="666">
        <v>937</v>
      </c>
      <c r="D941" s="674" t="str">
        <f>Borewell!$I$38</f>
        <v>No</v>
      </c>
      <c r="E941" s="660"/>
      <c r="F941" s="667"/>
      <c r="G941" s="675"/>
      <c r="H941" s="667"/>
      <c r="I941" s="667"/>
      <c r="J941" s="667"/>
      <c r="K941" s="667" t="e">
        <f>E941+#REF!+#REF!+#REF!+G941+#REF!+#REF!+#REF!+#REF!+#REF!+#REF!+I941+#REF!+#REF!+#REF!</f>
        <v>#REF!</v>
      </c>
      <c r="L941" s="667" t="e">
        <f t="shared" si="69"/>
        <v>#REF!</v>
      </c>
      <c r="M941" s="665" t="e">
        <f>#REF!+K941</f>
        <v>#REF!</v>
      </c>
      <c r="N941" s="666" t="e">
        <f t="shared" si="70"/>
        <v>#REF!</v>
      </c>
      <c r="O941" s="672"/>
      <c r="P941" s="668"/>
      <c r="Q941" s="676"/>
      <c r="R941" s="676"/>
    </row>
    <row r="942" spans="1:18" s="677" customFormat="1" ht="34.9" customHeight="1">
      <c r="A942" s="700"/>
      <c r="B942" s="785" t="s">
        <v>1955</v>
      </c>
      <c r="C942" s="666"/>
      <c r="D942" s="674"/>
      <c r="E942" s="660"/>
      <c r="F942" s="667"/>
      <c r="G942" s="675"/>
      <c r="H942" s="667"/>
      <c r="I942" s="667"/>
      <c r="J942" s="667"/>
      <c r="K942" s="667" t="e">
        <f>E942+#REF!+#REF!+#REF!+G942+#REF!+#REF!+#REF!+#REF!+#REF!+#REF!+I942+#REF!+#REF!+#REF!</f>
        <v>#REF!</v>
      </c>
      <c r="L942" s="667" t="e">
        <f t="shared" si="69"/>
        <v>#REF!</v>
      </c>
      <c r="M942" s="665" t="e">
        <f>#REF!+K942</f>
        <v>#REF!</v>
      </c>
      <c r="N942" s="666" t="e">
        <f t="shared" si="70"/>
        <v>#REF!</v>
      </c>
      <c r="O942" s="672"/>
      <c r="P942" s="668"/>
      <c r="Q942" s="676"/>
      <c r="R942" s="676"/>
    </row>
    <row r="943" spans="1:18" s="677" customFormat="1" ht="60" customHeight="1">
      <c r="A943" s="700">
        <f>'Ext. WS'!$A$7</f>
        <v>1</v>
      </c>
      <c r="B943" s="663" t="str">
        <f>'Ext. WS'!$B$7</f>
        <v xml:space="preserve">Supplying and delivery of single phase 2.0 HP submersible pumpset etc.,all complete </v>
      </c>
      <c r="C943" s="666">
        <v>22539</v>
      </c>
      <c r="D943" s="674" t="str">
        <f>'Ext. WS'!$H$11</f>
        <v>Nos.</v>
      </c>
      <c r="E943" s="660"/>
      <c r="F943" s="667"/>
      <c r="G943" s="675"/>
      <c r="H943" s="667"/>
      <c r="I943" s="667">
        <f>'Ext. WS'!$G$11</f>
        <v>2</v>
      </c>
      <c r="J943" s="667">
        <f t="shared" ref="J943:J979" si="72">I943*C943</f>
        <v>45078</v>
      </c>
      <c r="K943" s="667" t="e">
        <f>E943+#REF!+#REF!+#REF!+G943+#REF!+#REF!+#REF!+#REF!+#REF!+#REF!+I943+#REF!+#REF!+#REF!</f>
        <v>#REF!</v>
      </c>
      <c r="L943" s="667" t="e">
        <f t="shared" si="69"/>
        <v>#REF!</v>
      </c>
      <c r="M943" s="665" t="e">
        <f>#REF!+K943</f>
        <v>#REF!</v>
      </c>
      <c r="N943" s="666" t="e">
        <f t="shared" si="70"/>
        <v>#REF!</v>
      </c>
      <c r="O943" s="672"/>
      <c r="P943" s="668"/>
      <c r="Q943" s="676"/>
      <c r="R943" s="676"/>
    </row>
    <row r="944" spans="1:18" s="677" customFormat="1" ht="83.25" customHeight="1">
      <c r="A944" s="700">
        <f>'Ext. WS'!$A$12</f>
        <v>2</v>
      </c>
      <c r="B944" s="663" t="str">
        <f>'Ext. WS'!$B$12</f>
        <v>Supplying and delivery of wall mount type Control panel board for single phase 2.0 HP openwell submersible pumpset etc.,all complete</v>
      </c>
      <c r="C944" s="666">
        <v>7105</v>
      </c>
      <c r="D944" s="674" t="str">
        <f>'Ext. WS'!$H$14</f>
        <v>Nos.</v>
      </c>
      <c r="E944" s="660"/>
      <c r="F944" s="667"/>
      <c r="G944" s="675"/>
      <c r="H944" s="667"/>
      <c r="I944" s="667">
        <f>'Ext. WS'!$G$14</f>
        <v>2</v>
      </c>
      <c r="J944" s="667">
        <f t="shared" si="72"/>
        <v>14210</v>
      </c>
      <c r="K944" s="667" t="e">
        <f>E944+#REF!+#REF!+#REF!+G944+#REF!+#REF!+#REF!+#REF!+#REF!+#REF!+I944+#REF!+#REF!+#REF!</f>
        <v>#REF!</v>
      </c>
      <c r="L944" s="667" t="e">
        <f t="shared" si="69"/>
        <v>#REF!</v>
      </c>
      <c r="M944" s="665" t="e">
        <f>#REF!+K944</f>
        <v>#REF!</v>
      </c>
      <c r="N944" s="666" t="e">
        <f t="shared" si="70"/>
        <v>#REF!</v>
      </c>
      <c r="O944" s="672"/>
      <c r="P944" s="668"/>
      <c r="Q944" s="676"/>
      <c r="R944" s="676"/>
    </row>
    <row r="945" spans="1:18" s="677" customFormat="1" ht="83.25" customHeight="1">
      <c r="A945" s="700">
        <f>'Ext. WS'!$A$15</f>
        <v>3</v>
      </c>
      <c r="B945" s="663" t="str">
        <f>'Ext. WS'!$B$15</f>
        <v>Supplying and delivery of wall mount type Control panel board for single phase 2.0 HP submersible pumpset etc.,all complete</v>
      </c>
      <c r="C945" s="666">
        <v>7105</v>
      </c>
      <c r="D945" s="674" t="str">
        <f>'Ext. WS'!$H$17</f>
        <v>Nos.</v>
      </c>
      <c r="E945" s="660"/>
      <c r="F945" s="667"/>
      <c r="G945" s="675"/>
      <c r="H945" s="667"/>
      <c r="I945" s="667">
        <f>'Ext. WS'!$G$17</f>
        <v>1</v>
      </c>
      <c r="J945" s="667">
        <f t="shared" si="72"/>
        <v>7105</v>
      </c>
      <c r="K945" s="667" t="e">
        <f>E945+#REF!+#REF!+#REF!+G945+#REF!+#REF!+#REF!+#REF!+#REF!+#REF!+I945+#REF!+#REF!+#REF!</f>
        <v>#REF!</v>
      </c>
      <c r="L945" s="667" t="e">
        <f t="shared" si="69"/>
        <v>#REF!</v>
      </c>
      <c r="M945" s="665" t="e">
        <f>#REF!+K945</f>
        <v>#REF!</v>
      </c>
      <c r="N945" s="666" t="e">
        <f t="shared" si="70"/>
        <v>#REF!</v>
      </c>
      <c r="O945" s="672"/>
      <c r="P945" s="668"/>
      <c r="Q945" s="676"/>
      <c r="R945" s="676"/>
    </row>
    <row r="946" spans="1:18" s="677" customFormat="1" ht="60" customHeight="1">
      <c r="A946" s="700" t="e">
        <f>'Ext. WS'!#REF!</f>
        <v>#REF!</v>
      </c>
      <c r="B946" s="663" t="e">
        <f>'Ext. WS'!#REF!</f>
        <v>#REF!</v>
      </c>
      <c r="C946" s="666">
        <v>7391.8</v>
      </c>
      <c r="D946" s="674" t="e">
        <f>'Ext. WS'!#REF!</f>
        <v>#REF!</v>
      </c>
      <c r="E946" s="660"/>
      <c r="F946" s="667"/>
      <c r="G946" s="675"/>
      <c r="H946" s="667"/>
      <c r="I946" s="667" t="e">
        <f>'Ext. WS'!#REF!</f>
        <v>#REF!</v>
      </c>
      <c r="J946" s="667" t="e">
        <f t="shared" si="72"/>
        <v>#REF!</v>
      </c>
      <c r="K946" s="667" t="e">
        <f>E946+#REF!+#REF!+#REF!+G946+#REF!+#REF!+#REF!+#REF!+#REF!+#REF!+I946+#REF!+#REF!+#REF!</f>
        <v>#REF!</v>
      </c>
      <c r="L946" s="667" t="e">
        <f t="shared" si="69"/>
        <v>#REF!</v>
      </c>
      <c r="M946" s="665" t="e">
        <f>#REF!+K946</f>
        <v>#REF!</v>
      </c>
      <c r="N946" s="666" t="e">
        <f t="shared" si="70"/>
        <v>#REF!</v>
      </c>
      <c r="O946" s="672"/>
      <c r="P946" s="668"/>
      <c r="Q946" s="676"/>
      <c r="R946" s="676"/>
    </row>
    <row r="947" spans="1:18" s="677" customFormat="1" ht="60" customHeight="1">
      <c r="A947" s="700">
        <f>'Ext. WS'!$A$18</f>
        <v>4</v>
      </c>
      <c r="B947" s="663" t="str">
        <f>'Ext. WS'!$B$18</f>
        <v>Labour charges for erection of submersible pumpset etc., all complete</v>
      </c>
      <c r="C947" s="666">
        <v>10051.1</v>
      </c>
      <c r="D947" s="674" t="str">
        <f>'Ext. WS'!$H$20</f>
        <v>No.</v>
      </c>
      <c r="E947" s="660"/>
      <c r="F947" s="667"/>
      <c r="G947" s="675"/>
      <c r="H947" s="667"/>
      <c r="I947" s="667">
        <f>'Ext. WS'!$G$20</f>
        <v>1</v>
      </c>
      <c r="J947" s="667">
        <f t="shared" si="72"/>
        <v>10051.1</v>
      </c>
      <c r="K947" s="667" t="e">
        <f>E947+#REF!+#REF!+#REF!+G947+#REF!+#REF!+#REF!+#REF!+#REF!+#REF!+I947+#REF!+#REF!+#REF!</f>
        <v>#REF!</v>
      </c>
      <c r="L947" s="667" t="e">
        <f t="shared" si="69"/>
        <v>#REF!</v>
      </c>
      <c r="M947" s="665" t="e">
        <f>#REF!+K947</f>
        <v>#REF!</v>
      </c>
      <c r="N947" s="666" t="e">
        <f t="shared" si="70"/>
        <v>#REF!</v>
      </c>
      <c r="O947" s="672"/>
      <c r="P947" s="668"/>
      <c r="Q947" s="676"/>
      <c r="R947" s="676"/>
    </row>
    <row r="948" spans="1:18" s="677" customFormat="1" ht="60" customHeight="1">
      <c r="A948" s="700">
        <f>'Ext. WS'!$A$21</f>
        <v>5</v>
      </c>
      <c r="B948" s="663" t="str">
        <f>'Ext. WS'!$B$21</f>
        <v>Supply of 3 core 4 sqmm PVC insulated flat cable for submersible pumpset etc.,all complete</v>
      </c>
      <c r="C948" s="666">
        <v>161</v>
      </c>
      <c r="D948" s="674" t="str">
        <f>'Ext. WS'!$H$24</f>
        <v>Rmt</v>
      </c>
      <c r="E948" s="660"/>
      <c r="F948" s="667"/>
      <c r="G948" s="675"/>
      <c r="H948" s="667"/>
      <c r="I948" s="667">
        <f>'Ext. WS'!$G$24</f>
        <v>190</v>
      </c>
      <c r="J948" s="667">
        <f t="shared" si="72"/>
        <v>30590</v>
      </c>
      <c r="K948" s="667" t="e">
        <f>E948+#REF!+#REF!+#REF!+G948+#REF!+#REF!+#REF!+#REF!+#REF!+#REF!+I948+#REF!+#REF!+#REF!</f>
        <v>#REF!</v>
      </c>
      <c r="L948" s="667" t="e">
        <f t="shared" si="69"/>
        <v>#REF!</v>
      </c>
      <c r="M948" s="665" t="e">
        <f>#REF!+K948</f>
        <v>#REF!</v>
      </c>
      <c r="N948" s="666" t="e">
        <f t="shared" si="70"/>
        <v>#REF!</v>
      </c>
      <c r="O948" s="672"/>
      <c r="P948" s="668"/>
      <c r="Q948" s="676"/>
      <c r="R948" s="676"/>
    </row>
    <row r="949" spans="1:18" s="677" customFormat="1" ht="60" customHeight="1">
      <c r="A949" s="700">
        <f>'Ext. WS'!$A$25</f>
        <v>8</v>
      </c>
      <c r="B949" s="663" t="str">
        <f>'Ext. WS'!$B$25</f>
        <v>Supplying of 14mm dia. of Nylon rope etc., all complete.</v>
      </c>
      <c r="C949" s="666">
        <v>60</v>
      </c>
      <c r="D949" s="674" t="str">
        <f>'Ext. WS'!$H$27</f>
        <v>Rmt</v>
      </c>
      <c r="E949" s="660"/>
      <c r="F949" s="667"/>
      <c r="G949" s="675"/>
      <c r="H949" s="667"/>
      <c r="I949" s="667">
        <f>'Ext. WS'!$G$27</f>
        <v>180</v>
      </c>
      <c r="J949" s="667">
        <f t="shared" si="72"/>
        <v>10800</v>
      </c>
      <c r="K949" s="667" t="e">
        <f>E949+#REF!+#REF!+#REF!+G949+#REF!+#REF!+#REF!+#REF!+#REF!+#REF!+I949+#REF!+#REF!+#REF!</f>
        <v>#REF!</v>
      </c>
      <c r="L949" s="667" t="e">
        <f t="shared" si="69"/>
        <v>#REF!</v>
      </c>
      <c r="M949" s="665" t="e">
        <f>#REF!+K949</f>
        <v>#REF!</v>
      </c>
      <c r="N949" s="666" t="e">
        <f t="shared" si="70"/>
        <v>#REF!</v>
      </c>
      <c r="O949" s="672"/>
      <c r="P949" s="668"/>
      <c r="Q949" s="676"/>
      <c r="R949" s="676"/>
    </row>
    <row r="950" spans="1:18" s="677" customFormat="1" ht="60" customHeight="1">
      <c r="A950" s="700">
        <f>'Ext. WS'!$A$28</f>
        <v>9</v>
      </c>
      <c r="B950" s="663" t="str">
        <f>'Ext. WS'!$B$28</f>
        <v>Supplying and laying of the 32mm UPVC pipe etc., all complete. (Below Ground Level)</v>
      </c>
      <c r="C950" s="666">
        <f>114.8+26.41+190.79+17.4</f>
        <v>349.4</v>
      </c>
      <c r="D950" s="674" t="str">
        <f>'Ext. WS'!$H$30</f>
        <v>Rmt</v>
      </c>
      <c r="E950" s="660"/>
      <c r="F950" s="667"/>
      <c r="G950" s="675"/>
      <c r="H950" s="667"/>
      <c r="I950" s="667">
        <f>'Ext. WS'!$G$30</f>
        <v>170</v>
      </c>
      <c r="J950" s="667">
        <f t="shared" si="72"/>
        <v>59397.999999999993</v>
      </c>
      <c r="K950" s="667" t="e">
        <f>E950+#REF!+#REF!+#REF!+G950+#REF!+#REF!+#REF!+#REF!+#REF!+#REF!+I950+#REF!+#REF!+#REF!</f>
        <v>#REF!</v>
      </c>
      <c r="L950" s="667" t="e">
        <f t="shared" si="69"/>
        <v>#REF!</v>
      </c>
      <c r="M950" s="665" t="e">
        <f>#REF!+K950</f>
        <v>#REF!</v>
      </c>
      <c r="N950" s="666" t="e">
        <f t="shared" si="70"/>
        <v>#REF!</v>
      </c>
      <c r="O950" s="672"/>
      <c r="P950" s="668"/>
      <c r="Q950" s="676"/>
      <c r="R950" s="676"/>
    </row>
    <row r="951" spans="1:18" s="677" customFormat="1" ht="45" customHeight="1">
      <c r="A951" s="700">
        <f>'Ext. WS'!$A$31</f>
        <v>10</v>
      </c>
      <c r="B951" s="663" t="str">
        <f>'Ext. WS'!$B$31</f>
        <v>Supplying of 32mm dia. Cast Iron Adopter</v>
      </c>
      <c r="C951" s="666">
        <v>600</v>
      </c>
      <c r="D951" s="674" t="str">
        <f>'Ext. WS'!$H$33</f>
        <v>No.</v>
      </c>
      <c r="E951" s="660"/>
      <c r="F951" s="667"/>
      <c r="G951" s="675"/>
      <c r="H951" s="667"/>
      <c r="I951" s="667">
        <f>'Ext. WS'!$G$33</f>
        <v>1</v>
      </c>
      <c r="J951" s="667">
        <f t="shared" si="72"/>
        <v>600</v>
      </c>
      <c r="K951" s="667" t="e">
        <f>E951+#REF!+#REF!+#REF!+G951+#REF!+#REF!+#REF!+#REF!+#REF!+#REF!+I951+#REF!+#REF!+#REF!</f>
        <v>#REF!</v>
      </c>
      <c r="L951" s="667" t="e">
        <f t="shared" si="69"/>
        <v>#REF!</v>
      </c>
      <c r="M951" s="665" t="e">
        <f>#REF!+K951</f>
        <v>#REF!</v>
      </c>
      <c r="N951" s="666" t="e">
        <f t="shared" si="70"/>
        <v>#REF!</v>
      </c>
      <c r="O951" s="672"/>
      <c r="P951" s="668"/>
      <c r="Q951" s="676"/>
      <c r="R951" s="676"/>
    </row>
    <row r="952" spans="1:18" s="677" customFormat="1" ht="60" customHeight="1">
      <c r="A952" s="700">
        <f>'Ext. WS'!$A$34</f>
        <v>11</v>
      </c>
      <c r="B952" s="663" t="str">
        <f>'Ext. WS'!$B$34</f>
        <v>Supplying and delivery of following dia. PVC and GI Pipes</v>
      </c>
      <c r="C952" s="666"/>
      <c r="D952" s="674"/>
      <c r="E952" s="660"/>
      <c r="F952" s="667"/>
      <c r="G952" s="675"/>
      <c r="H952" s="667"/>
      <c r="I952" s="667"/>
      <c r="J952" s="667">
        <f t="shared" si="72"/>
        <v>0</v>
      </c>
      <c r="K952" s="667" t="e">
        <f>E952+#REF!+#REF!+#REF!+G952+#REF!+#REF!+#REF!+#REF!+#REF!+#REF!+I952+#REF!+#REF!+#REF!</f>
        <v>#REF!</v>
      </c>
      <c r="L952" s="667" t="e">
        <f t="shared" si="69"/>
        <v>#REF!</v>
      </c>
      <c r="M952" s="665" t="e">
        <f>#REF!+K952</f>
        <v>#REF!</v>
      </c>
      <c r="N952" s="666" t="e">
        <f t="shared" si="70"/>
        <v>#REF!</v>
      </c>
      <c r="O952" s="672"/>
      <c r="P952" s="668"/>
      <c r="Q952" s="676"/>
      <c r="R952" s="676"/>
    </row>
    <row r="953" spans="1:18" s="677" customFormat="1" ht="45" customHeight="1">
      <c r="A953" s="700"/>
      <c r="B953" s="663" t="e">
        <f>'Ext. WS'!#REF!</f>
        <v>#REF!</v>
      </c>
      <c r="C953" s="666">
        <v>96.6</v>
      </c>
      <c r="D953" s="674" t="e">
        <f>'Ext. WS'!#REF!</f>
        <v>#REF!</v>
      </c>
      <c r="E953" s="660"/>
      <c r="F953" s="667"/>
      <c r="G953" s="675"/>
      <c r="H953" s="667"/>
      <c r="I953" s="667" t="e">
        <f>'Ext. WS'!#REF!</f>
        <v>#REF!</v>
      </c>
      <c r="J953" s="667" t="e">
        <f t="shared" si="72"/>
        <v>#REF!</v>
      </c>
      <c r="K953" s="667" t="e">
        <f>E953+#REF!+#REF!+#REF!+G953+#REF!+#REF!+#REF!+#REF!+#REF!+#REF!+I953+#REF!+#REF!+#REF!</f>
        <v>#REF!</v>
      </c>
      <c r="L953" s="667" t="e">
        <f t="shared" si="69"/>
        <v>#REF!</v>
      </c>
      <c r="M953" s="665" t="e">
        <f>#REF!+K953</f>
        <v>#REF!</v>
      </c>
      <c r="N953" s="666" t="e">
        <f t="shared" si="70"/>
        <v>#REF!</v>
      </c>
      <c r="O953" s="672"/>
      <c r="P953" s="668"/>
      <c r="Q953" s="676"/>
      <c r="R953" s="676"/>
    </row>
    <row r="954" spans="1:18" s="677" customFormat="1" ht="45" customHeight="1">
      <c r="A954" s="700"/>
      <c r="B954" s="663" t="str">
        <f>'Ext. WS'!$B$35</f>
        <v>b) 32mm dia. G.I pipe (B class)</v>
      </c>
      <c r="C954" s="666">
        <v>151.4</v>
      </c>
      <c r="D954" s="674" t="str">
        <f>'Ext. WS'!$H$37</f>
        <v>Rmt</v>
      </c>
      <c r="E954" s="660"/>
      <c r="F954" s="667"/>
      <c r="G954" s="675"/>
      <c r="H954" s="667"/>
      <c r="I954" s="667">
        <f>'Ext. WS'!$G$37</f>
        <v>3</v>
      </c>
      <c r="J954" s="667">
        <f t="shared" si="72"/>
        <v>454.20000000000005</v>
      </c>
      <c r="K954" s="667" t="e">
        <f>E954+#REF!+#REF!+#REF!+G954+#REF!+#REF!+#REF!+#REF!+#REF!+#REF!+I954+#REF!+#REF!+#REF!</f>
        <v>#REF!</v>
      </c>
      <c r="L954" s="667" t="e">
        <f t="shared" si="69"/>
        <v>#REF!</v>
      </c>
      <c r="M954" s="665" t="e">
        <f>#REF!+K954</f>
        <v>#REF!</v>
      </c>
      <c r="N954" s="666" t="e">
        <f t="shared" si="70"/>
        <v>#REF!</v>
      </c>
      <c r="O954" s="672"/>
      <c r="P954" s="668"/>
      <c r="Q954" s="676"/>
      <c r="R954" s="676"/>
    </row>
    <row r="955" spans="1:18" s="677" customFormat="1" ht="45" customHeight="1">
      <c r="A955" s="700"/>
      <c r="B955" s="663" t="e">
        <f>'Ext. WS'!#REF!</f>
        <v>#REF!</v>
      </c>
      <c r="C955" s="666">
        <v>163</v>
      </c>
      <c r="D955" s="674" t="e">
        <f>'Ext. WS'!#REF!</f>
        <v>#REF!</v>
      </c>
      <c r="E955" s="660"/>
      <c r="F955" s="667"/>
      <c r="G955" s="675"/>
      <c r="H955" s="667"/>
      <c r="I955" s="667"/>
      <c r="J955" s="667">
        <f t="shared" si="72"/>
        <v>0</v>
      </c>
      <c r="K955" s="667" t="e">
        <f>E955+#REF!+#REF!+#REF!+G955+#REF!+#REF!+#REF!+#REF!+#REF!+#REF!+I955+#REF!+#REF!+#REF!</f>
        <v>#REF!</v>
      </c>
      <c r="L955" s="667" t="e">
        <f t="shared" si="69"/>
        <v>#REF!</v>
      </c>
      <c r="M955" s="665" t="e">
        <f>#REF!+K955</f>
        <v>#REF!</v>
      </c>
      <c r="N955" s="666" t="e">
        <f t="shared" si="70"/>
        <v>#REF!</v>
      </c>
      <c r="O955" s="672"/>
      <c r="P955" s="668"/>
      <c r="Q955" s="676"/>
      <c r="R955" s="676"/>
    </row>
    <row r="956" spans="1:18" s="677" customFormat="1" ht="60" customHeight="1">
      <c r="A956" s="700">
        <f>'Ext. WS'!$A$38</f>
        <v>12</v>
      </c>
      <c r="B956" s="663" t="str">
        <f>'Ext. WS'!$B$38</f>
        <v>Labour charges for following dia. of PVC/GI pipes (Below Ground level)</v>
      </c>
      <c r="C956" s="666"/>
      <c r="D956" s="674"/>
      <c r="E956" s="660"/>
      <c r="F956" s="667"/>
      <c r="G956" s="675"/>
      <c r="H956" s="667"/>
      <c r="I956" s="667"/>
      <c r="J956" s="667">
        <f t="shared" si="72"/>
        <v>0</v>
      </c>
      <c r="K956" s="667" t="e">
        <f>E956+#REF!+#REF!+#REF!+G956+#REF!+#REF!+#REF!+#REF!+#REF!+#REF!+I956+#REF!+#REF!+#REF!</f>
        <v>#REF!</v>
      </c>
      <c r="L956" s="667" t="e">
        <f t="shared" si="69"/>
        <v>#REF!</v>
      </c>
      <c r="M956" s="665" t="e">
        <f>#REF!+K956</f>
        <v>#REF!</v>
      </c>
      <c r="N956" s="666" t="e">
        <f t="shared" si="70"/>
        <v>#REF!</v>
      </c>
      <c r="O956" s="672"/>
      <c r="P956" s="668"/>
      <c r="Q956" s="676"/>
      <c r="R956" s="676"/>
    </row>
    <row r="957" spans="1:18" s="677" customFormat="1" ht="45" customHeight="1">
      <c r="A957" s="700"/>
      <c r="B957" s="663" t="e">
        <f>'Ext. WS'!#REF!</f>
        <v>#REF!</v>
      </c>
      <c r="C957" s="666">
        <f>10.2+21.13+152.15</f>
        <v>183.48000000000002</v>
      </c>
      <c r="D957" s="674" t="e">
        <f>'Ext. WS'!#REF!</f>
        <v>#REF!</v>
      </c>
      <c r="E957" s="660"/>
      <c r="F957" s="667"/>
      <c r="G957" s="675"/>
      <c r="H957" s="667"/>
      <c r="I957" s="667" t="e">
        <f>'Ext. WS'!#REF!</f>
        <v>#REF!</v>
      </c>
      <c r="J957" s="667" t="e">
        <f t="shared" si="72"/>
        <v>#REF!</v>
      </c>
      <c r="K957" s="667" t="e">
        <f>E957+#REF!+#REF!+#REF!+G957+#REF!+#REF!+#REF!+#REF!+#REF!+#REF!+I957+#REF!+#REF!+#REF!</f>
        <v>#REF!</v>
      </c>
      <c r="L957" s="667" t="e">
        <f t="shared" si="69"/>
        <v>#REF!</v>
      </c>
      <c r="M957" s="665" t="e">
        <f>#REF!+K957</f>
        <v>#REF!</v>
      </c>
      <c r="N957" s="666" t="e">
        <f t="shared" si="70"/>
        <v>#REF!</v>
      </c>
      <c r="O957" s="672"/>
      <c r="P957" s="668"/>
      <c r="Q957" s="676"/>
      <c r="R957" s="676"/>
    </row>
    <row r="958" spans="1:18" s="677" customFormat="1" ht="45" customHeight="1">
      <c r="A958" s="700"/>
      <c r="B958" s="663" t="str">
        <f>'Ext. WS'!$B$39</f>
        <v xml:space="preserve">b) 32mm dia. G.I pipe </v>
      </c>
      <c r="C958" s="666">
        <f>17.4+190.79+26.41</f>
        <v>234.6</v>
      </c>
      <c r="D958" s="674" t="str">
        <f>'Ext. WS'!$H$40</f>
        <v>Rmt</v>
      </c>
      <c r="E958" s="660"/>
      <c r="F958" s="667"/>
      <c r="G958" s="675"/>
      <c r="H958" s="667"/>
      <c r="I958" s="667">
        <f>'Ext. WS'!$G$40</f>
        <v>5.5</v>
      </c>
      <c r="J958" s="667">
        <f t="shared" si="72"/>
        <v>1290.3</v>
      </c>
      <c r="K958" s="667" t="e">
        <f>E958+#REF!+#REF!+#REF!+G958+#REF!+#REF!+#REF!+#REF!+#REF!+#REF!+I958+#REF!+#REF!+#REF!</f>
        <v>#REF!</v>
      </c>
      <c r="L958" s="667" t="e">
        <f t="shared" si="69"/>
        <v>#REF!</v>
      </c>
      <c r="M958" s="665" t="e">
        <f>#REF!+K958</f>
        <v>#REF!</v>
      </c>
      <c r="N958" s="666" t="e">
        <f t="shared" si="70"/>
        <v>#REF!</v>
      </c>
      <c r="O958" s="672"/>
      <c r="P958" s="668"/>
      <c r="Q958" s="676"/>
      <c r="R958" s="676"/>
    </row>
    <row r="959" spans="1:18" s="677" customFormat="1" ht="45" customHeight="1">
      <c r="A959" s="700"/>
      <c r="B959" s="663" t="e">
        <f>'Ext. WS'!#REF!</f>
        <v>#REF!</v>
      </c>
      <c r="C959" s="666">
        <f>17.4+190.79+26.41</f>
        <v>234.6</v>
      </c>
      <c r="D959" s="674" t="e">
        <f>'Ext. WS'!#REF!</f>
        <v>#REF!</v>
      </c>
      <c r="E959" s="660"/>
      <c r="F959" s="667"/>
      <c r="G959" s="675"/>
      <c r="H959" s="667"/>
      <c r="I959" s="667"/>
      <c r="J959" s="667">
        <f t="shared" si="72"/>
        <v>0</v>
      </c>
      <c r="K959" s="667" t="e">
        <f>E959+#REF!+#REF!+#REF!+G959+#REF!+#REF!+#REF!+#REF!+#REF!+#REF!+I959+#REF!+#REF!+#REF!</f>
        <v>#REF!</v>
      </c>
      <c r="L959" s="667" t="e">
        <f t="shared" si="69"/>
        <v>#REF!</v>
      </c>
      <c r="M959" s="665" t="e">
        <f>#REF!+K959</f>
        <v>#REF!</v>
      </c>
      <c r="N959" s="666" t="e">
        <f t="shared" si="70"/>
        <v>#REF!</v>
      </c>
      <c r="O959" s="672"/>
      <c r="P959" s="668"/>
      <c r="Q959" s="676"/>
      <c r="R959" s="676"/>
    </row>
    <row r="960" spans="1:18" s="677" customFormat="1" ht="45" customHeight="1">
      <c r="A960" s="700" t="e">
        <f>'Ext. WS'!#REF!</f>
        <v>#REF!</v>
      </c>
      <c r="B960" s="663" t="e">
        <f>'Ext. WS'!#REF!</f>
        <v>#REF!</v>
      </c>
      <c r="C960" s="666"/>
      <c r="D960" s="674"/>
      <c r="E960" s="660"/>
      <c r="F960" s="667"/>
      <c r="G960" s="675"/>
      <c r="H960" s="667"/>
      <c r="I960" s="667"/>
      <c r="J960" s="667">
        <f t="shared" si="72"/>
        <v>0</v>
      </c>
      <c r="K960" s="667" t="e">
        <f>E960+#REF!+#REF!+#REF!+G960+#REF!+#REF!+#REF!+#REF!+#REF!+#REF!+I960+#REF!+#REF!+#REF!</f>
        <v>#REF!</v>
      </c>
      <c r="L960" s="667" t="e">
        <f t="shared" si="69"/>
        <v>#REF!</v>
      </c>
      <c r="M960" s="665" t="e">
        <f>#REF!+K960</f>
        <v>#REF!</v>
      </c>
      <c r="N960" s="666" t="e">
        <f t="shared" si="70"/>
        <v>#REF!</v>
      </c>
      <c r="O960" s="672"/>
      <c r="P960" s="668"/>
      <c r="Q960" s="676"/>
      <c r="R960" s="676"/>
    </row>
    <row r="961" spans="1:18" s="677" customFormat="1" ht="45" customHeight="1">
      <c r="A961" s="700"/>
      <c r="B961" s="663" t="e">
        <f>'Ext. WS'!#REF!</f>
        <v>#REF!</v>
      </c>
      <c r="C961" s="666">
        <v>10</v>
      </c>
      <c r="D961" s="674" t="e">
        <f>'Ext. WS'!#REF!</f>
        <v>#REF!</v>
      </c>
      <c r="E961" s="660"/>
      <c r="F961" s="667"/>
      <c r="G961" s="675"/>
      <c r="H961" s="667"/>
      <c r="I961" s="667" t="e">
        <f>'Ext. WS'!#REF!</f>
        <v>#REF!</v>
      </c>
      <c r="J961" s="667" t="e">
        <f t="shared" si="72"/>
        <v>#REF!</v>
      </c>
      <c r="K961" s="667" t="e">
        <f>E961+#REF!+#REF!+#REF!+G961+#REF!+#REF!+#REF!+#REF!+#REF!+#REF!+I961+#REF!+#REF!+#REF!</f>
        <v>#REF!</v>
      </c>
      <c r="L961" s="667" t="e">
        <f t="shared" si="69"/>
        <v>#REF!</v>
      </c>
      <c r="M961" s="665" t="e">
        <f>#REF!+K961</f>
        <v>#REF!</v>
      </c>
      <c r="N961" s="666" t="e">
        <f t="shared" si="70"/>
        <v>#REF!</v>
      </c>
      <c r="O961" s="672"/>
      <c r="P961" s="668"/>
      <c r="Q961" s="676"/>
      <c r="R961" s="676"/>
    </row>
    <row r="962" spans="1:18" s="677" customFormat="1" ht="45" customHeight="1">
      <c r="A962" s="700"/>
      <c r="B962" s="663" t="e">
        <f>'Ext. WS'!#REF!</f>
        <v>#REF!</v>
      </c>
      <c r="C962" s="666">
        <v>19.2</v>
      </c>
      <c r="D962" s="674" t="e">
        <f>'Ext. WS'!#REF!</f>
        <v>#REF!</v>
      </c>
      <c r="E962" s="660"/>
      <c r="F962" s="667"/>
      <c r="G962" s="675"/>
      <c r="H962" s="667"/>
      <c r="I962" s="667" t="e">
        <f>'Ext. WS'!#REF!</f>
        <v>#REF!</v>
      </c>
      <c r="J962" s="667" t="e">
        <f t="shared" si="72"/>
        <v>#REF!</v>
      </c>
      <c r="K962" s="667" t="e">
        <f>E962+#REF!+#REF!+#REF!+G962+#REF!+#REF!+#REF!+#REF!+#REF!+#REF!+I962+#REF!+#REF!+#REF!</f>
        <v>#REF!</v>
      </c>
      <c r="L962" s="667" t="e">
        <f t="shared" si="69"/>
        <v>#REF!</v>
      </c>
      <c r="M962" s="665" t="e">
        <f>#REF!+K962</f>
        <v>#REF!</v>
      </c>
      <c r="N962" s="666" t="e">
        <f t="shared" si="70"/>
        <v>#REF!</v>
      </c>
      <c r="O962" s="672"/>
      <c r="P962" s="668"/>
      <c r="Q962" s="676"/>
      <c r="R962" s="676"/>
    </row>
    <row r="963" spans="1:18" s="677" customFormat="1" ht="45" customHeight="1">
      <c r="A963" s="700"/>
      <c r="B963" s="663" t="e">
        <f>'Ext. WS'!#REF!</f>
        <v>#REF!</v>
      </c>
      <c r="C963" s="666">
        <v>21.9</v>
      </c>
      <c r="D963" s="674" t="e">
        <f>'Ext. WS'!#REF!</f>
        <v>#REF!</v>
      </c>
      <c r="E963" s="660"/>
      <c r="F963" s="667"/>
      <c r="G963" s="675"/>
      <c r="H963" s="667"/>
      <c r="I963" s="667" t="e">
        <f>'Ext. WS'!#REF!</f>
        <v>#REF!</v>
      </c>
      <c r="J963" s="667" t="e">
        <f t="shared" si="72"/>
        <v>#REF!</v>
      </c>
      <c r="K963" s="667" t="e">
        <f>E963+#REF!+#REF!+#REF!+G963+#REF!+#REF!+#REF!+#REF!+#REF!+#REF!+I963+#REF!+#REF!+#REF!</f>
        <v>#REF!</v>
      </c>
      <c r="L963" s="667" t="e">
        <f t="shared" si="69"/>
        <v>#REF!</v>
      </c>
      <c r="M963" s="665" t="e">
        <f>#REF!+K963</f>
        <v>#REF!</v>
      </c>
      <c r="N963" s="666" t="e">
        <f t="shared" si="70"/>
        <v>#REF!</v>
      </c>
      <c r="O963" s="672"/>
      <c r="P963" s="668"/>
      <c r="Q963" s="676"/>
      <c r="R963" s="676"/>
    </row>
    <row r="964" spans="1:18" s="677" customFormat="1" ht="45" customHeight="1">
      <c r="A964" s="700"/>
      <c r="B964" s="663" t="e">
        <f>'Ext. WS'!#REF!</f>
        <v>#REF!</v>
      </c>
      <c r="C964" s="666">
        <v>12.7</v>
      </c>
      <c r="D964" s="674" t="e">
        <f>'Ext. WS'!#REF!</f>
        <v>#REF!</v>
      </c>
      <c r="E964" s="660"/>
      <c r="F964" s="667"/>
      <c r="G964" s="675"/>
      <c r="H964" s="667"/>
      <c r="I964" s="667" t="e">
        <f>'Ext. WS'!#REF!</f>
        <v>#REF!</v>
      </c>
      <c r="J964" s="667" t="e">
        <f t="shared" si="72"/>
        <v>#REF!</v>
      </c>
      <c r="K964" s="667" t="e">
        <f>E964+#REF!+#REF!+#REF!+G964+#REF!+#REF!+#REF!+#REF!+#REF!+#REF!+I964+#REF!+#REF!+#REF!</f>
        <v>#REF!</v>
      </c>
      <c r="L964" s="667" t="e">
        <f t="shared" si="69"/>
        <v>#REF!</v>
      </c>
      <c r="M964" s="665" t="e">
        <f>#REF!+K964</f>
        <v>#REF!</v>
      </c>
      <c r="N964" s="666" t="e">
        <f t="shared" si="70"/>
        <v>#REF!</v>
      </c>
      <c r="O964" s="672"/>
      <c r="P964" s="668"/>
      <c r="Q964" s="676"/>
      <c r="R964" s="676"/>
    </row>
    <row r="965" spans="1:18" s="677" customFormat="1" ht="45" customHeight="1">
      <c r="A965" s="700"/>
      <c r="B965" s="663" t="e">
        <f>'Ext. WS'!#REF!</f>
        <v>#REF!</v>
      </c>
      <c r="C965" s="666">
        <v>16</v>
      </c>
      <c r="D965" s="674" t="e">
        <f>'Ext. WS'!#REF!</f>
        <v>#REF!</v>
      </c>
      <c r="E965" s="660"/>
      <c r="F965" s="667"/>
      <c r="G965" s="675"/>
      <c r="H965" s="667"/>
      <c r="I965" s="667" t="e">
        <f>'Ext. WS'!#REF!</f>
        <v>#REF!</v>
      </c>
      <c r="J965" s="667" t="e">
        <f t="shared" si="72"/>
        <v>#REF!</v>
      </c>
      <c r="K965" s="667" t="e">
        <f>E965+#REF!+#REF!+#REF!+G965+#REF!+#REF!+#REF!+#REF!+#REF!+#REF!+I965+#REF!+#REF!+#REF!</f>
        <v>#REF!</v>
      </c>
      <c r="L965" s="667" t="e">
        <f t="shared" si="69"/>
        <v>#REF!</v>
      </c>
      <c r="M965" s="665" t="e">
        <f>#REF!+K965</f>
        <v>#REF!</v>
      </c>
      <c r="N965" s="666" t="e">
        <f t="shared" si="70"/>
        <v>#REF!</v>
      </c>
      <c r="O965" s="672"/>
      <c r="P965" s="668"/>
      <c r="Q965" s="676"/>
      <c r="R965" s="676"/>
    </row>
    <row r="966" spans="1:18" s="677" customFormat="1" ht="45" customHeight="1">
      <c r="A966" s="700"/>
      <c r="B966" s="663" t="e">
        <f>'Ext. WS'!#REF!</f>
        <v>#REF!</v>
      </c>
      <c r="C966" s="666">
        <v>16</v>
      </c>
      <c r="D966" s="674" t="e">
        <f>'Ext. WS'!#REF!</f>
        <v>#REF!</v>
      </c>
      <c r="E966" s="660"/>
      <c r="F966" s="667"/>
      <c r="G966" s="675"/>
      <c r="H966" s="667"/>
      <c r="I966" s="667" t="e">
        <f>'Ext. WS'!#REF!</f>
        <v>#REF!</v>
      </c>
      <c r="J966" s="667" t="e">
        <f t="shared" si="72"/>
        <v>#REF!</v>
      </c>
      <c r="K966" s="667" t="e">
        <f>E966+#REF!+#REF!+#REF!+G966+#REF!+#REF!+#REF!+#REF!+#REF!+#REF!+I966+#REF!+#REF!+#REF!</f>
        <v>#REF!</v>
      </c>
      <c r="L966" s="667" t="e">
        <f t="shared" ref="L966:L1011" si="73">K966*C966</f>
        <v>#REF!</v>
      </c>
      <c r="M966" s="665" t="e">
        <f>#REF!+K966</f>
        <v>#REF!</v>
      </c>
      <c r="N966" s="666" t="e">
        <f t="shared" ref="N966:N1011" si="74">M966*C966</f>
        <v>#REF!</v>
      </c>
      <c r="O966" s="672"/>
      <c r="P966" s="668"/>
      <c r="Q966" s="676"/>
      <c r="R966" s="676"/>
    </row>
    <row r="967" spans="1:18" s="677" customFormat="1" ht="45" customHeight="1">
      <c r="A967" s="700" t="e">
        <f>'Ext. WS'!#REF!</f>
        <v>#REF!</v>
      </c>
      <c r="B967" s="663" t="e">
        <f>'Ext. WS'!#REF!</f>
        <v>#REF!</v>
      </c>
      <c r="C967" s="666"/>
      <c r="D967" s="674"/>
      <c r="E967" s="660"/>
      <c r="F967" s="667"/>
      <c r="G967" s="675"/>
      <c r="H967" s="667"/>
      <c r="I967" s="667"/>
      <c r="J967" s="667">
        <f t="shared" si="72"/>
        <v>0</v>
      </c>
      <c r="K967" s="667" t="e">
        <f>E967+#REF!+#REF!+#REF!+G967+#REF!+#REF!+#REF!+#REF!+#REF!+#REF!+I967+#REF!+#REF!+#REF!</f>
        <v>#REF!</v>
      </c>
      <c r="L967" s="667" t="e">
        <f t="shared" si="73"/>
        <v>#REF!</v>
      </c>
      <c r="M967" s="665" t="e">
        <f>#REF!+K967</f>
        <v>#REF!</v>
      </c>
      <c r="N967" s="666" t="e">
        <f t="shared" si="74"/>
        <v>#REF!</v>
      </c>
      <c r="O967" s="672"/>
      <c r="P967" s="668"/>
      <c r="Q967" s="676"/>
      <c r="R967" s="676"/>
    </row>
    <row r="968" spans="1:18" s="677" customFormat="1" ht="45" customHeight="1">
      <c r="A968" s="700"/>
      <c r="B968" s="663" t="e">
        <f>'Ext. WS'!#REF!</f>
        <v>#REF!</v>
      </c>
      <c r="C968" s="666">
        <v>87</v>
      </c>
      <c r="D968" s="674" t="e">
        <f>'Ext. WS'!#REF!</f>
        <v>#REF!</v>
      </c>
      <c r="E968" s="660"/>
      <c r="F968" s="667"/>
      <c r="G968" s="675"/>
      <c r="H968" s="667"/>
      <c r="I968" s="667" t="e">
        <f>'Ext. WS'!#REF!</f>
        <v>#REF!</v>
      </c>
      <c r="J968" s="667" t="e">
        <f t="shared" si="72"/>
        <v>#REF!</v>
      </c>
      <c r="K968" s="667" t="e">
        <f>E968+#REF!+#REF!+#REF!+G968+#REF!+#REF!+#REF!+#REF!+#REF!+#REF!+I968+#REF!+#REF!+#REF!</f>
        <v>#REF!</v>
      </c>
      <c r="L968" s="667" t="e">
        <f t="shared" si="73"/>
        <v>#REF!</v>
      </c>
      <c r="M968" s="665" t="e">
        <f>#REF!+K968</f>
        <v>#REF!</v>
      </c>
      <c r="N968" s="666" t="e">
        <f t="shared" si="74"/>
        <v>#REF!</v>
      </c>
      <c r="O968" s="672"/>
      <c r="P968" s="668"/>
      <c r="Q968" s="676"/>
      <c r="R968" s="676"/>
    </row>
    <row r="969" spans="1:18" s="677" customFormat="1" ht="45" customHeight="1">
      <c r="A969" s="700"/>
      <c r="B969" s="663" t="e">
        <f>'Ext. WS'!#REF!</f>
        <v>#REF!</v>
      </c>
      <c r="C969" s="666">
        <v>197.5</v>
      </c>
      <c r="D969" s="674" t="e">
        <f>'Ext. WS'!#REF!</f>
        <v>#REF!</v>
      </c>
      <c r="E969" s="660"/>
      <c r="F969" s="667"/>
      <c r="G969" s="675"/>
      <c r="H969" s="667"/>
      <c r="I969" s="667" t="e">
        <f>'Ext. WS'!#REF!</f>
        <v>#REF!</v>
      </c>
      <c r="J969" s="667" t="e">
        <f t="shared" si="72"/>
        <v>#REF!</v>
      </c>
      <c r="K969" s="667" t="e">
        <f>E969+#REF!+#REF!+#REF!+G969+#REF!+#REF!+#REF!+#REF!+#REF!+#REF!+I969+#REF!+#REF!+#REF!</f>
        <v>#REF!</v>
      </c>
      <c r="L969" s="667" t="e">
        <f t="shared" si="73"/>
        <v>#REF!</v>
      </c>
      <c r="M969" s="665" t="e">
        <f>#REF!+K969</f>
        <v>#REF!</v>
      </c>
      <c r="N969" s="666" t="e">
        <f t="shared" si="74"/>
        <v>#REF!</v>
      </c>
      <c r="O969" s="672"/>
      <c r="P969" s="668"/>
      <c r="Q969" s="676"/>
      <c r="R969" s="676"/>
    </row>
    <row r="970" spans="1:18" s="677" customFormat="1" ht="45" customHeight="1">
      <c r="A970" s="700"/>
      <c r="B970" s="663" t="e">
        <f>'Ext. WS'!#REF!</f>
        <v>#REF!</v>
      </c>
      <c r="C970" s="666">
        <v>69.8</v>
      </c>
      <c r="D970" s="674" t="e">
        <f>'Ext. WS'!#REF!</f>
        <v>#REF!</v>
      </c>
      <c r="E970" s="660"/>
      <c r="F970" s="667"/>
      <c r="G970" s="675"/>
      <c r="H970" s="667"/>
      <c r="I970" s="667" t="e">
        <f>'Ext. WS'!#REF!</f>
        <v>#REF!</v>
      </c>
      <c r="J970" s="667" t="e">
        <f t="shared" si="72"/>
        <v>#REF!</v>
      </c>
      <c r="K970" s="667" t="e">
        <f>E970+#REF!+#REF!+#REF!+G970+#REF!+#REF!+#REF!+#REF!+#REF!+#REF!+I970+#REF!+#REF!+#REF!</f>
        <v>#REF!</v>
      </c>
      <c r="L970" s="667" t="e">
        <f t="shared" si="73"/>
        <v>#REF!</v>
      </c>
      <c r="M970" s="665" t="e">
        <f>#REF!+K970</f>
        <v>#REF!</v>
      </c>
      <c r="N970" s="666" t="e">
        <f t="shared" si="74"/>
        <v>#REF!</v>
      </c>
      <c r="O970" s="672"/>
      <c r="P970" s="668"/>
      <c r="Q970" s="676"/>
      <c r="R970" s="676"/>
    </row>
    <row r="971" spans="1:18" s="677" customFormat="1" ht="45" customHeight="1">
      <c r="A971" s="700"/>
      <c r="B971" s="663" t="e">
        <f>'Ext. WS'!#REF!</f>
        <v>#REF!</v>
      </c>
      <c r="C971" s="666">
        <v>110.2</v>
      </c>
      <c r="D971" s="674" t="e">
        <f>'Ext. WS'!#REF!</f>
        <v>#REF!</v>
      </c>
      <c r="E971" s="660"/>
      <c r="F971" s="667"/>
      <c r="G971" s="675"/>
      <c r="H971" s="667"/>
      <c r="I971" s="667" t="e">
        <f>'Ext. WS'!#REF!</f>
        <v>#REF!</v>
      </c>
      <c r="J971" s="667" t="e">
        <f t="shared" si="72"/>
        <v>#REF!</v>
      </c>
      <c r="K971" s="667" t="e">
        <f>E971+#REF!+#REF!+#REF!+G971+#REF!+#REF!+#REF!+#REF!+#REF!+#REF!+I971+#REF!+#REF!+#REF!</f>
        <v>#REF!</v>
      </c>
      <c r="L971" s="667" t="e">
        <f t="shared" si="73"/>
        <v>#REF!</v>
      </c>
      <c r="M971" s="665" t="e">
        <f>#REF!+K971</f>
        <v>#REF!</v>
      </c>
      <c r="N971" s="666" t="e">
        <f t="shared" si="74"/>
        <v>#REF!</v>
      </c>
      <c r="O971" s="672"/>
      <c r="P971" s="668"/>
      <c r="Q971" s="676"/>
      <c r="R971" s="676"/>
    </row>
    <row r="972" spans="1:18" s="677" customFormat="1" ht="45" customHeight="1">
      <c r="A972" s="700"/>
      <c r="B972" s="663" t="e">
        <f>'Ext. WS'!#REF!</f>
        <v>#REF!</v>
      </c>
      <c r="C972" s="666">
        <v>127.5</v>
      </c>
      <c r="D972" s="674" t="e">
        <f>'Ext. WS'!#REF!</f>
        <v>#REF!</v>
      </c>
      <c r="E972" s="660"/>
      <c r="F972" s="667"/>
      <c r="G972" s="675"/>
      <c r="H972" s="667"/>
      <c r="I972" s="667" t="e">
        <f>'Ext. WS'!#REF!</f>
        <v>#REF!</v>
      </c>
      <c r="J972" s="667" t="e">
        <f t="shared" si="72"/>
        <v>#REF!</v>
      </c>
      <c r="K972" s="667" t="e">
        <f>E972+#REF!+#REF!+#REF!+G972+#REF!+#REF!+#REF!+#REF!+#REF!+#REF!+I972+#REF!+#REF!+#REF!</f>
        <v>#REF!</v>
      </c>
      <c r="L972" s="667" t="e">
        <f t="shared" si="73"/>
        <v>#REF!</v>
      </c>
      <c r="M972" s="665" t="e">
        <f>#REF!+K972</f>
        <v>#REF!</v>
      </c>
      <c r="N972" s="666" t="e">
        <f t="shared" si="74"/>
        <v>#REF!</v>
      </c>
      <c r="O972" s="672"/>
      <c r="P972" s="668"/>
      <c r="Q972" s="676"/>
      <c r="R972" s="676"/>
    </row>
    <row r="973" spans="1:18" s="677" customFormat="1" ht="45" customHeight="1">
      <c r="A973" s="700"/>
      <c r="B973" s="663" t="e">
        <f>'Ext. WS'!#REF!</f>
        <v>#REF!</v>
      </c>
      <c r="C973" s="666">
        <v>58.1</v>
      </c>
      <c r="D973" s="674" t="e">
        <f>'Ext. WS'!#REF!</f>
        <v>#REF!</v>
      </c>
      <c r="E973" s="660"/>
      <c r="F973" s="667"/>
      <c r="G973" s="675"/>
      <c r="H973" s="667"/>
      <c r="I973" s="667" t="e">
        <f>'Ext. WS'!#REF!</f>
        <v>#REF!</v>
      </c>
      <c r="J973" s="667" t="e">
        <f t="shared" si="72"/>
        <v>#REF!</v>
      </c>
      <c r="K973" s="667" t="e">
        <f>E973+#REF!+#REF!+#REF!+G973+#REF!+#REF!+#REF!+#REF!+#REF!+#REF!+I973+#REF!+#REF!+#REF!</f>
        <v>#REF!</v>
      </c>
      <c r="L973" s="667" t="e">
        <f t="shared" si="73"/>
        <v>#REF!</v>
      </c>
      <c r="M973" s="665" t="e">
        <f>#REF!+K973</f>
        <v>#REF!</v>
      </c>
      <c r="N973" s="666" t="e">
        <f t="shared" si="74"/>
        <v>#REF!</v>
      </c>
      <c r="O973" s="672"/>
      <c r="P973" s="668"/>
      <c r="Q973" s="676"/>
      <c r="R973" s="676"/>
    </row>
    <row r="974" spans="1:18" s="677" customFormat="1" ht="45" customHeight="1">
      <c r="A974" s="700"/>
      <c r="B974" s="663" t="e">
        <f>'Ext. WS'!#REF!</f>
        <v>#REF!</v>
      </c>
      <c r="C974" s="666">
        <v>87</v>
      </c>
      <c r="D974" s="674" t="e">
        <f>'Ext. WS'!#REF!</f>
        <v>#REF!</v>
      </c>
      <c r="E974" s="660"/>
      <c r="F974" s="667"/>
      <c r="G974" s="675"/>
      <c r="H974" s="667"/>
      <c r="I974" s="667" t="e">
        <f>'Ext. WS'!#REF!</f>
        <v>#REF!</v>
      </c>
      <c r="J974" s="667" t="e">
        <f t="shared" si="72"/>
        <v>#REF!</v>
      </c>
      <c r="K974" s="667" t="e">
        <f>E974+#REF!+#REF!+#REF!+G974+#REF!+#REF!+#REF!+#REF!+#REF!+#REF!+I974+#REF!+#REF!+#REF!</f>
        <v>#REF!</v>
      </c>
      <c r="L974" s="667" t="e">
        <f t="shared" si="73"/>
        <v>#REF!</v>
      </c>
      <c r="M974" s="665" t="e">
        <f>#REF!+K974</f>
        <v>#REF!</v>
      </c>
      <c r="N974" s="666" t="e">
        <f t="shared" si="74"/>
        <v>#REF!</v>
      </c>
      <c r="O974" s="672"/>
      <c r="P974" s="668"/>
      <c r="Q974" s="676"/>
      <c r="R974" s="676"/>
    </row>
    <row r="975" spans="1:18" s="677" customFormat="1" ht="45" customHeight="1">
      <c r="A975" s="700"/>
      <c r="B975" s="663" t="e">
        <f>'Ext. WS'!#REF!</f>
        <v>#REF!</v>
      </c>
      <c r="C975" s="666">
        <v>69.8</v>
      </c>
      <c r="D975" s="674" t="e">
        <f>'Ext. WS'!#REF!</f>
        <v>#REF!</v>
      </c>
      <c r="E975" s="660"/>
      <c r="F975" s="667"/>
      <c r="G975" s="675"/>
      <c r="H975" s="667"/>
      <c r="I975" s="667" t="e">
        <f>'Ext. WS'!#REF!</f>
        <v>#REF!</v>
      </c>
      <c r="J975" s="667" t="e">
        <f t="shared" si="72"/>
        <v>#REF!</v>
      </c>
      <c r="K975" s="667" t="e">
        <f>E975+#REF!+#REF!+#REF!+G975+#REF!+#REF!+#REF!+#REF!+#REF!+#REF!+I975+#REF!+#REF!+#REF!</f>
        <v>#REF!</v>
      </c>
      <c r="L975" s="667" t="e">
        <f t="shared" si="73"/>
        <v>#REF!</v>
      </c>
      <c r="M975" s="665" t="e">
        <f>#REF!+K975</f>
        <v>#REF!</v>
      </c>
      <c r="N975" s="666" t="e">
        <f t="shared" si="74"/>
        <v>#REF!</v>
      </c>
      <c r="O975" s="672"/>
      <c r="P975" s="668"/>
      <c r="Q975" s="676"/>
      <c r="R975" s="676"/>
    </row>
    <row r="976" spans="1:18" s="677" customFormat="1" ht="45" customHeight="1">
      <c r="A976" s="700"/>
      <c r="B976" s="663" t="e">
        <f>'Ext. WS'!#REF!</f>
        <v>#REF!</v>
      </c>
      <c r="C976" s="666">
        <v>753</v>
      </c>
      <c r="D976" s="674" t="e">
        <f>'Ext. WS'!#REF!</f>
        <v>#REF!</v>
      </c>
      <c r="E976" s="660"/>
      <c r="F976" s="667"/>
      <c r="G976" s="675"/>
      <c r="H976" s="667"/>
      <c r="I976" s="667" t="e">
        <f>'Ext. WS'!#REF!</f>
        <v>#REF!</v>
      </c>
      <c r="J976" s="667" t="e">
        <f t="shared" si="72"/>
        <v>#REF!</v>
      </c>
      <c r="K976" s="667" t="e">
        <f>E976+#REF!+#REF!+#REF!+G976+#REF!+#REF!+#REF!+#REF!+#REF!+#REF!+I976+#REF!+#REF!+#REF!</f>
        <v>#REF!</v>
      </c>
      <c r="L976" s="667" t="e">
        <f t="shared" si="73"/>
        <v>#REF!</v>
      </c>
      <c r="M976" s="665" t="e">
        <f>#REF!+K976</f>
        <v>#REF!</v>
      </c>
      <c r="N976" s="666" t="e">
        <f t="shared" si="74"/>
        <v>#REF!</v>
      </c>
      <c r="O976" s="672"/>
      <c r="P976" s="668"/>
      <c r="Q976" s="676"/>
      <c r="R976" s="676"/>
    </row>
    <row r="977" spans="1:18" s="677" customFormat="1" ht="45" customHeight="1">
      <c r="A977" s="700"/>
      <c r="B977" s="663" t="e">
        <f>'Ext. WS'!#REF!</f>
        <v>#REF!</v>
      </c>
      <c r="C977" s="666">
        <v>968</v>
      </c>
      <c r="D977" s="674" t="e">
        <f>'Ext. WS'!#REF!</f>
        <v>#REF!</v>
      </c>
      <c r="E977" s="660"/>
      <c r="F977" s="667"/>
      <c r="G977" s="675"/>
      <c r="H977" s="667"/>
      <c r="I977" s="667" t="e">
        <f>'Ext. WS'!#REF!</f>
        <v>#REF!</v>
      </c>
      <c r="J977" s="667" t="e">
        <f t="shared" si="72"/>
        <v>#REF!</v>
      </c>
      <c r="K977" s="667" t="e">
        <f>E977+#REF!+#REF!+#REF!+G977+#REF!+#REF!+#REF!+#REF!+#REF!+#REF!+I977+#REF!+#REF!+#REF!</f>
        <v>#REF!</v>
      </c>
      <c r="L977" s="667" t="e">
        <f t="shared" si="73"/>
        <v>#REF!</v>
      </c>
      <c r="M977" s="665" t="e">
        <f>#REF!+K977</f>
        <v>#REF!</v>
      </c>
      <c r="N977" s="666" t="e">
        <f t="shared" si="74"/>
        <v>#REF!</v>
      </c>
      <c r="O977" s="672"/>
      <c r="P977" s="668"/>
      <c r="Q977" s="676"/>
      <c r="R977" s="676"/>
    </row>
    <row r="978" spans="1:18" s="677" customFormat="1" ht="45" customHeight="1">
      <c r="A978" s="700"/>
      <c r="B978" s="663" t="e">
        <f>'Ext. WS'!#REF!</f>
        <v>#REF!</v>
      </c>
      <c r="C978" s="666">
        <v>2082</v>
      </c>
      <c r="D978" s="674" t="e">
        <f>'Ext. WS'!#REF!</f>
        <v>#REF!</v>
      </c>
      <c r="E978" s="660"/>
      <c r="F978" s="667"/>
      <c r="G978" s="675"/>
      <c r="H978" s="667"/>
      <c r="I978" s="667" t="e">
        <f>'Ext. WS'!#REF!</f>
        <v>#REF!</v>
      </c>
      <c r="J978" s="667" t="e">
        <f t="shared" si="72"/>
        <v>#REF!</v>
      </c>
      <c r="K978" s="667" t="e">
        <f>E978+#REF!+#REF!+#REF!+G978+#REF!+#REF!+#REF!+#REF!+#REF!+#REF!+I978+#REF!+#REF!+#REF!</f>
        <v>#REF!</v>
      </c>
      <c r="L978" s="667" t="e">
        <f t="shared" si="73"/>
        <v>#REF!</v>
      </c>
      <c r="M978" s="665" t="e">
        <f>#REF!+K978</f>
        <v>#REF!</v>
      </c>
      <c r="N978" s="666" t="e">
        <f t="shared" si="74"/>
        <v>#REF!</v>
      </c>
      <c r="O978" s="672"/>
      <c r="P978" s="668"/>
      <c r="Q978" s="676"/>
      <c r="R978" s="676"/>
    </row>
    <row r="979" spans="1:18" s="677" customFormat="1" ht="45" customHeight="1">
      <c r="A979" s="700"/>
      <c r="B979" s="663" t="e">
        <f>'Ext. WS'!#REF!</f>
        <v>#REF!</v>
      </c>
      <c r="C979" s="666">
        <v>434</v>
      </c>
      <c r="D979" s="674" t="e">
        <f>'Ext. WS'!#REF!</f>
        <v>#REF!</v>
      </c>
      <c r="E979" s="660"/>
      <c r="F979" s="667"/>
      <c r="G979" s="675"/>
      <c r="H979" s="667"/>
      <c r="I979" s="667" t="e">
        <f>'Ext. WS'!#REF!</f>
        <v>#REF!</v>
      </c>
      <c r="J979" s="667" t="e">
        <f t="shared" si="72"/>
        <v>#REF!</v>
      </c>
      <c r="K979" s="667" t="e">
        <f>E979+#REF!+#REF!+#REF!+G979+#REF!+#REF!+#REF!+#REF!+#REF!+#REF!+I979+#REF!+#REF!+#REF!</f>
        <v>#REF!</v>
      </c>
      <c r="L979" s="667" t="e">
        <f t="shared" si="73"/>
        <v>#REF!</v>
      </c>
      <c r="M979" s="665" t="e">
        <f>#REF!+K979</f>
        <v>#REF!</v>
      </c>
      <c r="N979" s="666" t="e">
        <f t="shared" si="74"/>
        <v>#REF!</v>
      </c>
      <c r="O979" s="672"/>
      <c r="P979" s="668"/>
      <c r="Q979" s="676"/>
      <c r="R979" s="676"/>
    </row>
    <row r="980" spans="1:18" s="677" customFormat="1" ht="34.9" customHeight="1">
      <c r="A980" s="700"/>
      <c r="B980" s="785" t="s">
        <v>1956</v>
      </c>
      <c r="C980" s="666"/>
      <c r="D980" s="674"/>
      <c r="E980" s="660"/>
      <c r="F980" s="667"/>
      <c r="G980" s="675"/>
      <c r="H980" s="667"/>
      <c r="I980" s="667"/>
      <c r="J980" s="667"/>
      <c r="K980" s="667" t="e">
        <f>E980+#REF!+#REF!+#REF!+G980+#REF!+#REF!+#REF!+#REF!+#REF!+#REF!+I980+#REF!+#REF!+#REF!</f>
        <v>#REF!</v>
      </c>
      <c r="L980" s="667" t="e">
        <f t="shared" si="73"/>
        <v>#REF!</v>
      </c>
      <c r="M980" s="665" t="e">
        <f>#REF!+K980</f>
        <v>#REF!</v>
      </c>
      <c r="N980" s="666" t="e">
        <f t="shared" si="74"/>
        <v>#REF!</v>
      </c>
      <c r="O980" s="672"/>
      <c r="P980" s="668"/>
      <c r="Q980" s="676"/>
      <c r="R980" s="676"/>
    </row>
    <row r="981" spans="1:18" s="677" customFormat="1" ht="83.25" customHeight="1">
      <c r="A981" s="700">
        <f>'Ext. Elec.'!$A$7</f>
        <v>1</v>
      </c>
      <c r="B981" s="663" t="str">
        <f>'Ext. Elec.'!$B$7</f>
        <v>Supplying and fixing of MS angle of size 50 x 50 x 5 mm MS angle to hold LTUG cable in OH portion etc., all complete</v>
      </c>
      <c r="C981" s="666">
        <v>44.7</v>
      </c>
      <c r="D981" s="674" t="str">
        <f>'Ext. Elec.'!$H$14</f>
        <v>Kg</v>
      </c>
      <c r="E981" s="660"/>
      <c r="F981" s="667"/>
      <c r="G981" s="675"/>
      <c r="H981" s="667"/>
      <c r="I981" s="667"/>
      <c r="J981" s="667"/>
      <c r="K981" s="667" t="e">
        <f>E981+#REF!+#REF!+#REF!+G981+#REF!+#REF!+#REF!+#REF!+#REF!+#REF!+I981+#REF!+#REF!+#REF!</f>
        <v>#REF!</v>
      </c>
      <c r="L981" s="667" t="e">
        <f t="shared" si="73"/>
        <v>#REF!</v>
      </c>
      <c r="M981" s="665" t="e">
        <f>#REF!+K981</f>
        <v>#REF!</v>
      </c>
      <c r="N981" s="666" t="e">
        <f t="shared" si="74"/>
        <v>#REF!</v>
      </c>
      <c r="O981" s="672"/>
      <c r="P981" s="668"/>
      <c r="Q981" s="676"/>
      <c r="R981" s="676"/>
    </row>
    <row r="982" spans="1:18" s="677" customFormat="1" ht="83.25" customHeight="1">
      <c r="A982" s="700">
        <f>'Ext. Elec.'!$A$15</f>
        <v>2</v>
      </c>
      <c r="B982" s="663" t="str">
        <f>'Ext. Elec.'!$B$15</f>
        <v>Supplying of 50 mm dia  GI pipe (Above Ground Level) approved quality</v>
      </c>
      <c r="C982" s="666"/>
      <c r="D982" s="674"/>
      <c r="E982" s="660"/>
      <c r="F982" s="667"/>
      <c r="G982" s="675"/>
      <c r="H982" s="667"/>
      <c r="I982" s="667"/>
      <c r="J982" s="667"/>
      <c r="K982" s="667" t="e">
        <f>E982+#REF!+#REF!+#REF!+G982+#REF!+#REF!+#REF!+#REF!+#REF!+#REF!+I982+#REF!+#REF!+#REF!</f>
        <v>#REF!</v>
      </c>
      <c r="L982" s="667" t="e">
        <f t="shared" si="73"/>
        <v>#REF!</v>
      </c>
      <c r="M982" s="665" t="e">
        <f>#REF!+K982</f>
        <v>#REF!</v>
      </c>
      <c r="N982" s="666" t="e">
        <f t="shared" si="74"/>
        <v>#REF!</v>
      </c>
      <c r="O982" s="672"/>
      <c r="P982" s="668"/>
      <c r="Q982" s="676"/>
      <c r="R982" s="676"/>
    </row>
    <row r="983" spans="1:18" s="677" customFormat="1" ht="45" customHeight="1">
      <c r="A983" s="700"/>
      <c r="B983" s="663" t="str">
        <f>'Ext. Elec.'!$B$16</f>
        <v>a) 50 mm dia  GI pipe (Above Ground Level)</v>
      </c>
      <c r="C983" s="666">
        <v>207</v>
      </c>
      <c r="D983" s="674" t="str">
        <f>'Ext. Elec.'!$H$20</f>
        <v>Rmt</v>
      </c>
      <c r="E983" s="660"/>
      <c r="F983" s="667"/>
      <c r="G983" s="675"/>
      <c r="H983" s="667"/>
      <c r="I983" s="667"/>
      <c r="J983" s="667"/>
      <c r="K983" s="667" t="e">
        <f>E983+#REF!+#REF!+#REF!+G983+#REF!+#REF!+#REF!+#REF!+#REF!+#REF!+I983+#REF!+#REF!+#REF!</f>
        <v>#REF!</v>
      </c>
      <c r="L983" s="667" t="e">
        <f t="shared" si="73"/>
        <v>#REF!</v>
      </c>
      <c r="M983" s="665" t="e">
        <f>#REF!+K983</f>
        <v>#REF!</v>
      </c>
      <c r="N983" s="666" t="e">
        <f t="shared" si="74"/>
        <v>#REF!</v>
      </c>
      <c r="O983" s="672"/>
      <c r="P983" s="668"/>
      <c r="Q983" s="676"/>
      <c r="R983" s="676"/>
    </row>
    <row r="984" spans="1:18" s="677" customFormat="1" ht="45" customHeight="1">
      <c r="A984" s="700"/>
      <c r="B984" s="663" t="str">
        <f>'Ext. Elec.'!$B$21</f>
        <v>b) 50 mm dia  GI Bend ( PWD 51)</v>
      </c>
      <c r="C984" s="666">
        <v>115.2</v>
      </c>
      <c r="D984" s="674" t="str">
        <f>'Ext. Elec.'!$H$24</f>
        <v>Nos.</v>
      </c>
      <c r="E984" s="660"/>
      <c r="F984" s="667"/>
      <c r="G984" s="675"/>
      <c r="H984" s="667"/>
      <c r="I984" s="667"/>
      <c r="J984" s="667"/>
      <c r="K984" s="667" t="e">
        <f>E984+#REF!+#REF!+#REF!+G984+#REF!+#REF!+#REF!+#REF!+#REF!+#REF!+I984+#REF!+#REF!+#REF!</f>
        <v>#REF!</v>
      </c>
      <c r="L984" s="667" t="e">
        <f t="shared" si="73"/>
        <v>#REF!</v>
      </c>
      <c r="M984" s="665" t="e">
        <f>#REF!+K984</f>
        <v>#REF!</v>
      </c>
      <c r="N984" s="666" t="e">
        <f t="shared" si="74"/>
        <v>#REF!</v>
      </c>
      <c r="O984" s="672"/>
      <c r="P984" s="668"/>
      <c r="Q984" s="676"/>
      <c r="R984" s="676"/>
    </row>
    <row r="985" spans="1:18" s="677" customFormat="1" ht="83.25" customHeight="1">
      <c r="A985" s="700">
        <f>'Ext. Elec.'!$A$25</f>
        <v>3</v>
      </c>
      <c r="B985" s="663" t="str">
        <f>'Ext. Elec.'!$B$25</f>
        <v xml:space="preserve">Run of 4 Wires of 4 sqmm PVC insulated single core multi strand fire retardant flexible copper cable with ISI mark confirming IS: 694:1990.
</v>
      </c>
      <c r="C985" s="666">
        <v>234.5</v>
      </c>
      <c r="D985" s="674" t="str">
        <f>'Ext. Elec.'!$H$30</f>
        <v>Rmt</v>
      </c>
      <c r="E985" s="660"/>
      <c r="F985" s="667"/>
      <c r="G985" s="675"/>
      <c r="H985" s="667"/>
      <c r="I985" s="667"/>
      <c r="J985" s="667"/>
      <c r="K985" s="667" t="e">
        <f>E985+#REF!+#REF!+#REF!+G985+#REF!+#REF!+#REF!+#REF!+#REF!+#REF!+I985+#REF!+#REF!+#REF!</f>
        <v>#REF!</v>
      </c>
      <c r="L985" s="667" t="e">
        <f t="shared" si="73"/>
        <v>#REF!</v>
      </c>
      <c r="M985" s="665" t="e">
        <f>#REF!+K985</f>
        <v>#REF!</v>
      </c>
      <c r="N985" s="666" t="e">
        <f t="shared" si="74"/>
        <v>#REF!</v>
      </c>
      <c r="O985" s="672"/>
      <c r="P985" s="668"/>
      <c r="Q985" s="676"/>
      <c r="R985" s="676"/>
    </row>
    <row r="986" spans="1:18" s="677" customFormat="1" ht="129.6" customHeight="1">
      <c r="A986" s="700">
        <f>'Ext. Elec.'!$A$31</f>
        <v>4</v>
      </c>
      <c r="B986" s="663" t="str">
        <f>'Ext. Elec.'!$B$31</f>
        <v xml:space="preserve">Supplying of 3.5 core of 50 sqmm PVC armoued ALTUG cable ncluding cost of all materials etc all complete complying with relevant standard specifications and as directed by the departmental officers      (CER NO : 371/18-19)     </v>
      </c>
      <c r="C986" s="666"/>
      <c r="D986" s="674"/>
      <c r="E986" s="660"/>
      <c r="F986" s="667"/>
      <c r="G986" s="675"/>
      <c r="H986" s="667"/>
      <c r="I986" s="667"/>
      <c r="J986" s="667"/>
      <c r="K986" s="667" t="e">
        <f>E986+#REF!+#REF!+#REF!+G986+#REF!+#REF!+#REF!+#REF!+#REF!+#REF!+I986+#REF!+#REF!+#REF!</f>
        <v>#REF!</v>
      </c>
      <c r="L986" s="667" t="e">
        <f t="shared" si="73"/>
        <v>#REF!</v>
      </c>
      <c r="M986" s="665" t="e">
        <f>#REF!+K986</f>
        <v>#REF!</v>
      </c>
      <c r="N986" s="666" t="e">
        <f t="shared" si="74"/>
        <v>#REF!</v>
      </c>
      <c r="O986" s="672"/>
      <c r="P986" s="668"/>
      <c r="Q986" s="676"/>
      <c r="R986" s="676"/>
    </row>
    <row r="987" spans="1:18" s="677" customFormat="1" ht="45" customHeight="1">
      <c r="A987" s="700"/>
      <c r="B987" s="663" t="str">
        <f>'Ext. Elec.'!$B$32</f>
        <v>a) above  Ground Level</v>
      </c>
      <c r="C987" s="666">
        <v>294</v>
      </c>
      <c r="D987" s="674" t="str">
        <f>'Ext. Elec.'!$H$35</f>
        <v>Rmt</v>
      </c>
      <c r="E987" s="660"/>
      <c r="F987" s="667"/>
      <c r="G987" s="675"/>
      <c r="H987" s="667"/>
      <c r="I987" s="667"/>
      <c r="J987" s="667"/>
      <c r="K987" s="667" t="e">
        <f>E987+#REF!+#REF!+#REF!+G987+#REF!+#REF!+#REF!+#REF!+#REF!+#REF!+I987+#REF!+#REF!+#REF!</f>
        <v>#REF!</v>
      </c>
      <c r="L987" s="667" t="e">
        <f t="shared" si="73"/>
        <v>#REF!</v>
      </c>
      <c r="M987" s="665" t="e">
        <f>#REF!+K987</f>
        <v>#REF!</v>
      </c>
      <c r="N987" s="666" t="e">
        <f t="shared" si="74"/>
        <v>#REF!</v>
      </c>
      <c r="O987" s="672"/>
      <c r="P987" s="668"/>
      <c r="Q987" s="676"/>
      <c r="R987" s="676"/>
    </row>
    <row r="988" spans="1:18" s="677" customFormat="1" ht="83.25" customHeight="1">
      <c r="A988" s="700">
        <f>'Ext. Elec.'!$A$36</f>
        <v>5</v>
      </c>
      <c r="B988" s="663" t="str">
        <f>'Ext. Elec.'!$B$36</f>
        <v xml:space="preserve">Supply and fixing of Brass cable gland suitable for 3.5 core 50 sqmm PVC armoured ALTUG cable( CER NO : 371/18-19)     
</v>
      </c>
      <c r="C988" s="666">
        <v>380.7</v>
      </c>
      <c r="D988" s="674" t="str">
        <f>'Ext. Elec.'!$H$38</f>
        <v>Nos</v>
      </c>
      <c r="E988" s="660"/>
      <c r="F988" s="667"/>
      <c r="G988" s="675"/>
      <c r="H988" s="667"/>
      <c r="I988" s="667"/>
      <c r="J988" s="667"/>
      <c r="K988" s="667" t="e">
        <f>E988+#REF!+#REF!+#REF!+G988+#REF!+#REF!+#REF!+#REF!+#REF!+#REF!+I988+#REF!+#REF!+#REF!</f>
        <v>#REF!</v>
      </c>
      <c r="L988" s="667" t="e">
        <f t="shared" si="73"/>
        <v>#REF!</v>
      </c>
      <c r="M988" s="665" t="e">
        <f>#REF!+K988</f>
        <v>#REF!</v>
      </c>
      <c r="N988" s="666" t="e">
        <f t="shared" si="74"/>
        <v>#REF!</v>
      </c>
      <c r="O988" s="672"/>
      <c r="P988" s="668"/>
      <c r="Q988" s="676"/>
      <c r="R988" s="676"/>
    </row>
    <row r="989" spans="1:18" s="677" customFormat="1" ht="115.15" customHeight="1">
      <c r="A989" s="700">
        <f>'Ext. Elec.'!$A$39</f>
        <v>6</v>
      </c>
      <c r="B989" s="663" t="str">
        <f>'Ext. Elec.'!$B$39</f>
        <v xml:space="preserve">Supply and providing cable end termination of 3 1/2 x 50 sqmm PVC LTUG Aluminium armoured cable with necessary aluminium cable sockets by crimping etc. with electrical connection complete(CER NO : 371/18-19)     
</v>
      </c>
      <c r="C989" s="666">
        <v>229</v>
      </c>
      <c r="D989" s="674" t="str">
        <f>'Ext. Elec.'!$H$41</f>
        <v>Nos</v>
      </c>
      <c r="E989" s="660"/>
      <c r="F989" s="667"/>
      <c r="G989" s="675"/>
      <c r="H989" s="667"/>
      <c r="I989" s="667"/>
      <c r="J989" s="667"/>
      <c r="K989" s="667" t="e">
        <f>E989+#REF!+#REF!+#REF!+G989+#REF!+#REF!+#REF!+#REF!+#REF!+#REF!+I989+#REF!+#REF!+#REF!</f>
        <v>#REF!</v>
      </c>
      <c r="L989" s="667" t="e">
        <f t="shared" si="73"/>
        <v>#REF!</v>
      </c>
      <c r="M989" s="665" t="e">
        <f>#REF!+K989</f>
        <v>#REF!</v>
      </c>
      <c r="N989" s="666" t="e">
        <f t="shared" si="74"/>
        <v>#REF!</v>
      </c>
      <c r="O989" s="672"/>
      <c r="P989" s="668"/>
      <c r="Q989" s="676"/>
      <c r="R989" s="676"/>
    </row>
    <row r="990" spans="1:18" s="677" customFormat="1" ht="126" customHeight="1">
      <c r="A990" s="700">
        <f>'Ext. Elec.'!$A$42</f>
        <v>7</v>
      </c>
      <c r="B990" s="663" t="str">
        <f>'Ext. Elec.'!$B$42</f>
        <v xml:space="preserve">Supplying and fixing of 3 Nos. of 100 amps 500 volts grade porcelain fuse unit on suitable teakwood plank varnished to be fixed on the top of pole/EB street pole with necessary clamps including cost of materials etc., all complete.( CER NO : 371/18-19)  </v>
      </c>
      <c r="C990" s="666">
        <v>1415.3</v>
      </c>
      <c r="D990" s="674" t="str">
        <f>'Ext. Elec.'!$H$44</f>
        <v>No.</v>
      </c>
      <c r="E990" s="660"/>
      <c r="F990" s="667"/>
      <c r="G990" s="675"/>
      <c r="H990" s="667"/>
      <c r="I990" s="667"/>
      <c r="J990" s="667"/>
      <c r="K990" s="667" t="e">
        <f>E990+#REF!+#REF!+#REF!+G990+#REF!+#REF!+#REF!+#REF!+#REF!+#REF!+I990+#REF!+#REF!+#REF!</f>
        <v>#REF!</v>
      </c>
      <c r="L990" s="667" t="e">
        <f t="shared" si="73"/>
        <v>#REF!</v>
      </c>
      <c r="M990" s="665" t="e">
        <f>#REF!+K990</f>
        <v>#REF!</v>
      </c>
      <c r="N990" s="666" t="e">
        <f t="shared" si="74"/>
        <v>#REF!</v>
      </c>
      <c r="O990" s="672"/>
      <c r="P990" s="668"/>
      <c r="Q990" s="676"/>
      <c r="R990" s="676"/>
    </row>
    <row r="991" spans="1:18" s="677" customFormat="1" ht="83.25" customHeight="1">
      <c r="A991" s="700">
        <f>'Ext. Elec.'!$A$45</f>
        <v>8</v>
      </c>
      <c r="B991" s="663" t="str">
        <f>'Ext. Elec.'!$B$45</f>
        <v xml:space="preserve">Labour charges for laying of  3.5 core 50 sqmm PVC armoured ALTUG Cable
a) Above Ground Level( CER NO : 371/18-19)  </v>
      </c>
      <c r="C991" s="666">
        <v>100.75</v>
      </c>
      <c r="D991" s="674" t="str">
        <f>'Ext. Elec.'!$H$47</f>
        <v>Rmt</v>
      </c>
      <c r="E991" s="660"/>
      <c r="F991" s="667"/>
      <c r="G991" s="675"/>
      <c r="H991" s="667"/>
      <c r="I991" s="667"/>
      <c r="J991" s="667"/>
      <c r="K991" s="667" t="e">
        <f>E991+#REF!+#REF!+#REF!+G991+#REF!+#REF!+#REF!+#REF!+#REF!+#REF!+I991+#REF!+#REF!+#REF!</f>
        <v>#REF!</v>
      </c>
      <c r="L991" s="667" t="e">
        <f t="shared" si="73"/>
        <v>#REF!</v>
      </c>
      <c r="M991" s="665" t="e">
        <f>#REF!+K991</f>
        <v>#REF!</v>
      </c>
      <c r="N991" s="666" t="e">
        <f t="shared" si="74"/>
        <v>#REF!</v>
      </c>
      <c r="O991" s="672"/>
      <c r="P991" s="668"/>
      <c r="Q991" s="676"/>
      <c r="R991" s="676"/>
    </row>
    <row r="992" spans="1:18" s="677" customFormat="1" ht="60" customHeight="1">
      <c r="A992" s="700">
        <f>'Ext. Elec.'!$A$54</f>
        <v>9</v>
      </c>
      <c r="B992" s="663" t="str">
        <f>'Ext. Elec.'!$B$54</f>
        <v xml:space="preserve">Supplying and fixing of single pole 6 Amps to 32 Amps MCB( CER NO : 371/18-19)  </v>
      </c>
      <c r="C992" s="666">
        <v>125</v>
      </c>
      <c r="D992" s="674" t="str">
        <f>'Ext. Elec.'!$H$56</f>
        <v>Nos</v>
      </c>
      <c r="E992" s="660"/>
      <c r="F992" s="667"/>
      <c r="G992" s="675"/>
      <c r="H992" s="667"/>
      <c r="I992" s="667"/>
      <c r="J992" s="667"/>
      <c r="K992" s="667" t="e">
        <f>E992+#REF!+#REF!+#REF!+G992+#REF!+#REF!+#REF!+#REF!+#REF!+#REF!+I992+#REF!+#REF!+#REF!</f>
        <v>#REF!</v>
      </c>
      <c r="L992" s="667" t="e">
        <f t="shared" si="73"/>
        <v>#REF!</v>
      </c>
      <c r="M992" s="665" t="e">
        <f>#REF!+K992</f>
        <v>#REF!</v>
      </c>
      <c r="N992" s="666" t="e">
        <f t="shared" si="74"/>
        <v>#REF!</v>
      </c>
      <c r="O992" s="672"/>
      <c r="P992" s="668"/>
      <c r="Q992" s="676"/>
      <c r="R992" s="676"/>
    </row>
    <row r="993" spans="1:18" s="677" customFormat="1" ht="83.25" customHeight="1">
      <c r="A993" s="700">
        <f>'Ext. Elec.'!$A$57</f>
        <v>10</v>
      </c>
      <c r="B993" s="663" t="str">
        <f>'Ext. Elec.'!$B$57</f>
        <v xml:space="preserve">Supplying and fixing of 4' 18 W LED Tube light fittings etc.,( CER NO : 371/18-19)  </v>
      </c>
      <c r="C993" s="666">
        <f>[14]Elec.Data!K3787</f>
        <v>663.89</v>
      </c>
      <c r="D993" s="674" t="str">
        <f>'Ext. Elec.'!$H$66</f>
        <v>Nos</v>
      </c>
      <c r="E993" s="660"/>
      <c r="F993" s="667"/>
      <c r="G993" s="675"/>
      <c r="H993" s="667"/>
      <c r="I993" s="667"/>
      <c r="J993" s="667"/>
      <c r="K993" s="667" t="e">
        <f>E993+#REF!+#REF!+#REF!+G993+#REF!+#REF!+#REF!+#REF!+#REF!+#REF!+I993+#REF!+#REF!+#REF!</f>
        <v>#REF!</v>
      </c>
      <c r="L993" s="667" t="e">
        <f t="shared" si="73"/>
        <v>#REF!</v>
      </c>
      <c r="M993" s="665" t="e">
        <f>#REF!+K993</f>
        <v>#REF!</v>
      </c>
      <c r="N993" s="666" t="e">
        <f t="shared" si="74"/>
        <v>#REF!</v>
      </c>
      <c r="O993" s="672"/>
      <c r="P993" s="668"/>
      <c r="Q993" s="676"/>
      <c r="R993" s="676"/>
    </row>
    <row r="994" spans="1:18" s="677" customFormat="1" ht="60" customHeight="1">
      <c r="A994" s="700">
        <f>'Ext. Elec.'!$A$67</f>
        <v>11</v>
      </c>
      <c r="B994" s="663" t="str">
        <f>'Ext. Elec.'!$B$67</f>
        <v xml:space="preserve">Supplying and fixing of 12 w LED Bulb etc., all complete.( CER NO : 371/18-19)  </v>
      </c>
      <c r="C994" s="666">
        <v>170</v>
      </c>
      <c r="D994" s="674" t="str">
        <f>'Ext. Elec.'!$H$75</f>
        <v>Nos</v>
      </c>
      <c r="E994" s="660"/>
      <c r="F994" s="667"/>
      <c r="G994" s="675"/>
      <c r="H994" s="667"/>
      <c r="I994" s="667"/>
      <c r="J994" s="667"/>
      <c r="K994" s="667" t="e">
        <f>E994+#REF!+#REF!+#REF!+G994+#REF!+#REF!+#REF!+#REF!+#REF!+#REF!+I994+#REF!+#REF!+#REF!</f>
        <v>#REF!</v>
      </c>
      <c r="L994" s="667" t="e">
        <f t="shared" si="73"/>
        <v>#REF!</v>
      </c>
      <c r="M994" s="665" t="e">
        <f>#REF!+K994</f>
        <v>#REF!</v>
      </c>
      <c r="N994" s="666" t="e">
        <f t="shared" si="74"/>
        <v>#REF!</v>
      </c>
      <c r="O994" s="672"/>
      <c r="P994" s="668"/>
      <c r="Q994" s="676"/>
      <c r="R994" s="676"/>
    </row>
    <row r="995" spans="1:18" s="677" customFormat="1" ht="60" customHeight="1">
      <c r="A995" s="700">
        <f>'Ext. Elec.'!$A$76</f>
        <v>12</v>
      </c>
      <c r="B995" s="663" t="str">
        <f>'Ext. Elec.'!$B$76</f>
        <v xml:space="preserve">Supplying and fixing of Following watt LED Lamp etc., all complete.( CER NO : 371/18-19)  </v>
      </c>
      <c r="C995" s="666"/>
      <c r="D995" s="674"/>
      <c r="E995" s="660"/>
      <c r="F995" s="667"/>
      <c r="G995" s="675"/>
      <c r="H995" s="667"/>
      <c r="I995" s="667"/>
      <c r="J995" s="667"/>
      <c r="K995" s="667" t="e">
        <f>E995+#REF!+#REF!+#REF!+G995+#REF!+#REF!+#REF!+#REF!+#REF!+#REF!+I995+#REF!+#REF!+#REF!</f>
        <v>#REF!</v>
      </c>
      <c r="L995" s="667" t="e">
        <f t="shared" si="73"/>
        <v>#REF!</v>
      </c>
      <c r="M995" s="665" t="e">
        <f>#REF!+K995</f>
        <v>#REF!</v>
      </c>
      <c r="N995" s="666" t="e">
        <f t="shared" si="74"/>
        <v>#REF!</v>
      </c>
      <c r="O995" s="672"/>
      <c r="P995" s="668"/>
      <c r="Q995" s="676"/>
      <c r="R995" s="676"/>
    </row>
    <row r="996" spans="1:18" s="677" customFormat="1" ht="45" customHeight="1">
      <c r="A996" s="700"/>
      <c r="B996" s="663" t="str">
        <f>'Ext. Elec.'!$B$77</f>
        <v>a) 9W LED Bulb</v>
      </c>
      <c r="C996" s="666">
        <v>134</v>
      </c>
      <c r="D996" s="674" t="str">
        <f>'Ext. Elec.'!$H$83</f>
        <v>Nos</v>
      </c>
      <c r="E996" s="660"/>
      <c r="F996" s="667"/>
      <c r="G996" s="675"/>
      <c r="H996" s="667"/>
      <c r="I996" s="667"/>
      <c r="J996" s="667"/>
      <c r="K996" s="667" t="e">
        <f>E996+#REF!+#REF!+#REF!+G996+#REF!+#REF!+#REF!+#REF!+#REF!+#REF!+I996+#REF!+#REF!+#REF!</f>
        <v>#REF!</v>
      </c>
      <c r="L996" s="667" t="e">
        <f t="shared" si="73"/>
        <v>#REF!</v>
      </c>
      <c r="M996" s="665" t="e">
        <f>#REF!+K996</f>
        <v>#REF!</v>
      </c>
      <c r="N996" s="666" t="e">
        <f t="shared" si="74"/>
        <v>#REF!</v>
      </c>
      <c r="O996" s="672"/>
      <c r="P996" s="668"/>
      <c r="Q996" s="676"/>
      <c r="R996" s="676"/>
    </row>
    <row r="997" spans="1:18" s="677" customFormat="1" ht="83.25" customHeight="1">
      <c r="A997" s="700">
        <f>'Ext. Elec.'!$A$84</f>
        <v>13</v>
      </c>
      <c r="B997" s="663" t="str">
        <f>'Ext. Elec.'!$B$84</f>
        <v xml:space="preserve">Supplying and fixing of BulkHead Fittings suitable for 12 w LED Bulb etc., all complete.( CER NO : 371/18-19)  </v>
      </c>
      <c r="C997" s="666">
        <v>431</v>
      </c>
      <c r="D997" s="674" t="str">
        <f>'Ext. Elec.'!$H$89</f>
        <v>Nos</v>
      </c>
      <c r="E997" s="660"/>
      <c r="F997" s="667"/>
      <c r="G997" s="675"/>
      <c r="H997" s="667"/>
      <c r="I997" s="667"/>
      <c r="J997" s="667"/>
      <c r="K997" s="667" t="e">
        <f>E997+#REF!+#REF!+#REF!+G997+#REF!+#REF!+#REF!+#REF!+#REF!+#REF!+I997+#REF!+#REF!+#REF!</f>
        <v>#REF!</v>
      </c>
      <c r="L997" s="667" t="e">
        <f t="shared" si="73"/>
        <v>#REF!</v>
      </c>
      <c r="M997" s="665" t="e">
        <f>#REF!+K997</f>
        <v>#REF!</v>
      </c>
      <c r="N997" s="666" t="e">
        <f t="shared" si="74"/>
        <v>#REF!</v>
      </c>
      <c r="O997" s="672"/>
      <c r="P997" s="668"/>
      <c r="Q997" s="676"/>
      <c r="R997" s="676"/>
    </row>
    <row r="998" spans="1:18" s="677" customFormat="1" ht="83.25" customHeight="1">
      <c r="A998" s="700">
        <f>'Ext. Elec.'!$A$90</f>
        <v>14</v>
      </c>
      <c r="B998" s="663" t="str">
        <f>'Ext. Elec.'!$B$90</f>
        <v xml:space="preserve">Supply and fixing of 25w LED street light  fitting including all labour charges for LED street light  fittings etc.all complete </v>
      </c>
      <c r="C998" s="666">
        <v>2780</v>
      </c>
      <c r="D998" s="674" t="str">
        <f>'Ext. Elec.'!$H$94</f>
        <v>Nos</v>
      </c>
      <c r="E998" s="660"/>
      <c r="F998" s="667"/>
      <c r="G998" s="675"/>
      <c r="H998" s="667"/>
      <c r="I998" s="667"/>
      <c r="J998" s="667"/>
      <c r="K998" s="667" t="e">
        <f>E998+#REF!+#REF!+#REF!+G998+#REF!+#REF!+#REF!+#REF!+#REF!+#REF!+I998+#REF!+#REF!+#REF!</f>
        <v>#REF!</v>
      </c>
      <c r="L998" s="667" t="e">
        <f t="shared" si="73"/>
        <v>#REF!</v>
      </c>
      <c r="M998" s="665" t="e">
        <f>#REF!+K998</f>
        <v>#REF!</v>
      </c>
      <c r="N998" s="666" t="e">
        <f t="shared" si="74"/>
        <v>#REF!</v>
      </c>
      <c r="O998" s="672"/>
      <c r="P998" s="668"/>
      <c r="Q998" s="676"/>
      <c r="R998" s="676"/>
    </row>
    <row r="999" spans="1:18" s="677" customFormat="1" ht="152.44999999999999" customHeight="1">
      <c r="A999" s="700">
        <f>'Ext. Elec.'!$A$95</f>
        <v>15</v>
      </c>
      <c r="B999" s="663" t="str">
        <f>'Ext. Elec.'!$B$95</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C999" s="666">
        <v>140.25</v>
      </c>
      <c r="D999" s="674" t="str">
        <f>'Ext. Elec.'!$H$97</f>
        <v>Nos</v>
      </c>
      <c r="E999" s="660"/>
      <c r="F999" s="667"/>
      <c r="G999" s="675"/>
      <c r="H999" s="667"/>
      <c r="I999" s="667"/>
      <c r="J999" s="667"/>
      <c r="K999" s="667" t="e">
        <f>E999+#REF!+#REF!+#REF!+G999+#REF!+#REF!+#REF!+#REF!+#REF!+#REF!+I999+#REF!+#REF!+#REF!</f>
        <v>#REF!</v>
      </c>
      <c r="L999" s="667" t="e">
        <f t="shared" si="73"/>
        <v>#REF!</v>
      </c>
      <c r="M999" s="665" t="e">
        <f>#REF!+K999</f>
        <v>#REF!</v>
      </c>
      <c r="N999" s="666" t="e">
        <f t="shared" si="74"/>
        <v>#REF!</v>
      </c>
      <c r="O999" s="672"/>
      <c r="P999" s="668"/>
      <c r="Q999" s="676"/>
      <c r="R999" s="676"/>
    </row>
    <row r="1000" spans="1:18" s="677" customFormat="1" ht="60" customHeight="1">
      <c r="A1000" s="700">
        <f>'Ext. Elec.'!$A$98</f>
        <v>16</v>
      </c>
      <c r="B1000" s="663" t="str">
        <f>'Ext. Elec.'!$B$98</f>
        <v>Supplying &amp; fixing of 500 watt Focus light fittings etc., all complete.</v>
      </c>
      <c r="C1000" s="666">
        <v>800</v>
      </c>
      <c r="D1000" s="674" t="str">
        <f>'Ext. Elec.'!$H$100</f>
        <v>Nos</v>
      </c>
      <c r="E1000" s="660"/>
      <c r="F1000" s="667"/>
      <c r="G1000" s="675"/>
      <c r="H1000" s="667"/>
      <c r="I1000" s="667"/>
      <c r="J1000" s="667"/>
      <c r="K1000" s="667" t="e">
        <f>E1000+#REF!+#REF!+#REF!+G1000+#REF!+#REF!+#REF!+#REF!+#REF!+#REF!+I1000+#REF!+#REF!+#REF!</f>
        <v>#REF!</v>
      </c>
      <c r="L1000" s="667" t="e">
        <f t="shared" si="73"/>
        <v>#REF!</v>
      </c>
      <c r="M1000" s="665" t="e">
        <f>#REF!+K1000</f>
        <v>#REF!</v>
      </c>
      <c r="N1000" s="666" t="e">
        <f t="shared" si="74"/>
        <v>#REF!</v>
      </c>
      <c r="O1000" s="672"/>
      <c r="P1000" s="668"/>
      <c r="Q1000" s="676"/>
      <c r="R1000" s="676"/>
    </row>
    <row r="1001" spans="1:18" s="677" customFormat="1" ht="60" customHeight="1">
      <c r="A1001" s="700">
        <f>'Ext. Elec.'!$A$101</f>
        <v>17</v>
      </c>
      <c r="B1001" s="663" t="str">
        <f>'Ext. Elec.'!$B$101</f>
        <v>Supplying and fixing of 250 watt sodium vapour fitting and lamp etc., all complete.</v>
      </c>
      <c r="C1001" s="666">
        <v>3529</v>
      </c>
      <c r="D1001" s="674" t="str">
        <f>'Ext. Elec.'!$H$103</f>
        <v>No</v>
      </c>
      <c r="E1001" s="660"/>
      <c r="F1001" s="667"/>
      <c r="G1001" s="675"/>
      <c r="H1001" s="667"/>
      <c r="I1001" s="667"/>
      <c r="J1001" s="667"/>
      <c r="K1001" s="667" t="e">
        <f>E1001+#REF!+#REF!+#REF!+G1001+#REF!+#REF!+#REF!+#REF!+#REF!+#REF!+I1001+#REF!+#REF!+#REF!</f>
        <v>#REF!</v>
      </c>
      <c r="L1001" s="667" t="e">
        <f t="shared" si="73"/>
        <v>#REF!</v>
      </c>
      <c r="M1001" s="665" t="e">
        <f>#REF!+K1001</f>
        <v>#REF!</v>
      </c>
      <c r="N1001" s="666" t="e">
        <f t="shared" si="74"/>
        <v>#REF!</v>
      </c>
      <c r="O1001" s="672"/>
      <c r="P1001" s="668"/>
      <c r="Q1001" s="676"/>
      <c r="R1001" s="676"/>
    </row>
    <row r="1002" spans="1:18" s="677" customFormat="1" ht="60" customHeight="1">
      <c r="A1002" s="700">
        <f>'Ext. Elec.'!$A$104</f>
        <v>18</v>
      </c>
      <c r="B1002" s="663" t="str">
        <f>'Ext. Elec.'!$B$104</f>
        <v>Supplying &amp; fixing  of  12" dome light fittings and 9watts led bulb etc., all complete.</v>
      </c>
      <c r="C1002" s="666">
        <v>750</v>
      </c>
      <c r="D1002" s="674" t="str">
        <f>'Ext. Elec.'!$H$106</f>
        <v>Nos</v>
      </c>
      <c r="E1002" s="660"/>
      <c r="F1002" s="667"/>
      <c r="G1002" s="675"/>
      <c r="H1002" s="667"/>
      <c r="I1002" s="667"/>
      <c r="J1002" s="667"/>
      <c r="K1002" s="667" t="e">
        <f>E1002+#REF!+#REF!+#REF!+G1002+#REF!+#REF!+#REF!+#REF!+#REF!+#REF!+I1002+#REF!+#REF!+#REF!</f>
        <v>#REF!</v>
      </c>
      <c r="L1002" s="667" t="e">
        <f t="shared" si="73"/>
        <v>#REF!</v>
      </c>
      <c r="M1002" s="665" t="e">
        <f>#REF!+K1002</f>
        <v>#REF!</v>
      </c>
      <c r="N1002" s="666" t="e">
        <f t="shared" si="74"/>
        <v>#REF!</v>
      </c>
      <c r="O1002" s="672"/>
      <c r="P1002" s="668"/>
      <c r="Q1002" s="676"/>
      <c r="R1002" s="676"/>
    </row>
    <row r="1003" spans="1:18" s="677" customFormat="1" ht="60" customHeight="1">
      <c r="A1003" s="700">
        <f>'Ext. Elec.'!$A$107</f>
        <v>19</v>
      </c>
      <c r="B1003" s="663" t="str">
        <f>'Ext. Elec.'!$B$107</f>
        <v>Supplying &amp; fixing of spot light fittings and led bulb etc., all complete.</v>
      </c>
      <c r="C1003" s="666">
        <v>475</v>
      </c>
      <c r="D1003" s="674" t="str">
        <f>'Ext. Elec.'!$H$109</f>
        <v>Nos</v>
      </c>
      <c r="E1003" s="660"/>
      <c r="F1003" s="667"/>
      <c r="G1003" s="675"/>
      <c r="H1003" s="667"/>
      <c r="I1003" s="667"/>
      <c r="J1003" s="667"/>
      <c r="K1003" s="667" t="e">
        <f>E1003+#REF!+#REF!+#REF!+G1003+#REF!+#REF!+#REF!+#REF!+#REF!+#REF!+I1003+#REF!+#REF!+#REF!</f>
        <v>#REF!</v>
      </c>
      <c r="L1003" s="667" t="e">
        <f t="shared" si="73"/>
        <v>#REF!</v>
      </c>
      <c r="M1003" s="665" t="e">
        <f>#REF!+K1003</f>
        <v>#REF!</v>
      </c>
      <c r="N1003" s="666" t="e">
        <f t="shared" si="74"/>
        <v>#REF!</v>
      </c>
      <c r="O1003" s="672"/>
      <c r="P1003" s="668"/>
      <c r="Q1003" s="676"/>
      <c r="R1003" s="676"/>
    </row>
    <row r="1004" spans="1:18" s="677" customFormat="1" ht="186">
      <c r="A1004" s="700">
        <f>'Ext. Elec.'!$A$110</f>
        <v>20</v>
      </c>
      <c r="B1004" s="663" t="str">
        <f>'Ext. Elec.'!$B$110</f>
        <v>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v>
      </c>
      <c r="C1004" s="666">
        <v>12940</v>
      </c>
      <c r="D1004" s="674" t="str">
        <f>'Ext. Elec.'!$H$112</f>
        <v>No</v>
      </c>
      <c r="E1004" s="660"/>
      <c r="F1004" s="667"/>
      <c r="G1004" s="675"/>
      <c r="H1004" s="667"/>
      <c r="I1004" s="667"/>
      <c r="J1004" s="667"/>
      <c r="K1004" s="667" t="e">
        <f>E1004+#REF!+#REF!+#REF!+G1004+#REF!+#REF!+#REF!+#REF!+#REF!+#REF!+I1004+#REF!+#REF!+#REF!</f>
        <v>#REF!</v>
      </c>
      <c r="L1004" s="667" t="e">
        <f t="shared" si="73"/>
        <v>#REF!</v>
      </c>
      <c r="M1004" s="665" t="e">
        <f>#REF!+K1004</f>
        <v>#REF!</v>
      </c>
      <c r="N1004" s="666" t="e">
        <f t="shared" si="74"/>
        <v>#REF!</v>
      </c>
      <c r="O1004" s="672"/>
      <c r="P1004" s="668"/>
      <c r="Q1004" s="676"/>
      <c r="R1004" s="676"/>
    </row>
    <row r="1005" spans="1:18" s="677" customFormat="1" ht="34.9" customHeight="1">
      <c r="A1005" s="700"/>
      <c r="B1005" s="785" t="s">
        <v>1957</v>
      </c>
      <c r="C1005" s="666"/>
      <c r="D1005" s="674"/>
      <c r="E1005" s="660"/>
      <c r="F1005" s="667"/>
      <c r="G1005" s="675"/>
      <c r="H1005" s="667"/>
      <c r="I1005" s="667"/>
      <c r="J1005" s="667"/>
      <c r="K1005" s="667" t="e">
        <f>E1005+#REF!+#REF!+#REF!+G1005+#REF!+#REF!+#REF!+#REF!+#REF!+#REF!+I1005+#REF!+#REF!+#REF!</f>
        <v>#REF!</v>
      </c>
      <c r="L1005" s="667" t="e">
        <f t="shared" si="73"/>
        <v>#REF!</v>
      </c>
      <c r="M1005" s="665" t="e">
        <f>#REF!+K1005</f>
        <v>#REF!</v>
      </c>
      <c r="N1005" s="666" t="e">
        <f t="shared" si="74"/>
        <v>#REF!</v>
      </c>
      <c r="O1005" s="672"/>
      <c r="P1005" s="668"/>
      <c r="Q1005" s="676"/>
      <c r="R1005" s="676"/>
    </row>
    <row r="1006" spans="1:18" s="677" customFormat="1" ht="128.44999999999999" customHeight="1">
      <c r="A1006" s="700">
        <f>'L &amp; N'!$A$7</f>
        <v>1</v>
      </c>
      <c r="B1006" s="663" t="str">
        <f>'L &amp; N'!$B$7:$I$7</f>
        <v xml:space="preserve">Supplying and fixing of following size aluminium die casting lettering and numbering material and labour charges for firing with necesssary Scaffolding concrengs etc., all complete and as directed by the departmental officers. </v>
      </c>
      <c r="C1006" s="666"/>
      <c r="D1006" s="674"/>
      <c r="E1006" s="660"/>
      <c r="F1006" s="667"/>
      <c r="G1006" s="675"/>
      <c r="H1006" s="667"/>
      <c r="I1006" s="667"/>
      <c r="J1006" s="667"/>
      <c r="K1006" s="667" t="e">
        <f>E1006+#REF!+#REF!+#REF!+G1006+#REF!+#REF!+#REF!+#REF!+#REF!+#REF!+I1006+#REF!+#REF!+#REF!</f>
        <v>#REF!</v>
      </c>
      <c r="L1006" s="667" t="e">
        <f t="shared" si="73"/>
        <v>#REF!</v>
      </c>
      <c r="M1006" s="665" t="e">
        <f>#REF!+K1006</f>
        <v>#REF!</v>
      </c>
      <c r="N1006" s="666" t="e">
        <f t="shared" si="74"/>
        <v>#REF!</v>
      </c>
      <c r="O1006" s="672"/>
      <c r="P1006" s="668"/>
      <c r="Q1006" s="676"/>
      <c r="R1006" s="676"/>
    </row>
    <row r="1007" spans="1:18" s="677" customFormat="1" ht="45" customHeight="1">
      <c r="A1007" s="700"/>
      <c r="B1007" s="663" t="str">
        <f>'L &amp; N'!$B$8</f>
        <v>a) 30cm Letters (12")</v>
      </c>
      <c r="C1007" s="666">
        <v>1250</v>
      </c>
      <c r="D1007" s="674" t="str">
        <f>'L &amp; N'!$J$10</f>
        <v>Nos.</v>
      </c>
      <c r="E1007" s="660"/>
      <c r="F1007" s="667"/>
      <c r="G1007" s="675"/>
      <c r="H1007" s="667"/>
      <c r="I1007" s="667"/>
      <c r="J1007" s="667"/>
      <c r="K1007" s="667" t="e">
        <f>E1007+#REF!+#REF!+#REF!+G1007+#REF!+#REF!+#REF!+#REF!+#REF!+#REF!+I1007+#REF!+#REF!+#REF!</f>
        <v>#REF!</v>
      </c>
      <c r="L1007" s="667" t="e">
        <f t="shared" si="73"/>
        <v>#REF!</v>
      </c>
      <c r="M1007" s="665" t="e">
        <f>#REF!+K1007</f>
        <v>#REF!</v>
      </c>
      <c r="N1007" s="666" t="e">
        <f t="shared" si="74"/>
        <v>#REF!</v>
      </c>
      <c r="O1007" s="672"/>
      <c r="P1007" s="668"/>
      <c r="Q1007" s="676"/>
      <c r="R1007" s="676"/>
    </row>
    <row r="1008" spans="1:18" s="677" customFormat="1" ht="45" customHeight="1">
      <c r="A1008" s="700"/>
      <c r="B1008" s="663" t="str">
        <f>'L &amp; N'!$B$12</f>
        <v>b) 23cm Letters (9")</v>
      </c>
      <c r="C1008" s="666">
        <v>1092</v>
      </c>
      <c r="D1008" s="674" t="str">
        <f>'L &amp; N'!$J$14</f>
        <v>Nos</v>
      </c>
      <c r="E1008" s="660"/>
      <c r="F1008" s="667"/>
      <c r="G1008" s="675"/>
      <c r="H1008" s="667"/>
      <c r="I1008" s="667"/>
      <c r="J1008" s="667"/>
      <c r="K1008" s="667" t="e">
        <f>E1008+#REF!+#REF!+#REF!+G1008+#REF!+#REF!+#REF!+#REF!+#REF!+#REF!+I1008+#REF!+#REF!+#REF!</f>
        <v>#REF!</v>
      </c>
      <c r="L1008" s="667" t="e">
        <f t="shared" si="73"/>
        <v>#REF!</v>
      </c>
      <c r="M1008" s="665" t="e">
        <f>#REF!+K1008</f>
        <v>#REF!</v>
      </c>
      <c r="N1008" s="666" t="e">
        <f t="shared" si="74"/>
        <v>#REF!</v>
      </c>
      <c r="O1008" s="672"/>
      <c r="P1008" s="668"/>
      <c r="Q1008" s="676"/>
      <c r="R1008" s="676"/>
    </row>
    <row r="1009" spans="1:18" s="677" customFormat="1" ht="45" customHeight="1">
      <c r="A1009" s="700">
        <f>'L &amp; N'!$A$16</f>
        <v>2</v>
      </c>
      <c r="B1009" s="663" t="str">
        <f>'L &amp; N'!$B$16:$I$16</f>
        <v>Supplying and fixing of  60 cm TNPHCL Logo</v>
      </c>
      <c r="C1009" s="666">
        <v>3000</v>
      </c>
      <c r="D1009" s="674" t="str">
        <f>'L &amp; N'!$J$18</f>
        <v>No.</v>
      </c>
      <c r="E1009" s="660"/>
      <c r="F1009" s="667"/>
      <c r="G1009" s="675"/>
      <c r="H1009" s="667"/>
      <c r="I1009" s="667"/>
      <c r="J1009" s="667"/>
      <c r="K1009" s="667" t="e">
        <f>E1009+#REF!+#REF!+#REF!+G1009+#REF!+#REF!+#REF!+#REF!+#REF!+#REF!+I1009+#REF!+#REF!+#REF!</f>
        <v>#REF!</v>
      </c>
      <c r="L1009" s="667" t="e">
        <f t="shared" si="73"/>
        <v>#REF!</v>
      </c>
      <c r="M1009" s="665" t="e">
        <f>#REF!+K1009</f>
        <v>#REF!</v>
      </c>
      <c r="N1009" s="666" t="e">
        <f t="shared" si="74"/>
        <v>#REF!</v>
      </c>
      <c r="O1009" s="672"/>
      <c r="P1009" s="668"/>
      <c r="Q1009" s="676"/>
      <c r="R1009" s="676"/>
    </row>
    <row r="1010" spans="1:18" s="677" customFormat="1" ht="45" customHeight="1">
      <c r="A1010" s="700">
        <f>'L &amp; N'!$A$20</f>
        <v>3</v>
      </c>
      <c r="B1010" s="663" t="str">
        <f>'L &amp; N'!$B$20:$I$20</f>
        <v>Supplying and fixing Tamil Nadu Emblem (45cm)</v>
      </c>
      <c r="C1010" s="666">
        <v>4500</v>
      </c>
      <c r="D1010" s="674" t="str">
        <f>'L &amp; N'!$J$22</f>
        <v>No.</v>
      </c>
      <c r="E1010" s="660"/>
      <c r="F1010" s="667"/>
      <c r="G1010" s="675"/>
      <c r="H1010" s="667"/>
      <c r="I1010" s="667"/>
      <c r="J1010" s="667"/>
      <c r="K1010" s="667" t="e">
        <f>E1010+#REF!+#REF!+#REF!+G1010+#REF!+#REF!+#REF!+#REF!+#REF!+#REF!+I1010+#REF!+#REF!+#REF!</f>
        <v>#REF!</v>
      </c>
      <c r="L1010" s="667" t="e">
        <f t="shared" si="73"/>
        <v>#REF!</v>
      </c>
      <c r="M1010" s="665" t="e">
        <f>#REF!+K1010</f>
        <v>#REF!</v>
      </c>
      <c r="N1010" s="666" t="e">
        <f t="shared" si="74"/>
        <v>#REF!</v>
      </c>
      <c r="O1010" s="672"/>
      <c r="P1010" s="668"/>
      <c r="Q1010" s="676"/>
      <c r="R1010" s="676"/>
    </row>
    <row r="1011" spans="1:18" s="677" customFormat="1" ht="60" customHeight="1">
      <c r="A1011" s="700">
        <f>'L &amp; N'!$A$24</f>
        <v>4</v>
      </c>
      <c r="B1011" s="663" t="str">
        <f>'L &amp; N'!$B$24:$I$24</f>
        <v xml:space="preserve">Supplying and fixing Foam name board with labour charges etc., </v>
      </c>
      <c r="C1011" s="666">
        <v>5</v>
      </c>
      <c r="D1011" s="674" t="str">
        <f>'L &amp; N'!$J$27</f>
        <v>Sq. Inch</v>
      </c>
      <c r="E1011" s="660"/>
      <c r="F1011" s="667"/>
      <c r="G1011" s="675"/>
      <c r="H1011" s="667"/>
      <c r="I1011" s="667"/>
      <c r="J1011" s="667"/>
      <c r="K1011" s="667" t="e">
        <f>E1011+#REF!+#REF!+#REF!+G1011+#REF!+#REF!+#REF!+#REF!+#REF!+#REF!+I1011+#REF!+#REF!+#REF!</f>
        <v>#REF!</v>
      </c>
      <c r="L1011" s="667" t="e">
        <f t="shared" si="73"/>
        <v>#REF!</v>
      </c>
      <c r="M1011" s="665" t="e">
        <f>#REF!+K1011</f>
        <v>#REF!</v>
      </c>
      <c r="N1011" s="666" t="e">
        <f t="shared" si="74"/>
        <v>#REF!</v>
      </c>
      <c r="O1011" s="672"/>
      <c r="P1011" s="668"/>
      <c r="Q1011" s="676"/>
      <c r="R1011" s="676"/>
    </row>
    <row r="1012" spans="1:18" ht="75" customHeight="1">
      <c r="A1012" s="690"/>
      <c r="B1012" s="685" t="s">
        <v>57</v>
      </c>
      <c r="C1012" s="675">
        <f>ROUND([14]Data!K1206,2)</f>
        <v>0</v>
      </c>
      <c r="D1012" s="674"/>
      <c r="E1012" s="786"/>
      <c r="F1012" s="736">
        <f>SUM(F6:F1011)</f>
        <v>220658.41294280003</v>
      </c>
      <c r="G1012" s="786"/>
      <c r="H1012" s="736">
        <f>SUM(H6:H1011)</f>
        <v>239946.61716249998</v>
      </c>
      <c r="I1012" s="736"/>
      <c r="J1012" s="736" t="e">
        <f>SUM(J6:J1011)</f>
        <v>#REF!</v>
      </c>
      <c r="K1012" s="736"/>
      <c r="L1012" s="736" t="e">
        <f>SUM(L6:L1011)</f>
        <v>#REF!</v>
      </c>
      <c r="M1012" s="665" t="s">
        <v>1363</v>
      </c>
      <c r="N1012" s="736" t="e">
        <f>SUM(N6:N1011)</f>
        <v>#REF!</v>
      </c>
      <c r="O1012" s="672" t="e">
        <f>'[14]G. Abstractfinal'!F22</f>
        <v>#REF!</v>
      </c>
      <c r="P1012" s="786" t="e">
        <f>N1012-O1012</f>
        <v>#REF!</v>
      </c>
    </row>
    <row r="1013" spans="1:18" s="677" customFormat="1" ht="23.25">
      <c r="A1013" s="787"/>
      <c r="B1013" s="788"/>
      <c r="C1013" s="787"/>
      <c r="D1013" s="789"/>
      <c r="E1013" s="691"/>
      <c r="F1013" s="667">
        <f t="shared" ref="F1013:F1044" si="75">E1013*C1013</f>
        <v>0</v>
      </c>
      <c r="G1013" s="790"/>
      <c r="H1013" s="667">
        <f t="shared" ref="H1013:H1044" si="76">G1013*C1013</f>
        <v>0</v>
      </c>
      <c r="I1013" s="667"/>
      <c r="J1013" s="667"/>
      <c r="K1013" s="667"/>
      <c r="L1013" s="667">
        <v>9671124.4900000002</v>
      </c>
      <c r="M1013" s="665" t="e">
        <f>#REF!+#REF!+G1013+#REF!+#REF!+E1013</f>
        <v>#REF!</v>
      </c>
      <c r="N1013" s="666" t="e">
        <f>M1013*C1013</f>
        <v>#REF!</v>
      </c>
      <c r="O1013" s="672"/>
      <c r="P1013" s="668"/>
      <c r="Q1013" s="676"/>
      <c r="R1013" s="676"/>
    </row>
    <row r="1014" spans="1:18" s="677" customFormat="1">
      <c r="A1014" s="787"/>
      <c r="B1014" s="663" t="s">
        <v>1867</v>
      </c>
      <c r="C1014" s="690"/>
      <c r="D1014" s="708" t="s">
        <v>522</v>
      </c>
      <c r="E1014" s="790"/>
      <c r="F1014" s="667">
        <f t="shared" si="75"/>
        <v>0</v>
      </c>
      <c r="G1014" s="675"/>
      <c r="H1014" s="667">
        <f t="shared" si="76"/>
        <v>0</v>
      </c>
      <c r="I1014" s="667"/>
      <c r="J1014" s="667"/>
      <c r="K1014" s="667"/>
      <c r="L1014" s="667" t="e">
        <f>L1012-L1013</f>
        <v>#REF!</v>
      </c>
      <c r="M1014" s="665" t="e">
        <f>#REF!+#REF!+G1014+#REF!+#REF!+E1014</f>
        <v>#REF!</v>
      </c>
      <c r="N1014" s="666" t="e">
        <f>#REF!+L1012</f>
        <v>#REF!</v>
      </c>
      <c r="O1014" s="672"/>
      <c r="P1014" s="668"/>
      <c r="Q1014" s="676"/>
      <c r="R1014" s="676"/>
    </row>
    <row r="1015" spans="1:18" s="677" customFormat="1">
      <c r="A1015" s="787"/>
      <c r="B1015" s="663" t="s">
        <v>1868</v>
      </c>
      <c r="C1015" s="690"/>
      <c r="D1015" s="708" t="s">
        <v>522</v>
      </c>
      <c r="E1015" s="790"/>
      <c r="F1015" s="667">
        <f t="shared" si="75"/>
        <v>0</v>
      </c>
      <c r="G1015" s="675"/>
      <c r="H1015" s="667">
        <f t="shared" si="76"/>
        <v>0</v>
      </c>
      <c r="I1015" s="667"/>
      <c r="J1015" s="667"/>
      <c r="K1015" s="667"/>
      <c r="L1015" s="667"/>
      <c r="M1015" s="665" t="e">
        <f>#REF!+#REF!+G1015+#REF!+#REF!+E1015</f>
        <v>#REF!</v>
      </c>
      <c r="N1015" s="666" t="e">
        <f>N1012-N1014</f>
        <v>#REF!</v>
      </c>
      <c r="O1015" s="672"/>
      <c r="P1015" s="668"/>
      <c r="Q1015" s="676"/>
      <c r="R1015" s="676"/>
    </row>
    <row r="1016" spans="1:18" s="677" customFormat="1">
      <c r="A1016" s="787"/>
      <c r="B1016" s="663" t="s">
        <v>1871</v>
      </c>
      <c r="C1016" s="690">
        <f>[14]Data!K2492</f>
        <v>4353.33</v>
      </c>
      <c r="D1016" s="789" t="s">
        <v>37</v>
      </c>
      <c r="E1016" s="691"/>
      <c r="F1016" s="667">
        <f t="shared" si="75"/>
        <v>0</v>
      </c>
      <c r="G1016" s="675"/>
      <c r="H1016" s="667">
        <f t="shared" si="76"/>
        <v>0</v>
      </c>
      <c r="I1016" s="667"/>
      <c r="J1016" s="667"/>
      <c r="K1016" s="667"/>
      <c r="L1016" s="667"/>
      <c r="M1016" s="665" t="e">
        <f>#REF!+#REF!+G1016+#REF!+#REF!+E1016</f>
        <v>#REF!</v>
      </c>
      <c r="N1016" s="666" t="e">
        <f t="shared" ref="N1016:N1047" si="77">M1016*C1016</f>
        <v>#REF!</v>
      </c>
      <c r="O1016" s="672"/>
      <c r="P1016" s="668"/>
      <c r="Q1016" s="676"/>
      <c r="R1016" s="676"/>
    </row>
    <row r="1017" spans="1:18" s="677" customFormat="1">
      <c r="A1017" s="787"/>
      <c r="B1017" s="663" t="s">
        <v>1872</v>
      </c>
      <c r="C1017" s="690">
        <f>[14]Data!K2515</f>
        <v>4626.8100000000004</v>
      </c>
      <c r="D1017" s="789" t="s">
        <v>37</v>
      </c>
      <c r="E1017" s="691"/>
      <c r="F1017" s="667">
        <f t="shared" si="75"/>
        <v>0</v>
      </c>
      <c r="G1017" s="675"/>
      <c r="H1017" s="667">
        <f t="shared" si="76"/>
        <v>0</v>
      </c>
      <c r="I1017" s="667"/>
      <c r="J1017" s="667"/>
      <c r="K1017" s="667"/>
      <c r="L1017" s="667"/>
      <c r="M1017" s="665" t="e">
        <f>#REF!+#REF!+G1017+#REF!+#REF!+E1017</f>
        <v>#REF!</v>
      </c>
      <c r="N1017" s="666" t="e">
        <f t="shared" si="77"/>
        <v>#REF!</v>
      </c>
      <c r="O1017" s="672"/>
      <c r="P1017" s="668"/>
      <c r="Q1017" s="676"/>
      <c r="R1017" s="676"/>
    </row>
    <row r="1018" spans="1:18" s="677" customFormat="1">
      <c r="A1018" s="787"/>
      <c r="B1018" s="663" t="s">
        <v>1873</v>
      </c>
      <c r="C1018" s="690">
        <f>[14]Data!R2580</f>
        <v>3971.57</v>
      </c>
      <c r="D1018" s="789" t="s">
        <v>37</v>
      </c>
      <c r="E1018" s="691"/>
      <c r="F1018" s="667">
        <f t="shared" si="75"/>
        <v>0</v>
      </c>
      <c r="G1018" s="675"/>
      <c r="H1018" s="667">
        <f t="shared" si="76"/>
        <v>0</v>
      </c>
      <c r="I1018" s="667"/>
      <c r="J1018" s="667"/>
      <c r="K1018" s="667"/>
      <c r="L1018" s="667"/>
      <c r="M1018" s="665" t="e">
        <f>#REF!+#REF!+G1018+#REF!+#REF!+E1018</f>
        <v>#REF!</v>
      </c>
      <c r="N1018" s="666" t="e">
        <f t="shared" si="77"/>
        <v>#REF!</v>
      </c>
      <c r="O1018" s="672"/>
      <c r="P1018" s="668"/>
      <c r="Q1018" s="676"/>
      <c r="R1018" s="676"/>
    </row>
    <row r="1019" spans="1:18" s="677" customFormat="1">
      <c r="A1019" s="787"/>
      <c r="B1019" s="663" t="s">
        <v>1870</v>
      </c>
      <c r="C1019" s="690"/>
      <c r="D1019" s="789" t="s">
        <v>37</v>
      </c>
      <c r="E1019" s="691"/>
      <c r="F1019" s="667">
        <f t="shared" si="75"/>
        <v>0</v>
      </c>
      <c r="G1019" s="675"/>
      <c r="H1019" s="667">
        <f t="shared" si="76"/>
        <v>0</v>
      </c>
      <c r="I1019" s="667"/>
      <c r="J1019" s="667"/>
      <c r="K1019" s="667"/>
      <c r="L1019" s="667"/>
      <c r="M1019" s="665" t="e">
        <f>#REF!+#REF!+G1019+#REF!+#REF!+E1019</f>
        <v>#REF!</v>
      </c>
      <c r="N1019" s="666" t="e">
        <f t="shared" si="77"/>
        <v>#REF!</v>
      </c>
      <c r="O1019" s="672"/>
      <c r="P1019" s="668"/>
      <c r="Q1019" s="676"/>
      <c r="R1019" s="676"/>
    </row>
    <row r="1020" spans="1:18" s="677" customFormat="1">
      <c r="A1020" s="787"/>
      <c r="B1020" s="663" t="s">
        <v>1958</v>
      </c>
      <c r="C1020" s="690"/>
      <c r="D1020" s="789" t="s">
        <v>37</v>
      </c>
      <c r="E1020" s="691"/>
      <c r="F1020" s="667">
        <f t="shared" si="75"/>
        <v>0</v>
      </c>
      <c r="G1020" s="675"/>
      <c r="H1020" s="667">
        <f t="shared" si="76"/>
        <v>0</v>
      </c>
      <c r="I1020" s="667"/>
      <c r="J1020" s="667"/>
      <c r="K1020" s="667"/>
      <c r="L1020" s="667"/>
      <c r="M1020" s="665" t="e">
        <f>#REF!+#REF!+G1020+#REF!+#REF!+E1020</f>
        <v>#REF!</v>
      </c>
      <c r="N1020" s="666" t="e">
        <f t="shared" si="77"/>
        <v>#REF!</v>
      </c>
      <c r="O1020" s="672"/>
      <c r="P1020" s="668"/>
      <c r="Q1020" s="676"/>
      <c r="R1020" s="676"/>
    </row>
    <row r="1021" spans="1:18" s="677" customFormat="1" ht="46.5">
      <c r="A1021" s="787"/>
      <c r="B1021" s="663" t="s">
        <v>1959</v>
      </c>
      <c r="C1021" s="690"/>
      <c r="D1021" s="789" t="s">
        <v>37</v>
      </c>
      <c r="E1021" s="691"/>
      <c r="F1021" s="667">
        <f t="shared" si="75"/>
        <v>0</v>
      </c>
      <c r="G1021" s="675"/>
      <c r="H1021" s="667">
        <f t="shared" si="76"/>
        <v>0</v>
      </c>
      <c r="I1021" s="667"/>
      <c r="J1021" s="667"/>
      <c r="K1021" s="667"/>
      <c r="L1021" s="667"/>
      <c r="M1021" s="665" t="e">
        <f>#REF!+#REF!+G1021+#REF!+#REF!+E1021</f>
        <v>#REF!</v>
      </c>
      <c r="N1021" s="666" t="e">
        <f t="shared" si="77"/>
        <v>#REF!</v>
      </c>
      <c r="O1021" s="672"/>
      <c r="P1021" s="668"/>
      <c r="Q1021" s="676"/>
      <c r="R1021" s="676"/>
    </row>
    <row r="1022" spans="1:18" s="677" customFormat="1" ht="46.5">
      <c r="A1022" s="787"/>
      <c r="B1022" s="663" t="s">
        <v>1960</v>
      </c>
      <c r="C1022" s="690"/>
      <c r="D1022" s="789" t="s">
        <v>37</v>
      </c>
      <c r="E1022" s="691"/>
      <c r="F1022" s="667">
        <f t="shared" si="75"/>
        <v>0</v>
      </c>
      <c r="G1022" s="675"/>
      <c r="H1022" s="667">
        <f t="shared" si="76"/>
        <v>0</v>
      </c>
      <c r="I1022" s="667"/>
      <c r="J1022" s="667"/>
      <c r="K1022" s="667"/>
      <c r="L1022" s="667"/>
      <c r="M1022" s="665" t="e">
        <f>#REF!+#REF!+G1022+#REF!+#REF!+E1022</f>
        <v>#REF!</v>
      </c>
      <c r="N1022" s="666" t="e">
        <f t="shared" si="77"/>
        <v>#REF!</v>
      </c>
      <c r="O1022" s="672"/>
      <c r="P1022" s="668"/>
      <c r="Q1022" s="676"/>
      <c r="R1022" s="676"/>
    </row>
    <row r="1023" spans="1:18" s="677" customFormat="1">
      <c r="A1023" s="787"/>
      <c r="B1023" s="663" t="s">
        <v>1961</v>
      </c>
      <c r="C1023" s="690">
        <f>8.2*1500</f>
        <v>12299.999999999998</v>
      </c>
      <c r="D1023" s="789" t="s">
        <v>522</v>
      </c>
      <c r="E1023" s="691"/>
      <c r="F1023" s="667">
        <f t="shared" si="75"/>
        <v>0</v>
      </c>
      <c r="G1023" s="675"/>
      <c r="H1023" s="667">
        <f t="shared" si="76"/>
        <v>0</v>
      </c>
      <c r="I1023" s="667"/>
      <c r="J1023" s="667"/>
      <c r="K1023" s="667"/>
      <c r="L1023" s="667"/>
      <c r="M1023" s="665" t="e">
        <f>#REF!+#REF!+G1023+#REF!+#REF!+E1023</f>
        <v>#REF!</v>
      </c>
      <c r="N1023" s="666" t="e">
        <f t="shared" si="77"/>
        <v>#REF!</v>
      </c>
      <c r="O1023" s="672"/>
      <c r="P1023" s="668"/>
      <c r="Q1023" s="676"/>
      <c r="R1023" s="676"/>
    </row>
    <row r="1024" spans="1:18" s="677" customFormat="1">
      <c r="A1024" s="787"/>
      <c r="B1024" s="663" t="s">
        <v>1962</v>
      </c>
      <c r="C1024" s="690">
        <f>[14]Data!K2435</f>
        <v>1335.94</v>
      </c>
      <c r="D1024" s="789" t="s">
        <v>37</v>
      </c>
      <c r="E1024" s="691"/>
      <c r="F1024" s="667">
        <f t="shared" si="75"/>
        <v>0</v>
      </c>
      <c r="G1024" s="675"/>
      <c r="H1024" s="667">
        <f t="shared" si="76"/>
        <v>0</v>
      </c>
      <c r="I1024" s="667"/>
      <c r="J1024" s="667"/>
      <c r="K1024" s="667"/>
      <c r="L1024" s="667"/>
      <c r="M1024" s="665" t="e">
        <f>#REF!+#REF!+G1024+#REF!+#REF!+E1024</f>
        <v>#REF!</v>
      </c>
      <c r="N1024" s="666" t="e">
        <f t="shared" si="77"/>
        <v>#REF!</v>
      </c>
      <c r="O1024" s="672"/>
      <c r="P1024" s="668"/>
      <c r="Q1024" s="676"/>
      <c r="R1024" s="676"/>
    </row>
    <row r="1025" spans="1:18" s="677" customFormat="1">
      <c r="A1025" s="787"/>
      <c r="B1025" s="663" t="s">
        <v>1767</v>
      </c>
      <c r="C1025" s="690">
        <f>[14]Data!R1230</f>
        <v>1357.13</v>
      </c>
      <c r="D1025" s="789" t="s">
        <v>37</v>
      </c>
      <c r="E1025" s="691"/>
      <c r="F1025" s="667">
        <f t="shared" si="75"/>
        <v>0</v>
      </c>
      <c r="G1025" s="675"/>
      <c r="H1025" s="667">
        <f t="shared" si="76"/>
        <v>0</v>
      </c>
      <c r="I1025" s="667"/>
      <c r="J1025" s="667"/>
      <c r="K1025" s="667"/>
      <c r="L1025" s="667"/>
      <c r="M1025" s="665" t="e">
        <f>#REF!+#REF!+G1025+#REF!+#REF!+E1025</f>
        <v>#REF!</v>
      </c>
      <c r="N1025" s="666" t="e">
        <f t="shared" si="77"/>
        <v>#REF!</v>
      </c>
      <c r="O1025" s="672"/>
      <c r="P1025" s="668"/>
      <c r="Q1025" s="676"/>
      <c r="R1025" s="676"/>
    </row>
    <row r="1026" spans="1:18" s="677" customFormat="1" ht="23.25">
      <c r="A1026" s="787"/>
      <c r="B1026" s="663" t="s">
        <v>1963</v>
      </c>
      <c r="C1026" s="690">
        <f>[14]Data!R1272</f>
        <v>1152.25</v>
      </c>
      <c r="D1026" s="789" t="s">
        <v>37</v>
      </c>
      <c r="E1026" s="691"/>
      <c r="F1026" s="667">
        <f t="shared" si="75"/>
        <v>0</v>
      </c>
      <c r="G1026" s="691"/>
      <c r="H1026" s="667">
        <f t="shared" si="76"/>
        <v>0</v>
      </c>
      <c r="I1026" s="667"/>
      <c r="J1026" s="667"/>
      <c r="K1026" s="667"/>
      <c r="L1026" s="667"/>
      <c r="M1026" s="665" t="e">
        <f>#REF!+#REF!+G1026+#REF!+#REF!+E1026</f>
        <v>#REF!</v>
      </c>
      <c r="N1026" s="666" t="e">
        <f t="shared" si="77"/>
        <v>#REF!</v>
      </c>
      <c r="O1026" s="672"/>
      <c r="P1026" s="668"/>
      <c r="Q1026" s="676"/>
      <c r="R1026" s="676"/>
    </row>
    <row r="1027" spans="1:18" s="677" customFormat="1" ht="23.25">
      <c r="A1027" s="787"/>
      <c r="B1027" s="663" t="s">
        <v>1964</v>
      </c>
      <c r="C1027" s="690">
        <f>[14]Data!R2442</f>
        <v>1509.19</v>
      </c>
      <c r="D1027" s="789" t="s">
        <v>37</v>
      </c>
      <c r="E1027" s="691"/>
      <c r="F1027" s="667">
        <f t="shared" si="75"/>
        <v>0</v>
      </c>
      <c r="G1027" s="691"/>
      <c r="H1027" s="667">
        <f t="shared" si="76"/>
        <v>0</v>
      </c>
      <c r="I1027" s="667"/>
      <c r="J1027" s="667"/>
      <c r="K1027" s="667"/>
      <c r="L1027" s="667"/>
      <c r="M1027" s="665" t="e">
        <f>#REF!+#REF!+G1027+#REF!+#REF!+E1027</f>
        <v>#REF!</v>
      </c>
      <c r="N1027" s="666" t="e">
        <f t="shared" si="77"/>
        <v>#REF!</v>
      </c>
      <c r="O1027" s="672"/>
      <c r="P1027" s="668"/>
      <c r="Q1027" s="676"/>
      <c r="R1027" s="676"/>
    </row>
    <row r="1028" spans="1:18" s="677" customFormat="1" ht="23.25">
      <c r="A1028" s="787"/>
      <c r="B1028" s="663" t="s">
        <v>1965</v>
      </c>
      <c r="C1028" s="690">
        <f>[14]Data!AD1257</f>
        <v>1493.95</v>
      </c>
      <c r="D1028" s="789" t="s">
        <v>37</v>
      </c>
      <c r="E1028" s="691"/>
      <c r="F1028" s="667">
        <f t="shared" si="75"/>
        <v>0</v>
      </c>
      <c r="G1028" s="691"/>
      <c r="H1028" s="667">
        <f t="shared" si="76"/>
        <v>0</v>
      </c>
      <c r="I1028" s="667"/>
      <c r="J1028" s="667"/>
      <c r="K1028" s="667"/>
      <c r="L1028" s="667"/>
      <c r="M1028" s="665" t="e">
        <f>#REF!+#REF!+G1028+#REF!+#REF!+E1028</f>
        <v>#REF!</v>
      </c>
      <c r="N1028" s="666" t="e">
        <f t="shared" si="77"/>
        <v>#REF!</v>
      </c>
      <c r="O1028" s="672"/>
      <c r="P1028" s="668"/>
      <c r="Q1028" s="676"/>
      <c r="R1028" s="676"/>
    </row>
    <row r="1029" spans="1:18" s="677" customFormat="1" ht="23.25">
      <c r="A1029" s="787"/>
      <c r="B1029" s="791" t="s">
        <v>1966</v>
      </c>
      <c r="C1029" s="787">
        <f>[14]Data!K1442</f>
        <v>246.58</v>
      </c>
      <c r="D1029" s="789" t="s">
        <v>37</v>
      </c>
      <c r="E1029" s="691"/>
      <c r="F1029" s="667">
        <f t="shared" si="75"/>
        <v>0</v>
      </c>
      <c r="G1029" s="691"/>
      <c r="H1029" s="667">
        <f t="shared" si="76"/>
        <v>0</v>
      </c>
      <c r="I1029" s="667"/>
      <c r="J1029" s="667"/>
      <c r="K1029" s="667"/>
      <c r="L1029" s="667"/>
      <c r="M1029" s="665" t="e">
        <f>#REF!+#REF!+G1029+#REF!+#REF!+E1029</f>
        <v>#REF!</v>
      </c>
      <c r="N1029" s="666" t="e">
        <f t="shared" si="77"/>
        <v>#REF!</v>
      </c>
      <c r="O1029" s="672"/>
      <c r="P1029" s="668"/>
      <c r="Q1029" s="676"/>
      <c r="R1029" s="676"/>
    </row>
    <row r="1030" spans="1:18" s="677" customFormat="1" ht="23.25">
      <c r="A1030" s="787"/>
      <c r="B1030" s="791" t="s">
        <v>1967</v>
      </c>
      <c r="C1030" s="787">
        <f>5000*8.2</f>
        <v>41000</v>
      </c>
      <c r="D1030" s="789" t="s">
        <v>522</v>
      </c>
      <c r="E1030" s="691"/>
      <c r="F1030" s="667">
        <f t="shared" si="75"/>
        <v>0</v>
      </c>
      <c r="G1030" s="691"/>
      <c r="H1030" s="667">
        <f t="shared" si="76"/>
        <v>0</v>
      </c>
      <c r="I1030" s="667"/>
      <c r="J1030" s="667"/>
      <c r="K1030" s="667"/>
      <c r="L1030" s="667"/>
      <c r="M1030" s="665" t="e">
        <f>#REF!+#REF!+G1030+#REF!+#REF!+E1030</f>
        <v>#REF!</v>
      </c>
      <c r="N1030" s="666" t="e">
        <f t="shared" si="77"/>
        <v>#REF!</v>
      </c>
      <c r="O1030" s="672"/>
      <c r="P1030" s="668"/>
      <c r="Q1030" s="676"/>
      <c r="R1030" s="676"/>
    </row>
    <row r="1031" spans="1:18" s="677" customFormat="1" ht="23.25">
      <c r="A1031" s="787"/>
      <c r="B1031" s="791" t="str">
        <f>[14]Data!O2626</f>
        <v>T.W DOOR SHUTTER TWO LEAVES(1200 X 2100 mm ) with Brass Fittings</v>
      </c>
      <c r="C1031" s="787">
        <f>[14]Data!R2654</f>
        <v>6199.77</v>
      </c>
      <c r="D1031" s="789" t="s">
        <v>37</v>
      </c>
      <c r="E1031" s="691"/>
      <c r="F1031" s="667">
        <f t="shared" si="75"/>
        <v>0</v>
      </c>
      <c r="G1031" s="691"/>
      <c r="H1031" s="667">
        <f t="shared" si="76"/>
        <v>0</v>
      </c>
      <c r="I1031" s="667"/>
      <c r="J1031" s="667"/>
      <c r="K1031" s="667"/>
      <c r="L1031" s="667"/>
      <c r="M1031" s="665" t="e">
        <f>#REF!+#REF!+G1031+#REF!+#REF!+E1031</f>
        <v>#REF!</v>
      </c>
      <c r="N1031" s="666" t="e">
        <f t="shared" si="77"/>
        <v>#REF!</v>
      </c>
      <c r="O1031" s="672"/>
      <c r="P1031" s="668"/>
      <c r="Q1031" s="676"/>
      <c r="R1031" s="676"/>
    </row>
    <row r="1032" spans="1:18" s="677" customFormat="1" ht="23.25">
      <c r="A1032" s="787"/>
      <c r="B1032" s="791" t="s">
        <v>1968</v>
      </c>
      <c r="C1032" s="787">
        <f>[14]Data!R1124</f>
        <v>5040.1899999999996</v>
      </c>
      <c r="D1032" s="789" t="s">
        <v>37</v>
      </c>
      <c r="E1032" s="691"/>
      <c r="F1032" s="667">
        <f t="shared" si="75"/>
        <v>0</v>
      </c>
      <c r="G1032" s="691"/>
      <c r="H1032" s="667">
        <f t="shared" si="76"/>
        <v>0</v>
      </c>
      <c r="I1032" s="667"/>
      <c r="J1032" s="667"/>
      <c r="K1032" s="667"/>
      <c r="L1032" s="667"/>
      <c r="M1032" s="665" t="e">
        <f>#REF!+#REF!+G1032+#REF!+#REF!+E1032</f>
        <v>#REF!</v>
      </c>
      <c r="N1032" s="666" t="e">
        <f t="shared" si="77"/>
        <v>#REF!</v>
      </c>
      <c r="O1032" s="672"/>
      <c r="P1032" s="668"/>
      <c r="Q1032" s="676"/>
      <c r="R1032" s="676"/>
    </row>
    <row r="1033" spans="1:18" s="677" customFormat="1" ht="23.25">
      <c r="A1033" s="787"/>
      <c r="B1033" s="791" t="s">
        <v>1969</v>
      </c>
      <c r="C1033" s="787">
        <f>[14]Data!R3203</f>
        <v>6182.41</v>
      </c>
      <c r="D1033" s="789" t="s">
        <v>37</v>
      </c>
      <c r="E1033" s="691"/>
      <c r="F1033" s="667">
        <f t="shared" si="75"/>
        <v>0</v>
      </c>
      <c r="G1033" s="691"/>
      <c r="H1033" s="667">
        <f t="shared" si="76"/>
        <v>0</v>
      </c>
      <c r="I1033" s="667"/>
      <c r="J1033" s="667"/>
      <c r="K1033" s="667"/>
      <c r="L1033" s="667"/>
      <c r="M1033" s="665" t="e">
        <f>#REF!+#REF!+G1033+#REF!+#REF!+E1033</f>
        <v>#REF!</v>
      </c>
      <c r="N1033" s="666" t="e">
        <f t="shared" si="77"/>
        <v>#REF!</v>
      </c>
      <c r="O1033" s="672"/>
      <c r="P1033" s="668"/>
      <c r="Q1033" s="676"/>
      <c r="R1033" s="676"/>
    </row>
    <row r="1034" spans="1:18" s="677" customFormat="1" ht="23.25">
      <c r="A1034" s="787"/>
      <c r="B1034" s="791" t="s">
        <v>1970</v>
      </c>
      <c r="C1034" s="787">
        <f>[14]Data!R3272</f>
        <v>6164.11</v>
      </c>
      <c r="D1034" s="789" t="s">
        <v>37</v>
      </c>
      <c r="E1034" s="691"/>
      <c r="F1034" s="667">
        <f t="shared" si="75"/>
        <v>0</v>
      </c>
      <c r="G1034" s="691"/>
      <c r="H1034" s="667">
        <f t="shared" si="76"/>
        <v>0</v>
      </c>
      <c r="I1034" s="667"/>
      <c r="J1034" s="667"/>
      <c r="K1034" s="667"/>
      <c r="L1034" s="667"/>
      <c r="M1034" s="665" t="e">
        <f>#REF!+#REF!+G1034+#REF!+#REF!+E1034</f>
        <v>#REF!</v>
      </c>
      <c r="N1034" s="666" t="e">
        <f t="shared" si="77"/>
        <v>#REF!</v>
      </c>
      <c r="O1034" s="672"/>
      <c r="P1034" s="668"/>
      <c r="Q1034" s="676"/>
      <c r="R1034" s="676"/>
    </row>
    <row r="1035" spans="1:18" s="677" customFormat="1" ht="23.25">
      <c r="A1035" s="787"/>
      <c r="B1035" s="791" t="s">
        <v>1971</v>
      </c>
      <c r="C1035" s="787">
        <f>[14]Data!K3331</f>
        <v>4845.1099999999997</v>
      </c>
      <c r="D1035" s="789" t="s">
        <v>37</v>
      </c>
      <c r="E1035" s="691"/>
      <c r="F1035" s="667">
        <f t="shared" si="75"/>
        <v>0</v>
      </c>
      <c r="G1035" s="691"/>
      <c r="H1035" s="667">
        <f t="shared" si="76"/>
        <v>0</v>
      </c>
      <c r="I1035" s="667"/>
      <c r="J1035" s="667"/>
      <c r="K1035" s="667"/>
      <c r="L1035" s="667"/>
      <c r="M1035" s="665" t="e">
        <f>#REF!+#REF!+G1035+#REF!+#REF!+E1035</f>
        <v>#REF!</v>
      </c>
      <c r="N1035" s="666" t="e">
        <f t="shared" si="77"/>
        <v>#REF!</v>
      </c>
      <c r="O1035" s="672"/>
      <c r="P1035" s="668"/>
      <c r="Q1035" s="676"/>
      <c r="R1035" s="676"/>
    </row>
    <row r="1036" spans="1:18" s="677" customFormat="1" ht="69.75">
      <c r="A1036" s="787"/>
      <c r="B1036" s="685" t="s">
        <v>1972</v>
      </c>
      <c r="C1036" s="787">
        <f>[14]Data!R3339</f>
        <v>4942.12</v>
      </c>
      <c r="D1036" s="789" t="s">
        <v>37</v>
      </c>
      <c r="E1036" s="691"/>
      <c r="F1036" s="667">
        <f t="shared" si="75"/>
        <v>0</v>
      </c>
      <c r="G1036" s="691"/>
      <c r="H1036" s="667">
        <f t="shared" si="76"/>
        <v>0</v>
      </c>
      <c r="I1036" s="667"/>
      <c r="J1036" s="667"/>
      <c r="K1036" s="667"/>
      <c r="L1036" s="667"/>
      <c r="M1036" s="665" t="e">
        <f>#REF!+#REF!+G1036+#REF!+#REF!+E1036</f>
        <v>#REF!</v>
      </c>
      <c r="N1036" s="666" t="e">
        <f t="shared" si="77"/>
        <v>#REF!</v>
      </c>
      <c r="O1036" s="672"/>
      <c r="P1036" s="668"/>
      <c r="Q1036" s="676"/>
      <c r="R1036" s="676"/>
    </row>
    <row r="1037" spans="1:18" s="677" customFormat="1" ht="69.75">
      <c r="A1037" s="787"/>
      <c r="B1037" s="685" t="s">
        <v>1973</v>
      </c>
      <c r="C1037" s="787">
        <f>[14]Data!R3452</f>
        <v>5792.32</v>
      </c>
      <c r="D1037" s="789" t="s">
        <v>37</v>
      </c>
      <c r="E1037" s="691"/>
      <c r="F1037" s="667">
        <f t="shared" si="75"/>
        <v>0</v>
      </c>
      <c r="G1037" s="691"/>
      <c r="H1037" s="667">
        <f t="shared" si="76"/>
        <v>0</v>
      </c>
      <c r="I1037" s="667"/>
      <c r="J1037" s="667"/>
      <c r="K1037" s="667"/>
      <c r="L1037" s="667"/>
      <c r="M1037" s="665" t="e">
        <f>#REF!+#REF!+G1037+#REF!+#REF!+E1037</f>
        <v>#REF!</v>
      </c>
      <c r="N1037" s="666" t="e">
        <f t="shared" si="77"/>
        <v>#REF!</v>
      </c>
      <c r="O1037" s="672"/>
      <c r="P1037" s="668"/>
      <c r="Q1037" s="676"/>
      <c r="R1037" s="676"/>
    </row>
    <row r="1038" spans="1:18" s="677" customFormat="1" ht="46.5">
      <c r="A1038" s="787"/>
      <c r="B1038" s="663" t="s">
        <v>1974</v>
      </c>
      <c r="C1038" s="787">
        <f>[14]Data!K3434</f>
        <v>5051.6899999999996</v>
      </c>
      <c r="D1038" s="789" t="s">
        <v>37</v>
      </c>
      <c r="E1038" s="691"/>
      <c r="F1038" s="667">
        <f t="shared" si="75"/>
        <v>0</v>
      </c>
      <c r="G1038" s="691"/>
      <c r="H1038" s="667">
        <f t="shared" si="76"/>
        <v>0</v>
      </c>
      <c r="I1038" s="667"/>
      <c r="J1038" s="667"/>
      <c r="K1038" s="667"/>
      <c r="L1038" s="667"/>
      <c r="M1038" s="665" t="e">
        <f>#REF!+#REF!+G1038+#REF!+#REF!+E1038</f>
        <v>#REF!</v>
      </c>
      <c r="N1038" s="666" t="e">
        <f t="shared" si="77"/>
        <v>#REF!</v>
      </c>
      <c r="O1038" s="672"/>
      <c r="P1038" s="668"/>
      <c r="Q1038" s="676"/>
      <c r="R1038" s="676"/>
    </row>
    <row r="1039" spans="1:18" s="677" customFormat="1" ht="23.25">
      <c r="A1039" s="787"/>
      <c r="B1039" s="791" t="s">
        <v>1975</v>
      </c>
      <c r="C1039" s="787">
        <f>[14]Data!R3374</f>
        <v>5522.66</v>
      </c>
      <c r="D1039" s="789" t="s">
        <v>37</v>
      </c>
      <c r="E1039" s="691"/>
      <c r="F1039" s="667">
        <f t="shared" si="75"/>
        <v>0</v>
      </c>
      <c r="G1039" s="691"/>
      <c r="H1039" s="667">
        <f t="shared" si="76"/>
        <v>0</v>
      </c>
      <c r="I1039" s="667"/>
      <c r="J1039" s="667"/>
      <c r="K1039" s="667"/>
      <c r="L1039" s="667"/>
      <c r="M1039" s="665" t="e">
        <f>#REF!+#REF!+G1039+#REF!+#REF!+E1039</f>
        <v>#REF!</v>
      </c>
      <c r="N1039" s="666" t="e">
        <f t="shared" si="77"/>
        <v>#REF!</v>
      </c>
      <c r="O1039" s="672"/>
      <c r="P1039" s="668"/>
      <c r="Q1039" s="676"/>
      <c r="R1039" s="676"/>
    </row>
    <row r="1040" spans="1:18" s="677" customFormat="1" ht="23.25">
      <c r="A1040" s="787"/>
      <c r="B1040" s="791" t="s">
        <v>1976</v>
      </c>
      <c r="C1040" s="787">
        <f>[14]Data!R3408</f>
        <v>4897.2299999999996</v>
      </c>
      <c r="D1040" s="789" t="s">
        <v>37</v>
      </c>
      <c r="E1040" s="691"/>
      <c r="F1040" s="667">
        <f t="shared" si="75"/>
        <v>0</v>
      </c>
      <c r="G1040" s="691"/>
      <c r="H1040" s="667">
        <f t="shared" si="76"/>
        <v>0</v>
      </c>
      <c r="I1040" s="667"/>
      <c r="J1040" s="667"/>
      <c r="K1040" s="667"/>
      <c r="L1040" s="667"/>
      <c r="M1040" s="665" t="e">
        <f>#REF!+#REF!+G1040+#REF!+#REF!+E1040</f>
        <v>#REF!</v>
      </c>
      <c r="N1040" s="666" t="e">
        <f t="shared" si="77"/>
        <v>#REF!</v>
      </c>
      <c r="O1040" s="672"/>
      <c r="P1040" s="668"/>
      <c r="Q1040" s="676"/>
      <c r="R1040" s="676"/>
    </row>
    <row r="1041" spans="1:18" s="677" customFormat="1" ht="23.25">
      <c r="A1041" s="787"/>
      <c r="B1041" s="791" t="s">
        <v>1977</v>
      </c>
      <c r="C1041" s="787">
        <f>[14]Data!R3305</f>
        <v>5445.16</v>
      </c>
      <c r="D1041" s="789" t="s">
        <v>37</v>
      </c>
      <c r="E1041" s="691"/>
      <c r="F1041" s="667">
        <f t="shared" si="75"/>
        <v>0</v>
      </c>
      <c r="G1041" s="691"/>
      <c r="H1041" s="667">
        <f t="shared" si="76"/>
        <v>0</v>
      </c>
      <c r="I1041" s="667"/>
      <c r="J1041" s="667"/>
      <c r="K1041" s="667"/>
      <c r="L1041" s="667"/>
      <c r="M1041" s="665" t="e">
        <f>#REF!+#REF!+G1041+#REF!+#REF!+E1041</f>
        <v>#REF!</v>
      </c>
      <c r="N1041" s="666" t="e">
        <f t="shared" si="77"/>
        <v>#REF!</v>
      </c>
      <c r="O1041" s="672"/>
      <c r="P1041" s="668"/>
      <c r="Q1041" s="676"/>
      <c r="R1041" s="676"/>
    </row>
    <row r="1042" spans="1:18" s="677" customFormat="1" ht="23.25">
      <c r="A1042" s="787"/>
      <c r="B1042" s="791" t="s">
        <v>1978</v>
      </c>
      <c r="C1042" s="787">
        <f>[14]Data!R3339</f>
        <v>4942.12</v>
      </c>
      <c r="D1042" s="789" t="s">
        <v>37</v>
      </c>
      <c r="E1042" s="691"/>
      <c r="F1042" s="667">
        <f t="shared" si="75"/>
        <v>0</v>
      </c>
      <c r="G1042" s="691"/>
      <c r="H1042" s="667">
        <f t="shared" si="76"/>
        <v>0</v>
      </c>
      <c r="I1042" s="667"/>
      <c r="J1042" s="667"/>
      <c r="K1042" s="667"/>
      <c r="L1042" s="667"/>
      <c r="M1042" s="665" t="e">
        <f>#REF!+#REF!+G1042+#REF!+#REF!+E1042</f>
        <v>#REF!</v>
      </c>
      <c r="N1042" s="666" t="e">
        <f t="shared" si="77"/>
        <v>#REF!</v>
      </c>
      <c r="O1042" s="672"/>
      <c r="P1042" s="668"/>
      <c r="Q1042" s="676"/>
      <c r="R1042" s="676"/>
    </row>
    <row r="1043" spans="1:18" s="677" customFormat="1" ht="23.25">
      <c r="A1043" s="787"/>
      <c r="B1043" s="791" t="s">
        <v>1979</v>
      </c>
      <c r="C1043" s="787">
        <f>[14]Elec.Data!K3481</f>
        <v>1242.21</v>
      </c>
      <c r="D1043" s="789" t="s">
        <v>522</v>
      </c>
      <c r="E1043" s="691"/>
      <c r="F1043" s="667">
        <f t="shared" si="75"/>
        <v>0</v>
      </c>
      <c r="G1043" s="691"/>
      <c r="H1043" s="667">
        <f t="shared" si="76"/>
        <v>0</v>
      </c>
      <c r="I1043" s="667"/>
      <c r="J1043" s="667"/>
      <c r="K1043" s="667"/>
      <c r="L1043" s="667"/>
      <c r="M1043" s="665" t="e">
        <f>#REF!+#REF!+G1043+#REF!+#REF!+E1043</f>
        <v>#REF!</v>
      </c>
      <c r="N1043" s="666" t="e">
        <f t="shared" si="77"/>
        <v>#REF!</v>
      </c>
      <c r="O1043" s="672"/>
      <c r="P1043" s="668"/>
      <c r="Q1043" s="676"/>
      <c r="R1043" s="676"/>
    </row>
    <row r="1044" spans="1:18" s="677" customFormat="1" ht="23.25">
      <c r="A1044" s="787"/>
      <c r="B1044" s="791" t="s">
        <v>584</v>
      </c>
      <c r="C1044" s="787">
        <f>[14]Elec.Data!K3547</f>
        <v>165</v>
      </c>
      <c r="D1044" s="789" t="s">
        <v>61</v>
      </c>
      <c r="E1044" s="691"/>
      <c r="F1044" s="667">
        <f t="shared" si="75"/>
        <v>0</v>
      </c>
      <c r="G1044" s="691"/>
      <c r="H1044" s="667">
        <f t="shared" si="76"/>
        <v>0</v>
      </c>
      <c r="I1044" s="667"/>
      <c r="J1044" s="667"/>
      <c r="K1044" s="667"/>
      <c r="L1044" s="667"/>
      <c r="M1044" s="665" t="e">
        <f>#REF!+#REF!+G1044+#REF!+#REF!+E1044</f>
        <v>#REF!</v>
      </c>
      <c r="N1044" s="666" t="e">
        <f t="shared" si="77"/>
        <v>#REF!</v>
      </c>
      <c r="O1044" s="672"/>
      <c r="P1044" s="668"/>
      <c r="Q1044" s="676"/>
      <c r="R1044" s="676"/>
    </row>
    <row r="1045" spans="1:18" s="677" customFormat="1" ht="23.25">
      <c r="A1045" s="787"/>
      <c r="B1045" s="747" t="s">
        <v>1980</v>
      </c>
      <c r="C1045" s="787">
        <f>[14]Elec.Data!K3468</f>
        <v>2972.1</v>
      </c>
      <c r="D1045" s="789" t="s">
        <v>522</v>
      </c>
      <c r="E1045" s="691"/>
      <c r="F1045" s="667">
        <f t="shared" ref="F1045:F1076" si="78">E1045*C1045</f>
        <v>0</v>
      </c>
      <c r="G1045" s="691"/>
      <c r="H1045" s="667">
        <f t="shared" ref="H1045:H1076" si="79">G1045*C1045</f>
        <v>0</v>
      </c>
      <c r="I1045" s="667"/>
      <c r="J1045" s="667"/>
      <c r="K1045" s="667"/>
      <c r="L1045" s="667"/>
      <c r="M1045" s="665" t="e">
        <f>#REF!+#REF!+G1045+#REF!+#REF!+E1045</f>
        <v>#REF!</v>
      </c>
      <c r="N1045" s="666" t="e">
        <f t="shared" si="77"/>
        <v>#REF!</v>
      </c>
      <c r="O1045" s="672"/>
      <c r="P1045" s="668"/>
      <c r="Q1045" s="676"/>
      <c r="R1045" s="676"/>
    </row>
    <row r="1046" spans="1:18" s="677" customFormat="1" ht="23.25">
      <c r="A1046" s="787"/>
      <c r="B1046" s="791" t="s">
        <v>1981</v>
      </c>
      <c r="C1046" s="787">
        <f>[14]Data!K2981</f>
        <v>2980.14</v>
      </c>
      <c r="D1046" s="789" t="s">
        <v>37</v>
      </c>
      <c r="E1046" s="691"/>
      <c r="F1046" s="667">
        <f t="shared" si="78"/>
        <v>0</v>
      </c>
      <c r="G1046" s="691"/>
      <c r="H1046" s="667">
        <f t="shared" si="79"/>
        <v>0</v>
      </c>
      <c r="I1046" s="667"/>
      <c r="J1046" s="667"/>
      <c r="K1046" s="667"/>
      <c r="L1046" s="667"/>
      <c r="M1046" s="665" t="e">
        <f>#REF!+#REF!+G1046+#REF!+#REF!+E1046</f>
        <v>#REF!</v>
      </c>
      <c r="N1046" s="666" t="e">
        <f t="shared" si="77"/>
        <v>#REF!</v>
      </c>
      <c r="O1046" s="672"/>
      <c r="P1046" s="668"/>
      <c r="Q1046" s="676"/>
      <c r="R1046" s="676"/>
    </row>
    <row r="1047" spans="1:18" s="677" customFormat="1" ht="23.25">
      <c r="A1047" s="787"/>
      <c r="B1047" s="791" t="s">
        <v>1982</v>
      </c>
      <c r="C1047" s="787">
        <f>[14]Data!K2845</f>
        <v>2937.59</v>
      </c>
      <c r="D1047" s="789" t="s">
        <v>37</v>
      </c>
      <c r="E1047" s="691"/>
      <c r="F1047" s="667">
        <f t="shared" si="78"/>
        <v>0</v>
      </c>
      <c r="G1047" s="691"/>
      <c r="H1047" s="667">
        <f t="shared" si="79"/>
        <v>0</v>
      </c>
      <c r="I1047" s="667"/>
      <c r="J1047" s="667"/>
      <c r="K1047" s="667"/>
      <c r="L1047" s="667"/>
      <c r="M1047" s="665" t="e">
        <f>#REF!+#REF!+G1047+#REF!+#REF!+E1047</f>
        <v>#REF!</v>
      </c>
      <c r="N1047" s="666" t="e">
        <f t="shared" si="77"/>
        <v>#REF!</v>
      </c>
      <c r="O1047" s="672"/>
      <c r="P1047" s="668"/>
      <c r="Q1047" s="676"/>
      <c r="R1047" s="676"/>
    </row>
    <row r="1048" spans="1:18" s="677" customFormat="1" ht="23.25">
      <c r="A1048" s="787"/>
      <c r="B1048" s="791" t="s">
        <v>1983</v>
      </c>
      <c r="C1048" s="787">
        <f>[14]Data!R2988</f>
        <v>2863.99</v>
      </c>
      <c r="D1048" s="789" t="s">
        <v>37</v>
      </c>
      <c r="E1048" s="691"/>
      <c r="F1048" s="667">
        <f t="shared" si="78"/>
        <v>0</v>
      </c>
      <c r="G1048" s="691"/>
      <c r="H1048" s="667">
        <f t="shared" si="79"/>
        <v>0</v>
      </c>
      <c r="I1048" s="667"/>
      <c r="J1048" s="667"/>
      <c r="K1048" s="667"/>
      <c r="L1048" s="667"/>
      <c r="M1048" s="665" t="e">
        <f>#REF!+#REF!+G1048+#REF!+#REF!+E1048</f>
        <v>#REF!</v>
      </c>
      <c r="N1048" s="666" t="e">
        <f t="shared" ref="N1048:N1079" si="80">M1048*C1048</f>
        <v>#REF!</v>
      </c>
      <c r="O1048" s="672"/>
      <c r="P1048" s="668"/>
      <c r="Q1048" s="676"/>
      <c r="R1048" s="676"/>
    </row>
    <row r="1049" spans="1:18" s="677" customFormat="1" ht="23.25">
      <c r="A1049" s="787"/>
      <c r="B1049" s="791" t="s">
        <v>1984</v>
      </c>
      <c r="C1049" s="787">
        <f>[14]Data!K3085</f>
        <v>3082.51</v>
      </c>
      <c r="D1049" s="789" t="s">
        <v>37</v>
      </c>
      <c r="E1049" s="691"/>
      <c r="F1049" s="667">
        <f t="shared" si="78"/>
        <v>0</v>
      </c>
      <c r="G1049" s="691"/>
      <c r="H1049" s="667">
        <f t="shared" si="79"/>
        <v>0</v>
      </c>
      <c r="I1049" s="667"/>
      <c r="J1049" s="667"/>
      <c r="K1049" s="667"/>
      <c r="L1049" s="667"/>
      <c r="M1049" s="665" t="e">
        <f>#REF!+#REF!+G1049+#REF!+#REF!+E1049</f>
        <v>#REF!</v>
      </c>
      <c r="N1049" s="666" t="e">
        <f t="shared" si="80"/>
        <v>#REF!</v>
      </c>
      <c r="O1049" s="672"/>
      <c r="P1049" s="668"/>
      <c r="Q1049" s="676"/>
      <c r="R1049" s="676"/>
    </row>
    <row r="1050" spans="1:18" s="677" customFormat="1" ht="23.25">
      <c r="A1050" s="787"/>
      <c r="B1050" s="791" t="s">
        <v>1985</v>
      </c>
      <c r="C1050" s="787">
        <f>[14]Data!K3066</f>
        <v>3205.31</v>
      </c>
      <c r="D1050" s="789" t="s">
        <v>37</v>
      </c>
      <c r="E1050" s="691"/>
      <c r="F1050" s="667">
        <f t="shared" si="78"/>
        <v>0</v>
      </c>
      <c r="G1050" s="691"/>
      <c r="H1050" s="667">
        <f t="shared" si="79"/>
        <v>0</v>
      </c>
      <c r="I1050" s="667"/>
      <c r="J1050" s="667"/>
      <c r="K1050" s="667"/>
      <c r="L1050" s="667"/>
      <c r="M1050" s="665" t="e">
        <f>#REF!+#REF!+G1050+#REF!+#REF!+E1050</f>
        <v>#REF!</v>
      </c>
      <c r="N1050" s="666" t="e">
        <f t="shared" si="80"/>
        <v>#REF!</v>
      </c>
      <c r="O1050" s="672"/>
      <c r="P1050" s="668"/>
      <c r="Q1050" s="676"/>
      <c r="R1050" s="676"/>
    </row>
    <row r="1051" spans="1:18" s="677" customFormat="1" ht="23.25">
      <c r="A1051" s="787"/>
      <c r="B1051" s="791" t="s">
        <v>1986</v>
      </c>
      <c r="C1051" s="787">
        <f>[14]Data!R3073</f>
        <v>3027.67</v>
      </c>
      <c r="D1051" s="789" t="s">
        <v>37</v>
      </c>
      <c r="E1051" s="691"/>
      <c r="F1051" s="667">
        <f t="shared" si="78"/>
        <v>0</v>
      </c>
      <c r="G1051" s="691"/>
      <c r="H1051" s="667">
        <f t="shared" si="79"/>
        <v>0</v>
      </c>
      <c r="I1051" s="667"/>
      <c r="J1051" s="667"/>
      <c r="K1051" s="667"/>
      <c r="L1051" s="667"/>
      <c r="M1051" s="665" t="e">
        <f>#REF!+#REF!+G1051+#REF!+#REF!+E1051</f>
        <v>#REF!</v>
      </c>
      <c r="N1051" s="666" t="e">
        <f t="shared" si="80"/>
        <v>#REF!</v>
      </c>
      <c r="O1051" s="672"/>
      <c r="P1051" s="668"/>
      <c r="Q1051" s="676"/>
      <c r="R1051" s="676"/>
    </row>
    <row r="1052" spans="1:18" s="677" customFormat="1" ht="46.5">
      <c r="A1052" s="787"/>
      <c r="B1052" s="792" t="s">
        <v>1987</v>
      </c>
      <c r="C1052" s="787">
        <f>[14]Data!K2877</f>
        <v>2110.4899999999998</v>
      </c>
      <c r="D1052" s="789" t="s">
        <v>37</v>
      </c>
      <c r="E1052" s="691"/>
      <c r="F1052" s="667">
        <f t="shared" si="78"/>
        <v>0</v>
      </c>
      <c r="G1052" s="691"/>
      <c r="H1052" s="667">
        <f t="shared" si="79"/>
        <v>0</v>
      </c>
      <c r="I1052" s="667"/>
      <c r="J1052" s="667"/>
      <c r="K1052" s="667"/>
      <c r="L1052" s="667"/>
      <c r="M1052" s="665" t="e">
        <f>#REF!+#REF!+G1052+#REF!+#REF!+E1052</f>
        <v>#REF!</v>
      </c>
      <c r="N1052" s="666" t="e">
        <f t="shared" si="80"/>
        <v>#REF!</v>
      </c>
      <c r="O1052" s="672"/>
      <c r="P1052" s="668"/>
      <c r="Q1052" s="676"/>
      <c r="R1052" s="676"/>
    </row>
    <row r="1053" spans="1:18" s="677" customFormat="1" ht="23.25">
      <c r="A1053" s="787"/>
      <c r="B1053" s="791" t="s">
        <v>1988</v>
      </c>
      <c r="C1053" s="787">
        <f>[14]Data!K1154</f>
        <v>109.86</v>
      </c>
      <c r="D1053" s="789"/>
      <c r="E1053" s="691"/>
      <c r="F1053" s="667">
        <f t="shared" si="78"/>
        <v>0</v>
      </c>
      <c r="G1053" s="691"/>
      <c r="H1053" s="667">
        <f t="shared" si="79"/>
        <v>0</v>
      </c>
      <c r="I1053" s="667"/>
      <c r="J1053" s="667"/>
      <c r="K1053" s="667"/>
      <c r="L1053" s="667"/>
      <c r="M1053" s="665" t="e">
        <f>#REF!+#REF!+G1053+#REF!+#REF!+E1053</f>
        <v>#REF!</v>
      </c>
      <c r="N1053" s="666" t="e">
        <f t="shared" si="80"/>
        <v>#REF!</v>
      </c>
      <c r="O1053" s="672"/>
      <c r="P1053" s="668"/>
      <c r="Q1053" s="676"/>
      <c r="R1053" s="676"/>
    </row>
    <row r="1054" spans="1:18" s="677" customFormat="1" ht="23.25">
      <c r="A1054" s="787"/>
      <c r="B1054" s="791" t="s">
        <v>1989</v>
      </c>
      <c r="C1054" s="787">
        <f>[14]Data!K1167</f>
        <v>172.13</v>
      </c>
      <c r="D1054" s="789"/>
      <c r="E1054" s="691"/>
      <c r="F1054" s="667">
        <f t="shared" si="78"/>
        <v>0</v>
      </c>
      <c r="G1054" s="691"/>
      <c r="H1054" s="667">
        <f t="shared" si="79"/>
        <v>0</v>
      </c>
      <c r="I1054" s="667"/>
      <c r="J1054" s="667"/>
      <c r="K1054" s="667"/>
      <c r="L1054" s="667"/>
      <c r="M1054" s="665" t="e">
        <f>#REF!+#REF!+G1054+#REF!+#REF!+E1054</f>
        <v>#REF!</v>
      </c>
      <c r="N1054" s="666" t="e">
        <f t="shared" si="80"/>
        <v>#REF!</v>
      </c>
      <c r="O1054" s="672"/>
      <c r="P1054" s="668"/>
      <c r="Q1054" s="676"/>
      <c r="R1054" s="676"/>
    </row>
    <row r="1055" spans="1:18" s="677" customFormat="1" ht="23.25">
      <c r="A1055" s="787"/>
      <c r="B1055" s="791" t="s">
        <v>1990</v>
      </c>
      <c r="C1055" s="787">
        <f>[14]Data!K2448</f>
        <v>686.18</v>
      </c>
      <c r="D1055" s="789"/>
      <c r="E1055" s="691"/>
      <c r="F1055" s="667">
        <f t="shared" si="78"/>
        <v>0</v>
      </c>
      <c r="G1055" s="691"/>
      <c r="H1055" s="667">
        <f t="shared" si="79"/>
        <v>0</v>
      </c>
      <c r="I1055" s="667"/>
      <c r="J1055" s="667"/>
      <c r="K1055" s="667"/>
      <c r="L1055" s="667"/>
      <c r="M1055" s="665" t="e">
        <f>#REF!+#REF!+G1055+#REF!+#REF!+E1055</f>
        <v>#REF!</v>
      </c>
      <c r="N1055" s="666" t="e">
        <f t="shared" si="80"/>
        <v>#REF!</v>
      </c>
      <c r="O1055" s="672"/>
      <c r="P1055" s="668"/>
      <c r="Q1055" s="676"/>
      <c r="R1055" s="676"/>
    </row>
    <row r="1056" spans="1:18" s="677" customFormat="1" ht="23.25">
      <c r="A1056" s="787"/>
      <c r="B1056" s="791" t="s">
        <v>1991</v>
      </c>
      <c r="C1056" s="787">
        <f>[14]Data!K2798</f>
        <v>1539.23</v>
      </c>
      <c r="D1056" s="789"/>
      <c r="E1056" s="691"/>
      <c r="F1056" s="667">
        <f t="shared" si="78"/>
        <v>0</v>
      </c>
      <c r="G1056" s="691"/>
      <c r="H1056" s="667">
        <f t="shared" si="79"/>
        <v>0</v>
      </c>
      <c r="I1056" s="667"/>
      <c r="J1056" s="667"/>
      <c r="K1056" s="667"/>
      <c r="L1056" s="667"/>
      <c r="M1056" s="665" t="e">
        <f>#REF!+#REF!+G1056+#REF!+#REF!+E1056</f>
        <v>#REF!</v>
      </c>
      <c r="N1056" s="666" t="e">
        <f t="shared" si="80"/>
        <v>#REF!</v>
      </c>
      <c r="O1056" s="672"/>
      <c r="P1056" s="668"/>
      <c r="Q1056" s="676"/>
      <c r="R1056" s="676"/>
    </row>
    <row r="1057" spans="1:18" s="677" customFormat="1" ht="69.75">
      <c r="A1057" s="787"/>
      <c r="B1057" s="792" t="s">
        <v>1992</v>
      </c>
      <c r="C1057" s="787">
        <f>[14]Elec.Data!K3011</f>
        <v>2424.4299999999998</v>
      </c>
      <c r="D1057" s="789"/>
      <c r="E1057" s="691"/>
      <c r="F1057" s="667">
        <f t="shared" si="78"/>
        <v>0</v>
      </c>
      <c r="G1057" s="691"/>
      <c r="H1057" s="667">
        <f t="shared" si="79"/>
        <v>0</v>
      </c>
      <c r="I1057" s="667"/>
      <c r="J1057" s="667"/>
      <c r="K1057" s="667"/>
      <c r="L1057" s="667"/>
      <c r="M1057" s="665" t="e">
        <f>#REF!+#REF!+G1057+#REF!+#REF!+E1057</f>
        <v>#REF!</v>
      </c>
      <c r="N1057" s="666" t="e">
        <f t="shared" si="80"/>
        <v>#REF!</v>
      </c>
      <c r="O1057" s="672"/>
      <c r="P1057" s="668"/>
      <c r="Q1057" s="676"/>
      <c r="R1057" s="676"/>
    </row>
    <row r="1058" spans="1:18" s="677" customFormat="1" ht="69.75">
      <c r="A1058" s="787"/>
      <c r="B1058" s="792" t="s">
        <v>1993</v>
      </c>
      <c r="C1058" s="787">
        <f>[14]Elec.Data!K3023</f>
        <v>2425.48</v>
      </c>
      <c r="D1058" s="789"/>
      <c r="E1058" s="691"/>
      <c r="F1058" s="667">
        <f t="shared" si="78"/>
        <v>0</v>
      </c>
      <c r="G1058" s="691"/>
      <c r="H1058" s="667">
        <f t="shared" si="79"/>
        <v>0</v>
      </c>
      <c r="I1058" s="667"/>
      <c r="J1058" s="667"/>
      <c r="K1058" s="667"/>
      <c r="L1058" s="667"/>
      <c r="M1058" s="665" t="e">
        <f>#REF!+#REF!+G1058+#REF!+#REF!+E1058</f>
        <v>#REF!</v>
      </c>
      <c r="N1058" s="666" t="e">
        <f t="shared" si="80"/>
        <v>#REF!</v>
      </c>
      <c r="O1058" s="672"/>
      <c r="P1058" s="668"/>
      <c r="Q1058" s="676"/>
      <c r="R1058" s="676"/>
    </row>
    <row r="1059" spans="1:18" s="677" customFormat="1" ht="46.5">
      <c r="A1059" s="787"/>
      <c r="B1059" s="792" t="s">
        <v>1994</v>
      </c>
      <c r="C1059" s="787">
        <f>[14]Elec.Data!K3044</f>
        <v>2491.65</v>
      </c>
      <c r="D1059" s="789"/>
      <c r="E1059" s="691"/>
      <c r="F1059" s="667">
        <f t="shared" si="78"/>
        <v>0</v>
      </c>
      <c r="G1059" s="691"/>
      <c r="H1059" s="667">
        <f t="shared" si="79"/>
        <v>0</v>
      </c>
      <c r="I1059" s="667"/>
      <c r="J1059" s="667"/>
      <c r="K1059" s="667"/>
      <c r="L1059" s="667"/>
      <c r="M1059" s="665" t="e">
        <f>#REF!+#REF!+G1059+#REF!+#REF!+E1059</f>
        <v>#REF!</v>
      </c>
      <c r="N1059" s="666" t="e">
        <f t="shared" si="80"/>
        <v>#REF!</v>
      </c>
      <c r="O1059" s="672"/>
      <c r="P1059" s="668"/>
      <c r="Q1059" s="676"/>
      <c r="R1059" s="676"/>
    </row>
    <row r="1060" spans="1:18" s="677" customFormat="1" ht="69.75">
      <c r="A1060" s="787"/>
      <c r="B1060" s="792" t="s">
        <v>1995</v>
      </c>
      <c r="C1060" s="787">
        <f>[14]Elec.Data!K3063</f>
        <v>4553.6099999999997</v>
      </c>
      <c r="D1060" s="789"/>
      <c r="E1060" s="691"/>
      <c r="F1060" s="667">
        <f t="shared" si="78"/>
        <v>0</v>
      </c>
      <c r="G1060" s="691"/>
      <c r="H1060" s="667">
        <f t="shared" si="79"/>
        <v>0</v>
      </c>
      <c r="I1060" s="667"/>
      <c r="J1060" s="667"/>
      <c r="K1060" s="667"/>
      <c r="L1060" s="667"/>
      <c r="M1060" s="665" t="e">
        <f>#REF!+#REF!+G1060+#REF!+#REF!+E1060</f>
        <v>#REF!</v>
      </c>
      <c r="N1060" s="666" t="e">
        <f t="shared" si="80"/>
        <v>#REF!</v>
      </c>
      <c r="O1060" s="672"/>
      <c r="P1060" s="668"/>
      <c r="Q1060" s="676"/>
      <c r="R1060" s="676"/>
    </row>
    <row r="1061" spans="1:18" s="677" customFormat="1" ht="23.25">
      <c r="A1061" s="787"/>
      <c r="B1061" s="792" t="s">
        <v>1996</v>
      </c>
      <c r="C1061" s="787">
        <f>[14]Elec.Data!K3092</f>
        <v>209.78</v>
      </c>
      <c r="D1061" s="789"/>
      <c r="E1061" s="691"/>
      <c r="F1061" s="667">
        <f t="shared" si="78"/>
        <v>0</v>
      </c>
      <c r="G1061" s="691"/>
      <c r="H1061" s="667">
        <f t="shared" si="79"/>
        <v>0</v>
      </c>
      <c r="I1061" s="667"/>
      <c r="J1061" s="667"/>
      <c r="K1061" s="667"/>
      <c r="L1061" s="667"/>
      <c r="M1061" s="665" t="e">
        <f>#REF!+#REF!+G1061+#REF!+#REF!+E1061</f>
        <v>#REF!</v>
      </c>
      <c r="N1061" s="666" t="e">
        <f t="shared" si="80"/>
        <v>#REF!</v>
      </c>
      <c r="O1061" s="672"/>
      <c r="P1061" s="668"/>
      <c r="Q1061" s="676"/>
      <c r="R1061" s="676"/>
    </row>
    <row r="1062" spans="1:18" s="677" customFormat="1" ht="23.25">
      <c r="A1062" s="787"/>
      <c r="B1062" s="792" t="s">
        <v>1997</v>
      </c>
      <c r="C1062" s="787">
        <f>[14]Elec.Data!K3105</f>
        <v>246.68</v>
      </c>
      <c r="D1062" s="789"/>
      <c r="E1062" s="691"/>
      <c r="F1062" s="667">
        <f t="shared" si="78"/>
        <v>0</v>
      </c>
      <c r="G1062" s="691"/>
      <c r="H1062" s="667">
        <f t="shared" si="79"/>
        <v>0</v>
      </c>
      <c r="I1062" s="667"/>
      <c r="J1062" s="667"/>
      <c r="K1062" s="667"/>
      <c r="L1062" s="667"/>
      <c r="M1062" s="665" t="e">
        <f>#REF!+#REF!+G1062+#REF!+#REF!+E1062</f>
        <v>#REF!</v>
      </c>
      <c r="N1062" s="666" t="e">
        <f t="shared" si="80"/>
        <v>#REF!</v>
      </c>
      <c r="O1062" s="672"/>
      <c r="P1062" s="668"/>
      <c r="Q1062" s="676"/>
      <c r="R1062" s="676"/>
    </row>
    <row r="1063" spans="1:18" s="677" customFormat="1" ht="23.25">
      <c r="A1063" s="787"/>
      <c r="B1063" s="792" t="s">
        <v>1998</v>
      </c>
      <c r="C1063" s="787">
        <f>[14]Elec.Data!K3119</f>
        <v>368.57</v>
      </c>
      <c r="D1063" s="789"/>
      <c r="E1063" s="691"/>
      <c r="F1063" s="667">
        <f t="shared" si="78"/>
        <v>0</v>
      </c>
      <c r="G1063" s="691"/>
      <c r="H1063" s="667">
        <f t="shared" si="79"/>
        <v>0</v>
      </c>
      <c r="I1063" s="667"/>
      <c r="J1063" s="667"/>
      <c r="K1063" s="667"/>
      <c r="L1063" s="667"/>
      <c r="M1063" s="665" t="e">
        <f>#REF!+#REF!+G1063+#REF!+#REF!+E1063</f>
        <v>#REF!</v>
      </c>
      <c r="N1063" s="666" t="e">
        <f t="shared" si="80"/>
        <v>#REF!</v>
      </c>
      <c r="O1063" s="672"/>
      <c r="P1063" s="668"/>
      <c r="Q1063" s="676"/>
      <c r="R1063" s="676"/>
    </row>
    <row r="1064" spans="1:18" s="677" customFormat="1" ht="93">
      <c r="A1064" s="787"/>
      <c r="B1064" s="792" t="s">
        <v>1999</v>
      </c>
      <c r="C1064" s="787">
        <f>[14]Elec.Data!K3173</f>
        <v>1308</v>
      </c>
      <c r="D1064" s="789"/>
      <c r="E1064" s="691"/>
      <c r="F1064" s="667">
        <f t="shared" si="78"/>
        <v>0</v>
      </c>
      <c r="G1064" s="691"/>
      <c r="H1064" s="667">
        <f t="shared" si="79"/>
        <v>0</v>
      </c>
      <c r="I1064" s="667"/>
      <c r="J1064" s="667"/>
      <c r="K1064" s="667"/>
      <c r="L1064" s="667"/>
      <c r="M1064" s="665" t="e">
        <f>#REF!+#REF!+G1064+#REF!+#REF!+E1064</f>
        <v>#REF!</v>
      </c>
      <c r="N1064" s="666" t="e">
        <f t="shared" si="80"/>
        <v>#REF!</v>
      </c>
      <c r="O1064" s="672"/>
      <c r="P1064" s="668"/>
      <c r="Q1064" s="676"/>
      <c r="R1064" s="676"/>
    </row>
    <row r="1065" spans="1:18" s="677" customFormat="1" ht="93">
      <c r="A1065" s="787"/>
      <c r="B1065" s="792" t="s">
        <v>2000</v>
      </c>
      <c r="C1065" s="787">
        <f>[14]Elec.Data!K3184</f>
        <v>984.5</v>
      </c>
      <c r="D1065" s="789"/>
      <c r="E1065" s="691"/>
      <c r="F1065" s="667">
        <f t="shared" si="78"/>
        <v>0</v>
      </c>
      <c r="G1065" s="691"/>
      <c r="H1065" s="667">
        <f t="shared" si="79"/>
        <v>0</v>
      </c>
      <c r="I1065" s="667"/>
      <c r="J1065" s="667"/>
      <c r="K1065" s="667"/>
      <c r="L1065" s="667"/>
      <c r="M1065" s="665" t="e">
        <f>#REF!+#REF!+G1065+#REF!+#REF!+E1065</f>
        <v>#REF!</v>
      </c>
      <c r="N1065" s="666" t="e">
        <f t="shared" si="80"/>
        <v>#REF!</v>
      </c>
      <c r="O1065" s="672"/>
      <c r="P1065" s="668"/>
      <c r="Q1065" s="676"/>
      <c r="R1065" s="676"/>
    </row>
    <row r="1066" spans="1:18" s="677" customFormat="1" ht="69.75">
      <c r="A1066" s="787"/>
      <c r="B1066" s="792" t="s">
        <v>2001</v>
      </c>
      <c r="C1066" s="787">
        <f>[14]Elec.Data!K3195</f>
        <v>1662.67</v>
      </c>
      <c r="D1066" s="789"/>
      <c r="E1066" s="691"/>
      <c r="F1066" s="667">
        <f t="shared" si="78"/>
        <v>0</v>
      </c>
      <c r="G1066" s="691"/>
      <c r="H1066" s="667">
        <f t="shared" si="79"/>
        <v>0</v>
      </c>
      <c r="I1066" s="667"/>
      <c r="J1066" s="667"/>
      <c r="K1066" s="667"/>
      <c r="L1066" s="667"/>
      <c r="M1066" s="665" t="e">
        <f>#REF!+#REF!+G1066+#REF!+#REF!+E1066</f>
        <v>#REF!</v>
      </c>
      <c r="N1066" s="666" t="e">
        <f t="shared" si="80"/>
        <v>#REF!</v>
      </c>
      <c r="O1066" s="672"/>
      <c r="P1066" s="668"/>
      <c r="Q1066" s="676"/>
      <c r="R1066" s="676"/>
    </row>
    <row r="1067" spans="1:18" s="677" customFormat="1" ht="69.75">
      <c r="A1067" s="787"/>
      <c r="B1067" s="792" t="s">
        <v>2002</v>
      </c>
      <c r="C1067" s="787">
        <f>[14]Elec.Data!K3210</f>
        <v>2083.67</v>
      </c>
      <c r="D1067" s="789"/>
      <c r="E1067" s="691"/>
      <c r="F1067" s="667">
        <f t="shared" si="78"/>
        <v>0</v>
      </c>
      <c r="G1067" s="691"/>
      <c r="H1067" s="667">
        <f t="shared" si="79"/>
        <v>0</v>
      </c>
      <c r="I1067" s="667"/>
      <c r="J1067" s="667"/>
      <c r="K1067" s="667"/>
      <c r="L1067" s="667"/>
      <c r="M1067" s="665" t="e">
        <f>#REF!+#REF!+G1067+#REF!+#REF!+E1067</f>
        <v>#REF!</v>
      </c>
      <c r="N1067" s="666" t="e">
        <f t="shared" si="80"/>
        <v>#REF!</v>
      </c>
      <c r="O1067" s="672"/>
      <c r="P1067" s="668"/>
      <c r="Q1067" s="676"/>
      <c r="R1067" s="676"/>
    </row>
    <row r="1068" spans="1:18" s="677" customFormat="1" ht="116.25">
      <c r="A1068" s="787"/>
      <c r="B1068" s="792" t="s">
        <v>2003</v>
      </c>
      <c r="C1068" s="787">
        <f>[14]Elec.Data!K3233</f>
        <v>4116.8500000000004</v>
      </c>
      <c r="D1068" s="789"/>
      <c r="E1068" s="691"/>
      <c r="F1068" s="667">
        <f t="shared" si="78"/>
        <v>0</v>
      </c>
      <c r="G1068" s="691"/>
      <c r="H1068" s="667">
        <f t="shared" si="79"/>
        <v>0</v>
      </c>
      <c r="I1068" s="667"/>
      <c r="J1068" s="667"/>
      <c r="K1068" s="667"/>
      <c r="L1068" s="667"/>
      <c r="M1068" s="665" t="e">
        <f>#REF!+#REF!+G1068+#REF!+#REF!+E1068</f>
        <v>#REF!</v>
      </c>
      <c r="N1068" s="666" t="e">
        <f t="shared" si="80"/>
        <v>#REF!</v>
      </c>
      <c r="O1068" s="672"/>
      <c r="P1068" s="668"/>
      <c r="Q1068" s="676"/>
      <c r="R1068" s="676"/>
    </row>
    <row r="1069" spans="1:18" s="677" customFormat="1" ht="93">
      <c r="A1069" s="787"/>
      <c r="B1069" s="792" t="s">
        <v>2004</v>
      </c>
      <c r="C1069" s="787">
        <f>[14]Elec.Data!K3221</f>
        <v>3342.85</v>
      </c>
      <c r="D1069" s="789"/>
      <c r="E1069" s="691"/>
      <c r="F1069" s="667">
        <f t="shared" si="78"/>
        <v>0</v>
      </c>
      <c r="G1069" s="691"/>
      <c r="H1069" s="667">
        <f t="shared" si="79"/>
        <v>0</v>
      </c>
      <c r="I1069" s="667"/>
      <c r="J1069" s="667"/>
      <c r="K1069" s="667"/>
      <c r="L1069" s="667"/>
      <c r="M1069" s="665" t="e">
        <f>#REF!+#REF!+G1069+#REF!+#REF!+E1069</f>
        <v>#REF!</v>
      </c>
      <c r="N1069" s="666" t="e">
        <f t="shared" si="80"/>
        <v>#REF!</v>
      </c>
      <c r="O1069" s="672"/>
      <c r="P1069" s="668"/>
      <c r="Q1069" s="676"/>
      <c r="R1069" s="676"/>
    </row>
    <row r="1070" spans="1:18" s="677" customFormat="1" ht="46.5">
      <c r="A1070" s="787"/>
      <c r="B1070" s="792" t="s">
        <v>2005</v>
      </c>
      <c r="C1070" s="787">
        <f>[14]Elec.Data!K3244</f>
        <v>275.19</v>
      </c>
      <c r="D1070" s="789"/>
      <c r="E1070" s="691"/>
      <c r="F1070" s="667">
        <f t="shared" si="78"/>
        <v>0</v>
      </c>
      <c r="G1070" s="691"/>
      <c r="H1070" s="667">
        <f t="shared" si="79"/>
        <v>0</v>
      </c>
      <c r="I1070" s="667"/>
      <c r="J1070" s="667"/>
      <c r="K1070" s="667"/>
      <c r="L1070" s="667"/>
      <c r="M1070" s="665" t="e">
        <f>#REF!+#REF!+G1070+#REF!+#REF!+E1070</f>
        <v>#REF!</v>
      </c>
      <c r="N1070" s="666" t="e">
        <f t="shared" si="80"/>
        <v>#REF!</v>
      </c>
      <c r="O1070" s="672"/>
      <c r="P1070" s="668"/>
      <c r="Q1070" s="676"/>
      <c r="R1070" s="676"/>
    </row>
    <row r="1071" spans="1:18" s="677" customFormat="1" ht="46.5">
      <c r="A1071" s="787"/>
      <c r="B1071" s="792" t="s">
        <v>2006</v>
      </c>
      <c r="C1071" s="787">
        <f>[14]Elec.Data!K3262</f>
        <v>463.6</v>
      </c>
      <c r="D1071" s="789"/>
      <c r="E1071" s="691"/>
      <c r="F1071" s="667">
        <f t="shared" si="78"/>
        <v>0</v>
      </c>
      <c r="G1071" s="691"/>
      <c r="H1071" s="667">
        <f t="shared" si="79"/>
        <v>0</v>
      </c>
      <c r="I1071" s="667"/>
      <c r="J1071" s="667"/>
      <c r="K1071" s="667"/>
      <c r="L1071" s="667"/>
      <c r="M1071" s="665" t="e">
        <f>#REF!+#REF!+G1071+#REF!+#REF!+E1071</f>
        <v>#REF!</v>
      </c>
      <c r="N1071" s="666" t="e">
        <f t="shared" si="80"/>
        <v>#REF!</v>
      </c>
      <c r="O1071" s="672"/>
      <c r="P1071" s="668"/>
      <c r="Q1071" s="676"/>
      <c r="R1071" s="676"/>
    </row>
    <row r="1072" spans="1:18" s="677" customFormat="1" ht="46.5">
      <c r="A1072" s="787"/>
      <c r="B1072" s="792" t="s">
        <v>2007</v>
      </c>
      <c r="C1072" s="787">
        <f>[14]Elec.Data!K3333</f>
        <v>361.01</v>
      </c>
      <c r="D1072" s="789"/>
      <c r="E1072" s="691"/>
      <c r="F1072" s="667">
        <f t="shared" si="78"/>
        <v>0</v>
      </c>
      <c r="G1072" s="691"/>
      <c r="H1072" s="667">
        <f t="shared" si="79"/>
        <v>0</v>
      </c>
      <c r="I1072" s="667"/>
      <c r="J1072" s="667"/>
      <c r="K1072" s="667"/>
      <c r="L1072" s="667"/>
      <c r="M1072" s="665" t="e">
        <f>#REF!+#REF!+G1072+#REF!+#REF!+E1072</f>
        <v>#REF!</v>
      </c>
      <c r="N1072" s="666" t="e">
        <f t="shared" si="80"/>
        <v>#REF!</v>
      </c>
      <c r="O1072" s="672"/>
      <c r="P1072" s="668"/>
      <c r="Q1072" s="676"/>
      <c r="R1072" s="676"/>
    </row>
    <row r="1073" spans="1:18" s="677" customFormat="1" ht="46.5">
      <c r="A1073" s="787"/>
      <c r="B1073" s="792" t="s">
        <v>2008</v>
      </c>
      <c r="C1073" s="787">
        <f>[14]Elec.Data!K3348</f>
        <v>714.1</v>
      </c>
      <c r="D1073" s="789"/>
      <c r="E1073" s="691"/>
      <c r="F1073" s="667">
        <f t="shared" si="78"/>
        <v>0</v>
      </c>
      <c r="G1073" s="691"/>
      <c r="H1073" s="667">
        <f t="shared" si="79"/>
        <v>0</v>
      </c>
      <c r="I1073" s="667"/>
      <c r="J1073" s="667"/>
      <c r="K1073" s="667"/>
      <c r="L1073" s="667"/>
      <c r="M1073" s="665" t="e">
        <f>#REF!+#REF!+G1073+#REF!+#REF!+E1073</f>
        <v>#REF!</v>
      </c>
      <c r="N1073" s="666" t="e">
        <f t="shared" si="80"/>
        <v>#REF!</v>
      </c>
      <c r="O1073" s="672"/>
      <c r="P1073" s="668"/>
      <c r="Q1073" s="676"/>
      <c r="R1073" s="676"/>
    </row>
    <row r="1074" spans="1:18" s="677" customFormat="1" ht="46.5">
      <c r="A1074" s="787"/>
      <c r="B1074" s="792" t="s">
        <v>2009</v>
      </c>
      <c r="C1074" s="787">
        <f>[14]Elec.Data!K3366</f>
        <v>449.93</v>
      </c>
      <c r="D1074" s="789"/>
      <c r="E1074" s="691"/>
      <c r="F1074" s="667">
        <f t="shared" si="78"/>
        <v>0</v>
      </c>
      <c r="G1074" s="691"/>
      <c r="H1074" s="667">
        <f t="shared" si="79"/>
        <v>0</v>
      </c>
      <c r="I1074" s="667"/>
      <c r="J1074" s="667"/>
      <c r="K1074" s="667"/>
      <c r="L1074" s="667"/>
      <c r="M1074" s="665" t="e">
        <f>#REF!+#REF!+G1074+#REF!+#REF!+E1074</f>
        <v>#REF!</v>
      </c>
      <c r="N1074" s="666" t="e">
        <f t="shared" si="80"/>
        <v>#REF!</v>
      </c>
      <c r="O1074" s="672"/>
      <c r="P1074" s="668"/>
      <c r="Q1074" s="676"/>
      <c r="R1074" s="676"/>
    </row>
    <row r="1075" spans="1:18" s="677" customFormat="1" ht="46.5">
      <c r="A1075" s="787"/>
      <c r="B1075" s="792" t="s">
        <v>2010</v>
      </c>
      <c r="C1075" s="787">
        <f>[14]Elec.Data!K3379</f>
        <v>728.1</v>
      </c>
      <c r="D1075" s="789"/>
      <c r="E1075" s="691"/>
      <c r="F1075" s="667">
        <f t="shared" si="78"/>
        <v>0</v>
      </c>
      <c r="G1075" s="691"/>
      <c r="H1075" s="667">
        <f t="shared" si="79"/>
        <v>0</v>
      </c>
      <c r="I1075" s="667"/>
      <c r="J1075" s="667"/>
      <c r="K1075" s="667"/>
      <c r="L1075" s="667"/>
      <c r="M1075" s="665" t="e">
        <f>#REF!+#REF!+G1075+#REF!+#REF!+E1075</f>
        <v>#REF!</v>
      </c>
      <c r="N1075" s="666" t="e">
        <f t="shared" si="80"/>
        <v>#REF!</v>
      </c>
      <c r="O1075" s="672"/>
      <c r="P1075" s="668"/>
      <c r="Q1075" s="676"/>
      <c r="R1075" s="676"/>
    </row>
    <row r="1076" spans="1:18" s="677" customFormat="1" ht="46.5">
      <c r="A1076" s="787"/>
      <c r="B1076" s="792" t="s">
        <v>2011</v>
      </c>
      <c r="C1076" s="787">
        <f>[14]Elec.Data!K3384</f>
        <v>1505</v>
      </c>
      <c r="D1076" s="789"/>
      <c r="E1076" s="691"/>
      <c r="F1076" s="667">
        <f t="shared" si="78"/>
        <v>0</v>
      </c>
      <c r="G1076" s="691"/>
      <c r="H1076" s="667">
        <f t="shared" si="79"/>
        <v>0</v>
      </c>
      <c r="I1076" s="667"/>
      <c r="J1076" s="667"/>
      <c r="K1076" s="667"/>
      <c r="L1076" s="667"/>
      <c r="M1076" s="665" t="e">
        <f>#REF!+#REF!+G1076+#REF!+#REF!+E1076</f>
        <v>#REF!</v>
      </c>
      <c r="N1076" s="666" t="e">
        <f t="shared" si="80"/>
        <v>#REF!</v>
      </c>
      <c r="O1076" s="672"/>
      <c r="P1076" s="668"/>
      <c r="Q1076" s="676"/>
      <c r="R1076" s="676"/>
    </row>
    <row r="1077" spans="1:18" s="677" customFormat="1" ht="46.5">
      <c r="A1077" s="787"/>
      <c r="B1077" s="792" t="s">
        <v>2012</v>
      </c>
      <c r="C1077" s="787">
        <f>[14]Elec.Data!K3389</f>
        <v>1858</v>
      </c>
      <c r="D1077" s="789"/>
      <c r="E1077" s="691"/>
      <c r="F1077" s="667">
        <f t="shared" ref="F1077:F1108" si="81">E1077*C1077</f>
        <v>0</v>
      </c>
      <c r="G1077" s="691"/>
      <c r="H1077" s="667">
        <f t="shared" ref="H1077:H1108" si="82">G1077*C1077</f>
        <v>0</v>
      </c>
      <c r="I1077" s="667"/>
      <c r="J1077" s="667"/>
      <c r="K1077" s="667"/>
      <c r="L1077" s="667"/>
      <c r="M1077" s="665" t="e">
        <f>#REF!+#REF!+G1077+#REF!+#REF!+E1077</f>
        <v>#REF!</v>
      </c>
      <c r="N1077" s="666" t="e">
        <f t="shared" si="80"/>
        <v>#REF!</v>
      </c>
      <c r="O1077" s="672"/>
      <c r="P1077" s="668"/>
      <c r="Q1077" s="676"/>
      <c r="R1077" s="676"/>
    </row>
    <row r="1078" spans="1:18" s="677" customFormat="1" ht="69.75">
      <c r="A1078" s="787"/>
      <c r="B1078" s="792" t="s">
        <v>2013</v>
      </c>
      <c r="C1078" s="787">
        <f>[14]Elec.Data!K3501</f>
        <v>142.97999999999999</v>
      </c>
      <c r="D1078" s="789"/>
      <c r="E1078" s="691"/>
      <c r="F1078" s="667">
        <f t="shared" si="81"/>
        <v>0</v>
      </c>
      <c r="G1078" s="691"/>
      <c r="H1078" s="667">
        <f t="shared" si="82"/>
        <v>0</v>
      </c>
      <c r="I1078" s="667"/>
      <c r="J1078" s="667"/>
      <c r="K1078" s="667"/>
      <c r="L1078" s="667"/>
      <c r="M1078" s="665" t="e">
        <f>#REF!+#REF!+G1078+#REF!+#REF!+E1078</f>
        <v>#REF!</v>
      </c>
      <c r="N1078" s="666" t="e">
        <f t="shared" si="80"/>
        <v>#REF!</v>
      </c>
      <c r="O1078" s="672"/>
      <c r="P1078" s="668"/>
      <c r="Q1078" s="676"/>
      <c r="R1078" s="676"/>
    </row>
    <row r="1079" spans="1:18" s="677" customFormat="1" ht="69.75">
      <c r="A1079" s="787"/>
      <c r="B1079" s="792" t="s">
        <v>2014</v>
      </c>
      <c r="C1079" s="787">
        <f>[14]Elec.Data!K3539</f>
        <v>251.18</v>
      </c>
      <c r="D1079" s="789"/>
      <c r="E1079" s="691"/>
      <c r="F1079" s="667">
        <f t="shared" si="81"/>
        <v>0</v>
      </c>
      <c r="G1079" s="691"/>
      <c r="H1079" s="667">
        <f t="shared" si="82"/>
        <v>0</v>
      </c>
      <c r="I1079" s="667"/>
      <c r="J1079" s="667"/>
      <c r="K1079" s="667"/>
      <c r="L1079" s="667"/>
      <c r="M1079" s="665" t="e">
        <f>#REF!+#REF!+G1079+#REF!+#REF!+E1079</f>
        <v>#REF!</v>
      </c>
      <c r="N1079" s="666" t="e">
        <f t="shared" si="80"/>
        <v>#REF!</v>
      </c>
      <c r="O1079" s="672"/>
      <c r="P1079" s="668"/>
      <c r="Q1079" s="676"/>
      <c r="R1079" s="676"/>
    </row>
    <row r="1080" spans="1:18" s="677" customFormat="1" ht="23.25">
      <c r="A1080" s="787"/>
      <c r="B1080" s="792" t="s">
        <v>2015</v>
      </c>
      <c r="C1080" s="787">
        <f>[14]Elec.Data!K3547</f>
        <v>165</v>
      </c>
      <c r="D1080" s="789"/>
      <c r="E1080" s="691"/>
      <c r="F1080" s="667">
        <f t="shared" si="81"/>
        <v>0</v>
      </c>
      <c r="G1080" s="691"/>
      <c r="H1080" s="667">
        <f t="shared" si="82"/>
        <v>0</v>
      </c>
      <c r="I1080" s="667"/>
      <c r="J1080" s="667"/>
      <c r="K1080" s="667"/>
      <c r="L1080" s="667"/>
      <c r="M1080" s="665" t="e">
        <f>#REF!+#REF!+G1080+#REF!+#REF!+E1080</f>
        <v>#REF!</v>
      </c>
      <c r="N1080" s="666" t="e">
        <f t="shared" ref="N1080:N1111" si="83">M1080*C1080</f>
        <v>#REF!</v>
      </c>
      <c r="O1080" s="672"/>
      <c r="P1080" s="668"/>
      <c r="Q1080" s="676"/>
      <c r="R1080" s="676"/>
    </row>
    <row r="1081" spans="1:18" s="677" customFormat="1" ht="23.25">
      <c r="A1081" s="787"/>
      <c r="B1081" s="792" t="s">
        <v>2016</v>
      </c>
      <c r="C1081" s="787">
        <f>[14]Elec.Data!K3567</f>
        <v>245.49</v>
      </c>
      <c r="D1081" s="789"/>
      <c r="E1081" s="691"/>
      <c r="F1081" s="667">
        <f t="shared" si="81"/>
        <v>0</v>
      </c>
      <c r="G1081" s="691"/>
      <c r="H1081" s="667">
        <f t="shared" si="82"/>
        <v>0</v>
      </c>
      <c r="I1081" s="667"/>
      <c r="J1081" s="667"/>
      <c r="K1081" s="667"/>
      <c r="L1081" s="667"/>
      <c r="M1081" s="665" t="e">
        <f>#REF!+#REF!+G1081+#REF!+#REF!+E1081</f>
        <v>#REF!</v>
      </c>
      <c r="N1081" s="666" t="e">
        <f t="shared" si="83"/>
        <v>#REF!</v>
      </c>
      <c r="O1081" s="672"/>
      <c r="P1081" s="668"/>
      <c r="Q1081" s="676"/>
      <c r="R1081" s="676"/>
    </row>
    <row r="1082" spans="1:18" s="677" customFormat="1" ht="23.25">
      <c r="A1082" s="787"/>
      <c r="B1082" s="792" t="s">
        <v>2017</v>
      </c>
      <c r="C1082" s="787">
        <f>[14]Elec.Data!K3584</f>
        <v>150.69</v>
      </c>
      <c r="D1082" s="789"/>
      <c r="E1082" s="691"/>
      <c r="F1082" s="667">
        <f t="shared" si="81"/>
        <v>0</v>
      </c>
      <c r="G1082" s="691"/>
      <c r="H1082" s="667">
        <f t="shared" si="82"/>
        <v>0</v>
      </c>
      <c r="I1082" s="667"/>
      <c r="J1082" s="667"/>
      <c r="K1082" s="667"/>
      <c r="L1082" s="667"/>
      <c r="M1082" s="665" t="e">
        <f>#REF!+#REF!+G1082+#REF!+#REF!+E1082</f>
        <v>#REF!</v>
      </c>
      <c r="N1082" s="666" t="e">
        <f t="shared" si="83"/>
        <v>#REF!</v>
      </c>
      <c r="O1082" s="672"/>
      <c r="P1082" s="668"/>
      <c r="Q1082" s="676"/>
      <c r="R1082" s="676"/>
    </row>
    <row r="1083" spans="1:18" s="677" customFormat="1" ht="23.25">
      <c r="A1083" s="787"/>
      <c r="B1083" s="792" t="s">
        <v>2018</v>
      </c>
      <c r="C1083" s="787">
        <f>[14]Elec.Data!K3619</f>
        <v>2092</v>
      </c>
      <c r="D1083" s="789"/>
      <c r="E1083" s="691"/>
      <c r="F1083" s="667">
        <f t="shared" si="81"/>
        <v>0</v>
      </c>
      <c r="G1083" s="691"/>
      <c r="H1083" s="667">
        <f t="shared" si="82"/>
        <v>0</v>
      </c>
      <c r="I1083" s="667"/>
      <c r="J1083" s="667"/>
      <c r="K1083" s="667"/>
      <c r="L1083" s="667"/>
      <c r="M1083" s="665" t="e">
        <f>#REF!+#REF!+G1083+#REF!+#REF!+E1083</f>
        <v>#REF!</v>
      </c>
      <c r="N1083" s="666" t="e">
        <f t="shared" si="83"/>
        <v>#REF!</v>
      </c>
      <c r="O1083" s="672"/>
      <c r="P1083" s="668"/>
      <c r="Q1083" s="676"/>
      <c r="R1083" s="676"/>
    </row>
    <row r="1084" spans="1:18" s="677" customFormat="1" ht="116.25">
      <c r="A1084" s="787"/>
      <c r="B1084" s="792" t="s">
        <v>2019</v>
      </c>
      <c r="C1084" s="787">
        <f>[14]Elec.Data!K3650</f>
        <v>2207.4</v>
      </c>
      <c r="D1084" s="789"/>
      <c r="E1084" s="691"/>
      <c r="F1084" s="667">
        <f t="shared" si="81"/>
        <v>0</v>
      </c>
      <c r="G1084" s="691"/>
      <c r="H1084" s="667">
        <f t="shared" si="82"/>
        <v>0</v>
      </c>
      <c r="I1084" s="667"/>
      <c r="J1084" s="667"/>
      <c r="K1084" s="667"/>
      <c r="L1084" s="667"/>
      <c r="M1084" s="665" t="e">
        <f>#REF!+#REF!+G1084+#REF!+#REF!+E1084</f>
        <v>#REF!</v>
      </c>
      <c r="N1084" s="666" t="e">
        <f t="shared" si="83"/>
        <v>#REF!</v>
      </c>
      <c r="O1084" s="672"/>
      <c r="P1084" s="668"/>
      <c r="Q1084" s="676"/>
      <c r="R1084" s="676"/>
    </row>
    <row r="1085" spans="1:18" s="677" customFormat="1" ht="46.5">
      <c r="A1085" s="787"/>
      <c r="B1085" s="792" t="s">
        <v>2020</v>
      </c>
      <c r="C1085" s="787">
        <f>[14]Elec.Data!K3676</f>
        <v>5045.38</v>
      </c>
      <c r="D1085" s="789"/>
      <c r="E1085" s="691"/>
      <c r="F1085" s="667">
        <f t="shared" si="81"/>
        <v>0</v>
      </c>
      <c r="G1085" s="691"/>
      <c r="H1085" s="667">
        <f t="shared" si="82"/>
        <v>0</v>
      </c>
      <c r="I1085" s="691"/>
      <c r="J1085" s="691"/>
      <c r="K1085" s="691"/>
      <c r="L1085" s="691"/>
      <c r="M1085" s="665" t="e">
        <f>#REF!+#REF!+G1085+#REF!+#REF!+E1085</f>
        <v>#REF!</v>
      </c>
      <c r="N1085" s="666" t="e">
        <f t="shared" si="83"/>
        <v>#REF!</v>
      </c>
      <c r="O1085" s="672"/>
      <c r="P1085" s="668"/>
      <c r="Q1085" s="676"/>
      <c r="R1085" s="676"/>
    </row>
    <row r="1086" spans="1:18" s="677" customFormat="1" ht="46.5">
      <c r="A1086" s="787"/>
      <c r="B1086" s="792" t="s">
        <v>2021</v>
      </c>
      <c r="C1086" s="787">
        <f>[14]Elec.Data!K3695</f>
        <v>89.94</v>
      </c>
      <c r="D1086" s="789"/>
      <c r="E1086" s="691"/>
      <c r="F1086" s="667">
        <f t="shared" si="81"/>
        <v>0</v>
      </c>
      <c r="G1086" s="691"/>
      <c r="H1086" s="667">
        <f t="shared" si="82"/>
        <v>0</v>
      </c>
      <c r="I1086" s="691"/>
      <c r="J1086" s="691"/>
      <c r="K1086" s="691"/>
      <c r="L1086" s="691"/>
      <c r="M1086" s="665" t="e">
        <f>#REF!+#REF!+G1086+#REF!+#REF!+E1086</f>
        <v>#REF!</v>
      </c>
      <c r="N1086" s="666" t="e">
        <f t="shared" si="83"/>
        <v>#REF!</v>
      </c>
      <c r="O1086" s="672"/>
      <c r="P1086" s="668"/>
      <c r="Q1086" s="676"/>
      <c r="R1086" s="676"/>
    </row>
    <row r="1087" spans="1:18" s="677" customFormat="1" ht="23.25">
      <c r="A1087" s="787"/>
      <c r="B1087" s="792" t="s">
        <v>2022</v>
      </c>
      <c r="C1087" s="787">
        <f>[14]Elec.Data!K3702</f>
        <v>54</v>
      </c>
      <c r="D1087" s="789"/>
      <c r="E1087" s="691"/>
      <c r="F1087" s="667">
        <f t="shared" si="81"/>
        <v>0</v>
      </c>
      <c r="G1087" s="691"/>
      <c r="H1087" s="667">
        <f t="shared" si="82"/>
        <v>0</v>
      </c>
      <c r="I1087" s="691"/>
      <c r="J1087" s="691"/>
      <c r="K1087" s="691"/>
      <c r="L1087" s="691"/>
      <c r="M1087" s="665" t="e">
        <f>#REF!+#REF!+G1087+#REF!+#REF!+E1087</f>
        <v>#REF!</v>
      </c>
      <c r="N1087" s="666" t="e">
        <f t="shared" si="83"/>
        <v>#REF!</v>
      </c>
      <c r="O1087" s="672"/>
      <c r="P1087" s="668"/>
      <c r="Q1087" s="676"/>
      <c r="R1087" s="676"/>
    </row>
    <row r="1088" spans="1:18" s="677" customFormat="1" ht="93">
      <c r="A1088" s="787"/>
      <c r="B1088" s="792" t="s">
        <v>2023</v>
      </c>
      <c r="C1088" s="787">
        <f>[14]Elec.Data!K3727</f>
        <v>6840.4</v>
      </c>
      <c r="D1088" s="789"/>
      <c r="E1088" s="691"/>
      <c r="F1088" s="667">
        <f t="shared" si="81"/>
        <v>0</v>
      </c>
      <c r="G1088" s="691"/>
      <c r="H1088" s="667">
        <f t="shared" si="82"/>
        <v>0</v>
      </c>
      <c r="I1088" s="691"/>
      <c r="J1088" s="691"/>
      <c r="K1088" s="691"/>
      <c r="L1088" s="691"/>
      <c r="M1088" s="665" t="e">
        <f>#REF!+#REF!+G1088+#REF!+#REF!+E1088</f>
        <v>#REF!</v>
      </c>
      <c r="N1088" s="666" t="e">
        <f t="shared" si="83"/>
        <v>#REF!</v>
      </c>
      <c r="O1088" s="672"/>
      <c r="P1088" s="668"/>
      <c r="Q1088" s="676"/>
      <c r="R1088" s="676"/>
    </row>
    <row r="1089" spans="1:18" s="677" customFormat="1" ht="23.25">
      <c r="A1089" s="787"/>
      <c r="B1089" s="792" t="s">
        <v>2024</v>
      </c>
      <c r="C1089" s="787">
        <f>[14]Elec.Data!K3774</f>
        <v>582.49</v>
      </c>
      <c r="D1089" s="789"/>
      <c r="E1089" s="691"/>
      <c r="F1089" s="667">
        <f t="shared" si="81"/>
        <v>0</v>
      </c>
      <c r="G1089" s="691"/>
      <c r="H1089" s="667">
        <f t="shared" si="82"/>
        <v>0</v>
      </c>
      <c r="I1089" s="691"/>
      <c r="J1089" s="691"/>
      <c r="K1089" s="691"/>
      <c r="L1089" s="691"/>
      <c r="M1089" s="665" t="e">
        <f>#REF!+#REF!+G1089+#REF!+#REF!+E1089</f>
        <v>#REF!</v>
      </c>
      <c r="N1089" s="666" t="e">
        <f t="shared" si="83"/>
        <v>#REF!</v>
      </c>
      <c r="O1089" s="672"/>
      <c r="P1089" s="668"/>
      <c r="Q1089" s="676"/>
      <c r="R1089" s="676"/>
    </row>
    <row r="1090" spans="1:18" s="677" customFormat="1" ht="46.5">
      <c r="A1090" s="787"/>
      <c r="B1090" s="793" t="s">
        <v>2025</v>
      </c>
      <c r="C1090" s="787">
        <f>[14]Elec.Data!K3815</f>
        <v>830.11</v>
      </c>
      <c r="D1090" s="789"/>
      <c r="E1090" s="691"/>
      <c r="F1090" s="667">
        <f t="shared" si="81"/>
        <v>0</v>
      </c>
      <c r="G1090" s="691"/>
      <c r="H1090" s="667">
        <f t="shared" si="82"/>
        <v>0</v>
      </c>
      <c r="I1090" s="691"/>
      <c r="J1090" s="691"/>
      <c r="K1090" s="691"/>
      <c r="L1090" s="691"/>
      <c r="M1090" s="665" t="e">
        <f>#REF!+#REF!+G1090+#REF!+#REF!+E1090</f>
        <v>#REF!</v>
      </c>
      <c r="N1090" s="666" t="e">
        <f t="shared" si="83"/>
        <v>#REF!</v>
      </c>
      <c r="O1090" s="672"/>
      <c r="P1090" s="668"/>
      <c r="Q1090" s="676"/>
      <c r="R1090" s="676"/>
    </row>
    <row r="1091" spans="1:18" s="677" customFormat="1" ht="46.5">
      <c r="A1091" s="787"/>
      <c r="B1091" s="792" t="s">
        <v>2026</v>
      </c>
      <c r="C1091" s="787">
        <f>[14]Elec.Data!K3841</f>
        <v>833.16</v>
      </c>
      <c r="D1091" s="789"/>
      <c r="E1091" s="691"/>
      <c r="F1091" s="667">
        <f t="shared" si="81"/>
        <v>0</v>
      </c>
      <c r="G1091" s="691"/>
      <c r="H1091" s="667">
        <f t="shared" si="82"/>
        <v>0</v>
      </c>
      <c r="I1091" s="691"/>
      <c r="J1091" s="691"/>
      <c r="K1091" s="691"/>
      <c r="L1091" s="691"/>
      <c r="M1091" s="665" t="e">
        <f>#REF!+#REF!+G1091+#REF!+#REF!+E1091</f>
        <v>#REF!</v>
      </c>
      <c r="N1091" s="666" t="e">
        <f t="shared" si="83"/>
        <v>#REF!</v>
      </c>
      <c r="O1091" s="672"/>
      <c r="P1091" s="668"/>
      <c r="Q1091" s="676"/>
      <c r="R1091" s="676"/>
    </row>
    <row r="1092" spans="1:18" s="677" customFormat="1" ht="69.75">
      <c r="A1092" s="787"/>
      <c r="B1092" s="793" t="s">
        <v>2027</v>
      </c>
      <c r="C1092" s="787">
        <f>[14]Elec.Data!K3857</f>
        <v>871.29</v>
      </c>
      <c r="D1092" s="789"/>
      <c r="E1092" s="691"/>
      <c r="F1092" s="667">
        <f t="shared" si="81"/>
        <v>0</v>
      </c>
      <c r="G1092" s="691"/>
      <c r="H1092" s="667">
        <f t="shared" si="82"/>
        <v>0</v>
      </c>
      <c r="I1092" s="691"/>
      <c r="J1092" s="691"/>
      <c r="K1092" s="691"/>
      <c r="L1092" s="691"/>
      <c r="M1092" s="665" t="e">
        <f>#REF!+#REF!+G1092+#REF!+#REF!+E1092</f>
        <v>#REF!</v>
      </c>
      <c r="N1092" s="666" t="e">
        <f t="shared" si="83"/>
        <v>#REF!</v>
      </c>
      <c r="O1092" s="672"/>
      <c r="P1092" s="668"/>
      <c r="Q1092" s="676"/>
      <c r="R1092" s="676"/>
    </row>
    <row r="1093" spans="1:18" s="677" customFormat="1" ht="46.5">
      <c r="A1093" s="787"/>
      <c r="B1093" s="793" t="s">
        <v>2028</v>
      </c>
      <c r="C1093" s="787">
        <f>[14]Elec.Data!K3879</f>
        <v>917.46</v>
      </c>
      <c r="D1093" s="789"/>
      <c r="E1093" s="691"/>
      <c r="F1093" s="667">
        <f t="shared" si="81"/>
        <v>0</v>
      </c>
      <c r="G1093" s="691"/>
      <c r="H1093" s="667">
        <f t="shared" si="82"/>
        <v>0</v>
      </c>
      <c r="I1093" s="691"/>
      <c r="J1093" s="691"/>
      <c r="K1093" s="691"/>
      <c r="L1093" s="691"/>
      <c r="M1093" s="665" t="e">
        <f>#REF!+#REF!+G1093+#REF!+#REF!+E1093</f>
        <v>#REF!</v>
      </c>
      <c r="N1093" s="666" t="e">
        <f t="shared" si="83"/>
        <v>#REF!</v>
      </c>
      <c r="O1093" s="672"/>
      <c r="P1093" s="668"/>
      <c r="Q1093" s="676"/>
      <c r="R1093" s="676"/>
    </row>
    <row r="1094" spans="1:18" s="677" customFormat="1" ht="69.75">
      <c r="A1094" s="787"/>
      <c r="B1094" s="793" t="s">
        <v>2029</v>
      </c>
      <c r="C1094" s="787">
        <f>[14]Elec.Data!K3899</f>
        <v>1963.99</v>
      </c>
      <c r="D1094" s="789"/>
      <c r="E1094" s="691"/>
      <c r="F1094" s="667">
        <f t="shared" si="81"/>
        <v>0</v>
      </c>
      <c r="G1094" s="691"/>
      <c r="H1094" s="667">
        <f t="shared" si="82"/>
        <v>0</v>
      </c>
      <c r="I1094" s="691"/>
      <c r="J1094" s="691"/>
      <c r="K1094" s="691"/>
      <c r="L1094" s="691"/>
      <c r="M1094" s="665" t="e">
        <f>#REF!+#REF!+G1094+#REF!+#REF!+E1094</f>
        <v>#REF!</v>
      </c>
      <c r="N1094" s="666" t="e">
        <f t="shared" si="83"/>
        <v>#REF!</v>
      </c>
      <c r="O1094" s="672"/>
      <c r="P1094" s="668"/>
      <c r="Q1094" s="676"/>
      <c r="R1094" s="676"/>
    </row>
    <row r="1095" spans="1:18" s="677" customFormat="1" ht="46.5">
      <c r="A1095" s="787"/>
      <c r="B1095" s="793" t="s">
        <v>2030</v>
      </c>
      <c r="C1095" s="787">
        <f>[14]Elec.Data!K3918</f>
        <v>638.45000000000005</v>
      </c>
      <c r="D1095" s="789"/>
      <c r="E1095" s="691"/>
      <c r="F1095" s="667">
        <f t="shared" si="81"/>
        <v>0</v>
      </c>
      <c r="G1095" s="691"/>
      <c r="H1095" s="667">
        <f t="shared" si="82"/>
        <v>0</v>
      </c>
      <c r="I1095" s="691"/>
      <c r="J1095" s="691"/>
      <c r="K1095" s="691"/>
      <c r="L1095" s="691"/>
      <c r="M1095" s="665" t="e">
        <f>#REF!+#REF!+G1095+#REF!+#REF!+E1095</f>
        <v>#REF!</v>
      </c>
      <c r="N1095" s="666" t="e">
        <f t="shared" si="83"/>
        <v>#REF!</v>
      </c>
      <c r="O1095" s="672"/>
      <c r="P1095" s="668"/>
      <c r="Q1095" s="676"/>
      <c r="R1095" s="676"/>
    </row>
    <row r="1096" spans="1:18" s="677" customFormat="1" ht="46.5">
      <c r="A1096" s="787"/>
      <c r="B1096" s="793" t="s">
        <v>2031</v>
      </c>
      <c r="C1096" s="787">
        <f>[14]Elec.Data!K3942</f>
        <v>119.23</v>
      </c>
      <c r="D1096" s="789"/>
      <c r="E1096" s="691"/>
      <c r="F1096" s="667">
        <f t="shared" si="81"/>
        <v>0</v>
      </c>
      <c r="G1096" s="691"/>
      <c r="H1096" s="667">
        <f t="shared" si="82"/>
        <v>0</v>
      </c>
      <c r="I1096" s="691"/>
      <c r="J1096" s="691"/>
      <c r="K1096" s="691"/>
      <c r="L1096" s="691"/>
      <c r="M1096" s="665" t="e">
        <f>#REF!+#REF!+G1096+#REF!+#REF!+E1096</f>
        <v>#REF!</v>
      </c>
      <c r="N1096" s="666" t="e">
        <f t="shared" si="83"/>
        <v>#REF!</v>
      </c>
      <c r="O1096" s="672"/>
      <c r="P1096" s="668"/>
      <c r="Q1096" s="676"/>
      <c r="R1096" s="676"/>
    </row>
    <row r="1097" spans="1:18" s="677" customFormat="1" ht="46.5">
      <c r="A1097" s="787"/>
      <c r="B1097" s="792" t="s">
        <v>2032</v>
      </c>
      <c r="C1097" s="787">
        <f>[14]Elec.Data!K3953</f>
        <v>136.43</v>
      </c>
      <c r="D1097" s="789"/>
      <c r="E1097" s="691"/>
      <c r="F1097" s="667">
        <f t="shared" si="81"/>
        <v>0</v>
      </c>
      <c r="G1097" s="691"/>
      <c r="H1097" s="667">
        <f t="shared" si="82"/>
        <v>0</v>
      </c>
      <c r="I1097" s="691"/>
      <c r="J1097" s="691"/>
      <c r="K1097" s="691"/>
      <c r="L1097" s="691"/>
      <c r="M1097" s="665" t="e">
        <f>#REF!+#REF!+G1097+#REF!+#REF!+E1097</f>
        <v>#REF!</v>
      </c>
      <c r="N1097" s="666" t="e">
        <f t="shared" si="83"/>
        <v>#REF!</v>
      </c>
      <c r="O1097" s="672"/>
      <c r="P1097" s="668"/>
      <c r="Q1097" s="676"/>
      <c r="R1097" s="676"/>
    </row>
    <row r="1098" spans="1:18" s="677" customFormat="1" ht="23.25">
      <c r="A1098" s="787"/>
      <c r="B1098" s="792" t="s">
        <v>2033</v>
      </c>
      <c r="C1098" s="787">
        <f>[14]Data!R384</f>
        <v>19.96</v>
      </c>
      <c r="D1098" s="789"/>
      <c r="E1098" s="691"/>
      <c r="F1098" s="667">
        <f t="shared" si="81"/>
        <v>0</v>
      </c>
      <c r="G1098" s="691"/>
      <c r="H1098" s="667">
        <f t="shared" si="82"/>
        <v>0</v>
      </c>
      <c r="I1098" s="691"/>
      <c r="J1098" s="691"/>
      <c r="K1098" s="691"/>
      <c r="L1098" s="691"/>
      <c r="M1098" s="665" t="e">
        <f>#REF!+#REF!+G1098+#REF!+#REF!+E1098</f>
        <v>#REF!</v>
      </c>
      <c r="N1098" s="666" t="e">
        <f t="shared" si="83"/>
        <v>#REF!</v>
      </c>
      <c r="O1098" s="672"/>
      <c r="P1098" s="668"/>
      <c r="Q1098" s="676"/>
      <c r="R1098" s="676"/>
    </row>
    <row r="1099" spans="1:18" s="677" customFormat="1" ht="23.25">
      <c r="A1099" s="787"/>
      <c r="B1099" s="792" t="s">
        <v>2034</v>
      </c>
      <c r="C1099" s="787">
        <f>C1098+C1101</f>
        <v>23.61</v>
      </c>
      <c r="D1099" s="789"/>
      <c r="E1099" s="691"/>
      <c r="F1099" s="667">
        <f t="shared" si="81"/>
        <v>0</v>
      </c>
      <c r="G1099" s="691"/>
      <c r="H1099" s="667">
        <f t="shared" si="82"/>
        <v>0</v>
      </c>
      <c r="I1099" s="691"/>
      <c r="J1099" s="691"/>
      <c r="K1099" s="691"/>
      <c r="L1099" s="691"/>
      <c r="M1099" s="665" t="e">
        <f>#REF!+#REF!+G1099+#REF!+#REF!+E1099</f>
        <v>#REF!</v>
      </c>
      <c r="N1099" s="666" t="e">
        <f t="shared" si="83"/>
        <v>#REF!</v>
      </c>
      <c r="O1099" s="672"/>
      <c r="P1099" s="668"/>
      <c r="Q1099" s="676"/>
      <c r="R1099" s="676"/>
    </row>
    <row r="1100" spans="1:18" s="677" customFormat="1" ht="23.25">
      <c r="A1100" s="787"/>
      <c r="B1100" s="792" t="s">
        <v>2035</v>
      </c>
      <c r="C1100" s="787">
        <f>[14]Data!R398</f>
        <v>29.07</v>
      </c>
      <c r="D1100" s="789"/>
      <c r="E1100" s="691"/>
      <c r="F1100" s="667">
        <f t="shared" si="81"/>
        <v>0</v>
      </c>
      <c r="G1100" s="691"/>
      <c r="H1100" s="667">
        <f t="shared" si="82"/>
        <v>0</v>
      </c>
      <c r="I1100" s="691"/>
      <c r="J1100" s="691"/>
      <c r="K1100" s="691"/>
      <c r="L1100" s="691"/>
      <c r="M1100" s="665" t="e">
        <f>#REF!+#REF!+G1100+#REF!+#REF!+E1100</f>
        <v>#REF!</v>
      </c>
      <c r="N1100" s="666" t="e">
        <f t="shared" si="83"/>
        <v>#REF!</v>
      </c>
      <c r="O1100" s="672"/>
      <c r="P1100" s="668"/>
      <c r="Q1100" s="676"/>
      <c r="R1100" s="676"/>
    </row>
    <row r="1101" spans="1:18" s="677" customFormat="1" ht="23.25">
      <c r="A1101" s="787"/>
      <c r="B1101" s="792" t="s">
        <v>2036</v>
      </c>
      <c r="C1101" s="787">
        <f>[14]Data!I3172</f>
        <v>3.65</v>
      </c>
      <c r="D1101" s="789"/>
      <c r="E1101" s="691"/>
      <c r="F1101" s="667">
        <f t="shared" si="81"/>
        <v>0</v>
      </c>
      <c r="G1101" s="691"/>
      <c r="H1101" s="667">
        <f t="shared" si="82"/>
        <v>0</v>
      </c>
      <c r="I1101" s="691"/>
      <c r="J1101" s="691"/>
      <c r="K1101" s="691"/>
      <c r="L1101" s="691"/>
      <c r="M1101" s="665" t="e">
        <f>#REF!+#REF!+G1101+#REF!+#REF!+E1101</f>
        <v>#REF!</v>
      </c>
      <c r="N1101" s="666" t="e">
        <f t="shared" si="83"/>
        <v>#REF!</v>
      </c>
      <c r="O1101" s="672"/>
      <c r="P1101" s="668"/>
      <c r="Q1101" s="676"/>
      <c r="R1101" s="676"/>
    </row>
    <row r="1102" spans="1:18" s="677" customFormat="1" ht="23.25">
      <c r="A1102" s="787"/>
      <c r="B1102" s="792" t="s">
        <v>2037</v>
      </c>
      <c r="C1102" s="787">
        <f>[14]Data!I3198</f>
        <v>7.9</v>
      </c>
      <c r="D1102" s="789"/>
      <c r="E1102" s="691"/>
      <c r="F1102" s="667">
        <f t="shared" si="81"/>
        <v>0</v>
      </c>
      <c r="G1102" s="691"/>
      <c r="H1102" s="667">
        <f t="shared" si="82"/>
        <v>0</v>
      </c>
      <c r="I1102" s="691"/>
      <c r="J1102" s="691"/>
      <c r="K1102" s="691"/>
      <c r="L1102" s="691"/>
      <c r="M1102" s="665" t="e">
        <f>#REF!+#REF!+G1102+#REF!+#REF!+E1102</f>
        <v>#REF!</v>
      </c>
      <c r="N1102" s="666" t="e">
        <f t="shared" si="83"/>
        <v>#REF!</v>
      </c>
      <c r="O1102" s="672"/>
      <c r="P1102" s="668"/>
      <c r="Q1102" s="676"/>
      <c r="R1102" s="676"/>
    </row>
    <row r="1103" spans="1:18" s="677" customFormat="1" ht="23.25">
      <c r="A1103" s="787"/>
      <c r="B1103" s="792" t="s">
        <v>2038</v>
      </c>
      <c r="C1103" s="787">
        <f>[14]Data!I3212</f>
        <v>8.5</v>
      </c>
      <c r="D1103" s="789"/>
      <c r="E1103" s="691"/>
      <c r="F1103" s="667">
        <f t="shared" si="81"/>
        <v>0</v>
      </c>
      <c r="G1103" s="691"/>
      <c r="H1103" s="667">
        <f t="shared" si="82"/>
        <v>0</v>
      </c>
      <c r="I1103" s="691"/>
      <c r="J1103" s="691"/>
      <c r="K1103" s="691"/>
      <c r="L1103" s="691"/>
      <c r="M1103" s="665" t="e">
        <f>#REF!+#REF!+G1103+#REF!+#REF!+E1103</f>
        <v>#REF!</v>
      </c>
      <c r="N1103" s="666" t="e">
        <f t="shared" si="83"/>
        <v>#REF!</v>
      </c>
      <c r="O1103" s="672"/>
      <c r="P1103" s="668"/>
      <c r="Q1103" s="676"/>
      <c r="R1103" s="676"/>
    </row>
    <row r="1104" spans="1:18" s="677" customFormat="1" ht="23.25">
      <c r="A1104" s="787"/>
      <c r="B1104" s="792" t="s">
        <v>2039</v>
      </c>
      <c r="C1104" s="787">
        <f>[14]Data!K3188</f>
        <v>62.39</v>
      </c>
      <c r="D1104" s="789"/>
      <c r="E1104" s="691"/>
      <c r="F1104" s="667">
        <f t="shared" si="81"/>
        <v>0</v>
      </c>
      <c r="G1104" s="691"/>
      <c r="H1104" s="667">
        <f t="shared" si="82"/>
        <v>0</v>
      </c>
      <c r="I1104" s="691"/>
      <c r="J1104" s="691"/>
      <c r="K1104" s="691"/>
      <c r="L1104" s="691"/>
      <c r="M1104" s="665" t="e">
        <f>#REF!+#REF!+G1104+#REF!+#REF!+E1104</f>
        <v>#REF!</v>
      </c>
      <c r="N1104" s="666" t="e">
        <f t="shared" si="83"/>
        <v>#REF!</v>
      </c>
      <c r="O1104" s="672"/>
      <c r="P1104" s="668"/>
      <c r="Q1104" s="676"/>
      <c r="R1104" s="676"/>
    </row>
    <row r="1105" spans="1:18" s="677" customFormat="1" ht="23.25">
      <c r="A1105" s="787"/>
      <c r="B1105" s="792" t="s">
        <v>2040</v>
      </c>
      <c r="C1105" s="787">
        <f>[14]Data!K3175</f>
        <v>119.16</v>
      </c>
      <c r="D1105" s="789"/>
      <c r="E1105" s="691"/>
      <c r="F1105" s="667">
        <f t="shared" si="81"/>
        <v>0</v>
      </c>
      <c r="G1105" s="691"/>
      <c r="H1105" s="667">
        <f t="shared" si="82"/>
        <v>0</v>
      </c>
      <c r="I1105" s="691"/>
      <c r="J1105" s="691"/>
      <c r="K1105" s="691"/>
      <c r="L1105" s="691"/>
      <c r="M1105" s="665" t="e">
        <f>#REF!+#REF!+G1105+#REF!+#REF!+E1105</f>
        <v>#REF!</v>
      </c>
      <c r="N1105" s="666" t="e">
        <f t="shared" si="83"/>
        <v>#REF!</v>
      </c>
      <c r="O1105" s="672"/>
      <c r="P1105" s="668"/>
      <c r="Q1105" s="676"/>
      <c r="R1105" s="676"/>
    </row>
    <row r="1106" spans="1:18" s="677" customFormat="1" ht="23.25">
      <c r="A1106" s="787"/>
      <c r="B1106" s="791" t="s">
        <v>2041</v>
      </c>
      <c r="C1106" s="787">
        <f>[14]Data!K3202</f>
        <v>81.27</v>
      </c>
      <c r="D1106" s="789"/>
      <c r="E1106" s="691"/>
      <c r="F1106" s="667">
        <f t="shared" si="81"/>
        <v>0</v>
      </c>
      <c r="G1106" s="691"/>
      <c r="H1106" s="667">
        <f t="shared" si="82"/>
        <v>0</v>
      </c>
      <c r="I1106" s="691"/>
      <c r="J1106" s="691"/>
      <c r="K1106" s="691"/>
      <c r="L1106" s="691"/>
      <c r="M1106" s="665" t="e">
        <f>#REF!+#REF!+G1106+#REF!+#REF!+E1106</f>
        <v>#REF!</v>
      </c>
      <c r="N1106" s="666" t="e">
        <f t="shared" si="83"/>
        <v>#REF!</v>
      </c>
      <c r="O1106" s="672"/>
      <c r="P1106" s="668"/>
      <c r="Q1106" s="676"/>
      <c r="R1106" s="676"/>
    </row>
    <row r="1107" spans="1:18" s="677" customFormat="1" ht="23.25">
      <c r="A1107" s="691"/>
      <c r="B1107" s="789" t="s">
        <v>2042</v>
      </c>
      <c r="C1107" s="691">
        <f>[14]Data!K3247</f>
        <v>125.87</v>
      </c>
      <c r="D1107" s="789"/>
      <c r="E1107" s="691"/>
      <c r="F1107" s="667">
        <f t="shared" si="81"/>
        <v>0</v>
      </c>
      <c r="G1107" s="691"/>
      <c r="H1107" s="667">
        <f t="shared" si="82"/>
        <v>0</v>
      </c>
      <c r="I1107" s="691"/>
      <c r="J1107" s="691"/>
      <c r="K1107" s="691"/>
      <c r="L1107" s="691"/>
      <c r="M1107" s="665" t="e">
        <f>#REF!+#REF!+G1107+#REF!+#REF!+E1107</f>
        <v>#REF!</v>
      </c>
      <c r="N1107" s="666" t="e">
        <f t="shared" si="83"/>
        <v>#REF!</v>
      </c>
      <c r="O1107" s="672"/>
      <c r="P1107" s="668"/>
      <c r="Q1107" s="676"/>
      <c r="R1107" s="676"/>
    </row>
    <row r="1108" spans="1:18" s="677" customFormat="1" ht="23.25">
      <c r="A1108" s="691"/>
      <c r="B1108" s="789" t="s">
        <v>2043</v>
      </c>
      <c r="C1108" s="691">
        <f>[14]Data!K3216</f>
        <v>88.28</v>
      </c>
      <c r="D1108" s="789"/>
      <c r="E1108" s="691"/>
      <c r="F1108" s="667">
        <f t="shared" si="81"/>
        <v>0</v>
      </c>
      <c r="G1108" s="691"/>
      <c r="H1108" s="667">
        <f t="shared" si="82"/>
        <v>0</v>
      </c>
      <c r="I1108" s="691"/>
      <c r="J1108" s="691"/>
      <c r="K1108" s="691"/>
      <c r="L1108" s="691"/>
      <c r="M1108" s="665" t="e">
        <f>#REF!+#REF!+G1108+#REF!+#REF!+E1108</f>
        <v>#REF!</v>
      </c>
      <c r="N1108" s="666" t="e">
        <f t="shared" si="83"/>
        <v>#REF!</v>
      </c>
      <c r="O1108" s="672"/>
      <c r="P1108" s="668"/>
      <c r="Q1108" s="676"/>
      <c r="R1108" s="676"/>
    </row>
    <row r="1109" spans="1:18" s="677" customFormat="1" ht="23.25">
      <c r="A1109" s="691"/>
      <c r="B1109" s="789" t="s">
        <v>2044</v>
      </c>
      <c r="C1109" s="691">
        <f>[14]Data!K3231</f>
        <v>144.25</v>
      </c>
      <c r="D1109" s="789"/>
      <c r="E1109" s="691"/>
      <c r="F1109" s="667">
        <f t="shared" ref="F1109:F1138" si="84">E1109*C1109</f>
        <v>0</v>
      </c>
      <c r="G1109" s="691"/>
      <c r="H1109" s="667">
        <f t="shared" ref="H1109:H1132" si="85">G1109*C1109</f>
        <v>0</v>
      </c>
      <c r="I1109" s="691"/>
      <c r="J1109" s="691"/>
      <c r="K1109" s="691"/>
      <c r="L1109" s="691"/>
      <c r="M1109" s="665" t="e">
        <f>#REF!+#REF!+G1109+#REF!+#REF!+E1109</f>
        <v>#REF!</v>
      </c>
      <c r="N1109" s="666" t="e">
        <f t="shared" si="83"/>
        <v>#REF!</v>
      </c>
      <c r="O1109" s="672"/>
      <c r="P1109" s="668"/>
      <c r="Q1109" s="676"/>
      <c r="R1109" s="676"/>
    </row>
    <row r="1110" spans="1:18" s="677" customFormat="1" ht="23.25">
      <c r="A1110" s="691"/>
      <c r="B1110" s="789" t="s">
        <v>2045</v>
      </c>
      <c r="C1110" s="691">
        <f>[14]Data!K3275</f>
        <v>81.41</v>
      </c>
      <c r="D1110" s="789"/>
      <c r="E1110" s="691"/>
      <c r="F1110" s="667">
        <f t="shared" si="84"/>
        <v>0</v>
      </c>
      <c r="G1110" s="691"/>
      <c r="H1110" s="667">
        <f t="shared" si="85"/>
        <v>0</v>
      </c>
      <c r="I1110" s="691"/>
      <c r="J1110" s="691"/>
      <c r="K1110" s="691"/>
      <c r="L1110" s="691"/>
      <c r="M1110" s="665" t="e">
        <f>#REF!+#REF!+G1110+#REF!+#REF!+E1110</f>
        <v>#REF!</v>
      </c>
      <c r="N1110" s="666" t="e">
        <f t="shared" si="83"/>
        <v>#REF!</v>
      </c>
      <c r="O1110" s="672"/>
      <c r="P1110" s="668"/>
      <c r="Q1110" s="676"/>
      <c r="R1110" s="676"/>
    </row>
    <row r="1111" spans="1:18" s="677" customFormat="1" ht="23.25">
      <c r="A1111" s="691"/>
      <c r="B1111" s="789"/>
      <c r="C1111" s="691"/>
      <c r="D1111" s="789"/>
      <c r="E1111" s="691"/>
      <c r="F1111" s="667">
        <f t="shared" si="84"/>
        <v>0</v>
      </c>
      <c r="G1111" s="691"/>
      <c r="H1111" s="667">
        <f t="shared" si="85"/>
        <v>0</v>
      </c>
      <c r="I1111" s="691"/>
      <c r="J1111" s="691"/>
      <c r="K1111" s="691"/>
      <c r="L1111" s="691"/>
      <c r="M1111" s="665" t="e">
        <f>#REF!+#REF!+G1111+#REF!+#REF!+E1111</f>
        <v>#REF!</v>
      </c>
      <c r="N1111" s="666" t="e">
        <f t="shared" si="83"/>
        <v>#REF!</v>
      </c>
      <c r="O1111" s="672"/>
      <c r="P1111" s="668"/>
      <c r="Q1111" s="676"/>
      <c r="R1111" s="676"/>
    </row>
    <row r="1112" spans="1:18" s="677" customFormat="1" ht="23.25">
      <c r="A1112" s="691"/>
      <c r="B1112" s="789"/>
      <c r="C1112" s="691"/>
      <c r="D1112" s="789"/>
      <c r="E1112" s="691"/>
      <c r="F1112" s="667">
        <f t="shared" si="84"/>
        <v>0</v>
      </c>
      <c r="G1112" s="691"/>
      <c r="H1112" s="667">
        <f t="shared" si="85"/>
        <v>0</v>
      </c>
      <c r="I1112" s="691"/>
      <c r="J1112" s="691"/>
      <c r="K1112" s="691"/>
      <c r="L1112" s="691"/>
      <c r="M1112" s="665" t="e">
        <f>#REF!+#REF!+G1112+#REF!+#REF!+E1112</f>
        <v>#REF!</v>
      </c>
      <c r="N1112" s="666" t="e">
        <f t="shared" ref="N1112" si="86">M1112*C1112</f>
        <v>#REF!</v>
      </c>
      <c r="O1112" s="672"/>
      <c r="P1112" s="668"/>
      <c r="Q1112" s="676"/>
      <c r="R1112" s="676"/>
    </row>
    <row r="1113" spans="1:18" s="677" customFormat="1">
      <c r="A1113" s="691"/>
      <c r="B1113" s="789"/>
      <c r="C1113" s="691"/>
      <c r="D1113" s="789"/>
      <c r="E1113" s="691"/>
      <c r="F1113" s="667">
        <f t="shared" si="84"/>
        <v>0</v>
      </c>
      <c r="G1113" s="691"/>
      <c r="H1113" s="667">
        <f t="shared" si="85"/>
        <v>0</v>
      </c>
      <c r="I1113" s="691"/>
      <c r="J1113" s="691"/>
      <c r="K1113" s="691"/>
      <c r="L1113" s="691"/>
      <c r="M1113" s="659"/>
      <c r="N1113" s="660"/>
      <c r="O1113" s="676"/>
      <c r="P1113" s="676"/>
      <c r="Q1113" s="676"/>
      <c r="R1113" s="676"/>
    </row>
    <row r="1114" spans="1:18" s="677" customFormat="1">
      <c r="A1114" s="691"/>
      <c r="B1114" s="789"/>
      <c r="C1114" s="691"/>
      <c r="D1114" s="789"/>
      <c r="E1114" s="691"/>
      <c r="F1114" s="667">
        <f t="shared" si="84"/>
        <v>0</v>
      </c>
      <c r="G1114" s="691"/>
      <c r="H1114" s="667">
        <f t="shared" si="85"/>
        <v>0</v>
      </c>
      <c r="I1114" s="691"/>
      <c r="J1114" s="691"/>
      <c r="K1114" s="691"/>
      <c r="L1114" s="691"/>
      <c r="M1114" s="659"/>
      <c r="N1114" s="660"/>
      <c r="O1114" s="676"/>
      <c r="P1114" s="676"/>
      <c r="Q1114" s="676"/>
      <c r="R1114" s="676"/>
    </row>
    <row r="1115" spans="1:18" s="677" customFormat="1">
      <c r="A1115" s="691"/>
      <c r="B1115" s="789"/>
      <c r="C1115" s="691"/>
      <c r="D1115" s="789"/>
      <c r="E1115" s="691"/>
      <c r="F1115" s="667">
        <f t="shared" si="84"/>
        <v>0</v>
      </c>
      <c r="G1115" s="691"/>
      <c r="H1115" s="667">
        <f t="shared" si="85"/>
        <v>0</v>
      </c>
      <c r="I1115" s="691"/>
      <c r="J1115" s="691"/>
      <c r="K1115" s="691"/>
      <c r="L1115" s="691"/>
      <c r="M1115" s="659"/>
      <c r="N1115" s="660"/>
      <c r="O1115" s="676"/>
      <c r="P1115" s="676"/>
      <c r="Q1115" s="676"/>
      <c r="R1115" s="676"/>
    </row>
    <row r="1116" spans="1:18" s="677" customFormat="1">
      <c r="A1116" s="691"/>
      <c r="B1116" s="789"/>
      <c r="C1116" s="691"/>
      <c r="D1116" s="789"/>
      <c r="E1116" s="691"/>
      <c r="F1116" s="667">
        <f t="shared" si="84"/>
        <v>0</v>
      </c>
      <c r="G1116" s="691"/>
      <c r="H1116" s="667">
        <f t="shared" si="85"/>
        <v>0</v>
      </c>
      <c r="I1116" s="691"/>
      <c r="J1116" s="691"/>
      <c r="K1116" s="691"/>
      <c r="L1116" s="691"/>
      <c r="M1116" s="659"/>
      <c r="N1116" s="660"/>
      <c r="O1116" s="676"/>
      <c r="P1116" s="676"/>
      <c r="Q1116" s="676"/>
      <c r="R1116" s="676"/>
    </row>
    <row r="1117" spans="1:18" s="677" customFormat="1">
      <c r="A1117" s="691"/>
      <c r="B1117" s="789"/>
      <c r="C1117" s="691"/>
      <c r="D1117" s="789"/>
      <c r="E1117" s="691"/>
      <c r="F1117" s="667">
        <f t="shared" si="84"/>
        <v>0</v>
      </c>
      <c r="G1117" s="691"/>
      <c r="H1117" s="667">
        <f t="shared" si="85"/>
        <v>0</v>
      </c>
      <c r="I1117" s="691"/>
      <c r="J1117" s="691"/>
      <c r="K1117" s="691"/>
      <c r="L1117" s="691"/>
      <c r="M1117" s="659"/>
      <c r="N1117" s="660"/>
      <c r="O1117" s="676"/>
      <c r="P1117" s="676"/>
      <c r="Q1117" s="676"/>
      <c r="R1117" s="676"/>
    </row>
    <row r="1118" spans="1:18" s="677" customFormat="1">
      <c r="A1118" s="691"/>
      <c r="B1118" s="789"/>
      <c r="C1118" s="691"/>
      <c r="D1118" s="789"/>
      <c r="E1118" s="691"/>
      <c r="F1118" s="667">
        <f t="shared" si="84"/>
        <v>0</v>
      </c>
      <c r="G1118" s="691"/>
      <c r="H1118" s="667">
        <f t="shared" si="85"/>
        <v>0</v>
      </c>
      <c r="I1118" s="691"/>
      <c r="J1118" s="691"/>
      <c r="K1118" s="691"/>
      <c r="L1118" s="691"/>
      <c r="M1118" s="659"/>
      <c r="N1118" s="660"/>
      <c r="O1118" s="676"/>
      <c r="P1118" s="676"/>
      <c r="Q1118" s="676"/>
      <c r="R1118" s="676"/>
    </row>
    <row r="1119" spans="1:18" s="677" customFormat="1">
      <c r="A1119" s="691"/>
      <c r="B1119" s="789"/>
      <c r="C1119" s="691"/>
      <c r="D1119" s="789"/>
      <c r="E1119" s="691"/>
      <c r="F1119" s="667">
        <f t="shared" si="84"/>
        <v>0</v>
      </c>
      <c r="G1119" s="691"/>
      <c r="H1119" s="667">
        <f t="shared" si="85"/>
        <v>0</v>
      </c>
      <c r="I1119" s="691"/>
      <c r="J1119" s="691"/>
      <c r="K1119" s="691"/>
      <c r="L1119" s="691"/>
      <c r="M1119" s="659"/>
      <c r="N1119" s="660"/>
      <c r="O1119" s="676"/>
      <c r="P1119" s="676"/>
      <c r="Q1119" s="676"/>
      <c r="R1119" s="676"/>
    </row>
    <row r="1120" spans="1:18" s="677" customFormat="1">
      <c r="A1120" s="691"/>
      <c r="B1120" s="789"/>
      <c r="C1120" s="691"/>
      <c r="D1120" s="789"/>
      <c r="E1120" s="691"/>
      <c r="F1120" s="667">
        <f t="shared" si="84"/>
        <v>0</v>
      </c>
      <c r="G1120" s="691"/>
      <c r="H1120" s="667">
        <f t="shared" si="85"/>
        <v>0</v>
      </c>
      <c r="I1120" s="691"/>
      <c r="J1120" s="691"/>
      <c r="K1120" s="691"/>
      <c r="L1120" s="691"/>
      <c r="M1120" s="659"/>
      <c r="N1120" s="660"/>
      <c r="O1120" s="676"/>
      <c r="P1120" s="676"/>
      <c r="Q1120" s="676"/>
      <c r="R1120" s="676"/>
    </row>
    <row r="1121" spans="6:18">
      <c r="F1121" s="667">
        <f t="shared" si="84"/>
        <v>0</v>
      </c>
      <c r="H1121" s="667">
        <f t="shared" si="85"/>
        <v>0</v>
      </c>
      <c r="M1121" s="659"/>
      <c r="N1121" s="660"/>
    </row>
    <row r="1122" spans="6:18">
      <c r="F1122" s="667">
        <f t="shared" si="84"/>
        <v>0</v>
      </c>
      <c r="H1122" s="667">
        <f t="shared" si="85"/>
        <v>0</v>
      </c>
      <c r="M1122" s="659"/>
      <c r="N1122" s="660"/>
    </row>
    <row r="1123" spans="6:18">
      <c r="F1123" s="667">
        <f t="shared" si="84"/>
        <v>0</v>
      </c>
      <c r="H1123" s="667">
        <f t="shared" si="85"/>
        <v>0</v>
      </c>
      <c r="M1123" s="659"/>
      <c r="N1123" s="660"/>
    </row>
    <row r="1124" spans="6:18">
      <c r="F1124" s="667">
        <f t="shared" si="84"/>
        <v>0</v>
      </c>
      <c r="H1124" s="667">
        <f t="shared" si="85"/>
        <v>0</v>
      </c>
      <c r="M1124" s="659"/>
      <c r="N1124" s="660"/>
    </row>
    <row r="1125" spans="6:18">
      <c r="F1125" s="667">
        <f t="shared" si="84"/>
        <v>0</v>
      </c>
      <c r="H1125" s="667">
        <f t="shared" si="85"/>
        <v>0</v>
      </c>
      <c r="M1125" s="659"/>
      <c r="N1125" s="660"/>
    </row>
    <row r="1126" spans="6:18">
      <c r="F1126" s="667">
        <f t="shared" si="84"/>
        <v>0</v>
      </c>
      <c r="H1126" s="667">
        <f t="shared" si="85"/>
        <v>0</v>
      </c>
      <c r="M1126" s="659"/>
      <c r="N1126" s="660"/>
    </row>
    <row r="1127" spans="6:18">
      <c r="F1127" s="667">
        <f t="shared" si="84"/>
        <v>0</v>
      </c>
      <c r="H1127" s="667">
        <f t="shared" si="85"/>
        <v>0</v>
      </c>
      <c r="M1127" s="659"/>
      <c r="N1127" s="660"/>
    </row>
    <row r="1128" spans="6:18">
      <c r="F1128" s="667">
        <f t="shared" si="84"/>
        <v>0</v>
      </c>
      <c r="H1128" s="667">
        <f t="shared" si="85"/>
        <v>0</v>
      </c>
      <c r="M1128" s="659"/>
      <c r="N1128" s="660"/>
    </row>
    <row r="1129" spans="6:18">
      <c r="F1129" s="667">
        <f t="shared" si="84"/>
        <v>0</v>
      </c>
      <c r="H1129" s="667">
        <f t="shared" si="85"/>
        <v>0</v>
      </c>
      <c r="M1129" s="659"/>
      <c r="N1129" s="660"/>
    </row>
    <row r="1130" spans="6:18">
      <c r="F1130" s="667">
        <f t="shared" si="84"/>
        <v>0</v>
      </c>
      <c r="H1130" s="667">
        <f t="shared" si="85"/>
        <v>0</v>
      </c>
      <c r="M1130" s="659"/>
      <c r="N1130" s="660"/>
    </row>
    <row r="1131" spans="6:18">
      <c r="F1131" s="667">
        <f t="shared" si="84"/>
        <v>0</v>
      </c>
      <c r="H1131" s="667">
        <f t="shared" si="85"/>
        <v>0</v>
      </c>
      <c r="M1131" s="659"/>
      <c r="N1131" s="660"/>
    </row>
    <row r="1132" spans="6:18">
      <c r="F1132" s="667">
        <f t="shared" si="84"/>
        <v>0</v>
      </c>
      <c r="H1132" s="667">
        <f t="shared" si="85"/>
        <v>0</v>
      </c>
    </row>
    <row r="1133" spans="6:18">
      <c r="F1133" s="667">
        <f t="shared" si="84"/>
        <v>0</v>
      </c>
      <c r="M1133" s="796"/>
      <c r="N1133" s="794"/>
      <c r="O1133" s="670"/>
      <c r="P1133" s="670"/>
      <c r="Q1133" s="670"/>
      <c r="R1133" s="670"/>
    </row>
    <row r="1134" spans="6:18">
      <c r="F1134" s="667">
        <f t="shared" si="84"/>
        <v>0</v>
      </c>
      <c r="M1134" s="796"/>
      <c r="N1134" s="794"/>
      <c r="O1134" s="670"/>
      <c r="P1134" s="670"/>
      <c r="Q1134" s="670"/>
      <c r="R1134" s="670"/>
    </row>
    <row r="1135" spans="6:18">
      <c r="F1135" s="667">
        <f t="shared" si="84"/>
        <v>0</v>
      </c>
      <c r="M1135" s="796"/>
      <c r="N1135" s="794"/>
      <c r="O1135" s="670"/>
      <c r="P1135" s="670"/>
      <c r="Q1135" s="670"/>
      <c r="R1135" s="670"/>
    </row>
    <row r="1136" spans="6:18">
      <c r="F1136" s="667">
        <f t="shared" si="84"/>
        <v>0</v>
      </c>
      <c r="M1136" s="796"/>
      <c r="N1136" s="794"/>
      <c r="O1136" s="670"/>
      <c r="P1136" s="670"/>
      <c r="Q1136" s="670"/>
      <c r="R1136" s="670"/>
    </row>
    <row r="1137" spans="6:18">
      <c r="F1137" s="667">
        <f t="shared" si="84"/>
        <v>0</v>
      </c>
      <c r="M1137" s="796"/>
      <c r="N1137" s="794"/>
      <c r="O1137" s="670"/>
      <c r="P1137" s="670"/>
      <c r="Q1137" s="670"/>
      <c r="R1137" s="670"/>
    </row>
    <row r="1138" spans="6:18">
      <c r="F1138" s="667">
        <f t="shared" si="84"/>
        <v>0</v>
      </c>
      <c r="M1138" s="796"/>
      <c r="N1138" s="794"/>
      <c r="O1138" s="670"/>
      <c r="P1138" s="670"/>
      <c r="Q1138" s="670"/>
      <c r="R1138" s="670"/>
    </row>
    <row r="1139" spans="6:18">
      <c r="M1139" s="796"/>
      <c r="N1139" s="794"/>
      <c r="O1139" s="670"/>
      <c r="P1139" s="670"/>
      <c r="Q1139" s="670"/>
      <c r="R1139" s="670"/>
    </row>
    <row r="1140" spans="6:18">
      <c r="M1140" s="796"/>
      <c r="N1140" s="794"/>
      <c r="O1140" s="670"/>
      <c r="P1140" s="670"/>
      <c r="Q1140" s="670"/>
      <c r="R1140" s="670"/>
    </row>
    <row r="1141" spans="6:18">
      <c r="M1141" s="796"/>
      <c r="N1141" s="794"/>
      <c r="O1141" s="670"/>
      <c r="P1141" s="670"/>
      <c r="Q1141" s="670"/>
      <c r="R1141" s="670"/>
    </row>
    <row r="1142" spans="6:18">
      <c r="M1142" s="796"/>
      <c r="N1142" s="794"/>
      <c r="O1142" s="670"/>
      <c r="P1142" s="670"/>
      <c r="Q1142" s="670"/>
      <c r="R1142" s="670"/>
    </row>
    <row r="1143" spans="6:18">
      <c r="M1143" s="796"/>
      <c r="N1143" s="794"/>
      <c r="O1143" s="670"/>
      <c r="P1143" s="670"/>
      <c r="Q1143" s="670"/>
      <c r="R1143" s="670"/>
    </row>
    <row r="1144" spans="6:18">
      <c r="M1144" s="796"/>
      <c r="N1144" s="794"/>
      <c r="O1144" s="670"/>
      <c r="P1144" s="670"/>
      <c r="Q1144" s="670"/>
      <c r="R1144" s="670"/>
    </row>
    <row r="1145" spans="6:18">
      <c r="M1145" s="796"/>
      <c r="N1145" s="794"/>
      <c r="O1145" s="670"/>
      <c r="P1145" s="670"/>
      <c r="Q1145" s="670"/>
      <c r="R1145" s="670"/>
    </row>
    <row r="1146" spans="6:18">
      <c r="M1146" s="796"/>
      <c r="N1146" s="794"/>
      <c r="O1146" s="670"/>
      <c r="P1146" s="670"/>
      <c r="Q1146" s="670"/>
      <c r="R1146" s="670"/>
    </row>
    <row r="1147" spans="6:18">
      <c r="M1147" s="796"/>
      <c r="N1147" s="794"/>
      <c r="O1147" s="670"/>
      <c r="P1147" s="670"/>
      <c r="Q1147" s="670"/>
      <c r="R1147" s="670"/>
    </row>
    <row r="1148" spans="6:18">
      <c r="M1148" s="796"/>
      <c r="N1148" s="794"/>
      <c r="O1148" s="670"/>
      <c r="P1148" s="670"/>
      <c r="Q1148" s="670"/>
      <c r="R1148" s="670"/>
    </row>
    <row r="1149" spans="6:18">
      <c r="M1149" s="796"/>
      <c r="N1149" s="794"/>
      <c r="O1149" s="670"/>
      <c r="P1149" s="670"/>
      <c r="Q1149" s="670"/>
      <c r="R1149" s="670"/>
    </row>
    <row r="1150" spans="6:18">
      <c r="M1150" s="796"/>
      <c r="N1150" s="794"/>
      <c r="O1150" s="670"/>
      <c r="P1150" s="670"/>
      <c r="Q1150" s="670"/>
      <c r="R1150" s="670"/>
    </row>
    <row r="1151" spans="6:18">
      <c r="M1151" s="796"/>
      <c r="N1151" s="794"/>
      <c r="O1151" s="670"/>
      <c r="P1151" s="670"/>
      <c r="Q1151" s="670"/>
      <c r="R1151" s="670"/>
    </row>
  </sheetData>
  <autoFilter ref="A4:Z1138"/>
  <mergeCells count="11">
    <mergeCell ref="O2:P2"/>
    <mergeCell ref="I2:J2"/>
    <mergeCell ref="G2:H2"/>
    <mergeCell ref="A1:N1"/>
    <mergeCell ref="A2:A3"/>
    <mergeCell ref="B2:B3"/>
    <mergeCell ref="C2:C3"/>
    <mergeCell ref="D2:D3"/>
    <mergeCell ref="E2:F2"/>
    <mergeCell ref="K2:L2"/>
    <mergeCell ref="M2:N2"/>
  </mergeCells>
  <printOptions horizontalCentered="1"/>
  <pageMargins left="0.1" right="0.1" top="0.55118110236220497" bottom="0.55118110236220497" header="0.27559055118110198" footer="0.43307086614173201"/>
  <pageSetup paperSize="9" scale="35"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sheetPr>
    <tabColor rgb="FF00B050"/>
  </sheetPr>
  <dimension ref="A1:K23"/>
  <sheetViews>
    <sheetView view="pageBreakPreview" topLeftCell="D1" zoomScaleNormal="75" zoomScaleSheetLayoutView="100" workbookViewId="0">
      <selection activeCell="J22" sqref="J22"/>
    </sheetView>
  </sheetViews>
  <sheetFormatPr defaultRowHeight="35.1" customHeight="1"/>
  <cols>
    <col min="1" max="1" width="4.5546875" style="625" customWidth="1"/>
    <col min="2" max="2" width="6.6640625" style="625" customWidth="1"/>
    <col min="3" max="3" width="34.109375" style="625" customWidth="1"/>
    <col min="4" max="4" width="11.33203125" style="625" customWidth="1"/>
    <col min="5" max="5" width="6.88671875" style="625" customWidth="1"/>
    <col min="6" max="6" width="11.77734375" style="625" customWidth="1"/>
    <col min="7" max="7" width="19.109375" style="625" customWidth="1"/>
    <col min="8" max="8" width="19" style="625" customWidth="1"/>
    <col min="9" max="9" width="10.33203125" style="625" bestFit="1" customWidth="1"/>
    <col min="10" max="10" width="34.109375" style="625" customWidth="1"/>
    <col min="11" max="11" width="9.44140625" style="625" bestFit="1" customWidth="1"/>
    <col min="12" max="256" width="8.88671875" style="625"/>
    <col min="257" max="257" width="4.5546875" style="625" customWidth="1"/>
    <col min="258" max="258" width="6.6640625" style="625" customWidth="1"/>
    <col min="259" max="259" width="34.109375" style="625" customWidth="1"/>
    <col min="260" max="260" width="11.33203125" style="625" customWidth="1"/>
    <col min="261" max="261" width="6.88671875" style="625" customWidth="1"/>
    <col min="262" max="262" width="11.77734375" style="625" customWidth="1"/>
    <col min="263" max="263" width="19.109375" style="625" customWidth="1"/>
    <col min="264" max="264" width="19" style="625" customWidth="1"/>
    <col min="265" max="265" width="10" style="625" bestFit="1" customWidth="1"/>
    <col min="266" max="266" width="34.109375" style="625" customWidth="1"/>
    <col min="267" max="512" width="8.88671875" style="625"/>
    <col min="513" max="513" width="4.5546875" style="625" customWidth="1"/>
    <col min="514" max="514" width="6.6640625" style="625" customWidth="1"/>
    <col min="515" max="515" width="34.109375" style="625" customWidth="1"/>
    <col min="516" max="516" width="11.33203125" style="625" customWidth="1"/>
    <col min="517" max="517" width="6.88671875" style="625" customWidth="1"/>
    <col min="518" max="518" width="11.77734375" style="625" customWidth="1"/>
    <col min="519" max="519" width="19.109375" style="625" customWidth="1"/>
    <col min="520" max="520" width="19" style="625" customWidth="1"/>
    <col min="521" max="521" width="10" style="625" bestFit="1" customWidth="1"/>
    <col min="522" max="522" width="34.109375" style="625" customWidth="1"/>
    <col min="523" max="768" width="8.88671875" style="625"/>
    <col min="769" max="769" width="4.5546875" style="625" customWidth="1"/>
    <col min="770" max="770" width="6.6640625" style="625" customWidth="1"/>
    <col min="771" max="771" width="34.109375" style="625" customWidth="1"/>
    <col min="772" max="772" width="11.33203125" style="625" customWidth="1"/>
    <col min="773" max="773" width="6.88671875" style="625" customWidth="1"/>
    <col min="774" max="774" width="11.77734375" style="625" customWidth="1"/>
    <col min="775" max="775" width="19.109375" style="625" customWidth="1"/>
    <col min="776" max="776" width="19" style="625" customWidth="1"/>
    <col min="777" max="777" width="10" style="625" bestFit="1" customWidth="1"/>
    <col min="778" max="778" width="34.109375" style="625" customWidth="1"/>
    <col min="779" max="1024" width="8.88671875" style="625"/>
    <col min="1025" max="1025" width="4.5546875" style="625" customWidth="1"/>
    <col min="1026" max="1026" width="6.6640625" style="625" customWidth="1"/>
    <col min="1027" max="1027" width="34.109375" style="625" customWidth="1"/>
    <col min="1028" max="1028" width="11.33203125" style="625" customWidth="1"/>
    <col min="1029" max="1029" width="6.88671875" style="625" customWidth="1"/>
    <col min="1030" max="1030" width="11.77734375" style="625" customWidth="1"/>
    <col min="1031" max="1031" width="19.109375" style="625" customWidth="1"/>
    <col min="1032" max="1032" width="19" style="625" customWidth="1"/>
    <col min="1033" max="1033" width="10" style="625" bestFit="1" customWidth="1"/>
    <col min="1034" max="1034" width="34.109375" style="625" customWidth="1"/>
    <col min="1035" max="1280" width="8.88671875" style="625"/>
    <col min="1281" max="1281" width="4.5546875" style="625" customWidth="1"/>
    <col min="1282" max="1282" width="6.6640625" style="625" customWidth="1"/>
    <col min="1283" max="1283" width="34.109375" style="625" customWidth="1"/>
    <col min="1284" max="1284" width="11.33203125" style="625" customWidth="1"/>
    <col min="1285" max="1285" width="6.88671875" style="625" customWidth="1"/>
    <col min="1286" max="1286" width="11.77734375" style="625" customWidth="1"/>
    <col min="1287" max="1287" width="19.109375" style="625" customWidth="1"/>
    <col min="1288" max="1288" width="19" style="625" customWidth="1"/>
    <col min="1289" max="1289" width="10" style="625" bestFit="1" customWidth="1"/>
    <col min="1290" max="1290" width="34.109375" style="625" customWidth="1"/>
    <col min="1291" max="1536" width="8.88671875" style="625"/>
    <col min="1537" max="1537" width="4.5546875" style="625" customWidth="1"/>
    <col min="1538" max="1538" width="6.6640625" style="625" customWidth="1"/>
    <col min="1539" max="1539" width="34.109375" style="625" customWidth="1"/>
    <col min="1540" max="1540" width="11.33203125" style="625" customWidth="1"/>
    <col min="1541" max="1541" width="6.88671875" style="625" customWidth="1"/>
    <col min="1542" max="1542" width="11.77734375" style="625" customWidth="1"/>
    <col min="1543" max="1543" width="19.109375" style="625" customWidth="1"/>
    <col min="1544" max="1544" width="19" style="625" customWidth="1"/>
    <col min="1545" max="1545" width="10" style="625" bestFit="1" customWidth="1"/>
    <col min="1546" max="1546" width="34.109375" style="625" customWidth="1"/>
    <col min="1547" max="1792" width="8.88671875" style="625"/>
    <col min="1793" max="1793" width="4.5546875" style="625" customWidth="1"/>
    <col min="1794" max="1794" width="6.6640625" style="625" customWidth="1"/>
    <col min="1795" max="1795" width="34.109375" style="625" customWidth="1"/>
    <col min="1796" max="1796" width="11.33203125" style="625" customWidth="1"/>
    <col min="1797" max="1797" width="6.88671875" style="625" customWidth="1"/>
    <col min="1798" max="1798" width="11.77734375" style="625" customWidth="1"/>
    <col min="1799" max="1799" width="19.109375" style="625" customWidth="1"/>
    <col min="1800" max="1800" width="19" style="625" customWidth="1"/>
    <col min="1801" max="1801" width="10" style="625" bestFit="1" customWidth="1"/>
    <col min="1802" max="1802" width="34.109375" style="625" customWidth="1"/>
    <col min="1803" max="2048" width="8.88671875" style="625"/>
    <col min="2049" max="2049" width="4.5546875" style="625" customWidth="1"/>
    <col min="2050" max="2050" width="6.6640625" style="625" customWidth="1"/>
    <col min="2051" max="2051" width="34.109375" style="625" customWidth="1"/>
    <col min="2052" max="2052" width="11.33203125" style="625" customWidth="1"/>
    <col min="2053" max="2053" width="6.88671875" style="625" customWidth="1"/>
    <col min="2054" max="2054" width="11.77734375" style="625" customWidth="1"/>
    <col min="2055" max="2055" width="19.109375" style="625" customWidth="1"/>
    <col min="2056" max="2056" width="19" style="625" customWidth="1"/>
    <col min="2057" max="2057" width="10" style="625" bestFit="1" customWidth="1"/>
    <col min="2058" max="2058" width="34.109375" style="625" customWidth="1"/>
    <col min="2059" max="2304" width="8.88671875" style="625"/>
    <col min="2305" max="2305" width="4.5546875" style="625" customWidth="1"/>
    <col min="2306" max="2306" width="6.6640625" style="625" customWidth="1"/>
    <col min="2307" max="2307" width="34.109375" style="625" customWidth="1"/>
    <col min="2308" max="2308" width="11.33203125" style="625" customWidth="1"/>
    <col min="2309" max="2309" width="6.88671875" style="625" customWidth="1"/>
    <col min="2310" max="2310" width="11.77734375" style="625" customWidth="1"/>
    <col min="2311" max="2311" width="19.109375" style="625" customWidth="1"/>
    <col min="2312" max="2312" width="19" style="625" customWidth="1"/>
    <col min="2313" max="2313" width="10" style="625" bestFit="1" customWidth="1"/>
    <col min="2314" max="2314" width="34.109375" style="625" customWidth="1"/>
    <col min="2315" max="2560" width="8.88671875" style="625"/>
    <col min="2561" max="2561" width="4.5546875" style="625" customWidth="1"/>
    <col min="2562" max="2562" width="6.6640625" style="625" customWidth="1"/>
    <col min="2563" max="2563" width="34.109375" style="625" customWidth="1"/>
    <col min="2564" max="2564" width="11.33203125" style="625" customWidth="1"/>
    <col min="2565" max="2565" width="6.88671875" style="625" customWidth="1"/>
    <col min="2566" max="2566" width="11.77734375" style="625" customWidth="1"/>
    <col min="2567" max="2567" width="19.109375" style="625" customWidth="1"/>
    <col min="2568" max="2568" width="19" style="625" customWidth="1"/>
    <col min="2569" max="2569" width="10" style="625" bestFit="1" customWidth="1"/>
    <col min="2570" max="2570" width="34.109375" style="625" customWidth="1"/>
    <col min="2571" max="2816" width="8.88671875" style="625"/>
    <col min="2817" max="2817" width="4.5546875" style="625" customWidth="1"/>
    <col min="2818" max="2818" width="6.6640625" style="625" customWidth="1"/>
    <col min="2819" max="2819" width="34.109375" style="625" customWidth="1"/>
    <col min="2820" max="2820" width="11.33203125" style="625" customWidth="1"/>
    <col min="2821" max="2821" width="6.88671875" style="625" customWidth="1"/>
    <col min="2822" max="2822" width="11.77734375" style="625" customWidth="1"/>
    <col min="2823" max="2823" width="19.109375" style="625" customWidth="1"/>
    <col min="2824" max="2824" width="19" style="625" customWidth="1"/>
    <col min="2825" max="2825" width="10" style="625" bestFit="1" customWidth="1"/>
    <col min="2826" max="2826" width="34.109375" style="625" customWidth="1"/>
    <col min="2827" max="3072" width="8.88671875" style="625"/>
    <col min="3073" max="3073" width="4.5546875" style="625" customWidth="1"/>
    <col min="3074" max="3074" width="6.6640625" style="625" customWidth="1"/>
    <col min="3075" max="3075" width="34.109375" style="625" customWidth="1"/>
    <col min="3076" max="3076" width="11.33203125" style="625" customWidth="1"/>
    <col min="3077" max="3077" width="6.88671875" style="625" customWidth="1"/>
    <col min="3078" max="3078" width="11.77734375" style="625" customWidth="1"/>
    <col min="3079" max="3079" width="19.109375" style="625" customWidth="1"/>
    <col min="3080" max="3080" width="19" style="625" customWidth="1"/>
    <col min="3081" max="3081" width="10" style="625" bestFit="1" customWidth="1"/>
    <col min="3082" max="3082" width="34.109375" style="625" customWidth="1"/>
    <col min="3083" max="3328" width="8.88671875" style="625"/>
    <col min="3329" max="3329" width="4.5546875" style="625" customWidth="1"/>
    <col min="3330" max="3330" width="6.6640625" style="625" customWidth="1"/>
    <col min="3331" max="3331" width="34.109375" style="625" customWidth="1"/>
    <col min="3332" max="3332" width="11.33203125" style="625" customWidth="1"/>
    <col min="3333" max="3333" width="6.88671875" style="625" customWidth="1"/>
    <col min="3334" max="3334" width="11.77734375" style="625" customWidth="1"/>
    <col min="3335" max="3335" width="19.109375" style="625" customWidth="1"/>
    <col min="3336" max="3336" width="19" style="625" customWidth="1"/>
    <col min="3337" max="3337" width="10" style="625" bestFit="1" customWidth="1"/>
    <col min="3338" max="3338" width="34.109375" style="625" customWidth="1"/>
    <col min="3339" max="3584" width="8.88671875" style="625"/>
    <col min="3585" max="3585" width="4.5546875" style="625" customWidth="1"/>
    <col min="3586" max="3586" width="6.6640625" style="625" customWidth="1"/>
    <col min="3587" max="3587" width="34.109375" style="625" customWidth="1"/>
    <col min="3588" max="3588" width="11.33203125" style="625" customWidth="1"/>
    <col min="3589" max="3589" width="6.88671875" style="625" customWidth="1"/>
    <col min="3590" max="3590" width="11.77734375" style="625" customWidth="1"/>
    <col min="3591" max="3591" width="19.109375" style="625" customWidth="1"/>
    <col min="3592" max="3592" width="19" style="625" customWidth="1"/>
    <col min="3593" max="3593" width="10" style="625" bestFit="1" customWidth="1"/>
    <col min="3594" max="3594" width="34.109375" style="625" customWidth="1"/>
    <col min="3595" max="3840" width="8.88671875" style="625"/>
    <col min="3841" max="3841" width="4.5546875" style="625" customWidth="1"/>
    <col min="3842" max="3842" width="6.6640625" style="625" customWidth="1"/>
    <col min="3843" max="3843" width="34.109375" style="625" customWidth="1"/>
    <col min="3844" max="3844" width="11.33203125" style="625" customWidth="1"/>
    <col min="3845" max="3845" width="6.88671875" style="625" customWidth="1"/>
    <col min="3846" max="3846" width="11.77734375" style="625" customWidth="1"/>
    <col min="3847" max="3847" width="19.109375" style="625" customWidth="1"/>
    <col min="3848" max="3848" width="19" style="625" customWidth="1"/>
    <col min="3849" max="3849" width="10" style="625" bestFit="1" customWidth="1"/>
    <col min="3850" max="3850" width="34.109375" style="625" customWidth="1"/>
    <col min="3851" max="4096" width="8.88671875" style="625"/>
    <col min="4097" max="4097" width="4.5546875" style="625" customWidth="1"/>
    <col min="4098" max="4098" width="6.6640625" style="625" customWidth="1"/>
    <col min="4099" max="4099" width="34.109375" style="625" customWidth="1"/>
    <col min="4100" max="4100" width="11.33203125" style="625" customWidth="1"/>
    <col min="4101" max="4101" width="6.88671875" style="625" customWidth="1"/>
    <col min="4102" max="4102" width="11.77734375" style="625" customWidth="1"/>
    <col min="4103" max="4103" width="19.109375" style="625" customWidth="1"/>
    <col min="4104" max="4104" width="19" style="625" customWidth="1"/>
    <col min="4105" max="4105" width="10" style="625" bestFit="1" customWidth="1"/>
    <col min="4106" max="4106" width="34.109375" style="625" customWidth="1"/>
    <col min="4107" max="4352" width="8.88671875" style="625"/>
    <col min="4353" max="4353" width="4.5546875" style="625" customWidth="1"/>
    <col min="4354" max="4354" width="6.6640625" style="625" customWidth="1"/>
    <col min="4355" max="4355" width="34.109375" style="625" customWidth="1"/>
    <col min="4356" max="4356" width="11.33203125" style="625" customWidth="1"/>
    <col min="4357" max="4357" width="6.88671875" style="625" customWidth="1"/>
    <col min="4358" max="4358" width="11.77734375" style="625" customWidth="1"/>
    <col min="4359" max="4359" width="19.109375" style="625" customWidth="1"/>
    <col min="4360" max="4360" width="19" style="625" customWidth="1"/>
    <col min="4361" max="4361" width="10" style="625" bestFit="1" customWidth="1"/>
    <col min="4362" max="4362" width="34.109375" style="625" customWidth="1"/>
    <col min="4363" max="4608" width="8.88671875" style="625"/>
    <col min="4609" max="4609" width="4.5546875" style="625" customWidth="1"/>
    <col min="4610" max="4610" width="6.6640625" style="625" customWidth="1"/>
    <col min="4611" max="4611" width="34.109375" style="625" customWidth="1"/>
    <col min="4612" max="4612" width="11.33203125" style="625" customWidth="1"/>
    <col min="4613" max="4613" width="6.88671875" style="625" customWidth="1"/>
    <col min="4614" max="4614" width="11.77734375" style="625" customWidth="1"/>
    <col min="4615" max="4615" width="19.109375" style="625" customWidth="1"/>
    <col min="4616" max="4616" width="19" style="625" customWidth="1"/>
    <col min="4617" max="4617" width="10" style="625" bestFit="1" customWidth="1"/>
    <col min="4618" max="4618" width="34.109375" style="625" customWidth="1"/>
    <col min="4619" max="4864" width="8.88671875" style="625"/>
    <col min="4865" max="4865" width="4.5546875" style="625" customWidth="1"/>
    <col min="4866" max="4866" width="6.6640625" style="625" customWidth="1"/>
    <col min="4867" max="4867" width="34.109375" style="625" customWidth="1"/>
    <col min="4868" max="4868" width="11.33203125" style="625" customWidth="1"/>
    <col min="4869" max="4869" width="6.88671875" style="625" customWidth="1"/>
    <col min="4870" max="4870" width="11.77734375" style="625" customWidth="1"/>
    <col min="4871" max="4871" width="19.109375" style="625" customWidth="1"/>
    <col min="4872" max="4872" width="19" style="625" customWidth="1"/>
    <col min="4873" max="4873" width="10" style="625" bestFit="1" customWidth="1"/>
    <col min="4874" max="4874" width="34.109375" style="625" customWidth="1"/>
    <col min="4875" max="5120" width="8.88671875" style="625"/>
    <col min="5121" max="5121" width="4.5546875" style="625" customWidth="1"/>
    <col min="5122" max="5122" width="6.6640625" style="625" customWidth="1"/>
    <col min="5123" max="5123" width="34.109375" style="625" customWidth="1"/>
    <col min="5124" max="5124" width="11.33203125" style="625" customWidth="1"/>
    <col min="5125" max="5125" width="6.88671875" style="625" customWidth="1"/>
    <col min="5126" max="5126" width="11.77734375" style="625" customWidth="1"/>
    <col min="5127" max="5127" width="19.109375" style="625" customWidth="1"/>
    <col min="5128" max="5128" width="19" style="625" customWidth="1"/>
    <col min="5129" max="5129" width="10" style="625" bestFit="1" customWidth="1"/>
    <col min="5130" max="5130" width="34.109375" style="625" customWidth="1"/>
    <col min="5131" max="5376" width="8.88671875" style="625"/>
    <col min="5377" max="5377" width="4.5546875" style="625" customWidth="1"/>
    <col min="5378" max="5378" width="6.6640625" style="625" customWidth="1"/>
    <col min="5379" max="5379" width="34.109375" style="625" customWidth="1"/>
    <col min="5380" max="5380" width="11.33203125" style="625" customWidth="1"/>
    <col min="5381" max="5381" width="6.88671875" style="625" customWidth="1"/>
    <col min="5382" max="5382" width="11.77734375" style="625" customWidth="1"/>
    <col min="5383" max="5383" width="19.109375" style="625" customWidth="1"/>
    <col min="5384" max="5384" width="19" style="625" customWidth="1"/>
    <col min="5385" max="5385" width="10" style="625" bestFit="1" customWidth="1"/>
    <col min="5386" max="5386" width="34.109375" style="625" customWidth="1"/>
    <col min="5387" max="5632" width="8.88671875" style="625"/>
    <col min="5633" max="5633" width="4.5546875" style="625" customWidth="1"/>
    <col min="5634" max="5634" width="6.6640625" style="625" customWidth="1"/>
    <col min="5635" max="5635" width="34.109375" style="625" customWidth="1"/>
    <col min="5636" max="5636" width="11.33203125" style="625" customWidth="1"/>
    <col min="5637" max="5637" width="6.88671875" style="625" customWidth="1"/>
    <col min="5638" max="5638" width="11.77734375" style="625" customWidth="1"/>
    <col min="5639" max="5639" width="19.109375" style="625" customWidth="1"/>
    <col min="5640" max="5640" width="19" style="625" customWidth="1"/>
    <col min="5641" max="5641" width="10" style="625" bestFit="1" customWidth="1"/>
    <col min="5642" max="5642" width="34.109375" style="625" customWidth="1"/>
    <col min="5643" max="5888" width="8.88671875" style="625"/>
    <col min="5889" max="5889" width="4.5546875" style="625" customWidth="1"/>
    <col min="5890" max="5890" width="6.6640625" style="625" customWidth="1"/>
    <col min="5891" max="5891" width="34.109375" style="625" customWidth="1"/>
    <col min="5892" max="5892" width="11.33203125" style="625" customWidth="1"/>
    <col min="5893" max="5893" width="6.88671875" style="625" customWidth="1"/>
    <col min="5894" max="5894" width="11.77734375" style="625" customWidth="1"/>
    <col min="5895" max="5895" width="19.109375" style="625" customWidth="1"/>
    <col min="5896" max="5896" width="19" style="625" customWidth="1"/>
    <col min="5897" max="5897" width="10" style="625" bestFit="1" customWidth="1"/>
    <col min="5898" max="5898" width="34.109375" style="625" customWidth="1"/>
    <col min="5899" max="6144" width="8.88671875" style="625"/>
    <col min="6145" max="6145" width="4.5546875" style="625" customWidth="1"/>
    <col min="6146" max="6146" width="6.6640625" style="625" customWidth="1"/>
    <col min="6147" max="6147" width="34.109375" style="625" customWidth="1"/>
    <col min="6148" max="6148" width="11.33203125" style="625" customWidth="1"/>
    <col min="6149" max="6149" width="6.88671875" style="625" customWidth="1"/>
    <col min="6150" max="6150" width="11.77734375" style="625" customWidth="1"/>
    <col min="6151" max="6151" width="19.109375" style="625" customWidth="1"/>
    <col min="6152" max="6152" width="19" style="625" customWidth="1"/>
    <col min="6153" max="6153" width="10" style="625" bestFit="1" customWidth="1"/>
    <col min="6154" max="6154" width="34.109375" style="625" customWidth="1"/>
    <col min="6155" max="6400" width="8.88671875" style="625"/>
    <col min="6401" max="6401" width="4.5546875" style="625" customWidth="1"/>
    <col min="6402" max="6402" width="6.6640625" style="625" customWidth="1"/>
    <col min="6403" max="6403" width="34.109375" style="625" customWidth="1"/>
    <col min="6404" max="6404" width="11.33203125" style="625" customWidth="1"/>
    <col min="6405" max="6405" width="6.88671875" style="625" customWidth="1"/>
    <col min="6406" max="6406" width="11.77734375" style="625" customWidth="1"/>
    <col min="6407" max="6407" width="19.109375" style="625" customWidth="1"/>
    <col min="6408" max="6408" width="19" style="625" customWidth="1"/>
    <col min="6409" max="6409" width="10" style="625" bestFit="1" customWidth="1"/>
    <col min="6410" max="6410" width="34.109375" style="625" customWidth="1"/>
    <col min="6411" max="6656" width="8.88671875" style="625"/>
    <col min="6657" max="6657" width="4.5546875" style="625" customWidth="1"/>
    <col min="6658" max="6658" width="6.6640625" style="625" customWidth="1"/>
    <col min="6659" max="6659" width="34.109375" style="625" customWidth="1"/>
    <col min="6660" max="6660" width="11.33203125" style="625" customWidth="1"/>
    <col min="6661" max="6661" width="6.88671875" style="625" customWidth="1"/>
    <col min="6662" max="6662" width="11.77734375" style="625" customWidth="1"/>
    <col min="6663" max="6663" width="19.109375" style="625" customWidth="1"/>
    <col min="6664" max="6664" width="19" style="625" customWidth="1"/>
    <col min="6665" max="6665" width="10" style="625" bestFit="1" customWidth="1"/>
    <col min="6666" max="6666" width="34.109375" style="625" customWidth="1"/>
    <col min="6667" max="6912" width="8.88671875" style="625"/>
    <col min="6913" max="6913" width="4.5546875" style="625" customWidth="1"/>
    <col min="6914" max="6914" width="6.6640625" style="625" customWidth="1"/>
    <col min="6915" max="6915" width="34.109375" style="625" customWidth="1"/>
    <col min="6916" max="6916" width="11.33203125" style="625" customWidth="1"/>
    <col min="6917" max="6917" width="6.88671875" style="625" customWidth="1"/>
    <col min="6918" max="6918" width="11.77734375" style="625" customWidth="1"/>
    <col min="6919" max="6919" width="19.109375" style="625" customWidth="1"/>
    <col min="6920" max="6920" width="19" style="625" customWidth="1"/>
    <col min="6921" max="6921" width="10" style="625" bestFit="1" customWidth="1"/>
    <col min="6922" max="6922" width="34.109375" style="625" customWidth="1"/>
    <col min="6923" max="7168" width="8.88671875" style="625"/>
    <col min="7169" max="7169" width="4.5546875" style="625" customWidth="1"/>
    <col min="7170" max="7170" width="6.6640625" style="625" customWidth="1"/>
    <col min="7171" max="7171" width="34.109375" style="625" customWidth="1"/>
    <col min="7172" max="7172" width="11.33203125" style="625" customWidth="1"/>
    <col min="7173" max="7173" width="6.88671875" style="625" customWidth="1"/>
    <col min="7174" max="7174" width="11.77734375" style="625" customWidth="1"/>
    <col min="7175" max="7175" width="19.109375" style="625" customWidth="1"/>
    <col min="7176" max="7176" width="19" style="625" customWidth="1"/>
    <col min="7177" max="7177" width="10" style="625" bestFit="1" customWidth="1"/>
    <col min="7178" max="7178" width="34.109375" style="625" customWidth="1"/>
    <col min="7179" max="7424" width="8.88671875" style="625"/>
    <col min="7425" max="7425" width="4.5546875" style="625" customWidth="1"/>
    <col min="7426" max="7426" width="6.6640625" style="625" customWidth="1"/>
    <col min="7427" max="7427" width="34.109375" style="625" customWidth="1"/>
    <col min="7428" max="7428" width="11.33203125" style="625" customWidth="1"/>
    <col min="7429" max="7429" width="6.88671875" style="625" customWidth="1"/>
    <col min="7430" max="7430" width="11.77734375" style="625" customWidth="1"/>
    <col min="7431" max="7431" width="19.109375" style="625" customWidth="1"/>
    <col min="7432" max="7432" width="19" style="625" customWidth="1"/>
    <col min="7433" max="7433" width="10" style="625" bestFit="1" customWidth="1"/>
    <col min="7434" max="7434" width="34.109375" style="625" customWidth="1"/>
    <col min="7435" max="7680" width="8.88671875" style="625"/>
    <col min="7681" max="7681" width="4.5546875" style="625" customWidth="1"/>
    <col min="7682" max="7682" width="6.6640625" style="625" customWidth="1"/>
    <col min="7683" max="7683" width="34.109375" style="625" customWidth="1"/>
    <col min="7684" max="7684" width="11.33203125" style="625" customWidth="1"/>
    <col min="7685" max="7685" width="6.88671875" style="625" customWidth="1"/>
    <col min="7686" max="7686" width="11.77734375" style="625" customWidth="1"/>
    <col min="7687" max="7687" width="19.109375" style="625" customWidth="1"/>
    <col min="7688" max="7688" width="19" style="625" customWidth="1"/>
    <col min="7689" max="7689" width="10" style="625" bestFit="1" customWidth="1"/>
    <col min="7690" max="7690" width="34.109375" style="625" customWidth="1"/>
    <col min="7691" max="7936" width="8.88671875" style="625"/>
    <col min="7937" max="7937" width="4.5546875" style="625" customWidth="1"/>
    <col min="7938" max="7938" width="6.6640625" style="625" customWidth="1"/>
    <col min="7939" max="7939" width="34.109375" style="625" customWidth="1"/>
    <col min="7940" max="7940" width="11.33203125" style="625" customWidth="1"/>
    <col min="7941" max="7941" width="6.88671875" style="625" customWidth="1"/>
    <col min="7942" max="7942" width="11.77734375" style="625" customWidth="1"/>
    <col min="7943" max="7943" width="19.109375" style="625" customWidth="1"/>
    <col min="7944" max="7944" width="19" style="625" customWidth="1"/>
    <col min="7945" max="7945" width="10" style="625" bestFit="1" customWidth="1"/>
    <col min="7946" max="7946" width="34.109375" style="625" customWidth="1"/>
    <col min="7947" max="8192" width="8.88671875" style="625"/>
    <col min="8193" max="8193" width="4.5546875" style="625" customWidth="1"/>
    <col min="8194" max="8194" width="6.6640625" style="625" customWidth="1"/>
    <col min="8195" max="8195" width="34.109375" style="625" customWidth="1"/>
    <col min="8196" max="8196" width="11.33203125" style="625" customWidth="1"/>
    <col min="8197" max="8197" width="6.88671875" style="625" customWidth="1"/>
    <col min="8198" max="8198" width="11.77734375" style="625" customWidth="1"/>
    <col min="8199" max="8199" width="19.109375" style="625" customWidth="1"/>
    <col min="8200" max="8200" width="19" style="625" customWidth="1"/>
    <col min="8201" max="8201" width="10" style="625" bestFit="1" customWidth="1"/>
    <col min="8202" max="8202" width="34.109375" style="625" customWidth="1"/>
    <col min="8203" max="8448" width="8.88671875" style="625"/>
    <col min="8449" max="8449" width="4.5546875" style="625" customWidth="1"/>
    <col min="8450" max="8450" width="6.6640625" style="625" customWidth="1"/>
    <col min="8451" max="8451" width="34.109375" style="625" customWidth="1"/>
    <col min="8452" max="8452" width="11.33203125" style="625" customWidth="1"/>
    <col min="8453" max="8453" width="6.88671875" style="625" customWidth="1"/>
    <col min="8454" max="8454" width="11.77734375" style="625" customWidth="1"/>
    <col min="8455" max="8455" width="19.109375" style="625" customWidth="1"/>
    <col min="8456" max="8456" width="19" style="625" customWidth="1"/>
    <col min="8457" max="8457" width="10" style="625" bestFit="1" customWidth="1"/>
    <col min="8458" max="8458" width="34.109375" style="625" customWidth="1"/>
    <col min="8459" max="8704" width="8.88671875" style="625"/>
    <col min="8705" max="8705" width="4.5546875" style="625" customWidth="1"/>
    <col min="8706" max="8706" width="6.6640625" style="625" customWidth="1"/>
    <col min="8707" max="8707" width="34.109375" style="625" customWidth="1"/>
    <col min="8708" max="8708" width="11.33203125" style="625" customWidth="1"/>
    <col min="8709" max="8709" width="6.88671875" style="625" customWidth="1"/>
    <col min="8710" max="8710" width="11.77734375" style="625" customWidth="1"/>
    <col min="8711" max="8711" width="19.109375" style="625" customWidth="1"/>
    <col min="8712" max="8712" width="19" style="625" customWidth="1"/>
    <col min="8713" max="8713" width="10" style="625" bestFit="1" customWidth="1"/>
    <col min="8714" max="8714" width="34.109375" style="625" customWidth="1"/>
    <col min="8715" max="8960" width="8.88671875" style="625"/>
    <col min="8961" max="8961" width="4.5546875" style="625" customWidth="1"/>
    <col min="8962" max="8962" width="6.6640625" style="625" customWidth="1"/>
    <col min="8963" max="8963" width="34.109375" style="625" customWidth="1"/>
    <col min="8964" max="8964" width="11.33203125" style="625" customWidth="1"/>
    <col min="8965" max="8965" width="6.88671875" style="625" customWidth="1"/>
    <col min="8966" max="8966" width="11.77734375" style="625" customWidth="1"/>
    <col min="8967" max="8967" width="19.109375" style="625" customWidth="1"/>
    <col min="8968" max="8968" width="19" style="625" customWidth="1"/>
    <col min="8969" max="8969" width="10" style="625" bestFit="1" customWidth="1"/>
    <col min="8970" max="8970" width="34.109375" style="625" customWidth="1"/>
    <col min="8971" max="9216" width="8.88671875" style="625"/>
    <col min="9217" max="9217" width="4.5546875" style="625" customWidth="1"/>
    <col min="9218" max="9218" width="6.6640625" style="625" customWidth="1"/>
    <col min="9219" max="9219" width="34.109375" style="625" customWidth="1"/>
    <col min="9220" max="9220" width="11.33203125" style="625" customWidth="1"/>
    <col min="9221" max="9221" width="6.88671875" style="625" customWidth="1"/>
    <col min="9222" max="9222" width="11.77734375" style="625" customWidth="1"/>
    <col min="9223" max="9223" width="19.109375" style="625" customWidth="1"/>
    <col min="9224" max="9224" width="19" style="625" customWidth="1"/>
    <col min="9225" max="9225" width="10" style="625" bestFit="1" customWidth="1"/>
    <col min="9226" max="9226" width="34.109375" style="625" customWidth="1"/>
    <col min="9227" max="9472" width="8.88671875" style="625"/>
    <col min="9473" max="9473" width="4.5546875" style="625" customWidth="1"/>
    <col min="9474" max="9474" width="6.6640625" style="625" customWidth="1"/>
    <col min="9475" max="9475" width="34.109375" style="625" customWidth="1"/>
    <col min="9476" max="9476" width="11.33203125" style="625" customWidth="1"/>
    <col min="9477" max="9477" width="6.88671875" style="625" customWidth="1"/>
    <col min="9478" max="9478" width="11.77734375" style="625" customWidth="1"/>
    <col min="9479" max="9479" width="19.109375" style="625" customWidth="1"/>
    <col min="9480" max="9480" width="19" style="625" customWidth="1"/>
    <col min="9481" max="9481" width="10" style="625" bestFit="1" customWidth="1"/>
    <col min="9482" max="9482" width="34.109375" style="625" customWidth="1"/>
    <col min="9483" max="9728" width="8.88671875" style="625"/>
    <col min="9729" max="9729" width="4.5546875" style="625" customWidth="1"/>
    <col min="9730" max="9730" width="6.6640625" style="625" customWidth="1"/>
    <col min="9731" max="9731" width="34.109375" style="625" customWidth="1"/>
    <col min="9732" max="9732" width="11.33203125" style="625" customWidth="1"/>
    <col min="9733" max="9733" width="6.88671875" style="625" customWidth="1"/>
    <col min="9734" max="9734" width="11.77734375" style="625" customWidth="1"/>
    <col min="9735" max="9735" width="19.109375" style="625" customWidth="1"/>
    <col min="9736" max="9736" width="19" style="625" customWidth="1"/>
    <col min="9737" max="9737" width="10" style="625" bestFit="1" customWidth="1"/>
    <col min="9738" max="9738" width="34.109375" style="625" customWidth="1"/>
    <col min="9739" max="9984" width="8.88671875" style="625"/>
    <col min="9985" max="9985" width="4.5546875" style="625" customWidth="1"/>
    <col min="9986" max="9986" width="6.6640625" style="625" customWidth="1"/>
    <col min="9987" max="9987" width="34.109375" style="625" customWidth="1"/>
    <col min="9988" max="9988" width="11.33203125" style="625" customWidth="1"/>
    <col min="9989" max="9989" width="6.88671875" style="625" customWidth="1"/>
    <col min="9990" max="9990" width="11.77734375" style="625" customWidth="1"/>
    <col min="9991" max="9991" width="19.109375" style="625" customWidth="1"/>
    <col min="9992" max="9992" width="19" style="625" customWidth="1"/>
    <col min="9993" max="9993" width="10" style="625" bestFit="1" customWidth="1"/>
    <col min="9994" max="9994" width="34.109375" style="625" customWidth="1"/>
    <col min="9995" max="10240" width="8.88671875" style="625"/>
    <col min="10241" max="10241" width="4.5546875" style="625" customWidth="1"/>
    <col min="10242" max="10242" width="6.6640625" style="625" customWidth="1"/>
    <col min="10243" max="10243" width="34.109375" style="625" customWidth="1"/>
    <col min="10244" max="10244" width="11.33203125" style="625" customWidth="1"/>
    <col min="10245" max="10245" width="6.88671875" style="625" customWidth="1"/>
    <col min="10246" max="10246" width="11.77734375" style="625" customWidth="1"/>
    <col min="10247" max="10247" width="19.109375" style="625" customWidth="1"/>
    <col min="10248" max="10248" width="19" style="625" customWidth="1"/>
    <col min="10249" max="10249" width="10" style="625" bestFit="1" customWidth="1"/>
    <col min="10250" max="10250" width="34.109375" style="625" customWidth="1"/>
    <col min="10251" max="10496" width="8.88671875" style="625"/>
    <col min="10497" max="10497" width="4.5546875" style="625" customWidth="1"/>
    <col min="10498" max="10498" width="6.6640625" style="625" customWidth="1"/>
    <col min="10499" max="10499" width="34.109375" style="625" customWidth="1"/>
    <col min="10500" max="10500" width="11.33203125" style="625" customWidth="1"/>
    <col min="10501" max="10501" width="6.88671875" style="625" customWidth="1"/>
    <col min="10502" max="10502" width="11.77734375" style="625" customWidth="1"/>
    <col min="10503" max="10503" width="19.109375" style="625" customWidth="1"/>
    <col min="10504" max="10504" width="19" style="625" customWidth="1"/>
    <col min="10505" max="10505" width="10" style="625" bestFit="1" customWidth="1"/>
    <col min="10506" max="10506" width="34.109375" style="625" customWidth="1"/>
    <col min="10507" max="10752" width="8.88671875" style="625"/>
    <col min="10753" max="10753" width="4.5546875" style="625" customWidth="1"/>
    <col min="10754" max="10754" width="6.6640625" style="625" customWidth="1"/>
    <col min="10755" max="10755" width="34.109375" style="625" customWidth="1"/>
    <col min="10756" max="10756" width="11.33203125" style="625" customWidth="1"/>
    <col min="10757" max="10757" width="6.88671875" style="625" customWidth="1"/>
    <col min="10758" max="10758" width="11.77734375" style="625" customWidth="1"/>
    <col min="10759" max="10759" width="19.109375" style="625" customWidth="1"/>
    <col min="10760" max="10760" width="19" style="625" customWidth="1"/>
    <col min="10761" max="10761" width="10" style="625" bestFit="1" customWidth="1"/>
    <col min="10762" max="10762" width="34.109375" style="625" customWidth="1"/>
    <col min="10763" max="11008" width="8.88671875" style="625"/>
    <col min="11009" max="11009" width="4.5546875" style="625" customWidth="1"/>
    <col min="11010" max="11010" width="6.6640625" style="625" customWidth="1"/>
    <col min="11011" max="11011" width="34.109375" style="625" customWidth="1"/>
    <col min="11012" max="11012" width="11.33203125" style="625" customWidth="1"/>
    <col min="11013" max="11013" width="6.88671875" style="625" customWidth="1"/>
    <col min="11014" max="11014" width="11.77734375" style="625" customWidth="1"/>
    <col min="11015" max="11015" width="19.109375" style="625" customWidth="1"/>
    <col min="11016" max="11016" width="19" style="625" customWidth="1"/>
    <col min="11017" max="11017" width="10" style="625" bestFit="1" customWidth="1"/>
    <col min="11018" max="11018" width="34.109375" style="625" customWidth="1"/>
    <col min="11019" max="11264" width="8.88671875" style="625"/>
    <col min="11265" max="11265" width="4.5546875" style="625" customWidth="1"/>
    <col min="11266" max="11266" width="6.6640625" style="625" customWidth="1"/>
    <col min="11267" max="11267" width="34.109375" style="625" customWidth="1"/>
    <col min="11268" max="11268" width="11.33203125" style="625" customWidth="1"/>
    <col min="11269" max="11269" width="6.88671875" style="625" customWidth="1"/>
    <col min="11270" max="11270" width="11.77734375" style="625" customWidth="1"/>
    <col min="11271" max="11271" width="19.109375" style="625" customWidth="1"/>
    <col min="11272" max="11272" width="19" style="625" customWidth="1"/>
    <col min="11273" max="11273" width="10" style="625" bestFit="1" customWidth="1"/>
    <col min="11274" max="11274" width="34.109375" style="625" customWidth="1"/>
    <col min="11275" max="11520" width="8.88671875" style="625"/>
    <col min="11521" max="11521" width="4.5546875" style="625" customWidth="1"/>
    <col min="11522" max="11522" width="6.6640625" style="625" customWidth="1"/>
    <col min="11523" max="11523" width="34.109375" style="625" customWidth="1"/>
    <col min="11524" max="11524" width="11.33203125" style="625" customWidth="1"/>
    <col min="11525" max="11525" width="6.88671875" style="625" customWidth="1"/>
    <col min="11526" max="11526" width="11.77734375" style="625" customWidth="1"/>
    <col min="11527" max="11527" width="19.109375" style="625" customWidth="1"/>
    <col min="11528" max="11528" width="19" style="625" customWidth="1"/>
    <col min="11529" max="11529" width="10" style="625" bestFit="1" customWidth="1"/>
    <col min="11530" max="11530" width="34.109375" style="625" customWidth="1"/>
    <col min="11531" max="11776" width="8.88671875" style="625"/>
    <col min="11777" max="11777" width="4.5546875" style="625" customWidth="1"/>
    <col min="11778" max="11778" width="6.6640625" style="625" customWidth="1"/>
    <col min="11779" max="11779" width="34.109375" style="625" customWidth="1"/>
    <col min="11780" max="11780" width="11.33203125" style="625" customWidth="1"/>
    <col min="11781" max="11781" width="6.88671875" style="625" customWidth="1"/>
    <col min="11782" max="11782" width="11.77734375" style="625" customWidth="1"/>
    <col min="11783" max="11783" width="19.109375" style="625" customWidth="1"/>
    <col min="11784" max="11784" width="19" style="625" customWidth="1"/>
    <col min="11785" max="11785" width="10" style="625" bestFit="1" customWidth="1"/>
    <col min="11786" max="11786" width="34.109375" style="625" customWidth="1"/>
    <col min="11787" max="12032" width="8.88671875" style="625"/>
    <col min="12033" max="12033" width="4.5546875" style="625" customWidth="1"/>
    <col min="12034" max="12034" width="6.6640625" style="625" customWidth="1"/>
    <col min="12035" max="12035" width="34.109375" style="625" customWidth="1"/>
    <col min="12036" max="12036" width="11.33203125" style="625" customWidth="1"/>
    <col min="12037" max="12037" width="6.88671875" style="625" customWidth="1"/>
    <col min="12038" max="12038" width="11.77734375" style="625" customWidth="1"/>
    <col min="12039" max="12039" width="19.109375" style="625" customWidth="1"/>
    <col min="12040" max="12040" width="19" style="625" customWidth="1"/>
    <col min="12041" max="12041" width="10" style="625" bestFit="1" customWidth="1"/>
    <col min="12042" max="12042" width="34.109375" style="625" customWidth="1"/>
    <col min="12043" max="12288" width="8.88671875" style="625"/>
    <col min="12289" max="12289" width="4.5546875" style="625" customWidth="1"/>
    <col min="12290" max="12290" width="6.6640625" style="625" customWidth="1"/>
    <col min="12291" max="12291" width="34.109375" style="625" customWidth="1"/>
    <col min="12292" max="12292" width="11.33203125" style="625" customWidth="1"/>
    <col min="12293" max="12293" width="6.88671875" style="625" customWidth="1"/>
    <col min="12294" max="12294" width="11.77734375" style="625" customWidth="1"/>
    <col min="12295" max="12295" width="19.109375" style="625" customWidth="1"/>
    <col min="12296" max="12296" width="19" style="625" customWidth="1"/>
    <col min="12297" max="12297" width="10" style="625" bestFit="1" customWidth="1"/>
    <col min="12298" max="12298" width="34.109375" style="625" customWidth="1"/>
    <col min="12299" max="12544" width="8.88671875" style="625"/>
    <col min="12545" max="12545" width="4.5546875" style="625" customWidth="1"/>
    <col min="12546" max="12546" width="6.6640625" style="625" customWidth="1"/>
    <col min="12547" max="12547" width="34.109375" style="625" customWidth="1"/>
    <col min="12548" max="12548" width="11.33203125" style="625" customWidth="1"/>
    <col min="12549" max="12549" width="6.88671875" style="625" customWidth="1"/>
    <col min="12550" max="12550" width="11.77734375" style="625" customWidth="1"/>
    <col min="12551" max="12551" width="19.109375" style="625" customWidth="1"/>
    <col min="12552" max="12552" width="19" style="625" customWidth="1"/>
    <col min="12553" max="12553" width="10" style="625" bestFit="1" customWidth="1"/>
    <col min="12554" max="12554" width="34.109375" style="625" customWidth="1"/>
    <col min="12555" max="12800" width="8.88671875" style="625"/>
    <col min="12801" max="12801" width="4.5546875" style="625" customWidth="1"/>
    <col min="12802" max="12802" width="6.6640625" style="625" customWidth="1"/>
    <col min="12803" max="12803" width="34.109375" style="625" customWidth="1"/>
    <col min="12804" max="12804" width="11.33203125" style="625" customWidth="1"/>
    <col min="12805" max="12805" width="6.88671875" style="625" customWidth="1"/>
    <col min="12806" max="12806" width="11.77734375" style="625" customWidth="1"/>
    <col min="12807" max="12807" width="19.109375" style="625" customWidth="1"/>
    <col min="12808" max="12808" width="19" style="625" customWidth="1"/>
    <col min="12809" max="12809" width="10" style="625" bestFit="1" customWidth="1"/>
    <col min="12810" max="12810" width="34.109375" style="625" customWidth="1"/>
    <col min="12811" max="13056" width="8.88671875" style="625"/>
    <col min="13057" max="13057" width="4.5546875" style="625" customWidth="1"/>
    <col min="13058" max="13058" width="6.6640625" style="625" customWidth="1"/>
    <col min="13059" max="13059" width="34.109375" style="625" customWidth="1"/>
    <col min="13060" max="13060" width="11.33203125" style="625" customWidth="1"/>
    <col min="13061" max="13061" width="6.88671875" style="625" customWidth="1"/>
    <col min="13062" max="13062" width="11.77734375" style="625" customWidth="1"/>
    <col min="13063" max="13063" width="19.109375" style="625" customWidth="1"/>
    <col min="13064" max="13064" width="19" style="625" customWidth="1"/>
    <col min="13065" max="13065" width="10" style="625" bestFit="1" customWidth="1"/>
    <col min="13066" max="13066" width="34.109375" style="625" customWidth="1"/>
    <col min="13067" max="13312" width="8.88671875" style="625"/>
    <col min="13313" max="13313" width="4.5546875" style="625" customWidth="1"/>
    <col min="13314" max="13314" width="6.6640625" style="625" customWidth="1"/>
    <col min="13315" max="13315" width="34.109375" style="625" customWidth="1"/>
    <col min="13316" max="13316" width="11.33203125" style="625" customWidth="1"/>
    <col min="13317" max="13317" width="6.88671875" style="625" customWidth="1"/>
    <col min="13318" max="13318" width="11.77734375" style="625" customWidth="1"/>
    <col min="13319" max="13319" width="19.109375" style="625" customWidth="1"/>
    <col min="13320" max="13320" width="19" style="625" customWidth="1"/>
    <col min="13321" max="13321" width="10" style="625" bestFit="1" customWidth="1"/>
    <col min="13322" max="13322" width="34.109375" style="625" customWidth="1"/>
    <col min="13323" max="13568" width="8.88671875" style="625"/>
    <col min="13569" max="13569" width="4.5546875" style="625" customWidth="1"/>
    <col min="13570" max="13570" width="6.6640625" style="625" customWidth="1"/>
    <col min="13571" max="13571" width="34.109375" style="625" customWidth="1"/>
    <col min="13572" max="13572" width="11.33203125" style="625" customWidth="1"/>
    <col min="13573" max="13573" width="6.88671875" style="625" customWidth="1"/>
    <col min="13574" max="13574" width="11.77734375" style="625" customWidth="1"/>
    <col min="13575" max="13575" width="19.109375" style="625" customWidth="1"/>
    <col min="13576" max="13576" width="19" style="625" customWidth="1"/>
    <col min="13577" max="13577" width="10" style="625" bestFit="1" customWidth="1"/>
    <col min="13578" max="13578" width="34.109375" style="625" customWidth="1"/>
    <col min="13579" max="13824" width="8.88671875" style="625"/>
    <col min="13825" max="13825" width="4.5546875" style="625" customWidth="1"/>
    <col min="13826" max="13826" width="6.6640625" style="625" customWidth="1"/>
    <col min="13827" max="13827" width="34.109375" style="625" customWidth="1"/>
    <col min="13828" max="13828" width="11.33203125" style="625" customWidth="1"/>
    <col min="13829" max="13829" width="6.88671875" style="625" customWidth="1"/>
    <col min="13830" max="13830" width="11.77734375" style="625" customWidth="1"/>
    <col min="13831" max="13831" width="19.109375" style="625" customWidth="1"/>
    <col min="13832" max="13832" width="19" style="625" customWidth="1"/>
    <col min="13833" max="13833" width="10" style="625" bestFit="1" customWidth="1"/>
    <col min="13834" max="13834" width="34.109375" style="625" customWidth="1"/>
    <col min="13835" max="14080" width="8.88671875" style="625"/>
    <col min="14081" max="14081" width="4.5546875" style="625" customWidth="1"/>
    <col min="14082" max="14082" width="6.6640625" style="625" customWidth="1"/>
    <col min="14083" max="14083" width="34.109375" style="625" customWidth="1"/>
    <col min="14084" max="14084" width="11.33203125" style="625" customWidth="1"/>
    <col min="14085" max="14085" width="6.88671875" style="625" customWidth="1"/>
    <col min="14086" max="14086" width="11.77734375" style="625" customWidth="1"/>
    <col min="14087" max="14087" width="19.109375" style="625" customWidth="1"/>
    <col min="14088" max="14088" width="19" style="625" customWidth="1"/>
    <col min="14089" max="14089" width="10" style="625" bestFit="1" customWidth="1"/>
    <col min="14090" max="14090" width="34.109375" style="625" customWidth="1"/>
    <col min="14091" max="14336" width="8.88671875" style="625"/>
    <col min="14337" max="14337" width="4.5546875" style="625" customWidth="1"/>
    <col min="14338" max="14338" width="6.6640625" style="625" customWidth="1"/>
    <col min="14339" max="14339" width="34.109375" style="625" customWidth="1"/>
    <col min="14340" max="14340" width="11.33203125" style="625" customWidth="1"/>
    <col min="14341" max="14341" width="6.88671875" style="625" customWidth="1"/>
    <col min="14342" max="14342" width="11.77734375" style="625" customWidth="1"/>
    <col min="14343" max="14343" width="19.109375" style="625" customWidth="1"/>
    <col min="14344" max="14344" width="19" style="625" customWidth="1"/>
    <col min="14345" max="14345" width="10" style="625" bestFit="1" customWidth="1"/>
    <col min="14346" max="14346" width="34.109375" style="625" customWidth="1"/>
    <col min="14347" max="14592" width="8.88671875" style="625"/>
    <col min="14593" max="14593" width="4.5546875" style="625" customWidth="1"/>
    <col min="14594" max="14594" width="6.6640625" style="625" customWidth="1"/>
    <col min="14595" max="14595" width="34.109375" style="625" customWidth="1"/>
    <col min="14596" max="14596" width="11.33203125" style="625" customWidth="1"/>
    <col min="14597" max="14597" width="6.88671875" style="625" customWidth="1"/>
    <col min="14598" max="14598" width="11.77734375" style="625" customWidth="1"/>
    <col min="14599" max="14599" width="19.109375" style="625" customWidth="1"/>
    <col min="14600" max="14600" width="19" style="625" customWidth="1"/>
    <col min="14601" max="14601" width="10" style="625" bestFit="1" customWidth="1"/>
    <col min="14602" max="14602" width="34.109375" style="625" customWidth="1"/>
    <col min="14603" max="14848" width="8.88671875" style="625"/>
    <col min="14849" max="14849" width="4.5546875" style="625" customWidth="1"/>
    <col min="14850" max="14850" width="6.6640625" style="625" customWidth="1"/>
    <col min="14851" max="14851" width="34.109375" style="625" customWidth="1"/>
    <col min="14852" max="14852" width="11.33203125" style="625" customWidth="1"/>
    <col min="14853" max="14853" width="6.88671875" style="625" customWidth="1"/>
    <col min="14854" max="14854" width="11.77734375" style="625" customWidth="1"/>
    <col min="14855" max="14855" width="19.109375" style="625" customWidth="1"/>
    <col min="14856" max="14856" width="19" style="625" customWidth="1"/>
    <col min="14857" max="14857" width="10" style="625" bestFit="1" customWidth="1"/>
    <col min="14858" max="14858" width="34.109375" style="625" customWidth="1"/>
    <col min="14859" max="15104" width="8.88671875" style="625"/>
    <col min="15105" max="15105" width="4.5546875" style="625" customWidth="1"/>
    <col min="15106" max="15106" width="6.6640625" style="625" customWidth="1"/>
    <col min="15107" max="15107" width="34.109375" style="625" customWidth="1"/>
    <col min="15108" max="15108" width="11.33203125" style="625" customWidth="1"/>
    <col min="15109" max="15109" width="6.88671875" style="625" customWidth="1"/>
    <col min="15110" max="15110" width="11.77734375" style="625" customWidth="1"/>
    <col min="15111" max="15111" width="19.109375" style="625" customWidth="1"/>
    <col min="15112" max="15112" width="19" style="625" customWidth="1"/>
    <col min="15113" max="15113" width="10" style="625" bestFit="1" customWidth="1"/>
    <col min="15114" max="15114" width="34.109375" style="625" customWidth="1"/>
    <col min="15115" max="15360" width="8.88671875" style="625"/>
    <col min="15361" max="15361" width="4.5546875" style="625" customWidth="1"/>
    <col min="15362" max="15362" width="6.6640625" style="625" customWidth="1"/>
    <col min="15363" max="15363" width="34.109375" style="625" customWidth="1"/>
    <col min="15364" max="15364" width="11.33203125" style="625" customWidth="1"/>
    <col min="15365" max="15365" width="6.88671875" style="625" customWidth="1"/>
    <col min="15366" max="15366" width="11.77734375" style="625" customWidth="1"/>
    <col min="15367" max="15367" width="19.109375" style="625" customWidth="1"/>
    <col min="15368" max="15368" width="19" style="625" customWidth="1"/>
    <col min="15369" max="15369" width="10" style="625" bestFit="1" customWidth="1"/>
    <col min="15370" max="15370" width="34.109375" style="625" customWidth="1"/>
    <col min="15371" max="15616" width="8.88671875" style="625"/>
    <col min="15617" max="15617" width="4.5546875" style="625" customWidth="1"/>
    <col min="15618" max="15618" width="6.6640625" style="625" customWidth="1"/>
    <col min="15619" max="15619" width="34.109375" style="625" customWidth="1"/>
    <col min="15620" max="15620" width="11.33203125" style="625" customWidth="1"/>
    <col min="15621" max="15621" width="6.88671875" style="625" customWidth="1"/>
    <col min="15622" max="15622" width="11.77734375" style="625" customWidth="1"/>
    <col min="15623" max="15623" width="19.109375" style="625" customWidth="1"/>
    <col min="15624" max="15624" width="19" style="625" customWidth="1"/>
    <col min="15625" max="15625" width="10" style="625" bestFit="1" customWidth="1"/>
    <col min="15626" max="15626" width="34.109375" style="625" customWidth="1"/>
    <col min="15627" max="15872" width="8.88671875" style="625"/>
    <col min="15873" max="15873" width="4.5546875" style="625" customWidth="1"/>
    <col min="15874" max="15874" width="6.6640625" style="625" customWidth="1"/>
    <col min="15875" max="15875" width="34.109375" style="625" customWidth="1"/>
    <col min="15876" max="15876" width="11.33203125" style="625" customWidth="1"/>
    <col min="15877" max="15877" width="6.88671875" style="625" customWidth="1"/>
    <col min="15878" max="15878" width="11.77734375" style="625" customWidth="1"/>
    <col min="15879" max="15879" width="19.109375" style="625" customWidth="1"/>
    <col min="15880" max="15880" width="19" style="625" customWidth="1"/>
    <col min="15881" max="15881" width="10" style="625" bestFit="1" customWidth="1"/>
    <col min="15882" max="15882" width="34.109375" style="625" customWidth="1"/>
    <col min="15883" max="16128" width="8.88671875" style="625"/>
    <col min="16129" max="16129" width="4.5546875" style="625" customWidth="1"/>
    <col min="16130" max="16130" width="6.6640625" style="625" customWidth="1"/>
    <col min="16131" max="16131" width="34.109375" style="625" customWidth="1"/>
    <col min="16132" max="16132" width="11.33203125" style="625" customWidth="1"/>
    <col min="16133" max="16133" width="6.88671875" style="625" customWidth="1"/>
    <col min="16134" max="16134" width="11.77734375" style="625" customWidth="1"/>
    <col min="16135" max="16135" width="19.109375" style="625" customWidth="1"/>
    <col min="16136" max="16136" width="19" style="625" customWidth="1"/>
    <col min="16137" max="16137" width="10" style="625" bestFit="1" customWidth="1"/>
    <col min="16138" max="16138" width="34.109375" style="625" customWidth="1"/>
    <col min="16139" max="16384" width="8.88671875" style="625"/>
  </cols>
  <sheetData>
    <row r="1" spans="1:10" ht="19.899999999999999" customHeight="1">
      <c r="A1" s="1481" t="s">
        <v>1338</v>
      </c>
      <c r="B1" s="1481"/>
      <c r="C1" s="1481"/>
      <c r="D1" s="1481"/>
      <c r="E1" s="1481"/>
      <c r="F1" s="1481"/>
    </row>
    <row r="2" spans="1:10" ht="40.15" customHeight="1">
      <c r="A2" s="1482" t="str">
        <f>[8]Development!A1</f>
        <v>CONSTRUCTION OF RURAL POLICE STATION BUILDING WITH DEVELOPMENT WORK AT REGUNATHAPURAM IN PUDUKKOTTAI DISRICT.</v>
      </c>
      <c r="B2" s="1482"/>
      <c r="C2" s="1482"/>
      <c r="D2" s="1482"/>
      <c r="E2" s="1482"/>
      <c r="F2" s="1482"/>
    </row>
    <row r="3" spans="1:10" ht="34.9" customHeight="1">
      <c r="A3" s="626" t="s">
        <v>544</v>
      </c>
      <c r="B3" s="626" t="s">
        <v>8</v>
      </c>
      <c r="C3" s="626" t="s">
        <v>1231</v>
      </c>
      <c r="D3" s="626" t="s">
        <v>1339</v>
      </c>
      <c r="E3" s="626" t="s">
        <v>215</v>
      </c>
      <c r="F3" s="626" t="s">
        <v>1340</v>
      </c>
    </row>
    <row r="4" spans="1:10" ht="25.15" customHeight="1">
      <c r="A4" s="626"/>
      <c r="B4" s="626"/>
      <c r="C4" s="626" t="s">
        <v>1341</v>
      </c>
      <c r="D4" s="1483" t="s">
        <v>1342</v>
      </c>
      <c r="E4" s="1483"/>
      <c r="F4" s="1483"/>
    </row>
    <row r="5" spans="1:10" ht="25.15" customHeight="1">
      <c r="A5" s="627">
        <v>1</v>
      </c>
      <c r="B5" s="628">
        <v>1</v>
      </c>
      <c r="C5" s="629" t="s">
        <v>5649</v>
      </c>
      <c r="D5" s="629">
        <v>6400800.7400000002</v>
      </c>
      <c r="E5" s="629" t="s">
        <v>1343</v>
      </c>
      <c r="F5" s="629">
        <f>B5*D5</f>
        <v>6400800.7400000002</v>
      </c>
      <c r="G5" s="625">
        <f>5990015.54+410785.2</f>
        <v>6400800.7400000002</v>
      </c>
      <c r="H5" s="625">
        <f>G5*10%</f>
        <v>640080.07400000002</v>
      </c>
      <c r="I5" s="625">
        <f>H5-G5</f>
        <v>-5760720.6660000002</v>
      </c>
    </row>
    <row r="6" spans="1:10" ht="25.15" customHeight="1">
      <c r="A6" s="630"/>
      <c r="B6" s="631"/>
      <c r="C6" s="631" t="s">
        <v>1344</v>
      </c>
      <c r="D6" s="631"/>
      <c r="E6" s="631"/>
      <c r="F6" s="632">
        <f>SUM(F5:F5)</f>
        <v>6400800.7400000002</v>
      </c>
      <c r="G6" s="625">
        <f>G5*1.12</f>
        <v>7168896.8288000012</v>
      </c>
      <c r="H6" s="625">
        <f>G6*8.5%</f>
        <v>609356.23044800013</v>
      </c>
      <c r="I6" s="625">
        <f>H6+7818000</f>
        <v>8427356.2304480001</v>
      </c>
    </row>
    <row r="7" spans="1:10" ht="25.15" customHeight="1">
      <c r="A7" s="627">
        <v>2</v>
      </c>
      <c r="B7" s="628">
        <v>1</v>
      </c>
      <c r="C7" s="629" t="s">
        <v>1357</v>
      </c>
      <c r="D7" s="633">
        <f>SP!F1009</f>
        <v>223760.69939339999</v>
      </c>
      <c r="E7" s="629" t="s">
        <v>1343</v>
      </c>
      <c r="F7" s="634">
        <f>D7*B7</f>
        <v>223760.69939339999</v>
      </c>
      <c r="H7" s="625">
        <f>D7+D8+D9</f>
        <v>645348.37917339988</v>
      </c>
      <c r="I7" s="625">
        <f>H7-H5</f>
        <v>5268.3051733998582</v>
      </c>
    </row>
    <row r="8" spans="1:10" ht="25.15" customHeight="1">
      <c r="A8" s="627">
        <v>3</v>
      </c>
      <c r="B8" s="628">
        <v>1</v>
      </c>
      <c r="C8" s="629" t="s">
        <v>2046</v>
      </c>
      <c r="D8" s="633">
        <f>Ex.Water!F19</f>
        <v>179576.6</v>
      </c>
      <c r="E8" s="629" t="s">
        <v>1343</v>
      </c>
      <c r="F8" s="634">
        <f>D8*B8</f>
        <v>179576.6</v>
      </c>
    </row>
    <row r="9" spans="1:10" ht="25.15" customHeight="1">
      <c r="A9" s="627">
        <v>4</v>
      </c>
      <c r="B9" s="628">
        <v>1</v>
      </c>
      <c r="C9" s="629" t="s">
        <v>1358</v>
      </c>
      <c r="D9" s="633">
        <f>Paver!F916</f>
        <v>242011.07977999997</v>
      </c>
      <c r="E9" s="629" t="s">
        <v>1343</v>
      </c>
      <c r="F9" s="634">
        <f>D9*B9</f>
        <v>242011.07977999997</v>
      </c>
    </row>
    <row r="10" spans="1:10" ht="25.15" customHeight="1">
      <c r="A10" s="635"/>
      <c r="B10" s="636"/>
      <c r="C10" s="637" t="s">
        <v>1345</v>
      </c>
      <c r="D10" s="1478"/>
      <c r="E10" s="1478"/>
      <c r="F10" s="638">
        <f>+SUM(F6:F9)</f>
        <v>7046149.1191734001</v>
      </c>
      <c r="J10" s="639"/>
    </row>
    <row r="11" spans="1:10" ht="25.15" customHeight="1">
      <c r="A11" s="635">
        <v>5</v>
      </c>
      <c r="B11" s="636"/>
      <c r="C11" s="640" t="s">
        <v>1346</v>
      </c>
      <c r="D11" s="1478"/>
      <c r="E11" s="1478"/>
      <c r="F11" s="641">
        <f>F10*0.12</f>
        <v>845537.89430080797</v>
      </c>
      <c r="J11" s="639"/>
    </row>
    <row r="12" spans="1:10" ht="25.15" customHeight="1">
      <c r="A12" s="630"/>
      <c r="B12" s="636"/>
      <c r="C12" s="637" t="s">
        <v>1347</v>
      </c>
      <c r="D12" s="1478"/>
      <c r="E12" s="1478"/>
      <c r="F12" s="638">
        <f>SUM(F10:F11)</f>
        <v>7891687.0134742083</v>
      </c>
      <c r="G12" s="642"/>
    </row>
    <row r="13" spans="1:10" ht="25.15" customHeight="1">
      <c r="A13" s="643">
        <v>6</v>
      </c>
      <c r="B13" s="636" t="s">
        <v>1348</v>
      </c>
      <c r="C13" s="644" t="s">
        <v>1349</v>
      </c>
      <c r="D13" s="1479" t="s">
        <v>1348</v>
      </c>
      <c r="E13" s="1479"/>
      <c r="F13" s="641">
        <f>F12*0.01</f>
        <v>78916.870134742087</v>
      </c>
      <c r="G13" s="642"/>
    </row>
    <row r="14" spans="1:10" ht="25.15" customHeight="1">
      <c r="A14" s="643">
        <v>7</v>
      </c>
      <c r="B14" s="636" t="s">
        <v>1348</v>
      </c>
      <c r="C14" s="644" t="s">
        <v>1350</v>
      </c>
      <c r="D14" s="1479" t="s">
        <v>1348</v>
      </c>
      <c r="E14" s="1479"/>
      <c r="F14" s="641">
        <f>F12*0.075</f>
        <v>591876.52601056558</v>
      </c>
    </row>
    <row r="15" spans="1:10" ht="25.15" customHeight="1">
      <c r="A15" s="630"/>
      <c r="B15" s="636"/>
      <c r="C15" s="637" t="s">
        <v>1351</v>
      </c>
      <c r="D15" s="1478"/>
      <c r="E15" s="1478"/>
      <c r="F15" s="638">
        <f>+SUM(F12:F14)</f>
        <v>8562480.4096195158</v>
      </c>
    </row>
    <row r="16" spans="1:10" ht="25.15" customHeight="1">
      <c r="A16" s="635">
        <v>8</v>
      </c>
      <c r="B16" s="636" t="s">
        <v>1348</v>
      </c>
      <c r="C16" s="644" t="s">
        <v>1352</v>
      </c>
      <c r="D16" s="1480" t="s">
        <v>1348</v>
      </c>
      <c r="E16" s="1480"/>
      <c r="F16" s="641">
        <v>22000</v>
      </c>
      <c r="G16" s="625" t="e">
        <f>F16+#REF!+F17+F18</f>
        <v>#REF!</v>
      </c>
      <c r="H16" s="625">
        <f>F16+F17+F18</f>
        <v>37300</v>
      </c>
    </row>
    <row r="17" spans="1:11" ht="25.15" customHeight="1">
      <c r="A17" s="635">
        <v>9</v>
      </c>
      <c r="B17" s="636" t="s">
        <v>1348</v>
      </c>
      <c r="C17" s="644" t="s">
        <v>1353</v>
      </c>
      <c r="D17" s="1480" t="s">
        <v>1348</v>
      </c>
      <c r="E17" s="1480"/>
      <c r="F17" s="641">
        <v>7300</v>
      </c>
    </row>
    <row r="18" spans="1:11" ht="25.15" customHeight="1">
      <c r="A18" s="635">
        <v>10</v>
      </c>
      <c r="B18" s="636" t="s">
        <v>1348</v>
      </c>
      <c r="C18" s="644" t="s">
        <v>1354</v>
      </c>
      <c r="D18" s="1479" t="s">
        <v>1348</v>
      </c>
      <c r="E18" s="1479"/>
      <c r="F18" s="641">
        <v>8000</v>
      </c>
      <c r="J18" s="625">
        <v>8427356.2304480001</v>
      </c>
      <c r="K18" s="625">
        <f>J18-F19</f>
        <v>-172443.76917151548</v>
      </c>
    </row>
    <row r="19" spans="1:11" ht="25.15" customHeight="1">
      <c r="A19" s="630"/>
      <c r="B19" s="636"/>
      <c r="C19" s="637" t="s">
        <v>1355</v>
      </c>
      <c r="D19" s="1478"/>
      <c r="E19" s="1478"/>
      <c r="F19" s="638">
        <f>SUM(F15:F18)+19.59</f>
        <v>8599799.9996195156</v>
      </c>
      <c r="G19" s="625">
        <v>7818000</v>
      </c>
      <c r="H19" s="625">
        <f>G19-F19</f>
        <v>-781799.99961951561</v>
      </c>
      <c r="I19" s="625">
        <f>G19*8.5%</f>
        <v>664530</v>
      </c>
      <c r="J19" s="625">
        <f>G19+I19</f>
        <v>8482530</v>
      </c>
    </row>
    <row r="20" spans="1:11" ht="25.15" customHeight="1">
      <c r="A20" s="630"/>
      <c r="B20" s="630"/>
      <c r="C20" s="645"/>
      <c r="D20" s="646" t="s">
        <v>15</v>
      </c>
      <c r="E20" s="809">
        <f>F19/100000</f>
        <v>85.997999996195162</v>
      </c>
      <c r="F20" s="647" t="s">
        <v>1356</v>
      </c>
      <c r="J20" s="625">
        <f>J19-F19</f>
        <v>-117269.99961951561</v>
      </c>
    </row>
    <row r="21" spans="1:11" ht="35.1" customHeight="1">
      <c r="J21" s="625">
        <f>I19-G22</f>
        <v>-117270</v>
      </c>
    </row>
    <row r="22" spans="1:11" ht="35.1" customHeight="1">
      <c r="G22" s="625">
        <v>781800</v>
      </c>
      <c r="J22" s="625" t="s">
        <v>220</v>
      </c>
    </row>
    <row r="23" spans="1:11" ht="35.1" customHeight="1">
      <c r="G23" s="625">
        <f>G22+G19</f>
        <v>8599800</v>
      </c>
      <c r="H23" s="625">
        <f>G23-F19</f>
        <v>3.8048438727855682E-4</v>
      </c>
    </row>
  </sheetData>
  <mergeCells count="13">
    <mergeCell ref="D19:E19"/>
    <mergeCell ref="D13:E13"/>
    <mergeCell ref="D14:E14"/>
    <mergeCell ref="D15:E15"/>
    <mergeCell ref="D16:E16"/>
    <mergeCell ref="D17:E17"/>
    <mergeCell ref="D18:E18"/>
    <mergeCell ref="D12:E12"/>
    <mergeCell ref="A1:F1"/>
    <mergeCell ref="A2:F2"/>
    <mergeCell ref="D4:F4"/>
    <mergeCell ref="D10:E10"/>
    <mergeCell ref="D11:E11"/>
  </mergeCells>
  <printOptions horizontalCentered="1"/>
  <pageMargins left="0.8" right="0.5" top="0.8" bottom="0" header="0.42" footer="0.28000000000000003"/>
  <pageSetup paperSize="9" scale="98" orientation="portrait" r:id="rId1"/>
  <headerFooter alignWithMargins="0">
    <oddHeader>&amp;R&amp;P</oddHeader>
  </headerFooter>
</worksheet>
</file>

<file path=xl/worksheets/sheet14.xml><?xml version="1.0" encoding="utf-8"?>
<worksheet xmlns="http://schemas.openxmlformats.org/spreadsheetml/2006/main" xmlns:r="http://schemas.openxmlformats.org/officeDocument/2006/relationships">
  <sheetPr>
    <tabColor rgb="FF00B0F0"/>
  </sheetPr>
  <dimension ref="A1:O28"/>
  <sheetViews>
    <sheetView tabSelected="1" view="pageBreakPreview" zoomScale="60" zoomScaleNormal="70" workbookViewId="0">
      <selection activeCell="A2" sqref="A2"/>
    </sheetView>
  </sheetViews>
  <sheetFormatPr defaultRowHeight="18.75"/>
  <cols>
    <col min="1" max="1" width="8.88671875" style="1734"/>
    <col min="2" max="3" width="5.109375" style="1734" customWidth="1"/>
    <col min="4" max="4" width="8.88671875" style="1734"/>
    <col min="5" max="5" width="9.21875" style="1734" customWidth="1"/>
    <col min="6" max="7" width="6.88671875" style="1734" hidden="1" customWidth="1"/>
    <col min="8" max="12" width="6.88671875" style="1734" customWidth="1"/>
    <col min="13" max="29" width="8.88671875" style="1734"/>
    <col min="30" max="31" width="0" style="1734" hidden="1" customWidth="1"/>
    <col min="32" max="257" width="8.88671875" style="1734"/>
    <col min="258" max="259" width="5.109375" style="1734" customWidth="1"/>
    <col min="260" max="260" width="8.88671875" style="1734"/>
    <col min="261" max="261" width="9.21875" style="1734" customWidth="1"/>
    <col min="262" max="263" width="0" style="1734" hidden="1" customWidth="1"/>
    <col min="264" max="268" width="6.88671875" style="1734" customWidth="1"/>
    <col min="269" max="285" width="8.88671875" style="1734"/>
    <col min="286" max="287" width="0" style="1734" hidden="1" customWidth="1"/>
    <col min="288" max="513" width="8.88671875" style="1734"/>
    <col min="514" max="515" width="5.109375" style="1734" customWidth="1"/>
    <col min="516" max="516" width="8.88671875" style="1734"/>
    <col min="517" max="517" width="9.21875" style="1734" customWidth="1"/>
    <col min="518" max="519" width="0" style="1734" hidden="1" customWidth="1"/>
    <col min="520" max="524" width="6.88671875" style="1734" customWidth="1"/>
    <col min="525" max="541" width="8.88671875" style="1734"/>
    <col min="542" max="543" width="0" style="1734" hidden="1" customWidth="1"/>
    <col min="544" max="769" width="8.88671875" style="1734"/>
    <col min="770" max="771" width="5.109375" style="1734" customWidth="1"/>
    <col min="772" max="772" width="8.88671875" style="1734"/>
    <col min="773" max="773" width="9.21875" style="1734" customWidth="1"/>
    <col min="774" max="775" width="0" style="1734" hidden="1" customWidth="1"/>
    <col min="776" max="780" width="6.88671875" style="1734" customWidth="1"/>
    <col min="781" max="797" width="8.88671875" style="1734"/>
    <col min="798" max="799" width="0" style="1734" hidden="1" customWidth="1"/>
    <col min="800" max="1025" width="8.88671875" style="1734"/>
    <col min="1026" max="1027" width="5.109375" style="1734" customWidth="1"/>
    <col min="1028" max="1028" width="8.88671875" style="1734"/>
    <col min="1029" max="1029" width="9.21875" style="1734" customWidth="1"/>
    <col min="1030" max="1031" width="0" style="1734" hidden="1" customWidth="1"/>
    <col min="1032" max="1036" width="6.88671875" style="1734" customWidth="1"/>
    <col min="1037" max="1053" width="8.88671875" style="1734"/>
    <col min="1054" max="1055" width="0" style="1734" hidden="1" customWidth="1"/>
    <col min="1056" max="1281" width="8.88671875" style="1734"/>
    <col min="1282" max="1283" width="5.109375" style="1734" customWidth="1"/>
    <col min="1284" max="1284" width="8.88671875" style="1734"/>
    <col min="1285" max="1285" width="9.21875" style="1734" customWidth="1"/>
    <col min="1286" max="1287" width="0" style="1734" hidden="1" customWidth="1"/>
    <col min="1288" max="1292" width="6.88671875" style="1734" customWidth="1"/>
    <col min="1293" max="1309" width="8.88671875" style="1734"/>
    <col min="1310" max="1311" width="0" style="1734" hidden="1" customWidth="1"/>
    <col min="1312" max="1537" width="8.88671875" style="1734"/>
    <col min="1538" max="1539" width="5.109375" style="1734" customWidth="1"/>
    <col min="1540" max="1540" width="8.88671875" style="1734"/>
    <col min="1541" max="1541" width="9.21875" style="1734" customWidth="1"/>
    <col min="1542" max="1543" width="0" style="1734" hidden="1" customWidth="1"/>
    <col min="1544" max="1548" width="6.88671875" style="1734" customWidth="1"/>
    <col min="1549" max="1565" width="8.88671875" style="1734"/>
    <col min="1566" max="1567" width="0" style="1734" hidden="1" customWidth="1"/>
    <col min="1568" max="1793" width="8.88671875" style="1734"/>
    <col min="1794" max="1795" width="5.109375" style="1734" customWidth="1"/>
    <col min="1796" max="1796" width="8.88671875" style="1734"/>
    <col min="1797" max="1797" width="9.21875" style="1734" customWidth="1"/>
    <col min="1798" max="1799" width="0" style="1734" hidden="1" customWidth="1"/>
    <col min="1800" max="1804" width="6.88671875" style="1734" customWidth="1"/>
    <col min="1805" max="1821" width="8.88671875" style="1734"/>
    <col min="1822" max="1823" width="0" style="1734" hidden="1" customWidth="1"/>
    <col min="1824" max="2049" width="8.88671875" style="1734"/>
    <col min="2050" max="2051" width="5.109375" style="1734" customWidth="1"/>
    <col min="2052" max="2052" width="8.88671875" style="1734"/>
    <col min="2053" max="2053" width="9.21875" style="1734" customWidth="1"/>
    <col min="2054" max="2055" width="0" style="1734" hidden="1" customWidth="1"/>
    <col min="2056" max="2060" width="6.88671875" style="1734" customWidth="1"/>
    <col min="2061" max="2077" width="8.88671875" style="1734"/>
    <col min="2078" max="2079" width="0" style="1734" hidden="1" customWidth="1"/>
    <col min="2080" max="2305" width="8.88671875" style="1734"/>
    <col min="2306" max="2307" width="5.109375" style="1734" customWidth="1"/>
    <col min="2308" max="2308" width="8.88671875" style="1734"/>
    <col min="2309" max="2309" width="9.21875" style="1734" customWidth="1"/>
    <col min="2310" max="2311" width="0" style="1734" hidden="1" customWidth="1"/>
    <col min="2312" max="2316" width="6.88671875" style="1734" customWidth="1"/>
    <col min="2317" max="2333" width="8.88671875" style="1734"/>
    <col min="2334" max="2335" width="0" style="1734" hidden="1" customWidth="1"/>
    <col min="2336" max="2561" width="8.88671875" style="1734"/>
    <col min="2562" max="2563" width="5.109375" style="1734" customWidth="1"/>
    <col min="2564" max="2564" width="8.88671875" style="1734"/>
    <col min="2565" max="2565" width="9.21875" style="1734" customWidth="1"/>
    <col min="2566" max="2567" width="0" style="1734" hidden="1" customWidth="1"/>
    <col min="2568" max="2572" width="6.88671875" style="1734" customWidth="1"/>
    <col min="2573" max="2589" width="8.88671875" style="1734"/>
    <col min="2590" max="2591" width="0" style="1734" hidden="1" customWidth="1"/>
    <col min="2592" max="2817" width="8.88671875" style="1734"/>
    <col min="2818" max="2819" width="5.109375" style="1734" customWidth="1"/>
    <col min="2820" max="2820" width="8.88671875" style="1734"/>
    <col min="2821" max="2821" width="9.21875" style="1734" customWidth="1"/>
    <col min="2822" max="2823" width="0" style="1734" hidden="1" customWidth="1"/>
    <col min="2824" max="2828" width="6.88671875" style="1734" customWidth="1"/>
    <col min="2829" max="2845" width="8.88671875" style="1734"/>
    <col min="2846" max="2847" width="0" style="1734" hidden="1" customWidth="1"/>
    <col min="2848" max="3073" width="8.88671875" style="1734"/>
    <col min="3074" max="3075" width="5.109375" style="1734" customWidth="1"/>
    <col min="3076" max="3076" width="8.88671875" style="1734"/>
    <col min="3077" max="3077" width="9.21875" style="1734" customWidth="1"/>
    <col min="3078" max="3079" width="0" style="1734" hidden="1" customWidth="1"/>
    <col min="3080" max="3084" width="6.88671875" style="1734" customWidth="1"/>
    <col min="3085" max="3101" width="8.88671875" style="1734"/>
    <col min="3102" max="3103" width="0" style="1734" hidden="1" customWidth="1"/>
    <col min="3104" max="3329" width="8.88671875" style="1734"/>
    <col min="3330" max="3331" width="5.109375" style="1734" customWidth="1"/>
    <col min="3332" max="3332" width="8.88671875" style="1734"/>
    <col min="3333" max="3333" width="9.21875" style="1734" customWidth="1"/>
    <col min="3334" max="3335" width="0" style="1734" hidden="1" customWidth="1"/>
    <col min="3336" max="3340" width="6.88671875" style="1734" customWidth="1"/>
    <col min="3341" max="3357" width="8.88671875" style="1734"/>
    <col min="3358" max="3359" width="0" style="1734" hidden="1" customWidth="1"/>
    <col min="3360" max="3585" width="8.88671875" style="1734"/>
    <col min="3586" max="3587" width="5.109375" style="1734" customWidth="1"/>
    <col min="3588" max="3588" width="8.88671875" style="1734"/>
    <col min="3589" max="3589" width="9.21875" style="1734" customWidth="1"/>
    <col min="3590" max="3591" width="0" style="1734" hidden="1" customWidth="1"/>
    <col min="3592" max="3596" width="6.88671875" style="1734" customWidth="1"/>
    <col min="3597" max="3613" width="8.88671875" style="1734"/>
    <col min="3614" max="3615" width="0" style="1734" hidden="1" customWidth="1"/>
    <col min="3616" max="3841" width="8.88671875" style="1734"/>
    <col min="3842" max="3843" width="5.109375" style="1734" customWidth="1"/>
    <col min="3844" max="3844" width="8.88671875" style="1734"/>
    <col min="3845" max="3845" width="9.21875" style="1734" customWidth="1"/>
    <col min="3846" max="3847" width="0" style="1734" hidden="1" customWidth="1"/>
    <col min="3848" max="3852" width="6.88671875" style="1734" customWidth="1"/>
    <col min="3853" max="3869" width="8.88671875" style="1734"/>
    <col min="3870" max="3871" width="0" style="1734" hidden="1" customWidth="1"/>
    <col min="3872" max="4097" width="8.88671875" style="1734"/>
    <col min="4098" max="4099" width="5.109375" style="1734" customWidth="1"/>
    <col min="4100" max="4100" width="8.88671875" style="1734"/>
    <col min="4101" max="4101" width="9.21875" style="1734" customWidth="1"/>
    <col min="4102" max="4103" width="0" style="1734" hidden="1" customWidth="1"/>
    <col min="4104" max="4108" width="6.88671875" style="1734" customWidth="1"/>
    <col min="4109" max="4125" width="8.88671875" style="1734"/>
    <col min="4126" max="4127" width="0" style="1734" hidden="1" customWidth="1"/>
    <col min="4128" max="4353" width="8.88671875" style="1734"/>
    <col min="4354" max="4355" width="5.109375" style="1734" customWidth="1"/>
    <col min="4356" max="4356" width="8.88671875" style="1734"/>
    <col min="4357" max="4357" width="9.21875" style="1734" customWidth="1"/>
    <col min="4358" max="4359" width="0" style="1734" hidden="1" customWidth="1"/>
    <col min="4360" max="4364" width="6.88671875" style="1734" customWidth="1"/>
    <col min="4365" max="4381" width="8.88671875" style="1734"/>
    <col min="4382" max="4383" width="0" style="1734" hidden="1" customWidth="1"/>
    <col min="4384" max="4609" width="8.88671875" style="1734"/>
    <col min="4610" max="4611" width="5.109375" style="1734" customWidth="1"/>
    <col min="4612" max="4612" width="8.88671875" style="1734"/>
    <col min="4613" max="4613" width="9.21875" style="1734" customWidth="1"/>
    <col min="4614" max="4615" width="0" style="1734" hidden="1" customWidth="1"/>
    <col min="4616" max="4620" width="6.88671875" style="1734" customWidth="1"/>
    <col min="4621" max="4637" width="8.88671875" style="1734"/>
    <col min="4638" max="4639" width="0" style="1734" hidden="1" customWidth="1"/>
    <col min="4640" max="4865" width="8.88671875" style="1734"/>
    <col min="4866" max="4867" width="5.109375" style="1734" customWidth="1"/>
    <col min="4868" max="4868" width="8.88671875" style="1734"/>
    <col min="4869" max="4869" width="9.21875" style="1734" customWidth="1"/>
    <col min="4870" max="4871" width="0" style="1734" hidden="1" customWidth="1"/>
    <col min="4872" max="4876" width="6.88671875" style="1734" customWidth="1"/>
    <col min="4877" max="4893" width="8.88671875" style="1734"/>
    <col min="4894" max="4895" width="0" style="1734" hidden="1" customWidth="1"/>
    <col min="4896" max="5121" width="8.88671875" style="1734"/>
    <col min="5122" max="5123" width="5.109375" style="1734" customWidth="1"/>
    <col min="5124" max="5124" width="8.88671875" style="1734"/>
    <col min="5125" max="5125" width="9.21875" style="1734" customWidth="1"/>
    <col min="5126" max="5127" width="0" style="1734" hidden="1" customWidth="1"/>
    <col min="5128" max="5132" width="6.88671875" style="1734" customWidth="1"/>
    <col min="5133" max="5149" width="8.88671875" style="1734"/>
    <col min="5150" max="5151" width="0" style="1734" hidden="1" customWidth="1"/>
    <col min="5152" max="5377" width="8.88671875" style="1734"/>
    <col min="5378" max="5379" width="5.109375" style="1734" customWidth="1"/>
    <col min="5380" max="5380" width="8.88671875" style="1734"/>
    <col min="5381" max="5381" width="9.21875" style="1734" customWidth="1"/>
    <col min="5382" max="5383" width="0" style="1734" hidden="1" customWidth="1"/>
    <col min="5384" max="5388" width="6.88671875" style="1734" customWidth="1"/>
    <col min="5389" max="5405" width="8.88671875" style="1734"/>
    <col min="5406" max="5407" width="0" style="1734" hidden="1" customWidth="1"/>
    <col min="5408" max="5633" width="8.88671875" style="1734"/>
    <col min="5634" max="5635" width="5.109375" style="1734" customWidth="1"/>
    <col min="5636" max="5636" width="8.88671875" style="1734"/>
    <col min="5637" max="5637" width="9.21875" style="1734" customWidth="1"/>
    <col min="5638" max="5639" width="0" style="1734" hidden="1" customWidth="1"/>
    <col min="5640" max="5644" width="6.88671875" style="1734" customWidth="1"/>
    <col min="5645" max="5661" width="8.88671875" style="1734"/>
    <col min="5662" max="5663" width="0" style="1734" hidden="1" customWidth="1"/>
    <col min="5664" max="5889" width="8.88671875" style="1734"/>
    <col min="5890" max="5891" width="5.109375" style="1734" customWidth="1"/>
    <col min="5892" max="5892" width="8.88671875" style="1734"/>
    <col min="5893" max="5893" width="9.21875" style="1734" customWidth="1"/>
    <col min="5894" max="5895" width="0" style="1734" hidden="1" customWidth="1"/>
    <col min="5896" max="5900" width="6.88671875" style="1734" customWidth="1"/>
    <col min="5901" max="5917" width="8.88671875" style="1734"/>
    <col min="5918" max="5919" width="0" style="1734" hidden="1" customWidth="1"/>
    <col min="5920" max="6145" width="8.88671875" style="1734"/>
    <col min="6146" max="6147" width="5.109375" style="1734" customWidth="1"/>
    <col min="6148" max="6148" width="8.88671875" style="1734"/>
    <col min="6149" max="6149" width="9.21875" style="1734" customWidth="1"/>
    <col min="6150" max="6151" width="0" style="1734" hidden="1" customWidth="1"/>
    <col min="6152" max="6156" width="6.88671875" style="1734" customWidth="1"/>
    <col min="6157" max="6173" width="8.88671875" style="1734"/>
    <col min="6174" max="6175" width="0" style="1734" hidden="1" customWidth="1"/>
    <col min="6176" max="6401" width="8.88671875" style="1734"/>
    <col min="6402" max="6403" width="5.109375" style="1734" customWidth="1"/>
    <col min="6404" max="6404" width="8.88671875" style="1734"/>
    <col min="6405" max="6405" width="9.21875" style="1734" customWidth="1"/>
    <col min="6406" max="6407" width="0" style="1734" hidden="1" customWidth="1"/>
    <col min="6408" max="6412" width="6.88671875" style="1734" customWidth="1"/>
    <col min="6413" max="6429" width="8.88671875" style="1734"/>
    <col min="6430" max="6431" width="0" style="1734" hidden="1" customWidth="1"/>
    <col min="6432" max="6657" width="8.88671875" style="1734"/>
    <col min="6658" max="6659" width="5.109375" style="1734" customWidth="1"/>
    <col min="6660" max="6660" width="8.88671875" style="1734"/>
    <col min="6661" max="6661" width="9.21875" style="1734" customWidth="1"/>
    <col min="6662" max="6663" width="0" style="1734" hidden="1" customWidth="1"/>
    <col min="6664" max="6668" width="6.88671875" style="1734" customWidth="1"/>
    <col min="6669" max="6685" width="8.88671875" style="1734"/>
    <col min="6686" max="6687" width="0" style="1734" hidden="1" customWidth="1"/>
    <col min="6688" max="6913" width="8.88671875" style="1734"/>
    <col min="6914" max="6915" width="5.109375" style="1734" customWidth="1"/>
    <col min="6916" max="6916" width="8.88671875" style="1734"/>
    <col min="6917" max="6917" width="9.21875" style="1734" customWidth="1"/>
    <col min="6918" max="6919" width="0" style="1734" hidden="1" customWidth="1"/>
    <col min="6920" max="6924" width="6.88671875" style="1734" customWidth="1"/>
    <col min="6925" max="6941" width="8.88671875" style="1734"/>
    <col min="6942" max="6943" width="0" style="1734" hidden="1" customWidth="1"/>
    <col min="6944" max="7169" width="8.88671875" style="1734"/>
    <col min="7170" max="7171" width="5.109375" style="1734" customWidth="1"/>
    <col min="7172" max="7172" width="8.88671875" style="1734"/>
    <col min="7173" max="7173" width="9.21875" style="1734" customWidth="1"/>
    <col min="7174" max="7175" width="0" style="1734" hidden="1" customWidth="1"/>
    <col min="7176" max="7180" width="6.88671875" style="1734" customWidth="1"/>
    <col min="7181" max="7197" width="8.88671875" style="1734"/>
    <col min="7198" max="7199" width="0" style="1734" hidden="1" customWidth="1"/>
    <col min="7200" max="7425" width="8.88671875" style="1734"/>
    <col min="7426" max="7427" width="5.109375" style="1734" customWidth="1"/>
    <col min="7428" max="7428" width="8.88671875" style="1734"/>
    <col min="7429" max="7429" width="9.21875" style="1734" customWidth="1"/>
    <col min="7430" max="7431" width="0" style="1734" hidden="1" customWidth="1"/>
    <col min="7432" max="7436" width="6.88671875" style="1734" customWidth="1"/>
    <col min="7437" max="7453" width="8.88671875" style="1734"/>
    <col min="7454" max="7455" width="0" style="1734" hidden="1" customWidth="1"/>
    <col min="7456" max="7681" width="8.88671875" style="1734"/>
    <col min="7682" max="7683" width="5.109375" style="1734" customWidth="1"/>
    <col min="7684" max="7684" width="8.88671875" style="1734"/>
    <col min="7685" max="7685" width="9.21875" style="1734" customWidth="1"/>
    <col min="7686" max="7687" width="0" style="1734" hidden="1" customWidth="1"/>
    <col min="7688" max="7692" width="6.88671875" style="1734" customWidth="1"/>
    <col min="7693" max="7709" width="8.88671875" style="1734"/>
    <col min="7710" max="7711" width="0" style="1734" hidden="1" customWidth="1"/>
    <col min="7712" max="7937" width="8.88671875" style="1734"/>
    <col min="7938" max="7939" width="5.109375" style="1734" customWidth="1"/>
    <col min="7940" max="7940" width="8.88671875" style="1734"/>
    <col min="7941" max="7941" width="9.21875" style="1734" customWidth="1"/>
    <col min="7942" max="7943" width="0" style="1734" hidden="1" customWidth="1"/>
    <col min="7944" max="7948" width="6.88671875" style="1734" customWidth="1"/>
    <col min="7949" max="7965" width="8.88671875" style="1734"/>
    <col min="7966" max="7967" width="0" style="1734" hidden="1" customWidth="1"/>
    <col min="7968" max="8193" width="8.88671875" style="1734"/>
    <col min="8194" max="8195" width="5.109375" style="1734" customWidth="1"/>
    <col min="8196" max="8196" width="8.88671875" style="1734"/>
    <col min="8197" max="8197" width="9.21875" style="1734" customWidth="1"/>
    <col min="8198" max="8199" width="0" style="1734" hidden="1" customWidth="1"/>
    <col min="8200" max="8204" width="6.88671875" style="1734" customWidth="1"/>
    <col min="8205" max="8221" width="8.88671875" style="1734"/>
    <col min="8222" max="8223" width="0" style="1734" hidden="1" customWidth="1"/>
    <col min="8224" max="8449" width="8.88671875" style="1734"/>
    <col min="8450" max="8451" width="5.109375" style="1734" customWidth="1"/>
    <col min="8452" max="8452" width="8.88671875" style="1734"/>
    <col min="8453" max="8453" width="9.21875" style="1734" customWidth="1"/>
    <col min="8454" max="8455" width="0" style="1734" hidden="1" customWidth="1"/>
    <col min="8456" max="8460" width="6.88671875" style="1734" customWidth="1"/>
    <col min="8461" max="8477" width="8.88671875" style="1734"/>
    <col min="8478" max="8479" width="0" style="1734" hidden="1" customWidth="1"/>
    <col min="8480" max="8705" width="8.88671875" style="1734"/>
    <col min="8706" max="8707" width="5.109375" style="1734" customWidth="1"/>
    <col min="8708" max="8708" width="8.88671875" style="1734"/>
    <col min="8709" max="8709" width="9.21875" style="1734" customWidth="1"/>
    <col min="8710" max="8711" width="0" style="1734" hidden="1" customWidth="1"/>
    <col min="8712" max="8716" width="6.88671875" style="1734" customWidth="1"/>
    <col min="8717" max="8733" width="8.88671875" style="1734"/>
    <col min="8734" max="8735" width="0" style="1734" hidden="1" customWidth="1"/>
    <col min="8736" max="8961" width="8.88671875" style="1734"/>
    <col min="8962" max="8963" width="5.109375" style="1734" customWidth="1"/>
    <col min="8964" max="8964" width="8.88671875" style="1734"/>
    <col min="8965" max="8965" width="9.21875" style="1734" customWidth="1"/>
    <col min="8966" max="8967" width="0" style="1734" hidden="1" customWidth="1"/>
    <col min="8968" max="8972" width="6.88671875" style="1734" customWidth="1"/>
    <col min="8973" max="8989" width="8.88671875" style="1734"/>
    <col min="8990" max="8991" width="0" style="1734" hidden="1" customWidth="1"/>
    <col min="8992" max="9217" width="8.88671875" style="1734"/>
    <col min="9218" max="9219" width="5.109375" style="1734" customWidth="1"/>
    <col min="9220" max="9220" width="8.88671875" style="1734"/>
    <col min="9221" max="9221" width="9.21875" style="1734" customWidth="1"/>
    <col min="9222" max="9223" width="0" style="1734" hidden="1" customWidth="1"/>
    <col min="9224" max="9228" width="6.88671875" style="1734" customWidth="1"/>
    <col min="9229" max="9245" width="8.88671875" style="1734"/>
    <col min="9246" max="9247" width="0" style="1734" hidden="1" customWidth="1"/>
    <col min="9248" max="9473" width="8.88671875" style="1734"/>
    <col min="9474" max="9475" width="5.109375" style="1734" customWidth="1"/>
    <col min="9476" max="9476" width="8.88671875" style="1734"/>
    <col min="9477" max="9477" width="9.21875" style="1734" customWidth="1"/>
    <col min="9478" max="9479" width="0" style="1734" hidden="1" customWidth="1"/>
    <col min="9480" max="9484" width="6.88671875" style="1734" customWidth="1"/>
    <col min="9485" max="9501" width="8.88671875" style="1734"/>
    <col min="9502" max="9503" width="0" style="1734" hidden="1" customWidth="1"/>
    <col min="9504" max="9729" width="8.88671875" style="1734"/>
    <col min="9730" max="9731" width="5.109375" style="1734" customWidth="1"/>
    <col min="9732" max="9732" width="8.88671875" style="1734"/>
    <col min="9733" max="9733" width="9.21875" style="1734" customWidth="1"/>
    <col min="9734" max="9735" width="0" style="1734" hidden="1" customWidth="1"/>
    <col min="9736" max="9740" width="6.88671875" style="1734" customWidth="1"/>
    <col min="9741" max="9757" width="8.88671875" style="1734"/>
    <col min="9758" max="9759" width="0" style="1734" hidden="1" customWidth="1"/>
    <col min="9760" max="9985" width="8.88671875" style="1734"/>
    <col min="9986" max="9987" width="5.109375" style="1734" customWidth="1"/>
    <col min="9988" max="9988" width="8.88671875" style="1734"/>
    <col min="9989" max="9989" width="9.21875" style="1734" customWidth="1"/>
    <col min="9990" max="9991" width="0" style="1734" hidden="1" customWidth="1"/>
    <col min="9992" max="9996" width="6.88671875" style="1734" customWidth="1"/>
    <col min="9997" max="10013" width="8.88671875" style="1734"/>
    <col min="10014" max="10015" width="0" style="1734" hidden="1" customWidth="1"/>
    <col min="10016" max="10241" width="8.88671875" style="1734"/>
    <col min="10242" max="10243" width="5.109375" style="1734" customWidth="1"/>
    <col min="10244" max="10244" width="8.88671875" style="1734"/>
    <col min="10245" max="10245" width="9.21875" style="1734" customWidth="1"/>
    <col min="10246" max="10247" width="0" style="1734" hidden="1" customWidth="1"/>
    <col min="10248" max="10252" width="6.88671875" style="1734" customWidth="1"/>
    <col min="10253" max="10269" width="8.88671875" style="1734"/>
    <col min="10270" max="10271" width="0" style="1734" hidden="1" customWidth="1"/>
    <col min="10272" max="10497" width="8.88671875" style="1734"/>
    <col min="10498" max="10499" width="5.109375" style="1734" customWidth="1"/>
    <col min="10500" max="10500" width="8.88671875" style="1734"/>
    <col min="10501" max="10501" width="9.21875" style="1734" customWidth="1"/>
    <col min="10502" max="10503" width="0" style="1734" hidden="1" customWidth="1"/>
    <col min="10504" max="10508" width="6.88671875" style="1734" customWidth="1"/>
    <col min="10509" max="10525" width="8.88671875" style="1734"/>
    <col min="10526" max="10527" width="0" style="1734" hidden="1" customWidth="1"/>
    <col min="10528" max="10753" width="8.88671875" style="1734"/>
    <col min="10754" max="10755" width="5.109375" style="1734" customWidth="1"/>
    <col min="10756" max="10756" width="8.88671875" style="1734"/>
    <col min="10757" max="10757" width="9.21875" style="1734" customWidth="1"/>
    <col min="10758" max="10759" width="0" style="1734" hidden="1" customWidth="1"/>
    <col min="10760" max="10764" width="6.88671875" style="1734" customWidth="1"/>
    <col min="10765" max="10781" width="8.88671875" style="1734"/>
    <col min="10782" max="10783" width="0" style="1734" hidden="1" customWidth="1"/>
    <col min="10784" max="11009" width="8.88671875" style="1734"/>
    <col min="11010" max="11011" width="5.109375" style="1734" customWidth="1"/>
    <col min="11012" max="11012" width="8.88671875" style="1734"/>
    <col min="11013" max="11013" width="9.21875" style="1734" customWidth="1"/>
    <col min="11014" max="11015" width="0" style="1734" hidden="1" customWidth="1"/>
    <col min="11016" max="11020" width="6.88671875" style="1734" customWidth="1"/>
    <col min="11021" max="11037" width="8.88671875" style="1734"/>
    <col min="11038" max="11039" width="0" style="1734" hidden="1" customWidth="1"/>
    <col min="11040" max="11265" width="8.88671875" style="1734"/>
    <col min="11266" max="11267" width="5.109375" style="1734" customWidth="1"/>
    <col min="11268" max="11268" width="8.88671875" style="1734"/>
    <col min="11269" max="11269" width="9.21875" style="1734" customWidth="1"/>
    <col min="11270" max="11271" width="0" style="1734" hidden="1" customWidth="1"/>
    <col min="11272" max="11276" width="6.88671875" style="1734" customWidth="1"/>
    <col min="11277" max="11293" width="8.88671875" style="1734"/>
    <col min="11294" max="11295" width="0" style="1734" hidden="1" customWidth="1"/>
    <col min="11296" max="11521" width="8.88671875" style="1734"/>
    <col min="11522" max="11523" width="5.109375" style="1734" customWidth="1"/>
    <col min="11524" max="11524" width="8.88671875" style="1734"/>
    <col min="11525" max="11525" width="9.21875" style="1734" customWidth="1"/>
    <col min="11526" max="11527" width="0" style="1734" hidden="1" customWidth="1"/>
    <col min="11528" max="11532" width="6.88671875" style="1734" customWidth="1"/>
    <col min="11533" max="11549" width="8.88671875" style="1734"/>
    <col min="11550" max="11551" width="0" style="1734" hidden="1" customWidth="1"/>
    <col min="11552" max="11777" width="8.88671875" style="1734"/>
    <col min="11778" max="11779" width="5.109375" style="1734" customWidth="1"/>
    <col min="11780" max="11780" width="8.88671875" style="1734"/>
    <col min="11781" max="11781" width="9.21875" style="1734" customWidth="1"/>
    <col min="11782" max="11783" width="0" style="1734" hidden="1" customWidth="1"/>
    <col min="11784" max="11788" width="6.88671875" style="1734" customWidth="1"/>
    <col min="11789" max="11805" width="8.88671875" style="1734"/>
    <col min="11806" max="11807" width="0" style="1734" hidden="1" customWidth="1"/>
    <col min="11808" max="12033" width="8.88671875" style="1734"/>
    <col min="12034" max="12035" width="5.109375" style="1734" customWidth="1"/>
    <col min="12036" max="12036" width="8.88671875" style="1734"/>
    <col min="12037" max="12037" width="9.21875" style="1734" customWidth="1"/>
    <col min="12038" max="12039" width="0" style="1734" hidden="1" customWidth="1"/>
    <col min="12040" max="12044" width="6.88671875" style="1734" customWidth="1"/>
    <col min="12045" max="12061" width="8.88671875" style="1734"/>
    <col min="12062" max="12063" width="0" style="1734" hidden="1" customWidth="1"/>
    <col min="12064" max="12289" width="8.88671875" style="1734"/>
    <col min="12290" max="12291" width="5.109375" style="1734" customWidth="1"/>
    <col min="12292" max="12292" width="8.88671875" style="1734"/>
    <col min="12293" max="12293" width="9.21875" style="1734" customWidth="1"/>
    <col min="12294" max="12295" width="0" style="1734" hidden="1" customWidth="1"/>
    <col min="12296" max="12300" width="6.88671875" style="1734" customWidth="1"/>
    <col min="12301" max="12317" width="8.88671875" style="1734"/>
    <col min="12318" max="12319" width="0" style="1734" hidden="1" customWidth="1"/>
    <col min="12320" max="12545" width="8.88671875" style="1734"/>
    <col min="12546" max="12547" width="5.109375" style="1734" customWidth="1"/>
    <col min="12548" max="12548" width="8.88671875" style="1734"/>
    <col min="12549" max="12549" width="9.21875" style="1734" customWidth="1"/>
    <col min="12550" max="12551" width="0" style="1734" hidden="1" customWidth="1"/>
    <col min="12552" max="12556" width="6.88671875" style="1734" customWidth="1"/>
    <col min="12557" max="12573" width="8.88671875" style="1734"/>
    <col min="12574" max="12575" width="0" style="1734" hidden="1" customWidth="1"/>
    <col min="12576" max="12801" width="8.88671875" style="1734"/>
    <col min="12802" max="12803" width="5.109375" style="1734" customWidth="1"/>
    <col min="12804" max="12804" width="8.88671875" style="1734"/>
    <col min="12805" max="12805" width="9.21875" style="1734" customWidth="1"/>
    <col min="12806" max="12807" width="0" style="1734" hidden="1" customWidth="1"/>
    <col min="12808" max="12812" width="6.88671875" style="1734" customWidth="1"/>
    <col min="12813" max="12829" width="8.88671875" style="1734"/>
    <col min="12830" max="12831" width="0" style="1734" hidden="1" customWidth="1"/>
    <col min="12832" max="13057" width="8.88671875" style="1734"/>
    <col min="13058" max="13059" width="5.109375" style="1734" customWidth="1"/>
    <col min="13060" max="13060" width="8.88671875" style="1734"/>
    <col min="13061" max="13061" width="9.21875" style="1734" customWidth="1"/>
    <col min="13062" max="13063" width="0" style="1734" hidden="1" customWidth="1"/>
    <col min="13064" max="13068" width="6.88671875" style="1734" customWidth="1"/>
    <col min="13069" max="13085" width="8.88671875" style="1734"/>
    <col min="13086" max="13087" width="0" style="1734" hidden="1" customWidth="1"/>
    <col min="13088" max="13313" width="8.88671875" style="1734"/>
    <col min="13314" max="13315" width="5.109375" style="1734" customWidth="1"/>
    <col min="13316" max="13316" width="8.88671875" style="1734"/>
    <col min="13317" max="13317" width="9.21875" style="1734" customWidth="1"/>
    <col min="13318" max="13319" width="0" style="1734" hidden="1" customWidth="1"/>
    <col min="13320" max="13324" width="6.88671875" style="1734" customWidth="1"/>
    <col min="13325" max="13341" width="8.88671875" style="1734"/>
    <col min="13342" max="13343" width="0" style="1734" hidden="1" customWidth="1"/>
    <col min="13344" max="13569" width="8.88671875" style="1734"/>
    <col min="13570" max="13571" width="5.109375" style="1734" customWidth="1"/>
    <col min="13572" max="13572" width="8.88671875" style="1734"/>
    <col min="13573" max="13573" width="9.21875" style="1734" customWidth="1"/>
    <col min="13574" max="13575" width="0" style="1734" hidden="1" customWidth="1"/>
    <col min="13576" max="13580" width="6.88671875" style="1734" customWidth="1"/>
    <col min="13581" max="13597" width="8.88671875" style="1734"/>
    <col min="13598" max="13599" width="0" style="1734" hidden="1" customWidth="1"/>
    <col min="13600" max="13825" width="8.88671875" style="1734"/>
    <col min="13826" max="13827" width="5.109375" style="1734" customWidth="1"/>
    <col min="13828" max="13828" width="8.88671875" style="1734"/>
    <col min="13829" max="13829" width="9.21875" style="1734" customWidth="1"/>
    <col min="13830" max="13831" width="0" style="1734" hidden="1" customWidth="1"/>
    <col min="13832" max="13836" width="6.88671875" style="1734" customWidth="1"/>
    <col min="13837" max="13853" width="8.88671875" style="1734"/>
    <col min="13854" max="13855" width="0" style="1734" hidden="1" customWidth="1"/>
    <col min="13856" max="14081" width="8.88671875" style="1734"/>
    <col min="14082" max="14083" width="5.109375" style="1734" customWidth="1"/>
    <col min="14084" max="14084" width="8.88671875" style="1734"/>
    <col min="14085" max="14085" width="9.21875" style="1734" customWidth="1"/>
    <col min="14086" max="14087" width="0" style="1734" hidden="1" customWidth="1"/>
    <col min="14088" max="14092" width="6.88671875" style="1734" customWidth="1"/>
    <col min="14093" max="14109" width="8.88671875" style="1734"/>
    <col min="14110" max="14111" width="0" style="1734" hidden="1" customWidth="1"/>
    <col min="14112" max="14337" width="8.88671875" style="1734"/>
    <col min="14338" max="14339" width="5.109375" style="1734" customWidth="1"/>
    <col min="14340" max="14340" width="8.88671875" style="1734"/>
    <col min="14341" max="14341" width="9.21875" style="1734" customWidth="1"/>
    <col min="14342" max="14343" width="0" style="1734" hidden="1" customWidth="1"/>
    <col min="14344" max="14348" width="6.88671875" style="1734" customWidth="1"/>
    <col min="14349" max="14365" width="8.88671875" style="1734"/>
    <col min="14366" max="14367" width="0" style="1734" hidden="1" customWidth="1"/>
    <col min="14368" max="14593" width="8.88671875" style="1734"/>
    <col min="14594" max="14595" width="5.109375" style="1734" customWidth="1"/>
    <col min="14596" max="14596" width="8.88671875" style="1734"/>
    <col min="14597" max="14597" width="9.21875" style="1734" customWidth="1"/>
    <col min="14598" max="14599" width="0" style="1734" hidden="1" customWidth="1"/>
    <col min="14600" max="14604" width="6.88671875" style="1734" customWidth="1"/>
    <col min="14605" max="14621" width="8.88671875" style="1734"/>
    <col min="14622" max="14623" width="0" style="1734" hidden="1" customWidth="1"/>
    <col min="14624" max="14849" width="8.88671875" style="1734"/>
    <col min="14850" max="14851" width="5.109375" style="1734" customWidth="1"/>
    <col min="14852" max="14852" width="8.88671875" style="1734"/>
    <col min="14853" max="14853" width="9.21875" style="1734" customWidth="1"/>
    <col min="14854" max="14855" width="0" style="1734" hidden="1" customWidth="1"/>
    <col min="14856" max="14860" width="6.88671875" style="1734" customWidth="1"/>
    <col min="14861" max="14877" width="8.88671875" style="1734"/>
    <col min="14878" max="14879" width="0" style="1734" hidden="1" customWidth="1"/>
    <col min="14880" max="15105" width="8.88671875" style="1734"/>
    <col min="15106" max="15107" width="5.109375" style="1734" customWidth="1"/>
    <col min="15108" max="15108" width="8.88671875" style="1734"/>
    <col min="15109" max="15109" width="9.21875" style="1734" customWidth="1"/>
    <col min="15110" max="15111" width="0" style="1734" hidden="1" customWidth="1"/>
    <col min="15112" max="15116" width="6.88671875" style="1734" customWidth="1"/>
    <col min="15117" max="15133" width="8.88671875" style="1734"/>
    <col min="15134" max="15135" width="0" style="1734" hidden="1" customWidth="1"/>
    <col min="15136" max="15361" width="8.88671875" style="1734"/>
    <col min="15362" max="15363" width="5.109375" style="1734" customWidth="1"/>
    <col min="15364" max="15364" width="8.88671875" style="1734"/>
    <col min="15365" max="15365" width="9.21875" style="1734" customWidth="1"/>
    <col min="15366" max="15367" width="0" style="1734" hidden="1" customWidth="1"/>
    <col min="15368" max="15372" width="6.88671875" style="1734" customWidth="1"/>
    <col min="15373" max="15389" width="8.88671875" style="1734"/>
    <col min="15390" max="15391" width="0" style="1734" hidden="1" customWidth="1"/>
    <col min="15392" max="15617" width="8.88671875" style="1734"/>
    <col min="15618" max="15619" width="5.109375" style="1734" customWidth="1"/>
    <col min="15620" max="15620" width="8.88671875" style="1734"/>
    <col min="15621" max="15621" width="9.21875" style="1734" customWidth="1"/>
    <col min="15622" max="15623" width="0" style="1734" hidden="1" customWidth="1"/>
    <col min="15624" max="15628" width="6.88671875" style="1734" customWidth="1"/>
    <col min="15629" max="15645" width="8.88671875" style="1734"/>
    <col min="15646" max="15647" width="0" style="1734" hidden="1" customWidth="1"/>
    <col min="15648" max="15873" width="8.88671875" style="1734"/>
    <col min="15874" max="15875" width="5.109375" style="1734" customWidth="1"/>
    <col min="15876" max="15876" width="8.88671875" style="1734"/>
    <col min="15877" max="15877" width="9.21875" style="1734" customWidth="1"/>
    <col min="15878" max="15879" width="0" style="1734" hidden="1" customWidth="1"/>
    <col min="15880" max="15884" width="6.88671875" style="1734" customWidth="1"/>
    <col min="15885" max="15901" width="8.88671875" style="1734"/>
    <col min="15902" max="15903" width="0" style="1734" hidden="1" customWidth="1"/>
    <col min="15904" max="16129" width="8.88671875" style="1734"/>
    <col min="16130" max="16131" width="5.109375" style="1734" customWidth="1"/>
    <col min="16132" max="16132" width="8.88671875" style="1734"/>
    <col min="16133" max="16133" width="9.21875" style="1734" customWidth="1"/>
    <col min="16134" max="16135" width="0" style="1734" hidden="1" customWidth="1"/>
    <col min="16136" max="16140" width="6.88671875" style="1734" customWidth="1"/>
    <col min="16141" max="16157" width="8.88671875" style="1734"/>
    <col min="16158" max="16159" width="0" style="1734" hidden="1" customWidth="1"/>
    <col min="16160" max="16384" width="8.88671875" style="1734"/>
  </cols>
  <sheetData>
    <row r="1" spans="1:15" ht="39.75" customHeight="1">
      <c r="A1" s="1732" t="str">
        <f>'G. Abstractfinal'!A2:F2</f>
        <v>CONSTRUCTION OF RURAL POLICE STATION BUILDING WITH DEVELOPMENT WORK AT REGUNATHAPURAM IN PUDUKKOTTAI DISRICT.</v>
      </c>
      <c r="B1" s="1732"/>
      <c r="C1" s="1732"/>
      <c r="D1" s="1732"/>
      <c r="E1" s="1732"/>
      <c r="F1" s="1732"/>
      <c r="G1" s="1732"/>
      <c r="H1" s="1732"/>
      <c r="I1" s="1733"/>
      <c r="J1" s="1733"/>
      <c r="K1" s="1733"/>
      <c r="L1" s="1733"/>
    </row>
    <row r="2" spans="1:15" ht="27" customHeight="1">
      <c r="A2" s="1734" t="s">
        <v>220</v>
      </c>
    </row>
    <row r="3" spans="1:15" ht="27" customHeight="1">
      <c r="A3" s="1734" t="s">
        <v>5673</v>
      </c>
      <c r="D3" s="1734" t="s">
        <v>2793</v>
      </c>
      <c r="E3" s="1734">
        <v>1</v>
      </c>
      <c r="F3" s="1734" t="s">
        <v>54</v>
      </c>
    </row>
    <row r="4" spans="1:15" ht="27" customHeight="1">
      <c r="A4" s="1734" t="s">
        <v>5674</v>
      </c>
      <c r="D4" s="1734" t="s">
        <v>2793</v>
      </c>
      <c r="E4" s="1734">
        <f>E3</f>
        <v>1</v>
      </c>
      <c r="F4" s="1735" t="s">
        <v>56</v>
      </c>
      <c r="G4" s="1735">
        <v>30</v>
      </c>
      <c r="H4" s="1735"/>
      <c r="I4" s="1735"/>
    </row>
    <row r="5" spans="1:15" ht="27" customHeight="1">
      <c r="E5" s="1734">
        <f>E4*G4</f>
        <v>30</v>
      </c>
      <c r="F5" s="1735" t="s">
        <v>4</v>
      </c>
    </row>
    <row r="6" spans="1:15" ht="27" customHeight="1"/>
    <row r="7" spans="1:15" ht="27" customHeight="1">
      <c r="A7" s="1734" t="s">
        <v>5675</v>
      </c>
      <c r="D7" s="1734" t="s">
        <v>2793</v>
      </c>
      <c r="E7" s="1734">
        <f>E5/5</f>
        <v>6</v>
      </c>
      <c r="F7" s="1735" t="s">
        <v>56</v>
      </c>
      <c r="G7" s="1735">
        <v>9</v>
      </c>
      <c r="H7" s="1735" t="s">
        <v>56</v>
      </c>
      <c r="I7" s="1736">
        <v>0.6</v>
      </c>
      <c r="N7" s="1734">
        <f>720*60%</f>
        <v>432</v>
      </c>
    </row>
    <row r="8" spans="1:15" ht="27" customHeight="1">
      <c r="E8" s="1737" t="s">
        <v>5676</v>
      </c>
    </row>
    <row r="9" spans="1:15" ht="27" customHeight="1">
      <c r="E9" s="1734">
        <f>E7*G7*I7</f>
        <v>32.4</v>
      </c>
      <c r="F9" s="1734" t="s">
        <v>5677</v>
      </c>
      <c r="G9" s="1735" t="s">
        <v>56</v>
      </c>
      <c r="H9" s="1735"/>
      <c r="I9" s="1738">
        <v>9.1999999999999998E-2</v>
      </c>
      <c r="J9" s="1738"/>
      <c r="K9" s="1739"/>
    </row>
    <row r="10" spans="1:15" ht="27" customHeight="1">
      <c r="E10" s="1734">
        <f>E9*I9</f>
        <v>2.9807999999999999</v>
      </c>
      <c r="F10" s="1740" t="s">
        <v>15</v>
      </c>
      <c r="G10" s="1741">
        <f>ROUNDUP(E10,0)</f>
        <v>3</v>
      </c>
      <c r="H10" s="1742"/>
      <c r="I10" s="1742"/>
    </row>
    <row r="11" spans="1:15" ht="27" customHeight="1">
      <c r="O11" s="1743"/>
    </row>
    <row r="12" spans="1:15" ht="27" customHeight="1">
      <c r="A12" s="1734" t="s">
        <v>5678</v>
      </c>
    </row>
    <row r="13" spans="1:15" ht="27" customHeight="1"/>
    <row r="14" spans="1:15" ht="27" customHeight="1">
      <c r="A14" s="1734" t="s">
        <v>5679</v>
      </c>
      <c r="D14" s="1734" t="s">
        <v>2793</v>
      </c>
      <c r="E14" s="1735">
        <f>G10</f>
        <v>3</v>
      </c>
      <c r="F14" s="1735" t="s">
        <v>56</v>
      </c>
      <c r="G14" s="1735">
        <v>0.3</v>
      </c>
      <c r="H14" s="1735"/>
      <c r="I14" s="1735"/>
      <c r="J14" s="1734" t="s">
        <v>2793</v>
      </c>
      <c r="K14" s="1744">
        <f>G14*E14</f>
        <v>0.89999999999999991</v>
      </c>
    </row>
    <row r="15" spans="1:15" ht="27" customHeight="1">
      <c r="A15" s="1734" t="s">
        <v>5680</v>
      </c>
      <c r="D15" s="1734" t="s">
        <v>2793</v>
      </c>
      <c r="E15" s="1735">
        <f>E5</f>
        <v>30</v>
      </c>
      <c r="F15" s="1735" t="s">
        <v>56</v>
      </c>
      <c r="G15" s="1735">
        <v>3.3000000000000002E-2</v>
      </c>
      <c r="H15" s="1735"/>
      <c r="I15" s="1735"/>
      <c r="J15" s="1734" t="s">
        <v>2793</v>
      </c>
      <c r="K15" s="1744">
        <f>G15*E15</f>
        <v>0.99</v>
      </c>
    </row>
    <row r="16" spans="1:15" ht="27" customHeight="1">
      <c r="A16" s="1734" t="s">
        <v>5681</v>
      </c>
      <c r="D16" s="1734" t="s">
        <v>2793</v>
      </c>
      <c r="E16" s="1735">
        <f>E5</f>
        <v>30</v>
      </c>
      <c r="F16" s="1735" t="s">
        <v>56</v>
      </c>
      <c r="G16" s="1735">
        <v>2.0000000000000001E-4</v>
      </c>
      <c r="H16" s="1735" t="s">
        <v>56</v>
      </c>
      <c r="I16" s="1735">
        <v>365</v>
      </c>
      <c r="J16" s="1734" t="s">
        <v>2793</v>
      </c>
      <c r="K16" s="1744">
        <f>G16*E16*I16</f>
        <v>2.19</v>
      </c>
    </row>
    <row r="17" spans="1:15" ht="27" customHeight="1">
      <c r="K17" s="1745" t="s">
        <v>5682</v>
      </c>
    </row>
    <row r="18" spans="1:15" ht="27" customHeight="1">
      <c r="J18" s="1746">
        <f>SUM(K14:K17)</f>
        <v>4.08</v>
      </c>
      <c r="K18" s="1746"/>
      <c r="L18" s="1746"/>
      <c r="O18" s="1734">
        <f>J18/8</f>
        <v>0.51</v>
      </c>
    </row>
    <row r="19" spans="1:15" ht="27" customHeight="1">
      <c r="K19" s="1745" t="s">
        <v>5682</v>
      </c>
    </row>
    <row r="20" spans="1:15" ht="27" hidden="1" customHeight="1">
      <c r="A20" s="1734" t="s">
        <v>5683</v>
      </c>
      <c r="D20" s="1734" t="s">
        <v>2793</v>
      </c>
      <c r="E20" s="1734">
        <v>0.61</v>
      </c>
      <c r="F20" s="1734" t="s">
        <v>5684</v>
      </c>
      <c r="H20" s="1747" t="s">
        <v>5685</v>
      </c>
      <c r="I20" s="1747"/>
      <c r="J20" s="1747"/>
      <c r="K20" s="1747"/>
      <c r="L20" s="1747"/>
    </row>
    <row r="21" spans="1:15" ht="27" hidden="1" customHeight="1"/>
    <row r="22" spans="1:15" ht="27" customHeight="1">
      <c r="A22" s="1734" t="s">
        <v>5686</v>
      </c>
      <c r="D22" s="1734" t="s">
        <v>2793</v>
      </c>
      <c r="E22" s="1748">
        <f>J18</f>
        <v>4.08</v>
      </c>
      <c r="F22" s="1749" t="s">
        <v>5687</v>
      </c>
      <c r="G22" s="1735">
        <f>E20</f>
        <v>0.61</v>
      </c>
      <c r="H22" s="1735" t="s">
        <v>2793</v>
      </c>
      <c r="I22" s="1748">
        <f>E22/G22</f>
        <v>6.6885245901639347</v>
      </c>
      <c r="J22" s="1742" t="s">
        <v>15</v>
      </c>
      <c r="K22" s="1750">
        <f>I22</f>
        <v>6.6885245901639347</v>
      </c>
      <c r="L22" s="1742" t="s">
        <v>37</v>
      </c>
    </row>
    <row r="23" spans="1:15" ht="27" customHeight="1">
      <c r="H23" s="1735"/>
    </row>
    <row r="24" spans="1:15" ht="27" customHeight="1">
      <c r="A24" s="1734" t="s">
        <v>5688</v>
      </c>
      <c r="D24" s="1734" t="s">
        <v>2793</v>
      </c>
      <c r="E24" s="1735">
        <v>1.5</v>
      </c>
      <c r="F24" s="1735" t="s">
        <v>2400</v>
      </c>
      <c r="H24" s="1735"/>
    </row>
    <row r="25" spans="1:15" ht="27" customHeight="1">
      <c r="B25" s="1739"/>
      <c r="C25" s="1739"/>
      <c r="D25" s="1739"/>
      <c r="H25" s="1735"/>
    </row>
    <row r="26" spans="1:15" ht="27" customHeight="1">
      <c r="A26" s="1734" t="s">
        <v>5</v>
      </c>
      <c r="D26" s="1734" t="s">
        <v>2793</v>
      </c>
      <c r="E26" s="1748">
        <f>K22</f>
        <v>6.6885245901639347</v>
      </c>
      <c r="F26" s="1749" t="s">
        <v>5687</v>
      </c>
      <c r="G26" s="1735">
        <f>E24</f>
        <v>1.5</v>
      </c>
      <c r="H26" s="1735" t="s">
        <v>2793</v>
      </c>
      <c r="I26" s="1748">
        <f>E26/G26</f>
        <v>4.4590163934426235</v>
      </c>
      <c r="J26" s="1742" t="s">
        <v>15</v>
      </c>
      <c r="K26" s="1751">
        <f>I26</f>
        <v>4.4590163934426235</v>
      </c>
      <c r="L26" s="1742" t="s">
        <v>2400</v>
      </c>
    </row>
    <row r="27" spans="1:15" ht="27" customHeight="1"/>
    <row r="28" spans="1:15" ht="27" customHeight="1">
      <c r="A28" s="1742" t="s">
        <v>5689</v>
      </c>
      <c r="D28" s="1734" t="s">
        <v>2793</v>
      </c>
      <c r="E28" s="1744">
        <f>K26</f>
        <v>4.4590163934426235</v>
      </c>
      <c r="F28" s="1735" t="s">
        <v>56</v>
      </c>
      <c r="G28" s="1735">
        <f>E24</f>
        <v>1.5</v>
      </c>
      <c r="H28" s="1735" t="s">
        <v>56</v>
      </c>
      <c r="I28" s="1735">
        <f>E24</f>
        <v>1.5</v>
      </c>
      <c r="J28" s="1734" t="s">
        <v>5690</v>
      </c>
      <c r="K28" s="1734" t="s">
        <v>5691</v>
      </c>
    </row>
  </sheetData>
  <mergeCells count="4">
    <mergeCell ref="A1:L1"/>
    <mergeCell ref="I9:J9"/>
    <mergeCell ref="J18:L18"/>
    <mergeCell ref="H20:L20"/>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sheetPr>
    <tabColor rgb="FF92D050"/>
  </sheetPr>
  <dimension ref="A1:XFD105"/>
  <sheetViews>
    <sheetView showZeros="0" view="pageBreakPreview" topLeftCell="A31" zoomScaleSheetLayoutView="100" workbookViewId="0">
      <selection activeCell="J40" sqref="J40"/>
    </sheetView>
  </sheetViews>
  <sheetFormatPr defaultColWidth="8.88671875" defaultRowHeight="15"/>
  <cols>
    <col min="1" max="1" width="5.5546875" style="814" customWidth="1"/>
    <col min="2" max="2" width="30.77734375" style="815" customWidth="1"/>
    <col min="3" max="4" width="4.109375" style="816" customWidth="1"/>
    <col min="5" max="8" width="7.77734375" style="814" customWidth="1"/>
    <col min="9" max="16384" width="8.88671875" style="810"/>
  </cols>
  <sheetData>
    <row r="1" spans="1:254" ht="19.899999999999999" customHeight="1">
      <c r="A1" s="1510" t="s">
        <v>0</v>
      </c>
      <c r="B1" s="1510"/>
      <c r="C1" s="1510"/>
      <c r="D1" s="1510"/>
      <c r="E1" s="1510"/>
      <c r="F1" s="1510"/>
      <c r="G1" s="1510"/>
      <c r="H1" s="1510"/>
    </row>
    <row r="2" spans="1:254" ht="19.899999999999999" customHeight="1">
      <c r="A2" s="1510" t="s">
        <v>543</v>
      </c>
      <c r="B2" s="1510"/>
      <c r="C2" s="1510"/>
      <c r="D2" s="1510"/>
      <c r="E2" s="1510"/>
      <c r="F2" s="1510"/>
      <c r="G2" s="1510"/>
      <c r="H2" s="1510"/>
    </row>
    <row r="3" spans="1:254" ht="19.899999999999999" customHeight="1">
      <c r="A3" s="1511" t="s">
        <v>545</v>
      </c>
      <c r="B3" s="1511"/>
      <c r="C3" s="1511"/>
      <c r="D3" s="1511"/>
      <c r="E3" s="1511"/>
      <c r="F3" s="1511"/>
      <c r="G3" s="1511"/>
      <c r="H3" s="1511"/>
    </row>
    <row r="4" spans="1:254" ht="10.15" customHeight="1">
      <c r="A4" s="811"/>
      <c r="B4" s="812"/>
      <c r="C4" s="813"/>
      <c r="D4" s="813"/>
      <c r="E4" s="811"/>
      <c r="F4" s="811"/>
      <c r="G4" s="811"/>
      <c r="H4" s="811"/>
    </row>
    <row r="5" spans="1:254" ht="40.15" customHeight="1">
      <c r="A5" s="1512" t="s">
        <v>2047</v>
      </c>
      <c r="B5" s="1512"/>
      <c r="C5" s="1512"/>
      <c r="D5" s="1512"/>
      <c r="E5" s="1512"/>
      <c r="F5" s="1512"/>
      <c r="G5" s="1512"/>
      <c r="H5" s="1512"/>
    </row>
    <row r="6" spans="1:254" ht="10.15" customHeight="1"/>
    <row r="7" spans="1:254" ht="42.75" customHeight="1">
      <c r="A7" s="817" t="s">
        <v>578</v>
      </c>
      <c r="B7" s="818" t="s">
        <v>504</v>
      </c>
      <c r="C7" s="1513" t="s">
        <v>213</v>
      </c>
      <c r="D7" s="1513"/>
      <c r="E7" s="818" t="s">
        <v>5</v>
      </c>
      <c r="F7" s="818" t="s">
        <v>6</v>
      </c>
      <c r="G7" s="818" t="s">
        <v>7</v>
      </c>
      <c r="H7" s="818" t="s">
        <v>214</v>
      </c>
      <c r="I7" s="819"/>
      <c r="J7" s="819"/>
      <c r="K7" s="819"/>
      <c r="L7" s="819"/>
      <c r="M7" s="819"/>
      <c r="N7" s="819"/>
      <c r="O7" s="819"/>
      <c r="P7" s="819"/>
      <c r="Q7" s="819"/>
      <c r="R7" s="819"/>
      <c r="S7" s="819"/>
      <c r="T7" s="819"/>
      <c r="U7" s="819"/>
      <c r="V7" s="819"/>
      <c r="W7" s="819"/>
      <c r="X7" s="819"/>
      <c r="Y7" s="819"/>
      <c r="Z7" s="819"/>
      <c r="AA7" s="819"/>
      <c r="AB7" s="819"/>
      <c r="AC7" s="819"/>
      <c r="AD7" s="819"/>
      <c r="AE7" s="819"/>
      <c r="AF7" s="819"/>
      <c r="AG7" s="819"/>
      <c r="AH7" s="819"/>
      <c r="AI7" s="819"/>
      <c r="AJ7" s="819"/>
      <c r="AK7" s="819"/>
      <c r="AL7" s="819"/>
      <c r="AM7" s="819"/>
      <c r="AN7" s="819"/>
      <c r="AO7" s="819"/>
      <c r="AP7" s="819"/>
      <c r="AQ7" s="819"/>
      <c r="AR7" s="819"/>
      <c r="AS7" s="819"/>
      <c r="AT7" s="819"/>
      <c r="AU7" s="819"/>
      <c r="AV7" s="819"/>
      <c r="AW7" s="819"/>
      <c r="AX7" s="819"/>
      <c r="AY7" s="819"/>
      <c r="AZ7" s="819"/>
      <c r="BA7" s="819"/>
      <c r="BB7" s="819"/>
      <c r="BC7" s="819"/>
      <c r="BD7" s="819"/>
      <c r="BE7" s="819"/>
      <c r="BF7" s="819"/>
      <c r="BG7" s="819"/>
      <c r="BH7" s="819"/>
      <c r="BI7" s="819"/>
      <c r="BJ7" s="819"/>
      <c r="BK7" s="819"/>
      <c r="BL7" s="819"/>
      <c r="BM7" s="819"/>
      <c r="BN7" s="819"/>
      <c r="BO7" s="819"/>
      <c r="BP7" s="819"/>
      <c r="BQ7" s="819"/>
      <c r="BR7" s="819"/>
      <c r="BS7" s="819"/>
      <c r="BT7" s="819"/>
      <c r="BU7" s="819"/>
      <c r="BV7" s="819"/>
      <c r="BW7" s="819"/>
      <c r="BX7" s="819"/>
      <c r="BY7" s="819"/>
      <c r="BZ7" s="819"/>
      <c r="CA7" s="819"/>
      <c r="CB7" s="819"/>
      <c r="CC7" s="819"/>
      <c r="CD7" s="819"/>
      <c r="CE7" s="819"/>
      <c r="CF7" s="819"/>
      <c r="CG7" s="819"/>
      <c r="CH7" s="819"/>
      <c r="CI7" s="819"/>
      <c r="CJ7" s="819"/>
      <c r="CK7" s="819"/>
      <c r="CL7" s="819"/>
      <c r="CM7" s="819"/>
      <c r="CN7" s="819"/>
      <c r="CO7" s="819"/>
      <c r="CP7" s="819"/>
      <c r="CQ7" s="819"/>
      <c r="CR7" s="819"/>
      <c r="CS7" s="819"/>
      <c r="CT7" s="819"/>
      <c r="CU7" s="819"/>
      <c r="CV7" s="819"/>
      <c r="CW7" s="819"/>
      <c r="CX7" s="819"/>
      <c r="CY7" s="819"/>
      <c r="CZ7" s="819"/>
      <c r="DA7" s="819"/>
      <c r="DB7" s="819"/>
      <c r="DC7" s="819"/>
      <c r="DD7" s="819"/>
      <c r="DE7" s="819"/>
      <c r="DF7" s="819"/>
      <c r="DG7" s="819"/>
      <c r="DH7" s="819"/>
      <c r="DI7" s="819"/>
      <c r="DJ7" s="819"/>
      <c r="DK7" s="819"/>
      <c r="DL7" s="819"/>
      <c r="DM7" s="819"/>
      <c r="DN7" s="819"/>
      <c r="DO7" s="819"/>
      <c r="DP7" s="819"/>
      <c r="DQ7" s="819"/>
      <c r="DR7" s="819"/>
      <c r="DS7" s="819"/>
      <c r="DT7" s="819"/>
      <c r="DU7" s="819"/>
      <c r="DV7" s="819"/>
      <c r="DW7" s="819"/>
      <c r="DX7" s="819"/>
      <c r="DY7" s="819"/>
      <c r="DZ7" s="819"/>
      <c r="EA7" s="819"/>
      <c r="EB7" s="819"/>
      <c r="EC7" s="819"/>
      <c r="ED7" s="819"/>
      <c r="EE7" s="819"/>
      <c r="EF7" s="819"/>
      <c r="EG7" s="819"/>
      <c r="EH7" s="819"/>
      <c r="EI7" s="819"/>
      <c r="EJ7" s="819"/>
      <c r="EK7" s="819"/>
      <c r="EL7" s="819"/>
      <c r="EM7" s="819"/>
      <c r="EN7" s="819"/>
      <c r="EO7" s="819"/>
      <c r="EP7" s="819"/>
      <c r="EQ7" s="819"/>
      <c r="ER7" s="819"/>
      <c r="ES7" s="819"/>
      <c r="ET7" s="819"/>
      <c r="EU7" s="819"/>
      <c r="EV7" s="819"/>
      <c r="EW7" s="819"/>
      <c r="EX7" s="819"/>
      <c r="EY7" s="819"/>
      <c r="EZ7" s="819"/>
      <c r="FA7" s="819"/>
      <c r="FB7" s="819"/>
      <c r="FC7" s="819"/>
      <c r="FD7" s="819"/>
      <c r="FE7" s="819"/>
      <c r="FF7" s="819"/>
      <c r="FG7" s="819"/>
      <c r="FH7" s="819"/>
      <c r="FI7" s="819"/>
      <c r="FJ7" s="819"/>
      <c r="FK7" s="819"/>
      <c r="FL7" s="819"/>
      <c r="FM7" s="819"/>
      <c r="FN7" s="819"/>
      <c r="FO7" s="819"/>
      <c r="FP7" s="819"/>
      <c r="FQ7" s="819"/>
      <c r="FR7" s="819"/>
      <c r="FS7" s="819"/>
      <c r="FT7" s="819"/>
      <c r="FU7" s="819"/>
      <c r="FV7" s="819"/>
      <c r="FW7" s="819"/>
      <c r="FX7" s="819"/>
      <c r="FY7" s="819"/>
      <c r="FZ7" s="819"/>
      <c r="GA7" s="819"/>
      <c r="GB7" s="819"/>
      <c r="GC7" s="819"/>
      <c r="GD7" s="819"/>
      <c r="GE7" s="819"/>
      <c r="GF7" s="819"/>
      <c r="GG7" s="819"/>
      <c r="GH7" s="819"/>
      <c r="GI7" s="819"/>
      <c r="GJ7" s="819"/>
      <c r="GK7" s="819"/>
      <c r="GL7" s="819"/>
      <c r="GM7" s="819"/>
      <c r="GN7" s="819"/>
      <c r="GO7" s="819"/>
      <c r="GP7" s="819"/>
      <c r="GQ7" s="819"/>
      <c r="GR7" s="819"/>
      <c r="GS7" s="819"/>
      <c r="GT7" s="819"/>
      <c r="GU7" s="819"/>
      <c r="GV7" s="819"/>
      <c r="GW7" s="819"/>
      <c r="GX7" s="819"/>
      <c r="GY7" s="819"/>
      <c r="GZ7" s="819"/>
      <c r="HA7" s="819"/>
      <c r="HB7" s="819"/>
      <c r="HC7" s="819"/>
      <c r="HD7" s="819"/>
      <c r="HE7" s="819"/>
      <c r="HF7" s="819"/>
      <c r="HG7" s="819"/>
      <c r="HH7" s="819"/>
      <c r="HI7" s="819"/>
      <c r="HJ7" s="819"/>
      <c r="HK7" s="819"/>
      <c r="HL7" s="819"/>
      <c r="HM7" s="819"/>
      <c r="HN7" s="819"/>
      <c r="HO7" s="819"/>
      <c r="HP7" s="819"/>
      <c r="HQ7" s="819"/>
      <c r="HR7" s="819"/>
      <c r="HS7" s="819"/>
      <c r="HT7" s="819"/>
      <c r="HU7" s="819"/>
      <c r="HV7" s="819"/>
      <c r="HW7" s="819"/>
      <c r="HX7" s="819"/>
      <c r="HY7" s="819"/>
      <c r="HZ7" s="819"/>
      <c r="IA7" s="819"/>
      <c r="IB7" s="819"/>
      <c r="IC7" s="819"/>
      <c r="ID7" s="819"/>
      <c r="IE7" s="819"/>
      <c r="IF7" s="819"/>
      <c r="IG7" s="819"/>
      <c r="IH7" s="819"/>
      <c r="II7" s="819"/>
      <c r="IJ7" s="819"/>
      <c r="IK7" s="819"/>
      <c r="IL7" s="819"/>
      <c r="IM7" s="819"/>
      <c r="IN7" s="819"/>
      <c r="IO7" s="819"/>
      <c r="IP7" s="819"/>
      <c r="IQ7" s="819"/>
      <c r="IR7" s="819"/>
      <c r="IS7" s="819"/>
      <c r="IT7" s="819"/>
    </row>
    <row r="8" spans="1:254" s="822" customFormat="1" ht="19.899999999999999" customHeight="1">
      <c r="A8" s="820">
        <v>1.5</v>
      </c>
      <c r="B8" s="1514" t="s">
        <v>9</v>
      </c>
      <c r="C8" s="1515"/>
      <c r="D8" s="1515"/>
      <c r="E8" s="1515"/>
      <c r="F8" s="1515"/>
      <c r="G8" s="1516"/>
      <c r="H8" s="821"/>
    </row>
    <row r="9" spans="1:254" s="822" customFormat="1" ht="19.899999999999999" customHeight="1">
      <c r="A9" s="820"/>
      <c r="B9" s="823" t="s">
        <v>209</v>
      </c>
      <c r="C9" s="824"/>
      <c r="D9" s="825"/>
      <c r="E9" s="821"/>
      <c r="F9" s="821"/>
      <c r="G9" s="821"/>
      <c r="H9" s="821"/>
    </row>
    <row r="10" spans="1:254" s="555" customFormat="1" ht="19.899999999999999" customHeight="1">
      <c r="A10" s="826"/>
      <c r="B10" s="544" t="s">
        <v>10</v>
      </c>
      <c r="C10" s="827">
        <v>1</v>
      </c>
      <c r="D10" s="827">
        <v>1</v>
      </c>
      <c r="E10" s="826">
        <v>5.75</v>
      </c>
      <c r="F10" s="826">
        <v>2.5</v>
      </c>
      <c r="G10" s="826">
        <v>0.3</v>
      </c>
      <c r="H10" s="826">
        <f>PRODUCT(C10:G10)</f>
        <v>4.3125</v>
      </c>
      <c r="I10" s="828"/>
    </row>
    <row r="11" spans="1:254" s="555" customFormat="1" ht="19.899999999999999" customHeight="1">
      <c r="A11" s="826"/>
      <c r="B11" s="544" t="s">
        <v>11</v>
      </c>
      <c r="C11" s="827">
        <v>1</v>
      </c>
      <c r="D11" s="827">
        <v>2</v>
      </c>
      <c r="E11" s="826">
        <v>1.36</v>
      </c>
      <c r="F11" s="826">
        <v>1.36</v>
      </c>
      <c r="G11" s="826">
        <v>0.3</v>
      </c>
      <c r="H11" s="826">
        <f t="shared" ref="H11:H12" si="0">PRODUCT(C11:G11)</f>
        <v>1.1097600000000001</v>
      </c>
      <c r="I11" s="828"/>
    </row>
    <row r="12" spans="1:254" s="555" customFormat="1" ht="19.899999999999999" customHeight="1">
      <c r="A12" s="826"/>
      <c r="B12" s="544" t="s">
        <v>12</v>
      </c>
      <c r="C12" s="827">
        <v>1</v>
      </c>
      <c r="D12" s="827">
        <v>1</v>
      </c>
      <c r="E12" s="826">
        <v>10</v>
      </c>
      <c r="F12" s="826">
        <v>1</v>
      </c>
      <c r="G12" s="826">
        <v>1.3</v>
      </c>
      <c r="H12" s="826">
        <f t="shared" si="0"/>
        <v>13</v>
      </c>
      <c r="I12" s="828"/>
    </row>
    <row r="13" spans="1:254" ht="19.899999999999999" customHeight="1">
      <c r="A13" s="829"/>
      <c r="B13" s="830"/>
      <c r="C13" s="831"/>
      <c r="D13" s="831"/>
      <c r="E13" s="829"/>
      <c r="F13" s="829"/>
      <c r="G13" s="829"/>
      <c r="H13" s="829">
        <v>0.08</v>
      </c>
    </row>
    <row r="14" spans="1:254" ht="19.899999999999999" customHeight="1">
      <c r="A14" s="829"/>
      <c r="B14" s="830"/>
      <c r="C14" s="831"/>
      <c r="D14" s="831"/>
      <c r="E14" s="829"/>
      <c r="F14" s="832"/>
      <c r="G14" s="832" t="s">
        <v>15</v>
      </c>
      <c r="H14" s="832">
        <f>SUM(H10:H13)</f>
        <v>18.50226</v>
      </c>
    </row>
    <row r="15" spans="1:254" s="822" customFormat="1" ht="19.899999999999999" customHeight="1">
      <c r="A15" s="833">
        <v>2.1</v>
      </c>
      <c r="B15" s="544" t="s">
        <v>17</v>
      </c>
      <c r="C15" s="825"/>
      <c r="D15" s="825"/>
      <c r="E15" s="821"/>
      <c r="F15" s="834"/>
      <c r="G15" s="834"/>
      <c r="H15" s="834"/>
    </row>
    <row r="16" spans="1:254" s="555" customFormat="1" ht="19.899999999999999" customHeight="1">
      <c r="A16" s="826"/>
      <c r="B16" s="544" t="s">
        <v>18</v>
      </c>
      <c r="C16" s="827">
        <v>1</v>
      </c>
      <c r="D16" s="827">
        <v>1</v>
      </c>
      <c r="E16" s="826">
        <v>9</v>
      </c>
      <c r="F16" s="826">
        <v>1</v>
      </c>
      <c r="G16" s="826">
        <v>0.2</v>
      </c>
      <c r="H16" s="821">
        <f>PRODUCT(E16:G16)</f>
        <v>1.8</v>
      </c>
      <c r="I16" s="828"/>
    </row>
    <row r="17" spans="1:9 16384:16384" s="822" customFormat="1" ht="19.899999999999999" customHeight="1">
      <c r="A17" s="820"/>
      <c r="B17" s="823"/>
      <c r="C17" s="825"/>
      <c r="D17" s="825"/>
      <c r="E17" s="821"/>
      <c r="F17" s="821"/>
      <c r="G17" s="834" t="s">
        <v>15</v>
      </c>
      <c r="H17" s="834">
        <f>SUM(H16:H16)</f>
        <v>1.8</v>
      </c>
    </row>
    <row r="18" spans="1:9 16384:16384" s="822" customFormat="1" ht="19.899999999999999" customHeight="1">
      <c r="A18" s="833">
        <v>2.6</v>
      </c>
      <c r="B18" s="544" t="s">
        <v>19</v>
      </c>
      <c r="C18" s="825"/>
      <c r="D18" s="825"/>
      <c r="E18" s="821"/>
      <c r="F18" s="821"/>
      <c r="G18" s="821"/>
      <c r="H18" s="834"/>
    </row>
    <row r="19" spans="1:9 16384:16384" s="555" customFormat="1" ht="19.899999999999999" customHeight="1">
      <c r="A19" s="835"/>
      <c r="B19" s="823" t="s">
        <v>12</v>
      </c>
      <c r="C19" s="827">
        <v>1</v>
      </c>
      <c r="D19" s="827">
        <v>1</v>
      </c>
      <c r="E19" s="826">
        <v>10</v>
      </c>
      <c r="F19" s="826">
        <v>1</v>
      </c>
      <c r="G19" s="826">
        <v>0.3</v>
      </c>
      <c r="H19" s="826">
        <f>PRODUCT(C19:G19)</f>
        <v>3</v>
      </c>
      <c r="I19" s="828"/>
    </row>
    <row r="20" spans="1:9 16384:16384" s="822" customFormat="1" ht="19.899999999999999" customHeight="1">
      <c r="A20" s="836"/>
      <c r="B20" s="544"/>
      <c r="C20" s="825"/>
      <c r="D20" s="825"/>
      <c r="E20" s="821"/>
      <c r="F20" s="834" t="s">
        <v>15</v>
      </c>
      <c r="G20" s="834">
        <f>+H19</f>
        <v>3</v>
      </c>
      <c r="H20" s="837" t="s">
        <v>16</v>
      </c>
    </row>
    <row r="21" spans="1:9 16384:16384" s="822" customFormat="1" ht="19.899999999999999" customHeight="1">
      <c r="A21" s="836">
        <v>2.7</v>
      </c>
      <c r="B21" s="544" t="s">
        <v>20</v>
      </c>
      <c r="C21" s="825"/>
      <c r="D21" s="825"/>
      <c r="E21" s="821"/>
      <c r="F21" s="821"/>
      <c r="G21" s="821"/>
      <c r="H21" s="821"/>
    </row>
    <row r="22" spans="1:9 16384:16384" s="555" customFormat="1" ht="19.899999999999999" customHeight="1">
      <c r="A22" s="826"/>
      <c r="B22" s="823" t="s">
        <v>12</v>
      </c>
      <c r="C22" s="827">
        <v>1</v>
      </c>
      <c r="D22" s="827">
        <v>1</v>
      </c>
      <c r="E22" s="826">
        <v>10</v>
      </c>
      <c r="F22" s="826">
        <v>1</v>
      </c>
      <c r="G22" s="826">
        <v>0.2</v>
      </c>
      <c r="H22" s="826">
        <f>PRODUCT(C22:G22)</f>
        <v>2</v>
      </c>
      <c r="I22" s="828"/>
    </row>
    <row r="23" spans="1:9 16384:16384" s="822" customFormat="1" ht="19.899999999999999" customHeight="1">
      <c r="A23" s="820"/>
      <c r="B23" s="544"/>
      <c r="C23" s="825"/>
      <c r="D23" s="825"/>
      <c r="E23" s="821"/>
      <c r="F23" s="834" t="s">
        <v>15</v>
      </c>
      <c r="G23" s="834">
        <f>+H22</f>
        <v>2</v>
      </c>
      <c r="H23" s="837" t="s">
        <v>16</v>
      </c>
    </row>
    <row r="24" spans="1:9 16384:16384" s="822" customFormat="1" ht="19.899999999999999" customHeight="1">
      <c r="A24" s="820">
        <v>3.1</v>
      </c>
      <c r="B24" s="544" t="s">
        <v>21</v>
      </c>
      <c r="C24" s="825"/>
      <c r="D24" s="825"/>
      <c r="E24" s="821"/>
      <c r="F24" s="821"/>
      <c r="G24" s="821"/>
      <c r="H24" s="821"/>
    </row>
    <row r="25" spans="1:9 16384:16384" s="555" customFormat="1" ht="19.899999999999999" customHeight="1">
      <c r="A25" s="826"/>
      <c r="B25" s="544" t="s">
        <v>10</v>
      </c>
      <c r="C25" s="827">
        <v>1</v>
      </c>
      <c r="D25" s="827">
        <v>1</v>
      </c>
      <c r="E25" s="826">
        <v>5.75</v>
      </c>
      <c r="F25" s="826">
        <v>2.5</v>
      </c>
      <c r="G25" s="826">
        <v>0.1</v>
      </c>
      <c r="H25" s="821">
        <f>PRODUCT(C25:G25)</f>
        <v>1.4375</v>
      </c>
      <c r="I25" s="828"/>
    </row>
    <row r="26" spans="1:9 16384:16384" s="555" customFormat="1" ht="19.899999999999999" customHeight="1">
      <c r="A26" s="826"/>
      <c r="B26" s="544" t="s">
        <v>11</v>
      </c>
      <c r="C26" s="827">
        <v>1</v>
      </c>
      <c r="D26" s="827">
        <v>2</v>
      </c>
      <c r="E26" s="826">
        <v>1.36</v>
      </c>
      <c r="F26" s="826">
        <v>1.36</v>
      </c>
      <c r="G26" s="826">
        <v>0.1</v>
      </c>
      <c r="H26" s="826">
        <f>PRODUCT(C26:G26)</f>
        <v>0.36992000000000008</v>
      </c>
      <c r="I26" s="828"/>
    </row>
    <row r="27" spans="1:9 16384:16384" s="555" customFormat="1" ht="19.899999999999999" customHeight="1">
      <c r="A27" s="826"/>
      <c r="B27" s="544"/>
      <c r="C27" s="827"/>
      <c r="D27" s="827"/>
      <c r="E27" s="826"/>
      <c r="F27" s="826"/>
      <c r="G27" s="826"/>
      <c r="H27" s="821">
        <v>0.09</v>
      </c>
      <c r="I27" s="828"/>
    </row>
    <row r="28" spans="1:9 16384:16384" s="822" customFormat="1" ht="19.899999999999999" customHeight="1">
      <c r="A28" s="820"/>
      <c r="B28" s="544"/>
      <c r="C28" s="825"/>
      <c r="D28" s="825"/>
      <c r="E28" s="821"/>
      <c r="F28" s="821"/>
      <c r="G28" s="834" t="s">
        <v>15</v>
      </c>
      <c r="H28" s="834">
        <f>SUM(H25:H27)</f>
        <v>1.8974200000000001</v>
      </c>
      <c r="XFD28" s="822">
        <f>SUM(H28:XFC28)</f>
        <v>1.8974200000000001</v>
      </c>
    </row>
    <row r="29" spans="1:9 16384:16384" s="822" customFormat="1" ht="34.9" customHeight="1">
      <c r="A29" s="833">
        <v>6.5</v>
      </c>
      <c r="B29" s="1517" t="s">
        <v>22</v>
      </c>
      <c r="C29" s="1518"/>
      <c r="D29" s="1518"/>
      <c r="E29" s="1518"/>
      <c r="F29" s="1518"/>
      <c r="G29" s="1519"/>
      <c r="H29" s="834"/>
    </row>
    <row r="30" spans="1:9 16384:16384" s="555" customFormat="1" ht="19.899999999999999" customHeight="1">
      <c r="A30" s="826"/>
      <c r="B30" s="544" t="s">
        <v>23</v>
      </c>
      <c r="C30" s="827"/>
      <c r="D30" s="827"/>
      <c r="E30" s="826"/>
      <c r="F30" s="826"/>
      <c r="G30" s="826"/>
      <c r="H30" s="826"/>
      <c r="I30" s="828"/>
    </row>
    <row r="31" spans="1:9 16384:16384" s="555" customFormat="1" ht="19.899999999999999" customHeight="1">
      <c r="A31" s="826"/>
      <c r="B31" s="544" t="s">
        <v>24</v>
      </c>
      <c r="C31" s="827">
        <v>1</v>
      </c>
      <c r="D31" s="827">
        <v>1</v>
      </c>
      <c r="E31" s="826">
        <v>14.3</v>
      </c>
      <c r="F31" s="826">
        <v>0.45</v>
      </c>
      <c r="G31" s="826">
        <v>0.9</v>
      </c>
      <c r="H31" s="826">
        <f>PRODUCT(C31:G31)</f>
        <v>5.791500000000001</v>
      </c>
      <c r="I31" s="828"/>
    </row>
    <row r="32" spans="1:9 16384:16384" s="555" customFormat="1" ht="19.899999999999999" customHeight="1">
      <c r="A32" s="826"/>
      <c r="B32" s="544" t="s">
        <v>25</v>
      </c>
      <c r="C32" s="827">
        <v>1</v>
      </c>
      <c r="D32" s="827">
        <v>1</v>
      </c>
      <c r="E32" s="826">
        <v>13.86</v>
      </c>
      <c r="F32" s="826">
        <v>0.34</v>
      </c>
      <c r="G32" s="826">
        <v>0.8</v>
      </c>
      <c r="H32" s="826">
        <f t="shared" ref="H32:H35" si="1">PRODUCT(C32:G32)</f>
        <v>3.7699200000000008</v>
      </c>
      <c r="I32" s="828">
        <f>G31+G32+G33</f>
        <v>2</v>
      </c>
    </row>
    <row r="33" spans="1:10 16384:16384" s="555" customFormat="1" ht="19.899999999999999" customHeight="1">
      <c r="A33" s="826"/>
      <c r="B33" s="544" t="s">
        <v>26</v>
      </c>
      <c r="C33" s="827">
        <v>1</v>
      </c>
      <c r="D33" s="827">
        <v>1</v>
      </c>
      <c r="E33" s="826">
        <v>13.42</v>
      </c>
      <c r="F33" s="826">
        <v>0.23</v>
      </c>
      <c r="G33" s="826">
        <v>0.3</v>
      </c>
      <c r="H33" s="826">
        <f t="shared" si="1"/>
        <v>0.92598000000000003</v>
      </c>
      <c r="I33" s="828"/>
    </row>
    <row r="34" spans="1:10 16384:16384" s="555" customFormat="1" ht="19.899999999999999" customHeight="1">
      <c r="A34" s="826"/>
      <c r="B34" s="544" t="s">
        <v>11</v>
      </c>
      <c r="C34" s="827">
        <v>1</v>
      </c>
      <c r="D34" s="827">
        <v>2</v>
      </c>
      <c r="E34" s="826">
        <v>3.32</v>
      </c>
      <c r="F34" s="826">
        <v>0.23</v>
      </c>
      <c r="G34" s="826">
        <v>0.6</v>
      </c>
      <c r="H34" s="826">
        <f t="shared" si="1"/>
        <v>0.91631999999999991</v>
      </c>
      <c r="I34" s="828"/>
    </row>
    <row r="35" spans="1:10 16384:16384" s="822" customFormat="1" ht="19.899999999999999" customHeight="1">
      <c r="A35" s="821"/>
      <c r="B35" s="544" t="s">
        <v>27</v>
      </c>
      <c r="C35" s="825">
        <v>1</v>
      </c>
      <c r="D35" s="825">
        <v>2</v>
      </c>
      <c r="E35" s="821">
        <v>3</v>
      </c>
      <c r="F35" s="821">
        <v>0.23</v>
      </c>
      <c r="G35" s="821">
        <v>1.2</v>
      </c>
      <c r="H35" s="826">
        <f t="shared" si="1"/>
        <v>1.6560000000000001</v>
      </c>
    </row>
    <row r="36" spans="1:10 16384:16384" ht="19.899999999999999" customHeight="1">
      <c r="A36" s="829"/>
      <c r="B36" s="830" t="s">
        <v>14</v>
      </c>
      <c r="C36" s="831"/>
      <c r="D36" s="831"/>
      <c r="E36" s="829"/>
      <c r="F36" s="829"/>
      <c r="G36" s="829"/>
      <c r="H36" s="829">
        <v>0.04</v>
      </c>
      <c r="I36" s="810">
        <f>SUM(H35:H35)</f>
        <v>1.6560000000000001</v>
      </c>
    </row>
    <row r="37" spans="1:10 16384:16384" ht="19.899999999999999" customHeight="1">
      <c r="A37" s="829"/>
      <c r="B37" s="830"/>
      <c r="C37" s="831"/>
      <c r="D37" s="831"/>
      <c r="E37" s="829"/>
      <c r="F37" s="829"/>
      <c r="G37" s="832" t="s">
        <v>15</v>
      </c>
      <c r="H37" s="832">
        <f>SUM(H31:H36)</f>
        <v>13.099720000000001</v>
      </c>
      <c r="I37" s="810">
        <f>ROUNDUP(I36,1)</f>
        <v>1.7000000000000002</v>
      </c>
    </row>
    <row r="38" spans="1:10 16384:16384" s="822" customFormat="1" ht="19.899999999999999" customHeight="1">
      <c r="A38" s="833">
        <v>4.0999999999999996</v>
      </c>
      <c r="B38" s="1517" t="s">
        <v>547</v>
      </c>
      <c r="C38" s="1518"/>
      <c r="D38" s="1518"/>
      <c r="E38" s="1518"/>
      <c r="F38" s="1518"/>
      <c r="G38" s="1519"/>
      <c r="H38" s="821"/>
    </row>
    <row r="39" spans="1:10 16384:16384" s="822" customFormat="1" ht="19.899999999999999" customHeight="1">
      <c r="A39" s="820"/>
      <c r="B39" s="544" t="s">
        <v>28</v>
      </c>
      <c r="C39" s="825">
        <v>1</v>
      </c>
      <c r="D39" s="825">
        <v>1</v>
      </c>
      <c r="E39" s="821">
        <v>5.75</v>
      </c>
      <c r="F39" s="821">
        <v>2.5</v>
      </c>
      <c r="G39" s="821">
        <v>0.15</v>
      </c>
      <c r="H39" s="821">
        <f>PRODUCT(C39:G39)</f>
        <v>2.15625</v>
      </c>
    </row>
    <row r="40" spans="1:10 16384:16384" s="822" customFormat="1" ht="19.899999999999999" customHeight="1">
      <c r="A40" s="821"/>
      <c r="B40" s="544" t="s">
        <v>29</v>
      </c>
      <c r="C40" s="825">
        <v>1</v>
      </c>
      <c r="D40" s="825">
        <v>1</v>
      </c>
      <c r="E40" s="821">
        <v>4.96</v>
      </c>
      <c r="F40" s="821">
        <v>1.96</v>
      </c>
      <c r="G40" s="838">
        <v>0.15</v>
      </c>
      <c r="H40" s="821">
        <f>PRODUCT(C40:G40)</f>
        <v>1.45824</v>
      </c>
    </row>
    <row r="41" spans="1:10 16384:16384" s="822" customFormat="1" ht="19.899999999999999" customHeight="1">
      <c r="A41" s="821"/>
      <c r="B41" s="544" t="s">
        <v>628</v>
      </c>
      <c r="C41" s="825">
        <v>1</v>
      </c>
      <c r="D41" s="825">
        <v>-2</v>
      </c>
      <c r="E41" s="821">
        <v>0.6</v>
      </c>
      <c r="F41" s="821">
        <v>0.6</v>
      </c>
      <c r="G41" s="821">
        <v>0.15</v>
      </c>
      <c r="H41" s="821">
        <f>PRODUCT(C41:G41)</f>
        <v>-0.108</v>
      </c>
    </row>
    <row r="42" spans="1:10 16384:16384" s="555" customFormat="1" ht="19.899999999999999" customHeight="1">
      <c r="A42" s="826"/>
      <c r="B42" s="544" t="s">
        <v>602</v>
      </c>
      <c r="C42" s="827">
        <v>1</v>
      </c>
      <c r="D42" s="827">
        <v>1</v>
      </c>
      <c r="E42" s="826">
        <v>1.96</v>
      </c>
      <c r="F42" s="826">
        <v>0.23</v>
      </c>
      <c r="G42" s="826">
        <v>0.23</v>
      </c>
      <c r="H42" s="826">
        <v>0.09</v>
      </c>
      <c r="I42" s="828"/>
    </row>
    <row r="43" spans="1:10 16384:16384" ht="19.899999999999999" customHeight="1">
      <c r="A43" s="829"/>
      <c r="B43" s="830"/>
      <c r="C43" s="831"/>
      <c r="D43" s="831"/>
      <c r="E43" s="829"/>
      <c r="F43" s="829"/>
      <c r="G43" s="829"/>
      <c r="H43" s="829">
        <f>SUM(H39:H42)</f>
        <v>3.5964899999999997</v>
      </c>
      <c r="I43" s="810">
        <f>SUM(H40:H41)</f>
        <v>1.3502399999999999</v>
      </c>
    </row>
    <row r="44" spans="1:10 16384:16384" s="822" customFormat="1" ht="19.899999999999999" customHeight="1">
      <c r="A44" s="820"/>
      <c r="B44" s="544"/>
      <c r="C44" s="825"/>
      <c r="D44" s="825"/>
      <c r="E44" s="821"/>
      <c r="F44" s="834" t="s">
        <v>15</v>
      </c>
      <c r="G44" s="834">
        <f>H43</f>
        <v>3.5964899999999997</v>
      </c>
      <c r="H44" s="837" t="s">
        <v>16</v>
      </c>
      <c r="XFD44" s="822">
        <f>SUM(A44:XFC44)</f>
        <v>3.5964899999999997</v>
      </c>
    </row>
    <row r="45" spans="1:10 16384:16384" s="822" customFormat="1" ht="19.899999999999999" customHeight="1">
      <c r="A45" s="833">
        <v>18.100000000000001</v>
      </c>
      <c r="B45" s="544" t="s">
        <v>30</v>
      </c>
      <c r="C45" s="825"/>
      <c r="D45" s="825"/>
      <c r="E45" s="821"/>
      <c r="F45" s="834"/>
      <c r="G45" s="834"/>
      <c r="H45" s="834"/>
    </row>
    <row r="46" spans="1:10 16384:16384" s="822" customFormat="1" ht="34.9" customHeight="1">
      <c r="A46" s="821"/>
      <c r="B46" s="1520" t="s">
        <v>1055</v>
      </c>
      <c r="C46" s="1521"/>
      <c r="D46" s="1521"/>
      <c r="E46" s="1521"/>
      <c r="F46" s="1521"/>
      <c r="G46" s="1522"/>
      <c r="H46" s="834"/>
    </row>
    <row r="47" spans="1:10 16384:16384" s="822" customFormat="1" ht="19.899999999999999" customHeight="1">
      <c r="A47" s="821"/>
      <c r="B47" s="544" t="s">
        <v>32</v>
      </c>
      <c r="C47" s="825">
        <v>1</v>
      </c>
      <c r="D47" s="825">
        <v>1</v>
      </c>
      <c r="E47" s="821">
        <v>4.75</v>
      </c>
      <c r="F47" s="821">
        <v>1.5</v>
      </c>
      <c r="G47" s="839" t="s">
        <v>36</v>
      </c>
      <c r="H47" s="821">
        <f t="shared" ref="H47:H51" si="2">PRODUCT(C47:G47)</f>
        <v>7.125</v>
      </c>
    </row>
    <row r="48" spans="1:10 16384:16384" s="822" customFormat="1" ht="19.899999999999999" customHeight="1">
      <c r="A48" s="821"/>
      <c r="B48" s="544" t="s">
        <v>33</v>
      </c>
      <c r="C48" s="825">
        <v>1</v>
      </c>
      <c r="D48" s="825">
        <v>1</v>
      </c>
      <c r="E48" s="821">
        <v>13.84</v>
      </c>
      <c r="F48" s="839" t="s">
        <v>36</v>
      </c>
      <c r="G48" s="821">
        <v>0.15</v>
      </c>
      <c r="H48" s="821">
        <f t="shared" si="2"/>
        <v>2.0760000000000001</v>
      </c>
      <c r="I48" s="822">
        <f>E47+0.46</f>
        <v>5.21</v>
      </c>
      <c r="J48" s="822">
        <f>F47+0.46</f>
        <v>1.96</v>
      </c>
    </row>
    <row r="49" spans="1:9" s="822" customFormat="1" ht="19.899999999999999" customHeight="1">
      <c r="A49" s="821"/>
      <c r="B49" s="544" t="s">
        <v>628</v>
      </c>
      <c r="C49" s="825">
        <v>1</v>
      </c>
      <c r="D49" s="825">
        <v>-2</v>
      </c>
      <c r="E49" s="821">
        <v>0.6</v>
      </c>
      <c r="F49" s="821">
        <v>0.6</v>
      </c>
      <c r="G49" s="839" t="s">
        <v>36</v>
      </c>
      <c r="H49" s="821">
        <f t="shared" si="2"/>
        <v>-0.72</v>
      </c>
    </row>
    <row r="50" spans="1:9" s="822" customFormat="1" ht="19.899999999999999" customHeight="1">
      <c r="A50" s="821"/>
      <c r="B50" s="544" t="s">
        <v>34</v>
      </c>
      <c r="C50" s="825">
        <v>1</v>
      </c>
      <c r="D50" s="825">
        <v>2</v>
      </c>
      <c r="E50" s="821">
        <f>0.6*4</f>
        <v>2.4</v>
      </c>
      <c r="F50" s="839" t="s">
        <v>36</v>
      </c>
      <c r="G50" s="821">
        <v>0.15</v>
      </c>
      <c r="H50" s="821">
        <f t="shared" si="2"/>
        <v>0.72</v>
      </c>
    </row>
    <row r="51" spans="1:9" s="822" customFormat="1" ht="19.899999999999999" customHeight="1">
      <c r="A51" s="821"/>
      <c r="B51" s="544" t="s">
        <v>35</v>
      </c>
      <c r="C51" s="825">
        <v>1</v>
      </c>
      <c r="D51" s="825">
        <v>1</v>
      </c>
      <c r="E51" s="821">
        <v>3</v>
      </c>
      <c r="F51" s="839" t="s">
        <v>36</v>
      </c>
      <c r="G51" s="821">
        <f>0.23+0.3+0.3</f>
        <v>0.83000000000000007</v>
      </c>
      <c r="H51" s="821">
        <f t="shared" si="2"/>
        <v>2.4900000000000002</v>
      </c>
    </row>
    <row r="52" spans="1:9" ht="19.899999999999999" customHeight="1">
      <c r="A52" s="829"/>
      <c r="B52" s="830"/>
      <c r="C52" s="831"/>
      <c r="D52" s="831"/>
      <c r="E52" s="829"/>
      <c r="F52" s="829"/>
      <c r="G52" s="829"/>
      <c r="H52" s="829">
        <v>0.01</v>
      </c>
    </row>
    <row r="53" spans="1:9" ht="19.899999999999999" customHeight="1">
      <c r="A53" s="829"/>
      <c r="B53" s="830"/>
      <c r="C53" s="831"/>
      <c r="D53" s="831"/>
      <c r="E53" s="829"/>
      <c r="F53" s="829"/>
      <c r="G53" s="829"/>
      <c r="H53" s="829">
        <f>SUM(H47:H52)</f>
        <v>11.701000000000001</v>
      </c>
    </row>
    <row r="54" spans="1:9" s="822" customFormat="1" ht="19.899999999999999" customHeight="1">
      <c r="A54" s="820"/>
      <c r="B54" s="544"/>
      <c r="C54" s="825"/>
      <c r="D54" s="825"/>
      <c r="E54" s="821"/>
      <c r="F54" s="834" t="s">
        <v>15</v>
      </c>
      <c r="G54" s="834">
        <f>H53</f>
        <v>11.701000000000001</v>
      </c>
      <c r="H54" s="837" t="s">
        <v>37</v>
      </c>
    </row>
    <row r="55" spans="1:9" s="822" customFormat="1" ht="34.9" customHeight="1">
      <c r="A55" s="833">
        <v>53.4</v>
      </c>
      <c r="B55" s="544" t="s">
        <v>38</v>
      </c>
      <c r="C55" s="825">
        <v>1</v>
      </c>
      <c r="D55" s="825">
        <v>2</v>
      </c>
      <c r="E55" s="839" t="s">
        <v>36</v>
      </c>
      <c r="F55" s="839" t="s">
        <v>36</v>
      </c>
      <c r="G55" s="839" t="s">
        <v>36</v>
      </c>
      <c r="H55" s="821">
        <f>PRODUCT(C55:G55)</f>
        <v>2</v>
      </c>
    </row>
    <row r="56" spans="1:9" s="822" customFormat="1" ht="19.899999999999999" customHeight="1">
      <c r="A56" s="821"/>
      <c r="B56" s="544"/>
      <c r="C56" s="825"/>
      <c r="D56" s="825"/>
      <c r="E56" s="821"/>
      <c r="F56" s="834" t="s">
        <v>15</v>
      </c>
      <c r="G56" s="834">
        <f>+H55</f>
        <v>2</v>
      </c>
      <c r="H56" s="837" t="s">
        <v>4</v>
      </c>
    </row>
    <row r="57" spans="1:9" s="822" customFormat="1" ht="34.9" customHeight="1">
      <c r="A57" s="821" t="s">
        <v>39</v>
      </c>
      <c r="B57" s="544" t="s">
        <v>40</v>
      </c>
      <c r="C57" s="825"/>
      <c r="D57" s="825"/>
      <c r="E57" s="821"/>
      <c r="F57" s="821"/>
      <c r="G57" s="840"/>
      <c r="H57" s="821"/>
    </row>
    <row r="58" spans="1:9" s="822" customFormat="1" ht="19.899999999999999" customHeight="1">
      <c r="A58" s="821"/>
      <c r="B58" s="544" t="s">
        <v>41</v>
      </c>
      <c r="C58" s="825">
        <v>1</v>
      </c>
      <c r="D58" s="825">
        <v>2</v>
      </c>
      <c r="E58" s="821">
        <v>0.83</v>
      </c>
      <c r="F58" s="821">
        <v>1.06</v>
      </c>
      <c r="G58" s="839" t="s">
        <v>36</v>
      </c>
      <c r="H58" s="821">
        <f>PRODUCT(C58:G58)</f>
        <v>1.7596000000000001</v>
      </c>
    </row>
    <row r="59" spans="1:9" ht="19.899999999999999" customHeight="1">
      <c r="A59" s="829"/>
      <c r="B59" s="830" t="s">
        <v>14</v>
      </c>
      <c r="C59" s="831"/>
      <c r="D59" s="831"/>
      <c r="E59" s="829"/>
      <c r="F59" s="829"/>
      <c r="G59" s="829"/>
      <c r="H59" s="829">
        <f>I60-I59</f>
        <v>4.0399999999999991E-2</v>
      </c>
      <c r="I59" s="810">
        <f>SUM(H58)</f>
        <v>1.7596000000000001</v>
      </c>
    </row>
    <row r="60" spans="1:9" ht="19.899999999999999" customHeight="1">
      <c r="A60" s="829"/>
      <c r="B60" s="830"/>
      <c r="C60" s="831"/>
      <c r="D60" s="831"/>
      <c r="E60" s="829"/>
      <c r="F60" s="829"/>
      <c r="G60" s="829"/>
      <c r="H60" s="832">
        <f>SUM(H58:H59)</f>
        <v>1.8</v>
      </c>
      <c r="I60" s="810">
        <f>ROUNDUP(I59,1)</f>
        <v>1.8</v>
      </c>
    </row>
    <row r="61" spans="1:9" s="822" customFormat="1" ht="19.899999999999999" customHeight="1">
      <c r="A61" s="820"/>
      <c r="B61" s="544"/>
      <c r="C61" s="825"/>
      <c r="D61" s="825"/>
      <c r="E61" s="821"/>
      <c r="F61" s="834" t="s">
        <v>15</v>
      </c>
      <c r="G61" s="834">
        <f>+H60</f>
        <v>1.8</v>
      </c>
      <c r="H61" s="837" t="s">
        <v>37</v>
      </c>
    </row>
    <row r="62" spans="1:9" s="822" customFormat="1" ht="19.899999999999999" customHeight="1">
      <c r="A62" s="833">
        <v>28</v>
      </c>
      <c r="B62" s="544" t="s">
        <v>42</v>
      </c>
      <c r="C62" s="825"/>
      <c r="D62" s="825"/>
      <c r="E62" s="821"/>
      <c r="F62" s="821"/>
      <c r="G62" s="821"/>
      <c r="H62" s="821"/>
    </row>
    <row r="63" spans="1:9" s="555" customFormat="1" ht="19.899999999999999" customHeight="1">
      <c r="A63" s="826"/>
      <c r="B63" s="823" t="s">
        <v>603</v>
      </c>
      <c r="C63" s="827">
        <v>1</v>
      </c>
      <c r="D63" s="827">
        <v>2</v>
      </c>
      <c r="E63" s="826">
        <v>0.6</v>
      </c>
      <c r="F63" s="826">
        <v>0.6</v>
      </c>
      <c r="G63" s="839" t="s">
        <v>36</v>
      </c>
      <c r="H63" s="821">
        <f>PRODUCT(C63:G63)</f>
        <v>0.72</v>
      </c>
      <c r="I63" s="828"/>
    </row>
    <row r="64" spans="1:9" ht="19.899999999999999" customHeight="1">
      <c r="A64" s="829"/>
      <c r="B64" s="830"/>
      <c r="C64" s="831"/>
      <c r="D64" s="831"/>
      <c r="E64" s="829"/>
      <c r="F64" s="829"/>
      <c r="G64" s="829"/>
      <c r="H64" s="829">
        <v>0.08</v>
      </c>
    </row>
    <row r="65" spans="1:9" ht="19.899999999999999" customHeight="1">
      <c r="A65" s="829"/>
      <c r="B65" s="830"/>
      <c r="C65" s="831"/>
      <c r="D65" s="831"/>
      <c r="E65" s="829"/>
      <c r="F65" s="829"/>
      <c r="G65" s="832" t="s">
        <v>15</v>
      </c>
      <c r="H65" s="832">
        <f>SUM(H63:H64)</f>
        <v>0.79999999999999993</v>
      </c>
    </row>
    <row r="66" spans="1:9" s="822" customFormat="1" ht="19.899999999999999" customHeight="1">
      <c r="A66" s="820">
        <v>33</v>
      </c>
      <c r="B66" s="544" t="s">
        <v>43</v>
      </c>
      <c r="C66" s="825"/>
      <c r="D66" s="825"/>
      <c r="E66" s="821"/>
      <c r="F66" s="821"/>
      <c r="G66" s="821"/>
      <c r="H66" s="821"/>
    </row>
    <row r="67" spans="1:9" s="555" customFormat="1" ht="19.899999999999999" customHeight="1">
      <c r="A67" s="826"/>
      <c r="B67" s="544" t="s">
        <v>44</v>
      </c>
      <c r="C67" s="827"/>
      <c r="D67" s="827"/>
      <c r="E67" s="826"/>
      <c r="F67" s="826"/>
      <c r="G67" s="826"/>
      <c r="H67" s="826"/>
      <c r="I67" s="828"/>
    </row>
    <row r="68" spans="1:9" s="555" customFormat="1" ht="19.899999999999999" customHeight="1">
      <c r="A68" s="826"/>
      <c r="B68" s="544" t="s">
        <v>24</v>
      </c>
      <c r="C68" s="827">
        <v>1</v>
      </c>
      <c r="D68" s="827">
        <v>1</v>
      </c>
      <c r="E68" s="826">
        <v>16.100000000000001</v>
      </c>
      <c r="F68" s="839" t="s">
        <v>36</v>
      </c>
      <c r="G68" s="826">
        <v>0.9</v>
      </c>
      <c r="H68" s="826">
        <v>9.4499999999999993</v>
      </c>
      <c r="I68" s="828"/>
    </row>
    <row r="69" spans="1:9" s="555" customFormat="1" ht="19.899999999999999" customHeight="1">
      <c r="A69" s="826"/>
      <c r="B69" s="544" t="s">
        <v>25</v>
      </c>
      <c r="C69" s="827">
        <v>1</v>
      </c>
      <c r="D69" s="827">
        <v>1</v>
      </c>
      <c r="E69" s="826">
        <v>15.22</v>
      </c>
      <c r="F69" s="839" t="s">
        <v>36</v>
      </c>
      <c r="G69" s="826">
        <v>0.8</v>
      </c>
      <c r="H69" s="826">
        <v>10.55</v>
      </c>
      <c r="I69" s="828"/>
    </row>
    <row r="70" spans="1:9" s="555" customFormat="1" ht="19.899999999999999" customHeight="1">
      <c r="A70" s="826"/>
      <c r="B70" s="544" t="s">
        <v>26</v>
      </c>
      <c r="C70" s="827">
        <v>1</v>
      </c>
      <c r="D70" s="827">
        <v>1</v>
      </c>
      <c r="E70" s="826">
        <v>13.84</v>
      </c>
      <c r="F70" s="839" t="s">
        <v>36</v>
      </c>
      <c r="G70" s="826">
        <v>0.3</v>
      </c>
      <c r="H70" s="826">
        <v>7.59</v>
      </c>
      <c r="I70" s="828"/>
    </row>
    <row r="71" spans="1:9" s="555" customFormat="1" ht="19.899999999999999" customHeight="1">
      <c r="A71" s="826"/>
      <c r="B71" s="544" t="s">
        <v>45</v>
      </c>
      <c r="C71" s="827">
        <v>1</v>
      </c>
      <c r="D71" s="827">
        <v>1</v>
      </c>
      <c r="E71" s="826">
        <v>16.100000000000001</v>
      </c>
      <c r="F71" s="826">
        <v>0.11</v>
      </c>
      <c r="G71" s="839" t="s">
        <v>36</v>
      </c>
      <c r="H71" s="826">
        <v>1.39</v>
      </c>
      <c r="I71" s="828"/>
    </row>
    <row r="72" spans="1:9" s="555" customFormat="1" ht="19.899999999999999" customHeight="1">
      <c r="A72" s="826"/>
      <c r="B72" s="544" t="s">
        <v>46</v>
      </c>
      <c r="C72" s="827">
        <v>1</v>
      </c>
      <c r="D72" s="827">
        <v>1</v>
      </c>
      <c r="E72" s="826">
        <v>15.22</v>
      </c>
      <c r="F72" s="826">
        <v>0.11</v>
      </c>
      <c r="G72" s="839" t="s">
        <v>36</v>
      </c>
      <c r="H72" s="826">
        <v>1.29</v>
      </c>
      <c r="I72" s="828"/>
    </row>
    <row r="73" spans="1:9" s="555" customFormat="1" ht="19.899999999999999" customHeight="1">
      <c r="A73" s="826"/>
      <c r="B73" s="544" t="s">
        <v>47</v>
      </c>
      <c r="C73" s="827">
        <v>1</v>
      </c>
      <c r="D73" s="827">
        <v>7</v>
      </c>
      <c r="E73" s="826">
        <v>4.24</v>
      </c>
      <c r="F73" s="839" t="s">
        <v>36</v>
      </c>
      <c r="G73" s="826">
        <v>0.6</v>
      </c>
      <c r="H73" s="826">
        <v>17.809999999999999</v>
      </c>
      <c r="I73" s="828"/>
    </row>
    <row r="74" spans="1:9" s="555" customFormat="1" ht="19.899999999999999" customHeight="1">
      <c r="A74" s="826"/>
      <c r="B74" s="544"/>
      <c r="C74" s="827"/>
      <c r="D74" s="827"/>
      <c r="E74" s="826"/>
      <c r="F74" s="826"/>
      <c r="G74" s="826"/>
      <c r="H74" s="826">
        <v>0.02</v>
      </c>
      <c r="I74" s="828"/>
    </row>
    <row r="75" spans="1:9" s="555" customFormat="1" ht="19.899999999999999" customHeight="1">
      <c r="A75" s="826"/>
      <c r="B75" s="544"/>
      <c r="C75" s="827"/>
      <c r="D75" s="827"/>
      <c r="E75" s="826"/>
      <c r="F75" s="826"/>
      <c r="G75" s="841" t="s">
        <v>15</v>
      </c>
      <c r="H75" s="841">
        <f>SUM(H68:H74)</f>
        <v>48.1</v>
      </c>
      <c r="I75" s="828"/>
    </row>
    <row r="76" spans="1:9" s="822" customFormat="1" ht="19.899999999999999" customHeight="1">
      <c r="A76" s="820">
        <v>34</v>
      </c>
      <c r="B76" s="544" t="s">
        <v>48</v>
      </c>
      <c r="C76" s="825"/>
      <c r="D76" s="825"/>
      <c r="E76" s="821"/>
      <c r="F76" s="821"/>
      <c r="G76" s="821"/>
      <c r="H76" s="834"/>
    </row>
    <row r="77" spans="1:9" s="555" customFormat="1" ht="19.899999999999999" customHeight="1">
      <c r="A77" s="826"/>
      <c r="B77" s="544" t="s">
        <v>49</v>
      </c>
      <c r="C77" s="827">
        <v>1</v>
      </c>
      <c r="D77" s="827">
        <v>1</v>
      </c>
      <c r="E77" s="826">
        <v>12.5</v>
      </c>
      <c r="F77" s="839" t="s">
        <v>36</v>
      </c>
      <c r="G77" s="826">
        <v>2</v>
      </c>
      <c r="H77" s="826">
        <v>21.15</v>
      </c>
      <c r="I77" s="828"/>
    </row>
    <row r="78" spans="1:9" s="555" customFormat="1" ht="19.899999999999999" customHeight="1">
      <c r="A78" s="826"/>
      <c r="B78" s="544" t="s">
        <v>50</v>
      </c>
      <c r="C78" s="827">
        <v>1</v>
      </c>
      <c r="D78" s="827">
        <v>2</v>
      </c>
      <c r="E78" s="826">
        <v>1.5</v>
      </c>
      <c r="F78" s="839" t="s">
        <v>36</v>
      </c>
      <c r="G78" s="826">
        <v>2</v>
      </c>
      <c r="H78" s="826">
        <v>6</v>
      </c>
      <c r="I78" s="828"/>
    </row>
    <row r="79" spans="1:9" s="555" customFormat="1" ht="19.899999999999999" customHeight="1">
      <c r="A79" s="826"/>
      <c r="B79" s="544" t="s">
        <v>50</v>
      </c>
      <c r="C79" s="827">
        <v>1</v>
      </c>
      <c r="D79" s="827">
        <v>2</v>
      </c>
      <c r="E79" s="826">
        <v>1.5</v>
      </c>
      <c r="F79" s="839" t="s">
        <v>36</v>
      </c>
      <c r="G79" s="826">
        <v>1</v>
      </c>
      <c r="H79" s="826">
        <v>3</v>
      </c>
      <c r="I79" s="828"/>
    </row>
    <row r="80" spans="1:9" s="555" customFormat="1" ht="19.899999999999999" customHeight="1">
      <c r="A80" s="826"/>
      <c r="B80" s="544" t="s">
        <v>51</v>
      </c>
      <c r="C80" s="827">
        <v>1</v>
      </c>
      <c r="D80" s="827">
        <v>2</v>
      </c>
      <c r="E80" s="826">
        <v>1.5</v>
      </c>
      <c r="F80" s="826">
        <v>0.115</v>
      </c>
      <c r="G80" s="839" t="s">
        <v>36</v>
      </c>
      <c r="H80" s="826">
        <v>0.35</v>
      </c>
      <c r="I80" s="828"/>
    </row>
    <row r="81" spans="1:8" s="822" customFormat="1" ht="19.899999999999999" customHeight="1">
      <c r="A81" s="820"/>
      <c r="B81" s="544" t="s">
        <v>52</v>
      </c>
      <c r="C81" s="825">
        <v>1</v>
      </c>
      <c r="D81" s="825">
        <v>1</v>
      </c>
      <c r="E81" s="821">
        <v>4.75</v>
      </c>
      <c r="F81" s="821">
        <v>1.5</v>
      </c>
      <c r="G81" s="839" t="s">
        <v>36</v>
      </c>
      <c r="H81" s="821">
        <f t="shared" ref="H81:H83" si="3">PRODUCT(C81:G81)</f>
        <v>7.125</v>
      </c>
    </row>
    <row r="82" spans="1:8" s="822" customFormat="1" ht="19.899999999999999" customHeight="1">
      <c r="A82" s="820"/>
      <c r="B82" s="544" t="s">
        <v>604</v>
      </c>
      <c r="C82" s="825">
        <v>1</v>
      </c>
      <c r="D82" s="825">
        <v>2</v>
      </c>
      <c r="E82" s="821">
        <v>2.4</v>
      </c>
      <c r="F82" s="821">
        <v>0.6</v>
      </c>
      <c r="G82" s="839" t="s">
        <v>36</v>
      </c>
      <c r="H82" s="821">
        <f t="shared" si="3"/>
        <v>2.88</v>
      </c>
    </row>
    <row r="83" spans="1:8" s="822" customFormat="1" ht="19.899999999999999" customHeight="1">
      <c r="A83" s="820"/>
      <c r="B83" s="544" t="s">
        <v>51</v>
      </c>
      <c r="C83" s="825">
        <v>1</v>
      </c>
      <c r="D83" s="825">
        <v>1</v>
      </c>
      <c r="E83" s="821">
        <v>2.2599999999999998</v>
      </c>
      <c r="F83" s="821">
        <v>0.23</v>
      </c>
      <c r="G83" s="839"/>
      <c r="H83" s="821">
        <f t="shared" si="3"/>
        <v>0.51979999999999993</v>
      </c>
    </row>
    <row r="84" spans="1:8" s="822" customFormat="1" ht="19.899999999999999" customHeight="1">
      <c r="A84" s="820"/>
      <c r="B84" s="544"/>
      <c r="C84" s="825"/>
      <c r="D84" s="825"/>
      <c r="E84" s="821"/>
      <c r="F84" s="821"/>
      <c r="G84" s="821"/>
      <c r="H84" s="821">
        <v>0.08</v>
      </c>
    </row>
    <row r="85" spans="1:8" s="822" customFormat="1" ht="19.899999999999999" customHeight="1">
      <c r="A85" s="820"/>
      <c r="B85" s="544"/>
      <c r="C85" s="825"/>
      <c r="D85" s="825"/>
      <c r="E85" s="821"/>
      <c r="F85" s="821"/>
      <c r="G85" s="834" t="s">
        <v>15</v>
      </c>
      <c r="H85" s="834">
        <f>SUM(H77:H84)</f>
        <v>41.104799999999997</v>
      </c>
    </row>
    <row r="86" spans="1:8" s="822" customFormat="1" ht="19.899999999999999" customHeight="1">
      <c r="A86" s="820">
        <v>58.5</v>
      </c>
      <c r="B86" s="1517" t="s">
        <v>53</v>
      </c>
      <c r="C86" s="1518"/>
      <c r="D86" s="1518"/>
      <c r="E86" s="1518"/>
      <c r="F86" s="1518"/>
      <c r="G86" s="1519"/>
      <c r="H86" s="821"/>
    </row>
    <row r="87" spans="1:8" s="822" customFormat="1" ht="19.899999999999999" customHeight="1">
      <c r="A87" s="820"/>
      <c r="B87" s="544" t="s">
        <v>13</v>
      </c>
      <c r="C87" s="825">
        <v>1</v>
      </c>
      <c r="D87" s="825">
        <v>1</v>
      </c>
      <c r="E87" s="821"/>
      <c r="F87" s="821"/>
      <c r="G87" s="821"/>
      <c r="H87" s="821">
        <f>PRODUCT(C87:G87)</f>
        <v>1</v>
      </c>
    </row>
    <row r="88" spans="1:8" s="822" customFormat="1" ht="19.899999999999999" customHeight="1">
      <c r="A88" s="820"/>
      <c r="B88" s="544"/>
      <c r="C88" s="825"/>
      <c r="D88" s="825"/>
      <c r="E88" s="821"/>
      <c r="F88" s="834" t="s">
        <v>15</v>
      </c>
      <c r="G88" s="834">
        <f>+H87</f>
        <v>1</v>
      </c>
      <c r="H88" s="837" t="s">
        <v>54</v>
      </c>
    </row>
    <row r="89" spans="1:8" s="822" customFormat="1" ht="19.899999999999999" customHeight="1">
      <c r="A89" s="820">
        <v>43.1</v>
      </c>
      <c r="B89" s="1517" t="s">
        <v>579</v>
      </c>
      <c r="C89" s="1518"/>
      <c r="D89" s="1518"/>
      <c r="E89" s="1518"/>
      <c r="F89" s="1518"/>
      <c r="G89" s="1519"/>
      <c r="H89" s="821"/>
    </row>
    <row r="90" spans="1:8" s="822" customFormat="1" ht="19.899999999999999" customHeight="1">
      <c r="A90" s="820"/>
      <c r="B90" s="544" t="s">
        <v>1197</v>
      </c>
      <c r="C90" s="1508">
        <f>+G44</f>
        <v>3.5964899999999997</v>
      </c>
      <c r="D90" s="1508"/>
      <c r="E90" s="821"/>
      <c r="F90" s="821"/>
      <c r="G90" s="821">
        <f>C90</f>
        <v>3.5964899999999997</v>
      </c>
      <c r="H90" s="821"/>
    </row>
    <row r="91" spans="1:8" s="822" customFormat="1" ht="19.899999999999999" customHeight="1">
      <c r="A91" s="820"/>
      <c r="B91" s="544" t="s">
        <v>1198</v>
      </c>
      <c r="C91" s="1508">
        <f>+G61</f>
        <v>1.8</v>
      </c>
      <c r="D91" s="1508"/>
      <c r="E91" s="545" t="s">
        <v>56</v>
      </c>
      <c r="F91" s="821">
        <v>0.04</v>
      </c>
      <c r="G91" s="821">
        <f>F91*C91</f>
        <v>7.2000000000000008E-2</v>
      </c>
      <c r="H91" s="821"/>
    </row>
    <row r="92" spans="1:8" s="822" customFormat="1" ht="19.899999999999999" customHeight="1">
      <c r="A92" s="820"/>
      <c r="B92" s="544"/>
      <c r="C92" s="825"/>
      <c r="D92" s="825"/>
      <c r="E92" s="1509" t="s">
        <v>57</v>
      </c>
      <c r="F92" s="1509"/>
      <c r="G92" s="821">
        <f>SUM(G90:G91)</f>
        <v>3.6684899999999998</v>
      </c>
      <c r="H92" s="544" t="s">
        <v>16</v>
      </c>
    </row>
    <row r="93" spans="1:8" s="822" customFormat="1" ht="19.899999999999999" customHeight="1">
      <c r="A93" s="820"/>
      <c r="B93" s="544"/>
      <c r="C93" s="1508">
        <f>G92</f>
        <v>3.6684899999999998</v>
      </c>
      <c r="D93" s="1508"/>
      <c r="E93" s="545" t="s">
        <v>56</v>
      </c>
      <c r="F93" s="821">
        <v>100</v>
      </c>
      <c r="G93" s="544" t="s">
        <v>577</v>
      </c>
      <c r="H93" s="821">
        <f>F93*C93</f>
        <v>366.84899999999999</v>
      </c>
    </row>
    <row r="94" spans="1:8" s="822" customFormat="1" ht="19.899999999999999" customHeight="1">
      <c r="A94" s="820"/>
      <c r="B94" s="544"/>
      <c r="C94" s="825"/>
      <c r="D94" s="825"/>
      <c r="E94" s="821"/>
      <c r="F94" s="834" t="s">
        <v>15</v>
      </c>
      <c r="G94" s="842">
        <f>H93/1000</f>
        <v>0.36684899999999998</v>
      </c>
      <c r="H94" s="837" t="s">
        <v>58</v>
      </c>
    </row>
    <row r="95" spans="1:8" s="822" customFormat="1" ht="19.899999999999999" customHeight="1">
      <c r="A95" s="820">
        <v>61.1</v>
      </c>
      <c r="B95" s="544" t="s">
        <v>59</v>
      </c>
      <c r="C95" s="825"/>
      <c r="D95" s="825"/>
      <c r="E95" s="821"/>
      <c r="F95" s="821"/>
      <c r="G95" s="821"/>
      <c r="H95" s="821"/>
    </row>
    <row r="96" spans="1:8" s="822" customFormat="1" ht="19.899999999999999" customHeight="1">
      <c r="A96" s="820"/>
      <c r="B96" s="544" t="s">
        <v>605</v>
      </c>
      <c r="C96" s="825"/>
      <c r="D96" s="825"/>
      <c r="E96" s="821"/>
      <c r="F96" s="821"/>
      <c r="G96" s="821"/>
      <c r="H96" s="821"/>
    </row>
    <row r="97" spans="1:9" s="822" customFormat="1" ht="19.899999999999999" customHeight="1">
      <c r="A97" s="820"/>
      <c r="B97" s="544" t="s">
        <v>60</v>
      </c>
      <c r="C97" s="825">
        <v>1</v>
      </c>
      <c r="D97" s="825">
        <v>1</v>
      </c>
      <c r="E97" s="821">
        <v>15</v>
      </c>
      <c r="F97" s="839" t="s">
        <v>36</v>
      </c>
      <c r="G97" s="839" t="s">
        <v>36</v>
      </c>
      <c r="H97" s="821">
        <f>PRODUCT(C97:G97)</f>
        <v>15</v>
      </c>
    </row>
    <row r="98" spans="1:9" s="822" customFormat="1" ht="19.899999999999999" customHeight="1">
      <c r="A98" s="820"/>
      <c r="B98" s="544" t="s">
        <v>60</v>
      </c>
      <c r="C98" s="825">
        <v>1</v>
      </c>
      <c r="D98" s="825">
        <v>1</v>
      </c>
      <c r="E98" s="821">
        <v>14</v>
      </c>
      <c r="F98" s="839" t="s">
        <v>36</v>
      </c>
      <c r="G98" s="839" t="s">
        <v>36</v>
      </c>
      <c r="H98" s="821">
        <f>PRODUCT(C98:G98)</f>
        <v>14</v>
      </c>
    </row>
    <row r="99" spans="1:9" s="822" customFormat="1" ht="19.899999999999999" customHeight="1">
      <c r="A99" s="820"/>
      <c r="B99" s="544" t="s">
        <v>606</v>
      </c>
      <c r="C99" s="825">
        <v>1</v>
      </c>
      <c r="D99" s="825">
        <v>1</v>
      </c>
      <c r="E99" s="821">
        <v>11</v>
      </c>
      <c r="F99" s="839" t="s">
        <v>36</v>
      </c>
      <c r="G99" s="839" t="s">
        <v>36</v>
      </c>
      <c r="H99" s="821">
        <f>PRODUCT(C99:G99)</f>
        <v>11</v>
      </c>
    </row>
    <row r="100" spans="1:9" ht="19.899999999999999" customHeight="1">
      <c r="A100" s="829"/>
      <c r="B100" s="830"/>
      <c r="C100" s="831"/>
      <c r="D100" s="831"/>
      <c r="E100" s="829"/>
      <c r="F100" s="829"/>
      <c r="G100" s="829"/>
      <c r="H100" s="829">
        <f>SUM(H97:H99)</f>
        <v>40</v>
      </c>
      <c r="I100" s="810" t="e">
        <f>ROUNDUP(#REF!,1)</f>
        <v>#REF!</v>
      </c>
    </row>
    <row r="101" spans="1:9" s="822" customFormat="1" ht="19.899999999999999" customHeight="1">
      <c r="A101" s="820"/>
      <c r="B101" s="544"/>
      <c r="C101" s="825"/>
      <c r="D101" s="825"/>
      <c r="E101" s="821"/>
      <c r="F101" s="834" t="s">
        <v>15</v>
      </c>
      <c r="G101" s="834">
        <f>+H100</f>
        <v>40</v>
      </c>
      <c r="H101" s="837" t="s">
        <v>61</v>
      </c>
    </row>
    <row r="102" spans="1:9" s="822" customFormat="1" ht="19.899999999999999" customHeight="1">
      <c r="A102" s="820"/>
      <c r="B102" s="544" t="s">
        <v>62</v>
      </c>
      <c r="C102" s="825"/>
      <c r="D102" s="825"/>
      <c r="E102" s="821"/>
      <c r="F102" s="834"/>
      <c r="G102" s="834"/>
      <c r="H102" s="834"/>
    </row>
    <row r="103" spans="1:9" s="822" customFormat="1" ht="19.899999999999999" customHeight="1">
      <c r="A103" s="820"/>
      <c r="B103" s="544" t="s">
        <v>1196</v>
      </c>
      <c r="C103" s="825">
        <v>1</v>
      </c>
      <c r="D103" s="825">
        <v>1</v>
      </c>
      <c r="E103" s="821">
        <v>10</v>
      </c>
      <c r="F103" s="839" t="s">
        <v>36</v>
      </c>
      <c r="G103" s="839" t="s">
        <v>36</v>
      </c>
      <c r="H103" s="821">
        <f>PRODUCT(C103:G103)</f>
        <v>10</v>
      </c>
    </row>
    <row r="104" spans="1:9" s="822" customFormat="1" ht="19.899999999999999" customHeight="1">
      <c r="A104" s="820"/>
      <c r="B104" s="544"/>
      <c r="C104" s="825"/>
      <c r="D104" s="825"/>
      <c r="E104" s="821"/>
      <c r="F104" s="834" t="s">
        <v>15</v>
      </c>
      <c r="G104" s="834">
        <f>+H103</f>
        <v>10</v>
      </c>
      <c r="H104" s="837" t="s">
        <v>61</v>
      </c>
    </row>
    <row r="105" spans="1:9" ht="19.899999999999999" customHeight="1">
      <c r="A105" s="829"/>
      <c r="B105" s="830"/>
      <c r="C105" s="831"/>
      <c r="D105" s="831"/>
      <c r="E105" s="829"/>
      <c r="F105" s="829"/>
      <c r="G105" s="829"/>
      <c r="H105" s="829"/>
    </row>
  </sheetData>
  <mergeCells count="15">
    <mergeCell ref="C91:D91"/>
    <mergeCell ref="E92:F92"/>
    <mergeCell ref="C93:D93"/>
    <mergeCell ref="A1:H1"/>
    <mergeCell ref="A2:H2"/>
    <mergeCell ref="A3:H3"/>
    <mergeCell ref="A5:H5"/>
    <mergeCell ref="C7:D7"/>
    <mergeCell ref="C90:D90"/>
    <mergeCell ref="B8:G8"/>
    <mergeCell ref="B29:G29"/>
    <mergeCell ref="B46:G46"/>
    <mergeCell ref="B86:G86"/>
    <mergeCell ref="B89:G89"/>
    <mergeCell ref="B38:G38"/>
  </mergeCells>
  <printOptions horizontalCentered="1"/>
  <pageMargins left="0.7" right="0.7" top="1" bottom="0.7" header="0.3" footer="0.3"/>
  <pageSetup paperSize="9" scale="96" orientation="portrait" r:id="rId1"/>
  <headerFooter>
    <oddHeader>&amp;C&amp;"-,Regular"&amp;8Page &amp;P of &amp;N</oddHeader>
  </headerFooter>
  <colBreaks count="1" manualBreakCount="1">
    <brk id="8" max="1048575" man="1"/>
  </colBreaks>
</worksheet>
</file>

<file path=xl/worksheets/sheet16.xml><?xml version="1.0" encoding="utf-8"?>
<worksheet xmlns="http://schemas.openxmlformats.org/spreadsheetml/2006/main" xmlns:r="http://schemas.openxmlformats.org/officeDocument/2006/relationships">
  <sheetPr>
    <tabColor rgb="FF92D050"/>
  </sheetPr>
  <dimension ref="A1:IU49"/>
  <sheetViews>
    <sheetView showZeros="0" view="pageBreakPreview" zoomScaleSheetLayoutView="100" workbookViewId="0">
      <selection sqref="A1:J1"/>
    </sheetView>
  </sheetViews>
  <sheetFormatPr defaultRowHeight="15"/>
  <cols>
    <col min="1" max="1" width="4" style="232" customWidth="1"/>
    <col min="2" max="2" width="27.77734375" style="248" customWidth="1"/>
    <col min="3" max="5" width="3.21875" style="249" customWidth="1"/>
    <col min="6" max="9" width="7.21875" style="263" customWidth="1"/>
    <col min="10" max="10" width="4.21875" style="265" customWidth="1"/>
    <col min="11" max="256" width="8.88671875" style="232"/>
    <col min="257" max="257" width="5.77734375" style="232" customWidth="1"/>
    <col min="258" max="258" width="30.77734375" style="232" customWidth="1"/>
    <col min="259" max="261" width="4.109375" style="232" customWidth="1"/>
    <col min="262" max="265" width="7.77734375" style="232" customWidth="1"/>
    <col min="266" max="512" width="8.88671875" style="232"/>
    <col min="513" max="513" width="5.77734375" style="232" customWidth="1"/>
    <col min="514" max="514" width="30.77734375" style="232" customWidth="1"/>
    <col min="515" max="517" width="4.109375" style="232" customWidth="1"/>
    <col min="518" max="521" width="7.77734375" style="232" customWidth="1"/>
    <col min="522" max="768" width="8.88671875" style="232"/>
    <col min="769" max="769" width="5.77734375" style="232" customWidth="1"/>
    <col min="770" max="770" width="30.77734375" style="232" customWidth="1"/>
    <col min="771" max="773" width="4.109375" style="232" customWidth="1"/>
    <col min="774" max="777" width="7.77734375" style="232" customWidth="1"/>
    <col min="778" max="1024" width="8.88671875" style="232"/>
    <col min="1025" max="1025" width="5.77734375" style="232" customWidth="1"/>
    <col min="1026" max="1026" width="30.77734375" style="232" customWidth="1"/>
    <col min="1027" max="1029" width="4.109375" style="232" customWidth="1"/>
    <col min="1030" max="1033" width="7.77734375" style="232" customWidth="1"/>
    <col min="1034" max="1280" width="8.88671875" style="232"/>
    <col min="1281" max="1281" width="5.77734375" style="232" customWidth="1"/>
    <col min="1282" max="1282" width="30.77734375" style="232" customWidth="1"/>
    <col min="1283" max="1285" width="4.109375" style="232" customWidth="1"/>
    <col min="1286" max="1289" width="7.77734375" style="232" customWidth="1"/>
    <col min="1290" max="1536" width="8.88671875" style="232"/>
    <col min="1537" max="1537" width="5.77734375" style="232" customWidth="1"/>
    <col min="1538" max="1538" width="30.77734375" style="232" customWidth="1"/>
    <col min="1539" max="1541" width="4.109375" style="232" customWidth="1"/>
    <col min="1542" max="1545" width="7.77734375" style="232" customWidth="1"/>
    <col min="1546" max="1792" width="8.88671875" style="232"/>
    <col min="1793" max="1793" width="5.77734375" style="232" customWidth="1"/>
    <col min="1794" max="1794" width="30.77734375" style="232" customWidth="1"/>
    <col min="1795" max="1797" width="4.109375" style="232" customWidth="1"/>
    <col min="1798" max="1801" width="7.77734375" style="232" customWidth="1"/>
    <col min="1802" max="2048" width="8.88671875" style="232"/>
    <col min="2049" max="2049" width="5.77734375" style="232" customWidth="1"/>
    <col min="2050" max="2050" width="30.77734375" style="232" customWidth="1"/>
    <col min="2051" max="2053" width="4.109375" style="232" customWidth="1"/>
    <col min="2054" max="2057" width="7.77734375" style="232" customWidth="1"/>
    <col min="2058" max="2304" width="8.88671875" style="232"/>
    <col min="2305" max="2305" width="5.77734375" style="232" customWidth="1"/>
    <col min="2306" max="2306" width="30.77734375" style="232" customWidth="1"/>
    <col min="2307" max="2309" width="4.109375" style="232" customWidth="1"/>
    <col min="2310" max="2313" width="7.77734375" style="232" customWidth="1"/>
    <col min="2314" max="2560" width="8.88671875" style="232"/>
    <col min="2561" max="2561" width="5.77734375" style="232" customWidth="1"/>
    <col min="2562" max="2562" width="30.77734375" style="232" customWidth="1"/>
    <col min="2563" max="2565" width="4.109375" style="232" customWidth="1"/>
    <col min="2566" max="2569" width="7.77734375" style="232" customWidth="1"/>
    <col min="2570" max="2816" width="8.88671875" style="232"/>
    <col min="2817" max="2817" width="5.77734375" style="232" customWidth="1"/>
    <col min="2818" max="2818" width="30.77734375" style="232" customWidth="1"/>
    <col min="2819" max="2821" width="4.109375" style="232" customWidth="1"/>
    <col min="2822" max="2825" width="7.77734375" style="232" customWidth="1"/>
    <col min="2826" max="3072" width="8.88671875" style="232"/>
    <col min="3073" max="3073" width="5.77734375" style="232" customWidth="1"/>
    <col min="3074" max="3074" width="30.77734375" style="232" customWidth="1"/>
    <col min="3075" max="3077" width="4.109375" style="232" customWidth="1"/>
    <col min="3078" max="3081" width="7.77734375" style="232" customWidth="1"/>
    <col min="3082" max="3328" width="8.88671875" style="232"/>
    <col min="3329" max="3329" width="5.77734375" style="232" customWidth="1"/>
    <col min="3330" max="3330" width="30.77734375" style="232" customWidth="1"/>
    <col min="3331" max="3333" width="4.109375" style="232" customWidth="1"/>
    <col min="3334" max="3337" width="7.77734375" style="232" customWidth="1"/>
    <col min="3338" max="3584" width="8.88671875" style="232"/>
    <col min="3585" max="3585" width="5.77734375" style="232" customWidth="1"/>
    <col min="3586" max="3586" width="30.77734375" style="232" customWidth="1"/>
    <col min="3587" max="3589" width="4.109375" style="232" customWidth="1"/>
    <col min="3590" max="3593" width="7.77734375" style="232" customWidth="1"/>
    <col min="3594" max="3840" width="8.88671875" style="232"/>
    <col min="3841" max="3841" width="5.77734375" style="232" customWidth="1"/>
    <col min="3842" max="3842" width="30.77734375" style="232" customWidth="1"/>
    <col min="3843" max="3845" width="4.109375" style="232" customWidth="1"/>
    <col min="3846" max="3849" width="7.77734375" style="232" customWidth="1"/>
    <col min="3850" max="4096" width="8.88671875" style="232"/>
    <col min="4097" max="4097" width="5.77734375" style="232" customWidth="1"/>
    <col min="4098" max="4098" width="30.77734375" style="232" customWidth="1"/>
    <col min="4099" max="4101" width="4.109375" style="232" customWidth="1"/>
    <col min="4102" max="4105" width="7.77734375" style="232" customWidth="1"/>
    <col min="4106" max="4352" width="8.88671875" style="232"/>
    <col min="4353" max="4353" width="5.77734375" style="232" customWidth="1"/>
    <col min="4354" max="4354" width="30.77734375" style="232" customWidth="1"/>
    <col min="4355" max="4357" width="4.109375" style="232" customWidth="1"/>
    <col min="4358" max="4361" width="7.77734375" style="232" customWidth="1"/>
    <col min="4362" max="4608" width="8.88671875" style="232"/>
    <col min="4609" max="4609" width="5.77734375" style="232" customWidth="1"/>
    <col min="4610" max="4610" width="30.77734375" style="232" customWidth="1"/>
    <col min="4611" max="4613" width="4.109375" style="232" customWidth="1"/>
    <col min="4614" max="4617" width="7.77734375" style="232" customWidth="1"/>
    <col min="4618" max="4864" width="8.88671875" style="232"/>
    <col min="4865" max="4865" width="5.77734375" style="232" customWidth="1"/>
    <col min="4866" max="4866" width="30.77734375" style="232" customWidth="1"/>
    <col min="4867" max="4869" width="4.109375" style="232" customWidth="1"/>
    <col min="4870" max="4873" width="7.77734375" style="232" customWidth="1"/>
    <col min="4874" max="5120" width="8.88671875" style="232"/>
    <col min="5121" max="5121" width="5.77734375" style="232" customWidth="1"/>
    <col min="5122" max="5122" width="30.77734375" style="232" customWidth="1"/>
    <col min="5123" max="5125" width="4.109375" style="232" customWidth="1"/>
    <col min="5126" max="5129" width="7.77734375" style="232" customWidth="1"/>
    <col min="5130" max="5376" width="8.88671875" style="232"/>
    <col min="5377" max="5377" width="5.77734375" style="232" customWidth="1"/>
    <col min="5378" max="5378" width="30.77734375" style="232" customWidth="1"/>
    <col min="5379" max="5381" width="4.109375" style="232" customWidth="1"/>
    <col min="5382" max="5385" width="7.77734375" style="232" customWidth="1"/>
    <col min="5386" max="5632" width="8.88671875" style="232"/>
    <col min="5633" max="5633" width="5.77734375" style="232" customWidth="1"/>
    <col min="5634" max="5634" width="30.77734375" style="232" customWidth="1"/>
    <col min="5635" max="5637" width="4.109375" style="232" customWidth="1"/>
    <col min="5638" max="5641" width="7.77734375" style="232" customWidth="1"/>
    <col min="5642" max="5888" width="8.88671875" style="232"/>
    <col min="5889" max="5889" width="5.77734375" style="232" customWidth="1"/>
    <col min="5890" max="5890" width="30.77734375" style="232" customWidth="1"/>
    <col min="5891" max="5893" width="4.109375" style="232" customWidth="1"/>
    <col min="5894" max="5897" width="7.77734375" style="232" customWidth="1"/>
    <col min="5898" max="6144" width="8.88671875" style="232"/>
    <col min="6145" max="6145" width="5.77734375" style="232" customWidth="1"/>
    <col min="6146" max="6146" width="30.77734375" style="232" customWidth="1"/>
    <col min="6147" max="6149" width="4.109375" style="232" customWidth="1"/>
    <col min="6150" max="6153" width="7.77734375" style="232" customWidth="1"/>
    <col min="6154" max="6400" width="8.88671875" style="232"/>
    <col min="6401" max="6401" width="5.77734375" style="232" customWidth="1"/>
    <col min="6402" max="6402" width="30.77734375" style="232" customWidth="1"/>
    <col min="6403" max="6405" width="4.109375" style="232" customWidth="1"/>
    <col min="6406" max="6409" width="7.77734375" style="232" customWidth="1"/>
    <col min="6410" max="6656" width="8.88671875" style="232"/>
    <col min="6657" max="6657" width="5.77734375" style="232" customWidth="1"/>
    <col min="6658" max="6658" width="30.77734375" style="232" customWidth="1"/>
    <col min="6659" max="6661" width="4.109375" style="232" customWidth="1"/>
    <col min="6662" max="6665" width="7.77734375" style="232" customWidth="1"/>
    <col min="6666" max="6912" width="8.88671875" style="232"/>
    <col min="6913" max="6913" width="5.77734375" style="232" customWidth="1"/>
    <col min="6914" max="6914" width="30.77734375" style="232" customWidth="1"/>
    <col min="6915" max="6917" width="4.109375" style="232" customWidth="1"/>
    <col min="6918" max="6921" width="7.77734375" style="232" customWidth="1"/>
    <col min="6922" max="7168" width="8.88671875" style="232"/>
    <col min="7169" max="7169" width="5.77734375" style="232" customWidth="1"/>
    <col min="7170" max="7170" width="30.77734375" style="232" customWidth="1"/>
    <col min="7171" max="7173" width="4.109375" style="232" customWidth="1"/>
    <col min="7174" max="7177" width="7.77734375" style="232" customWidth="1"/>
    <col min="7178" max="7424" width="8.88671875" style="232"/>
    <col min="7425" max="7425" width="5.77734375" style="232" customWidth="1"/>
    <col min="7426" max="7426" width="30.77734375" style="232" customWidth="1"/>
    <col min="7427" max="7429" width="4.109375" style="232" customWidth="1"/>
    <col min="7430" max="7433" width="7.77734375" style="232" customWidth="1"/>
    <col min="7434" max="7680" width="8.88671875" style="232"/>
    <col min="7681" max="7681" width="5.77734375" style="232" customWidth="1"/>
    <col min="7682" max="7682" width="30.77734375" style="232" customWidth="1"/>
    <col min="7683" max="7685" width="4.109375" style="232" customWidth="1"/>
    <col min="7686" max="7689" width="7.77734375" style="232" customWidth="1"/>
    <col min="7690" max="7936" width="8.88671875" style="232"/>
    <col min="7937" max="7937" width="5.77734375" style="232" customWidth="1"/>
    <col min="7938" max="7938" width="30.77734375" style="232" customWidth="1"/>
    <col min="7939" max="7941" width="4.109375" style="232" customWidth="1"/>
    <col min="7942" max="7945" width="7.77734375" style="232" customWidth="1"/>
    <col min="7946" max="8192" width="8.88671875" style="232"/>
    <col min="8193" max="8193" width="5.77734375" style="232" customWidth="1"/>
    <col min="8194" max="8194" width="30.77734375" style="232" customWidth="1"/>
    <col min="8195" max="8197" width="4.109375" style="232" customWidth="1"/>
    <col min="8198" max="8201" width="7.77734375" style="232" customWidth="1"/>
    <col min="8202" max="8448" width="8.88671875" style="232"/>
    <col min="8449" max="8449" width="5.77734375" style="232" customWidth="1"/>
    <col min="8450" max="8450" width="30.77734375" style="232" customWidth="1"/>
    <col min="8451" max="8453" width="4.109375" style="232" customWidth="1"/>
    <col min="8454" max="8457" width="7.77734375" style="232" customWidth="1"/>
    <col min="8458" max="8704" width="8.88671875" style="232"/>
    <col min="8705" max="8705" width="5.77734375" style="232" customWidth="1"/>
    <col min="8706" max="8706" width="30.77734375" style="232" customWidth="1"/>
    <col min="8707" max="8709" width="4.109375" style="232" customWidth="1"/>
    <col min="8710" max="8713" width="7.77734375" style="232" customWidth="1"/>
    <col min="8714" max="8960" width="8.88671875" style="232"/>
    <col min="8961" max="8961" width="5.77734375" style="232" customWidth="1"/>
    <col min="8962" max="8962" width="30.77734375" style="232" customWidth="1"/>
    <col min="8963" max="8965" width="4.109375" style="232" customWidth="1"/>
    <col min="8966" max="8969" width="7.77734375" style="232" customWidth="1"/>
    <col min="8970" max="9216" width="8.88671875" style="232"/>
    <col min="9217" max="9217" width="5.77734375" style="232" customWidth="1"/>
    <col min="9218" max="9218" width="30.77734375" style="232" customWidth="1"/>
    <col min="9219" max="9221" width="4.109375" style="232" customWidth="1"/>
    <col min="9222" max="9225" width="7.77734375" style="232" customWidth="1"/>
    <col min="9226" max="9472" width="8.88671875" style="232"/>
    <col min="9473" max="9473" width="5.77734375" style="232" customWidth="1"/>
    <col min="9474" max="9474" width="30.77734375" style="232" customWidth="1"/>
    <col min="9475" max="9477" width="4.109375" style="232" customWidth="1"/>
    <col min="9478" max="9481" width="7.77734375" style="232" customWidth="1"/>
    <col min="9482" max="9728" width="8.88671875" style="232"/>
    <col min="9729" max="9729" width="5.77734375" style="232" customWidth="1"/>
    <col min="9730" max="9730" width="30.77734375" style="232" customWidth="1"/>
    <col min="9731" max="9733" width="4.109375" style="232" customWidth="1"/>
    <col min="9734" max="9737" width="7.77734375" style="232" customWidth="1"/>
    <col min="9738" max="9984" width="8.88671875" style="232"/>
    <col min="9985" max="9985" width="5.77734375" style="232" customWidth="1"/>
    <col min="9986" max="9986" width="30.77734375" style="232" customWidth="1"/>
    <col min="9987" max="9989" width="4.109375" style="232" customWidth="1"/>
    <col min="9990" max="9993" width="7.77734375" style="232" customWidth="1"/>
    <col min="9994" max="10240" width="8.88671875" style="232"/>
    <col min="10241" max="10241" width="5.77734375" style="232" customWidth="1"/>
    <col min="10242" max="10242" width="30.77734375" style="232" customWidth="1"/>
    <col min="10243" max="10245" width="4.109375" style="232" customWidth="1"/>
    <col min="10246" max="10249" width="7.77734375" style="232" customWidth="1"/>
    <col min="10250" max="10496" width="8.88671875" style="232"/>
    <col min="10497" max="10497" width="5.77734375" style="232" customWidth="1"/>
    <col min="10498" max="10498" width="30.77734375" style="232" customWidth="1"/>
    <col min="10499" max="10501" width="4.109375" style="232" customWidth="1"/>
    <col min="10502" max="10505" width="7.77734375" style="232" customWidth="1"/>
    <col min="10506" max="10752" width="8.88671875" style="232"/>
    <col min="10753" max="10753" width="5.77734375" style="232" customWidth="1"/>
    <col min="10754" max="10754" width="30.77734375" style="232" customWidth="1"/>
    <col min="10755" max="10757" width="4.109375" style="232" customWidth="1"/>
    <col min="10758" max="10761" width="7.77734375" style="232" customWidth="1"/>
    <col min="10762" max="11008" width="8.88671875" style="232"/>
    <col min="11009" max="11009" width="5.77734375" style="232" customWidth="1"/>
    <col min="11010" max="11010" width="30.77734375" style="232" customWidth="1"/>
    <col min="11011" max="11013" width="4.109375" style="232" customWidth="1"/>
    <col min="11014" max="11017" width="7.77734375" style="232" customWidth="1"/>
    <col min="11018" max="11264" width="8.88671875" style="232"/>
    <col min="11265" max="11265" width="5.77734375" style="232" customWidth="1"/>
    <col min="11266" max="11266" width="30.77734375" style="232" customWidth="1"/>
    <col min="11267" max="11269" width="4.109375" style="232" customWidth="1"/>
    <col min="11270" max="11273" width="7.77734375" style="232" customWidth="1"/>
    <col min="11274" max="11520" width="8.88671875" style="232"/>
    <col min="11521" max="11521" width="5.77734375" style="232" customWidth="1"/>
    <col min="11522" max="11522" width="30.77734375" style="232" customWidth="1"/>
    <col min="11523" max="11525" width="4.109375" style="232" customWidth="1"/>
    <col min="11526" max="11529" width="7.77734375" style="232" customWidth="1"/>
    <col min="11530" max="11776" width="8.88671875" style="232"/>
    <col min="11777" max="11777" width="5.77734375" style="232" customWidth="1"/>
    <col min="11778" max="11778" width="30.77734375" style="232" customWidth="1"/>
    <col min="11779" max="11781" width="4.109375" style="232" customWidth="1"/>
    <col min="11782" max="11785" width="7.77734375" style="232" customWidth="1"/>
    <col min="11786" max="12032" width="8.88671875" style="232"/>
    <col min="12033" max="12033" width="5.77734375" style="232" customWidth="1"/>
    <col min="12034" max="12034" width="30.77734375" style="232" customWidth="1"/>
    <col min="12035" max="12037" width="4.109375" style="232" customWidth="1"/>
    <col min="12038" max="12041" width="7.77734375" style="232" customWidth="1"/>
    <col min="12042" max="12288" width="8.88671875" style="232"/>
    <col min="12289" max="12289" width="5.77734375" style="232" customWidth="1"/>
    <col min="12290" max="12290" width="30.77734375" style="232" customWidth="1"/>
    <col min="12291" max="12293" width="4.109375" style="232" customWidth="1"/>
    <col min="12294" max="12297" width="7.77734375" style="232" customWidth="1"/>
    <col min="12298" max="12544" width="8.88671875" style="232"/>
    <col min="12545" max="12545" width="5.77734375" style="232" customWidth="1"/>
    <col min="12546" max="12546" width="30.77734375" style="232" customWidth="1"/>
    <col min="12547" max="12549" width="4.109375" style="232" customWidth="1"/>
    <col min="12550" max="12553" width="7.77734375" style="232" customWidth="1"/>
    <col min="12554" max="12800" width="8.88671875" style="232"/>
    <col min="12801" max="12801" width="5.77734375" style="232" customWidth="1"/>
    <col min="12802" max="12802" width="30.77734375" style="232" customWidth="1"/>
    <col min="12803" max="12805" width="4.109375" style="232" customWidth="1"/>
    <col min="12806" max="12809" width="7.77734375" style="232" customWidth="1"/>
    <col min="12810" max="13056" width="8.88671875" style="232"/>
    <col min="13057" max="13057" width="5.77734375" style="232" customWidth="1"/>
    <col min="13058" max="13058" width="30.77734375" style="232" customWidth="1"/>
    <col min="13059" max="13061" width="4.109375" style="232" customWidth="1"/>
    <col min="13062" max="13065" width="7.77734375" style="232" customWidth="1"/>
    <col min="13066" max="13312" width="8.88671875" style="232"/>
    <col min="13313" max="13313" width="5.77734375" style="232" customWidth="1"/>
    <col min="13314" max="13314" width="30.77734375" style="232" customWidth="1"/>
    <col min="13315" max="13317" width="4.109375" style="232" customWidth="1"/>
    <col min="13318" max="13321" width="7.77734375" style="232" customWidth="1"/>
    <col min="13322" max="13568" width="8.88671875" style="232"/>
    <col min="13569" max="13569" width="5.77734375" style="232" customWidth="1"/>
    <col min="13570" max="13570" width="30.77734375" style="232" customWidth="1"/>
    <col min="13571" max="13573" width="4.109375" style="232" customWidth="1"/>
    <col min="13574" max="13577" width="7.77734375" style="232" customWidth="1"/>
    <col min="13578" max="13824" width="8.88671875" style="232"/>
    <col min="13825" max="13825" width="5.77734375" style="232" customWidth="1"/>
    <col min="13826" max="13826" width="30.77734375" style="232" customWidth="1"/>
    <col min="13827" max="13829" width="4.109375" style="232" customWidth="1"/>
    <col min="13830" max="13833" width="7.77734375" style="232" customWidth="1"/>
    <col min="13834" max="14080" width="8.88671875" style="232"/>
    <col min="14081" max="14081" width="5.77734375" style="232" customWidth="1"/>
    <col min="14082" max="14082" width="30.77734375" style="232" customWidth="1"/>
    <col min="14083" max="14085" width="4.109375" style="232" customWidth="1"/>
    <col min="14086" max="14089" width="7.77734375" style="232" customWidth="1"/>
    <col min="14090" max="14336" width="8.88671875" style="232"/>
    <col min="14337" max="14337" width="5.77734375" style="232" customWidth="1"/>
    <col min="14338" max="14338" width="30.77734375" style="232" customWidth="1"/>
    <col min="14339" max="14341" width="4.109375" style="232" customWidth="1"/>
    <col min="14342" max="14345" width="7.77734375" style="232" customWidth="1"/>
    <col min="14346" max="14592" width="8.88671875" style="232"/>
    <col min="14593" max="14593" width="5.77734375" style="232" customWidth="1"/>
    <col min="14594" max="14594" width="30.77734375" style="232" customWidth="1"/>
    <col min="14595" max="14597" width="4.109375" style="232" customWidth="1"/>
    <col min="14598" max="14601" width="7.77734375" style="232" customWidth="1"/>
    <col min="14602" max="14848" width="8.88671875" style="232"/>
    <col min="14849" max="14849" width="5.77734375" style="232" customWidth="1"/>
    <col min="14850" max="14850" width="30.77734375" style="232" customWidth="1"/>
    <col min="14851" max="14853" width="4.109375" style="232" customWidth="1"/>
    <col min="14854" max="14857" width="7.77734375" style="232" customWidth="1"/>
    <col min="14858" max="15104" width="8.88671875" style="232"/>
    <col min="15105" max="15105" width="5.77734375" style="232" customWidth="1"/>
    <col min="15106" max="15106" width="30.77734375" style="232" customWidth="1"/>
    <col min="15107" max="15109" width="4.109375" style="232" customWidth="1"/>
    <col min="15110" max="15113" width="7.77734375" style="232" customWidth="1"/>
    <col min="15114" max="15360" width="8.88671875" style="232"/>
    <col min="15361" max="15361" width="5.77734375" style="232" customWidth="1"/>
    <col min="15362" max="15362" width="30.77734375" style="232" customWidth="1"/>
    <col min="15363" max="15365" width="4.109375" style="232" customWidth="1"/>
    <col min="15366" max="15369" width="7.77734375" style="232" customWidth="1"/>
    <col min="15370" max="15616" width="8.88671875" style="232"/>
    <col min="15617" max="15617" width="5.77734375" style="232" customWidth="1"/>
    <col min="15618" max="15618" width="30.77734375" style="232" customWidth="1"/>
    <col min="15619" max="15621" width="4.109375" style="232" customWidth="1"/>
    <col min="15622" max="15625" width="7.77734375" style="232" customWidth="1"/>
    <col min="15626" max="15872" width="8.88671875" style="232"/>
    <col min="15873" max="15873" width="5.77734375" style="232" customWidth="1"/>
    <col min="15874" max="15874" width="30.77734375" style="232" customWidth="1"/>
    <col min="15875" max="15877" width="4.109375" style="232" customWidth="1"/>
    <col min="15878" max="15881" width="7.77734375" style="232" customWidth="1"/>
    <col min="15882" max="16128" width="8.88671875" style="232"/>
    <col min="16129" max="16129" width="5.77734375" style="232" customWidth="1"/>
    <col min="16130" max="16130" width="30.77734375" style="232" customWidth="1"/>
    <col min="16131" max="16133" width="4.109375" style="232" customWidth="1"/>
    <col min="16134" max="16137" width="7.77734375" style="232" customWidth="1"/>
    <col min="16138" max="16384" width="8.88671875" style="232"/>
  </cols>
  <sheetData>
    <row r="1" spans="1:255" ht="19.899999999999999" customHeight="1">
      <c r="A1" s="1524" t="str">
        <f>OHT!A1</f>
        <v>TAMILNADU POLICE HOUSING CORPORATION LIMITED</v>
      </c>
      <c r="B1" s="1524"/>
      <c r="C1" s="1524"/>
      <c r="D1" s="1524"/>
      <c r="E1" s="1524"/>
      <c r="F1" s="1524"/>
      <c r="G1" s="1524"/>
      <c r="H1" s="1524"/>
      <c r="I1" s="1524"/>
      <c r="J1" s="1524"/>
    </row>
    <row r="2" spans="1:255" ht="19.899999999999999" customHeight="1">
      <c r="A2" s="1524" t="str">
        <f>OHT!A2</f>
        <v>TRICHY DIVISION, TRICHY</v>
      </c>
      <c r="B2" s="1524"/>
      <c r="C2" s="1524"/>
      <c r="D2" s="1524"/>
      <c r="E2" s="1524"/>
      <c r="F2" s="1524"/>
      <c r="G2" s="1524"/>
      <c r="H2" s="1524"/>
      <c r="I2" s="1524"/>
      <c r="J2" s="1524"/>
    </row>
    <row r="3" spans="1:255" ht="10.15" customHeight="1">
      <c r="A3" s="252"/>
      <c r="B3" s="252"/>
      <c r="C3" s="252"/>
      <c r="D3" s="252"/>
      <c r="E3" s="252"/>
      <c r="F3" s="253"/>
      <c r="G3" s="253"/>
      <c r="H3" s="253"/>
      <c r="I3" s="253"/>
    </row>
    <row r="4" spans="1:255" ht="19.899999999999999" customHeight="1">
      <c r="A4" s="1525" t="s">
        <v>64</v>
      </c>
      <c r="B4" s="1525"/>
      <c r="C4" s="1525"/>
      <c r="D4" s="1525"/>
      <c r="E4" s="1525"/>
      <c r="F4" s="1525"/>
      <c r="G4" s="1525"/>
      <c r="H4" s="1525"/>
      <c r="I4" s="1525"/>
      <c r="J4" s="1525"/>
    </row>
    <row r="5" spans="1:255" ht="10.15" customHeight="1">
      <c r="A5" s="250"/>
      <c r="B5" s="251"/>
      <c r="C5" s="250"/>
      <c r="D5" s="250"/>
      <c r="E5" s="250"/>
      <c r="F5" s="254"/>
      <c r="G5" s="254"/>
      <c r="H5" s="254"/>
      <c r="I5" s="254"/>
    </row>
    <row r="6" spans="1:255" ht="40.15" customHeight="1">
      <c r="A6" s="1526" t="str">
        <f>'Septic Tank'!A5:H5</f>
        <v>CONSTRUCTION OF NEW POLICE STATION BUILDING WITH DEVELOPMENT WORK IN  REGUNATHAPURAM IN PUDUKKOTTAI DISRICT.</v>
      </c>
      <c r="B6" s="1526"/>
      <c r="C6" s="1526"/>
      <c r="D6" s="1526"/>
      <c r="E6" s="1526"/>
      <c r="F6" s="1526"/>
      <c r="G6" s="1526"/>
      <c r="H6" s="1526"/>
      <c r="I6" s="1526"/>
      <c r="J6" s="1526"/>
    </row>
    <row r="7" spans="1:255" ht="42.75" customHeight="1">
      <c r="A7" s="235" t="s">
        <v>2</v>
      </c>
      <c r="B7" s="233" t="s">
        <v>504</v>
      </c>
      <c r="C7" s="1523" t="s">
        <v>213</v>
      </c>
      <c r="D7" s="1523"/>
      <c r="E7" s="1523"/>
      <c r="F7" s="233" t="s">
        <v>5</v>
      </c>
      <c r="G7" s="233" t="s">
        <v>6</v>
      </c>
      <c r="H7" s="233" t="s">
        <v>7</v>
      </c>
      <c r="I7" s="233" t="s">
        <v>214</v>
      </c>
      <c r="J7" s="233" t="s">
        <v>215</v>
      </c>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c r="BQ7" s="236"/>
      <c r="BR7" s="236"/>
      <c r="BS7" s="236"/>
      <c r="BT7" s="236"/>
      <c r="BU7" s="236"/>
      <c r="BV7" s="236"/>
      <c r="BW7" s="236"/>
      <c r="BX7" s="236"/>
      <c r="BY7" s="236"/>
      <c r="BZ7" s="236"/>
      <c r="CA7" s="236"/>
      <c r="CB7" s="236"/>
      <c r="CC7" s="236"/>
      <c r="CD7" s="236"/>
      <c r="CE7" s="236"/>
      <c r="CF7" s="236"/>
      <c r="CG7" s="236"/>
      <c r="CH7" s="236"/>
      <c r="CI7" s="236"/>
      <c r="CJ7" s="236"/>
      <c r="CK7" s="236"/>
      <c r="CL7" s="236"/>
      <c r="CM7" s="236"/>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c r="EY7" s="236"/>
      <c r="EZ7" s="236"/>
      <c r="FA7" s="236"/>
      <c r="FB7" s="236"/>
      <c r="FC7" s="236"/>
      <c r="FD7" s="236"/>
      <c r="FE7" s="236"/>
      <c r="FF7" s="236"/>
      <c r="FG7" s="236"/>
      <c r="FH7" s="236"/>
      <c r="FI7" s="236"/>
      <c r="FJ7" s="236"/>
      <c r="FK7" s="236"/>
      <c r="FL7" s="236"/>
      <c r="FM7" s="236"/>
      <c r="FN7" s="236"/>
      <c r="FO7" s="236"/>
      <c r="FP7" s="236"/>
      <c r="FQ7" s="236"/>
      <c r="FR7" s="236"/>
      <c r="FS7" s="236"/>
      <c r="FT7" s="236"/>
      <c r="FU7" s="236"/>
      <c r="FV7" s="236"/>
      <c r="FW7" s="236"/>
      <c r="FX7" s="236"/>
      <c r="FY7" s="236"/>
      <c r="FZ7" s="236"/>
      <c r="GA7" s="236"/>
      <c r="GB7" s="236"/>
      <c r="GC7" s="236"/>
      <c r="GD7" s="236"/>
      <c r="GE7" s="236"/>
      <c r="GF7" s="236"/>
      <c r="GG7" s="236"/>
      <c r="GH7" s="236"/>
      <c r="GI7" s="236"/>
      <c r="GJ7" s="236"/>
      <c r="GK7" s="236"/>
      <c r="GL7" s="236"/>
      <c r="GM7" s="236"/>
      <c r="GN7" s="236"/>
      <c r="GO7" s="236"/>
      <c r="GP7" s="236"/>
      <c r="GQ7" s="236"/>
      <c r="GR7" s="236"/>
      <c r="GS7" s="236"/>
      <c r="GT7" s="236"/>
      <c r="GU7" s="236"/>
      <c r="GV7" s="236"/>
      <c r="GW7" s="236"/>
      <c r="GX7" s="236"/>
      <c r="GY7" s="236"/>
      <c r="GZ7" s="236"/>
      <c r="HA7" s="236"/>
      <c r="HB7" s="236"/>
      <c r="HC7" s="236"/>
      <c r="HD7" s="236"/>
      <c r="HE7" s="236"/>
      <c r="HF7" s="236"/>
      <c r="HG7" s="236"/>
      <c r="HH7" s="236"/>
      <c r="HI7" s="236"/>
      <c r="HJ7" s="236"/>
      <c r="HK7" s="236"/>
      <c r="HL7" s="236"/>
      <c r="HM7" s="236"/>
      <c r="HN7" s="236"/>
      <c r="HO7" s="236"/>
      <c r="HP7" s="236"/>
      <c r="HQ7" s="236"/>
      <c r="HR7" s="236"/>
      <c r="HS7" s="236"/>
      <c r="HT7" s="236"/>
      <c r="HU7" s="236"/>
      <c r="HV7" s="236"/>
      <c r="HW7" s="236"/>
      <c r="HX7" s="236"/>
      <c r="HY7" s="236"/>
      <c r="HZ7" s="236"/>
      <c r="IA7" s="236"/>
      <c r="IB7" s="236"/>
      <c r="IC7" s="236"/>
      <c r="ID7" s="236"/>
      <c r="IE7" s="236"/>
      <c r="IF7" s="236"/>
      <c r="IG7" s="236"/>
      <c r="IH7" s="236"/>
      <c r="II7" s="236"/>
      <c r="IJ7" s="236"/>
      <c r="IK7" s="236"/>
      <c r="IL7" s="236"/>
      <c r="IM7" s="236"/>
      <c r="IN7" s="236"/>
      <c r="IO7" s="236"/>
      <c r="IP7" s="236"/>
      <c r="IQ7" s="236"/>
      <c r="IR7" s="236"/>
      <c r="IS7" s="236"/>
      <c r="IT7" s="236"/>
      <c r="IU7" s="236"/>
    </row>
    <row r="8" spans="1:255" s="240" customFormat="1" ht="19.899999999999999" customHeight="1">
      <c r="A8" s="237">
        <v>1.1000000000000001</v>
      </c>
      <c r="B8" s="1530" t="s">
        <v>65</v>
      </c>
      <c r="C8" s="1530"/>
      <c r="D8" s="1530"/>
      <c r="E8" s="1530"/>
      <c r="F8" s="1530"/>
      <c r="G8" s="1530"/>
      <c r="H8" s="1530"/>
      <c r="I8" s="256"/>
      <c r="J8" s="266"/>
    </row>
    <row r="9" spans="1:255" s="240" customFormat="1" ht="19.899999999999999" customHeight="1">
      <c r="A9" s="239"/>
      <c r="B9" s="198" t="s">
        <v>63</v>
      </c>
      <c r="C9" s="179"/>
      <c r="D9" s="179"/>
      <c r="E9" s="238"/>
      <c r="F9" s="256"/>
      <c r="G9" s="256"/>
      <c r="H9" s="256"/>
      <c r="I9" s="256"/>
      <c r="J9" s="266"/>
    </row>
    <row r="10" spans="1:255" s="240" customFormat="1" ht="19.899999999999999" customHeight="1">
      <c r="A10" s="239"/>
      <c r="B10" s="189" t="s">
        <v>571</v>
      </c>
      <c r="C10" s="179"/>
      <c r="D10" s="179"/>
      <c r="E10" s="238"/>
      <c r="F10" s="256"/>
      <c r="G10" s="256"/>
      <c r="H10" s="256"/>
      <c r="I10" s="256"/>
      <c r="J10" s="266"/>
    </row>
    <row r="11" spans="1:255" s="240" customFormat="1" ht="19.899999999999999" customHeight="1">
      <c r="A11" s="239"/>
      <c r="B11" s="178" t="s">
        <v>572</v>
      </c>
      <c r="C11" s="241">
        <v>1</v>
      </c>
      <c r="D11" s="241" t="s">
        <v>56</v>
      </c>
      <c r="E11" s="238">
        <v>1</v>
      </c>
      <c r="F11" s="256">
        <v>64.45</v>
      </c>
      <c r="G11" s="256">
        <v>0.38</v>
      </c>
      <c r="H11" s="256">
        <v>0.4</v>
      </c>
      <c r="I11" s="257">
        <f>ROUND(PRODUCT(C11:H11),2)</f>
        <v>9.8000000000000007</v>
      </c>
      <c r="J11" s="266"/>
    </row>
    <row r="12" spans="1:255" ht="19.899999999999999" customHeight="1">
      <c r="A12" s="243"/>
      <c r="B12" s="244"/>
      <c r="C12" s="245"/>
      <c r="D12" s="245"/>
      <c r="E12" s="245"/>
      <c r="F12" s="258"/>
      <c r="G12" s="258"/>
      <c r="H12" s="255" t="s">
        <v>15</v>
      </c>
      <c r="I12" s="255">
        <f>SUM(I11:I11)</f>
        <v>9.8000000000000007</v>
      </c>
      <c r="J12" s="234" t="s">
        <v>16</v>
      </c>
    </row>
    <row r="13" spans="1:255" ht="19.899999999999999" customHeight="1">
      <c r="A13" s="243"/>
      <c r="B13" s="244"/>
      <c r="C13" s="245"/>
      <c r="D13" s="245"/>
      <c r="E13" s="245"/>
      <c r="F13" s="258"/>
      <c r="G13" s="258"/>
      <c r="H13" s="255"/>
      <c r="I13" s="255"/>
      <c r="J13" s="234"/>
    </row>
    <row r="14" spans="1:255" s="240" customFormat="1" ht="19.899999999999999" customHeight="1">
      <c r="A14" s="237">
        <v>2.1</v>
      </c>
      <c r="B14" s="198" t="s">
        <v>67</v>
      </c>
      <c r="C14" s="241"/>
      <c r="D14" s="241"/>
      <c r="E14" s="238"/>
      <c r="F14" s="256"/>
      <c r="G14" s="256"/>
      <c r="H14" s="256"/>
      <c r="I14" s="256"/>
      <c r="J14" s="267"/>
    </row>
    <row r="15" spans="1:255" s="240" customFormat="1" ht="19.899999999999999" customHeight="1">
      <c r="A15" s="239"/>
      <c r="B15" s="189" t="str">
        <f>B10</f>
        <v>For Fire Service Station</v>
      </c>
      <c r="C15" s="179"/>
      <c r="D15" s="179"/>
      <c r="E15" s="238"/>
      <c r="F15" s="256"/>
      <c r="G15" s="256"/>
      <c r="H15" s="256"/>
      <c r="I15" s="256"/>
      <c r="J15" s="266"/>
    </row>
    <row r="16" spans="1:255" s="240" customFormat="1" ht="19.899999999999999" customHeight="1">
      <c r="A16" s="239"/>
      <c r="B16" s="178" t="s">
        <v>572</v>
      </c>
      <c r="C16" s="241">
        <v>1</v>
      </c>
      <c r="D16" s="241" t="s">
        <v>56</v>
      </c>
      <c r="E16" s="238">
        <v>1</v>
      </c>
      <c r="F16" s="256">
        <f>F11</f>
        <v>64.45</v>
      </c>
      <c r="G16" s="256">
        <v>0.38</v>
      </c>
      <c r="H16" s="256">
        <v>0.1</v>
      </c>
      <c r="I16" s="257">
        <f>ROUND(PRODUCT(C16:H16),2)</f>
        <v>2.4500000000000002</v>
      </c>
      <c r="J16" s="266"/>
    </row>
    <row r="17" spans="1:10" s="240" customFormat="1" ht="19.899999999999999" customHeight="1">
      <c r="A17" s="239"/>
      <c r="B17" s="178"/>
      <c r="C17" s="241"/>
      <c r="D17" s="241"/>
      <c r="E17" s="238"/>
      <c r="F17" s="256"/>
      <c r="G17" s="256"/>
      <c r="H17" s="256"/>
      <c r="I17" s="257">
        <v>0.05</v>
      </c>
      <c r="J17" s="266"/>
    </row>
    <row r="18" spans="1:10" ht="19.899999999999999" customHeight="1">
      <c r="A18" s="243"/>
      <c r="B18" s="244"/>
      <c r="C18" s="245"/>
      <c r="D18" s="245"/>
      <c r="E18" s="245"/>
      <c r="F18" s="258"/>
      <c r="G18" s="258"/>
      <c r="H18" s="255" t="s">
        <v>15</v>
      </c>
      <c r="I18" s="255">
        <f>SUM(I16:I17)</f>
        <v>2.5</v>
      </c>
      <c r="J18" s="234" t="s">
        <v>16</v>
      </c>
    </row>
    <row r="19" spans="1:10" ht="19.899999999999999" customHeight="1">
      <c r="A19" s="243"/>
      <c r="B19" s="244"/>
      <c r="C19" s="245"/>
      <c r="D19" s="245"/>
      <c r="E19" s="245"/>
      <c r="F19" s="258"/>
      <c r="G19" s="255"/>
      <c r="H19" s="255"/>
      <c r="I19" s="255"/>
      <c r="J19" s="234"/>
    </row>
    <row r="20" spans="1:10" s="240" customFormat="1" ht="19.899999999999999" customHeight="1">
      <c r="A20" s="237">
        <v>3.1</v>
      </c>
      <c r="B20" s="1530" t="s">
        <v>68</v>
      </c>
      <c r="C20" s="1530"/>
      <c r="D20" s="1530"/>
      <c r="E20" s="1530"/>
      <c r="F20" s="1530"/>
      <c r="G20" s="1530"/>
      <c r="H20" s="1530"/>
      <c r="I20" s="259"/>
      <c r="J20" s="267"/>
    </row>
    <row r="21" spans="1:10" s="240" customFormat="1" ht="19.899999999999999" customHeight="1">
      <c r="A21" s="239"/>
      <c r="B21" s="189" t="str">
        <f>B15</f>
        <v>For Fire Service Station</v>
      </c>
      <c r="C21" s="179"/>
      <c r="D21" s="179"/>
      <c r="E21" s="238"/>
      <c r="F21" s="256"/>
      <c r="G21" s="256"/>
      <c r="H21" s="256"/>
      <c r="I21" s="256"/>
      <c r="J21" s="266"/>
    </row>
    <row r="22" spans="1:10" s="240" customFormat="1" ht="19.899999999999999" customHeight="1">
      <c r="A22" s="239"/>
      <c r="B22" s="178" t="s">
        <v>572</v>
      </c>
      <c r="C22" s="241">
        <v>1</v>
      </c>
      <c r="D22" s="241" t="s">
        <v>56</v>
      </c>
      <c r="E22" s="238">
        <v>1</v>
      </c>
      <c r="F22" s="256">
        <f>F16</f>
        <v>64.45</v>
      </c>
      <c r="G22" s="256">
        <v>0.38</v>
      </c>
      <c r="H22" s="256">
        <v>0.1</v>
      </c>
      <c r="I22" s="257">
        <f>ROUND(PRODUCT(C22:H22),2)</f>
        <v>2.4500000000000002</v>
      </c>
      <c r="J22" s="266"/>
    </row>
    <row r="23" spans="1:10" s="240" customFormat="1" ht="19.899999999999999" customHeight="1">
      <c r="A23" s="239"/>
      <c r="B23" s="178"/>
      <c r="C23" s="241"/>
      <c r="D23" s="241"/>
      <c r="E23" s="238"/>
      <c r="F23" s="256"/>
      <c r="G23" s="256"/>
      <c r="H23" s="256"/>
      <c r="I23" s="257">
        <v>0.05</v>
      </c>
      <c r="J23" s="266"/>
    </row>
    <row r="24" spans="1:10" s="240" customFormat="1" ht="19.899999999999999" customHeight="1">
      <c r="A24" s="239"/>
      <c r="B24" s="178"/>
      <c r="C24" s="241"/>
      <c r="D24" s="241"/>
      <c r="E24" s="238"/>
      <c r="F24" s="256"/>
      <c r="G24" s="256"/>
      <c r="H24" s="259" t="s">
        <v>15</v>
      </c>
      <c r="I24" s="260">
        <f>SUM(I22:I23)</f>
        <v>2.5</v>
      </c>
      <c r="J24" s="266" t="s">
        <v>16</v>
      </c>
    </row>
    <row r="25" spans="1:10" ht="19.899999999999999" customHeight="1">
      <c r="A25" s="243"/>
      <c r="B25" s="244"/>
      <c r="C25" s="245"/>
      <c r="D25" s="245"/>
      <c r="E25" s="245"/>
      <c r="F25" s="258"/>
      <c r="G25" s="255"/>
      <c r="H25" s="255"/>
      <c r="I25" s="255"/>
      <c r="J25" s="234"/>
    </row>
    <row r="26" spans="1:10" s="240" customFormat="1" ht="34.9" customHeight="1">
      <c r="A26" s="237">
        <v>6.5</v>
      </c>
      <c r="B26" s="1530" t="s">
        <v>69</v>
      </c>
      <c r="C26" s="1530"/>
      <c r="D26" s="1530"/>
      <c r="E26" s="1530"/>
      <c r="F26" s="1530"/>
      <c r="G26" s="1530"/>
      <c r="H26" s="1530"/>
      <c r="I26" s="256"/>
      <c r="J26" s="267"/>
    </row>
    <row r="27" spans="1:10" s="240" customFormat="1" ht="19.899999999999999" customHeight="1">
      <c r="A27" s="239"/>
      <c r="B27" s="189" t="str">
        <f>B21</f>
        <v>For Fire Service Station</v>
      </c>
      <c r="C27" s="179"/>
      <c r="D27" s="179"/>
      <c r="E27" s="238"/>
      <c r="F27" s="256"/>
      <c r="G27" s="256"/>
      <c r="H27" s="256"/>
      <c r="I27" s="256"/>
      <c r="J27" s="266"/>
    </row>
    <row r="28" spans="1:10" s="240" customFormat="1" ht="19.899999999999999" customHeight="1">
      <c r="A28" s="239"/>
      <c r="B28" s="178" t="s">
        <v>572</v>
      </c>
      <c r="C28" s="241">
        <v>1</v>
      </c>
      <c r="D28" s="241" t="s">
        <v>56</v>
      </c>
      <c r="E28" s="238">
        <v>12</v>
      </c>
      <c r="F28" s="256">
        <v>0.23</v>
      </c>
      <c r="G28" s="256">
        <v>0.23</v>
      </c>
      <c r="H28" s="256">
        <v>0.67</v>
      </c>
      <c r="I28" s="257">
        <f>ROUND(PRODUCT(C28:H28),2)</f>
        <v>0.43</v>
      </c>
      <c r="J28" s="266"/>
    </row>
    <row r="29" spans="1:10" ht="19.899999999999999" customHeight="1">
      <c r="A29" s="243"/>
      <c r="B29" s="244"/>
      <c r="C29" s="245"/>
      <c r="D29" s="245"/>
      <c r="E29" s="245"/>
      <c r="F29" s="258"/>
      <c r="G29" s="258"/>
      <c r="H29" s="258"/>
      <c r="I29" s="258">
        <v>7.0000000000000007E-2</v>
      </c>
      <c r="J29" s="234"/>
    </row>
    <row r="30" spans="1:10" ht="19.899999999999999" customHeight="1">
      <c r="A30" s="243"/>
      <c r="B30" s="244"/>
      <c r="C30" s="245"/>
      <c r="D30" s="245"/>
      <c r="E30" s="245"/>
      <c r="F30" s="258"/>
      <c r="G30" s="255"/>
      <c r="H30" s="255" t="s">
        <v>15</v>
      </c>
      <c r="I30" s="255">
        <f>SUM(I28:I29)</f>
        <v>0.5</v>
      </c>
      <c r="J30" s="234" t="s">
        <v>16</v>
      </c>
    </row>
    <row r="31" spans="1:10" ht="19.899999999999999" customHeight="1">
      <c r="A31" s="243"/>
      <c r="B31" s="244"/>
      <c r="C31" s="245"/>
      <c r="D31" s="245"/>
      <c r="E31" s="245"/>
      <c r="F31" s="258"/>
      <c r="G31" s="255"/>
      <c r="H31" s="255"/>
      <c r="I31" s="255"/>
      <c r="J31" s="234"/>
    </row>
    <row r="32" spans="1:10" s="240" customFormat="1" ht="34.9" customHeight="1">
      <c r="A32" s="237">
        <v>10.5</v>
      </c>
      <c r="B32" s="1530" t="s">
        <v>70</v>
      </c>
      <c r="C32" s="1530"/>
      <c r="D32" s="1530"/>
      <c r="E32" s="1530"/>
      <c r="F32" s="1530"/>
      <c r="G32" s="1530"/>
      <c r="H32" s="1530"/>
      <c r="I32" s="256"/>
      <c r="J32" s="267"/>
    </row>
    <row r="33" spans="1:10" s="240" customFormat="1" ht="19.899999999999999" customHeight="1">
      <c r="A33" s="239"/>
      <c r="B33" s="198" t="s">
        <v>573</v>
      </c>
      <c r="C33" s="179"/>
      <c r="D33" s="179"/>
      <c r="E33" s="238"/>
      <c r="F33" s="256"/>
      <c r="G33" s="256"/>
      <c r="H33" s="256"/>
      <c r="I33" s="256"/>
      <c r="J33" s="266"/>
    </row>
    <row r="34" spans="1:10" s="240" customFormat="1" ht="19.899999999999999" customHeight="1">
      <c r="A34" s="239"/>
      <c r="B34" s="189" t="str">
        <f>B27</f>
        <v>For Fire Service Station</v>
      </c>
      <c r="C34" s="179"/>
      <c r="D34" s="179"/>
      <c r="E34" s="238"/>
      <c r="F34" s="256"/>
      <c r="G34" s="256"/>
      <c r="H34" s="256"/>
      <c r="I34" s="256"/>
      <c r="J34" s="266"/>
    </row>
    <row r="35" spans="1:10" s="240" customFormat="1" ht="19.899999999999999" customHeight="1">
      <c r="A35" s="239"/>
      <c r="B35" s="178" t="s">
        <v>572</v>
      </c>
      <c r="C35" s="241">
        <v>1</v>
      </c>
      <c r="D35" s="241" t="s">
        <v>56</v>
      </c>
      <c r="E35" s="238">
        <v>1</v>
      </c>
      <c r="F35" s="256">
        <v>45.39</v>
      </c>
      <c r="G35" s="242" t="s">
        <v>372</v>
      </c>
      <c r="H35" s="261">
        <v>0.67</v>
      </c>
      <c r="I35" s="257">
        <f>ROUND(PRODUCT(C35:H35),2)</f>
        <v>30.41</v>
      </c>
      <c r="J35" s="266"/>
    </row>
    <row r="36" spans="1:10" s="240" customFormat="1" ht="19.899999999999999" customHeight="1">
      <c r="A36" s="246"/>
      <c r="B36" s="178"/>
      <c r="C36" s="241"/>
      <c r="D36" s="241"/>
      <c r="E36" s="238"/>
      <c r="F36" s="262"/>
      <c r="G36" s="256"/>
      <c r="H36" s="262"/>
      <c r="I36" s="257">
        <v>0.09</v>
      </c>
      <c r="J36" s="267"/>
    </row>
    <row r="37" spans="1:10" ht="19.899999999999999" customHeight="1">
      <c r="A37" s="243"/>
      <c r="B37" s="244"/>
      <c r="C37" s="245"/>
      <c r="D37" s="245"/>
      <c r="E37" s="245"/>
      <c r="F37" s="258"/>
      <c r="G37" s="255"/>
      <c r="H37" s="255" t="s">
        <v>15</v>
      </c>
      <c r="I37" s="255">
        <f>SUM(I35:I36)</f>
        <v>30.5</v>
      </c>
      <c r="J37" s="234" t="s">
        <v>37</v>
      </c>
    </row>
    <row r="38" spans="1:10" ht="19.899999999999999" customHeight="1">
      <c r="A38" s="243"/>
      <c r="B38" s="244"/>
      <c r="C38" s="245"/>
      <c r="D38" s="245"/>
      <c r="E38" s="245"/>
      <c r="F38" s="258"/>
      <c r="G38" s="255"/>
      <c r="H38" s="255"/>
      <c r="I38" s="255"/>
      <c r="J38" s="234"/>
    </row>
    <row r="39" spans="1:10" s="240" customFormat="1" ht="19.899999999999999" customHeight="1">
      <c r="A39" s="247">
        <v>33</v>
      </c>
      <c r="B39" s="178" t="s">
        <v>43</v>
      </c>
      <c r="C39" s="242"/>
      <c r="D39" s="242"/>
      <c r="E39" s="242"/>
      <c r="F39" s="256"/>
      <c r="G39" s="256"/>
      <c r="H39" s="256"/>
      <c r="I39" s="256"/>
      <c r="J39" s="267"/>
    </row>
    <row r="40" spans="1:10" s="240" customFormat="1" ht="19.899999999999999" customHeight="1">
      <c r="A40" s="239"/>
      <c r="B40" s="189" t="str">
        <f>B34</f>
        <v>For Fire Service Station</v>
      </c>
      <c r="C40" s="179"/>
      <c r="D40" s="179"/>
      <c r="E40" s="238"/>
      <c r="F40" s="256"/>
      <c r="G40" s="256"/>
      <c r="H40" s="256"/>
      <c r="I40" s="256"/>
      <c r="J40" s="266"/>
    </row>
    <row r="41" spans="1:10" s="240" customFormat="1" ht="19.899999999999999" customHeight="1">
      <c r="A41" s="239"/>
      <c r="B41" s="178" t="s">
        <v>66</v>
      </c>
      <c r="C41" s="241">
        <v>1</v>
      </c>
      <c r="D41" s="241" t="s">
        <v>56</v>
      </c>
      <c r="E41" s="238">
        <v>1</v>
      </c>
      <c r="F41" s="256">
        <f>F22</f>
        <v>64.45</v>
      </c>
      <c r="G41" s="242" t="s">
        <v>372</v>
      </c>
      <c r="H41" s="256">
        <v>0.67</v>
      </c>
      <c r="I41" s="257">
        <f>ROUND(PRODUCT(C41:H41),2)</f>
        <v>43.18</v>
      </c>
      <c r="J41" s="266"/>
    </row>
    <row r="42" spans="1:10" s="240" customFormat="1" ht="19.899999999999999" customHeight="1">
      <c r="A42" s="239"/>
      <c r="B42" s="178"/>
      <c r="C42" s="241"/>
      <c r="D42" s="241"/>
      <c r="E42" s="238"/>
      <c r="F42" s="256"/>
      <c r="G42" s="256"/>
      <c r="H42" s="256"/>
      <c r="I42" s="257">
        <v>0.02</v>
      </c>
      <c r="J42" s="266"/>
    </row>
    <row r="43" spans="1:10" ht="19.899999999999999" customHeight="1">
      <c r="A43" s="243"/>
      <c r="B43" s="244"/>
      <c r="C43" s="245"/>
      <c r="D43" s="245"/>
      <c r="E43" s="245"/>
      <c r="F43" s="258"/>
      <c r="G43" s="255"/>
      <c r="H43" s="255" t="s">
        <v>15</v>
      </c>
      <c r="I43" s="255">
        <f>SUM(I41:I42)</f>
        <v>43.2</v>
      </c>
      <c r="J43" s="234" t="s">
        <v>37</v>
      </c>
    </row>
    <row r="44" spans="1:10" ht="19.899999999999999" customHeight="1">
      <c r="A44" s="243"/>
      <c r="B44" s="244"/>
      <c r="C44" s="245"/>
      <c r="D44" s="245"/>
      <c r="E44" s="245"/>
      <c r="F44" s="258"/>
      <c r="G44" s="255"/>
      <c r="H44" s="255"/>
      <c r="I44" s="255"/>
      <c r="J44" s="234"/>
    </row>
    <row r="45" spans="1:10" s="240" customFormat="1" ht="19.899999999999999" customHeight="1">
      <c r="A45" s="237">
        <v>50.6</v>
      </c>
      <c r="B45" s="1527" t="s">
        <v>71</v>
      </c>
      <c r="C45" s="1528"/>
      <c r="D45" s="1528"/>
      <c r="E45" s="1528"/>
      <c r="F45" s="1528"/>
      <c r="G45" s="1528"/>
      <c r="H45" s="1529"/>
      <c r="I45" s="256"/>
      <c r="J45" s="267"/>
    </row>
    <row r="46" spans="1:10" s="240" customFormat="1" ht="19.899999999999999" customHeight="1">
      <c r="A46" s="239"/>
      <c r="B46" s="189" t="str">
        <f>B40</f>
        <v>For Fire Service Station</v>
      </c>
      <c r="C46" s="179"/>
      <c r="D46" s="179"/>
      <c r="E46" s="238"/>
      <c r="F46" s="256"/>
      <c r="G46" s="256"/>
      <c r="H46" s="256"/>
      <c r="I46" s="256"/>
      <c r="J46" s="266"/>
    </row>
    <row r="47" spans="1:10" s="240" customFormat="1" ht="19.899999999999999" customHeight="1">
      <c r="A47" s="239"/>
      <c r="B47" s="178" t="s">
        <v>572</v>
      </c>
      <c r="C47" s="241">
        <v>1</v>
      </c>
      <c r="D47" s="241" t="s">
        <v>56</v>
      </c>
      <c r="E47" s="238">
        <v>1</v>
      </c>
      <c r="F47" s="256">
        <f>F41</f>
        <v>64.45</v>
      </c>
      <c r="G47" s="256">
        <v>0.72</v>
      </c>
      <c r="H47" s="242" t="s">
        <v>372</v>
      </c>
      <c r="I47" s="257">
        <f>ROUND(PRODUCT(C47:H47),2)</f>
        <v>46.4</v>
      </c>
      <c r="J47" s="266"/>
    </row>
    <row r="48" spans="1:10" s="240" customFormat="1" ht="19.899999999999999" customHeight="1">
      <c r="A48" s="239"/>
      <c r="B48" s="178"/>
      <c r="C48" s="241"/>
      <c r="D48" s="241"/>
      <c r="E48" s="238"/>
      <c r="F48" s="256"/>
      <c r="G48" s="256"/>
      <c r="H48" s="259" t="s">
        <v>15</v>
      </c>
      <c r="I48" s="255">
        <f>SUM(I47:I47)</f>
        <v>46.4</v>
      </c>
      <c r="J48" s="266" t="s">
        <v>37</v>
      </c>
    </row>
    <row r="49" spans="1:10" ht="19.899999999999999" customHeight="1">
      <c r="A49" s="243"/>
      <c r="B49" s="244"/>
      <c r="C49" s="245"/>
      <c r="D49" s="245"/>
      <c r="E49" s="245"/>
      <c r="F49" s="258"/>
      <c r="G49" s="255"/>
      <c r="H49" s="255"/>
      <c r="I49" s="255"/>
      <c r="J49" s="234"/>
    </row>
  </sheetData>
  <mergeCells count="10">
    <mergeCell ref="B45:H45"/>
    <mergeCell ref="B8:H8"/>
    <mergeCell ref="B32:H32"/>
    <mergeCell ref="B26:H26"/>
    <mergeCell ref="B20:H20"/>
    <mergeCell ref="C7:E7"/>
    <mergeCell ref="A1:J1"/>
    <mergeCell ref="A2:J2"/>
    <mergeCell ref="A4:J4"/>
    <mergeCell ref="A6:J6"/>
  </mergeCells>
  <printOptions horizontalCentered="1"/>
  <pageMargins left="0.7" right="0.7" top="0.8" bottom="0.5" header="0.3" footer="0.3"/>
  <pageSetup paperSize="9" orientation="portrait" r:id="rId1"/>
  <headerFooter>
    <oddHeader>&amp;C&amp;"-,Regular"&amp;8Page &amp;P of &amp;N</oddHeader>
  </headerFooter>
</worksheet>
</file>

<file path=xl/worksheets/sheet17.xml><?xml version="1.0" encoding="utf-8"?>
<worksheet xmlns="http://schemas.openxmlformats.org/spreadsheetml/2006/main" xmlns:r="http://schemas.openxmlformats.org/officeDocument/2006/relationships">
  <sheetPr>
    <tabColor rgb="FF92D050"/>
  </sheetPr>
  <dimension ref="A1:J46"/>
  <sheetViews>
    <sheetView view="pageBreakPreview" zoomScaleSheetLayoutView="100" workbookViewId="0">
      <selection activeCell="I33" sqref="I33"/>
    </sheetView>
  </sheetViews>
  <sheetFormatPr defaultRowHeight="15"/>
  <cols>
    <col min="1" max="1" width="4.33203125" style="294" bestFit="1" customWidth="1"/>
    <col min="2" max="2" width="26.77734375" style="280" customWidth="1"/>
    <col min="3" max="5" width="3.21875" style="281" customWidth="1"/>
    <col min="6" max="8" width="7.44140625" style="294" customWidth="1"/>
    <col min="9" max="9" width="7.44140625" style="295" customWidth="1"/>
    <col min="10" max="10" width="4.21875" style="296" customWidth="1"/>
    <col min="11" max="256" width="8.88671875" style="280"/>
    <col min="257" max="257" width="4.33203125" style="280" bestFit="1" customWidth="1"/>
    <col min="258" max="258" width="17.77734375" style="280" customWidth="1"/>
    <col min="259" max="259" width="3.77734375" style="280" customWidth="1"/>
    <col min="260" max="260" width="1.44140625" style="280" bestFit="1" customWidth="1"/>
    <col min="261" max="261" width="2.44140625" style="280" bestFit="1" customWidth="1"/>
    <col min="262" max="262" width="8" style="280" bestFit="1" customWidth="1"/>
    <col min="263" max="263" width="7.21875" style="280" bestFit="1" customWidth="1"/>
    <col min="264" max="264" width="4.44140625" style="280" bestFit="1" customWidth="1"/>
    <col min="265" max="265" width="7" style="280" bestFit="1" customWidth="1"/>
    <col min="266" max="266" width="3.77734375" style="280" bestFit="1" customWidth="1"/>
    <col min="267" max="512" width="8.88671875" style="280"/>
    <col min="513" max="513" width="4.33203125" style="280" bestFit="1" customWidth="1"/>
    <col min="514" max="514" width="17.77734375" style="280" customWidth="1"/>
    <col min="515" max="515" width="3.77734375" style="280" customWidth="1"/>
    <col min="516" max="516" width="1.44140625" style="280" bestFit="1" customWidth="1"/>
    <col min="517" max="517" width="2.44140625" style="280" bestFit="1" customWidth="1"/>
    <col min="518" max="518" width="8" style="280" bestFit="1" customWidth="1"/>
    <col min="519" max="519" width="7.21875" style="280" bestFit="1" customWidth="1"/>
    <col min="520" max="520" width="4.44140625" style="280" bestFit="1" customWidth="1"/>
    <col min="521" max="521" width="7" style="280" bestFit="1" customWidth="1"/>
    <col min="522" max="522" width="3.77734375" style="280" bestFit="1" customWidth="1"/>
    <col min="523" max="768" width="8.88671875" style="280"/>
    <col min="769" max="769" width="4.33203125" style="280" bestFit="1" customWidth="1"/>
    <col min="770" max="770" width="17.77734375" style="280" customWidth="1"/>
    <col min="771" max="771" width="3.77734375" style="280" customWidth="1"/>
    <col min="772" max="772" width="1.44140625" style="280" bestFit="1" customWidth="1"/>
    <col min="773" max="773" width="2.44140625" style="280" bestFit="1" customWidth="1"/>
    <col min="774" max="774" width="8" style="280" bestFit="1" customWidth="1"/>
    <col min="775" max="775" width="7.21875" style="280" bestFit="1" customWidth="1"/>
    <col min="776" max="776" width="4.44140625" style="280" bestFit="1" customWidth="1"/>
    <col min="777" max="777" width="7" style="280" bestFit="1" customWidth="1"/>
    <col min="778" max="778" width="3.77734375" style="280" bestFit="1" customWidth="1"/>
    <col min="779" max="1024" width="8.88671875" style="280"/>
    <col min="1025" max="1025" width="4.33203125" style="280" bestFit="1" customWidth="1"/>
    <col min="1026" max="1026" width="17.77734375" style="280" customWidth="1"/>
    <col min="1027" max="1027" width="3.77734375" style="280" customWidth="1"/>
    <col min="1028" max="1028" width="1.44140625" style="280" bestFit="1" customWidth="1"/>
    <col min="1029" max="1029" width="2.44140625" style="280" bestFit="1" customWidth="1"/>
    <col min="1030" max="1030" width="8" style="280" bestFit="1" customWidth="1"/>
    <col min="1031" max="1031" width="7.21875" style="280" bestFit="1" customWidth="1"/>
    <col min="1032" max="1032" width="4.44140625" style="280" bestFit="1" customWidth="1"/>
    <col min="1033" max="1033" width="7" style="280" bestFit="1" customWidth="1"/>
    <col min="1034" max="1034" width="3.77734375" style="280" bestFit="1" customWidth="1"/>
    <col min="1035" max="1280" width="8.88671875" style="280"/>
    <col min="1281" max="1281" width="4.33203125" style="280" bestFit="1" customWidth="1"/>
    <col min="1282" max="1282" width="17.77734375" style="280" customWidth="1"/>
    <col min="1283" max="1283" width="3.77734375" style="280" customWidth="1"/>
    <col min="1284" max="1284" width="1.44140625" style="280" bestFit="1" customWidth="1"/>
    <col min="1285" max="1285" width="2.44140625" style="280" bestFit="1" customWidth="1"/>
    <col min="1286" max="1286" width="8" style="280" bestFit="1" customWidth="1"/>
    <col min="1287" max="1287" width="7.21875" style="280" bestFit="1" customWidth="1"/>
    <col min="1288" max="1288" width="4.44140625" style="280" bestFit="1" customWidth="1"/>
    <col min="1289" max="1289" width="7" style="280" bestFit="1" customWidth="1"/>
    <col min="1290" max="1290" width="3.77734375" style="280" bestFit="1" customWidth="1"/>
    <col min="1291" max="1536" width="8.88671875" style="280"/>
    <col min="1537" max="1537" width="4.33203125" style="280" bestFit="1" customWidth="1"/>
    <col min="1538" max="1538" width="17.77734375" style="280" customWidth="1"/>
    <col min="1539" max="1539" width="3.77734375" style="280" customWidth="1"/>
    <col min="1540" max="1540" width="1.44140625" style="280" bestFit="1" customWidth="1"/>
    <col min="1541" max="1541" width="2.44140625" style="280" bestFit="1" customWidth="1"/>
    <col min="1542" max="1542" width="8" style="280" bestFit="1" customWidth="1"/>
    <col min="1543" max="1543" width="7.21875" style="280" bestFit="1" customWidth="1"/>
    <col min="1544" max="1544" width="4.44140625" style="280" bestFit="1" customWidth="1"/>
    <col min="1545" max="1545" width="7" style="280" bestFit="1" customWidth="1"/>
    <col min="1546" max="1546" width="3.77734375" style="280" bestFit="1" customWidth="1"/>
    <col min="1547" max="1792" width="8.88671875" style="280"/>
    <col min="1793" max="1793" width="4.33203125" style="280" bestFit="1" customWidth="1"/>
    <col min="1794" max="1794" width="17.77734375" style="280" customWidth="1"/>
    <col min="1795" max="1795" width="3.77734375" style="280" customWidth="1"/>
    <col min="1796" max="1796" width="1.44140625" style="280" bestFit="1" customWidth="1"/>
    <col min="1797" max="1797" width="2.44140625" style="280" bestFit="1" customWidth="1"/>
    <col min="1798" max="1798" width="8" style="280" bestFit="1" customWidth="1"/>
    <col min="1799" max="1799" width="7.21875" style="280" bestFit="1" customWidth="1"/>
    <col min="1800" max="1800" width="4.44140625" style="280" bestFit="1" customWidth="1"/>
    <col min="1801" max="1801" width="7" style="280" bestFit="1" customWidth="1"/>
    <col min="1802" max="1802" width="3.77734375" style="280" bestFit="1" customWidth="1"/>
    <col min="1803" max="2048" width="8.88671875" style="280"/>
    <col min="2049" max="2049" width="4.33203125" style="280" bestFit="1" customWidth="1"/>
    <col min="2050" max="2050" width="17.77734375" style="280" customWidth="1"/>
    <col min="2051" max="2051" width="3.77734375" style="280" customWidth="1"/>
    <col min="2052" max="2052" width="1.44140625" style="280" bestFit="1" customWidth="1"/>
    <col min="2053" max="2053" width="2.44140625" style="280" bestFit="1" customWidth="1"/>
    <col min="2054" max="2054" width="8" style="280" bestFit="1" customWidth="1"/>
    <col min="2055" max="2055" width="7.21875" style="280" bestFit="1" customWidth="1"/>
    <col min="2056" max="2056" width="4.44140625" style="280" bestFit="1" customWidth="1"/>
    <col min="2057" max="2057" width="7" style="280" bestFit="1" customWidth="1"/>
    <col min="2058" max="2058" width="3.77734375" style="280" bestFit="1" customWidth="1"/>
    <col min="2059" max="2304" width="8.88671875" style="280"/>
    <col min="2305" max="2305" width="4.33203125" style="280" bestFit="1" customWidth="1"/>
    <col min="2306" max="2306" width="17.77734375" style="280" customWidth="1"/>
    <col min="2307" max="2307" width="3.77734375" style="280" customWidth="1"/>
    <col min="2308" max="2308" width="1.44140625" style="280" bestFit="1" customWidth="1"/>
    <col min="2309" max="2309" width="2.44140625" style="280" bestFit="1" customWidth="1"/>
    <col min="2310" max="2310" width="8" style="280" bestFit="1" customWidth="1"/>
    <col min="2311" max="2311" width="7.21875" style="280" bestFit="1" customWidth="1"/>
    <col min="2312" max="2312" width="4.44140625" style="280" bestFit="1" customWidth="1"/>
    <col min="2313" max="2313" width="7" style="280" bestFit="1" customWidth="1"/>
    <col min="2314" max="2314" width="3.77734375" style="280" bestFit="1" customWidth="1"/>
    <col min="2315" max="2560" width="8.88671875" style="280"/>
    <col min="2561" max="2561" width="4.33203125" style="280" bestFit="1" customWidth="1"/>
    <col min="2562" max="2562" width="17.77734375" style="280" customWidth="1"/>
    <col min="2563" max="2563" width="3.77734375" style="280" customWidth="1"/>
    <col min="2564" max="2564" width="1.44140625" style="280" bestFit="1" customWidth="1"/>
    <col min="2565" max="2565" width="2.44140625" style="280" bestFit="1" customWidth="1"/>
    <col min="2566" max="2566" width="8" style="280" bestFit="1" customWidth="1"/>
    <col min="2567" max="2567" width="7.21875" style="280" bestFit="1" customWidth="1"/>
    <col min="2568" max="2568" width="4.44140625" style="280" bestFit="1" customWidth="1"/>
    <col min="2569" max="2569" width="7" style="280" bestFit="1" customWidth="1"/>
    <col min="2570" max="2570" width="3.77734375" style="280" bestFit="1" customWidth="1"/>
    <col min="2571" max="2816" width="8.88671875" style="280"/>
    <col min="2817" max="2817" width="4.33203125" style="280" bestFit="1" customWidth="1"/>
    <col min="2818" max="2818" width="17.77734375" style="280" customWidth="1"/>
    <col min="2819" max="2819" width="3.77734375" style="280" customWidth="1"/>
    <col min="2820" max="2820" width="1.44140625" style="280" bestFit="1" customWidth="1"/>
    <col min="2821" max="2821" width="2.44140625" style="280" bestFit="1" customWidth="1"/>
    <col min="2822" max="2822" width="8" style="280" bestFit="1" customWidth="1"/>
    <col min="2823" max="2823" width="7.21875" style="280" bestFit="1" customWidth="1"/>
    <col min="2824" max="2824" width="4.44140625" style="280" bestFit="1" customWidth="1"/>
    <col min="2825" max="2825" width="7" style="280" bestFit="1" customWidth="1"/>
    <col min="2826" max="2826" width="3.77734375" style="280" bestFit="1" customWidth="1"/>
    <col min="2827" max="3072" width="8.88671875" style="280"/>
    <col min="3073" max="3073" width="4.33203125" style="280" bestFit="1" customWidth="1"/>
    <col min="3074" max="3074" width="17.77734375" style="280" customWidth="1"/>
    <col min="3075" max="3075" width="3.77734375" style="280" customWidth="1"/>
    <col min="3076" max="3076" width="1.44140625" style="280" bestFit="1" customWidth="1"/>
    <col min="3077" max="3077" width="2.44140625" style="280" bestFit="1" customWidth="1"/>
    <col min="3078" max="3078" width="8" style="280" bestFit="1" customWidth="1"/>
    <col min="3079" max="3079" width="7.21875" style="280" bestFit="1" customWidth="1"/>
    <col min="3080" max="3080" width="4.44140625" style="280" bestFit="1" customWidth="1"/>
    <col min="3081" max="3081" width="7" style="280" bestFit="1" customWidth="1"/>
    <col min="3082" max="3082" width="3.77734375" style="280" bestFit="1" customWidth="1"/>
    <col min="3083" max="3328" width="8.88671875" style="280"/>
    <col min="3329" max="3329" width="4.33203125" style="280" bestFit="1" customWidth="1"/>
    <col min="3330" max="3330" width="17.77734375" style="280" customWidth="1"/>
    <col min="3331" max="3331" width="3.77734375" style="280" customWidth="1"/>
    <col min="3332" max="3332" width="1.44140625" style="280" bestFit="1" customWidth="1"/>
    <col min="3333" max="3333" width="2.44140625" style="280" bestFit="1" customWidth="1"/>
    <col min="3334" max="3334" width="8" style="280" bestFit="1" customWidth="1"/>
    <col min="3335" max="3335" width="7.21875" style="280" bestFit="1" customWidth="1"/>
    <col min="3336" max="3336" width="4.44140625" style="280" bestFit="1" customWidth="1"/>
    <col min="3337" max="3337" width="7" style="280" bestFit="1" customWidth="1"/>
    <col min="3338" max="3338" width="3.77734375" style="280" bestFit="1" customWidth="1"/>
    <col min="3339" max="3584" width="8.88671875" style="280"/>
    <col min="3585" max="3585" width="4.33203125" style="280" bestFit="1" customWidth="1"/>
    <col min="3586" max="3586" width="17.77734375" style="280" customWidth="1"/>
    <col min="3587" max="3587" width="3.77734375" style="280" customWidth="1"/>
    <col min="3588" max="3588" width="1.44140625" style="280" bestFit="1" customWidth="1"/>
    <col min="3589" max="3589" width="2.44140625" style="280" bestFit="1" customWidth="1"/>
    <col min="3590" max="3590" width="8" style="280" bestFit="1" customWidth="1"/>
    <col min="3591" max="3591" width="7.21875" style="280" bestFit="1" customWidth="1"/>
    <col min="3592" max="3592" width="4.44140625" style="280" bestFit="1" customWidth="1"/>
    <col min="3593" max="3593" width="7" style="280" bestFit="1" customWidth="1"/>
    <col min="3594" max="3594" width="3.77734375" style="280" bestFit="1" customWidth="1"/>
    <col min="3595" max="3840" width="8.88671875" style="280"/>
    <col min="3841" max="3841" width="4.33203125" style="280" bestFit="1" customWidth="1"/>
    <col min="3842" max="3842" width="17.77734375" style="280" customWidth="1"/>
    <col min="3843" max="3843" width="3.77734375" style="280" customWidth="1"/>
    <col min="3844" max="3844" width="1.44140625" style="280" bestFit="1" customWidth="1"/>
    <col min="3845" max="3845" width="2.44140625" style="280" bestFit="1" customWidth="1"/>
    <col min="3846" max="3846" width="8" style="280" bestFit="1" customWidth="1"/>
    <col min="3847" max="3847" width="7.21875" style="280" bestFit="1" customWidth="1"/>
    <col min="3848" max="3848" width="4.44140625" style="280" bestFit="1" customWidth="1"/>
    <col min="3849" max="3849" width="7" style="280" bestFit="1" customWidth="1"/>
    <col min="3850" max="3850" width="3.77734375" style="280" bestFit="1" customWidth="1"/>
    <col min="3851" max="4096" width="8.88671875" style="280"/>
    <col min="4097" max="4097" width="4.33203125" style="280" bestFit="1" customWidth="1"/>
    <col min="4098" max="4098" width="17.77734375" style="280" customWidth="1"/>
    <col min="4099" max="4099" width="3.77734375" style="280" customWidth="1"/>
    <col min="4100" max="4100" width="1.44140625" style="280" bestFit="1" customWidth="1"/>
    <col min="4101" max="4101" width="2.44140625" style="280" bestFit="1" customWidth="1"/>
    <col min="4102" max="4102" width="8" style="280" bestFit="1" customWidth="1"/>
    <col min="4103" max="4103" width="7.21875" style="280" bestFit="1" customWidth="1"/>
    <col min="4104" max="4104" width="4.44140625" style="280" bestFit="1" customWidth="1"/>
    <col min="4105" max="4105" width="7" style="280" bestFit="1" customWidth="1"/>
    <col min="4106" max="4106" width="3.77734375" style="280" bestFit="1" customWidth="1"/>
    <col min="4107" max="4352" width="8.88671875" style="280"/>
    <col min="4353" max="4353" width="4.33203125" style="280" bestFit="1" customWidth="1"/>
    <col min="4354" max="4354" width="17.77734375" style="280" customWidth="1"/>
    <col min="4355" max="4355" width="3.77734375" style="280" customWidth="1"/>
    <col min="4356" max="4356" width="1.44140625" style="280" bestFit="1" customWidth="1"/>
    <col min="4357" max="4357" width="2.44140625" style="280" bestFit="1" customWidth="1"/>
    <col min="4358" max="4358" width="8" style="280" bestFit="1" customWidth="1"/>
    <col min="4359" max="4359" width="7.21875" style="280" bestFit="1" customWidth="1"/>
    <col min="4360" max="4360" width="4.44140625" style="280" bestFit="1" customWidth="1"/>
    <col min="4361" max="4361" width="7" style="280" bestFit="1" customWidth="1"/>
    <col min="4362" max="4362" width="3.77734375" style="280" bestFit="1" customWidth="1"/>
    <col min="4363" max="4608" width="8.88671875" style="280"/>
    <col min="4609" max="4609" width="4.33203125" style="280" bestFit="1" customWidth="1"/>
    <col min="4610" max="4610" width="17.77734375" style="280" customWidth="1"/>
    <col min="4611" max="4611" width="3.77734375" style="280" customWidth="1"/>
    <col min="4612" max="4612" width="1.44140625" style="280" bestFit="1" customWidth="1"/>
    <col min="4613" max="4613" width="2.44140625" style="280" bestFit="1" customWidth="1"/>
    <col min="4614" max="4614" width="8" style="280" bestFit="1" customWidth="1"/>
    <col min="4615" max="4615" width="7.21875" style="280" bestFit="1" customWidth="1"/>
    <col min="4616" max="4616" width="4.44140625" style="280" bestFit="1" customWidth="1"/>
    <col min="4617" max="4617" width="7" style="280" bestFit="1" customWidth="1"/>
    <col min="4618" max="4618" width="3.77734375" style="280" bestFit="1" customWidth="1"/>
    <col min="4619" max="4864" width="8.88671875" style="280"/>
    <col min="4865" max="4865" width="4.33203125" style="280" bestFit="1" customWidth="1"/>
    <col min="4866" max="4866" width="17.77734375" style="280" customWidth="1"/>
    <col min="4867" max="4867" width="3.77734375" style="280" customWidth="1"/>
    <col min="4868" max="4868" width="1.44140625" style="280" bestFit="1" customWidth="1"/>
    <col min="4869" max="4869" width="2.44140625" style="280" bestFit="1" customWidth="1"/>
    <col min="4870" max="4870" width="8" style="280" bestFit="1" customWidth="1"/>
    <col min="4871" max="4871" width="7.21875" style="280" bestFit="1" customWidth="1"/>
    <col min="4872" max="4872" width="4.44140625" style="280" bestFit="1" customWidth="1"/>
    <col min="4873" max="4873" width="7" style="280" bestFit="1" customWidth="1"/>
    <col min="4874" max="4874" width="3.77734375" style="280" bestFit="1" customWidth="1"/>
    <col min="4875" max="5120" width="8.88671875" style="280"/>
    <col min="5121" max="5121" width="4.33203125" style="280" bestFit="1" customWidth="1"/>
    <col min="5122" max="5122" width="17.77734375" style="280" customWidth="1"/>
    <col min="5123" max="5123" width="3.77734375" style="280" customWidth="1"/>
    <col min="5124" max="5124" width="1.44140625" style="280" bestFit="1" customWidth="1"/>
    <col min="5125" max="5125" width="2.44140625" style="280" bestFit="1" customWidth="1"/>
    <col min="5126" max="5126" width="8" style="280" bestFit="1" customWidth="1"/>
    <col min="5127" max="5127" width="7.21875" style="280" bestFit="1" customWidth="1"/>
    <col min="5128" max="5128" width="4.44140625" style="280" bestFit="1" customWidth="1"/>
    <col min="5129" max="5129" width="7" style="280" bestFit="1" customWidth="1"/>
    <col min="5130" max="5130" width="3.77734375" style="280" bestFit="1" customWidth="1"/>
    <col min="5131" max="5376" width="8.88671875" style="280"/>
    <col min="5377" max="5377" width="4.33203125" style="280" bestFit="1" customWidth="1"/>
    <col min="5378" max="5378" width="17.77734375" style="280" customWidth="1"/>
    <col min="5379" max="5379" width="3.77734375" style="280" customWidth="1"/>
    <col min="5380" max="5380" width="1.44140625" style="280" bestFit="1" customWidth="1"/>
    <col min="5381" max="5381" width="2.44140625" style="280" bestFit="1" customWidth="1"/>
    <col min="5382" max="5382" width="8" style="280" bestFit="1" customWidth="1"/>
    <col min="5383" max="5383" width="7.21875" style="280" bestFit="1" customWidth="1"/>
    <col min="5384" max="5384" width="4.44140625" style="280" bestFit="1" customWidth="1"/>
    <col min="5385" max="5385" width="7" style="280" bestFit="1" customWidth="1"/>
    <col min="5386" max="5386" width="3.77734375" style="280" bestFit="1" customWidth="1"/>
    <col min="5387" max="5632" width="8.88671875" style="280"/>
    <col min="5633" max="5633" width="4.33203125" style="280" bestFit="1" customWidth="1"/>
    <col min="5634" max="5634" width="17.77734375" style="280" customWidth="1"/>
    <col min="5635" max="5635" width="3.77734375" style="280" customWidth="1"/>
    <col min="5636" max="5636" width="1.44140625" style="280" bestFit="1" customWidth="1"/>
    <col min="5637" max="5637" width="2.44140625" style="280" bestFit="1" customWidth="1"/>
    <col min="5638" max="5638" width="8" style="280" bestFit="1" customWidth="1"/>
    <col min="5639" max="5639" width="7.21875" style="280" bestFit="1" customWidth="1"/>
    <col min="5640" max="5640" width="4.44140625" style="280" bestFit="1" customWidth="1"/>
    <col min="5641" max="5641" width="7" style="280" bestFit="1" customWidth="1"/>
    <col min="5642" max="5642" width="3.77734375" style="280" bestFit="1" customWidth="1"/>
    <col min="5643" max="5888" width="8.88671875" style="280"/>
    <col min="5889" max="5889" width="4.33203125" style="280" bestFit="1" customWidth="1"/>
    <col min="5890" max="5890" width="17.77734375" style="280" customWidth="1"/>
    <col min="5891" max="5891" width="3.77734375" style="280" customWidth="1"/>
    <col min="5892" max="5892" width="1.44140625" style="280" bestFit="1" customWidth="1"/>
    <col min="5893" max="5893" width="2.44140625" style="280" bestFit="1" customWidth="1"/>
    <col min="5894" max="5894" width="8" style="280" bestFit="1" customWidth="1"/>
    <col min="5895" max="5895" width="7.21875" style="280" bestFit="1" customWidth="1"/>
    <col min="5896" max="5896" width="4.44140625" style="280" bestFit="1" customWidth="1"/>
    <col min="5897" max="5897" width="7" style="280" bestFit="1" customWidth="1"/>
    <col min="5898" max="5898" width="3.77734375" style="280" bestFit="1" customWidth="1"/>
    <col min="5899" max="6144" width="8.88671875" style="280"/>
    <col min="6145" max="6145" width="4.33203125" style="280" bestFit="1" customWidth="1"/>
    <col min="6146" max="6146" width="17.77734375" style="280" customWidth="1"/>
    <col min="6147" max="6147" width="3.77734375" style="280" customWidth="1"/>
    <col min="6148" max="6148" width="1.44140625" style="280" bestFit="1" customWidth="1"/>
    <col min="6149" max="6149" width="2.44140625" style="280" bestFit="1" customWidth="1"/>
    <col min="6150" max="6150" width="8" style="280" bestFit="1" customWidth="1"/>
    <col min="6151" max="6151" width="7.21875" style="280" bestFit="1" customWidth="1"/>
    <col min="6152" max="6152" width="4.44140625" style="280" bestFit="1" customWidth="1"/>
    <col min="6153" max="6153" width="7" style="280" bestFit="1" customWidth="1"/>
    <col min="6154" max="6154" width="3.77734375" style="280" bestFit="1" customWidth="1"/>
    <col min="6155" max="6400" width="8.88671875" style="280"/>
    <col min="6401" max="6401" width="4.33203125" style="280" bestFit="1" customWidth="1"/>
    <col min="6402" max="6402" width="17.77734375" style="280" customWidth="1"/>
    <col min="6403" max="6403" width="3.77734375" style="280" customWidth="1"/>
    <col min="6404" max="6404" width="1.44140625" style="280" bestFit="1" customWidth="1"/>
    <col min="6405" max="6405" width="2.44140625" style="280" bestFit="1" customWidth="1"/>
    <col min="6406" max="6406" width="8" style="280" bestFit="1" customWidth="1"/>
    <col min="6407" max="6407" width="7.21875" style="280" bestFit="1" customWidth="1"/>
    <col min="6408" max="6408" width="4.44140625" style="280" bestFit="1" customWidth="1"/>
    <col min="6409" max="6409" width="7" style="280" bestFit="1" customWidth="1"/>
    <col min="6410" max="6410" width="3.77734375" style="280" bestFit="1" customWidth="1"/>
    <col min="6411" max="6656" width="8.88671875" style="280"/>
    <col min="6657" max="6657" width="4.33203125" style="280" bestFit="1" customWidth="1"/>
    <col min="6658" max="6658" width="17.77734375" style="280" customWidth="1"/>
    <col min="6659" max="6659" width="3.77734375" style="280" customWidth="1"/>
    <col min="6660" max="6660" width="1.44140625" style="280" bestFit="1" customWidth="1"/>
    <col min="6661" max="6661" width="2.44140625" style="280" bestFit="1" customWidth="1"/>
    <col min="6662" max="6662" width="8" style="280" bestFit="1" customWidth="1"/>
    <col min="6663" max="6663" width="7.21875" style="280" bestFit="1" customWidth="1"/>
    <col min="6664" max="6664" width="4.44140625" style="280" bestFit="1" customWidth="1"/>
    <col min="6665" max="6665" width="7" style="280" bestFit="1" customWidth="1"/>
    <col min="6666" max="6666" width="3.77734375" style="280" bestFit="1" customWidth="1"/>
    <col min="6667" max="6912" width="8.88671875" style="280"/>
    <col min="6913" max="6913" width="4.33203125" style="280" bestFit="1" customWidth="1"/>
    <col min="6914" max="6914" width="17.77734375" style="280" customWidth="1"/>
    <col min="6915" max="6915" width="3.77734375" style="280" customWidth="1"/>
    <col min="6916" max="6916" width="1.44140625" style="280" bestFit="1" customWidth="1"/>
    <col min="6917" max="6917" width="2.44140625" style="280" bestFit="1" customWidth="1"/>
    <col min="6918" max="6918" width="8" style="280" bestFit="1" customWidth="1"/>
    <col min="6919" max="6919" width="7.21875" style="280" bestFit="1" customWidth="1"/>
    <col min="6920" max="6920" width="4.44140625" style="280" bestFit="1" customWidth="1"/>
    <col min="6921" max="6921" width="7" style="280" bestFit="1" customWidth="1"/>
    <col min="6922" max="6922" width="3.77734375" style="280" bestFit="1" customWidth="1"/>
    <col min="6923" max="7168" width="8.88671875" style="280"/>
    <col min="7169" max="7169" width="4.33203125" style="280" bestFit="1" customWidth="1"/>
    <col min="7170" max="7170" width="17.77734375" style="280" customWidth="1"/>
    <col min="7171" max="7171" width="3.77734375" style="280" customWidth="1"/>
    <col min="7172" max="7172" width="1.44140625" style="280" bestFit="1" customWidth="1"/>
    <col min="7173" max="7173" width="2.44140625" style="280" bestFit="1" customWidth="1"/>
    <col min="7174" max="7174" width="8" style="280" bestFit="1" customWidth="1"/>
    <col min="7175" max="7175" width="7.21875" style="280" bestFit="1" customWidth="1"/>
    <col min="7176" max="7176" width="4.44140625" style="280" bestFit="1" customWidth="1"/>
    <col min="7177" max="7177" width="7" style="280" bestFit="1" customWidth="1"/>
    <col min="7178" max="7178" width="3.77734375" style="280" bestFit="1" customWidth="1"/>
    <col min="7179" max="7424" width="8.88671875" style="280"/>
    <col min="7425" max="7425" width="4.33203125" style="280" bestFit="1" customWidth="1"/>
    <col min="7426" max="7426" width="17.77734375" style="280" customWidth="1"/>
    <col min="7427" max="7427" width="3.77734375" style="280" customWidth="1"/>
    <col min="7428" max="7428" width="1.44140625" style="280" bestFit="1" customWidth="1"/>
    <col min="7429" max="7429" width="2.44140625" style="280" bestFit="1" customWidth="1"/>
    <col min="7430" max="7430" width="8" style="280" bestFit="1" customWidth="1"/>
    <col min="7431" max="7431" width="7.21875" style="280" bestFit="1" customWidth="1"/>
    <col min="7432" max="7432" width="4.44140625" style="280" bestFit="1" customWidth="1"/>
    <col min="7433" max="7433" width="7" style="280" bestFit="1" customWidth="1"/>
    <col min="7434" max="7434" width="3.77734375" style="280" bestFit="1" customWidth="1"/>
    <col min="7435" max="7680" width="8.88671875" style="280"/>
    <col min="7681" max="7681" width="4.33203125" style="280" bestFit="1" customWidth="1"/>
    <col min="7682" max="7682" width="17.77734375" style="280" customWidth="1"/>
    <col min="7683" max="7683" width="3.77734375" style="280" customWidth="1"/>
    <col min="7684" max="7684" width="1.44140625" style="280" bestFit="1" customWidth="1"/>
    <col min="7685" max="7685" width="2.44140625" style="280" bestFit="1" customWidth="1"/>
    <col min="7686" max="7686" width="8" style="280" bestFit="1" customWidth="1"/>
    <col min="7687" max="7687" width="7.21875" style="280" bestFit="1" customWidth="1"/>
    <col min="7688" max="7688" width="4.44140625" style="280" bestFit="1" customWidth="1"/>
    <col min="7689" max="7689" width="7" style="280" bestFit="1" customWidth="1"/>
    <col min="7690" max="7690" width="3.77734375" style="280" bestFit="1" customWidth="1"/>
    <col min="7691" max="7936" width="8.88671875" style="280"/>
    <col min="7937" max="7937" width="4.33203125" style="280" bestFit="1" customWidth="1"/>
    <col min="7938" max="7938" width="17.77734375" style="280" customWidth="1"/>
    <col min="7939" max="7939" width="3.77734375" style="280" customWidth="1"/>
    <col min="7940" max="7940" width="1.44140625" style="280" bestFit="1" customWidth="1"/>
    <col min="7941" max="7941" width="2.44140625" style="280" bestFit="1" customWidth="1"/>
    <col min="7942" max="7942" width="8" style="280" bestFit="1" customWidth="1"/>
    <col min="7943" max="7943" width="7.21875" style="280" bestFit="1" customWidth="1"/>
    <col min="7944" max="7944" width="4.44140625" style="280" bestFit="1" customWidth="1"/>
    <col min="7945" max="7945" width="7" style="280" bestFit="1" customWidth="1"/>
    <col min="7946" max="7946" width="3.77734375" style="280" bestFit="1" customWidth="1"/>
    <col min="7947" max="8192" width="8.88671875" style="280"/>
    <col min="8193" max="8193" width="4.33203125" style="280" bestFit="1" customWidth="1"/>
    <col min="8194" max="8194" width="17.77734375" style="280" customWidth="1"/>
    <col min="8195" max="8195" width="3.77734375" style="280" customWidth="1"/>
    <col min="8196" max="8196" width="1.44140625" style="280" bestFit="1" customWidth="1"/>
    <col min="8197" max="8197" width="2.44140625" style="280" bestFit="1" customWidth="1"/>
    <col min="8198" max="8198" width="8" style="280" bestFit="1" customWidth="1"/>
    <col min="8199" max="8199" width="7.21875" style="280" bestFit="1" customWidth="1"/>
    <col min="8200" max="8200" width="4.44140625" style="280" bestFit="1" customWidth="1"/>
    <col min="8201" max="8201" width="7" style="280" bestFit="1" customWidth="1"/>
    <col min="8202" max="8202" width="3.77734375" style="280" bestFit="1" customWidth="1"/>
    <col min="8203" max="8448" width="8.88671875" style="280"/>
    <col min="8449" max="8449" width="4.33203125" style="280" bestFit="1" customWidth="1"/>
    <col min="8450" max="8450" width="17.77734375" style="280" customWidth="1"/>
    <col min="8451" max="8451" width="3.77734375" style="280" customWidth="1"/>
    <col min="8452" max="8452" width="1.44140625" style="280" bestFit="1" customWidth="1"/>
    <col min="8453" max="8453" width="2.44140625" style="280" bestFit="1" customWidth="1"/>
    <col min="8454" max="8454" width="8" style="280" bestFit="1" customWidth="1"/>
    <col min="8455" max="8455" width="7.21875" style="280" bestFit="1" customWidth="1"/>
    <col min="8456" max="8456" width="4.44140625" style="280" bestFit="1" customWidth="1"/>
    <col min="8457" max="8457" width="7" style="280" bestFit="1" customWidth="1"/>
    <col min="8458" max="8458" width="3.77734375" style="280" bestFit="1" customWidth="1"/>
    <col min="8459" max="8704" width="8.88671875" style="280"/>
    <col min="8705" max="8705" width="4.33203125" style="280" bestFit="1" customWidth="1"/>
    <col min="8706" max="8706" width="17.77734375" style="280" customWidth="1"/>
    <col min="8707" max="8707" width="3.77734375" style="280" customWidth="1"/>
    <col min="8708" max="8708" width="1.44140625" style="280" bestFit="1" customWidth="1"/>
    <col min="8709" max="8709" width="2.44140625" style="280" bestFit="1" customWidth="1"/>
    <col min="8710" max="8710" width="8" style="280" bestFit="1" customWidth="1"/>
    <col min="8711" max="8711" width="7.21875" style="280" bestFit="1" customWidth="1"/>
    <col min="8712" max="8712" width="4.44140625" style="280" bestFit="1" customWidth="1"/>
    <col min="8713" max="8713" width="7" style="280" bestFit="1" customWidth="1"/>
    <col min="8714" max="8714" width="3.77734375" style="280" bestFit="1" customWidth="1"/>
    <col min="8715" max="8960" width="8.88671875" style="280"/>
    <col min="8961" max="8961" width="4.33203125" style="280" bestFit="1" customWidth="1"/>
    <col min="8962" max="8962" width="17.77734375" style="280" customWidth="1"/>
    <col min="8963" max="8963" width="3.77734375" style="280" customWidth="1"/>
    <col min="8964" max="8964" width="1.44140625" style="280" bestFit="1" customWidth="1"/>
    <col min="8965" max="8965" width="2.44140625" style="280" bestFit="1" customWidth="1"/>
    <col min="8966" max="8966" width="8" style="280" bestFit="1" customWidth="1"/>
    <col min="8967" max="8967" width="7.21875" style="280" bestFit="1" customWidth="1"/>
    <col min="8968" max="8968" width="4.44140625" style="280" bestFit="1" customWidth="1"/>
    <col min="8969" max="8969" width="7" style="280" bestFit="1" customWidth="1"/>
    <col min="8970" max="8970" width="3.77734375" style="280" bestFit="1" customWidth="1"/>
    <col min="8971" max="9216" width="8.88671875" style="280"/>
    <col min="9217" max="9217" width="4.33203125" style="280" bestFit="1" customWidth="1"/>
    <col min="9218" max="9218" width="17.77734375" style="280" customWidth="1"/>
    <col min="9219" max="9219" width="3.77734375" style="280" customWidth="1"/>
    <col min="9220" max="9220" width="1.44140625" style="280" bestFit="1" customWidth="1"/>
    <col min="9221" max="9221" width="2.44140625" style="280" bestFit="1" customWidth="1"/>
    <col min="9222" max="9222" width="8" style="280" bestFit="1" customWidth="1"/>
    <col min="9223" max="9223" width="7.21875" style="280" bestFit="1" customWidth="1"/>
    <col min="9224" max="9224" width="4.44140625" style="280" bestFit="1" customWidth="1"/>
    <col min="9225" max="9225" width="7" style="280" bestFit="1" customWidth="1"/>
    <col min="9226" max="9226" width="3.77734375" style="280" bestFit="1" customWidth="1"/>
    <col min="9227" max="9472" width="8.88671875" style="280"/>
    <col min="9473" max="9473" width="4.33203125" style="280" bestFit="1" customWidth="1"/>
    <col min="9474" max="9474" width="17.77734375" style="280" customWidth="1"/>
    <col min="9475" max="9475" width="3.77734375" style="280" customWidth="1"/>
    <col min="9476" max="9476" width="1.44140625" style="280" bestFit="1" customWidth="1"/>
    <col min="9477" max="9477" width="2.44140625" style="280" bestFit="1" customWidth="1"/>
    <col min="9478" max="9478" width="8" style="280" bestFit="1" customWidth="1"/>
    <col min="9479" max="9479" width="7.21875" style="280" bestFit="1" customWidth="1"/>
    <col min="9480" max="9480" width="4.44140625" style="280" bestFit="1" customWidth="1"/>
    <col min="9481" max="9481" width="7" style="280" bestFit="1" customWidth="1"/>
    <col min="9482" max="9482" width="3.77734375" style="280" bestFit="1" customWidth="1"/>
    <col min="9483" max="9728" width="8.88671875" style="280"/>
    <col min="9729" max="9729" width="4.33203125" style="280" bestFit="1" customWidth="1"/>
    <col min="9730" max="9730" width="17.77734375" style="280" customWidth="1"/>
    <col min="9731" max="9731" width="3.77734375" style="280" customWidth="1"/>
    <col min="9732" max="9732" width="1.44140625" style="280" bestFit="1" customWidth="1"/>
    <col min="9733" max="9733" width="2.44140625" style="280" bestFit="1" customWidth="1"/>
    <col min="9734" max="9734" width="8" style="280" bestFit="1" customWidth="1"/>
    <col min="9735" max="9735" width="7.21875" style="280" bestFit="1" customWidth="1"/>
    <col min="9736" max="9736" width="4.44140625" style="280" bestFit="1" customWidth="1"/>
    <col min="9737" max="9737" width="7" style="280" bestFit="1" customWidth="1"/>
    <col min="9738" max="9738" width="3.77734375" style="280" bestFit="1" customWidth="1"/>
    <col min="9739" max="9984" width="8.88671875" style="280"/>
    <col min="9985" max="9985" width="4.33203125" style="280" bestFit="1" customWidth="1"/>
    <col min="9986" max="9986" width="17.77734375" style="280" customWidth="1"/>
    <col min="9987" max="9987" width="3.77734375" style="280" customWidth="1"/>
    <col min="9988" max="9988" width="1.44140625" style="280" bestFit="1" customWidth="1"/>
    <col min="9989" max="9989" width="2.44140625" style="280" bestFit="1" customWidth="1"/>
    <col min="9990" max="9990" width="8" style="280" bestFit="1" customWidth="1"/>
    <col min="9991" max="9991" width="7.21875" style="280" bestFit="1" customWidth="1"/>
    <col min="9992" max="9992" width="4.44140625" style="280" bestFit="1" customWidth="1"/>
    <col min="9993" max="9993" width="7" style="280" bestFit="1" customWidth="1"/>
    <col min="9994" max="9994" width="3.77734375" style="280" bestFit="1" customWidth="1"/>
    <col min="9995" max="10240" width="8.88671875" style="280"/>
    <col min="10241" max="10241" width="4.33203125" style="280" bestFit="1" customWidth="1"/>
    <col min="10242" max="10242" width="17.77734375" style="280" customWidth="1"/>
    <col min="10243" max="10243" width="3.77734375" style="280" customWidth="1"/>
    <col min="10244" max="10244" width="1.44140625" style="280" bestFit="1" customWidth="1"/>
    <col min="10245" max="10245" width="2.44140625" style="280" bestFit="1" customWidth="1"/>
    <col min="10246" max="10246" width="8" style="280" bestFit="1" customWidth="1"/>
    <col min="10247" max="10247" width="7.21875" style="280" bestFit="1" customWidth="1"/>
    <col min="10248" max="10248" width="4.44140625" style="280" bestFit="1" customWidth="1"/>
    <col min="10249" max="10249" width="7" style="280" bestFit="1" customWidth="1"/>
    <col min="10250" max="10250" width="3.77734375" style="280" bestFit="1" customWidth="1"/>
    <col min="10251" max="10496" width="8.88671875" style="280"/>
    <col min="10497" max="10497" width="4.33203125" style="280" bestFit="1" customWidth="1"/>
    <col min="10498" max="10498" width="17.77734375" style="280" customWidth="1"/>
    <col min="10499" max="10499" width="3.77734375" style="280" customWidth="1"/>
    <col min="10500" max="10500" width="1.44140625" style="280" bestFit="1" customWidth="1"/>
    <col min="10501" max="10501" width="2.44140625" style="280" bestFit="1" customWidth="1"/>
    <col min="10502" max="10502" width="8" style="280" bestFit="1" customWidth="1"/>
    <col min="10503" max="10503" width="7.21875" style="280" bestFit="1" customWidth="1"/>
    <col min="10504" max="10504" width="4.44140625" style="280" bestFit="1" customWidth="1"/>
    <col min="10505" max="10505" width="7" style="280" bestFit="1" customWidth="1"/>
    <col min="10506" max="10506" width="3.77734375" style="280" bestFit="1" customWidth="1"/>
    <col min="10507" max="10752" width="8.88671875" style="280"/>
    <col min="10753" max="10753" width="4.33203125" style="280" bestFit="1" customWidth="1"/>
    <col min="10754" max="10754" width="17.77734375" style="280" customWidth="1"/>
    <col min="10755" max="10755" width="3.77734375" style="280" customWidth="1"/>
    <col min="10756" max="10756" width="1.44140625" style="280" bestFit="1" customWidth="1"/>
    <col min="10757" max="10757" width="2.44140625" style="280" bestFit="1" customWidth="1"/>
    <col min="10758" max="10758" width="8" style="280" bestFit="1" customWidth="1"/>
    <col min="10759" max="10759" width="7.21875" style="280" bestFit="1" customWidth="1"/>
    <col min="10760" max="10760" width="4.44140625" style="280" bestFit="1" customWidth="1"/>
    <col min="10761" max="10761" width="7" style="280" bestFit="1" customWidth="1"/>
    <col min="10762" max="10762" width="3.77734375" style="280" bestFit="1" customWidth="1"/>
    <col min="10763" max="11008" width="8.88671875" style="280"/>
    <col min="11009" max="11009" width="4.33203125" style="280" bestFit="1" customWidth="1"/>
    <col min="11010" max="11010" width="17.77734375" style="280" customWidth="1"/>
    <col min="11011" max="11011" width="3.77734375" style="280" customWidth="1"/>
    <col min="11012" max="11012" width="1.44140625" style="280" bestFit="1" customWidth="1"/>
    <col min="11013" max="11013" width="2.44140625" style="280" bestFit="1" customWidth="1"/>
    <col min="11014" max="11014" width="8" style="280" bestFit="1" customWidth="1"/>
    <col min="11015" max="11015" width="7.21875" style="280" bestFit="1" customWidth="1"/>
    <col min="11016" max="11016" width="4.44140625" style="280" bestFit="1" customWidth="1"/>
    <col min="11017" max="11017" width="7" style="280" bestFit="1" customWidth="1"/>
    <col min="11018" max="11018" width="3.77734375" style="280" bestFit="1" customWidth="1"/>
    <col min="11019" max="11264" width="8.88671875" style="280"/>
    <col min="11265" max="11265" width="4.33203125" style="280" bestFit="1" customWidth="1"/>
    <col min="11266" max="11266" width="17.77734375" style="280" customWidth="1"/>
    <col min="11267" max="11267" width="3.77734375" style="280" customWidth="1"/>
    <col min="11268" max="11268" width="1.44140625" style="280" bestFit="1" customWidth="1"/>
    <col min="11269" max="11269" width="2.44140625" style="280" bestFit="1" customWidth="1"/>
    <col min="11270" max="11270" width="8" style="280" bestFit="1" customWidth="1"/>
    <col min="11271" max="11271" width="7.21875" style="280" bestFit="1" customWidth="1"/>
    <col min="11272" max="11272" width="4.44140625" style="280" bestFit="1" customWidth="1"/>
    <col min="11273" max="11273" width="7" style="280" bestFit="1" customWidth="1"/>
    <col min="11274" max="11274" width="3.77734375" style="280" bestFit="1" customWidth="1"/>
    <col min="11275" max="11520" width="8.88671875" style="280"/>
    <col min="11521" max="11521" width="4.33203125" style="280" bestFit="1" customWidth="1"/>
    <col min="11522" max="11522" width="17.77734375" style="280" customWidth="1"/>
    <col min="11523" max="11523" width="3.77734375" style="280" customWidth="1"/>
    <col min="11524" max="11524" width="1.44140625" style="280" bestFit="1" customWidth="1"/>
    <col min="11525" max="11525" width="2.44140625" style="280" bestFit="1" customWidth="1"/>
    <col min="11526" max="11526" width="8" style="280" bestFit="1" customWidth="1"/>
    <col min="11527" max="11527" width="7.21875" style="280" bestFit="1" customWidth="1"/>
    <col min="11528" max="11528" width="4.44140625" style="280" bestFit="1" customWidth="1"/>
    <col min="11529" max="11529" width="7" style="280" bestFit="1" customWidth="1"/>
    <col min="11530" max="11530" width="3.77734375" style="280" bestFit="1" customWidth="1"/>
    <col min="11531" max="11776" width="8.88671875" style="280"/>
    <col min="11777" max="11777" width="4.33203125" style="280" bestFit="1" customWidth="1"/>
    <col min="11778" max="11778" width="17.77734375" style="280" customWidth="1"/>
    <col min="11779" max="11779" width="3.77734375" style="280" customWidth="1"/>
    <col min="11780" max="11780" width="1.44140625" style="280" bestFit="1" customWidth="1"/>
    <col min="11781" max="11781" width="2.44140625" style="280" bestFit="1" customWidth="1"/>
    <col min="11782" max="11782" width="8" style="280" bestFit="1" customWidth="1"/>
    <col min="11783" max="11783" width="7.21875" style="280" bestFit="1" customWidth="1"/>
    <col min="11784" max="11784" width="4.44140625" style="280" bestFit="1" customWidth="1"/>
    <col min="11785" max="11785" width="7" style="280" bestFit="1" customWidth="1"/>
    <col min="11786" max="11786" width="3.77734375" style="280" bestFit="1" customWidth="1"/>
    <col min="11787" max="12032" width="8.88671875" style="280"/>
    <col min="12033" max="12033" width="4.33203125" style="280" bestFit="1" customWidth="1"/>
    <col min="12034" max="12034" width="17.77734375" style="280" customWidth="1"/>
    <col min="12035" max="12035" width="3.77734375" style="280" customWidth="1"/>
    <col min="12036" max="12036" width="1.44140625" style="280" bestFit="1" customWidth="1"/>
    <col min="12037" max="12037" width="2.44140625" style="280" bestFit="1" customWidth="1"/>
    <col min="12038" max="12038" width="8" style="280" bestFit="1" customWidth="1"/>
    <col min="12039" max="12039" width="7.21875" style="280" bestFit="1" customWidth="1"/>
    <col min="12040" max="12040" width="4.44140625" style="280" bestFit="1" customWidth="1"/>
    <col min="12041" max="12041" width="7" style="280" bestFit="1" customWidth="1"/>
    <col min="12042" max="12042" width="3.77734375" style="280" bestFit="1" customWidth="1"/>
    <col min="12043" max="12288" width="8.88671875" style="280"/>
    <col min="12289" max="12289" width="4.33203125" style="280" bestFit="1" customWidth="1"/>
    <col min="12290" max="12290" width="17.77734375" style="280" customWidth="1"/>
    <col min="12291" max="12291" width="3.77734375" style="280" customWidth="1"/>
    <col min="12292" max="12292" width="1.44140625" style="280" bestFit="1" customWidth="1"/>
    <col min="12293" max="12293" width="2.44140625" style="280" bestFit="1" customWidth="1"/>
    <col min="12294" max="12294" width="8" style="280" bestFit="1" customWidth="1"/>
    <col min="12295" max="12295" width="7.21875" style="280" bestFit="1" customWidth="1"/>
    <col min="12296" max="12296" width="4.44140625" style="280" bestFit="1" customWidth="1"/>
    <col min="12297" max="12297" width="7" style="280" bestFit="1" customWidth="1"/>
    <col min="12298" max="12298" width="3.77734375" style="280" bestFit="1" customWidth="1"/>
    <col min="12299" max="12544" width="8.88671875" style="280"/>
    <col min="12545" max="12545" width="4.33203125" style="280" bestFit="1" customWidth="1"/>
    <col min="12546" max="12546" width="17.77734375" style="280" customWidth="1"/>
    <col min="12547" max="12547" width="3.77734375" style="280" customWidth="1"/>
    <col min="12548" max="12548" width="1.44140625" style="280" bestFit="1" customWidth="1"/>
    <col min="12549" max="12549" width="2.44140625" style="280" bestFit="1" customWidth="1"/>
    <col min="12550" max="12550" width="8" style="280" bestFit="1" customWidth="1"/>
    <col min="12551" max="12551" width="7.21875" style="280" bestFit="1" customWidth="1"/>
    <col min="12552" max="12552" width="4.44140625" style="280" bestFit="1" customWidth="1"/>
    <col min="12553" max="12553" width="7" style="280" bestFit="1" customWidth="1"/>
    <col min="12554" max="12554" width="3.77734375" style="280" bestFit="1" customWidth="1"/>
    <col min="12555" max="12800" width="8.88671875" style="280"/>
    <col min="12801" max="12801" width="4.33203125" style="280" bestFit="1" customWidth="1"/>
    <col min="12802" max="12802" width="17.77734375" style="280" customWidth="1"/>
    <col min="12803" max="12803" width="3.77734375" style="280" customWidth="1"/>
    <col min="12804" max="12804" width="1.44140625" style="280" bestFit="1" customWidth="1"/>
    <col min="12805" max="12805" width="2.44140625" style="280" bestFit="1" customWidth="1"/>
    <col min="12806" max="12806" width="8" style="280" bestFit="1" customWidth="1"/>
    <col min="12807" max="12807" width="7.21875" style="280" bestFit="1" customWidth="1"/>
    <col min="12808" max="12808" width="4.44140625" style="280" bestFit="1" customWidth="1"/>
    <col min="12809" max="12809" width="7" style="280" bestFit="1" customWidth="1"/>
    <col min="12810" max="12810" width="3.77734375" style="280" bestFit="1" customWidth="1"/>
    <col min="12811" max="13056" width="8.88671875" style="280"/>
    <col min="13057" max="13057" width="4.33203125" style="280" bestFit="1" customWidth="1"/>
    <col min="13058" max="13058" width="17.77734375" style="280" customWidth="1"/>
    <col min="13059" max="13059" width="3.77734375" style="280" customWidth="1"/>
    <col min="13060" max="13060" width="1.44140625" style="280" bestFit="1" customWidth="1"/>
    <col min="13061" max="13061" width="2.44140625" style="280" bestFit="1" customWidth="1"/>
    <col min="13062" max="13062" width="8" style="280" bestFit="1" customWidth="1"/>
    <col min="13063" max="13063" width="7.21875" style="280" bestFit="1" customWidth="1"/>
    <col min="13064" max="13064" width="4.44140625" style="280" bestFit="1" customWidth="1"/>
    <col min="13065" max="13065" width="7" style="280" bestFit="1" customWidth="1"/>
    <col min="13066" max="13066" width="3.77734375" style="280" bestFit="1" customWidth="1"/>
    <col min="13067" max="13312" width="8.88671875" style="280"/>
    <col min="13313" max="13313" width="4.33203125" style="280" bestFit="1" customWidth="1"/>
    <col min="13314" max="13314" width="17.77734375" style="280" customWidth="1"/>
    <col min="13315" max="13315" width="3.77734375" style="280" customWidth="1"/>
    <col min="13316" max="13316" width="1.44140625" style="280" bestFit="1" customWidth="1"/>
    <col min="13317" max="13317" width="2.44140625" style="280" bestFit="1" customWidth="1"/>
    <col min="13318" max="13318" width="8" style="280" bestFit="1" customWidth="1"/>
    <col min="13319" max="13319" width="7.21875" style="280" bestFit="1" customWidth="1"/>
    <col min="13320" max="13320" width="4.44140625" style="280" bestFit="1" customWidth="1"/>
    <col min="13321" max="13321" width="7" style="280" bestFit="1" customWidth="1"/>
    <col min="13322" max="13322" width="3.77734375" style="280" bestFit="1" customWidth="1"/>
    <col min="13323" max="13568" width="8.88671875" style="280"/>
    <col min="13569" max="13569" width="4.33203125" style="280" bestFit="1" customWidth="1"/>
    <col min="13570" max="13570" width="17.77734375" style="280" customWidth="1"/>
    <col min="13571" max="13571" width="3.77734375" style="280" customWidth="1"/>
    <col min="13572" max="13572" width="1.44140625" style="280" bestFit="1" customWidth="1"/>
    <col min="13573" max="13573" width="2.44140625" style="280" bestFit="1" customWidth="1"/>
    <col min="13574" max="13574" width="8" style="280" bestFit="1" customWidth="1"/>
    <col min="13575" max="13575" width="7.21875" style="280" bestFit="1" customWidth="1"/>
    <col min="13576" max="13576" width="4.44140625" style="280" bestFit="1" customWidth="1"/>
    <col min="13577" max="13577" width="7" style="280" bestFit="1" customWidth="1"/>
    <col min="13578" max="13578" width="3.77734375" style="280" bestFit="1" customWidth="1"/>
    <col min="13579" max="13824" width="8.88671875" style="280"/>
    <col min="13825" max="13825" width="4.33203125" style="280" bestFit="1" customWidth="1"/>
    <col min="13826" max="13826" width="17.77734375" style="280" customWidth="1"/>
    <col min="13827" max="13827" width="3.77734375" style="280" customWidth="1"/>
    <col min="13828" max="13828" width="1.44140625" style="280" bestFit="1" customWidth="1"/>
    <col min="13829" max="13829" width="2.44140625" style="280" bestFit="1" customWidth="1"/>
    <col min="13830" max="13830" width="8" style="280" bestFit="1" customWidth="1"/>
    <col min="13831" max="13831" width="7.21875" style="280" bestFit="1" customWidth="1"/>
    <col min="13832" max="13832" width="4.44140625" style="280" bestFit="1" customWidth="1"/>
    <col min="13833" max="13833" width="7" style="280" bestFit="1" customWidth="1"/>
    <col min="13834" max="13834" width="3.77734375" style="280" bestFit="1" customWidth="1"/>
    <col min="13835" max="14080" width="8.88671875" style="280"/>
    <col min="14081" max="14081" width="4.33203125" style="280" bestFit="1" customWidth="1"/>
    <col min="14082" max="14082" width="17.77734375" style="280" customWidth="1"/>
    <col min="14083" max="14083" width="3.77734375" style="280" customWidth="1"/>
    <col min="14084" max="14084" width="1.44140625" style="280" bestFit="1" customWidth="1"/>
    <col min="14085" max="14085" width="2.44140625" style="280" bestFit="1" customWidth="1"/>
    <col min="14086" max="14086" width="8" style="280" bestFit="1" customWidth="1"/>
    <col min="14087" max="14087" width="7.21875" style="280" bestFit="1" customWidth="1"/>
    <col min="14088" max="14088" width="4.44140625" style="280" bestFit="1" customWidth="1"/>
    <col min="14089" max="14089" width="7" style="280" bestFit="1" customWidth="1"/>
    <col min="14090" max="14090" width="3.77734375" style="280" bestFit="1" customWidth="1"/>
    <col min="14091" max="14336" width="8.88671875" style="280"/>
    <col min="14337" max="14337" width="4.33203125" style="280" bestFit="1" customWidth="1"/>
    <col min="14338" max="14338" width="17.77734375" style="280" customWidth="1"/>
    <col min="14339" max="14339" width="3.77734375" style="280" customWidth="1"/>
    <col min="14340" max="14340" width="1.44140625" style="280" bestFit="1" customWidth="1"/>
    <col min="14341" max="14341" width="2.44140625" style="280" bestFit="1" customWidth="1"/>
    <col min="14342" max="14342" width="8" style="280" bestFit="1" customWidth="1"/>
    <col min="14343" max="14343" width="7.21875" style="280" bestFit="1" customWidth="1"/>
    <col min="14344" max="14344" width="4.44140625" style="280" bestFit="1" customWidth="1"/>
    <col min="14345" max="14345" width="7" style="280" bestFit="1" customWidth="1"/>
    <col min="14346" max="14346" width="3.77734375" style="280" bestFit="1" customWidth="1"/>
    <col min="14347" max="14592" width="8.88671875" style="280"/>
    <col min="14593" max="14593" width="4.33203125" style="280" bestFit="1" customWidth="1"/>
    <col min="14594" max="14594" width="17.77734375" style="280" customWidth="1"/>
    <col min="14595" max="14595" width="3.77734375" style="280" customWidth="1"/>
    <col min="14596" max="14596" width="1.44140625" style="280" bestFit="1" customWidth="1"/>
    <col min="14597" max="14597" width="2.44140625" style="280" bestFit="1" customWidth="1"/>
    <col min="14598" max="14598" width="8" style="280" bestFit="1" customWidth="1"/>
    <col min="14599" max="14599" width="7.21875" style="280" bestFit="1" customWidth="1"/>
    <col min="14600" max="14600" width="4.44140625" style="280" bestFit="1" customWidth="1"/>
    <col min="14601" max="14601" width="7" style="280" bestFit="1" customWidth="1"/>
    <col min="14602" max="14602" width="3.77734375" style="280" bestFit="1" customWidth="1"/>
    <col min="14603" max="14848" width="8.88671875" style="280"/>
    <col min="14849" max="14849" width="4.33203125" style="280" bestFit="1" customWidth="1"/>
    <col min="14850" max="14850" width="17.77734375" style="280" customWidth="1"/>
    <col min="14851" max="14851" width="3.77734375" style="280" customWidth="1"/>
    <col min="14852" max="14852" width="1.44140625" style="280" bestFit="1" customWidth="1"/>
    <col min="14853" max="14853" width="2.44140625" style="280" bestFit="1" customWidth="1"/>
    <col min="14854" max="14854" width="8" style="280" bestFit="1" customWidth="1"/>
    <col min="14855" max="14855" width="7.21875" style="280" bestFit="1" customWidth="1"/>
    <col min="14856" max="14856" width="4.44140625" style="280" bestFit="1" customWidth="1"/>
    <col min="14857" max="14857" width="7" style="280" bestFit="1" customWidth="1"/>
    <col min="14858" max="14858" width="3.77734375" style="280" bestFit="1" customWidth="1"/>
    <col min="14859" max="15104" width="8.88671875" style="280"/>
    <col min="15105" max="15105" width="4.33203125" style="280" bestFit="1" customWidth="1"/>
    <col min="15106" max="15106" width="17.77734375" style="280" customWidth="1"/>
    <col min="15107" max="15107" width="3.77734375" style="280" customWidth="1"/>
    <col min="15108" max="15108" width="1.44140625" style="280" bestFit="1" customWidth="1"/>
    <col min="15109" max="15109" width="2.44140625" style="280" bestFit="1" customWidth="1"/>
    <col min="15110" max="15110" width="8" style="280" bestFit="1" customWidth="1"/>
    <col min="15111" max="15111" width="7.21875" style="280" bestFit="1" customWidth="1"/>
    <col min="15112" max="15112" width="4.44140625" style="280" bestFit="1" customWidth="1"/>
    <col min="15113" max="15113" width="7" style="280" bestFit="1" customWidth="1"/>
    <col min="15114" max="15114" width="3.77734375" style="280" bestFit="1" customWidth="1"/>
    <col min="15115" max="15360" width="8.88671875" style="280"/>
    <col min="15361" max="15361" width="4.33203125" style="280" bestFit="1" customWidth="1"/>
    <col min="15362" max="15362" width="17.77734375" style="280" customWidth="1"/>
    <col min="15363" max="15363" width="3.77734375" style="280" customWidth="1"/>
    <col min="15364" max="15364" width="1.44140625" style="280" bestFit="1" customWidth="1"/>
    <col min="15365" max="15365" width="2.44140625" style="280" bestFit="1" customWidth="1"/>
    <col min="15366" max="15366" width="8" style="280" bestFit="1" customWidth="1"/>
    <col min="15367" max="15367" width="7.21875" style="280" bestFit="1" customWidth="1"/>
    <col min="15368" max="15368" width="4.44140625" style="280" bestFit="1" customWidth="1"/>
    <col min="15369" max="15369" width="7" style="280" bestFit="1" customWidth="1"/>
    <col min="15370" max="15370" width="3.77734375" style="280" bestFit="1" customWidth="1"/>
    <col min="15371" max="15616" width="8.88671875" style="280"/>
    <col min="15617" max="15617" width="4.33203125" style="280" bestFit="1" customWidth="1"/>
    <col min="15618" max="15618" width="17.77734375" style="280" customWidth="1"/>
    <col min="15619" max="15619" width="3.77734375" style="280" customWidth="1"/>
    <col min="15620" max="15620" width="1.44140625" style="280" bestFit="1" customWidth="1"/>
    <col min="15621" max="15621" width="2.44140625" style="280" bestFit="1" customWidth="1"/>
    <col min="15622" max="15622" width="8" style="280" bestFit="1" customWidth="1"/>
    <col min="15623" max="15623" width="7.21875" style="280" bestFit="1" customWidth="1"/>
    <col min="15624" max="15624" width="4.44140625" style="280" bestFit="1" customWidth="1"/>
    <col min="15625" max="15625" width="7" style="280" bestFit="1" customWidth="1"/>
    <col min="15626" max="15626" width="3.77734375" style="280" bestFit="1" customWidth="1"/>
    <col min="15627" max="15872" width="8.88671875" style="280"/>
    <col min="15873" max="15873" width="4.33203125" style="280" bestFit="1" customWidth="1"/>
    <col min="15874" max="15874" width="17.77734375" style="280" customWidth="1"/>
    <col min="15875" max="15875" width="3.77734375" style="280" customWidth="1"/>
    <col min="15876" max="15876" width="1.44140625" style="280" bestFit="1" customWidth="1"/>
    <col min="15877" max="15877" width="2.44140625" style="280" bestFit="1" customWidth="1"/>
    <col min="15878" max="15878" width="8" style="280" bestFit="1" customWidth="1"/>
    <col min="15879" max="15879" width="7.21875" style="280" bestFit="1" customWidth="1"/>
    <col min="15880" max="15880" width="4.44140625" style="280" bestFit="1" customWidth="1"/>
    <col min="15881" max="15881" width="7" style="280" bestFit="1" customWidth="1"/>
    <col min="15882" max="15882" width="3.77734375" style="280" bestFit="1" customWidth="1"/>
    <col min="15883" max="16128" width="8.88671875" style="280"/>
    <col min="16129" max="16129" width="4.33203125" style="280" bestFit="1" customWidth="1"/>
    <col min="16130" max="16130" width="17.77734375" style="280" customWidth="1"/>
    <col min="16131" max="16131" width="3.77734375" style="280" customWidth="1"/>
    <col min="16132" max="16132" width="1.44140625" style="280" bestFit="1" customWidth="1"/>
    <col min="16133" max="16133" width="2.44140625" style="280" bestFit="1" customWidth="1"/>
    <col min="16134" max="16134" width="8" style="280" bestFit="1" customWidth="1"/>
    <col min="16135" max="16135" width="7.21875" style="280" bestFit="1" customWidth="1"/>
    <col min="16136" max="16136" width="4.44140625" style="280" bestFit="1" customWidth="1"/>
    <col min="16137" max="16137" width="7" style="280" bestFit="1" customWidth="1"/>
    <col min="16138" max="16138" width="3.77734375" style="280" bestFit="1" customWidth="1"/>
    <col min="16139" max="16384" width="8.88671875" style="280"/>
  </cols>
  <sheetData>
    <row r="1" spans="1:10" ht="40.15" customHeight="1">
      <c r="A1" s="1534" t="str">
        <f>'Septic Tank'!A5:H5</f>
        <v>CONSTRUCTION OF NEW POLICE STATION BUILDING WITH DEVELOPMENT WORK IN  REGUNATHAPURAM IN PUDUKKOTTAI DISRICT.</v>
      </c>
      <c r="B1" s="1535"/>
      <c r="C1" s="1535"/>
      <c r="D1" s="1535"/>
      <c r="E1" s="1535"/>
      <c r="F1" s="1535"/>
      <c r="G1" s="1535"/>
      <c r="H1" s="1535"/>
      <c r="I1" s="1535"/>
      <c r="J1" s="1535"/>
    </row>
    <row r="2" spans="1:10" ht="19.899999999999999" customHeight="1">
      <c r="A2" s="1534" t="s">
        <v>72</v>
      </c>
      <c r="B2" s="1534"/>
      <c r="C2" s="1534"/>
      <c r="D2" s="1534"/>
      <c r="E2" s="1534"/>
      <c r="F2" s="1534"/>
      <c r="G2" s="1534"/>
      <c r="H2" s="1534"/>
      <c r="I2" s="1534"/>
      <c r="J2" s="1534"/>
    </row>
    <row r="3" spans="1:10" ht="10.15" customHeight="1">
      <c r="A3" s="299"/>
      <c r="B3" s="293"/>
      <c r="C3" s="293"/>
      <c r="D3" s="293"/>
      <c r="E3" s="293"/>
      <c r="F3" s="293"/>
      <c r="G3" s="293"/>
      <c r="H3" s="293"/>
      <c r="I3" s="293"/>
      <c r="J3" s="293"/>
    </row>
    <row r="4" spans="1:10" ht="19.899999999999999" customHeight="1">
      <c r="A4" s="1534" t="s">
        <v>73</v>
      </c>
      <c r="B4" s="1534"/>
      <c r="C4" s="1534"/>
      <c r="D4" s="1534"/>
      <c r="E4" s="1534"/>
      <c r="F4" s="1534"/>
      <c r="G4" s="1534"/>
      <c r="H4" s="1534"/>
      <c r="I4" s="1534"/>
      <c r="J4" s="1534"/>
    </row>
    <row r="5" spans="1:10" ht="30" customHeight="1">
      <c r="A5" s="272" t="s">
        <v>211</v>
      </c>
      <c r="B5" s="273" t="s">
        <v>504</v>
      </c>
      <c r="C5" s="1536" t="s">
        <v>213</v>
      </c>
      <c r="D5" s="1536"/>
      <c r="E5" s="1536"/>
      <c r="F5" s="273" t="s">
        <v>74</v>
      </c>
      <c r="G5" s="273" t="s">
        <v>75</v>
      </c>
      <c r="H5" s="273" t="s">
        <v>76</v>
      </c>
      <c r="I5" s="298" t="s">
        <v>77</v>
      </c>
      <c r="J5" s="297" t="s">
        <v>215</v>
      </c>
    </row>
    <row r="6" spans="1:10" ht="34.9" customHeight="1">
      <c r="A6" s="284">
        <v>1.5</v>
      </c>
      <c r="B6" s="1531" t="s">
        <v>78</v>
      </c>
      <c r="C6" s="1532"/>
      <c r="D6" s="1532"/>
      <c r="E6" s="1532"/>
      <c r="F6" s="1532"/>
      <c r="G6" s="1532"/>
      <c r="H6" s="1532"/>
      <c r="I6" s="1533"/>
      <c r="J6" s="278"/>
    </row>
    <row r="7" spans="1:10" ht="19.899999999999999" customHeight="1">
      <c r="A7" s="284"/>
      <c r="B7" s="279" t="s">
        <v>574</v>
      </c>
      <c r="C7" s="274">
        <v>1</v>
      </c>
      <c r="D7" s="274" t="s">
        <v>56</v>
      </c>
      <c r="E7" s="274">
        <v>1</v>
      </c>
      <c r="F7" s="283">
        <v>41</v>
      </c>
      <c r="G7" s="283">
        <v>5.6</v>
      </c>
      <c r="H7" s="283">
        <v>0.15</v>
      </c>
      <c r="I7" s="286">
        <f>PRODUCT(C7:H7)</f>
        <v>34.44</v>
      </c>
      <c r="J7" s="278"/>
    </row>
    <row r="8" spans="1:10" ht="19.899999999999999" customHeight="1">
      <c r="A8" s="284"/>
      <c r="B8" s="279" t="s">
        <v>575</v>
      </c>
      <c r="C8" s="274">
        <v>1</v>
      </c>
      <c r="D8" s="274" t="s">
        <v>56</v>
      </c>
      <c r="E8" s="274">
        <v>1</v>
      </c>
      <c r="F8" s="283">
        <v>5.4</v>
      </c>
      <c r="G8" s="283">
        <v>4.0599999999999996</v>
      </c>
      <c r="H8" s="283">
        <v>0.15</v>
      </c>
      <c r="I8" s="286">
        <f>PRODUCT(C8:H8)</f>
        <v>3.2885999999999997</v>
      </c>
      <c r="J8" s="278"/>
    </row>
    <row r="9" spans="1:10" ht="19.899999999999999" customHeight="1">
      <c r="A9" s="284"/>
      <c r="B9" s="279"/>
      <c r="C9" s="274"/>
      <c r="D9" s="274"/>
      <c r="E9" s="274"/>
      <c r="F9" s="283"/>
      <c r="G9" s="283"/>
      <c r="H9" s="283"/>
      <c r="I9" s="286">
        <v>7.0000000000000007E-2</v>
      </c>
      <c r="J9" s="278"/>
    </row>
    <row r="10" spans="1:10" ht="19.899999999999999" customHeight="1">
      <c r="A10" s="284"/>
      <c r="B10" s="279"/>
      <c r="C10" s="274"/>
      <c r="D10" s="274"/>
      <c r="E10" s="274"/>
      <c r="F10" s="284"/>
      <c r="G10" s="283"/>
      <c r="H10" s="287" t="s">
        <v>15</v>
      </c>
      <c r="I10" s="288">
        <f>SUM(I7:I9)</f>
        <v>37.7986</v>
      </c>
      <c r="J10" s="291" t="s">
        <v>16</v>
      </c>
    </row>
    <row r="11" spans="1:10" ht="19.899999999999999" customHeight="1">
      <c r="A11" s="284"/>
      <c r="B11" s="279"/>
      <c r="C11" s="274"/>
      <c r="D11" s="274"/>
      <c r="E11" s="274"/>
      <c r="F11" s="284"/>
      <c r="G11" s="283"/>
      <c r="H11" s="283"/>
      <c r="I11" s="288"/>
      <c r="J11" s="278"/>
    </row>
    <row r="12" spans="1:10" ht="19.899999999999999" customHeight="1">
      <c r="A12" s="284">
        <v>2.1</v>
      </c>
      <c r="B12" s="279" t="s">
        <v>79</v>
      </c>
      <c r="C12" s="274"/>
      <c r="D12" s="274"/>
      <c r="E12" s="274"/>
      <c r="F12" s="284"/>
      <c r="G12" s="283"/>
      <c r="H12" s="283"/>
      <c r="I12" s="288"/>
      <c r="J12" s="278"/>
    </row>
    <row r="13" spans="1:10" ht="19.899999999999999" customHeight="1">
      <c r="A13" s="284"/>
      <c r="B13" s="279" t="str">
        <f>B7</f>
        <v>Scheme main road</v>
      </c>
      <c r="C13" s="274">
        <v>1</v>
      </c>
      <c r="D13" s="274" t="s">
        <v>56</v>
      </c>
      <c r="E13" s="274">
        <v>1</v>
      </c>
      <c r="F13" s="283">
        <f>F7</f>
        <v>41</v>
      </c>
      <c r="G13" s="283">
        <f>G7</f>
        <v>5.6</v>
      </c>
      <c r="H13" s="283">
        <v>0.1</v>
      </c>
      <c r="I13" s="286">
        <f>PRODUCT(C13:H13)</f>
        <v>22.96</v>
      </c>
      <c r="J13" s="278"/>
    </row>
    <row r="14" spans="1:10" ht="19.899999999999999" customHeight="1">
      <c r="A14" s="284"/>
      <c r="B14" s="279" t="str">
        <f>B8</f>
        <v>Fire Station road</v>
      </c>
      <c r="C14" s="274">
        <v>1</v>
      </c>
      <c r="D14" s="274" t="s">
        <v>56</v>
      </c>
      <c r="E14" s="274">
        <v>1</v>
      </c>
      <c r="F14" s="283">
        <f>F8</f>
        <v>5.4</v>
      </c>
      <c r="G14" s="283">
        <f>G8</f>
        <v>4.0599999999999996</v>
      </c>
      <c r="H14" s="283">
        <v>0.1</v>
      </c>
      <c r="I14" s="286">
        <f t="shared" ref="I14" si="0">PRODUCT(C14:H14)</f>
        <v>2.1924000000000001</v>
      </c>
      <c r="J14" s="278"/>
    </row>
    <row r="15" spans="1:10" ht="19.899999999999999" customHeight="1">
      <c r="A15" s="284"/>
      <c r="B15" s="279"/>
      <c r="C15" s="274"/>
      <c r="D15" s="274"/>
      <c r="E15" s="274"/>
      <c r="F15" s="284"/>
      <c r="G15" s="283"/>
      <c r="H15" s="283"/>
      <c r="I15" s="286">
        <v>0.05</v>
      </c>
      <c r="J15" s="278"/>
    </row>
    <row r="16" spans="1:10" ht="19.899999999999999" customHeight="1">
      <c r="A16" s="284"/>
      <c r="B16" s="279"/>
      <c r="C16" s="274"/>
      <c r="D16" s="274"/>
      <c r="E16" s="274"/>
      <c r="F16" s="283"/>
      <c r="G16" s="283"/>
      <c r="H16" s="282" t="s">
        <v>15</v>
      </c>
      <c r="I16" s="288">
        <f>SUM(I13:I15)</f>
        <v>25.202400000000001</v>
      </c>
      <c r="J16" s="291" t="s">
        <v>16</v>
      </c>
    </row>
    <row r="17" spans="1:10" ht="19.899999999999999" customHeight="1">
      <c r="A17" s="284"/>
      <c r="B17" s="279"/>
      <c r="C17" s="274"/>
      <c r="D17" s="274"/>
      <c r="E17" s="274"/>
      <c r="F17" s="283"/>
      <c r="G17" s="283"/>
      <c r="H17" s="282"/>
      <c r="I17" s="288"/>
      <c r="J17" s="291"/>
    </row>
    <row r="18" spans="1:10" ht="19.899999999999999" customHeight="1">
      <c r="A18" s="284">
        <v>3.1</v>
      </c>
      <c r="B18" s="279" t="s">
        <v>80</v>
      </c>
      <c r="C18" s="274"/>
      <c r="D18" s="274"/>
      <c r="E18" s="274"/>
      <c r="F18" s="283"/>
      <c r="G18" s="283"/>
      <c r="H18" s="284"/>
      <c r="I18" s="285"/>
      <c r="J18" s="278"/>
    </row>
    <row r="19" spans="1:10" ht="19.899999999999999" customHeight="1">
      <c r="A19" s="284"/>
      <c r="B19" s="279" t="str">
        <f>B13</f>
        <v>Scheme main road</v>
      </c>
      <c r="C19" s="274">
        <v>1</v>
      </c>
      <c r="D19" s="274" t="s">
        <v>56</v>
      </c>
      <c r="E19" s="274">
        <v>1</v>
      </c>
      <c r="F19" s="283">
        <f>F13</f>
        <v>41</v>
      </c>
      <c r="G19" s="283">
        <f>G13</f>
        <v>5.6</v>
      </c>
      <c r="H19" s="283">
        <v>0.1</v>
      </c>
      <c r="I19" s="286">
        <f>PRODUCT(C19:H19)</f>
        <v>22.96</v>
      </c>
      <c r="J19" s="278"/>
    </row>
    <row r="20" spans="1:10" ht="19.899999999999999" customHeight="1">
      <c r="A20" s="284"/>
      <c r="B20" s="279" t="str">
        <f>B14</f>
        <v>Fire Station road</v>
      </c>
      <c r="C20" s="274">
        <v>1</v>
      </c>
      <c r="D20" s="274" t="s">
        <v>56</v>
      </c>
      <c r="E20" s="274">
        <v>1</v>
      </c>
      <c r="F20" s="283">
        <f>F14</f>
        <v>5.4</v>
      </c>
      <c r="G20" s="283">
        <f>G14</f>
        <v>4.0599999999999996</v>
      </c>
      <c r="H20" s="283">
        <v>0.1</v>
      </c>
      <c r="I20" s="286">
        <f t="shared" ref="I20" si="1">PRODUCT(C20:H20)</f>
        <v>2.1924000000000001</v>
      </c>
      <c r="J20" s="278"/>
    </row>
    <row r="21" spans="1:10" ht="19.899999999999999" customHeight="1">
      <c r="A21" s="284"/>
      <c r="B21" s="279"/>
      <c r="C21" s="274"/>
      <c r="D21" s="274"/>
      <c r="E21" s="274"/>
      <c r="F21" s="284"/>
      <c r="G21" s="283"/>
      <c r="H21" s="283"/>
      <c r="I21" s="286">
        <v>0.05</v>
      </c>
      <c r="J21" s="278"/>
    </row>
    <row r="22" spans="1:10" ht="19.899999999999999" customHeight="1">
      <c r="A22" s="284"/>
      <c r="B22" s="279"/>
      <c r="C22" s="274"/>
      <c r="D22" s="274"/>
      <c r="E22" s="274"/>
      <c r="F22" s="283"/>
      <c r="G22" s="283"/>
      <c r="H22" s="282" t="s">
        <v>15</v>
      </c>
      <c r="I22" s="288">
        <f>SUM(I19:I21)</f>
        <v>25.202400000000001</v>
      </c>
      <c r="J22" s="291" t="s">
        <v>16</v>
      </c>
    </row>
    <row r="23" spans="1:10" ht="19.899999999999999" customHeight="1">
      <c r="A23" s="284"/>
      <c r="B23" s="279"/>
      <c r="C23" s="274"/>
      <c r="D23" s="274"/>
      <c r="E23" s="274"/>
      <c r="F23" s="283"/>
      <c r="G23" s="283"/>
      <c r="H23" s="282"/>
      <c r="I23" s="288"/>
      <c r="J23" s="291"/>
    </row>
    <row r="24" spans="1:10" ht="34.9" customHeight="1">
      <c r="A24" s="284">
        <v>3.2</v>
      </c>
      <c r="B24" s="1531" t="s">
        <v>81</v>
      </c>
      <c r="C24" s="1532"/>
      <c r="D24" s="1532"/>
      <c r="E24" s="1532"/>
      <c r="F24" s="1532"/>
      <c r="G24" s="1532"/>
      <c r="H24" s="1533"/>
      <c r="I24" s="285"/>
      <c r="J24" s="278"/>
    </row>
    <row r="25" spans="1:10" ht="19.899999999999999" customHeight="1">
      <c r="A25" s="284"/>
      <c r="B25" s="279" t="str">
        <f>B19</f>
        <v>Scheme main road</v>
      </c>
      <c r="C25" s="274">
        <v>1</v>
      </c>
      <c r="D25" s="274" t="s">
        <v>56</v>
      </c>
      <c r="E25" s="274">
        <v>1</v>
      </c>
      <c r="F25" s="283">
        <f>F19</f>
        <v>41</v>
      </c>
      <c r="G25" s="283">
        <f>G19</f>
        <v>5.6</v>
      </c>
      <c r="H25" s="289">
        <v>7.4999999999999997E-2</v>
      </c>
      <c r="I25" s="286">
        <f>PRODUCT(C25:H25)</f>
        <v>17.22</v>
      </c>
      <c r="J25" s="278"/>
    </row>
    <row r="26" spans="1:10" ht="19.899999999999999" customHeight="1">
      <c r="A26" s="284"/>
      <c r="B26" s="279" t="s">
        <v>194</v>
      </c>
      <c r="C26" s="274">
        <v>1</v>
      </c>
      <c r="D26" s="274" t="s">
        <v>56</v>
      </c>
      <c r="E26" s="274">
        <v>1</v>
      </c>
      <c r="F26" s="283">
        <f>F20</f>
        <v>5.4</v>
      </c>
      <c r="G26" s="283">
        <f>G20</f>
        <v>4.0599999999999996</v>
      </c>
      <c r="H26" s="289">
        <v>7.4999999999999997E-2</v>
      </c>
      <c r="I26" s="286">
        <f t="shared" ref="I26" si="2">PRODUCT(C26:H26)</f>
        <v>1.6442999999999999</v>
      </c>
      <c r="J26" s="278"/>
    </row>
    <row r="27" spans="1:10" ht="19.899999999999999" customHeight="1">
      <c r="A27" s="284"/>
      <c r="B27" s="279"/>
      <c r="C27" s="274"/>
      <c r="D27" s="274"/>
      <c r="E27" s="274"/>
      <c r="F27" s="284"/>
      <c r="G27" s="283"/>
      <c r="H27" s="283"/>
      <c r="I27" s="286">
        <v>0.04</v>
      </c>
      <c r="J27" s="278"/>
    </row>
    <row r="28" spans="1:10" ht="19.899999999999999" customHeight="1">
      <c r="A28" s="284"/>
      <c r="B28" s="279"/>
      <c r="C28" s="274"/>
      <c r="D28" s="274"/>
      <c r="E28" s="274"/>
      <c r="F28" s="284"/>
      <c r="G28" s="283"/>
      <c r="H28" s="287" t="s">
        <v>15</v>
      </c>
      <c r="I28" s="288">
        <f>SUM(I25:I27)</f>
        <v>18.904299999999999</v>
      </c>
      <c r="J28" s="291" t="s">
        <v>16</v>
      </c>
    </row>
    <row r="29" spans="1:10" ht="19.899999999999999" customHeight="1">
      <c r="A29" s="284"/>
      <c r="B29" s="279"/>
      <c r="C29" s="274"/>
      <c r="D29" s="274"/>
      <c r="E29" s="274"/>
      <c r="F29" s="284"/>
      <c r="G29" s="283"/>
      <c r="H29" s="287"/>
      <c r="I29" s="288"/>
      <c r="J29" s="291"/>
    </row>
    <row r="30" spans="1:10" ht="19.899999999999999" customHeight="1">
      <c r="A30" s="284">
        <v>50.2</v>
      </c>
      <c r="B30" s="277" t="s">
        <v>82</v>
      </c>
      <c r="C30" s="274"/>
      <c r="D30" s="274"/>
      <c r="E30" s="274"/>
      <c r="F30" s="283"/>
      <c r="G30" s="283"/>
      <c r="H30" s="283"/>
      <c r="I30" s="286"/>
      <c r="J30" s="278"/>
    </row>
    <row r="31" spans="1:10" ht="19.899999999999999" customHeight="1">
      <c r="A31" s="284"/>
      <c r="B31" s="279" t="str">
        <f>B25</f>
        <v>Scheme main road</v>
      </c>
      <c r="C31" s="274">
        <v>2</v>
      </c>
      <c r="D31" s="274" t="s">
        <v>56</v>
      </c>
      <c r="E31" s="274">
        <v>1</v>
      </c>
      <c r="F31" s="283">
        <f>F25</f>
        <v>41</v>
      </c>
      <c r="G31" s="275" t="s">
        <v>372</v>
      </c>
      <c r="H31" s="275" t="s">
        <v>372</v>
      </c>
      <c r="I31" s="286">
        <f>PRODUCT(C31:H31)</f>
        <v>82</v>
      </c>
      <c r="J31" s="278"/>
    </row>
    <row r="32" spans="1:10" ht="19.899999999999999" customHeight="1">
      <c r="A32" s="284"/>
      <c r="B32" s="279" t="str">
        <f>B20</f>
        <v>Fire Station road</v>
      </c>
      <c r="C32" s="274">
        <v>2</v>
      </c>
      <c r="D32" s="274" t="s">
        <v>56</v>
      </c>
      <c r="E32" s="274">
        <v>1</v>
      </c>
      <c r="F32" s="283">
        <f>F26</f>
        <v>5.4</v>
      </c>
      <c r="G32" s="275" t="s">
        <v>372</v>
      </c>
      <c r="H32" s="275" t="s">
        <v>372</v>
      </c>
      <c r="I32" s="286">
        <f t="shared" ref="I32" si="3">PRODUCT(C32:H32)</f>
        <v>10.8</v>
      </c>
      <c r="J32" s="278"/>
    </row>
    <row r="33" spans="1:10" ht="19.899999999999999" customHeight="1">
      <c r="A33" s="284"/>
      <c r="B33" s="279"/>
      <c r="C33" s="274"/>
      <c r="D33" s="274"/>
      <c r="E33" s="274"/>
      <c r="F33" s="284"/>
      <c r="G33" s="283"/>
      <c r="H33" s="287" t="s">
        <v>15</v>
      </c>
      <c r="I33" s="288">
        <f>SUM(I31:I32)</f>
        <v>92.8</v>
      </c>
      <c r="J33" s="292" t="s">
        <v>61</v>
      </c>
    </row>
    <row r="34" spans="1:10" ht="19.899999999999999" customHeight="1">
      <c r="A34" s="284"/>
      <c r="B34" s="279"/>
      <c r="C34" s="274"/>
      <c r="D34" s="274"/>
      <c r="E34" s="274"/>
      <c r="F34" s="284"/>
      <c r="G34" s="283"/>
      <c r="H34" s="287"/>
      <c r="I34" s="288"/>
      <c r="J34" s="292"/>
    </row>
    <row r="35" spans="1:10" ht="19.899999999999999" customHeight="1">
      <c r="A35" s="284">
        <v>7.2</v>
      </c>
      <c r="B35" s="1531" t="s">
        <v>83</v>
      </c>
      <c r="C35" s="1532"/>
      <c r="D35" s="1532"/>
      <c r="E35" s="1532"/>
      <c r="F35" s="1532"/>
      <c r="G35" s="1532"/>
      <c r="H35" s="1533"/>
      <c r="I35" s="290"/>
      <c r="J35" s="278"/>
    </row>
    <row r="36" spans="1:10" ht="19.899999999999999" customHeight="1">
      <c r="A36" s="284"/>
      <c r="B36" s="279" t="str">
        <f>B31</f>
        <v>Scheme main road</v>
      </c>
      <c r="C36" s="274">
        <v>1</v>
      </c>
      <c r="D36" s="274" t="s">
        <v>56</v>
      </c>
      <c r="E36" s="274">
        <v>14</v>
      </c>
      <c r="F36" s="283">
        <v>7.2</v>
      </c>
      <c r="G36" s="275" t="s">
        <v>372</v>
      </c>
      <c r="H36" s="289">
        <v>0.23</v>
      </c>
      <c r="I36" s="286">
        <f>PRODUCT(C36:H36)</f>
        <v>23.184000000000001</v>
      </c>
      <c r="J36" s="278"/>
    </row>
    <row r="37" spans="1:10" ht="19.899999999999999" customHeight="1">
      <c r="A37" s="284"/>
      <c r="B37" s="279" t="s">
        <v>194</v>
      </c>
      <c r="C37" s="274">
        <v>1</v>
      </c>
      <c r="D37" s="274" t="s">
        <v>56</v>
      </c>
      <c r="E37" s="274">
        <v>2</v>
      </c>
      <c r="F37" s="283">
        <v>4.0599999999999996</v>
      </c>
      <c r="G37" s="275" t="s">
        <v>372</v>
      </c>
      <c r="H37" s="289">
        <v>0.23</v>
      </c>
      <c r="I37" s="286">
        <f t="shared" ref="I37" si="4">PRODUCT(C37:H37)</f>
        <v>1.8675999999999999</v>
      </c>
      <c r="J37" s="278"/>
    </row>
    <row r="38" spans="1:10" ht="19.899999999999999" customHeight="1">
      <c r="A38" s="284"/>
      <c r="B38" s="279"/>
      <c r="C38" s="274"/>
      <c r="D38" s="274"/>
      <c r="E38" s="274"/>
      <c r="F38" s="284"/>
      <c r="G38" s="283"/>
      <c r="H38" s="289"/>
      <c r="I38" s="286">
        <v>0.05</v>
      </c>
      <c r="J38" s="278"/>
    </row>
    <row r="39" spans="1:10" ht="19.899999999999999" customHeight="1">
      <c r="A39" s="283"/>
      <c r="B39" s="275"/>
      <c r="C39" s="275"/>
      <c r="D39" s="275"/>
      <c r="E39" s="275"/>
      <c r="F39" s="283"/>
      <c r="G39" s="283"/>
      <c r="H39" s="287" t="s">
        <v>15</v>
      </c>
      <c r="I39" s="288">
        <f>SUM(I36:I38)</f>
        <v>25.101600000000001</v>
      </c>
      <c r="J39" s="291" t="s">
        <v>37</v>
      </c>
    </row>
    <row r="40" spans="1:10" ht="19.899999999999999" customHeight="1">
      <c r="A40" s="284"/>
      <c r="B40" s="275"/>
      <c r="C40" s="275"/>
      <c r="D40" s="275"/>
      <c r="E40" s="275"/>
      <c r="F40" s="283"/>
      <c r="G40" s="283"/>
      <c r="H40" s="283"/>
      <c r="I40" s="288"/>
      <c r="J40" s="278"/>
    </row>
    <row r="41" spans="1:10" ht="19.899999999999999" customHeight="1">
      <c r="A41" s="284">
        <v>41</v>
      </c>
      <c r="B41" s="278" t="s">
        <v>84</v>
      </c>
      <c r="C41" s="274"/>
      <c r="D41" s="274"/>
      <c r="E41" s="274"/>
      <c r="F41" s="284"/>
      <c r="G41" s="284"/>
      <c r="H41" s="284"/>
      <c r="I41" s="285"/>
      <c r="J41" s="278"/>
    </row>
    <row r="42" spans="1:10" ht="19.899999999999999" customHeight="1">
      <c r="A42" s="284"/>
      <c r="B42" s="279" t="str">
        <f>B31</f>
        <v>Scheme main road</v>
      </c>
      <c r="C42" s="274">
        <v>2</v>
      </c>
      <c r="D42" s="274" t="s">
        <v>56</v>
      </c>
      <c r="E42" s="274">
        <v>1</v>
      </c>
      <c r="F42" s="283">
        <v>41</v>
      </c>
      <c r="G42" s="275" t="s">
        <v>372</v>
      </c>
      <c r="H42" s="289">
        <v>0.35</v>
      </c>
      <c r="I42" s="286">
        <f>PRODUCT(C42:H42)</f>
        <v>28.7</v>
      </c>
      <c r="J42" s="278"/>
    </row>
    <row r="43" spans="1:10" ht="19.899999999999999" customHeight="1">
      <c r="A43" s="284"/>
      <c r="B43" s="300" t="s">
        <v>194</v>
      </c>
      <c r="C43" s="274">
        <v>2</v>
      </c>
      <c r="D43" s="274" t="s">
        <v>56</v>
      </c>
      <c r="E43" s="274">
        <v>1</v>
      </c>
      <c r="F43" s="283">
        <v>5.4</v>
      </c>
      <c r="G43" s="275" t="s">
        <v>372</v>
      </c>
      <c r="H43" s="289">
        <v>0.35</v>
      </c>
      <c r="I43" s="286">
        <f t="shared" ref="I43" si="5">PRODUCT(C43:H43)</f>
        <v>3.78</v>
      </c>
      <c r="J43" s="278"/>
    </row>
    <row r="44" spans="1:10" ht="19.899999999999999" customHeight="1">
      <c r="A44" s="284"/>
      <c r="B44" s="276"/>
      <c r="C44" s="274"/>
      <c r="D44" s="274"/>
      <c r="E44" s="274"/>
      <c r="F44" s="284"/>
      <c r="G44" s="284"/>
      <c r="H44" s="284"/>
      <c r="I44" s="286">
        <v>0.02</v>
      </c>
      <c r="J44" s="278"/>
    </row>
    <row r="45" spans="1:10" ht="19.899999999999999" customHeight="1">
      <c r="A45" s="284"/>
      <c r="B45" s="276"/>
      <c r="C45" s="274"/>
      <c r="D45" s="274"/>
      <c r="E45" s="274"/>
      <c r="F45" s="284"/>
      <c r="G45" s="284"/>
      <c r="H45" s="282" t="s">
        <v>15</v>
      </c>
      <c r="I45" s="288">
        <f>SUM(I42:I44)</f>
        <v>32.5</v>
      </c>
      <c r="J45" s="291" t="s">
        <v>37</v>
      </c>
    </row>
    <row r="46" spans="1:10" ht="19.899999999999999" customHeight="1">
      <c r="A46" s="284"/>
      <c r="B46" s="276"/>
      <c r="C46" s="274"/>
      <c r="D46" s="274"/>
      <c r="E46" s="274"/>
      <c r="F46" s="284"/>
      <c r="G46" s="284"/>
      <c r="H46" s="282"/>
      <c r="I46" s="288"/>
      <c r="J46" s="291"/>
    </row>
  </sheetData>
  <mergeCells count="7">
    <mergeCell ref="B6:I6"/>
    <mergeCell ref="B24:H24"/>
    <mergeCell ref="B35:H35"/>
    <mergeCell ref="A1:J1"/>
    <mergeCell ref="A2:J2"/>
    <mergeCell ref="A4:J4"/>
    <mergeCell ref="C5:E5"/>
  </mergeCells>
  <pageMargins left="0.7" right="0.7" top="0.75" bottom="0.5" header="0.3" footer="0.3"/>
  <pageSetup paperSize="9" orientation="portrait" r:id="rId1"/>
  <headerFooter>
    <oddHeader>Page &amp;P</oddHeader>
  </headerFooter>
</worksheet>
</file>

<file path=xl/worksheets/sheet18.xml><?xml version="1.0" encoding="utf-8"?>
<worksheet xmlns="http://schemas.openxmlformats.org/spreadsheetml/2006/main" xmlns:r="http://schemas.openxmlformats.org/officeDocument/2006/relationships">
  <sheetPr>
    <tabColor rgb="FF92D050"/>
  </sheetPr>
  <dimension ref="A1:M251"/>
  <sheetViews>
    <sheetView showZeros="0" view="pageBreakPreview" zoomScaleSheetLayoutView="100" workbookViewId="0">
      <selection activeCell="H194" sqref="H193:H195"/>
    </sheetView>
  </sheetViews>
  <sheetFormatPr defaultRowHeight="15.75"/>
  <cols>
    <col min="1" max="1" width="5.88671875" style="24" customWidth="1"/>
    <col min="2" max="2" width="28.33203125" style="3" customWidth="1"/>
    <col min="3" max="4" width="4.44140625" style="30" customWidth="1"/>
    <col min="5" max="7" width="7.77734375" style="24" customWidth="1"/>
    <col min="8" max="8" width="8.44140625" style="24" customWidth="1"/>
    <col min="9" max="256" width="8.88671875" style="3"/>
    <col min="257" max="257" width="5.88671875" style="3" customWidth="1"/>
    <col min="258" max="258" width="28.33203125" style="3" customWidth="1"/>
    <col min="259" max="260" width="4.44140625" style="3" customWidth="1"/>
    <col min="261" max="263" width="7.77734375" style="3" customWidth="1"/>
    <col min="264" max="264" width="8.44140625" style="3" customWidth="1"/>
    <col min="265" max="512" width="8.88671875" style="3"/>
    <col min="513" max="513" width="5.88671875" style="3" customWidth="1"/>
    <col min="514" max="514" width="28.33203125" style="3" customWidth="1"/>
    <col min="515" max="516" width="4.44140625" style="3" customWidth="1"/>
    <col min="517" max="519" width="7.77734375" style="3" customWidth="1"/>
    <col min="520" max="520" width="8.44140625" style="3" customWidth="1"/>
    <col min="521" max="768" width="8.88671875" style="3"/>
    <col min="769" max="769" width="5.88671875" style="3" customWidth="1"/>
    <col min="770" max="770" width="28.33203125" style="3" customWidth="1"/>
    <col min="771" max="772" width="4.44140625" style="3" customWidth="1"/>
    <col min="773" max="775" width="7.77734375" style="3" customWidth="1"/>
    <col min="776" max="776" width="8.44140625" style="3" customWidth="1"/>
    <col min="777" max="1024" width="8.88671875" style="3"/>
    <col min="1025" max="1025" width="5.88671875" style="3" customWidth="1"/>
    <col min="1026" max="1026" width="28.33203125" style="3" customWidth="1"/>
    <col min="1027" max="1028" width="4.44140625" style="3" customWidth="1"/>
    <col min="1029" max="1031" width="7.77734375" style="3" customWidth="1"/>
    <col min="1032" max="1032" width="8.44140625" style="3" customWidth="1"/>
    <col min="1033" max="1280" width="8.88671875" style="3"/>
    <col min="1281" max="1281" width="5.88671875" style="3" customWidth="1"/>
    <col min="1282" max="1282" width="28.33203125" style="3" customWidth="1"/>
    <col min="1283" max="1284" width="4.44140625" style="3" customWidth="1"/>
    <col min="1285" max="1287" width="7.77734375" style="3" customWidth="1"/>
    <col min="1288" max="1288" width="8.44140625" style="3" customWidth="1"/>
    <col min="1289" max="1536" width="8.88671875" style="3"/>
    <col min="1537" max="1537" width="5.88671875" style="3" customWidth="1"/>
    <col min="1538" max="1538" width="28.33203125" style="3" customWidth="1"/>
    <col min="1539" max="1540" width="4.44140625" style="3" customWidth="1"/>
    <col min="1541" max="1543" width="7.77734375" style="3" customWidth="1"/>
    <col min="1544" max="1544" width="8.44140625" style="3" customWidth="1"/>
    <col min="1545" max="1792" width="8.88671875" style="3"/>
    <col min="1793" max="1793" width="5.88671875" style="3" customWidth="1"/>
    <col min="1794" max="1794" width="28.33203125" style="3" customWidth="1"/>
    <col min="1795" max="1796" width="4.44140625" style="3" customWidth="1"/>
    <col min="1797" max="1799" width="7.77734375" style="3" customWidth="1"/>
    <col min="1800" max="1800" width="8.44140625" style="3" customWidth="1"/>
    <col min="1801" max="2048" width="8.88671875" style="3"/>
    <col min="2049" max="2049" width="5.88671875" style="3" customWidth="1"/>
    <col min="2050" max="2050" width="28.33203125" style="3" customWidth="1"/>
    <col min="2051" max="2052" width="4.44140625" style="3" customWidth="1"/>
    <col min="2053" max="2055" width="7.77734375" style="3" customWidth="1"/>
    <col min="2056" max="2056" width="8.44140625" style="3" customWidth="1"/>
    <col min="2057" max="2304" width="8.88671875" style="3"/>
    <col min="2305" max="2305" width="5.88671875" style="3" customWidth="1"/>
    <col min="2306" max="2306" width="28.33203125" style="3" customWidth="1"/>
    <col min="2307" max="2308" width="4.44140625" style="3" customWidth="1"/>
    <col min="2309" max="2311" width="7.77734375" style="3" customWidth="1"/>
    <col min="2312" max="2312" width="8.44140625" style="3" customWidth="1"/>
    <col min="2313" max="2560" width="8.88671875" style="3"/>
    <col min="2561" max="2561" width="5.88671875" style="3" customWidth="1"/>
    <col min="2562" max="2562" width="28.33203125" style="3" customWidth="1"/>
    <col min="2563" max="2564" width="4.44140625" style="3" customWidth="1"/>
    <col min="2565" max="2567" width="7.77734375" style="3" customWidth="1"/>
    <col min="2568" max="2568" width="8.44140625" style="3" customWidth="1"/>
    <col min="2569" max="2816" width="8.88671875" style="3"/>
    <col min="2817" max="2817" width="5.88671875" style="3" customWidth="1"/>
    <col min="2818" max="2818" width="28.33203125" style="3" customWidth="1"/>
    <col min="2819" max="2820" width="4.44140625" style="3" customWidth="1"/>
    <col min="2821" max="2823" width="7.77734375" style="3" customWidth="1"/>
    <col min="2824" max="2824" width="8.44140625" style="3" customWidth="1"/>
    <col min="2825" max="3072" width="8.88671875" style="3"/>
    <col min="3073" max="3073" width="5.88671875" style="3" customWidth="1"/>
    <col min="3074" max="3074" width="28.33203125" style="3" customWidth="1"/>
    <col min="3075" max="3076" width="4.44140625" style="3" customWidth="1"/>
    <col min="3077" max="3079" width="7.77734375" style="3" customWidth="1"/>
    <col min="3080" max="3080" width="8.44140625" style="3" customWidth="1"/>
    <col min="3081" max="3328" width="8.88671875" style="3"/>
    <col min="3329" max="3329" width="5.88671875" style="3" customWidth="1"/>
    <col min="3330" max="3330" width="28.33203125" style="3" customWidth="1"/>
    <col min="3331" max="3332" width="4.44140625" style="3" customWidth="1"/>
    <col min="3333" max="3335" width="7.77734375" style="3" customWidth="1"/>
    <col min="3336" max="3336" width="8.44140625" style="3" customWidth="1"/>
    <col min="3337" max="3584" width="8.88671875" style="3"/>
    <col min="3585" max="3585" width="5.88671875" style="3" customWidth="1"/>
    <col min="3586" max="3586" width="28.33203125" style="3" customWidth="1"/>
    <col min="3587" max="3588" width="4.44140625" style="3" customWidth="1"/>
    <col min="3589" max="3591" width="7.77734375" style="3" customWidth="1"/>
    <col min="3592" max="3592" width="8.44140625" style="3" customWidth="1"/>
    <col min="3593" max="3840" width="8.88671875" style="3"/>
    <col min="3841" max="3841" width="5.88671875" style="3" customWidth="1"/>
    <col min="3842" max="3842" width="28.33203125" style="3" customWidth="1"/>
    <col min="3843" max="3844" width="4.44140625" style="3" customWidth="1"/>
    <col min="3845" max="3847" width="7.77734375" style="3" customWidth="1"/>
    <col min="3848" max="3848" width="8.44140625" style="3" customWidth="1"/>
    <col min="3849" max="4096" width="8.88671875" style="3"/>
    <col min="4097" max="4097" width="5.88671875" style="3" customWidth="1"/>
    <col min="4098" max="4098" width="28.33203125" style="3" customWidth="1"/>
    <col min="4099" max="4100" width="4.44140625" style="3" customWidth="1"/>
    <col min="4101" max="4103" width="7.77734375" style="3" customWidth="1"/>
    <col min="4104" max="4104" width="8.44140625" style="3" customWidth="1"/>
    <col min="4105" max="4352" width="8.88671875" style="3"/>
    <col min="4353" max="4353" width="5.88671875" style="3" customWidth="1"/>
    <col min="4354" max="4354" width="28.33203125" style="3" customWidth="1"/>
    <col min="4355" max="4356" width="4.44140625" style="3" customWidth="1"/>
    <col min="4357" max="4359" width="7.77734375" style="3" customWidth="1"/>
    <col min="4360" max="4360" width="8.44140625" style="3" customWidth="1"/>
    <col min="4361" max="4608" width="8.88671875" style="3"/>
    <col min="4609" max="4609" width="5.88671875" style="3" customWidth="1"/>
    <col min="4610" max="4610" width="28.33203125" style="3" customWidth="1"/>
    <col min="4611" max="4612" width="4.44140625" style="3" customWidth="1"/>
    <col min="4613" max="4615" width="7.77734375" style="3" customWidth="1"/>
    <col min="4616" max="4616" width="8.44140625" style="3" customWidth="1"/>
    <col min="4617" max="4864" width="8.88671875" style="3"/>
    <col min="4865" max="4865" width="5.88671875" style="3" customWidth="1"/>
    <col min="4866" max="4866" width="28.33203125" style="3" customWidth="1"/>
    <col min="4867" max="4868" width="4.44140625" style="3" customWidth="1"/>
    <col min="4869" max="4871" width="7.77734375" style="3" customWidth="1"/>
    <col min="4872" max="4872" width="8.44140625" style="3" customWidth="1"/>
    <col min="4873" max="5120" width="8.88671875" style="3"/>
    <col min="5121" max="5121" width="5.88671875" style="3" customWidth="1"/>
    <col min="5122" max="5122" width="28.33203125" style="3" customWidth="1"/>
    <col min="5123" max="5124" width="4.44140625" style="3" customWidth="1"/>
    <col min="5125" max="5127" width="7.77734375" style="3" customWidth="1"/>
    <col min="5128" max="5128" width="8.44140625" style="3" customWidth="1"/>
    <col min="5129" max="5376" width="8.88671875" style="3"/>
    <col min="5377" max="5377" width="5.88671875" style="3" customWidth="1"/>
    <col min="5378" max="5378" width="28.33203125" style="3" customWidth="1"/>
    <col min="5379" max="5380" width="4.44140625" style="3" customWidth="1"/>
    <col min="5381" max="5383" width="7.77734375" style="3" customWidth="1"/>
    <col min="5384" max="5384" width="8.44140625" style="3" customWidth="1"/>
    <col min="5385" max="5632" width="8.88671875" style="3"/>
    <col min="5633" max="5633" width="5.88671875" style="3" customWidth="1"/>
    <col min="5634" max="5634" width="28.33203125" style="3" customWidth="1"/>
    <col min="5635" max="5636" width="4.44140625" style="3" customWidth="1"/>
    <col min="5637" max="5639" width="7.77734375" style="3" customWidth="1"/>
    <col min="5640" max="5640" width="8.44140625" style="3" customWidth="1"/>
    <col min="5641" max="5888" width="8.88671875" style="3"/>
    <col min="5889" max="5889" width="5.88671875" style="3" customWidth="1"/>
    <col min="5890" max="5890" width="28.33203125" style="3" customWidth="1"/>
    <col min="5891" max="5892" width="4.44140625" style="3" customWidth="1"/>
    <col min="5893" max="5895" width="7.77734375" style="3" customWidth="1"/>
    <col min="5896" max="5896" width="8.44140625" style="3" customWidth="1"/>
    <col min="5897" max="6144" width="8.88671875" style="3"/>
    <col min="6145" max="6145" width="5.88671875" style="3" customWidth="1"/>
    <col min="6146" max="6146" width="28.33203125" style="3" customWidth="1"/>
    <col min="6147" max="6148" width="4.44140625" style="3" customWidth="1"/>
    <col min="6149" max="6151" width="7.77734375" style="3" customWidth="1"/>
    <col min="6152" max="6152" width="8.44140625" style="3" customWidth="1"/>
    <col min="6153" max="6400" width="8.88671875" style="3"/>
    <col min="6401" max="6401" width="5.88671875" style="3" customWidth="1"/>
    <col min="6402" max="6402" width="28.33203125" style="3" customWidth="1"/>
    <col min="6403" max="6404" width="4.44140625" style="3" customWidth="1"/>
    <col min="6405" max="6407" width="7.77734375" style="3" customWidth="1"/>
    <col min="6408" max="6408" width="8.44140625" style="3" customWidth="1"/>
    <col min="6409" max="6656" width="8.88671875" style="3"/>
    <col min="6657" max="6657" width="5.88671875" style="3" customWidth="1"/>
    <col min="6658" max="6658" width="28.33203125" style="3" customWidth="1"/>
    <col min="6659" max="6660" width="4.44140625" style="3" customWidth="1"/>
    <col min="6661" max="6663" width="7.77734375" style="3" customWidth="1"/>
    <col min="6664" max="6664" width="8.44140625" style="3" customWidth="1"/>
    <col min="6665" max="6912" width="8.88671875" style="3"/>
    <col min="6913" max="6913" width="5.88671875" style="3" customWidth="1"/>
    <col min="6914" max="6914" width="28.33203125" style="3" customWidth="1"/>
    <col min="6915" max="6916" width="4.44140625" style="3" customWidth="1"/>
    <col min="6917" max="6919" width="7.77734375" style="3" customWidth="1"/>
    <col min="6920" max="6920" width="8.44140625" style="3" customWidth="1"/>
    <col min="6921" max="7168" width="8.88671875" style="3"/>
    <col min="7169" max="7169" width="5.88671875" style="3" customWidth="1"/>
    <col min="7170" max="7170" width="28.33203125" style="3" customWidth="1"/>
    <col min="7171" max="7172" width="4.44140625" style="3" customWidth="1"/>
    <col min="7173" max="7175" width="7.77734375" style="3" customWidth="1"/>
    <col min="7176" max="7176" width="8.44140625" style="3" customWidth="1"/>
    <col min="7177" max="7424" width="8.88671875" style="3"/>
    <col min="7425" max="7425" width="5.88671875" style="3" customWidth="1"/>
    <col min="7426" max="7426" width="28.33203125" style="3" customWidth="1"/>
    <col min="7427" max="7428" width="4.44140625" style="3" customWidth="1"/>
    <col min="7429" max="7431" width="7.77734375" style="3" customWidth="1"/>
    <col min="7432" max="7432" width="8.44140625" style="3" customWidth="1"/>
    <col min="7433" max="7680" width="8.88671875" style="3"/>
    <col min="7681" max="7681" width="5.88671875" style="3" customWidth="1"/>
    <col min="7682" max="7682" width="28.33203125" style="3" customWidth="1"/>
    <col min="7683" max="7684" width="4.44140625" style="3" customWidth="1"/>
    <col min="7685" max="7687" width="7.77734375" style="3" customWidth="1"/>
    <col min="7688" max="7688" width="8.44140625" style="3" customWidth="1"/>
    <col min="7689" max="7936" width="8.88671875" style="3"/>
    <col min="7937" max="7937" width="5.88671875" style="3" customWidth="1"/>
    <col min="7938" max="7938" width="28.33203125" style="3" customWidth="1"/>
    <col min="7939" max="7940" width="4.44140625" style="3" customWidth="1"/>
    <col min="7941" max="7943" width="7.77734375" style="3" customWidth="1"/>
    <col min="7944" max="7944" width="8.44140625" style="3" customWidth="1"/>
    <col min="7945" max="8192" width="8.88671875" style="3"/>
    <col min="8193" max="8193" width="5.88671875" style="3" customWidth="1"/>
    <col min="8194" max="8194" width="28.33203125" style="3" customWidth="1"/>
    <col min="8195" max="8196" width="4.44140625" style="3" customWidth="1"/>
    <col min="8197" max="8199" width="7.77734375" style="3" customWidth="1"/>
    <col min="8200" max="8200" width="8.44140625" style="3" customWidth="1"/>
    <col min="8201" max="8448" width="8.88671875" style="3"/>
    <col min="8449" max="8449" width="5.88671875" style="3" customWidth="1"/>
    <col min="8450" max="8450" width="28.33203125" style="3" customWidth="1"/>
    <col min="8451" max="8452" width="4.44140625" style="3" customWidth="1"/>
    <col min="8453" max="8455" width="7.77734375" style="3" customWidth="1"/>
    <col min="8456" max="8456" width="8.44140625" style="3" customWidth="1"/>
    <col min="8457" max="8704" width="8.88671875" style="3"/>
    <col min="8705" max="8705" width="5.88671875" style="3" customWidth="1"/>
    <col min="8706" max="8706" width="28.33203125" style="3" customWidth="1"/>
    <col min="8707" max="8708" width="4.44140625" style="3" customWidth="1"/>
    <col min="8709" max="8711" width="7.77734375" style="3" customWidth="1"/>
    <col min="8712" max="8712" width="8.44140625" style="3" customWidth="1"/>
    <col min="8713" max="8960" width="8.88671875" style="3"/>
    <col min="8961" max="8961" width="5.88671875" style="3" customWidth="1"/>
    <col min="8962" max="8962" width="28.33203125" style="3" customWidth="1"/>
    <col min="8963" max="8964" width="4.44140625" style="3" customWidth="1"/>
    <col min="8965" max="8967" width="7.77734375" style="3" customWidth="1"/>
    <col min="8968" max="8968" width="8.44140625" style="3" customWidth="1"/>
    <col min="8969" max="9216" width="8.88671875" style="3"/>
    <col min="9217" max="9217" width="5.88671875" style="3" customWidth="1"/>
    <col min="9218" max="9218" width="28.33203125" style="3" customWidth="1"/>
    <col min="9219" max="9220" width="4.44140625" style="3" customWidth="1"/>
    <col min="9221" max="9223" width="7.77734375" style="3" customWidth="1"/>
    <col min="9224" max="9224" width="8.44140625" style="3" customWidth="1"/>
    <col min="9225" max="9472" width="8.88671875" style="3"/>
    <col min="9473" max="9473" width="5.88671875" style="3" customWidth="1"/>
    <col min="9474" max="9474" width="28.33203125" style="3" customWidth="1"/>
    <col min="9475" max="9476" width="4.44140625" style="3" customWidth="1"/>
    <col min="9477" max="9479" width="7.77734375" style="3" customWidth="1"/>
    <col min="9480" max="9480" width="8.44140625" style="3" customWidth="1"/>
    <col min="9481" max="9728" width="8.88671875" style="3"/>
    <col min="9729" max="9729" width="5.88671875" style="3" customWidth="1"/>
    <col min="9730" max="9730" width="28.33203125" style="3" customWidth="1"/>
    <col min="9731" max="9732" width="4.44140625" style="3" customWidth="1"/>
    <col min="9733" max="9735" width="7.77734375" style="3" customWidth="1"/>
    <col min="9736" max="9736" width="8.44140625" style="3" customWidth="1"/>
    <col min="9737" max="9984" width="8.88671875" style="3"/>
    <col min="9985" max="9985" width="5.88671875" style="3" customWidth="1"/>
    <col min="9986" max="9986" width="28.33203125" style="3" customWidth="1"/>
    <col min="9987" max="9988" width="4.44140625" style="3" customWidth="1"/>
    <col min="9989" max="9991" width="7.77734375" style="3" customWidth="1"/>
    <col min="9992" max="9992" width="8.44140625" style="3" customWidth="1"/>
    <col min="9993" max="10240" width="8.88671875" style="3"/>
    <col min="10241" max="10241" width="5.88671875" style="3" customWidth="1"/>
    <col min="10242" max="10242" width="28.33203125" style="3" customWidth="1"/>
    <col min="10243" max="10244" width="4.44140625" style="3" customWidth="1"/>
    <col min="10245" max="10247" width="7.77734375" style="3" customWidth="1"/>
    <col min="10248" max="10248" width="8.44140625" style="3" customWidth="1"/>
    <col min="10249" max="10496" width="8.88671875" style="3"/>
    <col min="10497" max="10497" width="5.88671875" style="3" customWidth="1"/>
    <col min="10498" max="10498" width="28.33203125" style="3" customWidth="1"/>
    <col min="10499" max="10500" width="4.44140625" style="3" customWidth="1"/>
    <col min="10501" max="10503" width="7.77734375" style="3" customWidth="1"/>
    <col min="10504" max="10504" width="8.44140625" style="3" customWidth="1"/>
    <col min="10505" max="10752" width="8.88671875" style="3"/>
    <col min="10753" max="10753" width="5.88671875" style="3" customWidth="1"/>
    <col min="10754" max="10754" width="28.33203125" style="3" customWidth="1"/>
    <col min="10755" max="10756" width="4.44140625" style="3" customWidth="1"/>
    <col min="10757" max="10759" width="7.77734375" style="3" customWidth="1"/>
    <col min="10760" max="10760" width="8.44140625" style="3" customWidth="1"/>
    <col min="10761" max="11008" width="8.88671875" style="3"/>
    <col min="11009" max="11009" width="5.88671875" style="3" customWidth="1"/>
    <col min="11010" max="11010" width="28.33203125" style="3" customWidth="1"/>
    <col min="11011" max="11012" width="4.44140625" style="3" customWidth="1"/>
    <col min="11013" max="11015" width="7.77734375" style="3" customWidth="1"/>
    <col min="11016" max="11016" width="8.44140625" style="3" customWidth="1"/>
    <col min="11017" max="11264" width="8.88671875" style="3"/>
    <col min="11265" max="11265" width="5.88671875" style="3" customWidth="1"/>
    <col min="11266" max="11266" width="28.33203125" style="3" customWidth="1"/>
    <col min="11267" max="11268" width="4.44140625" style="3" customWidth="1"/>
    <col min="11269" max="11271" width="7.77734375" style="3" customWidth="1"/>
    <col min="11272" max="11272" width="8.44140625" style="3" customWidth="1"/>
    <col min="11273" max="11520" width="8.88671875" style="3"/>
    <col min="11521" max="11521" width="5.88671875" style="3" customWidth="1"/>
    <col min="11522" max="11522" width="28.33203125" style="3" customWidth="1"/>
    <col min="11523" max="11524" width="4.44140625" style="3" customWidth="1"/>
    <col min="11525" max="11527" width="7.77734375" style="3" customWidth="1"/>
    <col min="11528" max="11528" width="8.44140625" style="3" customWidth="1"/>
    <col min="11529" max="11776" width="8.88671875" style="3"/>
    <col min="11777" max="11777" width="5.88671875" style="3" customWidth="1"/>
    <col min="11778" max="11778" width="28.33203125" style="3" customWidth="1"/>
    <col min="11779" max="11780" width="4.44140625" style="3" customWidth="1"/>
    <col min="11781" max="11783" width="7.77734375" style="3" customWidth="1"/>
    <col min="11784" max="11784" width="8.44140625" style="3" customWidth="1"/>
    <col min="11785" max="12032" width="8.88671875" style="3"/>
    <col min="12033" max="12033" width="5.88671875" style="3" customWidth="1"/>
    <col min="12034" max="12034" width="28.33203125" style="3" customWidth="1"/>
    <col min="12035" max="12036" width="4.44140625" style="3" customWidth="1"/>
    <col min="12037" max="12039" width="7.77734375" style="3" customWidth="1"/>
    <col min="12040" max="12040" width="8.44140625" style="3" customWidth="1"/>
    <col min="12041" max="12288" width="8.88671875" style="3"/>
    <col min="12289" max="12289" width="5.88671875" style="3" customWidth="1"/>
    <col min="12290" max="12290" width="28.33203125" style="3" customWidth="1"/>
    <col min="12291" max="12292" width="4.44140625" style="3" customWidth="1"/>
    <col min="12293" max="12295" width="7.77734375" style="3" customWidth="1"/>
    <col min="12296" max="12296" width="8.44140625" style="3" customWidth="1"/>
    <col min="12297" max="12544" width="8.88671875" style="3"/>
    <col min="12545" max="12545" width="5.88671875" style="3" customWidth="1"/>
    <col min="12546" max="12546" width="28.33203125" style="3" customWidth="1"/>
    <col min="12547" max="12548" width="4.44140625" style="3" customWidth="1"/>
    <col min="12549" max="12551" width="7.77734375" style="3" customWidth="1"/>
    <col min="12552" max="12552" width="8.44140625" style="3" customWidth="1"/>
    <col min="12553" max="12800" width="8.88671875" style="3"/>
    <col min="12801" max="12801" width="5.88671875" style="3" customWidth="1"/>
    <col min="12802" max="12802" width="28.33203125" style="3" customWidth="1"/>
    <col min="12803" max="12804" width="4.44140625" style="3" customWidth="1"/>
    <col min="12805" max="12807" width="7.77734375" style="3" customWidth="1"/>
    <col min="12808" max="12808" width="8.44140625" style="3" customWidth="1"/>
    <col min="12809" max="13056" width="8.88671875" style="3"/>
    <col min="13057" max="13057" width="5.88671875" style="3" customWidth="1"/>
    <col min="13058" max="13058" width="28.33203125" style="3" customWidth="1"/>
    <col min="13059" max="13060" width="4.44140625" style="3" customWidth="1"/>
    <col min="13061" max="13063" width="7.77734375" style="3" customWidth="1"/>
    <col min="13064" max="13064" width="8.44140625" style="3" customWidth="1"/>
    <col min="13065" max="13312" width="8.88671875" style="3"/>
    <col min="13313" max="13313" width="5.88671875" style="3" customWidth="1"/>
    <col min="13314" max="13314" width="28.33203125" style="3" customWidth="1"/>
    <col min="13315" max="13316" width="4.44140625" style="3" customWidth="1"/>
    <col min="13317" max="13319" width="7.77734375" style="3" customWidth="1"/>
    <col min="13320" max="13320" width="8.44140625" style="3" customWidth="1"/>
    <col min="13321" max="13568" width="8.88671875" style="3"/>
    <col min="13569" max="13569" width="5.88671875" style="3" customWidth="1"/>
    <col min="13570" max="13570" width="28.33203125" style="3" customWidth="1"/>
    <col min="13571" max="13572" width="4.44140625" style="3" customWidth="1"/>
    <col min="13573" max="13575" width="7.77734375" style="3" customWidth="1"/>
    <col min="13576" max="13576" width="8.44140625" style="3" customWidth="1"/>
    <col min="13577" max="13824" width="8.88671875" style="3"/>
    <col min="13825" max="13825" width="5.88671875" style="3" customWidth="1"/>
    <col min="13826" max="13826" width="28.33203125" style="3" customWidth="1"/>
    <col min="13827" max="13828" width="4.44140625" style="3" customWidth="1"/>
    <col min="13829" max="13831" width="7.77734375" style="3" customWidth="1"/>
    <col min="13832" max="13832" width="8.44140625" style="3" customWidth="1"/>
    <col min="13833" max="14080" width="8.88671875" style="3"/>
    <col min="14081" max="14081" width="5.88671875" style="3" customWidth="1"/>
    <col min="14082" max="14082" width="28.33203125" style="3" customWidth="1"/>
    <col min="14083" max="14084" width="4.44140625" style="3" customWidth="1"/>
    <col min="14085" max="14087" width="7.77734375" style="3" customWidth="1"/>
    <col min="14088" max="14088" width="8.44140625" style="3" customWidth="1"/>
    <col min="14089" max="14336" width="8.88671875" style="3"/>
    <col min="14337" max="14337" width="5.88671875" style="3" customWidth="1"/>
    <col min="14338" max="14338" width="28.33203125" style="3" customWidth="1"/>
    <col min="14339" max="14340" width="4.44140625" style="3" customWidth="1"/>
    <col min="14341" max="14343" width="7.77734375" style="3" customWidth="1"/>
    <col min="14344" max="14344" width="8.44140625" style="3" customWidth="1"/>
    <col min="14345" max="14592" width="8.88671875" style="3"/>
    <col min="14593" max="14593" width="5.88671875" style="3" customWidth="1"/>
    <col min="14594" max="14594" width="28.33203125" style="3" customWidth="1"/>
    <col min="14595" max="14596" width="4.44140625" style="3" customWidth="1"/>
    <col min="14597" max="14599" width="7.77734375" style="3" customWidth="1"/>
    <col min="14600" max="14600" width="8.44140625" style="3" customWidth="1"/>
    <col min="14601" max="14848" width="8.88671875" style="3"/>
    <col min="14849" max="14849" width="5.88671875" style="3" customWidth="1"/>
    <col min="14850" max="14850" width="28.33203125" style="3" customWidth="1"/>
    <col min="14851" max="14852" width="4.44140625" style="3" customWidth="1"/>
    <col min="14853" max="14855" width="7.77734375" style="3" customWidth="1"/>
    <col min="14856" max="14856" width="8.44140625" style="3" customWidth="1"/>
    <col min="14857" max="15104" width="8.88671875" style="3"/>
    <col min="15105" max="15105" width="5.88671875" style="3" customWidth="1"/>
    <col min="15106" max="15106" width="28.33203125" style="3" customWidth="1"/>
    <col min="15107" max="15108" width="4.44140625" style="3" customWidth="1"/>
    <col min="15109" max="15111" width="7.77734375" style="3" customWidth="1"/>
    <col min="15112" max="15112" width="8.44140625" style="3" customWidth="1"/>
    <col min="15113" max="15360" width="8.88671875" style="3"/>
    <col min="15361" max="15361" width="5.88671875" style="3" customWidth="1"/>
    <col min="15362" max="15362" width="28.33203125" style="3" customWidth="1"/>
    <col min="15363" max="15364" width="4.44140625" style="3" customWidth="1"/>
    <col min="15365" max="15367" width="7.77734375" style="3" customWidth="1"/>
    <col min="15368" max="15368" width="8.44140625" style="3" customWidth="1"/>
    <col min="15369" max="15616" width="8.88671875" style="3"/>
    <col min="15617" max="15617" width="5.88671875" style="3" customWidth="1"/>
    <col min="15618" max="15618" width="28.33203125" style="3" customWidth="1"/>
    <col min="15619" max="15620" width="4.44140625" style="3" customWidth="1"/>
    <col min="15621" max="15623" width="7.77734375" style="3" customWidth="1"/>
    <col min="15624" max="15624" width="8.44140625" style="3" customWidth="1"/>
    <col min="15625" max="15872" width="8.88671875" style="3"/>
    <col min="15873" max="15873" width="5.88671875" style="3" customWidth="1"/>
    <col min="15874" max="15874" width="28.33203125" style="3" customWidth="1"/>
    <col min="15875" max="15876" width="4.44140625" style="3" customWidth="1"/>
    <col min="15877" max="15879" width="7.77734375" style="3" customWidth="1"/>
    <col min="15880" max="15880" width="8.44140625" style="3" customWidth="1"/>
    <col min="15881" max="16128" width="8.88671875" style="3"/>
    <col min="16129" max="16129" width="5.88671875" style="3" customWidth="1"/>
    <col min="16130" max="16130" width="28.33203125" style="3" customWidth="1"/>
    <col min="16131" max="16132" width="4.44140625" style="3" customWidth="1"/>
    <col min="16133" max="16135" width="7.77734375" style="3" customWidth="1"/>
    <col min="16136" max="16136" width="8.44140625" style="3" customWidth="1"/>
    <col min="16137" max="16384" width="8.88671875" style="3"/>
  </cols>
  <sheetData>
    <row r="1" spans="1:11">
      <c r="A1" s="1539" t="s">
        <v>0</v>
      </c>
      <c r="B1" s="1539"/>
      <c r="C1" s="1539"/>
      <c r="D1" s="1539"/>
      <c r="E1" s="1539"/>
      <c r="F1" s="1539"/>
      <c r="G1" s="1539"/>
      <c r="H1" s="1539"/>
    </row>
    <row r="2" spans="1:11">
      <c r="A2" s="1539" t="s">
        <v>1</v>
      </c>
      <c r="B2" s="1539"/>
      <c r="C2" s="1539"/>
      <c r="D2" s="1539"/>
      <c r="E2" s="1539"/>
      <c r="F2" s="1539"/>
      <c r="G2" s="1539"/>
      <c r="H2" s="1539"/>
    </row>
    <row r="3" spans="1:11">
      <c r="A3" s="1538" t="s">
        <v>85</v>
      </c>
      <c r="B3" s="1538"/>
      <c r="C3" s="1538"/>
      <c r="D3" s="1538"/>
      <c r="E3" s="1538"/>
      <c r="F3" s="1538"/>
      <c r="G3" s="1538"/>
      <c r="H3" s="1538"/>
    </row>
    <row r="4" spans="1:11" ht="67.5" customHeight="1">
      <c r="A4" s="1538" t="str">
        <f>Road!A1</f>
        <v>CONSTRUCTION OF NEW POLICE STATION BUILDING WITH DEVELOPMENT WORK IN  REGUNATHAPURAM IN PUDUKKOTTAI DISRICT.</v>
      </c>
      <c r="B4" s="1538"/>
      <c r="C4" s="1538"/>
      <c r="D4" s="1538"/>
      <c r="E4" s="1538"/>
      <c r="F4" s="1538"/>
      <c r="G4" s="1538"/>
      <c r="H4" s="1538"/>
    </row>
    <row r="5" spans="1:11">
      <c r="A5" s="1540" t="s">
        <v>86</v>
      </c>
      <c r="B5" s="1540"/>
      <c r="C5" s="1540"/>
      <c r="D5" s="1540"/>
      <c r="E5" s="1540"/>
      <c r="F5" s="1540"/>
      <c r="G5" s="1540"/>
      <c r="H5" s="1540"/>
    </row>
    <row r="6" spans="1:11">
      <c r="A6" s="1541" t="s">
        <v>87</v>
      </c>
      <c r="B6" s="1542" t="s">
        <v>88</v>
      </c>
      <c r="C6" s="1543" t="s">
        <v>54</v>
      </c>
      <c r="D6" s="1543"/>
      <c r="E6" s="1542" t="s">
        <v>89</v>
      </c>
      <c r="F6" s="1542"/>
      <c r="G6" s="1542"/>
      <c r="H6" s="1542" t="s">
        <v>90</v>
      </c>
    </row>
    <row r="7" spans="1:11">
      <c r="A7" s="1542"/>
      <c r="B7" s="1542"/>
      <c r="C7" s="1543"/>
      <c r="D7" s="1543"/>
      <c r="E7" s="10" t="s">
        <v>91</v>
      </c>
      <c r="F7" s="10" t="s">
        <v>6</v>
      </c>
      <c r="G7" s="10" t="s">
        <v>7</v>
      </c>
      <c r="H7" s="1542"/>
      <c r="J7" s="11"/>
    </row>
    <row r="8" spans="1:11" ht="31.5">
      <c r="A8" s="1">
        <v>1</v>
      </c>
      <c r="B8" s="12" t="s">
        <v>92</v>
      </c>
      <c r="C8" s="1"/>
      <c r="D8" s="6"/>
      <c r="E8" s="5"/>
      <c r="F8" s="5"/>
      <c r="G8" s="5"/>
      <c r="H8" s="5"/>
    </row>
    <row r="9" spans="1:11">
      <c r="A9" s="1"/>
      <c r="B9" s="5" t="s">
        <v>93</v>
      </c>
      <c r="C9" s="6">
        <v>1</v>
      </c>
      <c r="D9" s="6">
        <v>4</v>
      </c>
      <c r="E9" s="5">
        <v>1.2</v>
      </c>
      <c r="F9" s="5">
        <v>1.2</v>
      </c>
      <c r="G9" s="5">
        <v>1.2</v>
      </c>
      <c r="H9" s="5">
        <f>PRODUCT(C9:G9)</f>
        <v>6.9119999999999999</v>
      </c>
    </row>
    <row r="10" spans="1:11">
      <c r="A10" s="1"/>
      <c r="B10" s="5" t="s">
        <v>94</v>
      </c>
      <c r="C10" s="6">
        <v>1</v>
      </c>
      <c r="D10" s="6">
        <v>1</v>
      </c>
      <c r="E10" s="9">
        <v>1.46</v>
      </c>
      <c r="F10" s="5">
        <v>1.2</v>
      </c>
      <c r="G10" s="5">
        <v>0.3</v>
      </c>
      <c r="H10" s="5">
        <f>PRODUCT(C10:G10)</f>
        <v>0.52559999999999996</v>
      </c>
    </row>
    <row r="11" spans="1:11">
      <c r="A11" s="1"/>
      <c r="B11" s="5" t="s">
        <v>95</v>
      </c>
      <c r="C11" s="6">
        <v>1</v>
      </c>
      <c r="D11" s="6">
        <v>1</v>
      </c>
      <c r="E11" s="9">
        <v>10.52</v>
      </c>
      <c r="F11" s="5">
        <v>0.23</v>
      </c>
      <c r="G11" s="5">
        <v>0.1</v>
      </c>
      <c r="H11" s="5">
        <f>PRODUCT(C11:G11)</f>
        <v>0.24196000000000001</v>
      </c>
    </row>
    <row r="12" spans="1:11">
      <c r="A12" s="1"/>
      <c r="B12" s="5"/>
      <c r="C12" s="6"/>
      <c r="D12" s="6"/>
      <c r="E12" s="9"/>
      <c r="F12" s="5"/>
      <c r="G12" s="5"/>
      <c r="H12" s="5">
        <f>SUM(H9:H11)</f>
        <v>7.6795599999999995</v>
      </c>
    </row>
    <row r="13" spans="1:11">
      <c r="A13" s="1"/>
      <c r="B13" s="5"/>
      <c r="C13" s="6"/>
      <c r="D13" s="6"/>
      <c r="E13" s="5"/>
      <c r="F13" s="5"/>
      <c r="G13" s="13"/>
      <c r="H13" s="5">
        <v>0.02</v>
      </c>
    </row>
    <row r="14" spans="1:11">
      <c r="A14" s="1"/>
      <c r="B14" s="5"/>
      <c r="C14" s="6"/>
      <c r="D14" s="6"/>
      <c r="E14" s="5"/>
      <c r="F14" s="5"/>
      <c r="G14" s="13"/>
      <c r="H14" s="14">
        <f>SUM(H12:H13)</f>
        <v>7.6995599999999991</v>
      </c>
    </row>
    <row r="15" spans="1:11">
      <c r="A15" s="1"/>
      <c r="B15" s="5"/>
      <c r="C15" s="6"/>
      <c r="D15" s="6"/>
      <c r="E15" s="5"/>
      <c r="F15" s="15" t="s">
        <v>203</v>
      </c>
      <c r="G15" s="15">
        <f>H14</f>
        <v>7.6995599999999991</v>
      </c>
      <c r="H15" s="15" t="s">
        <v>204</v>
      </c>
    </row>
    <row r="16" spans="1:11">
      <c r="A16" s="1">
        <f>A8+1</f>
        <v>2</v>
      </c>
      <c r="B16" s="12" t="s">
        <v>67</v>
      </c>
      <c r="C16" s="6"/>
      <c r="D16" s="6"/>
      <c r="E16" s="5"/>
      <c r="F16" s="5"/>
      <c r="G16" s="5"/>
      <c r="H16" s="5"/>
      <c r="K16" s="16"/>
    </row>
    <row r="17" spans="1:11">
      <c r="A17" s="1"/>
      <c r="B17" s="5" t="s">
        <v>93</v>
      </c>
      <c r="C17" s="6">
        <v>1</v>
      </c>
      <c r="D17" s="6">
        <f>+D9</f>
        <v>4</v>
      </c>
      <c r="E17" s="5">
        <f>+E9</f>
        <v>1.2</v>
      </c>
      <c r="F17" s="5">
        <f>+F9</f>
        <v>1.2</v>
      </c>
      <c r="G17" s="5">
        <v>0.1</v>
      </c>
      <c r="H17" s="5">
        <f>PRODUCT(C17:G17)</f>
        <v>0.57599999999999996</v>
      </c>
      <c r="K17" s="16"/>
    </row>
    <row r="18" spans="1:11">
      <c r="A18" s="1"/>
      <c r="B18" s="5" t="s">
        <v>94</v>
      </c>
      <c r="C18" s="6">
        <v>1</v>
      </c>
      <c r="D18" s="6">
        <v>1</v>
      </c>
      <c r="E18" s="5">
        <f>+E10</f>
        <v>1.46</v>
      </c>
      <c r="F18" s="9">
        <f>+F10</f>
        <v>1.2</v>
      </c>
      <c r="G18" s="5">
        <v>0.15</v>
      </c>
      <c r="H18" s="5">
        <f>PRODUCT(C18:G18)</f>
        <v>0.26279999999999998</v>
      </c>
      <c r="K18" s="16"/>
    </row>
    <row r="19" spans="1:11">
      <c r="A19" s="1"/>
      <c r="B19" s="5" t="s">
        <v>97</v>
      </c>
      <c r="C19" s="6">
        <v>1</v>
      </c>
      <c r="D19" s="6">
        <v>1</v>
      </c>
      <c r="E19" s="5">
        <v>2.4</v>
      </c>
      <c r="F19" s="9">
        <v>2.4</v>
      </c>
      <c r="G19" s="5">
        <v>0.15</v>
      </c>
      <c r="H19" s="5">
        <f>PRODUCT(C19:G19)</f>
        <v>0.86399999999999999</v>
      </c>
      <c r="K19" s="16"/>
    </row>
    <row r="20" spans="1:11">
      <c r="A20" s="1"/>
      <c r="B20" s="5"/>
      <c r="C20" s="6"/>
      <c r="D20" s="6"/>
      <c r="E20" s="5"/>
      <c r="F20" s="9"/>
      <c r="G20" s="5"/>
      <c r="H20" s="5">
        <f>SUM(H17:H19)</f>
        <v>1.7027999999999999</v>
      </c>
      <c r="K20" s="16"/>
    </row>
    <row r="21" spans="1:11">
      <c r="A21" s="1"/>
      <c r="B21" s="12"/>
      <c r="C21" s="6"/>
      <c r="D21" s="6"/>
      <c r="E21" s="5"/>
      <c r="F21" s="15" t="s">
        <v>96</v>
      </c>
      <c r="G21" s="15">
        <f>H20</f>
        <v>1.7027999999999999</v>
      </c>
      <c r="H21" s="15" t="s">
        <v>16</v>
      </c>
      <c r="K21" s="16"/>
    </row>
    <row r="22" spans="1:11" ht="31.5">
      <c r="A22" s="1">
        <f>+A16+1</f>
        <v>3</v>
      </c>
      <c r="B22" s="12" t="str">
        <f>'Septic Tank'!B38</f>
        <v>Standardised concrete Mix M20 Grade Concrete</v>
      </c>
      <c r="C22" s="1"/>
      <c r="D22" s="6"/>
      <c r="E22" s="5"/>
      <c r="F22" s="5"/>
      <c r="G22" s="5"/>
      <c r="H22" s="5"/>
    </row>
    <row r="23" spans="1:11">
      <c r="A23" s="1"/>
      <c r="B23" s="5" t="s">
        <v>93</v>
      </c>
      <c r="C23" s="6">
        <v>1</v>
      </c>
      <c r="D23" s="6">
        <f>+D17</f>
        <v>4</v>
      </c>
      <c r="E23" s="5">
        <v>0.9</v>
      </c>
      <c r="F23" s="5">
        <v>0.9</v>
      </c>
      <c r="G23" s="5">
        <v>0.3</v>
      </c>
      <c r="H23" s="5">
        <f>PRODUCT(C23:G23)</f>
        <v>0.97199999999999998</v>
      </c>
    </row>
    <row r="24" spans="1:11">
      <c r="A24" s="1"/>
      <c r="B24" s="5"/>
      <c r="C24" s="6">
        <v>1</v>
      </c>
      <c r="D24" s="6">
        <f>+D23</f>
        <v>4</v>
      </c>
      <c r="E24" s="5">
        <v>0.45</v>
      </c>
      <c r="F24" s="9">
        <v>0.45</v>
      </c>
      <c r="G24" s="9">
        <v>0.6</v>
      </c>
      <c r="H24" s="5">
        <f>PRODUCT(C24:G24)</f>
        <v>0.48599999999999999</v>
      </c>
      <c r="K24" s="16"/>
    </row>
    <row r="25" spans="1:11">
      <c r="A25" s="1"/>
      <c r="B25" s="5" t="s">
        <v>95</v>
      </c>
      <c r="C25" s="6">
        <v>1</v>
      </c>
      <c r="D25" s="6">
        <v>1</v>
      </c>
      <c r="E25" s="5">
        <f>+E11</f>
        <v>10.52</v>
      </c>
      <c r="F25" s="9">
        <v>0.23</v>
      </c>
      <c r="G25" s="9">
        <v>0.23</v>
      </c>
      <c r="H25" s="5">
        <f>PRODUCT(C25:G25)</f>
        <v>0.556508</v>
      </c>
      <c r="K25" s="17"/>
    </row>
    <row r="26" spans="1:11">
      <c r="A26" s="1"/>
      <c r="B26" s="5" t="s">
        <v>98</v>
      </c>
      <c r="C26" s="6">
        <v>1</v>
      </c>
      <c r="D26" s="6">
        <f>+D23</f>
        <v>4</v>
      </c>
      <c r="E26" s="5">
        <v>0.23</v>
      </c>
      <c r="F26" s="9">
        <v>0.23</v>
      </c>
      <c r="G26" s="9">
        <f>1.2-0.13</f>
        <v>1.0699999999999998</v>
      </c>
      <c r="H26" s="5">
        <f>PRODUCT(C26:G26)</f>
        <v>0.22641199999999997</v>
      </c>
      <c r="I26" s="18"/>
      <c r="K26" s="17"/>
    </row>
    <row r="27" spans="1:11">
      <c r="A27" s="1"/>
      <c r="B27" s="5"/>
      <c r="C27" s="6"/>
      <c r="D27" s="6"/>
      <c r="E27" s="5"/>
      <c r="F27" s="5"/>
      <c r="G27" s="5"/>
      <c r="H27" s="5">
        <f>SUM(H23:H26)</f>
        <v>2.24092</v>
      </c>
      <c r="K27" s="16"/>
    </row>
    <row r="28" spans="1:11">
      <c r="A28" s="1"/>
      <c r="B28" s="5"/>
      <c r="C28" s="6"/>
      <c r="D28" s="6"/>
      <c r="E28" s="5"/>
      <c r="F28" s="5"/>
      <c r="G28" s="5"/>
      <c r="H28" s="5">
        <v>0.01</v>
      </c>
      <c r="K28" s="16"/>
    </row>
    <row r="29" spans="1:11">
      <c r="A29" s="1"/>
      <c r="B29" s="5"/>
      <c r="C29" s="6"/>
      <c r="D29" s="6"/>
      <c r="E29" s="5"/>
      <c r="F29" s="5"/>
      <c r="G29" s="13"/>
      <c r="H29" s="14">
        <f>SUM(H27:H28)</f>
        <v>2.2509199999999998</v>
      </c>
      <c r="K29" s="16"/>
    </row>
    <row r="30" spans="1:11">
      <c r="A30" s="1"/>
      <c r="B30" s="5"/>
      <c r="C30" s="6"/>
      <c r="D30" s="6"/>
      <c r="E30" s="5"/>
      <c r="F30" s="15" t="s">
        <v>96</v>
      </c>
      <c r="G30" s="15">
        <f>+H29</f>
        <v>2.2509199999999998</v>
      </c>
      <c r="H30" s="15" t="s">
        <v>16</v>
      </c>
      <c r="K30" s="16"/>
    </row>
    <row r="31" spans="1:11" ht="31.5">
      <c r="A31" s="1">
        <f>+A22+1</f>
        <v>4</v>
      </c>
      <c r="B31" s="12" t="s">
        <v>99</v>
      </c>
      <c r="C31" s="1"/>
      <c r="D31" s="6"/>
      <c r="E31" s="5"/>
      <c r="F31" s="5"/>
      <c r="G31" s="5"/>
      <c r="H31" s="5"/>
    </row>
    <row r="32" spans="1:11">
      <c r="A32" s="1"/>
      <c r="B32" s="2" t="s">
        <v>100</v>
      </c>
      <c r="C32" s="6">
        <v>1</v>
      </c>
      <c r="D32" s="6">
        <v>1</v>
      </c>
      <c r="E32" s="5">
        <f>+E25</f>
        <v>10.52</v>
      </c>
      <c r="F32" s="5">
        <v>0.23</v>
      </c>
      <c r="G32" s="5">
        <f>1.2-0.13</f>
        <v>1.0699999999999998</v>
      </c>
      <c r="H32" s="5">
        <f>PRODUCT(C32:G32)</f>
        <v>2.5889719999999996</v>
      </c>
      <c r="K32" s="16"/>
    </row>
    <row r="33" spans="1:11">
      <c r="A33" s="1"/>
      <c r="B33" s="2" t="s">
        <v>101</v>
      </c>
      <c r="C33" s="6">
        <v>1</v>
      </c>
      <c r="D33" s="6">
        <v>1</v>
      </c>
      <c r="E33" s="5">
        <f>+E18</f>
        <v>1.46</v>
      </c>
      <c r="F33" s="5">
        <v>0.3</v>
      </c>
      <c r="G33" s="5">
        <v>0.24</v>
      </c>
      <c r="H33" s="5">
        <f>PRODUCT(C33:G33)</f>
        <v>0.10511999999999999</v>
      </c>
      <c r="K33" s="16"/>
    </row>
    <row r="34" spans="1:11">
      <c r="A34" s="1"/>
      <c r="B34" s="2" t="s">
        <v>102</v>
      </c>
      <c r="C34" s="6">
        <v>1</v>
      </c>
      <c r="D34" s="6">
        <v>1</v>
      </c>
      <c r="E34" s="5">
        <f>+E33</f>
        <v>1.46</v>
      </c>
      <c r="F34" s="5">
        <v>0.3</v>
      </c>
      <c r="G34" s="5">
        <f>G33*2</f>
        <v>0.48</v>
      </c>
      <c r="H34" s="5">
        <f>PRODUCT(C34:G34)</f>
        <v>0.21023999999999998</v>
      </c>
      <c r="K34" s="16"/>
    </row>
    <row r="35" spans="1:11">
      <c r="A35" s="1"/>
      <c r="B35" s="2" t="s">
        <v>103</v>
      </c>
      <c r="C35" s="6">
        <v>1</v>
      </c>
      <c r="D35" s="6">
        <v>1</v>
      </c>
      <c r="E35" s="5">
        <f>+E34</f>
        <v>1.46</v>
      </c>
      <c r="F35" s="5">
        <v>0.3</v>
      </c>
      <c r="G35" s="5">
        <f>G33*3</f>
        <v>0.72</v>
      </c>
      <c r="H35" s="5">
        <f>PRODUCT(C35:G35)</f>
        <v>0.31535999999999997</v>
      </c>
      <c r="K35" s="16"/>
    </row>
    <row r="36" spans="1:11">
      <c r="A36" s="1"/>
      <c r="B36" s="2" t="s">
        <v>104</v>
      </c>
      <c r="C36" s="6">
        <v>1</v>
      </c>
      <c r="D36" s="6">
        <v>1</v>
      </c>
      <c r="E36" s="5">
        <f>+E35</f>
        <v>1.46</v>
      </c>
      <c r="F36" s="5">
        <v>0.3</v>
      </c>
      <c r="G36" s="5">
        <f>G33*4</f>
        <v>0.96</v>
      </c>
      <c r="H36" s="5">
        <f>PRODUCT(C36:G36)</f>
        <v>0.42047999999999996</v>
      </c>
      <c r="K36" s="16"/>
    </row>
    <row r="37" spans="1:11">
      <c r="A37" s="1"/>
      <c r="B37" s="5" t="s">
        <v>105</v>
      </c>
      <c r="C37" s="6">
        <v>1</v>
      </c>
      <c r="D37" s="6">
        <f>+D26</f>
        <v>4</v>
      </c>
      <c r="E37" s="5">
        <v>0.23</v>
      </c>
      <c r="F37" s="9">
        <v>0.23</v>
      </c>
      <c r="G37" s="9">
        <f>+G32</f>
        <v>1.0699999999999998</v>
      </c>
      <c r="H37" s="5">
        <f>-PRODUCT(C37:G37)</f>
        <v>-0.22641199999999997</v>
      </c>
      <c r="K37" s="16"/>
    </row>
    <row r="38" spans="1:11">
      <c r="A38" s="1"/>
      <c r="B38" s="2"/>
      <c r="C38" s="6"/>
      <c r="D38" s="6"/>
      <c r="E38" s="9"/>
      <c r="F38" s="5"/>
      <c r="G38" s="5"/>
      <c r="H38" s="5">
        <f>SUM(H32:H37)</f>
        <v>3.4137599999999995</v>
      </c>
      <c r="K38" s="16"/>
    </row>
    <row r="39" spans="1:11">
      <c r="A39" s="1"/>
      <c r="B39" s="2"/>
      <c r="C39" s="6"/>
      <c r="D39" s="6"/>
      <c r="E39" s="9"/>
      <c r="F39" s="5"/>
      <c r="G39" s="5"/>
      <c r="H39" s="5">
        <v>0.04</v>
      </c>
      <c r="K39" s="16"/>
    </row>
    <row r="40" spans="1:11">
      <c r="A40" s="1"/>
      <c r="B40" s="5"/>
      <c r="C40" s="6"/>
      <c r="D40" s="6"/>
      <c r="E40" s="5"/>
      <c r="F40" s="5"/>
      <c r="G40" s="5"/>
      <c r="H40" s="14">
        <f>SUM(H38:H39)</f>
        <v>3.4537599999999995</v>
      </c>
      <c r="K40" s="16"/>
    </row>
    <row r="41" spans="1:11">
      <c r="A41" s="1"/>
      <c r="B41" s="5"/>
      <c r="C41" s="6"/>
      <c r="D41" s="6"/>
      <c r="E41" s="5"/>
      <c r="F41" s="15" t="s">
        <v>96</v>
      </c>
      <c r="G41" s="15">
        <f>+H40</f>
        <v>3.4537599999999995</v>
      </c>
      <c r="H41" s="15" t="s">
        <v>16</v>
      </c>
      <c r="K41" s="16"/>
    </row>
    <row r="42" spans="1:11" ht="31.5">
      <c r="A42" s="1">
        <f>+A31+1</f>
        <v>5</v>
      </c>
      <c r="B42" s="12" t="s">
        <v>106</v>
      </c>
      <c r="C42" s="1"/>
      <c r="D42" s="6"/>
      <c r="E42" s="5"/>
      <c r="F42" s="5"/>
      <c r="G42" s="5"/>
      <c r="H42" s="5"/>
    </row>
    <row r="43" spans="1:11">
      <c r="A43" s="1"/>
      <c r="B43" s="2" t="s">
        <v>107</v>
      </c>
      <c r="C43" s="6">
        <v>1</v>
      </c>
      <c r="D43" s="6">
        <v>1</v>
      </c>
      <c r="E43" s="5">
        <f>+E19</f>
        <v>2.4</v>
      </c>
      <c r="F43" s="5">
        <f>+F19</f>
        <v>2.4</v>
      </c>
      <c r="G43" s="19">
        <v>0.97499999999999998</v>
      </c>
      <c r="H43" s="5">
        <f>PRODUCT(C43:G43)</f>
        <v>5.6159999999999997</v>
      </c>
      <c r="K43" s="16"/>
    </row>
    <row r="44" spans="1:11">
      <c r="A44" s="1"/>
      <c r="B44" s="2"/>
      <c r="C44" s="6"/>
      <c r="D44" s="6"/>
      <c r="E44" s="5"/>
      <c r="F44" s="5"/>
      <c r="G44" s="19"/>
      <c r="H44" s="5">
        <v>0.03</v>
      </c>
      <c r="K44" s="16"/>
    </row>
    <row r="45" spans="1:11">
      <c r="A45" s="1"/>
      <c r="B45" s="5"/>
      <c r="C45" s="6"/>
      <c r="D45" s="6"/>
      <c r="E45" s="5"/>
      <c r="F45" s="5"/>
      <c r="G45" s="5"/>
      <c r="H45" s="14">
        <f>SUM(H43:H44)</f>
        <v>5.6459999999999999</v>
      </c>
      <c r="K45" s="16"/>
    </row>
    <row r="46" spans="1:11">
      <c r="A46" s="1"/>
      <c r="B46" s="5"/>
      <c r="C46" s="6"/>
      <c r="D46" s="6"/>
      <c r="E46" s="5"/>
      <c r="F46" s="15" t="s">
        <v>96</v>
      </c>
      <c r="G46" s="15">
        <f>+H45</f>
        <v>5.6459999999999999</v>
      </c>
      <c r="H46" s="15" t="s">
        <v>16</v>
      </c>
      <c r="K46" s="16"/>
    </row>
    <row r="47" spans="1:11" ht="31.5">
      <c r="A47" s="1">
        <f>+A42+1</f>
        <v>6</v>
      </c>
      <c r="B47" s="12" t="s">
        <v>108</v>
      </c>
      <c r="C47" s="1"/>
      <c r="D47" s="6"/>
      <c r="E47" s="5"/>
      <c r="F47" s="5"/>
      <c r="G47" s="5"/>
      <c r="H47" s="5"/>
    </row>
    <row r="48" spans="1:11">
      <c r="A48" s="1"/>
      <c r="B48" s="5" t="s">
        <v>93</v>
      </c>
      <c r="C48" s="6">
        <v>1</v>
      </c>
      <c r="D48" s="6">
        <f t="shared" ref="D48:F49" si="0">+D17</f>
        <v>4</v>
      </c>
      <c r="E48" s="20">
        <f t="shared" si="0"/>
        <v>1.2</v>
      </c>
      <c r="F48" s="20">
        <f t="shared" si="0"/>
        <v>1.2</v>
      </c>
      <c r="G48" s="5">
        <v>0.1</v>
      </c>
      <c r="H48" s="5">
        <f>PRODUCT(C48:G48)</f>
        <v>0.57599999999999996</v>
      </c>
      <c r="K48" s="16"/>
    </row>
    <row r="49" spans="1:13">
      <c r="A49" s="1"/>
      <c r="B49" s="5" t="s">
        <v>94</v>
      </c>
      <c r="C49" s="6">
        <v>1</v>
      </c>
      <c r="D49" s="6">
        <f t="shared" si="0"/>
        <v>1</v>
      </c>
      <c r="E49" s="20">
        <f t="shared" si="0"/>
        <v>1.46</v>
      </c>
      <c r="F49" s="20">
        <f t="shared" si="0"/>
        <v>1.2</v>
      </c>
      <c r="G49" s="5">
        <f>+G18</f>
        <v>0.15</v>
      </c>
      <c r="H49" s="5">
        <f>PRODUCT(C49:G49)</f>
        <v>0.26279999999999998</v>
      </c>
    </row>
    <row r="50" spans="1:13">
      <c r="A50" s="1"/>
      <c r="B50" s="2" t="s">
        <v>109</v>
      </c>
      <c r="C50" s="6">
        <v>1</v>
      </c>
      <c r="D50" s="6">
        <v>1</v>
      </c>
      <c r="E50" s="20">
        <f>+E43</f>
        <v>2.4</v>
      </c>
      <c r="F50" s="20">
        <f>+F43</f>
        <v>2.4</v>
      </c>
      <c r="G50" s="19">
        <v>7.4999999999999997E-2</v>
      </c>
      <c r="H50" s="5">
        <f>PRODUCT(C50:G50)</f>
        <v>0.432</v>
      </c>
    </row>
    <row r="51" spans="1:13" s="22" customFormat="1">
      <c r="A51" s="4"/>
      <c r="B51" s="21" t="s">
        <v>110</v>
      </c>
      <c r="C51" s="4">
        <v>1</v>
      </c>
      <c r="D51" s="4">
        <v>1</v>
      </c>
      <c r="E51" s="20">
        <v>8.1</v>
      </c>
      <c r="F51" s="20">
        <v>4.2</v>
      </c>
      <c r="G51" s="20">
        <v>0.15</v>
      </c>
      <c r="H51" s="20">
        <f>PRODUCT(C51:G51)</f>
        <v>5.1030000000000006</v>
      </c>
    </row>
    <row r="52" spans="1:13">
      <c r="A52" s="1"/>
      <c r="B52" s="5"/>
      <c r="C52" s="6"/>
      <c r="D52" s="6"/>
      <c r="E52" s="5"/>
      <c r="F52" s="5"/>
      <c r="G52" s="5"/>
      <c r="H52" s="5">
        <f>SUM(H48:H51)</f>
        <v>6.373800000000001</v>
      </c>
      <c r="K52" s="16"/>
    </row>
    <row r="53" spans="1:13">
      <c r="A53" s="1"/>
      <c r="B53" s="5"/>
      <c r="C53" s="6"/>
      <c r="D53" s="6"/>
      <c r="E53" s="5"/>
      <c r="F53" s="5"/>
      <c r="G53" s="5"/>
      <c r="H53" s="5">
        <v>0.03</v>
      </c>
      <c r="K53" s="16"/>
    </row>
    <row r="54" spans="1:13">
      <c r="A54" s="1"/>
      <c r="B54" s="5"/>
      <c r="C54" s="6"/>
      <c r="D54" s="6"/>
      <c r="E54" s="5"/>
      <c r="F54" s="5"/>
      <c r="G54" s="13"/>
      <c r="H54" s="14">
        <f>SUM(H52:H53)</f>
        <v>6.4038000000000013</v>
      </c>
      <c r="K54" s="16"/>
    </row>
    <row r="55" spans="1:13">
      <c r="A55" s="1"/>
      <c r="B55" s="5"/>
      <c r="C55" s="6"/>
      <c r="D55" s="6"/>
      <c r="E55" s="5"/>
      <c r="F55" s="15" t="s">
        <v>96</v>
      </c>
      <c r="G55" s="15">
        <f>+H54</f>
        <v>6.4038000000000013</v>
      </c>
      <c r="H55" s="15" t="s">
        <v>16</v>
      </c>
      <c r="K55" s="16"/>
    </row>
    <row r="56" spans="1:13" ht="31.5">
      <c r="A56" s="1">
        <f>+A47+1</f>
        <v>7</v>
      </c>
      <c r="B56" s="12" t="str">
        <f>B22</f>
        <v>Standardised concrete Mix M20 Grade Concrete</v>
      </c>
      <c r="C56" s="1"/>
      <c r="D56" s="6"/>
      <c r="E56" s="5"/>
      <c r="F56" s="5"/>
      <c r="G56" s="5"/>
      <c r="H56" s="5"/>
    </row>
    <row r="57" spans="1:13">
      <c r="A57" s="1"/>
      <c r="B57" s="23" t="s">
        <v>111</v>
      </c>
      <c r="C57" s="6"/>
      <c r="D57" s="6"/>
      <c r="E57" s="5"/>
      <c r="F57" s="5"/>
      <c r="G57" s="5"/>
      <c r="H57" s="5"/>
      <c r="M57" s="24"/>
    </row>
    <row r="58" spans="1:13">
      <c r="A58" s="1"/>
      <c r="B58" s="5" t="s">
        <v>112</v>
      </c>
      <c r="C58" s="6">
        <v>1</v>
      </c>
      <c r="D58" s="6">
        <f>+D48</f>
        <v>4</v>
      </c>
      <c r="E58" s="5">
        <v>0.23</v>
      </c>
      <c r="F58" s="5">
        <v>0.23</v>
      </c>
      <c r="G58" s="5">
        <v>2.95</v>
      </c>
      <c r="H58" s="5">
        <f t="shared" ref="H58:H63" si="1">PRODUCT(C58:G58)</f>
        <v>0.62422000000000011</v>
      </c>
      <c r="M58" s="24"/>
    </row>
    <row r="59" spans="1:13">
      <c r="A59" s="1"/>
      <c r="B59" s="5" t="s">
        <v>113</v>
      </c>
      <c r="C59" s="6">
        <v>1</v>
      </c>
      <c r="D59" s="6">
        <v>1</v>
      </c>
      <c r="E59" s="9">
        <f>+E32</f>
        <v>10.52</v>
      </c>
      <c r="F59" s="9">
        <v>0.23</v>
      </c>
      <c r="G59" s="5">
        <v>0.1</v>
      </c>
      <c r="H59" s="5">
        <f t="shared" si="1"/>
        <v>0.24196000000000001</v>
      </c>
      <c r="M59" s="24"/>
    </row>
    <row r="60" spans="1:13">
      <c r="A60" s="1"/>
      <c r="B60" s="5" t="s">
        <v>114</v>
      </c>
      <c r="C60" s="6">
        <v>1</v>
      </c>
      <c r="D60" s="6">
        <v>1</v>
      </c>
      <c r="E60" s="9">
        <v>2.86</v>
      </c>
      <c r="F60" s="9">
        <v>2.86</v>
      </c>
      <c r="G60" s="9">
        <v>0.1</v>
      </c>
      <c r="H60" s="5">
        <f t="shared" si="1"/>
        <v>0.81795999999999991</v>
      </c>
      <c r="M60" s="24"/>
    </row>
    <row r="61" spans="1:13">
      <c r="A61" s="1"/>
      <c r="B61" s="23" t="s">
        <v>115</v>
      </c>
      <c r="C61" s="6"/>
      <c r="D61" s="6"/>
      <c r="E61" s="9"/>
      <c r="F61" s="9"/>
      <c r="G61" s="19"/>
      <c r="H61" s="5"/>
      <c r="M61" s="24"/>
    </row>
    <row r="62" spans="1:13">
      <c r="A62" s="1"/>
      <c r="B62" s="23" t="s">
        <v>116</v>
      </c>
      <c r="C62" s="6">
        <v>1</v>
      </c>
      <c r="D62" s="6">
        <v>1</v>
      </c>
      <c r="E62" s="9">
        <v>2.86</v>
      </c>
      <c r="F62" s="9">
        <v>0.6</v>
      </c>
      <c r="G62" s="25">
        <v>6.25E-2</v>
      </c>
      <c r="H62" s="5">
        <f t="shared" si="1"/>
        <v>0.10725</v>
      </c>
      <c r="M62" s="24"/>
    </row>
    <row r="63" spans="1:13">
      <c r="A63" s="1"/>
      <c r="B63" s="23" t="s">
        <v>117</v>
      </c>
      <c r="C63" s="6">
        <v>1</v>
      </c>
      <c r="D63" s="6">
        <v>2</v>
      </c>
      <c r="E63" s="9">
        <f>1.2+0.46</f>
        <v>1.66</v>
      </c>
      <c r="F63" s="9">
        <v>0.45</v>
      </c>
      <c r="G63" s="25">
        <v>6.25E-2</v>
      </c>
      <c r="H63" s="5">
        <f t="shared" si="1"/>
        <v>9.3375E-2</v>
      </c>
      <c r="M63" s="24"/>
    </row>
    <row r="64" spans="1:13">
      <c r="A64" s="1"/>
      <c r="B64" s="23"/>
      <c r="C64" s="6"/>
      <c r="D64" s="6"/>
      <c r="E64" s="5"/>
      <c r="F64" s="5"/>
      <c r="G64" s="5"/>
      <c r="H64" s="5">
        <f>SUM(H58:H63)</f>
        <v>1.8847650000000002</v>
      </c>
      <c r="M64" s="24"/>
    </row>
    <row r="65" spans="1:13">
      <c r="A65" s="1"/>
      <c r="B65" s="23"/>
      <c r="C65" s="6"/>
      <c r="D65" s="6"/>
      <c r="E65" s="5"/>
      <c r="F65" s="5"/>
      <c r="G65" s="5"/>
      <c r="H65" s="5">
        <v>0.02</v>
      </c>
      <c r="M65" s="24"/>
    </row>
    <row r="66" spans="1:13">
      <c r="A66" s="1"/>
      <c r="B66" s="23"/>
      <c r="C66" s="6"/>
      <c r="D66" s="6"/>
      <c r="E66" s="5"/>
      <c r="F66" s="5"/>
      <c r="G66" s="5"/>
      <c r="H66" s="14">
        <f>SUM(H64:H65)</f>
        <v>1.9047650000000003</v>
      </c>
      <c r="M66" s="24"/>
    </row>
    <row r="67" spans="1:13">
      <c r="A67" s="1"/>
      <c r="B67" s="23"/>
      <c r="C67" s="6"/>
      <c r="D67" s="6"/>
      <c r="E67" s="5"/>
      <c r="F67" s="15" t="s">
        <v>96</v>
      </c>
      <c r="G67" s="15">
        <f>+H66</f>
        <v>1.9047650000000003</v>
      </c>
      <c r="H67" s="15" t="s">
        <v>16</v>
      </c>
      <c r="K67" s="24"/>
      <c r="M67" s="24"/>
    </row>
    <row r="68" spans="1:13" ht="47.25">
      <c r="A68" s="1">
        <f>A56+1</f>
        <v>8</v>
      </c>
      <c r="B68" s="12" t="s">
        <v>118</v>
      </c>
      <c r="C68" s="1"/>
      <c r="D68" s="6"/>
      <c r="E68" s="5"/>
      <c r="F68" s="5"/>
      <c r="G68" s="5"/>
      <c r="H68" s="5"/>
    </row>
    <row r="69" spans="1:13">
      <c r="A69" s="1"/>
      <c r="B69" s="12" t="s">
        <v>100</v>
      </c>
      <c r="C69" s="6">
        <v>1</v>
      </c>
      <c r="D69" s="6">
        <v>1</v>
      </c>
      <c r="E69" s="5">
        <f>+E32</f>
        <v>10.52</v>
      </c>
      <c r="F69" s="5">
        <v>0.23</v>
      </c>
      <c r="G69" s="5">
        <f>(2.6+2.4)/2</f>
        <v>2.5</v>
      </c>
      <c r="H69" s="5">
        <f>PRODUCT(C69:G69)</f>
        <v>6.0489999999999995</v>
      </c>
      <c r="K69" s="16"/>
    </row>
    <row r="70" spans="1:13">
      <c r="A70" s="1"/>
      <c r="B70" s="12" t="s">
        <v>119</v>
      </c>
      <c r="C70" s="6">
        <v>1</v>
      </c>
      <c r="D70" s="6">
        <v>1</v>
      </c>
      <c r="E70" s="5">
        <f>+E69</f>
        <v>10.52</v>
      </c>
      <c r="F70" s="5">
        <v>0.23</v>
      </c>
      <c r="G70" s="5">
        <f>(0.45+0.25)/2</f>
        <v>0.35</v>
      </c>
      <c r="H70" s="5">
        <f t="shared" ref="H70:H75" si="2">PRODUCT(C70:G70)</f>
        <v>0.84685999999999995</v>
      </c>
      <c r="K70" s="16"/>
    </row>
    <row r="71" spans="1:13">
      <c r="A71" s="1"/>
      <c r="B71" s="12" t="s">
        <v>120</v>
      </c>
      <c r="C71" s="6"/>
      <c r="D71" s="6"/>
      <c r="E71" s="5"/>
      <c r="F71" s="5"/>
      <c r="G71" s="5"/>
      <c r="H71" s="5"/>
      <c r="K71" s="16"/>
    </row>
    <row r="72" spans="1:13">
      <c r="A72" s="1"/>
      <c r="B72" s="12" t="s">
        <v>113</v>
      </c>
      <c r="C72" s="6">
        <v>-1</v>
      </c>
      <c r="D72" s="6">
        <v>1</v>
      </c>
      <c r="E72" s="5">
        <f>+E69</f>
        <v>10.52</v>
      </c>
      <c r="F72" s="5">
        <v>0.23</v>
      </c>
      <c r="G72" s="5">
        <v>0.1</v>
      </c>
      <c r="H72" s="5">
        <f t="shared" si="2"/>
        <v>-0.24196000000000001</v>
      </c>
      <c r="K72" s="16"/>
    </row>
    <row r="73" spans="1:13">
      <c r="A73" s="1"/>
      <c r="B73" s="12" t="s">
        <v>121</v>
      </c>
      <c r="C73" s="6">
        <v>-1</v>
      </c>
      <c r="D73" s="6">
        <v>1</v>
      </c>
      <c r="E73" s="5">
        <v>1</v>
      </c>
      <c r="F73" s="5">
        <v>0.23</v>
      </c>
      <c r="G73" s="5">
        <v>2.1</v>
      </c>
      <c r="H73" s="5">
        <f t="shared" si="2"/>
        <v>-0.48300000000000004</v>
      </c>
      <c r="K73" s="16"/>
    </row>
    <row r="74" spans="1:13">
      <c r="A74" s="1"/>
      <c r="B74" s="12" t="s">
        <v>117</v>
      </c>
      <c r="C74" s="6">
        <v>-1</v>
      </c>
      <c r="D74" s="6">
        <v>2</v>
      </c>
      <c r="E74" s="5">
        <v>1.2</v>
      </c>
      <c r="F74" s="5">
        <v>0.23</v>
      </c>
      <c r="G74" s="5">
        <v>1.35</v>
      </c>
      <c r="H74" s="5">
        <f>PRODUCT(C74:G74)</f>
        <v>-0.74520000000000008</v>
      </c>
    </row>
    <row r="75" spans="1:13">
      <c r="A75" s="1"/>
      <c r="B75" s="12" t="s">
        <v>122</v>
      </c>
      <c r="C75" s="6">
        <v>-1</v>
      </c>
      <c r="D75" s="6">
        <v>1</v>
      </c>
      <c r="E75" s="5">
        <v>0.9</v>
      </c>
      <c r="F75" s="5">
        <v>0.23</v>
      </c>
      <c r="G75" s="5">
        <v>1.35</v>
      </c>
      <c r="H75" s="5">
        <f t="shared" si="2"/>
        <v>-0.27945000000000003</v>
      </c>
    </row>
    <row r="76" spans="1:13">
      <c r="A76" s="1"/>
      <c r="B76" s="5"/>
      <c r="C76" s="6"/>
      <c r="D76" s="6"/>
      <c r="E76" s="7"/>
      <c r="F76" s="7"/>
      <c r="G76" s="5"/>
      <c r="H76" s="5">
        <f>SUM(H69:H75)</f>
        <v>5.1462499999999993</v>
      </c>
    </row>
    <row r="77" spans="1:13">
      <c r="A77" s="1"/>
      <c r="B77" s="5"/>
      <c r="C77" s="6"/>
      <c r="D77" s="6"/>
      <c r="E77" s="7"/>
      <c r="F77" s="7"/>
      <c r="G77" s="5"/>
      <c r="H77" s="14">
        <f>H76</f>
        <v>5.1462499999999993</v>
      </c>
    </row>
    <row r="78" spans="1:13">
      <c r="A78" s="1"/>
      <c r="B78" s="5"/>
      <c r="C78" s="6"/>
      <c r="D78" s="6"/>
      <c r="E78" s="5"/>
      <c r="F78" s="15" t="s">
        <v>96</v>
      </c>
      <c r="G78" s="15">
        <f>+H77</f>
        <v>5.1462499999999993</v>
      </c>
      <c r="H78" s="15" t="s">
        <v>16</v>
      </c>
      <c r="K78" s="16"/>
    </row>
    <row r="79" spans="1:13">
      <c r="A79" s="1">
        <f>A68+1</f>
        <v>9</v>
      </c>
      <c r="B79" s="23" t="s">
        <v>123</v>
      </c>
      <c r="C79" s="6"/>
      <c r="D79" s="6"/>
      <c r="E79" s="5"/>
      <c r="F79" s="15"/>
      <c r="G79" s="15"/>
      <c r="H79" s="15"/>
      <c r="K79" s="24"/>
    </row>
    <row r="80" spans="1:13" ht="47.25">
      <c r="A80" s="1"/>
      <c r="B80" s="12" t="s">
        <v>124</v>
      </c>
      <c r="C80" s="1"/>
      <c r="D80" s="6"/>
      <c r="E80" s="5"/>
      <c r="F80" s="5"/>
      <c r="G80" s="5"/>
      <c r="H80" s="5"/>
    </row>
    <row r="81" spans="1:11">
      <c r="A81" s="1"/>
      <c r="B81" s="5" t="s">
        <v>93</v>
      </c>
      <c r="C81" s="6">
        <v>1</v>
      </c>
      <c r="D81" s="6">
        <v>4</v>
      </c>
      <c r="E81" s="5">
        <f>(0.9+0.9)*2</f>
        <v>3.6</v>
      </c>
      <c r="F81" s="5"/>
      <c r="G81" s="5">
        <v>0.3</v>
      </c>
      <c r="H81" s="5">
        <f>PRODUCT(C81:G81)</f>
        <v>4.32</v>
      </c>
    </row>
    <row r="82" spans="1:11">
      <c r="A82" s="1"/>
      <c r="B82" s="5"/>
      <c r="C82" s="6">
        <v>1</v>
      </c>
      <c r="D82" s="6">
        <v>4</v>
      </c>
      <c r="E82" s="5">
        <f>(0.45+0.45)*2</f>
        <v>1.8</v>
      </c>
      <c r="F82" s="9"/>
      <c r="G82" s="9">
        <v>0.6</v>
      </c>
      <c r="H82" s="5">
        <f>PRODUCT(C82:G82)</f>
        <v>4.32</v>
      </c>
      <c r="K82" s="16"/>
    </row>
    <row r="83" spans="1:11">
      <c r="A83" s="1"/>
      <c r="B83" s="5" t="s">
        <v>95</v>
      </c>
      <c r="C83" s="6">
        <v>2</v>
      </c>
      <c r="D83" s="6">
        <v>1</v>
      </c>
      <c r="E83" s="5">
        <v>10.52</v>
      </c>
      <c r="F83" s="9"/>
      <c r="G83" s="9">
        <v>0.23</v>
      </c>
      <c r="H83" s="5">
        <f>PRODUCT(C83:G83)</f>
        <v>4.8391999999999999</v>
      </c>
      <c r="K83" s="16"/>
    </row>
    <row r="84" spans="1:11">
      <c r="A84" s="1"/>
      <c r="B84" s="23"/>
      <c r="C84" s="6"/>
      <c r="D84" s="6"/>
      <c r="E84" s="5"/>
      <c r="F84" s="5"/>
      <c r="G84" s="5"/>
      <c r="H84" s="5">
        <f>SUM(H81:H83)</f>
        <v>13.479200000000001</v>
      </c>
      <c r="K84" s="24"/>
    </row>
    <row r="85" spans="1:11">
      <c r="A85" s="1"/>
      <c r="B85" s="23"/>
      <c r="C85" s="6"/>
      <c r="D85" s="6"/>
      <c r="E85" s="5"/>
      <c r="F85" s="5"/>
      <c r="G85" s="5"/>
      <c r="H85" s="5">
        <v>0.02</v>
      </c>
      <c r="K85" s="24"/>
    </row>
    <row r="86" spans="1:11">
      <c r="A86" s="1"/>
      <c r="B86" s="23"/>
      <c r="C86" s="6"/>
      <c r="D86" s="6"/>
      <c r="E86" s="5"/>
      <c r="F86" s="5"/>
      <c r="G86" s="14"/>
      <c r="H86" s="14">
        <f>SUM(H84:H85)</f>
        <v>13.4992</v>
      </c>
      <c r="K86" s="24"/>
    </row>
    <row r="87" spans="1:11">
      <c r="A87" s="1"/>
      <c r="B87" s="23"/>
      <c r="C87" s="6"/>
      <c r="D87" s="6"/>
      <c r="E87" s="5"/>
      <c r="F87" s="15" t="s">
        <v>96</v>
      </c>
      <c r="G87" s="15">
        <f>+H86</f>
        <v>13.4992</v>
      </c>
      <c r="H87" s="15" t="s">
        <v>37</v>
      </c>
      <c r="K87" s="24"/>
    </row>
    <row r="88" spans="1:11" ht="63">
      <c r="A88" s="1"/>
      <c r="B88" s="12" t="s">
        <v>125</v>
      </c>
      <c r="C88" s="1"/>
      <c r="D88" s="6"/>
      <c r="E88" s="5"/>
      <c r="F88" s="5"/>
      <c r="G88" s="5"/>
      <c r="H88" s="5"/>
    </row>
    <row r="89" spans="1:11">
      <c r="A89" s="1"/>
      <c r="B89" s="5" t="s">
        <v>107</v>
      </c>
      <c r="C89" s="6"/>
      <c r="D89" s="6"/>
      <c r="E89" s="5"/>
      <c r="F89" s="9"/>
      <c r="G89" s="9"/>
      <c r="H89" s="5"/>
      <c r="K89" s="16"/>
    </row>
    <row r="90" spans="1:11">
      <c r="A90" s="1"/>
      <c r="B90" s="5" t="s">
        <v>113</v>
      </c>
      <c r="C90" s="6">
        <v>2</v>
      </c>
      <c r="D90" s="6">
        <v>1</v>
      </c>
      <c r="E90" s="5">
        <v>10.52</v>
      </c>
      <c r="F90" s="9"/>
      <c r="G90" s="9">
        <v>0.1</v>
      </c>
      <c r="H90" s="5">
        <f t="shared" ref="H90:H97" si="3">PRODUCT(C90:G90)</f>
        <v>2.1040000000000001</v>
      </c>
      <c r="K90" s="16"/>
    </row>
    <row r="91" spans="1:11">
      <c r="A91" s="1"/>
      <c r="B91" s="5" t="s">
        <v>126</v>
      </c>
      <c r="C91" s="6">
        <v>2</v>
      </c>
      <c r="D91" s="6">
        <v>1</v>
      </c>
      <c r="E91" s="5">
        <f>(2.86+2.86)*2</f>
        <v>11.44</v>
      </c>
      <c r="F91" s="9"/>
      <c r="G91" s="9">
        <v>0.1</v>
      </c>
      <c r="H91" s="5">
        <f t="shared" si="3"/>
        <v>2.2879999999999998</v>
      </c>
      <c r="K91" s="16"/>
    </row>
    <row r="92" spans="1:11">
      <c r="A92" s="1"/>
      <c r="B92" s="5" t="s">
        <v>127</v>
      </c>
      <c r="C92" s="6">
        <v>1</v>
      </c>
      <c r="D92" s="6">
        <v>1</v>
      </c>
      <c r="E92" s="5">
        <v>2.4</v>
      </c>
      <c r="F92" s="9">
        <v>2.4</v>
      </c>
      <c r="G92" s="9"/>
      <c r="H92" s="5">
        <f t="shared" si="3"/>
        <v>5.76</v>
      </c>
      <c r="K92" s="16"/>
    </row>
    <row r="93" spans="1:11">
      <c r="A93" s="1"/>
      <c r="B93" s="5" t="s">
        <v>115</v>
      </c>
      <c r="C93" s="6"/>
      <c r="D93" s="6"/>
      <c r="E93" s="5"/>
      <c r="F93" s="9"/>
      <c r="G93" s="19"/>
      <c r="H93" s="5"/>
      <c r="K93" s="16"/>
    </row>
    <row r="94" spans="1:11">
      <c r="A94" s="1"/>
      <c r="B94" s="5" t="s">
        <v>128</v>
      </c>
      <c r="C94" s="6">
        <v>1</v>
      </c>
      <c r="D94" s="6">
        <v>1</v>
      </c>
      <c r="E94" s="5">
        <f>2.86+0.6+0.6</f>
        <v>4.0599999999999996</v>
      </c>
      <c r="F94" s="9"/>
      <c r="G94" s="25">
        <v>6.25E-2</v>
      </c>
      <c r="H94" s="5">
        <f t="shared" si="3"/>
        <v>0.25374999999999998</v>
      </c>
      <c r="K94" s="16"/>
    </row>
    <row r="95" spans="1:11">
      <c r="A95" s="1"/>
      <c r="B95" s="5" t="s">
        <v>129</v>
      </c>
      <c r="C95" s="6">
        <v>1</v>
      </c>
      <c r="D95" s="6">
        <v>1</v>
      </c>
      <c r="E95" s="5">
        <v>2.86</v>
      </c>
      <c r="F95" s="9">
        <v>0.6</v>
      </c>
      <c r="G95" s="25"/>
      <c r="H95" s="5">
        <f t="shared" si="3"/>
        <v>1.716</v>
      </c>
      <c r="K95" s="16"/>
    </row>
    <row r="96" spans="1:11">
      <c r="A96" s="1"/>
      <c r="B96" s="5" t="s">
        <v>130</v>
      </c>
      <c r="C96" s="6">
        <v>1</v>
      </c>
      <c r="D96" s="6">
        <v>2</v>
      </c>
      <c r="E96" s="5">
        <f>1.2+0.46+0.45+0.45</f>
        <v>2.56</v>
      </c>
      <c r="F96" s="9"/>
      <c r="G96" s="25">
        <v>6.25E-2</v>
      </c>
      <c r="H96" s="5">
        <f t="shared" si="3"/>
        <v>0.32</v>
      </c>
      <c r="K96" s="16"/>
    </row>
    <row r="97" spans="1:13" s="22" customFormat="1">
      <c r="A97" s="4"/>
      <c r="B97" s="5" t="s">
        <v>129</v>
      </c>
      <c r="C97" s="6">
        <v>1</v>
      </c>
      <c r="D97" s="6">
        <v>2</v>
      </c>
      <c r="E97" s="5">
        <f>1.2+0.46</f>
        <v>1.66</v>
      </c>
      <c r="F97" s="9">
        <v>0.45</v>
      </c>
      <c r="G97" s="25"/>
      <c r="H97" s="5">
        <f t="shared" si="3"/>
        <v>1.494</v>
      </c>
      <c r="J97" s="26"/>
    </row>
    <row r="98" spans="1:13" s="22" customFormat="1">
      <c r="A98" s="4"/>
      <c r="B98" s="5"/>
      <c r="C98" s="6"/>
      <c r="D98" s="6"/>
      <c r="E98" s="5"/>
      <c r="F98" s="9"/>
      <c r="G98" s="25"/>
      <c r="H98" s="5">
        <f>SUM(H90:H97)</f>
        <v>13.935749999999999</v>
      </c>
      <c r="J98" s="26"/>
    </row>
    <row r="99" spans="1:13" s="22" customFormat="1">
      <c r="A99" s="4"/>
      <c r="B99" s="5"/>
      <c r="C99" s="6"/>
      <c r="D99" s="6"/>
      <c r="E99" s="5"/>
      <c r="F99" s="9"/>
      <c r="G99" s="25"/>
      <c r="H99" s="5">
        <v>0.01</v>
      </c>
      <c r="J99" s="26"/>
    </row>
    <row r="100" spans="1:13">
      <c r="A100" s="1"/>
      <c r="B100" s="23"/>
      <c r="C100" s="6"/>
      <c r="D100" s="6"/>
      <c r="E100" s="5"/>
      <c r="F100" s="5"/>
      <c r="G100" s="14"/>
      <c r="H100" s="14">
        <f>SUM(H98:H99)</f>
        <v>13.945749999999999</v>
      </c>
      <c r="K100" s="24"/>
    </row>
    <row r="101" spans="1:13">
      <c r="A101" s="1"/>
      <c r="B101" s="23"/>
      <c r="C101" s="6"/>
      <c r="D101" s="6"/>
      <c r="E101" s="5"/>
      <c r="F101" s="15" t="s">
        <v>96</v>
      </c>
      <c r="G101" s="15">
        <f>+H100</f>
        <v>13.945749999999999</v>
      </c>
      <c r="H101" s="15" t="s">
        <v>37</v>
      </c>
      <c r="K101" s="24"/>
    </row>
    <row r="102" spans="1:13" ht="31.5">
      <c r="A102" s="1"/>
      <c r="B102" s="12" t="s">
        <v>131</v>
      </c>
      <c r="C102" s="1"/>
      <c r="D102" s="6"/>
      <c r="E102" s="5"/>
      <c r="F102" s="5"/>
      <c r="G102" s="5"/>
      <c r="H102" s="5"/>
    </row>
    <row r="103" spans="1:13">
      <c r="A103" s="1"/>
      <c r="B103" s="5" t="s">
        <v>132</v>
      </c>
      <c r="C103" s="6">
        <v>1</v>
      </c>
      <c r="D103" s="6">
        <v>4</v>
      </c>
      <c r="E103" s="5">
        <f>(0.23+0.23)*2</f>
        <v>0.92</v>
      </c>
      <c r="F103" s="9"/>
      <c r="G103" s="9">
        <v>1.07</v>
      </c>
      <c r="H103" s="5">
        <f>PRODUCT(C103:G103)</f>
        <v>3.9376000000000002</v>
      </c>
      <c r="K103" s="16"/>
    </row>
    <row r="104" spans="1:13">
      <c r="A104" s="1"/>
      <c r="B104" s="5" t="s">
        <v>112</v>
      </c>
      <c r="C104" s="6">
        <v>1</v>
      </c>
      <c r="D104" s="6">
        <v>4</v>
      </c>
      <c r="E104" s="5">
        <f>+E103</f>
        <v>0.92</v>
      </c>
      <c r="F104" s="9"/>
      <c r="G104" s="9">
        <v>2.95</v>
      </c>
      <c r="H104" s="5">
        <f>PRODUCT(C104:G104)</f>
        <v>10.856000000000002</v>
      </c>
      <c r="K104" s="16"/>
    </row>
    <row r="105" spans="1:13">
      <c r="A105" s="1"/>
      <c r="B105" s="5"/>
      <c r="C105" s="6"/>
      <c r="D105" s="6"/>
      <c r="E105" s="5"/>
      <c r="F105" s="9"/>
      <c r="G105" s="9"/>
      <c r="H105" s="5">
        <f>SUM(H103:H104)</f>
        <v>14.793600000000001</v>
      </c>
      <c r="K105" s="16"/>
    </row>
    <row r="106" spans="1:13">
      <c r="A106" s="1"/>
      <c r="B106" s="5"/>
      <c r="C106" s="6"/>
      <c r="D106" s="6"/>
      <c r="E106" s="5"/>
      <c r="F106" s="9"/>
      <c r="G106" s="9"/>
      <c r="H106" s="5">
        <v>0.01</v>
      </c>
      <c r="K106" s="16"/>
    </row>
    <row r="107" spans="1:13">
      <c r="A107" s="1"/>
      <c r="B107" s="23"/>
      <c r="C107" s="6"/>
      <c r="D107" s="6"/>
      <c r="E107" s="5"/>
      <c r="F107" s="5"/>
      <c r="G107" s="14"/>
      <c r="H107" s="14">
        <f>SUM(H105:H106)</f>
        <v>14.803600000000001</v>
      </c>
      <c r="K107" s="24"/>
    </row>
    <row r="108" spans="1:13">
      <c r="A108" s="1"/>
      <c r="B108" s="23"/>
      <c r="C108" s="6"/>
      <c r="D108" s="6"/>
      <c r="E108" s="5"/>
      <c r="F108" s="15" t="s">
        <v>96</v>
      </c>
      <c r="G108" s="15">
        <f>+H107</f>
        <v>14.803600000000001</v>
      </c>
      <c r="H108" s="15" t="s">
        <v>37</v>
      </c>
      <c r="K108" s="24"/>
    </row>
    <row r="109" spans="1:13" ht="31.5">
      <c r="A109" s="1">
        <f>+A79+1</f>
        <v>10</v>
      </c>
      <c r="B109" s="12" t="s">
        <v>55</v>
      </c>
      <c r="C109" s="1"/>
      <c r="D109" s="6"/>
      <c r="E109" s="5"/>
      <c r="F109" s="5"/>
      <c r="G109" s="5"/>
      <c r="H109" s="5"/>
    </row>
    <row r="110" spans="1:13">
      <c r="A110" s="1"/>
      <c r="B110" s="12" t="s">
        <v>133</v>
      </c>
      <c r="C110" s="6"/>
      <c r="D110" s="6"/>
      <c r="E110" s="5"/>
      <c r="F110" s="5"/>
      <c r="G110" s="5"/>
      <c r="H110" s="5">
        <f>+G30</f>
        <v>2.2509199999999998</v>
      </c>
      <c r="M110" s="24"/>
    </row>
    <row r="111" spans="1:13">
      <c r="A111" s="1"/>
      <c r="B111" s="12" t="s">
        <v>134</v>
      </c>
      <c r="C111" s="6"/>
      <c r="D111" s="6"/>
      <c r="E111" s="5"/>
      <c r="F111" s="5"/>
      <c r="G111" s="5"/>
      <c r="H111" s="5">
        <f>+G67</f>
        <v>1.9047650000000003</v>
      </c>
      <c r="M111" s="24"/>
    </row>
    <row r="112" spans="1:13">
      <c r="A112" s="1"/>
      <c r="B112" s="12"/>
      <c r="C112" s="6"/>
      <c r="D112" s="6"/>
      <c r="E112" s="5"/>
      <c r="F112" s="5"/>
      <c r="G112" s="5"/>
      <c r="H112" s="5">
        <f>SUM(H110:H111)</f>
        <v>4.1556850000000001</v>
      </c>
      <c r="M112" s="24"/>
    </row>
    <row r="113" spans="1:11">
      <c r="A113" s="1"/>
      <c r="B113" s="12"/>
      <c r="C113" s="1537">
        <f>+H112</f>
        <v>4.1556850000000001</v>
      </c>
      <c r="D113" s="1537"/>
      <c r="E113" s="7" t="s">
        <v>56</v>
      </c>
      <c r="F113" s="7">
        <v>120</v>
      </c>
      <c r="G113" s="7" t="s">
        <v>135</v>
      </c>
      <c r="H113" s="14">
        <f>F113*C113</f>
        <v>498.68220000000002</v>
      </c>
      <c r="K113" s="16"/>
    </row>
    <row r="114" spans="1:11">
      <c r="A114" s="1"/>
      <c r="B114" s="12"/>
      <c r="C114" s="6"/>
      <c r="D114" s="6"/>
      <c r="E114" s="5"/>
      <c r="F114" s="15" t="s">
        <v>96</v>
      </c>
      <c r="G114" s="27">
        <f>H113/1000</f>
        <v>0.49868220000000002</v>
      </c>
      <c r="H114" s="15" t="s">
        <v>58</v>
      </c>
      <c r="K114" s="16"/>
    </row>
    <row r="115" spans="1:11" ht="47.25">
      <c r="A115" s="1">
        <f>A109+1</f>
        <v>11</v>
      </c>
      <c r="B115" s="12" t="s">
        <v>136</v>
      </c>
      <c r="C115" s="1"/>
      <c r="D115" s="6"/>
      <c r="E115" s="5"/>
      <c r="F115" s="5"/>
      <c r="G115" s="5"/>
      <c r="H115" s="5"/>
    </row>
    <row r="116" spans="1:11">
      <c r="A116" s="1"/>
      <c r="B116" s="12" t="s">
        <v>107</v>
      </c>
      <c r="C116" s="6">
        <v>1</v>
      </c>
      <c r="D116" s="6">
        <v>1</v>
      </c>
      <c r="E116" s="9">
        <v>2.4</v>
      </c>
      <c r="F116" s="5">
        <v>2.4</v>
      </c>
      <c r="G116" s="19"/>
      <c r="H116" s="5">
        <f>PRODUCT(C116:G116)</f>
        <v>5.76</v>
      </c>
      <c r="K116" s="16"/>
    </row>
    <row r="117" spans="1:11">
      <c r="A117" s="1"/>
      <c r="B117" s="12" t="s">
        <v>183</v>
      </c>
      <c r="C117" s="6">
        <v>1</v>
      </c>
      <c r="D117" s="6">
        <v>1</v>
      </c>
      <c r="E117" s="9">
        <v>9.6</v>
      </c>
      <c r="F117" s="5"/>
      <c r="G117" s="19">
        <v>0.1</v>
      </c>
      <c r="H117" s="5">
        <f>PRODUCT(C117:G117)</f>
        <v>0.96</v>
      </c>
      <c r="K117" s="16"/>
    </row>
    <row r="118" spans="1:11">
      <c r="A118" s="1"/>
      <c r="B118" s="12"/>
      <c r="C118" s="6"/>
      <c r="D118" s="6"/>
      <c r="E118" s="9"/>
      <c r="F118" s="5"/>
      <c r="G118" s="19"/>
      <c r="H118" s="5">
        <f>SUM(H116:H117)</f>
        <v>6.72</v>
      </c>
      <c r="K118" s="16"/>
    </row>
    <row r="119" spans="1:11">
      <c r="A119" s="1"/>
      <c r="B119" s="5"/>
      <c r="C119" s="6"/>
      <c r="D119" s="6"/>
      <c r="E119" s="7"/>
      <c r="F119" s="7"/>
      <c r="G119" s="5"/>
      <c r="H119" s="5">
        <v>0.03</v>
      </c>
    </row>
    <row r="120" spans="1:11">
      <c r="A120" s="1"/>
      <c r="B120" s="5"/>
      <c r="C120" s="6"/>
      <c r="D120" s="6"/>
      <c r="E120" s="7"/>
      <c r="F120" s="7"/>
      <c r="G120" s="5"/>
      <c r="H120" s="14">
        <f>SUM(H118:H119)</f>
        <v>6.75</v>
      </c>
    </row>
    <row r="121" spans="1:11">
      <c r="A121" s="1"/>
      <c r="B121" s="5"/>
      <c r="C121" s="6"/>
      <c r="D121" s="6"/>
      <c r="E121" s="5"/>
      <c r="F121" s="15" t="s">
        <v>96</v>
      </c>
      <c r="G121" s="15">
        <f>H120</f>
        <v>6.75</v>
      </c>
      <c r="H121" s="15" t="s">
        <v>37</v>
      </c>
      <c r="K121" s="16"/>
    </row>
    <row r="122" spans="1:11" ht="31.5">
      <c r="A122" s="1">
        <f>+A115+1</f>
        <v>12</v>
      </c>
      <c r="B122" s="12" t="s">
        <v>137</v>
      </c>
      <c r="C122" s="6"/>
      <c r="D122" s="6"/>
      <c r="E122" s="5"/>
      <c r="F122" s="5"/>
      <c r="G122" s="5"/>
      <c r="H122" s="14"/>
      <c r="K122" s="16"/>
    </row>
    <row r="123" spans="1:11">
      <c r="A123" s="1"/>
      <c r="B123" s="12" t="s">
        <v>107</v>
      </c>
      <c r="C123" s="6">
        <v>1</v>
      </c>
      <c r="D123" s="6">
        <v>1</v>
      </c>
      <c r="E123" s="9">
        <f>+E116</f>
        <v>2.4</v>
      </c>
      <c r="F123" s="5">
        <f>+F116</f>
        <v>2.4</v>
      </c>
      <c r="G123" s="5"/>
      <c r="H123" s="5">
        <f>PRODUCT(C123:G123)</f>
        <v>5.76</v>
      </c>
      <c r="K123" s="16"/>
    </row>
    <row r="124" spans="1:11">
      <c r="A124" s="1"/>
      <c r="B124" s="23" t="s">
        <v>138</v>
      </c>
      <c r="C124" s="6">
        <v>1</v>
      </c>
      <c r="D124" s="6">
        <v>1</v>
      </c>
      <c r="E124" s="5">
        <v>1</v>
      </c>
      <c r="F124" s="9">
        <v>0.23</v>
      </c>
      <c r="G124" s="5"/>
      <c r="H124" s="5">
        <f>PRODUCT(C124:G124)</f>
        <v>0.23</v>
      </c>
      <c r="K124" s="16"/>
    </row>
    <row r="125" spans="1:11">
      <c r="A125" s="1"/>
      <c r="B125" s="23"/>
      <c r="C125" s="6"/>
      <c r="D125" s="6"/>
      <c r="E125" s="5"/>
      <c r="F125" s="5"/>
      <c r="G125" s="5"/>
      <c r="H125" s="5">
        <f>SUM(H123:H124)</f>
        <v>5.99</v>
      </c>
      <c r="K125" s="16"/>
    </row>
    <row r="126" spans="1:11">
      <c r="A126" s="1"/>
      <c r="B126" s="23"/>
      <c r="C126" s="6"/>
      <c r="D126" s="6"/>
      <c r="E126" s="5"/>
      <c r="F126" s="5"/>
      <c r="G126" s="5"/>
      <c r="H126" s="5">
        <v>0.01</v>
      </c>
      <c r="K126" s="16"/>
    </row>
    <row r="127" spans="1:11" ht="15" customHeight="1">
      <c r="A127" s="1"/>
      <c r="B127" s="23"/>
      <c r="C127" s="6"/>
      <c r="D127" s="6"/>
      <c r="E127" s="5"/>
      <c r="F127" s="5"/>
      <c r="G127" s="13"/>
      <c r="H127" s="14">
        <f>SUM(H125:H126)</f>
        <v>6</v>
      </c>
      <c r="K127" s="16"/>
    </row>
    <row r="128" spans="1:11">
      <c r="A128" s="1"/>
      <c r="B128" s="23"/>
      <c r="C128" s="6"/>
      <c r="D128" s="6"/>
      <c r="E128" s="5"/>
      <c r="F128" s="15" t="s">
        <v>96</v>
      </c>
      <c r="G128" s="15">
        <f>+H127</f>
        <v>6</v>
      </c>
      <c r="H128" s="15" t="s">
        <v>37</v>
      </c>
      <c r="K128" s="16"/>
    </row>
    <row r="129" spans="1:13" ht="31.5">
      <c r="A129" s="1">
        <f>+A122+1</f>
        <v>13</v>
      </c>
      <c r="B129" s="12" t="s">
        <v>139</v>
      </c>
      <c r="C129" s="6"/>
      <c r="D129" s="6"/>
      <c r="E129" s="5"/>
      <c r="F129" s="5"/>
      <c r="G129" s="5"/>
      <c r="H129" s="14"/>
      <c r="K129" s="16"/>
    </row>
    <row r="130" spans="1:13">
      <c r="A130" s="1"/>
      <c r="B130" s="12" t="s">
        <v>107</v>
      </c>
      <c r="C130" s="6">
        <v>1</v>
      </c>
      <c r="D130" s="6">
        <v>1</v>
      </c>
      <c r="E130" s="9">
        <f>+E123</f>
        <v>2.4</v>
      </c>
      <c r="F130" s="5">
        <f>+F123</f>
        <v>2.4</v>
      </c>
      <c r="G130" s="5"/>
      <c r="H130" s="5">
        <f>PRODUCT(C130:G130)</f>
        <v>5.76</v>
      </c>
      <c r="K130" s="16"/>
    </row>
    <row r="131" spans="1:13">
      <c r="A131" s="1"/>
      <c r="B131" s="23" t="s">
        <v>115</v>
      </c>
      <c r="C131" s="6"/>
      <c r="D131" s="6"/>
      <c r="E131" s="9"/>
      <c r="F131" s="9"/>
      <c r="G131" s="19"/>
      <c r="H131" s="5"/>
      <c r="M131" s="24"/>
    </row>
    <row r="132" spans="1:13">
      <c r="A132" s="1"/>
      <c r="B132" s="23" t="s">
        <v>140</v>
      </c>
      <c r="C132" s="6">
        <v>2</v>
      </c>
      <c r="D132" s="6">
        <v>2</v>
      </c>
      <c r="E132" s="9">
        <f>1.2+0.46</f>
        <v>1.66</v>
      </c>
      <c r="F132" s="9">
        <v>0.45</v>
      </c>
      <c r="G132" s="25"/>
      <c r="H132" s="5">
        <f>PRODUCT(C132:G132)</f>
        <v>2.988</v>
      </c>
      <c r="M132" s="24"/>
    </row>
    <row r="133" spans="1:13">
      <c r="A133" s="1"/>
      <c r="B133" s="23" t="s">
        <v>141</v>
      </c>
      <c r="C133" s="6">
        <v>2</v>
      </c>
      <c r="D133" s="6">
        <v>1</v>
      </c>
      <c r="E133" s="9">
        <f>1.66+0.45+0.45</f>
        <v>2.56</v>
      </c>
      <c r="F133" s="9"/>
      <c r="G133" s="25">
        <v>6.25E-2</v>
      </c>
      <c r="H133" s="5">
        <f>PRODUCT(C133:G133)</f>
        <v>0.32</v>
      </c>
      <c r="M133" s="24"/>
    </row>
    <row r="134" spans="1:13">
      <c r="A134" s="1"/>
      <c r="B134" s="23" t="s">
        <v>142</v>
      </c>
      <c r="C134" s="6">
        <v>2</v>
      </c>
      <c r="D134" s="6">
        <v>1</v>
      </c>
      <c r="E134" s="9">
        <v>2.86</v>
      </c>
      <c r="F134" s="9">
        <v>0.6</v>
      </c>
      <c r="G134" s="25"/>
      <c r="H134" s="5">
        <f>PRODUCT(C134:G134)</f>
        <v>3.4319999999999999</v>
      </c>
      <c r="M134" s="24"/>
    </row>
    <row r="135" spans="1:13">
      <c r="A135" s="1"/>
      <c r="B135" s="23" t="s">
        <v>141</v>
      </c>
      <c r="C135" s="6">
        <v>1</v>
      </c>
      <c r="D135" s="6">
        <v>1</v>
      </c>
      <c r="E135" s="9">
        <f>2.86+0.6+0.6</f>
        <v>4.0599999999999996</v>
      </c>
      <c r="F135" s="9"/>
      <c r="G135" s="25">
        <v>6.25E-2</v>
      </c>
      <c r="H135" s="5">
        <f>PRODUCT(C135:G135)</f>
        <v>0.25374999999999998</v>
      </c>
      <c r="K135" s="24"/>
    </row>
    <row r="136" spans="1:13">
      <c r="A136" s="1"/>
      <c r="B136" s="23"/>
      <c r="C136" s="6"/>
      <c r="D136" s="6"/>
      <c r="E136" s="5"/>
      <c r="F136" s="5"/>
      <c r="G136" s="5"/>
      <c r="H136" s="14">
        <f>SUM(H130:H135)</f>
        <v>12.75375</v>
      </c>
      <c r="K136" s="24"/>
    </row>
    <row r="137" spans="1:13">
      <c r="A137" s="1"/>
      <c r="B137" s="23"/>
      <c r="C137" s="6"/>
      <c r="D137" s="6"/>
      <c r="E137" s="5"/>
      <c r="F137" s="15" t="s">
        <v>96</v>
      </c>
      <c r="G137" s="15">
        <f>+H136</f>
        <v>12.75375</v>
      </c>
      <c r="H137" s="15" t="s">
        <v>37</v>
      </c>
      <c r="K137" s="24"/>
    </row>
    <row r="138" spans="1:13">
      <c r="A138" s="1">
        <f>+A129+1</f>
        <v>14</v>
      </c>
      <c r="B138" s="23" t="s">
        <v>43</v>
      </c>
      <c r="C138" s="6"/>
      <c r="D138" s="6"/>
      <c r="E138" s="5"/>
      <c r="F138" s="5"/>
      <c r="G138" s="5"/>
      <c r="H138" s="14"/>
      <c r="K138" s="24"/>
    </row>
    <row r="139" spans="1:13">
      <c r="A139" s="1"/>
      <c r="B139" s="23" t="s">
        <v>143</v>
      </c>
      <c r="C139" s="6"/>
      <c r="D139" s="6"/>
      <c r="E139" s="5"/>
      <c r="F139" s="5"/>
      <c r="G139" s="5"/>
      <c r="H139" s="14"/>
      <c r="K139" s="24"/>
    </row>
    <row r="140" spans="1:13">
      <c r="A140" s="1"/>
      <c r="B140" s="12" t="s">
        <v>107</v>
      </c>
      <c r="C140" s="6">
        <v>1</v>
      </c>
      <c r="D140" s="6">
        <v>1</v>
      </c>
      <c r="E140" s="5">
        <f>(2.4+2.4)*2</f>
        <v>9.6</v>
      </c>
      <c r="F140" s="5"/>
      <c r="G140" s="9">
        <f>(2.4+2.6)/2</f>
        <v>2.5</v>
      </c>
      <c r="H140" s="5">
        <f>PRODUCT(C140:G140)</f>
        <v>24</v>
      </c>
      <c r="K140" s="24"/>
    </row>
    <row r="141" spans="1:13">
      <c r="A141" s="1"/>
      <c r="B141" s="23" t="s">
        <v>144</v>
      </c>
      <c r="C141" s="6">
        <v>1</v>
      </c>
      <c r="D141" s="6">
        <v>1</v>
      </c>
      <c r="E141" s="5">
        <f>2.1+1+2.1</f>
        <v>5.2</v>
      </c>
      <c r="F141" s="5">
        <v>0.23</v>
      </c>
      <c r="G141" s="5"/>
      <c r="H141" s="5">
        <f>PRODUCT(C141:G141)</f>
        <v>1.1960000000000002</v>
      </c>
      <c r="K141" s="24"/>
    </row>
    <row r="142" spans="1:13">
      <c r="A142" s="1"/>
      <c r="B142" s="23" t="s">
        <v>145</v>
      </c>
      <c r="C142" s="6">
        <v>1</v>
      </c>
      <c r="D142" s="6">
        <v>2</v>
      </c>
      <c r="E142" s="5">
        <f>(1.2+1.35)*2</f>
        <v>5.0999999999999996</v>
      </c>
      <c r="F142" s="5">
        <v>0.23</v>
      </c>
      <c r="G142" s="5"/>
      <c r="H142" s="5">
        <f>PRODUCT(C142:G142)</f>
        <v>2.3460000000000001</v>
      </c>
      <c r="K142" s="24"/>
    </row>
    <row r="143" spans="1:13">
      <c r="A143" s="1"/>
      <c r="B143" s="23" t="s">
        <v>146</v>
      </c>
      <c r="C143" s="6">
        <v>1</v>
      </c>
      <c r="D143" s="6">
        <v>1</v>
      </c>
      <c r="E143" s="5">
        <f>(0.9+1.35)*2</f>
        <v>4.5</v>
      </c>
      <c r="F143" s="5">
        <v>0.23</v>
      </c>
      <c r="G143" s="5"/>
      <c r="H143" s="5">
        <f>PRODUCT(C143:G143)</f>
        <v>1.0350000000000001</v>
      </c>
      <c r="K143" s="24"/>
    </row>
    <row r="144" spans="1:13">
      <c r="A144" s="1"/>
      <c r="B144" s="23" t="s">
        <v>147</v>
      </c>
      <c r="C144" s="6"/>
      <c r="D144" s="6"/>
      <c r="E144" s="5"/>
      <c r="F144" s="5"/>
      <c r="G144" s="5"/>
      <c r="H144" s="5"/>
      <c r="K144" s="24"/>
    </row>
    <row r="145" spans="1:11">
      <c r="A145" s="1"/>
      <c r="B145" s="23" t="s">
        <v>121</v>
      </c>
      <c r="C145" s="6">
        <v>-1</v>
      </c>
      <c r="D145" s="6">
        <v>1</v>
      </c>
      <c r="E145" s="5">
        <v>1</v>
      </c>
      <c r="F145" s="5"/>
      <c r="G145" s="5">
        <v>2.1</v>
      </c>
      <c r="H145" s="5">
        <f>PRODUCT(C145:G145)</f>
        <v>-2.1</v>
      </c>
      <c r="K145" s="24"/>
    </row>
    <row r="146" spans="1:11">
      <c r="A146" s="1"/>
      <c r="B146" s="23" t="s">
        <v>117</v>
      </c>
      <c r="C146" s="6">
        <v>-1</v>
      </c>
      <c r="D146" s="6">
        <v>2</v>
      </c>
      <c r="E146" s="5">
        <v>1.2</v>
      </c>
      <c r="F146" s="5"/>
      <c r="G146" s="5">
        <v>1.35</v>
      </c>
      <c r="H146" s="5">
        <f>PRODUCT(C146:G146)</f>
        <v>-3.24</v>
      </c>
      <c r="K146" s="24"/>
    </row>
    <row r="147" spans="1:11">
      <c r="A147" s="1"/>
      <c r="B147" s="23" t="s">
        <v>122</v>
      </c>
      <c r="C147" s="6">
        <v>-1</v>
      </c>
      <c r="D147" s="6">
        <v>1</v>
      </c>
      <c r="E147" s="5">
        <v>0.9</v>
      </c>
      <c r="F147" s="5"/>
      <c r="G147" s="5">
        <v>1.35</v>
      </c>
      <c r="H147" s="5">
        <f>PRODUCT(C147:G147)</f>
        <v>-1.2150000000000001</v>
      </c>
      <c r="K147" s="24"/>
    </row>
    <row r="148" spans="1:11">
      <c r="A148" s="1"/>
      <c r="B148" s="23"/>
      <c r="C148" s="6"/>
      <c r="D148" s="6"/>
      <c r="E148" s="5"/>
      <c r="F148" s="5"/>
      <c r="G148" s="5"/>
      <c r="H148" s="5">
        <f>SUM(H140:H147)</f>
        <v>22.022000000000002</v>
      </c>
      <c r="K148" s="24"/>
    </row>
    <row r="149" spans="1:11">
      <c r="A149" s="1"/>
      <c r="B149" s="28" t="s">
        <v>148</v>
      </c>
      <c r="C149" s="6"/>
      <c r="D149" s="6"/>
      <c r="E149" s="5"/>
      <c r="F149" s="5"/>
      <c r="G149" s="5"/>
      <c r="H149" s="14">
        <f>H148</f>
        <v>22.022000000000002</v>
      </c>
      <c r="K149" s="24"/>
    </row>
    <row r="150" spans="1:11">
      <c r="A150" s="1"/>
      <c r="B150" s="23" t="s">
        <v>149</v>
      </c>
      <c r="C150" s="6"/>
      <c r="D150" s="6"/>
      <c r="E150" s="5"/>
      <c r="F150" s="5"/>
      <c r="G150" s="5"/>
      <c r="H150" s="5"/>
      <c r="K150" s="24"/>
    </row>
    <row r="151" spans="1:11">
      <c r="A151" s="1"/>
      <c r="B151" s="23" t="s">
        <v>150</v>
      </c>
      <c r="C151" s="6">
        <v>1</v>
      </c>
      <c r="D151" s="6">
        <v>1</v>
      </c>
      <c r="E151" s="5">
        <f>(2.86+2.86)*2</f>
        <v>11.44</v>
      </c>
      <c r="F151" s="5"/>
      <c r="G151" s="9">
        <v>4.1500000000000004</v>
      </c>
      <c r="H151" s="5">
        <f t="shared" ref="H151:H157" si="4">PRODUCT(C151:G151)</f>
        <v>47.475999999999999</v>
      </c>
      <c r="K151" s="24"/>
    </row>
    <row r="152" spans="1:11">
      <c r="A152" s="1"/>
      <c r="B152" s="23" t="s">
        <v>151</v>
      </c>
      <c r="C152" s="6">
        <v>1</v>
      </c>
      <c r="D152" s="6">
        <v>1</v>
      </c>
      <c r="E152" s="5">
        <f>+E69</f>
        <v>10.52</v>
      </c>
      <c r="F152" s="5">
        <v>0.23</v>
      </c>
      <c r="G152" s="5"/>
      <c r="H152" s="5">
        <f t="shared" si="4"/>
        <v>2.4196</v>
      </c>
      <c r="K152" s="24"/>
    </row>
    <row r="153" spans="1:11">
      <c r="A153" s="1"/>
      <c r="B153" s="23" t="s">
        <v>152</v>
      </c>
      <c r="C153" s="6">
        <v>1</v>
      </c>
      <c r="D153" s="6">
        <v>1</v>
      </c>
      <c r="E153" s="5">
        <f>+E140</f>
        <v>9.6</v>
      </c>
      <c r="F153" s="5"/>
      <c r="G153" s="5">
        <v>0.45</v>
      </c>
      <c r="H153" s="5">
        <f t="shared" si="4"/>
        <v>4.32</v>
      </c>
      <c r="K153" s="24"/>
    </row>
    <row r="154" spans="1:11">
      <c r="A154" s="1"/>
      <c r="B154" s="5" t="s">
        <v>153</v>
      </c>
      <c r="C154" s="6">
        <v>1</v>
      </c>
      <c r="D154" s="6">
        <v>2</v>
      </c>
      <c r="E154" s="5">
        <v>0.3</v>
      </c>
      <c r="F154" s="5"/>
      <c r="G154" s="5">
        <v>0.24</v>
      </c>
      <c r="H154" s="5">
        <f t="shared" si="4"/>
        <v>0.14399999999999999</v>
      </c>
    </row>
    <row r="155" spans="1:11">
      <c r="A155" s="1"/>
      <c r="B155" s="5" t="s">
        <v>154</v>
      </c>
      <c r="C155" s="6">
        <v>1</v>
      </c>
      <c r="D155" s="6">
        <v>2</v>
      </c>
      <c r="E155" s="5">
        <v>0.3</v>
      </c>
      <c r="F155" s="5"/>
      <c r="G155" s="5">
        <f>G154*2</f>
        <v>0.48</v>
      </c>
      <c r="H155" s="5">
        <f t="shared" si="4"/>
        <v>0.28799999999999998</v>
      </c>
    </row>
    <row r="156" spans="1:11">
      <c r="A156" s="1"/>
      <c r="B156" s="5" t="s">
        <v>155</v>
      </c>
      <c r="C156" s="6">
        <v>1</v>
      </c>
      <c r="D156" s="6">
        <v>2</v>
      </c>
      <c r="E156" s="5">
        <v>0.3</v>
      </c>
      <c r="F156" s="5"/>
      <c r="G156" s="5">
        <f>G154*3</f>
        <v>0.72</v>
      </c>
      <c r="H156" s="5">
        <f t="shared" si="4"/>
        <v>0.432</v>
      </c>
    </row>
    <row r="157" spans="1:11">
      <c r="A157" s="1"/>
      <c r="B157" s="5" t="s">
        <v>156</v>
      </c>
      <c r="C157" s="6">
        <v>1</v>
      </c>
      <c r="D157" s="6">
        <v>2</v>
      </c>
      <c r="E157" s="5">
        <v>0.3</v>
      </c>
      <c r="F157" s="5"/>
      <c r="G157" s="5">
        <f>G154*4</f>
        <v>0.96</v>
      </c>
      <c r="H157" s="5">
        <f t="shared" si="4"/>
        <v>0.57599999999999996</v>
      </c>
    </row>
    <row r="158" spans="1:11">
      <c r="A158" s="1"/>
      <c r="B158" s="23" t="s">
        <v>147</v>
      </c>
      <c r="C158" s="6"/>
      <c r="D158" s="6"/>
      <c r="E158" s="5"/>
      <c r="F158" s="5"/>
      <c r="G158" s="5"/>
      <c r="H158" s="5"/>
      <c r="K158" s="24"/>
    </row>
    <row r="159" spans="1:11">
      <c r="A159" s="1"/>
      <c r="B159" s="23" t="s">
        <v>121</v>
      </c>
      <c r="C159" s="6">
        <v>-1</v>
      </c>
      <c r="D159" s="6">
        <v>1</v>
      </c>
      <c r="E159" s="9">
        <v>1</v>
      </c>
      <c r="F159" s="5"/>
      <c r="G159" s="5">
        <v>2.1</v>
      </c>
      <c r="H159" s="5">
        <f>PRODUCT(C159:G159)</f>
        <v>-2.1</v>
      </c>
      <c r="K159" s="24"/>
    </row>
    <row r="160" spans="1:11">
      <c r="A160" s="1"/>
      <c r="B160" s="23" t="s">
        <v>117</v>
      </c>
      <c r="C160" s="6">
        <v>-1</v>
      </c>
      <c r="D160" s="6">
        <v>2</v>
      </c>
      <c r="E160" s="5">
        <v>1.2</v>
      </c>
      <c r="F160" s="5"/>
      <c r="G160" s="5">
        <v>1.35</v>
      </c>
      <c r="H160" s="5">
        <f>PRODUCT(C160:G160)</f>
        <v>-3.24</v>
      </c>
      <c r="K160" s="24"/>
    </row>
    <row r="161" spans="1:11">
      <c r="A161" s="1"/>
      <c r="B161" s="23" t="s">
        <v>122</v>
      </c>
      <c r="C161" s="6">
        <v>-1</v>
      </c>
      <c r="D161" s="6">
        <v>1</v>
      </c>
      <c r="E161" s="5">
        <v>0.9</v>
      </c>
      <c r="F161" s="5"/>
      <c r="G161" s="5">
        <v>1.35</v>
      </c>
      <c r="H161" s="5">
        <f>PRODUCT(C161:G161)</f>
        <v>-1.2150000000000001</v>
      </c>
      <c r="K161" s="24"/>
    </row>
    <row r="162" spans="1:11">
      <c r="A162" s="1"/>
      <c r="B162" s="28" t="s">
        <v>157</v>
      </c>
      <c r="C162" s="6"/>
      <c r="D162" s="6"/>
      <c r="E162" s="5"/>
      <c r="F162" s="5"/>
      <c r="G162" s="5"/>
      <c r="H162" s="14">
        <f>SUM(H151:H161)</f>
        <v>49.100599999999993</v>
      </c>
    </row>
    <row r="163" spans="1:11">
      <c r="A163" s="1"/>
      <c r="B163" s="28" t="str">
        <f>B149</f>
        <v>Inner plastering qty</v>
      </c>
      <c r="C163" s="6"/>
      <c r="D163" s="6"/>
      <c r="E163" s="5"/>
      <c r="F163" s="5"/>
      <c r="G163" s="13"/>
      <c r="H163" s="14">
        <f>H149</f>
        <v>22.022000000000002</v>
      </c>
      <c r="K163" s="24"/>
    </row>
    <row r="164" spans="1:11">
      <c r="A164" s="1"/>
      <c r="B164" s="28"/>
      <c r="C164" s="6"/>
      <c r="D164" s="6"/>
      <c r="E164" s="5"/>
      <c r="F164" s="5"/>
      <c r="G164" s="13"/>
      <c r="H164" s="14">
        <f>SUM(H162:H163)</f>
        <v>71.122599999999991</v>
      </c>
      <c r="K164" s="24"/>
    </row>
    <row r="165" spans="1:11">
      <c r="A165" s="1"/>
      <c r="B165" s="28"/>
      <c r="C165" s="6"/>
      <c r="D165" s="6"/>
      <c r="E165" s="5"/>
      <c r="F165" s="5"/>
      <c r="G165" s="13"/>
      <c r="H165" s="14">
        <v>0.03</v>
      </c>
      <c r="K165" s="24"/>
    </row>
    <row r="166" spans="1:11">
      <c r="A166" s="1"/>
      <c r="B166" s="23"/>
      <c r="C166" s="6"/>
      <c r="D166" s="6"/>
      <c r="E166" s="5"/>
      <c r="F166" s="15"/>
      <c r="G166" s="15" t="s">
        <v>203</v>
      </c>
      <c r="H166" s="15">
        <f>SUM(H164:H165)</f>
        <v>71.152599999999993</v>
      </c>
      <c r="K166" s="24"/>
    </row>
    <row r="167" spans="1:11">
      <c r="A167" s="1">
        <f>+A138+1</f>
        <v>15</v>
      </c>
      <c r="B167" s="21" t="s">
        <v>158</v>
      </c>
      <c r="C167" s="6"/>
      <c r="D167" s="6"/>
      <c r="E167" s="5"/>
      <c r="F167" s="5"/>
      <c r="G167" s="5"/>
      <c r="H167" s="14"/>
      <c r="J167" s="29"/>
      <c r="K167" s="16"/>
    </row>
    <row r="168" spans="1:11">
      <c r="A168" s="1"/>
      <c r="B168" s="12" t="s">
        <v>159</v>
      </c>
      <c r="C168" s="6"/>
      <c r="D168" s="6"/>
      <c r="E168" s="5"/>
      <c r="F168" s="15" t="s">
        <v>96</v>
      </c>
      <c r="G168" s="15">
        <f>+G137</f>
        <v>12.75375</v>
      </c>
      <c r="H168" s="15" t="s">
        <v>37</v>
      </c>
      <c r="J168" s="29"/>
      <c r="K168" s="16"/>
    </row>
    <row r="169" spans="1:11" ht="31.5">
      <c r="A169" s="1">
        <f>+A167+1</f>
        <v>16</v>
      </c>
      <c r="B169" s="21" t="s">
        <v>160</v>
      </c>
      <c r="C169" s="6"/>
      <c r="D169" s="6"/>
      <c r="E169" s="5"/>
      <c r="F169" s="5"/>
      <c r="G169" s="5"/>
      <c r="H169" s="14"/>
      <c r="J169" s="29"/>
      <c r="K169" s="16"/>
    </row>
    <row r="170" spans="1:11">
      <c r="A170" s="1"/>
      <c r="B170" s="23" t="s">
        <v>161</v>
      </c>
      <c r="C170" s="6"/>
      <c r="D170" s="6"/>
      <c r="E170" s="5"/>
      <c r="F170" s="5"/>
      <c r="G170" s="13"/>
      <c r="H170" s="14">
        <f>+H149</f>
        <v>22.022000000000002</v>
      </c>
      <c r="K170" s="24"/>
    </row>
    <row r="171" spans="1:11">
      <c r="A171" s="1"/>
      <c r="B171" s="12"/>
      <c r="C171" s="6"/>
      <c r="D171" s="6"/>
      <c r="E171" s="5"/>
      <c r="F171" s="15" t="s">
        <v>96</v>
      </c>
      <c r="G171" s="15">
        <f>+H170</f>
        <v>22.022000000000002</v>
      </c>
      <c r="H171" s="15" t="s">
        <v>37</v>
      </c>
      <c r="J171" s="29"/>
      <c r="K171" s="16"/>
    </row>
    <row r="172" spans="1:11" ht="31.5">
      <c r="A172" s="1">
        <f>+A169+1</f>
        <v>17</v>
      </c>
      <c r="B172" s="12" t="s">
        <v>162</v>
      </c>
      <c r="C172" s="6"/>
      <c r="D172" s="6"/>
      <c r="E172" s="5"/>
      <c r="F172" s="5"/>
      <c r="G172" s="5"/>
      <c r="H172" s="14"/>
      <c r="K172" s="16"/>
    </row>
    <row r="173" spans="1:11">
      <c r="A173" s="1"/>
      <c r="B173" s="12" t="str">
        <f>+B170</f>
        <v>As per inner plastering qty</v>
      </c>
      <c r="C173" s="6"/>
      <c r="D173" s="6"/>
      <c r="E173" s="5"/>
      <c r="F173" s="15" t="s">
        <v>96</v>
      </c>
      <c r="G173" s="15">
        <f>+G171</f>
        <v>22.022000000000002</v>
      </c>
      <c r="H173" s="15" t="s">
        <v>37</v>
      </c>
      <c r="K173" s="16"/>
    </row>
    <row r="174" spans="1:11" ht="87" customHeight="1">
      <c r="A174" s="1">
        <f>+A172+1</f>
        <v>18</v>
      </c>
      <c r="B174" s="31" t="s">
        <v>184</v>
      </c>
      <c r="C174" s="6"/>
      <c r="D174" s="6"/>
      <c r="E174" s="5"/>
      <c r="F174" s="5"/>
      <c r="G174" s="5"/>
      <c r="H174" s="14"/>
      <c r="K174" s="16"/>
    </row>
    <row r="175" spans="1:11">
      <c r="A175" s="1"/>
      <c r="B175" s="12" t="str">
        <f>+B162</f>
        <v>Outer plastering qty</v>
      </c>
      <c r="C175" s="6"/>
      <c r="D175" s="6"/>
      <c r="E175" s="5"/>
      <c r="F175" s="15" t="s">
        <v>96</v>
      </c>
      <c r="G175" s="15">
        <f>+H162</f>
        <v>49.100599999999993</v>
      </c>
      <c r="H175" s="15" t="s">
        <v>37</v>
      </c>
      <c r="K175" s="16"/>
    </row>
    <row r="176" spans="1:11" ht="283.5">
      <c r="A176" s="1">
        <f>+A174+1</f>
        <v>19</v>
      </c>
      <c r="B176" s="12" t="s">
        <v>182</v>
      </c>
      <c r="C176" s="1"/>
      <c r="D176" s="6"/>
      <c r="E176" s="5"/>
      <c r="F176" s="5"/>
      <c r="G176" s="5"/>
      <c r="H176" s="5"/>
    </row>
    <row r="177" spans="1:12">
      <c r="A177" s="1"/>
      <c r="B177" s="21" t="s">
        <v>117</v>
      </c>
      <c r="C177" s="6">
        <v>1</v>
      </c>
      <c r="D177" s="6">
        <v>2</v>
      </c>
      <c r="E177" s="5">
        <v>1.2</v>
      </c>
      <c r="F177" s="5"/>
      <c r="G177" s="5">
        <v>1.35</v>
      </c>
      <c r="H177" s="5">
        <f>PRODUCT(C177:G177)</f>
        <v>3.24</v>
      </c>
      <c r="K177" s="16"/>
    </row>
    <row r="178" spans="1:12">
      <c r="A178" s="1"/>
      <c r="B178" s="21" t="s">
        <v>122</v>
      </c>
      <c r="C178" s="6">
        <v>1</v>
      </c>
      <c r="D178" s="6">
        <v>1</v>
      </c>
      <c r="E178" s="5">
        <v>0.9</v>
      </c>
      <c r="F178" s="5"/>
      <c r="G178" s="5">
        <v>1.35</v>
      </c>
      <c r="H178" s="5">
        <f>PRODUCT(C178:G178)</f>
        <v>1.2150000000000001</v>
      </c>
      <c r="K178" s="16"/>
    </row>
    <row r="179" spans="1:12">
      <c r="A179" s="1"/>
      <c r="B179" s="21"/>
      <c r="C179" s="6"/>
      <c r="D179" s="6"/>
      <c r="E179" s="5"/>
      <c r="F179" s="5"/>
      <c r="G179" s="5"/>
      <c r="H179" s="5">
        <v>0.04</v>
      </c>
      <c r="K179" s="16"/>
    </row>
    <row r="180" spans="1:12">
      <c r="A180" s="1"/>
      <c r="B180" s="21"/>
      <c r="C180" s="6"/>
      <c r="D180" s="6"/>
      <c r="E180" s="5"/>
      <c r="F180" s="5"/>
      <c r="G180" s="13"/>
      <c r="H180" s="14">
        <f>SUM(H177:H179)</f>
        <v>4.4950000000000001</v>
      </c>
      <c r="K180" s="16"/>
      <c r="L180" s="29"/>
    </row>
    <row r="181" spans="1:12">
      <c r="A181" s="1"/>
      <c r="B181" s="21"/>
      <c r="C181" s="6"/>
      <c r="D181" s="6"/>
      <c r="E181" s="5"/>
      <c r="F181" s="15" t="s">
        <v>96</v>
      </c>
      <c r="G181" s="15">
        <f>+H180</f>
        <v>4.4950000000000001</v>
      </c>
      <c r="H181" s="15" t="s">
        <v>37</v>
      </c>
      <c r="L181" s="29"/>
    </row>
    <row r="182" spans="1:12" ht="47.25">
      <c r="A182" s="1">
        <f>A176+1</f>
        <v>20</v>
      </c>
      <c r="B182" s="12" t="s">
        <v>163</v>
      </c>
      <c r="C182" s="1"/>
      <c r="D182" s="6"/>
      <c r="E182" s="5"/>
      <c r="F182" s="5"/>
      <c r="G182" s="5"/>
      <c r="H182" s="5"/>
    </row>
    <row r="183" spans="1:12">
      <c r="A183" s="1"/>
      <c r="B183" s="21" t="s">
        <v>117</v>
      </c>
      <c r="C183" s="6">
        <v>1</v>
      </c>
      <c r="D183" s="6">
        <v>2</v>
      </c>
      <c r="E183" s="5">
        <v>1.2</v>
      </c>
      <c r="F183" s="5"/>
      <c r="G183" s="5">
        <v>1.35</v>
      </c>
      <c r="H183" s="5">
        <f>PRODUCT(C183:G183)</f>
        <v>3.24</v>
      </c>
      <c r="K183" s="16"/>
    </row>
    <row r="184" spans="1:12">
      <c r="A184" s="1"/>
      <c r="B184" s="21" t="s">
        <v>122</v>
      </c>
      <c r="C184" s="6">
        <v>1</v>
      </c>
      <c r="D184" s="6">
        <v>1</v>
      </c>
      <c r="E184" s="5">
        <v>0.9</v>
      </c>
      <c r="F184" s="5"/>
      <c r="G184" s="5">
        <v>1.35</v>
      </c>
      <c r="H184" s="5">
        <f>PRODUCT(C184:G184)</f>
        <v>1.2150000000000001</v>
      </c>
      <c r="K184" s="16"/>
    </row>
    <row r="185" spans="1:12">
      <c r="A185" s="1"/>
      <c r="B185" s="21"/>
      <c r="C185" s="6"/>
      <c r="D185" s="6"/>
      <c r="E185" s="5"/>
      <c r="F185" s="5"/>
      <c r="G185" s="5"/>
      <c r="H185" s="5"/>
      <c r="K185" s="16"/>
    </row>
    <row r="186" spans="1:12">
      <c r="A186" s="1"/>
      <c r="B186" s="21"/>
      <c r="C186" s="6"/>
      <c r="D186" s="6"/>
      <c r="E186" s="5"/>
      <c r="F186" s="5"/>
      <c r="G186" s="5"/>
      <c r="H186" s="14">
        <f>SUM(H183:H185)</f>
        <v>4.4550000000000001</v>
      </c>
      <c r="K186" s="16"/>
    </row>
    <row r="187" spans="1:12">
      <c r="A187" s="1"/>
      <c r="B187" s="12"/>
      <c r="C187" s="1537">
        <f>+H186</f>
        <v>4.4550000000000001</v>
      </c>
      <c r="D187" s="1537"/>
      <c r="E187" s="7" t="s">
        <v>56</v>
      </c>
      <c r="F187" s="7">
        <v>35</v>
      </c>
      <c r="G187" s="7" t="s">
        <v>164</v>
      </c>
      <c r="H187" s="14">
        <f>C187*F187</f>
        <v>155.92500000000001</v>
      </c>
      <c r="K187" s="16"/>
    </row>
    <row r="188" spans="1:12">
      <c r="A188" s="1"/>
      <c r="B188" s="21"/>
      <c r="C188" s="6"/>
      <c r="D188" s="6"/>
      <c r="E188" s="5"/>
      <c r="F188" s="15" t="s">
        <v>96</v>
      </c>
      <c r="G188" s="15">
        <f>+H187</f>
        <v>155.92500000000001</v>
      </c>
      <c r="H188" s="15" t="s">
        <v>165</v>
      </c>
      <c r="K188" s="16"/>
    </row>
    <row r="189" spans="1:12">
      <c r="A189" s="1">
        <f>+A182+1</f>
        <v>21</v>
      </c>
      <c r="B189" s="21" t="s">
        <v>166</v>
      </c>
      <c r="C189" s="6"/>
      <c r="D189" s="6"/>
      <c r="E189" s="5"/>
      <c r="F189" s="5"/>
      <c r="G189" s="5"/>
      <c r="H189" s="14"/>
      <c r="K189" s="16"/>
    </row>
    <row r="190" spans="1:12">
      <c r="A190" s="1"/>
      <c r="B190" s="21" t="s">
        <v>121</v>
      </c>
      <c r="C190" s="6">
        <v>1</v>
      </c>
      <c r="D190" s="6">
        <v>1</v>
      </c>
      <c r="E190" s="5">
        <v>1</v>
      </c>
      <c r="F190" s="5">
        <v>1</v>
      </c>
      <c r="G190" s="5">
        <v>2.1</v>
      </c>
      <c r="H190" s="5">
        <f>PRODUCT(C190:G190)</f>
        <v>2.1</v>
      </c>
      <c r="K190" s="16"/>
    </row>
    <row r="191" spans="1:12">
      <c r="A191" s="1"/>
      <c r="B191" s="21" t="s">
        <v>117</v>
      </c>
      <c r="C191" s="6">
        <v>1</v>
      </c>
      <c r="D191" s="6">
        <v>2</v>
      </c>
      <c r="E191" s="5">
        <v>1.2</v>
      </c>
      <c r="F191" s="5">
        <v>1</v>
      </c>
      <c r="G191" s="5">
        <v>1.35</v>
      </c>
      <c r="H191" s="5">
        <f>PRODUCT(C191:G191)</f>
        <v>3.24</v>
      </c>
      <c r="K191" s="16"/>
    </row>
    <row r="192" spans="1:12">
      <c r="A192" s="1"/>
      <c r="B192" s="21" t="s">
        <v>122</v>
      </c>
      <c r="C192" s="6">
        <v>1</v>
      </c>
      <c r="D192" s="6">
        <v>1</v>
      </c>
      <c r="E192" s="5">
        <v>0.9</v>
      </c>
      <c r="F192" s="5">
        <v>1</v>
      </c>
      <c r="G192" s="5">
        <v>1.35</v>
      </c>
      <c r="H192" s="5">
        <f>PRODUCT(C192:G192)</f>
        <v>1.2150000000000001</v>
      </c>
      <c r="K192" s="16"/>
    </row>
    <row r="193" spans="1:11">
      <c r="A193" s="1"/>
      <c r="B193" s="21"/>
      <c r="C193" s="6"/>
      <c r="D193" s="6"/>
      <c r="E193" s="5"/>
      <c r="F193" s="5"/>
      <c r="G193" s="5"/>
      <c r="H193" s="5">
        <f>SUM(H190:H192)</f>
        <v>6.5549999999999997</v>
      </c>
      <c r="K193" s="16"/>
    </row>
    <row r="194" spans="1:11">
      <c r="A194" s="1"/>
      <c r="B194" s="21"/>
      <c r="C194" s="6"/>
      <c r="D194" s="6"/>
      <c r="E194" s="5"/>
      <c r="F194" s="5"/>
      <c r="G194" s="5"/>
      <c r="H194" s="5">
        <v>0.04</v>
      </c>
      <c r="K194" s="16"/>
    </row>
    <row r="195" spans="1:11">
      <c r="A195" s="1"/>
      <c r="B195" s="21"/>
      <c r="C195" s="6"/>
      <c r="D195" s="6"/>
      <c r="E195" s="5"/>
      <c r="F195" s="5"/>
      <c r="G195" s="5"/>
      <c r="H195" s="14">
        <f>SUM(H193:H194)</f>
        <v>6.5949999999999998</v>
      </c>
      <c r="K195" s="16"/>
    </row>
    <row r="196" spans="1:11">
      <c r="A196" s="1"/>
      <c r="B196" s="21"/>
      <c r="C196" s="6"/>
      <c r="D196" s="6"/>
      <c r="E196" s="5"/>
      <c r="F196" s="15" t="s">
        <v>96</v>
      </c>
      <c r="G196" s="15">
        <f>+H195</f>
        <v>6.5949999999999998</v>
      </c>
      <c r="H196" s="15" t="s">
        <v>37</v>
      </c>
      <c r="K196" s="16"/>
    </row>
    <row r="197" spans="1:11">
      <c r="A197" s="1">
        <f>A189+1</f>
        <v>22</v>
      </c>
      <c r="B197" s="21" t="s">
        <v>167</v>
      </c>
      <c r="C197" s="6"/>
      <c r="D197" s="6"/>
      <c r="E197" s="5"/>
      <c r="F197" s="5"/>
      <c r="G197" s="5"/>
      <c r="H197" s="14"/>
      <c r="K197" s="16"/>
    </row>
    <row r="198" spans="1:11">
      <c r="A198" s="1"/>
      <c r="B198" s="21" t="s">
        <v>168</v>
      </c>
      <c r="C198" s="6"/>
      <c r="D198" s="6"/>
      <c r="E198" s="5"/>
      <c r="F198" s="5"/>
      <c r="G198" s="5"/>
      <c r="H198" s="14"/>
      <c r="K198" s="16"/>
    </row>
    <row r="199" spans="1:11">
      <c r="A199" s="1"/>
      <c r="B199" s="21" t="s">
        <v>107</v>
      </c>
      <c r="C199" s="6">
        <v>1</v>
      </c>
      <c r="D199" s="6">
        <v>1</v>
      </c>
      <c r="E199" s="19"/>
      <c r="F199" s="5"/>
      <c r="G199" s="5"/>
      <c r="H199" s="5">
        <f>PRODUCT(C199:G199)</f>
        <v>1</v>
      </c>
      <c r="K199" s="16"/>
    </row>
    <row r="200" spans="1:11">
      <c r="A200" s="1"/>
      <c r="B200" s="21" t="s">
        <v>169</v>
      </c>
      <c r="C200" s="6">
        <v>1</v>
      </c>
      <c r="D200" s="6">
        <v>2</v>
      </c>
      <c r="E200" s="5"/>
      <c r="F200" s="5"/>
      <c r="G200" s="5"/>
      <c r="H200" s="5">
        <f>PRODUCT(C200:G200)</f>
        <v>2</v>
      </c>
      <c r="K200" s="16"/>
    </row>
    <row r="201" spans="1:11">
      <c r="A201" s="1"/>
      <c r="B201" s="21"/>
      <c r="C201" s="6"/>
      <c r="D201" s="6"/>
      <c r="E201" s="5"/>
      <c r="F201" s="5"/>
      <c r="G201" s="5"/>
      <c r="H201" s="14">
        <f>SUM(H199:H200)</f>
        <v>3</v>
      </c>
      <c r="K201" s="16"/>
    </row>
    <row r="202" spans="1:11">
      <c r="A202" s="1"/>
      <c r="B202" s="21"/>
      <c r="C202" s="6"/>
      <c r="D202" s="6"/>
      <c r="E202" s="5"/>
      <c r="F202" s="15" t="s">
        <v>96</v>
      </c>
      <c r="G202" s="15">
        <f>+H201</f>
        <v>3</v>
      </c>
      <c r="H202" s="15" t="s">
        <v>4</v>
      </c>
      <c r="K202" s="16"/>
    </row>
    <row r="203" spans="1:11">
      <c r="A203" s="1"/>
      <c r="B203" s="21" t="s">
        <v>170</v>
      </c>
      <c r="C203" s="6"/>
      <c r="D203" s="6"/>
      <c r="E203" s="5"/>
      <c r="F203" s="5"/>
      <c r="G203" s="5"/>
      <c r="H203" s="14"/>
      <c r="K203" s="16"/>
    </row>
    <row r="204" spans="1:11">
      <c r="A204" s="1"/>
      <c r="B204" s="21" t="s">
        <v>107</v>
      </c>
      <c r="C204" s="6">
        <v>1</v>
      </c>
      <c r="D204" s="6">
        <v>1</v>
      </c>
      <c r="E204" s="19"/>
      <c r="F204" s="5"/>
      <c r="G204" s="5"/>
      <c r="H204" s="5">
        <f>PRODUCT(C204:G204)</f>
        <v>1</v>
      </c>
      <c r="K204" s="16"/>
    </row>
    <row r="205" spans="1:11">
      <c r="A205" s="1"/>
      <c r="B205" s="21" t="s">
        <v>171</v>
      </c>
      <c r="C205" s="6">
        <v>1</v>
      </c>
      <c r="D205" s="6">
        <v>1</v>
      </c>
      <c r="E205" s="5"/>
      <c r="F205" s="5"/>
      <c r="G205" s="5"/>
      <c r="H205" s="5">
        <f>PRODUCT(C205:G205)</f>
        <v>1</v>
      </c>
      <c r="K205" s="16"/>
    </row>
    <row r="206" spans="1:11">
      <c r="A206" s="1"/>
      <c r="B206" s="21"/>
      <c r="C206" s="6"/>
      <c r="D206" s="6"/>
      <c r="E206" s="5"/>
      <c r="F206" s="5"/>
      <c r="G206" s="5"/>
      <c r="H206" s="14">
        <f>SUM(H204:H205)</f>
        <v>2</v>
      </c>
      <c r="K206" s="16"/>
    </row>
    <row r="207" spans="1:11">
      <c r="A207" s="1"/>
      <c r="B207" s="21"/>
      <c r="C207" s="6"/>
      <c r="D207" s="6"/>
      <c r="E207" s="5"/>
      <c r="F207" s="15" t="s">
        <v>96</v>
      </c>
      <c r="G207" s="15">
        <f>+H206</f>
        <v>2</v>
      </c>
      <c r="H207" s="15" t="s">
        <v>4</v>
      </c>
      <c r="K207" s="16"/>
    </row>
    <row r="208" spans="1:11" ht="94.5">
      <c r="A208" s="1">
        <f>A197+1</f>
        <v>23</v>
      </c>
      <c r="B208" s="21" t="s">
        <v>172</v>
      </c>
      <c r="C208" s="6"/>
      <c r="D208" s="6"/>
      <c r="E208" s="5"/>
      <c r="F208" s="5"/>
      <c r="G208" s="5"/>
      <c r="H208" s="14"/>
      <c r="K208" s="16"/>
    </row>
    <row r="209" spans="1:11">
      <c r="A209" s="1"/>
      <c r="B209" s="21" t="s">
        <v>107</v>
      </c>
      <c r="C209" s="6">
        <v>1</v>
      </c>
      <c r="D209" s="6">
        <v>2</v>
      </c>
      <c r="E209" s="5"/>
      <c r="F209" s="5"/>
      <c r="G209" s="15"/>
      <c r="H209" s="5">
        <f>PRODUCT(C209:G209)</f>
        <v>2</v>
      </c>
      <c r="K209" s="16"/>
    </row>
    <row r="210" spans="1:11">
      <c r="A210" s="1"/>
      <c r="B210" s="21"/>
      <c r="C210" s="6"/>
      <c r="D210" s="6"/>
      <c r="E210" s="5"/>
      <c r="F210" s="15" t="s">
        <v>96</v>
      </c>
      <c r="G210" s="15">
        <f>+H209</f>
        <v>2</v>
      </c>
      <c r="H210" s="15" t="s">
        <v>4</v>
      </c>
      <c r="K210" s="16"/>
    </row>
    <row r="211" spans="1:11" ht="94.5">
      <c r="A211" s="1">
        <f>+A208+1</f>
        <v>24</v>
      </c>
      <c r="B211" s="21" t="s">
        <v>173</v>
      </c>
      <c r="C211" s="6"/>
      <c r="D211" s="6"/>
      <c r="E211" s="5"/>
      <c r="F211" s="5"/>
      <c r="G211" s="5"/>
      <c r="H211" s="14"/>
      <c r="K211" s="16"/>
    </row>
    <row r="212" spans="1:11">
      <c r="A212" s="1"/>
      <c r="B212" s="21" t="s">
        <v>107</v>
      </c>
      <c r="C212" s="6">
        <v>1</v>
      </c>
      <c r="D212" s="6">
        <v>1</v>
      </c>
      <c r="E212" s="5"/>
      <c r="F212" s="5"/>
      <c r="G212" s="15" t="s">
        <v>4</v>
      </c>
      <c r="H212" s="14">
        <f>PRODUCT(C212:G212)</f>
        <v>1</v>
      </c>
      <c r="K212" s="16"/>
    </row>
    <row r="213" spans="1:11" ht="63">
      <c r="A213" s="1">
        <f>+A211+1</f>
        <v>25</v>
      </c>
      <c r="B213" s="21" t="s">
        <v>174</v>
      </c>
      <c r="C213" s="6"/>
      <c r="D213" s="6"/>
      <c r="E213" s="5"/>
      <c r="F213" s="5"/>
      <c r="G213" s="5"/>
      <c r="H213" s="14"/>
      <c r="K213" s="16"/>
    </row>
    <row r="214" spans="1:11">
      <c r="A214" s="1"/>
      <c r="B214" s="21" t="s">
        <v>107</v>
      </c>
      <c r="C214" s="6">
        <v>1</v>
      </c>
      <c r="D214" s="6">
        <v>1</v>
      </c>
      <c r="E214" s="19"/>
      <c r="F214" s="5"/>
      <c r="G214" s="15"/>
      <c r="H214" s="5">
        <f>PRODUCT(C214:G214)</f>
        <v>1</v>
      </c>
      <c r="K214" s="16"/>
    </row>
    <row r="215" spans="1:11">
      <c r="A215" s="1"/>
      <c r="B215" s="21"/>
      <c r="C215" s="6"/>
      <c r="D215" s="6"/>
      <c r="E215" s="5"/>
      <c r="F215" s="15" t="s">
        <v>96</v>
      </c>
      <c r="G215" s="15">
        <f>+H214</f>
        <v>1</v>
      </c>
      <c r="H215" s="15" t="s">
        <v>4</v>
      </c>
      <c r="K215" s="16"/>
    </row>
    <row r="216" spans="1:11" ht="16.5" customHeight="1">
      <c r="A216" s="1">
        <f>+A213+1</f>
        <v>26</v>
      </c>
      <c r="B216" s="21" t="s">
        <v>175</v>
      </c>
      <c r="C216" s="6"/>
      <c r="D216" s="6"/>
      <c r="E216" s="5"/>
      <c r="F216" s="5"/>
      <c r="G216" s="15"/>
      <c r="H216" s="14"/>
      <c r="K216" s="16"/>
    </row>
    <row r="217" spans="1:11" ht="16.5" customHeight="1">
      <c r="A217" s="1"/>
      <c r="B217" s="21" t="s">
        <v>107</v>
      </c>
      <c r="C217" s="6">
        <v>1</v>
      </c>
      <c r="D217" s="6">
        <v>1</v>
      </c>
      <c r="E217" s="19"/>
      <c r="F217" s="5"/>
      <c r="G217" s="15"/>
      <c r="H217" s="5">
        <f>PRODUCT(C217:G217)</f>
        <v>1</v>
      </c>
      <c r="K217" s="16"/>
    </row>
    <row r="218" spans="1:11" ht="16.5" customHeight="1">
      <c r="A218" s="1"/>
      <c r="B218" s="21"/>
      <c r="C218" s="6"/>
      <c r="D218" s="6"/>
      <c r="E218" s="5"/>
      <c r="F218" s="5"/>
      <c r="G218" s="5"/>
      <c r="H218" s="14">
        <f>SUM(H217:H217)</f>
        <v>1</v>
      </c>
      <c r="K218" s="16"/>
    </row>
    <row r="219" spans="1:11" ht="16.5" customHeight="1">
      <c r="A219" s="1"/>
      <c r="B219" s="21"/>
      <c r="C219" s="6"/>
      <c r="D219" s="6"/>
      <c r="E219" s="5"/>
      <c r="F219" s="15" t="s">
        <v>96</v>
      </c>
      <c r="G219" s="15">
        <f>+H218</f>
        <v>1</v>
      </c>
      <c r="H219" s="15" t="s">
        <v>4</v>
      </c>
      <c r="K219" s="16"/>
    </row>
    <row r="220" spans="1:11" ht="16.5" customHeight="1">
      <c r="A220" s="1">
        <f>+A216+1</f>
        <v>27</v>
      </c>
      <c r="B220" s="21" t="s">
        <v>176</v>
      </c>
      <c r="C220" s="6"/>
      <c r="D220" s="6"/>
      <c r="E220" s="5"/>
      <c r="F220" s="5"/>
      <c r="G220" s="15"/>
      <c r="H220" s="14"/>
      <c r="K220" s="16"/>
    </row>
    <row r="221" spans="1:11" ht="16.5" customHeight="1">
      <c r="A221" s="1"/>
      <c r="B221" s="21" t="s">
        <v>107</v>
      </c>
      <c r="C221" s="6">
        <v>1</v>
      </c>
      <c r="D221" s="6">
        <v>1</v>
      </c>
      <c r="E221" s="19"/>
      <c r="F221" s="5"/>
      <c r="G221" s="15"/>
      <c r="H221" s="5">
        <f>PRODUCT(C221:G221)</f>
        <v>1</v>
      </c>
      <c r="K221" s="16"/>
    </row>
    <row r="222" spans="1:11" ht="16.5" customHeight="1">
      <c r="A222" s="1"/>
      <c r="B222" s="21"/>
      <c r="C222" s="6"/>
      <c r="D222" s="6"/>
      <c r="E222" s="5"/>
      <c r="F222" s="15" t="s">
        <v>96</v>
      </c>
      <c r="G222" s="15">
        <f>+H221</f>
        <v>1</v>
      </c>
      <c r="H222" s="15" t="s">
        <v>4</v>
      </c>
      <c r="K222" s="16"/>
    </row>
    <row r="223" spans="1:11" ht="31.5">
      <c r="A223" s="1">
        <f>+A220+1</f>
        <v>28</v>
      </c>
      <c r="B223" s="21" t="s">
        <v>177</v>
      </c>
      <c r="C223" s="6"/>
      <c r="D223" s="6"/>
      <c r="E223" s="5"/>
      <c r="F223" s="5"/>
      <c r="G223" s="15"/>
      <c r="H223" s="14"/>
      <c r="K223" s="16"/>
    </row>
    <row r="224" spans="1:11">
      <c r="A224" s="1"/>
      <c r="B224" s="21" t="s">
        <v>178</v>
      </c>
      <c r="C224" s="6"/>
      <c r="D224" s="6"/>
      <c r="E224" s="5"/>
      <c r="F224" s="5"/>
      <c r="G224" s="15"/>
      <c r="H224" s="14"/>
      <c r="K224" s="16"/>
    </row>
    <row r="225" spans="1:11">
      <c r="A225" s="1"/>
      <c r="B225" s="21" t="s">
        <v>107</v>
      </c>
      <c r="C225" s="6">
        <v>1</v>
      </c>
      <c r="D225" s="6">
        <v>1</v>
      </c>
      <c r="E225" s="19"/>
      <c r="F225" s="5"/>
      <c r="G225" s="15"/>
      <c r="H225" s="5">
        <f>PRODUCT(C225:G225)</f>
        <v>1</v>
      </c>
      <c r="K225" s="16"/>
    </row>
    <row r="226" spans="1:11">
      <c r="A226" s="1"/>
      <c r="B226" s="21"/>
      <c r="C226" s="6"/>
      <c r="D226" s="6"/>
      <c r="E226" s="5"/>
      <c r="F226" s="15" t="s">
        <v>96</v>
      </c>
      <c r="G226" s="15">
        <f>+H225</f>
        <v>1</v>
      </c>
      <c r="H226" s="15" t="s">
        <v>4</v>
      </c>
      <c r="K226" s="16"/>
    </row>
    <row r="227" spans="1:11" ht="63">
      <c r="A227" s="1">
        <f>+A223+1</f>
        <v>29</v>
      </c>
      <c r="B227" s="21" t="s">
        <v>179</v>
      </c>
      <c r="C227" s="6"/>
      <c r="D227" s="6"/>
      <c r="E227" s="5"/>
      <c r="F227" s="5"/>
      <c r="G227" s="15"/>
      <c r="H227" s="14"/>
      <c r="K227" s="16"/>
    </row>
    <row r="228" spans="1:11" ht="16.5" customHeight="1">
      <c r="A228" s="1"/>
      <c r="B228" s="21" t="s">
        <v>107</v>
      </c>
      <c r="C228" s="6">
        <v>1</v>
      </c>
      <c r="D228" s="6">
        <v>1</v>
      </c>
      <c r="E228" s="5">
        <v>40</v>
      </c>
      <c r="F228" s="5"/>
      <c r="G228" s="15"/>
      <c r="H228" s="5">
        <f>PRODUCT(C228:G228)</f>
        <v>40</v>
      </c>
      <c r="K228" s="16"/>
    </row>
    <row r="229" spans="1:11" s="22" customFormat="1" ht="16.5" customHeight="1">
      <c r="A229" s="4"/>
      <c r="B229" s="5"/>
      <c r="C229" s="4"/>
      <c r="D229" s="4"/>
      <c r="E229" s="20"/>
      <c r="F229" s="15" t="s">
        <v>15</v>
      </c>
      <c r="G229" s="15">
        <f>+H228</f>
        <v>40</v>
      </c>
      <c r="H229" s="15" t="s">
        <v>61</v>
      </c>
    </row>
    <row r="230" spans="1:11" ht="31.5">
      <c r="A230" s="1">
        <f>A227+1</f>
        <v>30</v>
      </c>
      <c r="B230" s="21" t="s">
        <v>201</v>
      </c>
      <c r="C230" s="6"/>
      <c r="D230" s="6"/>
      <c r="E230" s="5"/>
      <c r="F230" s="5"/>
      <c r="G230" s="15"/>
      <c r="H230" s="14"/>
      <c r="K230" s="16"/>
    </row>
    <row r="231" spans="1:11">
      <c r="A231" s="1"/>
      <c r="B231" s="21" t="s">
        <v>107</v>
      </c>
      <c r="C231" s="6">
        <v>1</v>
      </c>
      <c r="D231" s="6">
        <v>1</v>
      </c>
      <c r="E231" s="5"/>
      <c r="F231" s="5"/>
      <c r="G231" s="15" t="s">
        <v>4</v>
      </c>
      <c r="H231" s="14">
        <f>PRODUCT(C231:G231)</f>
        <v>1</v>
      </c>
      <c r="K231" s="16"/>
    </row>
    <row r="232" spans="1:11" ht="47.25">
      <c r="A232" s="1">
        <f>A230+1</f>
        <v>31</v>
      </c>
      <c r="B232" s="21" t="s">
        <v>180</v>
      </c>
      <c r="C232" s="6"/>
      <c r="D232" s="6"/>
      <c r="E232" s="5"/>
      <c r="F232" s="5"/>
      <c r="G232" s="15"/>
      <c r="H232" s="14"/>
      <c r="K232" s="16"/>
    </row>
    <row r="233" spans="1:11" ht="16.5" customHeight="1">
      <c r="A233" s="1"/>
      <c r="B233" s="21" t="s">
        <v>107</v>
      </c>
      <c r="C233" s="6">
        <v>1</v>
      </c>
      <c r="D233" s="6">
        <v>1</v>
      </c>
      <c r="E233" s="5"/>
      <c r="F233" s="5"/>
      <c r="G233" s="15" t="s">
        <v>4</v>
      </c>
      <c r="H233" s="14">
        <f>PRODUCT(C233:G233)</f>
        <v>1</v>
      </c>
      <c r="K233" s="16"/>
    </row>
    <row r="234" spans="1:11" ht="31.5">
      <c r="A234" s="1">
        <f>A232+1</f>
        <v>32</v>
      </c>
      <c r="B234" s="21" t="str">
        <f>+'[16]coding sheet'!B93</f>
        <v>Supplying and fixing of 32 amps porecelain fuse unit (500v)</v>
      </c>
      <c r="C234" s="6"/>
      <c r="D234" s="6"/>
      <c r="E234" s="5"/>
      <c r="F234" s="5"/>
      <c r="G234" s="15"/>
      <c r="H234" s="14"/>
      <c r="K234" s="16"/>
    </row>
    <row r="235" spans="1:11" ht="16.5" customHeight="1">
      <c r="A235" s="1"/>
      <c r="B235" s="21" t="s">
        <v>107</v>
      </c>
      <c r="C235" s="6">
        <v>1</v>
      </c>
      <c r="D235" s="6">
        <v>2</v>
      </c>
      <c r="E235" s="5"/>
      <c r="F235" s="5"/>
      <c r="G235" s="15" t="s">
        <v>4</v>
      </c>
      <c r="H235" s="14">
        <f>PRODUCT(C235:G235)</f>
        <v>2</v>
      </c>
      <c r="K235" s="16"/>
    </row>
    <row r="236" spans="1:11" ht="16.5" customHeight="1">
      <c r="A236" s="1">
        <f>A234+1</f>
        <v>33</v>
      </c>
      <c r="B236" s="21" t="s">
        <v>181</v>
      </c>
      <c r="C236" s="6"/>
      <c r="D236" s="6"/>
      <c r="E236" s="5"/>
      <c r="F236" s="5"/>
      <c r="G236" s="15"/>
      <c r="H236" s="14"/>
      <c r="K236" s="16"/>
    </row>
    <row r="237" spans="1:11" ht="16.5" customHeight="1">
      <c r="A237" s="1"/>
      <c r="B237" s="21" t="s">
        <v>107</v>
      </c>
      <c r="C237" s="6">
        <v>1</v>
      </c>
      <c r="D237" s="6">
        <v>1</v>
      </c>
      <c r="E237" s="5"/>
      <c r="F237" s="5"/>
      <c r="G237" s="15"/>
      <c r="H237" s="5">
        <f>PRODUCT(C237:G237)</f>
        <v>1</v>
      </c>
      <c r="K237" s="16"/>
    </row>
    <row r="238" spans="1:11" s="22" customFormat="1" ht="16.5" customHeight="1">
      <c r="A238" s="4"/>
      <c r="B238" s="5"/>
      <c r="C238" s="4"/>
      <c r="D238" s="4"/>
      <c r="E238" s="20"/>
      <c r="F238" s="15" t="s">
        <v>15</v>
      </c>
      <c r="G238" s="15">
        <f>+H237</f>
        <v>1</v>
      </c>
      <c r="H238" s="15" t="s">
        <v>4</v>
      </c>
    </row>
    <row r="239" spans="1:11" ht="16.5" customHeight="1">
      <c r="A239" s="1">
        <f>A236+1</f>
        <v>34</v>
      </c>
      <c r="B239" s="21" t="str">
        <f>'[16]coding sheet'!B96</f>
        <v>25 mm dia GI pipe "B"class</v>
      </c>
      <c r="C239" s="6"/>
      <c r="D239" s="6"/>
      <c r="E239" s="5"/>
      <c r="F239" s="5"/>
      <c r="G239" s="15"/>
      <c r="H239" s="14"/>
      <c r="K239" s="16"/>
    </row>
    <row r="240" spans="1:11" ht="16.5" customHeight="1">
      <c r="A240" s="1"/>
      <c r="B240" s="21" t="s">
        <v>107</v>
      </c>
      <c r="C240" s="6">
        <v>1</v>
      </c>
      <c r="D240" s="6">
        <v>1</v>
      </c>
      <c r="E240" s="5">
        <v>3</v>
      </c>
      <c r="F240" s="5"/>
      <c r="G240" s="15" t="s">
        <v>61</v>
      </c>
      <c r="H240" s="14">
        <f>PRODUCT(C240:G240)</f>
        <v>3</v>
      </c>
      <c r="K240" s="16"/>
    </row>
    <row r="241" spans="1:11">
      <c r="A241" s="1"/>
      <c r="B241" s="12"/>
      <c r="C241" s="6"/>
      <c r="D241" s="6"/>
      <c r="E241" s="5"/>
      <c r="F241" s="15" t="s">
        <v>96</v>
      </c>
      <c r="G241" s="27">
        <f>H240</f>
        <v>3</v>
      </c>
      <c r="H241" s="15" t="s">
        <v>61</v>
      </c>
      <c r="K241" s="16"/>
    </row>
    <row r="242" spans="1:11" ht="47.25">
      <c r="A242" s="4">
        <v>238</v>
      </c>
      <c r="B242" s="32" t="s">
        <v>195</v>
      </c>
      <c r="C242" s="6"/>
      <c r="D242" s="6"/>
      <c r="E242" s="7"/>
      <c r="F242" s="7"/>
      <c r="G242" s="7"/>
      <c r="H242" s="7"/>
    </row>
    <row r="243" spans="1:11">
      <c r="A243" s="7"/>
      <c r="B243" s="5" t="s">
        <v>196</v>
      </c>
      <c r="C243" s="6"/>
      <c r="D243" s="6"/>
      <c r="E243" s="7"/>
      <c r="F243" s="7"/>
      <c r="G243" s="7"/>
      <c r="H243" s="27">
        <f>G114</f>
        <v>0.49868220000000002</v>
      </c>
    </row>
    <row r="244" spans="1:11">
      <c r="A244" s="7"/>
      <c r="B244" s="5"/>
      <c r="C244" s="6"/>
      <c r="D244" s="6"/>
      <c r="E244" s="7"/>
      <c r="F244" s="15" t="s">
        <v>96</v>
      </c>
      <c r="G244" s="27">
        <f>H243</f>
        <v>0.49868220000000002</v>
      </c>
      <c r="H244" s="15" t="s">
        <v>197</v>
      </c>
    </row>
    <row r="245" spans="1:11" ht="31.5">
      <c r="A245" s="8">
        <v>238.1</v>
      </c>
      <c r="B245" s="21" t="s">
        <v>199</v>
      </c>
      <c r="C245" s="6"/>
      <c r="D245" s="6"/>
      <c r="E245" s="7"/>
      <c r="F245" s="7"/>
      <c r="G245" s="7"/>
      <c r="H245" s="7"/>
    </row>
    <row r="246" spans="1:11">
      <c r="A246" s="7"/>
      <c r="B246" s="5" t="s">
        <v>200</v>
      </c>
      <c r="C246" s="6"/>
      <c r="D246" s="6"/>
      <c r="E246" s="7"/>
      <c r="F246" s="7"/>
      <c r="G246" s="7"/>
      <c r="H246" s="15">
        <f>G188</f>
        <v>155.92500000000001</v>
      </c>
    </row>
    <row r="247" spans="1:11">
      <c r="A247" s="7"/>
      <c r="B247" s="5"/>
      <c r="C247" s="6"/>
      <c r="D247" s="6"/>
      <c r="E247" s="7"/>
      <c r="F247" s="7"/>
      <c r="G247" s="7"/>
      <c r="H247" s="27">
        <f>H246/1000</f>
        <v>0.15592500000000001</v>
      </c>
    </row>
    <row r="248" spans="1:11">
      <c r="A248" s="7"/>
      <c r="B248" s="5"/>
      <c r="C248" s="6"/>
      <c r="D248" s="6"/>
      <c r="E248" s="7"/>
      <c r="F248" s="15" t="s">
        <v>96</v>
      </c>
      <c r="G248" s="27">
        <f>H247</f>
        <v>0.15592500000000001</v>
      </c>
      <c r="H248" s="15" t="s">
        <v>197</v>
      </c>
    </row>
    <row r="249" spans="1:11">
      <c r="A249" s="7">
        <v>87.1</v>
      </c>
      <c r="B249" s="5" t="s">
        <v>202</v>
      </c>
      <c r="C249" s="6">
        <v>1</v>
      </c>
      <c r="D249" s="6">
        <v>1</v>
      </c>
      <c r="E249" s="7"/>
      <c r="F249" s="7"/>
      <c r="G249" s="7"/>
      <c r="H249" s="15">
        <f>D249</f>
        <v>1</v>
      </c>
    </row>
    <row r="250" spans="1:11">
      <c r="A250" s="7"/>
      <c r="B250" s="5"/>
      <c r="C250" s="6"/>
      <c r="D250" s="6"/>
      <c r="E250" s="7"/>
      <c r="F250" s="7"/>
      <c r="G250" s="7"/>
      <c r="H250" s="7"/>
    </row>
    <row r="251" spans="1:11">
      <c r="A251" s="7"/>
      <c r="B251" s="5"/>
      <c r="C251" s="6"/>
      <c r="D251" s="6"/>
      <c r="E251" s="7"/>
      <c r="F251" s="7"/>
      <c r="G251" s="7"/>
      <c r="H251" s="7"/>
    </row>
  </sheetData>
  <mergeCells count="12">
    <mergeCell ref="C113:D113"/>
    <mergeCell ref="C187:D187"/>
    <mergeCell ref="A4:H4"/>
    <mergeCell ref="A1:H1"/>
    <mergeCell ref="A2:H2"/>
    <mergeCell ref="A3:H3"/>
    <mergeCell ref="A5:H5"/>
    <mergeCell ref="A6:A7"/>
    <mergeCell ref="B6:B7"/>
    <mergeCell ref="C6:D7"/>
    <mergeCell ref="E6:G6"/>
    <mergeCell ref="H6:H7"/>
  </mergeCells>
  <printOptions horizontalCentered="1"/>
  <pageMargins left="0.5" right="0.5" top="0.4" bottom="0.3" header="0" footer="0.3"/>
  <pageSetup paperSize="9" orientation="portrait" r:id="rId1"/>
  <headerFooter>
    <oddHeader>&amp;C&amp;"-,Regular"&amp;8Page &amp;P of &amp;N</oddHeader>
  </headerFooter>
</worksheet>
</file>

<file path=xl/worksheets/sheet19.xml><?xml version="1.0" encoding="utf-8"?>
<worksheet xmlns="http://schemas.openxmlformats.org/spreadsheetml/2006/main" xmlns:r="http://schemas.openxmlformats.org/officeDocument/2006/relationships">
  <sheetPr>
    <tabColor rgb="FFC00000"/>
  </sheetPr>
  <dimension ref="A1:L65"/>
  <sheetViews>
    <sheetView view="pageBreakPreview" topLeftCell="A15" zoomScaleSheetLayoutView="100" workbookViewId="0">
      <selection activeCell="F15" sqref="A6:J65"/>
    </sheetView>
  </sheetViews>
  <sheetFormatPr defaultRowHeight="15"/>
  <cols>
    <col min="1" max="1" width="4.44140625" style="226" customWidth="1"/>
    <col min="2" max="2" width="26.33203125" style="222" customWidth="1"/>
    <col min="3" max="3" width="3.21875" style="227" customWidth="1"/>
    <col min="4" max="4" width="3.21875" style="228" customWidth="1"/>
    <col min="5" max="5" width="3.21875" style="229" customWidth="1"/>
    <col min="6" max="9" width="7.44140625" style="222" customWidth="1"/>
    <col min="10" max="10" width="4.5546875" style="222" customWidth="1"/>
    <col min="11" max="256" width="8.88671875" style="222"/>
    <col min="257" max="257" width="5.77734375" style="222" customWidth="1"/>
    <col min="258" max="258" width="30.77734375" style="222" customWidth="1"/>
    <col min="259" max="259" width="3.6640625" style="222" customWidth="1"/>
    <col min="260" max="260" width="2.109375" style="222" customWidth="1"/>
    <col min="261" max="261" width="2.6640625" style="222" customWidth="1"/>
    <col min="262" max="264" width="5.77734375" style="222" customWidth="1"/>
    <col min="265" max="265" width="8.88671875" style="222"/>
    <col min="266" max="266" width="3.77734375" style="222" customWidth="1"/>
    <col min="267" max="512" width="8.88671875" style="222"/>
    <col min="513" max="513" width="5.77734375" style="222" customWidth="1"/>
    <col min="514" max="514" width="30.77734375" style="222" customWidth="1"/>
    <col min="515" max="515" width="3.6640625" style="222" customWidth="1"/>
    <col min="516" max="516" width="2.109375" style="222" customWidth="1"/>
    <col min="517" max="517" width="2.6640625" style="222" customWidth="1"/>
    <col min="518" max="520" width="5.77734375" style="222" customWidth="1"/>
    <col min="521" max="521" width="8.88671875" style="222"/>
    <col min="522" max="522" width="3.77734375" style="222" customWidth="1"/>
    <col min="523" max="768" width="8.88671875" style="222"/>
    <col min="769" max="769" width="5.77734375" style="222" customWidth="1"/>
    <col min="770" max="770" width="30.77734375" style="222" customWidth="1"/>
    <col min="771" max="771" width="3.6640625" style="222" customWidth="1"/>
    <col min="772" max="772" width="2.109375" style="222" customWidth="1"/>
    <col min="773" max="773" width="2.6640625" style="222" customWidth="1"/>
    <col min="774" max="776" width="5.77734375" style="222" customWidth="1"/>
    <col min="777" max="777" width="8.88671875" style="222"/>
    <col min="778" max="778" width="3.77734375" style="222" customWidth="1"/>
    <col min="779" max="1024" width="8.88671875" style="222"/>
    <col min="1025" max="1025" width="5.77734375" style="222" customWidth="1"/>
    <col min="1026" max="1026" width="30.77734375" style="222" customWidth="1"/>
    <col min="1027" max="1027" width="3.6640625" style="222" customWidth="1"/>
    <col min="1028" max="1028" width="2.109375" style="222" customWidth="1"/>
    <col min="1029" max="1029" width="2.6640625" style="222" customWidth="1"/>
    <col min="1030" max="1032" width="5.77734375" style="222" customWidth="1"/>
    <col min="1033" max="1033" width="8.88671875" style="222"/>
    <col min="1034" max="1034" width="3.77734375" style="222" customWidth="1"/>
    <col min="1035" max="1280" width="8.88671875" style="222"/>
    <col min="1281" max="1281" width="5.77734375" style="222" customWidth="1"/>
    <col min="1282" max="1282" width="30.77734375" style="222" customWidth="1"/>
    <col min="1283" max="1283" width="3.6640625" style="222" customWidth="1"/>
    <col min="1284" max="1284" width="2.109375" style="222" customWidth="1"/>
    <col min="1285" max="1285" width="2.6640625" style="222" customWidth="1"/>
    <col min="1286" max="1288" width="5.77734375" style="222" customWidth="1"/>
    <col min="1289" max="1289" width="8.88671875" style="222"/>
    <col min="1290" max="1290" width="3.77734375" style="222" customWidth="1"/>
    <col min="1291" max="1536" width="8.88671875" style="222"/>
    <col min="1537" max="1537" width="5.77734375" style="222" customWidth="1"/>
    <col min="1538" max="1538" width="30.77734375" style="222" customWidth="1"/>
    <col min="1539" max="1539" width="3.6640625" style="222" customWidth="1"/>
    <col min="1540" max="1540" width="2.109375" style="222" customWidth="1"/>
    <col min="1541" max="1541" width="2.6640625" style="222" customWidth="1"/>
    <col min="1542" max="1544" width="5.77734375" style="222" customWidth="1"/>
    <col min="1545" max="1545" width="8.88671875" style="222"/>
    <col min="1546" max="1546" width="3.77734375" style="222" customWidth="1"/>
    <col min="1547" max="1792" width="8.88671875" style="222"/>
    <col min="1793" max="1793" width="5.77734375" style="222" customWidth="1"/>
    <col min="1794" max="1794" width="30.77734375" style="222" customWidth="1"/>
    <col min="1795" max="1795" width="3.6640625" style="222" customWidth="1"/>
    <col min="1796" max="1796" width="2.109375" style="222" customWidth="1"/>
    <col min="1797" max="1797" width="2.6640625" style="222" customWidth="1"/>
    <col min="1798" max="1800" width="5.77734375" style="222" customWidth="1"/>
    <col min="1801" max="1801" width="8.88671875" style="222"/>
    <col min="1802" max="1802" width="3.77734375" style="222" customWidth="1"/>
    <col min="1803" max="2048" width="8.88671875" style="222"/>
    <col min="2049" max="2049" width="5.77734375" style="222" customWidth="1"/>
    <col min="2050" max="2050" width="30.77734375" style="222" customWidth="1"/>
    <col min="2051" max="2051" width="3.6640625" style="222" customWidth="1"/>
    <col min="2052" max="2052" width="2.109375" style="222" customWidth="1"/>
    <col min="2053" max="2053" width="2.6640625" style="222" customWidth="1"/>
    <col min="2054" max="2056" width="5.77734375" style="222" customWidth="1"/>
    <col min="2057" max="2057" width="8.88671875" style="222"/>
    <col min="2058" max="2058" width="3.77734375" style="222" customWidth="1"/>
    <col min="2059" max="2304" width="8.88671875" style="222"/>
    <col min="2305" max="2305" width="5.77734375" style="222" customWidth="1"/>
    <col min="2306" max="2306" width="30.77734375" style="222" customWidth="1"/>
    <col min="2307" max="2307" width="3.6640625" style="222" customWidth="1"/>
    <col min="2308" max="2308" width="2.109375" style="222" customWidth="1"/>
    <col min="2309" max="2309" width="2.6640625" style="222" customWidth="1"/>
    <col min="2310" max="2312" width="5.77734375" style="222" customWidth="1"/>
    <col min="2313" max="2313" width="8.88671875" style="222"/>
    <col min="2314" max="2314" width="3.77734375" style="222" customWidth="1"/>
    <col min="2315" max="2560" width="8.88671875" style="222"/>
    <col min="2561" max="2561" width="5.77734375" style="222" customWidth="1"/>
    <col min="2562" max="2562" width="30.77734375" style="222" customWidth="1"/>
    <col min="2563" max="2563" width="3.6640625" style="222" customWidth="1"/>
    <col min="2564" max="2564" width="2.109375" style="222" customWidth="1"/>
    <col min="2565" max="2565" width="2.6640625" style="222" customWidth="1"/>
    <col min="2566" max="2568" width="5.77734375" style="222" customWidth="1"/>
    <col min="2569" max="2569" width="8.88671875" style="222"/>
    <col min="2570" max="2570" width="3.77734375" style="222" customWidth="1"/>
    <col min="2571" max="2816" width="8.88671875" style="222"/>
    <col min="2817" max="2817" width="5.77734375" style="222" customWidth="1"/>
    <col min="2818" max="2818" width="30.77734375" style="222" customWidth="1"/>
    <col min="2819" max="2819" width="3.6640625" style="222" customWidth="1"/>
    <col min="2820" max="2820" width="2.109375" style="222" customWidth="1"/>
    <col min="2821" max="2821" width="2.6640625" style="222" customWidth="1"/>
    <col min="2822" max="2824" width="5.77734375" style="222" customWidth="1"/>
    <col min="2825" max="2825" width="8.88671875" style="222"/>
    <col min="2826" max="2826" width="3.77734375" style="222" customWidth="1"/>
    <col min="2827" max="3072" width="8.88671875" style="222"/>
    <col min="3073" max="3073" width="5.77734375" style="222" customWidth="1"/>
    <col min="3074" max="3074" width="30.77734375" style="222" customWidth="1"/>
    <col min="3075" max="3075" width="3.6640625" style="222" customWidth="1"/>
    <col min="3076" max="3076" width="2.109375" style="222" customWidth="1"/>
    <col min="3077" max="3077" width="2.6640625" style="222" customWidth="1"/>
    <col min="3078" max="3080" width="5.77734375" style="222" customWidth="1"/>
    <col min="3081" max="3081" width="8.88671875" style="222"/>
    <col min="3082" max="3082" width="3.77734375" style="222" customWidth="1"/>
    <col min="3083" max="3328" width="8.88671875" style="222"/>
    <col min="3329" max="3329" width="5.77734375" style="222" customWidth="1"/>
    <col min="3330" max="3330" width="30.77734375" style="222" customWidth="1"/>
    <col min="3331" max="3331" width="3.6640625" style="222" customWidth="1"/>
    <col min="3332" max="3332" width="2.109375" style="222" customWidth="1"/>
    <col min="3333" max="3333" width="2.6640625" style="222" customWidth="1"/>
    <col min="3334" max="3336" width="5.77734375" style="222" customWidth="1"/>
    <col min="3337" max="3337" width="8.88671875" style="222"/>
    <col min="3338" max="3338" width="3.77734375" style="222" customWidth="1"/>
    <col min="3339" max="3584" width="8.88671875" style="222"/>
    <col min="3585" max="3585" width="5.77734375" style="222" customWidth="1"/>
    <col min="3586" max="3586" width="30.77734375" style="222" customWidth="1"/>
    <col min="3587" max="3587" width="3.6640625" style="222" customWidth="1"/>
    <col min="3588" max="3588" width="2.109375" style="222" customWidth="1"/>
    <col min="3589" max="3589" width="2.6640625" style="222" customWidth="1"/>
    <col min="3590" max="3592" width="5.77734375" style="222" customWidth="1"/>
    <col min="3593" max="3593" width="8.88671875" style="222"/>
    <col min="3594" max="3594" width="3.77734375" style="222" customWidth="1"/>
    <col min="3595" max="3840" width="8.88671875" style="222"/>
    <col min="3841" max="3841" width="5.77734375" style="222" customWidth="1"/>
    <col min="3842" max="3842" width="30.77734375" style="222" customWidth="1"/>
    <col min="3843" max="3843" width="3.6640625" style="222" customWidth="1"/>
    <col min="3844" max="3844" width="2.109375" style="222" customWidth="1"/>
    <col min="3845" max="3845" width="2.6640625" style="222" customWidth="1"/>
    <col min="3846" max="3848" width="5.77734375" style="222" customWidth="1"/>
    <col min="3849" max="3849" width="8.88671875" style="222"/>
    <col min="3850" max="3850" width="3.77734375" style="222" customWidth="1"/>
    <col min="3851" max="4096" width="8.88671875" style="222"/>
    <col min="4097" max="4097" width="5.77734375" style="222" customWidth="1"/>
    <col min="4098" max="4098" width="30.77734375" style="222" customWidth="1"/>
    <col min="4099" max="4099" width="3.6640625" style="222" customWidth="1"/>
    <col min="4100" max="4100" width="2.109375" style="222" customWidth="1"/>
    <col min="4101" max="4101" width="2.6640625" style="222" customWidth="1"/>
    <col min="4102" max="4104" width="5.77734375" style="222" customWidth="1"/>
    <col min="4105" max="4105" width="8.88671875" style="222"/>
    <col min="4106" max="4106" width="3.77734375" style="222" customWidth="1"/>
    <col min="4107" max="4352" width="8.88671875" style="222"/>
    <col min="4353" max="4353" width="5.77734375" style="222" customWidth="1"/>
    <col min="4354" max="4354" width="30.77734375" style="222" customWidth="1"/>
    <col min="4355" max="4355" width="3.6640625" style="222" customWidth="1"/>
    <col min="4356" max="4356" width="2.109375" style="222" customWidth="1"/>
    <col min="4357" max="4357" width="2.6640625" style="222" customWidth="1"/>
    <col min="4358" max="4360" width="5.77734375" style="222" customWidth="1"/>
    <col min="4361" max="4361" width="8.88671875" style="222"/>
    <col min="4362" max="4362" width="3.77734375" style="222" customWidth="1"/>
    <col min="4363" max="4608" width="8.88671875" style="222"/>
    <col min="4609" max="4609" width="5.77734375" style="222" customWidth="1"/>
    <col min="4610" max="4610" width="30.77734375" style="222" customWidth="1"/>
    <col min="4611" max="4611" width="3.6640625" style="222" customWidth="1"/>
    <col min="4612" max="4612" width="2.109375" style="222" customWidth="1"/>
    <col min="4613" max="4613" width="2.6640625" style="222" customWidth="1"/>
    <col min="4614" max="4616" width="5.77734375" style="222" customWidth="1"/>
    <col min="4617" max="4617" width="8.88671875" style="222"/>
    <col min="4618" max="4618" width="3.77734375" style="222" customWidth="1"/>
    <col min="4619" max="4864" width="8.88671875" style="222"/>
    <col min="4865" max="4865" width="5.77734375" style="222" customWidth="1"/>
    <col min="4866" max="4866" width="30.77734375" style="222" customWidth="1"/>
    <col min="4867" max="4867" width="3.6640625" style="222" customWidth="1"/>
    <col min="4868" max="4868" width="2.109375" style="222" customWidth="1"/>
    <col min="4869" max="4869" width="2.6640625" style="222" customWidth="1"/>
    <col min="4870" max="4872" width="5.77734375" style="222" customWidth="1"/>
    <col min="4873" max="4873" width="8.88671875" style="222"/>
    <col min="4874" max="4874" width="3.77734375" style="222" customWidth="1"/>
    <col min="4875" max="5120" width="8.88671875" style="222"/>
    <col min="5121" max="5121" width="5.77734375" style="222" customWidth="1"/>
    <col min="5122" max="5122" width="30.77734375" style="222" customWidth="1"/>
    <col min="5123" max="5123" width="3.6640625" style="222" customWidth="1"/>
    <col min="5124" max="5124" width="2.109375" style="222" customWidth="1"/>
    <col min="5125" max="5125" width="2.6640625" style="222" customWidth="1"/>
    <col min="5126" max="5128" width="5.77734375" style="222" customWidth="1"/>
    <col min="5129" max="5129" width="8.88671875" style="222"/>
    <col min="5130" max="5130" width="3.77734375" style="222" customWidth="1"/>
    <col min="5131" max="5376" width="8.88671875" style="222"/>
    <col min="5377" max="5377" width="5.77734375" style="222" customWidth="1"/>
    <col min="5378" max="5378" width="30.77734375" style="222" customWidth="1"/>
    <col min="5379" max="5379" width="3.6640625" style="222" customWidth="1"/>
    <col min="5380" max="5380" width="2.109375" style="222" customWidth="1"/>
    <col min="5381" max="5381" width="2.6640625" style="222" customWidth="1"/>
    <col min="5382" max="5384" width="5.77734375" style="222" customWidth="1"/>
    <col min="5385" max="5385" width="8.88671875" style="222"/>
    <col min="5386" max="5386" width="3.77734375" style="222" customWidth="1"/>
    <col min="5387" max="5632" width="8.88671875" style="222"/>
    <col min="5633" max="5633" width="5.77734375" style="222" customWidth="1"/>
    <col min="5634" max="5634" width="30.77734375" style="222" customWidth="1"/>
    <col min="5635" max="5635" width="3.6640625" style="222" customWidth="1"/>
    <col min="5636" max="5636" width="2.109375" style="222" customWidth="1"/>
    <col min="5637" max="5637" width="2.6640625" style="222" customWidth="1"/>
    <col min="5638" max="5640" width="5.77734375" style="222" customWidth="1"/>
    <col min="5641" max="5641" width="8.88671875" style="222"/>
    <col min="5642" max="5642" width="3.77734375" style="222" customWidth="1"/>
    <col min="5643" max="5888" width="8.88671875" style="222"/>
    <col min="5889" max="5889" width="5.77734375" style="222" customWidth="1"/>
    <col min="5890" max="5890" width="30.77734375" style="222" customWidth="1"/>
    <col min="5891" max="5891" width="3.6640625" style="222" customWidth="1"/>
    <col min="5892" max="5892" width="2.109375" style="222" customWidth="1"/>
    <col min="5893" max="5893" width="2.6640625" style="222" customWidth="1"/>
    <col min="5894" max="5896" width="5.77734375" style="222" customWidth="1"/>
    <col min="5897" max="5897" width="8.88671875" style="222"/>
    <col min="5898" max="5898" width="3.77734375" style="222" customWidth="1"/>
    <col min="5899" max="6144" width="8.88671875" style="222"/>
    <col min="6145" max="6145" width="5.77734375" style="222" customWidth="1"/>
    <col min="6146" max="6146" width="30.77734375" style="222" customWidth="1"/>
    <col min="6147" max="6147" width="3.6640625" style="222" customWidth="1"/>
    <col min="6148" max="6148" width="2.109375" style="222" customWidth="1"/>
    <col min="6149" max="6149" width="2.6640625" style="222" customWidth="1"/>
    <col min="6150" max="6152" width="5.77734375" style="222" customWidth="1"/>
    <col min="6153" max="6153" width="8.88671875" style="222"/>
    <col min="6154" max="6154" width="3.77734375" style="222" customWidth="1"/>
    <col min="6155" max="6400" width="8.88671875" style="222"/>
    <col min="6401" max="6401" width="5.77734375" style="222" customWidth="1"/>
    <col min="6402" max="6402" width="30.77734375" style="222" customWidth="1"/>
    <col min="6403" max="6403" width="3.6640625" style="222" customWidth="1"/>
    <col min="6404" max="6404" width="2.109375" style="222" customWidth="1"/>
    <col min="6405" max="6405" width="2.6640625" style="222" customWidth="1"/>
    <col min="6406" max="6408" width="5.77734375" style="222" customWidth="1"/>
    <col min="6409" max="6409" width="8.88671875" style="222"/>
    <col min="6410" max="6410" width="3.77734375" style="222" customWidth="1"/>
    <col min="6411" max="6656" width="8.88671875" style="222"/>
    <col min="6657" max="6657" width="5.77734375" style="222" customWidth="1"/>
    <col min="6658" max="6658" width="30.77734375" style="222" customWidth="1"/>
    <col min="6659" max="6659" width="3.6640625" style="222" customWidth="1"/>
    <col min="6660" max="6660" width="2.109375" style="222" customWidth="1"/>
    <col min="6661" max="6661" width="2.6640625" style="222" customWidth="1"/>
    <col min="6662" max="6664" width="5.77734375" style="222" customWidth="1"/>
    <col min="6665" max="6665" width="8.88671875" style="222"/>
    <col min="6666" max="6666" width="3.77734375" style="222" customWidth="1"/>
    <col min="6667" max="6912" width="8.88671875" style="222"/>
    <col min="6913" max="6913" width="5.77734375" style="222" customWidth="1"/>
    <col min="6914" max="6914" width="30.77734375" style="222" customWidth="1"/>
    <col min="6915" max="6915" width="3.6640625" style="222" customWidth="1"/>
    <col min="6916" max="6916" width="2.109375" style="222" customWidth="1"/>
    <col min="6917" max="6917" width="2.6640625" style="222" customWidth="1"/>
    <col min="6918" max="6920" width="5.77734375" style="222" customWidth="1"/>
    <col min="6921" max="6921" width="8.88671875" style="222"/>
    <col min="6922" max="6922" width="3.77734375" style="222" customWidth="1"/>
    <col min="6923" max="7168" width="8.88671875" style="222"/>
    <col min="7169" max="7169" width="5.77734375" style="222" customWidth="1"/>
    <col min="7170" max="7170" width="30.77734375" style="222" customWidth="1"/>
    <col min="7171" max="7171" width="3.6640625" style="222" customWidth="1"/>
    <col min="7172" max="7172" width="2.109375" style="222" customWidth="1"/>
    <col min="7173" max="7173" width="2.6640625" style="222" customWidth="1"/>
    <col min="7174" max="7176" width="5.77734375" style="222" customWidth="1"/>
    <col min="7177" max="7177" width="8.88671875" style="222"/>
    <col min="7178" max="7178" width="3.77734375" style="222" customWidth="1"/>
    <col min="7179" max="7424" width="8.88671875" style="222"/>
    <col min="7425" max="7425" width="5.77734375" style="222" customWidth="1"/>
    <col min="7426" max="7426" width="30.77734375" style="222" customWidth="1"/>
    <col min="7427" max="7427" width="3.6640625" style="222" customWidth="1"/>
    <col min="7428" max="7428" width="2.109375" style="222" customWidth="1"/>
    <col min="7429" max="7429" width="2.6640625" style="222" customWidth="1"/>
    <col min="7430" max="7432" width="5.77734375" style="222" customWidth="1"/>
    <col min="7433" max="7433" width="8.88671875" style="222"/>
    <col min="7434" max="7434" width="3.77734375" style="222" customWidth="1"/>
    <col min="7435" max="7680" width="8.88671875" style="222"/>
    <col min="7681" max="7681" width="5.77734375" style="222" customWidth="1"/>
    <col min="7682" max="7682" width="30.77734375" style="222" customWidth="1"/>
    <col min="7683" max="7683" width="3.6640625" style="222" customWidth="1"/>
    <col min="7684" max="7684" width="2.109375" style="222" customWidth="1"/>
    <col min="7685" max="7685" width="2.6640625" style="222" customWidth="1"/>
    <col min="7686" max="7688" width="5.77734375" style="222" customWidth="1"/>
    <col min="7689" max="7689" width="8.88671875" style="222"/>
    <col min="7690" max="7690" width="3.77734375" style="222" customWidth="1"/>
    <col min="7691" max="7936" width="8.88671875" style="222"/>
    <col min="7937" max="7937" width="5.77734375" style="222" customWidth="1"/>
    <col min="7938" max="7938" width="30.77734375" style="222" customWidth="1"/>
    <col min="7939" max="7939" width="3.6640625" style="222" customWidth="1"/>
    <col min="7940" max="7940" width="2.109375" style="222" customWidth="1"/>
    <col min="7941" max="7941" width="2.6640625" style="222" customWidth="1"/>
    <col min="7942" max="7944" width="5.77734375" style="222" customWidth="1"/>
    <col min="7945" max="7945" width="8.88671875" style="222"/>
    <col min="7946" max="7946" width="3.77734375" style="222" customWidth="1"/>
    <col min="7947" max="8192" width="8.88671875" style="222"/>
    <col min="8193" max="8193" width="5.77734375" style="222" customWidth="1"/>
    <col min="8194" max="8194" width="30.77734375" style="222" customWidth="1"/>
    <col min="8195" max="8195" width="3.6640625" style="222" customWidth="1"/>
    <col min="8196" max="8196" width="2.109375" style="222" customWidth="1"/>
    <col min="8197" max="8197" width="2.6640625" style="222" customWidth="1"/>
    <col min="8198" max="8200" width="5.77734375" style="222" customWidth="1"/>
    <col min="8201" max="8201" width="8.88671875" style="222"/>
    <col min="8202" max="8202" width="3.77734375" style="222" customWidth="1"/>
    <col min="8203" max="8448" width="8.88671875" style="222"/>
    <col min="8449" max="8449" width="5.77734375" style="222" customWidth="1"/>
    <col min="8450" max="8450" width="30.77734375" style="222" customWidth="1"/>
    <col min="8451" max="8451" width="3.6640625" style="222" customWidth="1"/>
    <col min="8452" max="8452" width="2.109375" style="222" customWidth="1"/>
    <col min="8453" max="8453" width="2.6640625" style="222" customWidth="1"/>
    <col min="8454" max="8456" width="5.77734375" style="222" customWidth="1"/>
    <col min="8457" max="8457" width="8.88671875" style="222"/>
    <col min="8458" max="8458" width="3.77734375" style="222" customWidth="1"/>
    <col min="8459" max="8704" width="8.88671875" style="222"/>
    <col min="8705" max="8705" width="5.77734375" style="222" customWidth="1"/>
    <col min="8706" max="8706" width="30.77734375" style="222" customWidth="1"/>
    <col min="8707" max="8707" width="3.6640625" style="222" customWidth="1"/>
    <col min="8708" max="8708" width="2.109375" style="222" customWidth="1"/>
    <col min="8709" max="8709" width="2.6640625" style="222" customWidth="1"/>
    <col min="8710" max="8712" width="5.77734375" style="222" customWidth="1"/>
    <col min="8713" max="8713" width="8.88671875" style="222"/>
    <col min="8714" max="8714" width="3.77734375" style="222" customWidth="1"/>
    <col min="8715" max="8960" width="8.88671875" style="222"/>
    <col min="8961" max="8961" width="5.77734375" style="222" customWidth="1"/>
    <col min="8962" max="8962" width="30.77734375" style="222" customWidth="1"/>
    <col min="8963" max="8963" width="3.6640625" style="222" customWidth="1"/>
    <col min="8964" max="8964" width="2.109375" style="222" customWidth="1"/>
    <col min="8965" max="8965" width="2.6640625" style="222" customWidth="1"/>
    <col min="8966" max="8968" width="5.77734375" style="222" customWidth="1"/>
    <col min="8969" max="8969" width="8.88671875" style="222"/>
    <col min="8970" max="8970" width="3.77734375" style="222" customWidth="1"/>
    <col min="8971" max="9216" width="8.88671875" style="222"/>
    <col min="9217" max="9217" width="5.77734375" style="222" customWidth="1"/>
    <col min="9218" max="9218" width="30.77734375" style="222" customWidth="1"/>
    <col min="9219" max="9219" width="3.6640625" style="222" customWidth="1"/>
    <col min="9220" max="9220" width="2.109375" style="222" customWidth="1"/>
    <col min="9221" max="9221" width="2.6640625" style="222" customWidth="1"/>
    <col min="9222" max="9224" width="5.77734375" style="222" customWidth="1"/>
    <col min="9225" max="9225" width="8.88671875" style="222"/>
    <col min="9226" max="9226" width="3.77734375" style="222" customWidth="1"/>
    <col min="9227" max="9472" width="8.88671875" style="222"/>
    <col min="9473" max="9473" width="5.77734375" style="222" customWidth="1"/>
    <col min="9474" max="9474" width="30.77734375" style="222" customWidth="1"/>
    <col min="9475" max="9475" width="3.6640625" style="222" customWidth="1"/>
    <col min="9476" max="9476" width="2.109375" style="222" customWidth="1"/>
    <col min="9477" max="9477" width="2.6640625" style="222" customWidth="1"/>
    <col min="9478" max="9480" width="5.77734375" style="222" customWidth="1"/>
    <col min="9481" max="9481" width="8.88671875" style="222"/>
    <col min="9482" max="9482" width="3.77734375" style="222" customWidth="1"/>
    <col min="9483" max="9728" width="8.88671875" style="222"/>
    <col min="9729" max="9729" width="5.77734375" style="222" customWidth="1"/>
    <col min="9730" max="9730" width="30.77734375" style="222" customWidth="1"/>
    <col min="9731" max="9731" width="3.6640625" style="222" customWidth="1"/>
    <col min="9732" max="9732" width="2.109375" style="222" customWidth="1"/>
    <col min="9733" max="9733" width="2.6640625" style="222" customWidth="1"/>
    <col min="9734" max="9736" width="5.77734375" style="222" customWidth="1"/>
    <col min="9737" max="9737" width="8.88671875" style="222"/>
    <col min="9738" max="9738" width="3.77734375" style="222" customWidth="1"/>
    <col min="9739" max="9984" width="8.88671875" style="222"/>
    <col min="9985" max="9985" width="5.77734375" style="222" customWidth="1"/>
    <col min="9986" max="9986" width="30.77734375" style="222" customWidth="1"/>
    <col min="9987" max="9987" width="3.6640625" style="222" customWidth="1"/>
    <col min="9988" max="9988" width="2.109375" style="222" customWidth="1"/>
    <col min="9989" max="9989" width="2.6640625" style="222" customWidth="1"/>
    <col min="9990" max="9992" width="5.77734375" style="222" customWidth="1"/>
    <col min="9993" max="9993" width="8.88671875" style="222"/>
    <col min="9994" max="9994" width="3.77734375" style="222" customWidth="1"/>
    <col min="9995" max="10240" width="8.88671875" style="222"/>
    <col min="10241" max="10241" width="5.77734375" style="222" customWidth="1"/>
    <col min="10242" max="10242" width="30.77734375" style="222" customWidth="1"/>
    <col min="10243" max="10243" width="3.6640625" style="222" customWidth="1"/>
    <col min="10244" max="10244" width="2.109375" style="222" customWidth="1"/>
    <col min="10245" max="10245" width="2.6640625" style="222" customWidth="1"/>
    <col min="10246" max="10248" width="5.77734375" style="222" customWidth="1"/>
    <col min="10249" max="10249" width="8.88671875" style="222"/>
    <col min="10250" max="10250" width="3.77734375" style="222" customWidth="1"/>
    <col min="10251" max="10496" width="8.88671875" style="222"/>
    <col min="10497" max="10497" width="5.77734375" style="222" customWidth="1"/>
    <col min="10498" max="10498" width="30.77734375" style="222" customWidth="1"/>
    <col min="10499" max="10499" width="3.6640625" style="222" customWidth="1"/>
    <col min="10500" max="10500" width="2.109375" style="222" customWidth="1"/>
    <col min="10501" max="10501" width="2.6640625" style="222" customWidth="1"/>
    <col min="10502" max="10504" width="5.77734375" style="222" customWidth="1"/>
    <col min="10505" max="10505" width="8.88671875" style="222"/>
    <col min="10506" max="10506" width="3.77734375" style="222" customWidth="1"/>
    <col min="10507" max="10752" width="8.88671875" style="222"/>
    <col min="10753" max="10753" width="5.77734375" style="222" customWidth="1"/>
    <col min="10754" max="10754" width="30.77734375" style="222" customWidth="1"/>
    <col min="10755" max="10755" width="3.6640625" style="222" customWidth="1"/>
    <col min="10756" max="10756" width="2.109375" style="222" customWidth="1"/>
    <col min="10757" max="10757" width="2.6640625" style="222" customWidth="1"/>
    <col min="10758" max="10760" width="5.77734375" style="222" customWidth="1"/>
    <col min="10761" max="10761" width="8.88671875" style="222"/>
    <col min="10762" max="10762" width="3.77734375" style="222" customWidth="1"/>
    <col min="10763" max="11008" width="8.88671875" style="222"/>
    <col min="11009" max="11009" width="5.77734375" style="222" customWidth="1"/>
    <col min="11010" max="11010" width="30.77734375" style="222" customWidth="1"/>
    <col min="11011" max="11011" width="3.6640625" style="222" customWidth="1"/>
    <col min="11012" max="11012" width="2.109375" style="222" customWidth="1"/>
    <col min="11013" max="11013" width="2.6640625" style="222" customWidth="1"/>
    <col min="11014" max="11016" width="5.77734375" style="222" customWidth="1"/>
    <col min="11017" max="11017" width="8.88671875" style="222"/>
    <col min="11018" max="11018" width="3.77734375" style="222" customWidth="1"/>
    <col min="11019" max="11264" width="8.88671875" style="222"/>
    <col min="11265" max="11265" width="5.77734375" style="222" customWidth="1"/>
    <col min="11266" max="11266" width="30.77734375" style="222" customWidth="1"/>
    <col min="11267" max="11267" width="3.6640625" style="222" customWidth="1"/>
    <col min="11268" max="11268" width="2.109375" style="222" customWidth="1"/>
    <col min="11269" max="11269" width="2.6640625" style="222" customWidth="1"/>
    <col min="11270" max="11272" width="5.77734375" style="222" customWidth="1"/>
    <col min="11273" max="11273" width="8.88671875" style="222"/>
    <col min="11274" max="11274" width="3.77734375" style="222" customWidth="1"/>
    <col min="11275" max="11520" width="8.88671875" style="222"/>
    <col min="11521" max="11521" width="5.77734375" style="222" customWidth="1"/>
    <col min="11522" max="11522" width="30.77734375" style="222" customWidth="1"/>
    <col min="11523" max="11523" width="3.6640625" style="222" customWidth="1"/>
    <col min="11524" max="11524" width="2.109375" style="222" customWidth="1"/>
    <col min="11525" max="11525" width="2.6640625" style="222" customWidth="1"/>
    <col min="11526" max="11528" width="5.77734375" style="222" customWidth="1"/>
    <col min="11529" max="11529" width="8.88671875" style="222"/>
    <col min="11530" max="11530" width="3.77734375" style="222" customWidth="1"/>
    <col min="11531" max="11776" width="8.88671875" style="222"/>
    <col min="11777" max="11777" width="5.77734375" style="222" customWidth="1"/>
    <col min="11778" max="11778" width="30.77734375" style="222" customWidth="1"/>
    <col min="11779" max="11779" width="3.6640625" style="222" customWidth="1"/>
    <col min="11780" max="11780" width="2.109375" style="222" customWidth="1"/>
    <col min="11781" max="11781" width="2.6640625" style="222" customWidth="1"/>
    <col min="11782" max="11784" width="5.77734375" style="222" customWidth="1"/>
    <col min="11785" max="11785" width="8.88671875" style="222"/>
    <col min="11786" max="11786" width="3.77734375" style="222" customWidth="1"/>
    <col min="11787" max="12032" width="8.88671875" style="222"/>
    <col min="12033" max="12033" width="5.77734375" style="222" customWidth="1"/>
    <col min="12034" max="12034" width="30.77734375" style="222" customWidth="1"/>
    <col min="12035" max="12035" width="3.6640625" style="222" customWidth="1"/>
    <col min="12036" max="12036" width="2.109375" style="222" customWidth="1"/>
    <col min="12037" max="12037" width="2.6640625" style="222" customWidth="1"/>
    <col min="12038" max="12040" width="5.77734375" style="222" customWidth="1"/>
    <col min="12041" max="12041" width="8.88671875" style="222"/>
    <col min="12042" max="12042" width="3.77734375" style="222" customWidth="1"/>
    <col min="12043" max="12288" width="8.88671875" style="222"/>
    <col min="12289" max="12289" width="5.77734375" style="222" customWidth="1"/>
    <col min="12290" max="12290" width="30.77734375" style="222" customWidth="1"/>
    <col min="12291" max="12291" width="3.6640625" style="222" customWidth="1"/>
    <col min="12292" max="12292" width="2.109375" style="222" customWidth="1"/>
    <col min="12293" max="12293" width="2.6640625" style="222" customWidth="1"/>
    <col min="12294" max="12296" width="5.77734375" style="222" customWidth="1"/>
    <col min="12297" max="12297" width="8.88671875" style="222"/>
    <col min="12298" max="12298" width="3.77734375" style="222" customWidth="1"/>
    <col min="12299" max="12544" width="8.88671875" style="222"/>
    <col min="12545" max="12545" width="5.77734375" style="222" customWidth="1"/>
    <col min="12546" max="12546" width="30.77734375" style="222" customWidth="1"/>
    <col min="12547" max="12547" width="3.6640625" style="222" customWidth="1"/>
    <col min="12548" max="12548" width="2.109375" style="222" customWidth="1"/>
    <col min="12549" max="12549" width="2.6640625" style="222" customWidth="1"/>
    <col min="12550" max="12552" width="5.77734375" style="222" customWidth="1"/>
    <col min="12553" max="12553" width="8.88671875" style="222"/>
    <col min="12554" max="12554" width="3.77734375" style="222" customWidth="1"/>
    <col min="12555" max="12800" width="8.88671875" style="222"/>
    <col min="12801" max="12801" width="5.77734375" style="222" customWidth="1"/>
    <col min="12802" max="12802" width="30.77734375" style="222" customWidth="1"/>
    <col min="12803" max="12803" width="3.6640625" style="222" customWidth="1"/>
    <col min="12804" max="12804" width="2.109375" style="222" customWidth="1"/>
    <col min="12805" max="12805" width="2.6640625" style="222" customWidth="1"/>
    <col min="12806" max="12808" width="5.77734375" style="222" customWidth="1"/>
    <col min="12809" max="12809" width="8.88671875" style="222"/>
    <col min="12810" max="12810" width="3.77734375" style="222" customWidth="1"/>
    <col min="12811" max="13056" width="8.88671875" style="222"/>
    <col min="13057" max="13057" width="5.77734375" style="222" customWidth="1"/>
    <col min="13058" max="13058" width="30.77734375" style="222" customWidth="1"/>
    <col min="13059" max="13059" width="3.6640625" style="222" customWidth="1"/>
    <col min="13060" max="13060" width="2.109375" style="222" customWidth="1"/>
    <col min="13061" max="13061" width="2.6640625" style="222" customWidth="1"/>
    <col min="13062" max="13064" width="5.77734375" style="222" customWidth="1"/>
    <col min="13065" max="13065" width="8.88671875" style="222"/>
    <col min="13066" max="13066" width="3.77734375" style="222" customWidth="1"/>
    <col min="13067" max="13312" width="8.88671875" style="222"/>
    <col min="13313" max="13313" width="5.77734375" style="222" customWidth="1"/>
    <col min="13314" max="13314" width="30.77734375" style="222" customWidth="1"/>
    <col min="13315" max="13315" width="3.6640625" style="222" customWidth="1"/>
    <col min="13316" max="13316" width="2.109375" style="222" customWidth="1"/>
    <col min="13317" max="13317" width="2.6640625" style="222" customWidth="1"/>
    <col min="13318" max="13320" width="5.77734375" style="222" customWidth="1"/>
    <col min="13321" max="13321" width="8.88671875" style="222"/>
    <col min="13322" max="13322" width="3.77734375" style="222" customWidth="1"/>
    <col min="13323" max="13568" width="8.88671875" style="222"/>
    <col min="13569" max="13569" width="5.77734375" style="222" customWidth="1"/>
    <col min="13570" max="13570" width="30.77734375" style="222" customWidth="1"/>
    <col min="13571" max="13571" width="3.6640625" style="222" customWidth="1"/>
    <col min="13572" max="13572" width="2.109375" style="222" customWidth="1"/>
    <col min="13573" max="13573" width="2.6640625" style="222" customWidth="1"/>
    <col min="13574" max="13576" width="5.77734375" style="222" customWidth="1"/>
    <col min="13577" max="13577" width="8.88671875" style="222"/>
    <col min="13578" max="13578" width="3.77734375" style="222" customWidth="1"/>
    <col min="13579" max="13824" width="8.88671875" style="222"/>
    <col min="13825" max="13825" width="5.77734375" style="222" customWidth="1"/>
    <col min="13826" max="13826" width="30.77734375" style="222" customWidth="1"/>
    <col min="13827" max="13827" width="3.6640625" style="222" customWidth="1"/>
    <col min="13828" max="13828" width="2.109375" style="222" customWidth="1"/>
    <col min="13829" max="13829" width="2.6640625" style="222" customWidth="1"/>
    <col min="13830" max="13832" width="5.77734375" style="222" customWidth="1"/>
    <col min="13833" max="13833" width="8.88671875" style="222"/>
    <col min="13834" max="13834" width="3.77734375" style="222" customWidth="1"/>
    <col min="13835" max="14080" width="8.88671875" style="222"/>
    <col min="14081" max="14081" width="5.77734375" style="222" customWidth="1"/>
    <col min="14082" max="14082" width="30.77734375" style="222" customWidth="1"/>
    <col min="14083" max="14083" width="3.6640625" style="222" customWidth="1"/>
    <col min="14084" max="14084" width="2.109375" style="222" customWidth="1"/>
    <col min="14085" max="14085" width="2.6640625" style="222" customWidth="1"/>
    <col min="14086" max="14088" width="5.77734375" style="222" customWidth="1"/>
    <col min="14089" max="14089" width="8.88671875" style="222"/>
    <col min="14090" max="14090" width="3.77734375" style="222" customWidth="1"/>
    <col min="14091" max="14336" width="8.88671875" style="222"/>
    <col min="14337" max="14337" width="5.77734375" style="222" customWidth="1"/>
    <col min="14338" max="14338" width="30.77734375" style="222" customWidth="1"/>
    <col min="14339" max="14339" width="3.6640625" style="222" customWidth="1"/>
    <col min="14340" max="14340" width="2.109375" style="222" customWidth="1"/>
    <col min="14341" max="14341" width="2.6640625" style="222" customWidth="1"/>
    <col min="14342" max="14344" width="5.77734375" style="222" customWidth="1"/>
    <col min="14345" max="14345" width="8.88671875" style="222"/>
    <col min="14346" max="14346" width="3.77734375" style="222" customWidth="1"/>
    <col min="14347" max="14592" width="8.88671875" style="222"/>
    <col min="14593" max="14593" width="5.77734375" style="222" customWidth="1"/>
    <col min="14594" max="14594" width="30.77734375" style="222" customWidth="1"/>
    <col min="14595" max="14595" width="3.6640625" style="222" customWidth="1"/>
    <col min="14596" max="14596" width="2.109375" style="222" customWidth="1"/>
    <col min="14597" max="14597" width="2.6640625" style="222" customWidth="1"/>
    <col min="14598" max="14600" width="5.77734375" style="222" customWidth="1"/>
    <col min="14601" max="14601" width="8.88671875" style="222"/>
    <col min="14602" max="14602" width="3.77734375" style="222" customWidth="1"/>
    <col min="14603" max="14848" width="8.88671875" style="222"/>
    <col min="14849" max="14849" width="5.77734375" style="222" customWidth="1"/>
    <col min="14850" max="14850" width="30.77734375" style="222" customWidth="1"/>
    <col min="14851" max="14851" width="3.6640625" style="222" customWidth="1"/>
    <col min="14852" max="14852" width="2.109375" style="222" customWidth="1"/>
    <col min="14853" max="14853" width="2.6640625" style="222" customWidth="1"/>
    <col min="14854" max="14856" width="5.77734375" style="222" customWidth="1"/>
    <col min="14857" max="14857" width="8.88671875" style="222"/>
    <col min="14858" max="14858" width="3.77734375" style="222" customWidth="1"/>
    <col min="14859" max="15104" width="8.88671875" style="222"/>
    <col min="15105" max="15105" width="5.77734375" style="222" customWidth="1"/>
    <col min="15106" max="15106" width="30.77734375" style="222" customWidth="1"/>
    <col min="15107" max="15107" width="3.6640625" style="222" customWidth="1"/>
    <col min="15108" max="15108" width="2.109375" style="222" customWidth="1"/>
    <col min="15109" max="15109" width="2.6640625" style="222" customWidth="1"/>
    <col min="15110" max="15112" width="5.77734375" style="222" customWidth="1"/>
    <col min="15113" max="15113" width="8.88671875" style="222"/>
    <col min="15114" max="15114" width="3.77734375" style="222" customWidth="1"/>
    <col min="15115" max="15360" width="8.88671875" style="222"/>
    <col min="15361" max="15361" width="5.77734375" style="222" customWidth="1"/>
    <col min="15362" max="15362" width="30.77734375" style="222" customWidth="1"/>
    <col min="15363" max="15363" width="3.6640625" style="222" customWidth="1"/>
    <col min="15364" max="15364" width="2.109375" style="222" customWidth="1"/>
    <col min="15365" max="15365" width="2.6640625" style="222" customWidth="1"/>
    <col min="15366" max="15368" width="5.77734375" style="222" customWidth="1"/>
    <col min="15369" max="15369" width="8.88671875" style="222"/>
    <col min="15370" max="15370" width="3.77734375" style="222" customWidth="1"/>
    <col min="15371" max="15616" width="8.88671875" style="222"/>
    <col min="15617" max="15617" width="5.77734375" style="222" customWidth="1"/>
    <col min="15618" max="15618" width="30.77734375" style="222" customWidth="1"/>
    <col min="15619" max="15619" width="3.6640625" style="222" customWidth="1"/>
    <col min="15620" max="15620" width="2.109375" style="222" customWidth="1"/>
    <col min="15621" max="15621" width="2.6640625" style="222" customWidth="1"/>
    <col min="15622" max="15624" width="5.77734375" style="222" customWidth="1"/>
    <col min="15625" max="15625" width="8.88671875" style="222"/>
    <col min="15626" max="15626" width="3.77734375" style="222" customWidth="1"/>
    <col min="15627" max="15872" width="8.88671875" style="222"/>
    <col min="15873" max="15873" width="5.77734375" style="222" customWidth="1"/>
    <col min="15874" max="15874" width="30.77734375" style="222" customWidth="1"/>
    <col min="15875" max="15875" width="3.6640625" style="222" customWidth="1"/>
    <col min="15876" max="15876" width="2.109375" style="222" customWidth="1"/>
    <col min="15877" max="15877" width="2.6640625" style="222" customWidth="1"/>
    <col min="15878" max="15880" width="5.77734375" style="222" customWidth="1"/>
    <col min="15881" max="15881" width="8.88671875" style="222"/>
    <col min="15882" max="15882" width="3.77734375" style="222" customWidth="1"/>
    <col min="15883" max="16128" width="8.88671875" style="222"/>
    <col min="16129" max="16129" width="5.77734375" style="222" customWidth="1"/>
    <col min="16130" max="16130" width="30.77734375" style="222" customWidth="1"/>
    <col min="16131" max="16131" width="3.6640625" style="222" customWidth="1"/>
    <col min="16132" max="16132" width="2.109375" style="222" customWidth="1"/>
    <col min="16133" max="16133" width="2.6640625" style="222" customWidth="1"/>
    <col min="16134" max="16136" width="5.77734375" style="222" customWidth="1"/>
    <col min="16137" max="16137" width="8.88671875" style="222"/>
    <col min="16138" max="16138" width="3.77734375" style="222" customWidth="1"/>
    <col min="16139" max="16384" width="8.88671875" style="222"/>
  </cols>
  <sheetData>
    <row r="1" spans="1:12" ht="18.75">
      <c r="A1" s="1544" t="str">
        <f>'Septic Tank'!A1:H1</f>
        <v>TAMILNADU POLICE HOUSING CORPORATION LIMITED</v>
      </c>
      <c r="B1" s="1544"/>
      <c r="C1" s="1544"/>
      <c r="D1" s="1544"/>
      <c r="E1" s="1544"/>
      <c r="F1" s="1544"/>
      <c r="G1" s="1544"/>
      <c r="H1" s="1544"/>
      <c r="I1" s="1544"/>
      <c r="J1" s="1544"/>
    </row>
    <row r="2" spans="1:12" ht="18.75">
      <c r="A2" s="1544" t="str">
        <f>'Septic Tank'!A2:H2</f>
        <v>TRICHY DIVISION, TRICHY</v>
      </c>
      <c r="B2" s="1544"/>
      <c r="C2" s="1544"/>
      <c r="D2" s="1544"/>
      <c r="E2" s="1544"/>
      <c r="F2" s="1544"/>
      <c r="G2" s="1544"/>
      <c r="H2" s="1544"/>
      <c r="I2" s="1544"/>
      <c r="J2" s="1544"/>
    </row>
    <row r="3" spans="1:12" ht="10.15" customHeight="1">
      <c r="A3" s="231"/>
      <c r="B3" s="231"/>
      <c r="C3" s="231"/>
      <c r="D3" s="231"/>
      <c r="E3" s="231"/>
      <c r="F3" s="231"/>
      <c r="G3" s="231"/>
      <c r="H3" s="231"/>
      <c r="I3" s="231"/>
      <c r="J3" s="231"/>
    </row>
    <row r="4" spans="1:12" ht="18.75">
      <c r="A4" s="1544" t="s">
        <v>185</v>
      </c>
      <c r="B4" s="1544"/>
      <c r="C4" s="1544"/>
      <c r="D4" s="1544"/>
      <c r="E4" s="1544"/>
      <c r="F4" s="1544"/>
      <c r="G4" s="1544"/>
      <c r="H4" s="1544"/>
      <c r="I4" s="1544"/>
      <c r="J4" s="1544"/>
    </row>
    <row r="5" spans="1:12" ht="10.15" customHeight="1">
      <c r="A5" s="230"/>
      <c r="B5" s="230"/>
      <c r="C5" s="230"/>
      <c r="D5" s="230"/>
      <c r="E5" s="230"/>
      <c r="F5" s="230"/>
      <c r="G5" s="230"/>
      <c r="H5" s="230"/>
      <c r="I5" s="230"/>
      <c r="J5" s="230"/>
    </row>
    <row r="6" spans="1:12" ht="39" customHeight="1">
      <c r="A6" s="1547" t="str">
        <f>'Septic Tank'!A5:H5</f>
        <v>CONSTRUCTION OF NEW POLICE STATION BUILDING WITH DEVELOPMENT WORK IN  REGUNATHAPURAM IN PUDUKKOTTAI DISRICT.</v>
      </c>
      <c r="B6" s="1547"/>
      <c r="C6" s="1547"/>
      <c r="D6" s="1547"/>
      <c r="E6" s="1547"/>
      <c r="F6" s="1547"/>
      <c r="G6" s="1547"/>
      <c r="H6" s="1547"/>
      <c r="I6" s="1547"/>
      <c r="J6" s="1547"/>
    </row>
    <row r="7" spans="1:12" s="225" customFormat="1" ht="33" customHeight="1">
      <c r="A7" s="843" t="s">
        <v>211</v>
      </c>
      <c r="B7" s="844" t="s">
        <v>504</v>
      </c>
      <c r="C7" s="1545" t="s">
        <v>213</v>
      </c>
      <c r="D7" s="1545"/>
      <c r="E7" s="1545"/>
      <c r="F7" s="844" t="s">
        <v>5</v>
      </c>
      <c r="G7" s="844" t="s">
        <v>6</v>
      </c>
      <c r="H7" s="844" t="s">
        <v>7</v>
      </c>
      <c r="I7" s="844" t="s">
        <v>8</v>
      </c>
      <c r="J7" s="844" t="s">
        <v>215</v>
      </c>
    </row>
    <row r="8" spans="1:12" ht="25.15" customHeight="1">
      <c r="A8" s="845">
        <v>8.1</v>
      </c>
      <c r="B8" s="1546" t="s">
        <v>547</v>
      </c>
      <c r="C8" s="1546"/>
      <c r="D8" s="1546"/>
      <c r="E8" s="1546"/>
      <c r="F8" s="1546"/>
      <c r="G8" s="1546"/>
      <c r="H8" s="1546"/>
      <c r="I8" s="846"/>
      <c r="J8" s="846"/>
    </row>
    <row r="9" spans="1:12" ht="19.899999999999999" customHeight="1">
      <c r="A9" s="847"/>
      <c r="B9" s="848" t="s">
        <v>548</v>
      </c>
      <c r="C9" s="849"/>
      <c r="D9" s="850"/>
      <c r="E9" s="851"/>
      <c r="F9" s="846"/>
      <c r="G9" s="852"/>
      <c r="H9" s="846"/>
      <c r="I9" s="846"/>
      <c r="J9" s="846"/>
    </row>
    <row r="10" spans="1:12" ht="19.899999999999999" customHeight="1">
      <c r="A10" s="847"/>
      <c r="B10" s="846" t="s">
        <v>555</v>
      </c>
      <c r="C10" s="849">
        <v>1</v>
      </c>
      <c r="D10" s="850" t="s">
        <v>56</v>
      </c>
      <c r="E10" s="851">
        <v>2</v>
      </c>
      <c r="F10" s="846">
        <v>5.26</v>
      </c>
      <c r="G10" s="846">
        <v>1.66</v>
      </c>
      <c r="H10" s="846">
        <v>0.15</v>
      </c>
      <c r="I10" s="846">
        <f t="shared" ref="I10:I14" si="0">PRODUCT(C10:H10)</f>
        <v>2.6194799999999994</v>
      </c>
      <c r="J10" s="846"/>
    </row>
    <row r="11" spans="1:12" ht="19.899999999999999" customHeight="1">
      <c r="A11" s="847"/>
      <c r="B11" s="848" t="s">
        <v>556</v>
      </c>
      <c r="C11" s="849">
        <v>1</v>
      </c>
      <c r="D11" s="850" t="s">
        <v>56</v>
      </c>
      <c r="E11" s="851">
        <v>2</v>
      </c>
      <c r="F11" s="846">
        <f>F10</f>
        <v>5.26</v>
      </c>
      <c r="G11" s="846">
        <v>0.23</v>
      </c>
      <c r="H11" s="846">
        <v>0.22</v>
      </c>
      <c r="I11" s="846">
        <f t="shared" si="0"/>
        <v>0.53231200000000001</v>
      </c>
      <c r="J11" s="846"/>
    </row>
    <row r="12" spans="1:12" ht="19.899999999999999" customHeight="1">
      <c r="A12" s="847"/>
      <c r="B12" s="846" t="s">
        <v>186</v>
      </c>
      <c r="C12" s="849">
        <v>1</v>
      </c>
      <c r="D12" s="850" t="s">
        <v>56</v>
      </c>
      <c r="E12" s="851">
        <v>1</v>
      </c>
      <c r="F12" s="846">
        <v>5.26</v>
      </c>
      <c r="G12" s="846">
        <f>G10</f>
        <v>1.66</v>
      </c>
      <c r="H12" s="846">
        <v>0.12</v>
      </c>
      <c r="I12" s="846">
        <f t="shared" si="0"/>
        <v>1.0477919999999998</v>
      </c>
      <c r="J12" s="846"/>
    </row>
    <row r="13" spans="1:12" ht="19.899999999999999" customHeight="1">
      <c r="A13" s="847"/>
      <c r="B13" s="846" t="s">
        <v>557</v>
      </c>
      <c r="C13" s="849">
        <v>1</v>
      </c>
      <c r="D13" s="850" t="s">
        <v>56</v>
      </c>
      <c r="E13" s="851">
        <v>-2</v>
      </c>
      <c r="F13" s="846">
        <v>0.6</v>
      </c>
      <c r="G13" s="846">
        <v>0.6</v>
      </c>
      <c r="H13" s="846">
        <v>0.1</v>
      </c>
      <c r="I13" s="846">
        <f t="shared" si="0"/>
        <v>-7.1999999999999995E-2</v>
      </c>
      <c r="J13" s="846"/>
      <c r="L13" s="222">
        <f>1.2*1.295*1</f>
        <v>1.5539999999999998</v>
      </c>
    </row>
    <row r="14" spans="1:12" ht="19.899999999999999" customHeight="1">
      <c r="A14" s="847"/>
      <c r="B14" s="848" t="s">
        <v>558</v>
      </c>
      <c r="C14" s="849">
        <v>1</v>
      </c>
      <c r="D14" s="850" t="s">
        <v>56</v>
      </c>
      <c r="E14" s="851">
        <v>1</v>
      </c>
      <c r="F14" s="846">
        <v>12</v>
      </c>
      <c r="G14" s="852">
        <v>0.115</v>
      </c>
      <c r="H14" s="846">
        <v>1</v>
      </c>
      <c r="I14" s="846">
        <f t="shared" si="0"/>
        <v>1.3800000000000001</v>
      </c>
      <c r="J14" s="846"/>
    </row>
    <row r="15" spans="1:12" ht="19.899999999999999" customHeight="1">
      <c r="A15" s="847"/>
      <c r="B15" s="848"/>
      <c r="C15" s="849"/>
      <c r="D15" s="850"/>
      <c r="E15" s="851"/>
      <c r="F15" s="846"/>
      <c r="G15" s="852"/>
      <c r="H15" s="846"/>
      <c r="I15" s="846">
        <v>0.09</v>
      </c>
      <c r="J15" s="846"/>
    </row>
    <row r="16" spans="1:12" ht="19.899999999999999" customHeight="1">
      <c r="A16" s="847"/>
      <c r="B16" s="848"/>
      <c r="C16" s="849"/>
      <c r="D16" s="850"/>
      <c r="E16" s="851"/>
      <c r="F16" s="846"/>
      <c r="G16" s="852"/>
      <c r="H16" s="853" t="s">
        <v>15</v>
      </c>
      <c r="I16" s="854">
        <f>SUM(I10:I15)</f>
        <v>5.5975839999999994</v>
      </c>
      <c r="J16" s="854" t="s">
        <v>16</v>
      </c>
    </row>
    <row r="17" spans="1:12" ht="19.899999999999999" customHeight="1">
      <c r="A17" s="845">
        <v>18.100000000000001</v>
      </c>
      <c r="B17" s="846" t="s">
        <v>549</v>
      </c>
      <c r="C17" s="849"/>
      <c r="D17" s="850"/>
      <c r="E17" s="851"/>
      <c r="F17" s="846"/>
      <c r="G17" s="846"/>
      <c r="H17" s="844"/>
      <c r="I17" s="854"/>
      <c r="J17" s="854"/>
    </row>
    <row r="18" spans="1:12" ht="34.9" customHeight="1">
      <c r="A18" s="847"/>
      <c r="B18" s="1546" t="s">
        <v>550</v>
      </c>
      <c r="C18" s="1546"/>
      <c r="D18" s="1546"/>
      <c r="E18" s="1546"/>
      <c r="F18" s="1546"/>
      <c r="G18" s="1546"/>
      <c r="H18" s="1546"/>
      <c r="I18" s="846"/>
      <c r="J18" s="846"/>
    </row>
    <row r="19" spans="1:12" ht="19.899999999999999" customHeight="1">
      <c r="A19" s="847"/>
      <c r="B19" s="854" t="s">
        <v>559</v>
      </c>
      <c r="C19" s="849"/>
      <c r="D19" s="850"/>
      <c r="E19" s="851"/>
      <c r="F19" s="846"/>
      <c r="G19" s="846"/>
      <c r="H19" s="846"/>
      <c r="I19" s="846"/>
      <c r="J19" s="846"/>
    </row>
    <row r="20" spans="1:12" ht="19.899999999999999" customHeight="1">
      <c r="A20" s="847"/>
      <c r="B20" s="846" t="s">
        <v>187</v>
      </c>
      <c r="C20" s="849">
        <v>1</v>
      </c>
      <c r="D20" s="850" t="s">
        <v>56</v>
      </c>
      <c r="E20" s="851">
        <v>2</v>
      </c>
      <c r="F20" s="846">
        <f>F10</f>
        <v>5.26</v>
      </c>
      <c r="G20" s="846">
        <v>1.2</v>
      </c>
      <c r="H20" s="850" t="s">
        <v>36</v>
      </c>
      <c r="I20" s="846">
        <f t="shared" ref="I20:I25" si="1">PRODUCT(C20:H20)</f>
        <v>12.623999999999999</v>
      </c>
      <c r="J20" s="846"/>
    </row>
    <row r="21" spans="1:12" ht="19.899999999999999" customHeight="1">
      <c r="A21" s="847"/>
      <c r="B21" s="848" t="s">
        <v>560</v>
      </c>
      <c r="C21" s="849">
        <v>1</v>
      </c>
      <c r="D21" s="850" t="s">
        <v>56</v>
      </c>
      <c r="E21" s="851">
        <v>2</v>
      </c>
      <c r="F21" s="846">
        <v>4.8</v>
      </c>
      <c r="G21" s="846">
        <v>0.23</v>
      </c>
      <c r="H21" s="850" t="s">
        <v>36</v>
      </c>
      <c r="I21" s="846">
        <f t="shared" si="1"/>
        <v>2.2080000000000002</v>
      </c>
      <c r="J21" s="846"/>
    </row>
    <row r="22" spans="1:12" ht="19.899999999999999" customHeight="1">
      <c r="A22" s="847"/>
      <c r="B22" s="848" t="s">
        <v>561</v>
      </c>
      <c r="C22" s="849">
        <v>1</v>
      </c>
      <c r="D22" s="850" t="s">
        <v>56</v>
      </c>
      <c r="E22" s="851">
        <v>2</v>
      </c>
      <c r="F22" s="852">
        <v>4.8</v>
      </c>
      <c r="G22" s="850" t="s">
        <v>36</v>
      </c>
      <c r="H22" s="846">
        <v>0.15</v>
      </c>
      <c r="I22" s="846">
        <f t="shared" si="1"/>
        <v>1.44</v>
      </c>
      <c r="J22" s="846"/>
    </row>
    <row r="23" spans="1:12" ht="19.899999999999999" customHeight="1">
      <c r="A23" s="847"/>
      <c r="B23" s="848" t="s">
        <v>562</v>
      </c>
      <c r="C23" s="849">
        <v>1</v>
      </c>
      <c r="D23" s="850" t="s">
        <v>56</v>
      </c>
      <c r="E23" s="851">
        <v>2</v>
      </c>
      <c r="F23" s="846">
        <f>F20</f>
        <v>5.26</v>
      </c>
      <c r="G23" s="850" t="s">
        <v>36</v>
      </c>
      <c r="H23" s="846">
        <v>0.15</v>
      </c>
      <c r="I23" s="846">
        <f t="shared" si="1"/>
        <v>1.5779999999999998</v>
      </c>
      <c r="J23" s="846"/>
    </row>
    <row r="24" spans="1:12" ht="19.899999999999999" customHeight="1">
      <c r="A24" s="847"/>
      <c r="B24" s="846" t="s">
        <v>563</v>
      </c>
      <c r="C24" s="849">
        <v>1</v>
      </c>
      <c r="D24" s="850" t="s">
        <v>56</v>
      </c>
      <c r="E24" s="851">
        <v>2</v>
      </c>
      <c r="F24" s="846">
        <v>12.92</v>
      </c>
      <c r="G24" s="850" t="s">
        <v>36</v>
      </c>
      <c r="H24" s="847">
        <v>0.15</v>
      </c>
      <c r="I24" s="846">
        <f t="shared" si="1"/>
        <v>3.8759999999999999</v>
      </c>
      <c r="J24" s="846"/>
    </row>
    <row r="25" spans="1:12" ht="19.899999999999999" customHeight="1">
      <c r="A25" s="847"/>
      <c r="B25" s="846" t="s">
        <v>557</v>
      </c>
      <c r="C25" s="849">
        <v>1</v>
      </c>
      <c r="D25" s="850" t="s">
        <v>56</v>
      </c>
      <c r="E25" s="851">
        <v>-2</v>
      </c>
      <c r="F25" s="846">
        <v>2.4</v>
      </c>
      <c r="G25" s="850" t="s">
        <v>36</v>
      </c>
      <c r="H25" s="846">
        <v>0.12</v>
      </c>
      <c r="I25" s="846">
        <f t="shared" si="1"/>
        <v>-0.57599999999999996</v>
      </c>
      <c r="J25" s="846"/>
      <c r="L25" s="222">
        <f>1.2*1.295*1</f>
        <v>1.5539999999999998</v>
      </c>
    </row>
    <row r="26" spans="1:12" ht="19.899999999999999" customHeight="1">
      <c r="A26" s="847"/>
      <c r="B26" s="846"/>
      <c r="C26" s="849"/>
      <c r="D26" s="850"/>
      <c r="E26" s="851"/>
      <c r="F26" s="846"/>
      <c r="G26" s="846"/>
      <c r="H26" s="846"/>
      <c r="I26" s="846">
        <v>0.05</v>
      </c>
      <c r="J26" s="846"/>
    </row>
    <row r="27" spans="1:12" ht="19.899999999999999" customHeight="1">
      <c r="A27" s="847"/>
      <c r="B27" s="846"/>
      <c r="C27" s="849"/>
      <c r="D27" s="850"/>
      <c r="E27" s="851"/>
      <c r="F27" s="846"/>
      <c r="G27" s="846"/>
      <c r="H27" s="853" t="s">
        <v>15</v>
      </c>
      <c r="I27" s="854">
        <f>SUM(I20:I26)</f>
        <v>21.2</v>
      </c>
      <c r="J27" s="854" t="s">
        <v>37</v>
      </c>
    </row>
    <row r="28" spans="1:12" ht="19.899999999999999" customHeight="1">
      <c r="A28" s="847"/>
      <c r="B28" s="846" t="s">
        <v>188</v>
      </c>
      <c r="C28" s="849"/>
      <c r="D28" s="850"/>
      <c r="E28" s="851"/>
      <c r="F28" s="846"/>
      <c r="G28" s="846"/>
      <c r="H28" s="844"/>
      <c r="I28" s="854"/>
      <c r="J28" s="854"/>
    </row>
    <row r="29" spans="1:12" ht="19.899999999999999" customHeight="1">
      <c r="A29" s="847"/>
      <c r="B29" s="846" t="s">
        <v>564</v>
      </c>
      <c r="C29" s="849">
        <v>1</v>
      </c>
      <c r="D29" s="850" t="s">
        <v>56</v>
      </c>
      <c r="E29" s="851">
        <v>1</v>
      </c>
      <c r="F29" s="846">
        <v>12</v>
      </c>
      <c r="G29" s="850" t="s">
        <v>36</v>
      </c>
      <c r="H29" s="850">
        <v>1</v>
      </c>
      <c r="I29" s="846">
        <f t="shared" ref="I29" si="2">PRODUCT(C29:H29)</f>
        <v>12</v>
      </c>
      <c r="J29" s="854"/>
    </row>
    <row r="30" spans="1:12" ht="19.899999999999999" customHeight="1">
      <c r="A30" s="847"/>
      <c r="B30" s="846"/>
      <c r="C30" s="849"/>
      <c r="D30" s="850"/>
      <c r="E30" s="851"/>
      <c r="F30" s="846"/>
      <c r="G30" s="846"/>
      <c r="H30" s="853" t="s">
        <v>15</v>
      </c>
      <c r="I30" s="854">
        <f>SUM(I29:I29)</f>
        <v>12</v>
      </c>
      <c r="J30" s="854" t="s">
        <v>37</v>
      </c>
    </row>
    <row r="31" spans="1:12" ht="34.9" customHeight="1">
      <c r="A31" s="845">
        <v>9.5</v>
      </c>
      <c r="B31" s="1546" t="s">
        <v>198</v>
      </c>
      <c r="C31" s="1546"/>
      <c r="D31" s="1546"/>
      <c r="E31" s="1546"/>
      <c r="F31" s="1546"/>
      <c r="G31" s="1546"/>
      <c r="H31" s="1546"/>
      <c r="I31" s="846"/>
      <c r="J31" s="846"/>
    </row>
    <row r="32" spans="1:12" ht="19.899999999999999" customHeight="1">
      <c r="A32" s="847"/>
      <c r="B32" s="855" t="s">
        <v>551</v>
      </c>
      <c r="C32" s="849"/>
      <c r="D32" s="850"/>
      <c r="E32" s="851"/>
      <c r="F32" s="846"/>
      <c r="G32" s="846"/>
      <c r="H32" s="846"/>
      <c r="I32" s="846"/>
      <c r="J32" s="846"/>
    </row>
    <row r="33" spans="1:10" ht="19.899999999999999" customHeight="1">
      <c r="A33" s="847"/>
      <c r="B33" s="846" t="str">
        <f>B47</f>
        <v>For Fire Station</v>
      </c>
      <c r="C33" s="849"/>
      <c r="D33" s="850"/>
      <c r="E33" s="851"/>
      <c r="F33" s="846"/>
      <c r="G33" s="846"/>
      <c r="H33" s="846"/>
      <c r="I33" s="846"/>
      <c r="J33" s="846"/>
    </row>
    <row r="34" spans="1:10" ht="19.899999999999999" customHeight="1">
      <c r="A34" s="847"/>
      <c r="B34" s="846" t="s">
        <v>552</v>
      </c>
      <c r="C34" s="849">
        <v>1</v>
      </c>
      <c r="D34" s="850" t="s">
        <v>56</v>
      </c>
      <c r="E34" s="851">
        <v>2</v>
      </c>
      <c r="F34" s="846">
        <v>1.2</v>
      </c>
      <c r="G34" s="846">
        <v>0.23</v>
      </c>
      <c r="H34" s="846">
        <v>0.75</v>
      </c>
      <c r="I34" s="846">
        <f t="shared" ref="I34" si="3">PRODUCT(C34:H34)</f>
        <v>0.41400000000000003</v>
      </c>
      <c r="J34" s="846"/>
    </row>
    <row r="35" spans="1:10" ht="19.899999999999999" customHeight="1">
      <c r="A35" s="847"/>
      <c r="B35" s="846"/>
      <c r="C35" s="849"/>
      <c r="D35" s="850"/>
      <c r="E35" s="851"/>
      <c r="F35" s="846"/>
      <c r="G35" s="846"/>
      <c r="H35" s="846"/>
      <c r="I35" s="846">
        <v>0.09</v>
      </c>
      <c r="J35" s="846"/>
    </row>
    <row r="36" spans="1:10" ht="19.899999999999999" customHeight="1">
      <c r="A36" s="847"/>
      <c r="B36" s="846"/>
      <c r="C36" s="849"/>
      <c r="D36" s="850"/>
      <c r="E36" s="851"/>
      <c r="F36" s="846"/>
      <c r="G36" s="846"/>
      <c r="H36" s="853" t="s">
        <v>15</v>
      </c>
      <c r="I36" s="854">
        <f>SUM(I34:I35)</f>
        <v>0.504</v>
      </c>
      <c r="J36" s="854" t="s">
        <v>16</v>
      </c>
    </row>
    <row r="37" spans="1:10" ht="34.9" customHeight="1">
      <c r="A37" s="845">
        <v>10.5</v>
      </c>
      <c r="B37" s="1546" t="s">
        <v>70</v>
      </c>
      <c r="C37" s="1546"/>
      <c r="D37" s="1546"/>
      <c r="E37" s="1546"/>
      <c r="F37" s="1546"/>
      <c r="G37" s="1546"/>
      <c r="H37" s="1546"/>
      <c r="I37" s="846"/>
      <c r="J37" s="846"/>
    </row>
    <row r="38" spans="1:10" ht="19.899999999999999" customHeight="1">
      <c r="A38" s="847"/>
      <c r="B38" s="848" t="s">
        <v>553</v>
      </c>
      <c r="C38" s="849"/>
      <c r="D38" s="850"/>
      <c r="E38" s="851"/>
      <c r="F38" s="846"/>
      <c r="G38" s="846"/>
      <c r="H38" s="846"/>
      <c r="I38" s="846"/>
      <c r="J38" s="846"/>
    </row>
    <row r="39" spans="1:10" ht="19.899999999999999" customHeight="1">
      <c r="A39" s="847"/>
      <c r="B39" s="855" t="str">
        <f>B20</f>
        <v>For Base slab and cover slab Bottom</v>
      </c>
      <c r="C39" s="849"/>
      <c r="D39" s="850"/>
      <c r="E39" s="851"/>
      <c r="F39" s="846"/>
      <c r="G39" s="846"/>
      <c r="H39" s="846"/>
      <c r="I39" s="846"/>
      <c r="J39" s="846"/>
    </row>
    <row r="40" spans="1:10" ht="19.899999999999999" customHeight="1">
      <c r="A40" s="847"/>
      <c r="B40" s="846" t="s">
        <v>568</v>
      </c>
      <c r="C40" s="849">
        <v>1</v>
      </c>
      <c r="D40" s="850" t="s">
        <v>56</v>
      </c>
      <c r="E40" s="851">
        <v>2</v>
      </c>
      <c r="F40" s="846">
        <v>1</v>
      </c>
      <c r="G40" s="850" t="s">
        <v>372</v>
      </c>
      <c r="H40" s="846">
        <v>1</v>
      </c>
      <c r="I40" s="846">
        <f t="shared" ref="I40:I44" si="4">PRODUCT(C40:H40)</f>
        <v>2</v>
      </c>
      <c r="J40" s="846"/>
    </row>
    <row r="41" spans="1:10" ht="19.899999999999999" customHeight="1">
      <c r="A41" s="847"/>
      <c r="B41" s="846"/>
      <c r="C41" s="849"/>
      <c r="D41" s="850"/>
      <c r="E41" s="851"/>
      <c r="F41" s="846"/>
      <c r="G41" s="846"/>
      <c r="H41" s="853" t="s">
        <v>57</v>
      </c>
      <c r="I41" s="854">
        <f>SUM(I40)</f>
        <v>2</v>
      </c>
      <c r="J41" s="854" t="s">
        <v>37</v>
      </c>
    </row>
    <row r="42" spans="1:10" ht="19.899999999999999" customHeight="1">
      <c r="A42" s="847"/>
      <c r="B42" s="854" t="str">
        <f>B39</f>
        <v>For Base slab and cover slab Bottom</v>
      </c>
      <c r="C42" s="849"/>
      <c r="D42" s="850"/>
      <c r="E42" s="851"/>
      <c r="F42" s="846"/>
      <c r="G42" s="846"/>
      <c r="H42" s="846"/>
      <c r="I42" s="846"/>
      <c r="J42" s="846"/>
    </row>
    <row r="43" spans="1:10" ht="19.899999999999999" customHeight="1">
      <c r="A43" s="847"/>
      <c r="B43" s="846" t="s">
        <v>554</v>
      </c>
      <c r="C43" s="849"/>
      <c r="D43" s="850"/>
      <c r="E43" s="851"/>
      <c r="F43" s="846"/>
      <c r="G43" s="846"/>
      <c r="H43" s="846"/>
      <c r="I43" s="846"/>
      <c r="J43" s="846"/>
    </row>
    <row r="44" spans="1:10" ht="19.899999999999999" customHeight="1">
      <c r="A44" s="847"/>
      <c r="B44" s="846" t="s">
        <v>567</v>
      </c>
      <c r="C44" s="849">
        <v>1</v>
      </c>
      <c r="D44" s="850" t="s">
        <v>56</v>
      </c>
      <c r="E44" s="851">
        <v>2</v>
      </c>
      <c r="F44" s="846">
        <v>12</v>
      </c>
      <c r="G44" s="850" t="s">
        <v>372</v>
      </c>
      <c r="H44" s="846">
        <v>1</v>
      </c>
      <c r="I44" s="846">
        <f t="shared" si="4"/>
        <v>24</v>
      </c>
      <c r="J44" s="846"/>
    </row>
    <row r="45" spans="1:10" ht="19.899999999999999" customHeight="1">
      <c r="A45" s="847"/>
      <c r="B45" s="846"/>
      <c r="C45" s="849"/>
      <c r="D45" s="850"/>
      <c r="E45" s="851"/>
      <c r="F45" s="846"/>
      <c r="G45" s="846"/>
      <c r="H45" s="853" t="s">
        <v>57</v>
      </c>
      <c r="I45" s="854">
        <f>SUM(I44)</f>
        <v>24</v>
      </c>
      <c r="J45" s="854" t="s">
        <v>37</v>
      </c>
    </row>
    <row r="46" spans="1:10" ht="25.15" customHeight="1">
      <c r="A46" s="845">
        <v>35.1</v>
      </c>
      <c r="B46" s="1546" t="s">
        <v>189</v>
      </c>
      <c r="C46" s="1546"/>
      <c r="D46" s="1546"/>
      <c r="E46" s="1546"/>
      <c r="F46" s="1546"/>
      <c r="G46" s="1546"/>
      <c r="H46" s="1546"/>
      <c r="I46" s="846"/>
      <c r="J46" s="846"/>
    </row>
    <row r="47" spans="1:10" ht="19.899999999999999" customHeight="1">
      <c r="A47" s="847"/>
      <c r="B47" s="854" t="s">
        <v>559</v>
      </c>
      <c r="C47" s="849"/>
      <c r="D47" s="850"/>
      <c r="E47" s="851"/>
      <c r="F47" s="846"/>
      <c r="G47" s="846"/>
      <c r="H47" s="846"/>
      <c r="I47" s="846"/>
      <c r="J47" s="846"/>
    </row>
    <row r="48" spans="1:10" ht="19.899999999999999" customHeight="1">
      <c r="A48" s="847"/>
      <c r="B48" s="846" t="s">
        <v>566</v>
      </c>
      <c r="C48" s="849">
        <v>1</v>
      </c>
      <c r="D48" s="850" t="s">
        <v>56</v>
      </c>
      <c r="E48" s="851">
        <v>2</v>
      </c>
      <c r="F48" s="846">
        <v>12</v>
      </c>
      <c r="G48" s="850" t="s">
        <v>36</v>
      </c>
      <c r="H48" s="850">
        <v>1</v>
      </c>
      <c r="I48" s="846">
        <f t="shared" ref="I48" si="5">PRODUCT(C48:H48)</f>
        <v>24</v>
      </c>
      <c r="J48" s="846"/>
    </row>
    <row r="49" spans="1:10" ht="19.899999999999999" customHeight="1">
      <c r="A49" s="847"/>
      <c r="B49" s="846" t="s">
        <v>190</v>
      </c>
      <c r="C49" s="849">
        <v>1</v>
      </c>
      <c r="D49" s="850" t="s">
        <v>56</v>
      </c>
      <c r="E49" s="851">
        <v>2</v>
      </c>
      <c r="F49" s="852">
        <f>F10</f>
        <v>5.26</v>
      </c>
      <c r="G49" s="846">
        <v>1.66</v>
      </c>
      <c r="H49" s="850" t="s">
        <v>36</v>
      </c>
      <c r="I49" s="846">
        <f>C49*E49*F49*G49</f>
        <v>17.463199999999997</v>
      </c>
      <c r="J49" s="846"/>
    </row>
    <row r="50" spans="1:10" ht="19.899999999999999" customHeight="1">
      <c r="A50" s="847"/>
      <c r="B50" s="846"/>
      <c r="C50" s="849"/>
      <c r="D50" s="850"/>
      <c r="E50" s="851"/>
      <c r="F50" s="852"/>
      <c r="G50" s="846"/>
      <c r="H50" s="850"/>
      <c r="I50" s="846">
        <v>0.04</v>
      </c>
      <c r="J50" s="846"/>
    </row>
    <row r="51" spans="1:10" ht="19.899999999999999" customHeight="1">
      <c r="A51" s="847"/>
      <c r="B51" s="846"/>
      <c r="C51" s="849"/>
      <c r="D51" s="850"/>
      <c r="E51" s="851"/>
      <c r="F51" s="846"/>
      <c r="G51" s="846"/>
      <c r="H51" s="853" t="s">
        <v>57</v>
      </c>
      <c r="I51" s="854">
        <f>SUM(I48:I50)</f>
        <v>41.5032</v>
      </c>
      <c r="J51" s="854" t="s">
        <v>37</v>
      </c>
    </row>
    <row r="52" spans="1:10" ht="34.9" customHeight="1">
      <c r="A52" s="845">
        <v>33</v>
      </c>
      <c r="B52" s="1546" t="s">
        <v>569</v>
      </c>
      <c r="C52" s="1546"/>
      <c r="D52" s="1546"/>
      <c r="E52" s="1546"/>
      <c r="F52" s="1546"/>
      <c r="G52" s="1546"/>
      <c r="H52" s="1546"/>
      <c r="I52" s="846"/>
      <c r="J52" s="846"/>
    </row>
    <row r="53" spans="1:10" ht="19.899999999999999" customHeight="1">
      <c r="A53" s="847"/>
      <c r="B53" s="854" t="s">
        <v>193</v>
      </c>
      <c r="C53" s="849"/>
      <c r="D53" s="850"/>
      <c r="E53" s="851"/>
      <c r="F53" s="846"/>
      <c r="G53" s="846"/>
      <c r="H53" s="846"/>
      <c r="I53" s="846"/>
      <c r="J53" s="846"/>
    </row>
    <row r="54" spans="1:10" ht="19.899999999999999" customHeight="1">
      <c r="A54" s="847"/>
      <c r="B54" s="846" t="s">
        <v>565</v>
      </c>
      <c r="C54" s="849">
        <v>1</v>
      </c>
      <c r="D54" s="850" t="s">
        <v>56</v>
      </c>
      <c r="E54" s="851">
        <v>2</v>
      </c>
      <c r="F54" s="846">
        <v>12.92</v>
      </c>
      <c r="G54" s="850" t="s">
        <v>36</v>
      </c>
      <c r="H54" s="850">
        <v>1</v>
      </c>
      <c r="I54" s="846">
        <f t="shared" ref="I54" si="6">PRODUCT(C54:H54)</f>
        <v>25.84</v>
      </c>
      <c r="J54" s="846"/>
    </row>
    <row r="55" spans="1:10" ht="19.899999999999999" customHeight="1">
      <c r="A55" s="847"/>
      <c r="B55" s="856"/>
      <c r="C55" s="849"/>
      <c r="D55" s="850"/>
      <c r="E55" s="851"/>
      <c r="F55" s="846"/>
      <c r="G55" s="850"/>
      <c r="H55" s="846"/>
      <c r="I55" s="846">
        <v>0.06</v>
      </c>
      <c r="J55" s="846"/>
    </row>
    <row r="56" spans="1:10" ht="19.899999999999999" customHeight="1">
      <c r="A56" s="847"/>
      <c r="B56" s="846"/>
      <c r="C56" s="849"/>
      <c r="D56" s="850"/>
      <c r="E56" s="851"/>
      <c r="F56" s="846"/>
      <c r="G56" s="846"/>
      <c r="H56" s="853" t="s">
        <v>57</v>
      </c>
      <c r="I56" s="854">
        <f>SUM(I54:I55)</f>
        <v>25.9</v>
      </c>
      <c r="J56" s="854" t="s">
        <v>37</v>
      </c>
    </row>
    <row r="57" spans="1:10" ht="19.899999999999999" customHeight="1">
      <c r="A57" s="845">
        <v>53.4</v>
      </c>
      <c r="B57" s="1546" t="s">
        <v>191</v>
      </c>
      <c r="C57" s="1546"/>
      <c r="D57" s="1546"/>
      <c r="E57" s="1546"/>
      <c r="F57" s="1546"/>
      <c r="G57" s="1546"/>
      <c r="H57" s="1546"/>
      <c r="I57" s="846"/>
      <c r="J57" s="846"/>
    </row>
    <row r="58" spans="1:10" ht="19.899999999999999" customHeight="1">
      <c r="A58" s="847"/>
      <c r="B58" s="846" t="s">
        <v>559</v>
      </c>
      <c r="C58" s="849">
        <v>1</v>
      </c>
      <c r="D58" s="850" t="s">
        <v>56</v>
      </c>
      <c r="E58" s="851">
        <v>2</v>
      </c>
      <c r="F58" s="850" t="s">
        <v>36</v>
      </c>
      <c r="G58" s="850" t="s">
        <v>36</v>
      </c>
      <c r="H58" s="850" t="s">
        <v>36</v>
      </c>
      <c r="I58" s="846">
        <f t="shared" ref="I58" si="7">PRODUCT(C58:H58)</f>
        <v>2</v>
      </c>
      <c r="J58" s="846"/>
    </row>
    <row r="59" spans="1:10" ht="19.899999999999999" customHeight="1">
      <c r="A59" s="847"/>
      <c r="B59" s="846"/>
      <c r="C59" s="849"/>
      <c r="D59" s="850"/>
      <c r="E59" s="851"/>
      <c r="F59" s="846"/>
      <c r="G59" s="846"/>
      <c r="H59" s="853" t="s">
        <v>57</v>
      </c>
      <c r="I59" s="854">
        <f>SUM(I58:I58)</f>
        <v>2</v>
      </c>
      <c r="J59" s="854" t="s">
        <v>4</v>
      </c>
    </row>
    <row r="60" spans="1:10" ht="34.9" customHeight="1">
      <c r="A60" s="845">
        <v>38.6</v>
      </c>
      <c r="B60" s="1546" t="s">
        <v>192</v>
      </c>
      <c r="C60" s="1546"/>
      <c r="D60" s="1546"/>
      <c r="E60" s="1546"/>
      <c r="F60" s="1546"/>
      <c r="G60" s="1546"/>
      <c r="H60" s="1546"/>
      <c r="I60" s="846"/>
      <c r="J60" s="846"/>
    </row>
    <row r="61" spans="1:10" ht="19.899999999999999" customHeight="1">
      <c r="A61" s="845"/>
      <c r="B61" s="846" t="s">
        <v>570</v>
      </c>
      <c r="C61" s="849"/>
      <c r="D61" s="850"/>
      <c r="E61" s="851"/>
      <c r="F61" s="846"/>
      <c r="G61" s="846"/>
      <c r="H61" s="846"/>
      <c r="I61" s="846">
        <f>I51</f>
        <v>41.5032</v>
      </c>
      <c r="J61" s="846"/>
    </row>
    <row r="62" spans="1:10" ht="19.899999999999999" customHeight="1">
      <c r="A62" s="845"/>
      <c r="B62" s="846"/>
      <c r="C62" s="849"/>
      <c r="D62" s="850"/>
      <c r="E62" s="851"/>
      <c r="F62" s="846"/>
      <c r="G62" s="846"/>
      <c r="H62" s="844" t="s">
        <v>57</v>
      </c>
      <c r="I62" s="854">
        <f>SUM(I61:I61)</f>
        <v>41.5032</v>
      </c>
      <c r="J62" s="854" t="s">
        <v>37</v>
      </c>
    </row>
    <row r="63" spans="1:10" ht="25.15" customHeight="1">
      <c r="A63" s="845">
        <v>43.1</v>
      </c>
      <c r="B63" s="1546" t="str">
        <f>'[17]Abstract( OHT)'!C25</f>
        <v>Fabrication of Mild steel / RTS grills (without cement slurry) for all sizes of rods.</v>
      </c>
      <c r="C63" s="1546"/>
      <c r="D63" s="1546"/>
      <c r="E63" s="1546"/>
      <c r="F63" s="1546"/>
      <c r="G63" s="1546"/>
      <c r="H63" s="1546"/>
      <c r="I63" s="846"/>
      <c r="J63" s="846"/>
    </row>
    <row r="64" spans="1:10" s="348" customFormat="1" ht="19.899999999999999" customHeight="1">
      <c r="A64" s="847"/>
      <c r="B64" s="846" t="s">
        <v>1317</v>
      </c>
      <c r="C64" s="849"/>
      <c r="D64" s="850"/>
      <c r="E64" s="850"/>
      <c r="F64" s="846">
        <f>I16</f>
        <v>5.5975839999999994</v>
      </c>
      <c r="G64" s="850" t="s">
        <v>56</v>
      </c>
      <c r="H64" s="846">
        <v>120</v>
      </c>
      <c r="I64" s="847">
        <f>F64*H64</f>
        <v>671.71007999999995</v>
      </c>
      <c r="J64" s="846"/>
    </row>
    <row r="65" spans="1:10" ht="19.899999999999999" customHeight="1">
      <c r="A65" s="847"/>
      <c r="B65" s="846"/>
      <c r="C65" s="849"/>
      <c r="D65" s="850"/>
      <c r="E65" s="851"/>
      <c r="F65" s="846"/>
      <c r="G65" s="846"/>
      <c r="H65" s="846"/>
      <c r="I65" s="857">
        <f>I64/1000</f>
        <v>0.67171007999999999</v>
      </c>
      <c r="J65" s="854" t="s">
        <v>58</v>
      </c>
    </row>
  </sheetData>
  <mergeCells count="14">
    <mergeCell ref="A4:J4"/>
    <mergeCell ref="C7:E7"/>
    <mergeCell ref="A1:J1"/>
    <mergeCell ref="A2:J2"/>
    <mergeCell ref="B63:H63"/>
    <mergeCell ref="B60:H60"/>
    <mergeCell ref="B57:H57"/>
    <mergeCell ref="B52:H52"/>
    <mergeCell ref="A6:J6"/>
    <mergeCell ref="B46:H46"/>
    <mergeCell ref="B37:H37"/>
    <mergeCell ref="B31:H31"/>
    <mergeCell ref="B18:H18"/>
    <mergeCell ref="B8:H8"/>
  </mergeCells>
  <pageMargins left="0.7" right="0.7" top="0.6" bottom="0.3" header="0.3" footer="0.13"/>
  <pageSetup paperSize="9" orientation="portrait" r:id="rId1"/>
  <headerFooter>
    <oddHeader>Page &amp;P</oddHeader>
  </headerFooter>
</worksheet>
</file>

<file path=xl/worksheets/sheet20.xml><?xml version="1.0" encoding="utf-8"?>
<worksheet xmlns="http://schemas.openxmlformats.org/spreadsheetml/2006/main" xmlns:r="http://schemas.openxmlformats.org/officeDocument/2006/relationships">
  <dimension ref="A1:J91"/>
  <sheetViews>
    <sheetView workbookViewId="0">
      <selection activeCell="E4" sqref="E4"/>
    </sheetView>
  </sheetViews>
  <sheetFormatPr defaultColWidth="8.21875" defaultRowHeight="15"/>
  <cols>
    <col min="1" max="1" width="4.44140625" style="40" customWidth="1"/>
    <col min="2" max="2" width="36.109375" style="34" customWidth="1"/>
    <col min="3" max="3" width="3.33203125" style="41" customWidth="1"/>
    <col min="4" max="4" width="3.33203125" style="42" customWidth="1"/>
    <col min="5" max="5" width="6" style="42" customWidth="1"/>
    <col min="6" max="7" width="5.44140625" style="42" customWidth="1"/>
    <col min="8" max="8" width="6" style="42" customWidth="1"/>
    <col min="9" max="9" width="4.21875" style="34" customWidth="1"/>
    <col min="10" max="256" width="8.21875" style="34"/>
    <col min="257" max="257" width="4.44140625" style="34" customWidth="1"/>
    <col min="258" max="258" width="37.88671875" style="34" customWidth="1"/>
    <col min="259" max="260" width="3.33203125" style="34" customWidth="1"/>
    <col min="261" max="261" width="6" style="34" customWidth="1"/>
    <col min="262" max="263" width="5.44140625" style="34" customWidth="1"/>
    <col min="264" max="264" width="6" style="34" customWidth="1"/>
    <col min="265" max="265" width="4.21875" style="34" customWidth="1"/>
    <col min="266" max="512" width="8.21875" style="34"/>
    <col min="513" max="513" width="4.44140625" style="34" customWidth="1"/>
    <col min="514" max="514" width="37.88671875" style="34" customWidth="1"/>
    <col min="515" max="516" width="3.33203125" style="34" customWidth="1"/>
    <col min="517" max="517" width="6" style="34" customWidth="1"/>
    <col min="518" max="519" width="5.44140625" style="34" customWidth="1"/>
    <col min="520" max="520" width="6" style="34" customWidth="1"/>
    <col min="521" max="521" width="4.21875" style="34" customWidth="1"/>
    <col min="522" max="768" width="8.21875" style="34"/>
    <col min="769" max="769" width="4.44140625" style="34" customWidth="1"/>
    <col min="770" max="770" width="37.88671875" style="34" customWidth="1"/>
    <col min="771" max="772" width="3.33203125" style="34" customWidth="1"/>
    <col min="773" max="773" width="6" style="34" customWidth="1"/>
    <col min="774" max="775" width="5.44140625" style="34" customWidth="1"/>
    <col min="776" max="776" width="6" style="34" customWidth="1"/>
    <col min="777" max="777" width="4.21875" style="34" customWidth="1"/>
    <col min="778" max="1024" width="8.21875" style="34"/>
    <col min="1025" max="1025" width="4.44140625" style="34" customWidth="1"/>
    <col min="1026" max="1026" width="37.88671875" style="34" customWidth="1"/>
    <col min="1027" max="1028" width="3.33203125" style="34" customWidth="1"/>
    <col min="1029" max="1029" width="6" style="34" customWidth="1"/>
    <col min="1030" max="1031" width="5.44140625" style="34" customWidth="1"/>
    <col min="1032" max="1032" width="6" style="34" customWidth="1"/>
    <col min="1033" max="1033" width="4.21875" style="34" customWidth="1"/>
    <col min="1034" max="1280" width="8.21875" style="34"/>
    <col min="1281" max="1281" width="4.44140625" style="34" customWidth="1"/>
    <col min="1282" max="1282" width="37.88671875" style="34" customWidth="1"/>
    <col min="1283" max="1284" width="3.33203125" style="34" customWidth="1"/>
    <col min="1285" max="1285" width="6" style="34" customWidth="1"/>
    <col min="1286" max="1287" width="5.44140625" style="34" customWidth="1"/>
    <col min="1288" max="1288" width="6" style="34" customWidth="1"/>
    <col min="1289" max="1289" width="4.21875" style="34" customWidth="1"/>
    <col min="1290" max="1536" width="8.21875" style="34"/>
    <col min="1537" max="1537" width="4.44140625" style="34" customWidth="1"/>
    <col min="1538" max="1538" width="37.88671875" style="34" customWidth="1"/>
    <col min="1539" max="1540" width="3.33203125" style="34" customWidth="1"/>
    <col min="1541" max="1541" width="6" style="34" customWidth="1"/>
    <col min="1542" max="1543" width="5.44140625" style="34" customWidth="1"/>
    <col min="1544" max="1544" width="6" style="34" customWidth="1"/>
    <col min="1545" max="1545" width="4.21875" style="34" customWidth="1"/>
    <col min="1546" max="1792" width="8.21875" style="34"/>
    <col min="1793" max="1793" width="4.44140625" style="34" customWidth="1"/>
    <col min="1794" max="1794" width="37.88671875" style="34" customWidth="1"/>
    <col min="1795" max="1796" width="3.33203125" style="34" customWidth="1"/>
    <col min="1797" max="1797" width="6" style="34" customWidth="1"/>
    <col min="1798" max="1799" width="5.44140625" style="34" customWidth="1"/>
    <col min="1800" max="1800" width="6" style="34" customWidth="1"/>
    <col min="1801" max="1801" width="4.21875" style="34" customWidth="1"/>
    <col min="1802" max="2048" width="8.21875" style="34"/>
    <col min="2049" max="2049" width="4.44140625" style="34" customWidth="1"/>
    <col min="2050" max="2050" width="37.88671875" style="34" customWidth="1"/>
    <col min="2051" max="2052" width="3.33203125" style="34" customWidth="1"/>
    <col min="2053" max="2053" width="6" style="34" customWidth="1"/>
    <col min="2054" max="2055" width="5.44140625" style="34" customWidth="1"/>
    <col min="2056" max="2056" width="6" style="34" customWidth="1"/>
    <col min="2057" max="2057" width="4.21875" style="34" customWidth="1"/>
    <col min="2058" max="2304" width="8.21875" style="34"/>
    <col min="2305" max="2305" width="4.44140625" style="34" customWidth="1"/>
    <col min="2306" max="2306" width="37.88671875" style="34" customWidth="1"/>
    <col min="2307" max="2308" width="3.33203125" style="34" customWidth="1"/>
    <col min="2309" max="2309" width="6" style="34" customWidth="1"/>
    <col min="2310" max="2311" width="5.44140625" style="34" customWidth="1"/>
    <col min="2312" max="2312" width="6" style="34" customWidth="1"/>
    <col min="2313" max="2313" width="4.21875" style="34" customWidth="1"/>
    <col min="2314" max="2560" width="8.21875" style="34"/>
    <col min="2561" max="2561" width="4.44140625" style="34" customWidth="1"/>
    <col min="2562" max="2562" width="37.88671875" style="34" customWidth="1"/>
    <col min="2563" max="2564" width="3.33203125" style="34" customWidth="1"/>
    <col min="2565" max="2565" width="6" style="34" customWidth="1"/>
    <col min="2566" max="2567" width="5.44140625" style="34" customWidth="1"/>
    <col min="2568" max="2568" width="6" style="34" customWidth="1"/>
    <col min="2569" max="2569" width="4.21875" style="34" customWidth="1"/>
    <col min="2570" max="2816" width="8.21875" style="34"/>
    <col min="2817" max="2817" width="4.44140625" style="34" customWidth="1"/>
    <col min="2818" max="2818" width="37.88671875" style="34" customWidth="1"/>
    <col min="2819" max="2820" width="3.33203125" style="34" customWidth="1"/>
    <col min="2821" max="2821" width="6" style="34" customWidth="1"/>
    <col min="2822" max="2823" width="5.44140625" style="34" customWidth="1"/>
    <col min="2824" max="2824" width="6" style="34" customWidth="1"/>
    <col min="2825" max="2825" width="4.21875" style="34" customWidth="1"/>
    <col min="2826" max="3072" width="8.21875" style="34"/>
    <col min="3073" max="3073" width="4.44140625" style="34" customWidth="1"/>
    <col min="3074" max="3074" width="37.88671875" style="34" customWidth="1"/>
    <col min="3075" max="3076" width="3.33203125" style="34" customWidth="1"/>
    <col min="3077" max="3077" width="6" style="34" customWidth="1"/>
    <col min="3078" max="3079" width="5.44140625" style="34" customWidth="1"/>
    <col min="3080" max="3080" width="6" style="34" customWidth="1"/>
    <col min="3081" max="3081" width="4.21875" style="34" customWidth="1"/>
    <col min="3082" max="3328" width="8.21875" style="34"/>
    <col min="3329" max="3329" width="4.44140625" style="34" customWidth="1"/>
    <col min="3330" max="3330" width="37.88671875" style="34" customWidth="1"/>
    <col min="3331" max="3332" width="3.33203125" style="34" customWidth="1"/>
    <col min="3333" max="3333" width="6" style="34" customWidth="1"/>
    <col min="3334" max="3335" width="5.44140625" style="34" customWidth="1"/>
    <col min="3336" max="3336" width="6" style="34" customWidth="1"/>
    <col min="3337" max="3337" width="4.21875" style="34" customWidth="1"/>
    <col min="3338" max="3584" width="8.21875" style="34"/>
    <col min="3585" max="3585" width="4.44140625" style="34" customWidth="1"/>
    <col min="3586" max="3586" width="37.88671875" style="34" customWidth="1"/>
    <col min="3587" max="3588" width="3.33203125" style="34" customWidth="1"/>
    <col min="3589" max="3589" width="6" style="34" customWidth="1"/>
    <col min="3590" max="3591" width="5.44140625" style="34" customWidth="1"/>
    <col min="3592" max="3592" width="6" style="34" customWidth="1"/>
    <col min="3593" max="3593" width="4.21875" style="34" customWidth="1"/>
    <col min="3594" max="3840" width="8.21875" style="34"/>
    <col min="3841" max="3841" width="4.44140625" style="34" customWidth="1"/>
    <col min="3842" max="3842" width="37.88671875" style="34" customWidth="1"/>
    <col min="3843" max="3844" width="3.33203125" style="34" customWidth="1"/>
    <col min="3845" max="3845" width="6" style="34" customWidth="1"/>
    <col min="3846" max="3847" width="5.44140625" style="34" customWidth="1"/>
    <col min="3848" max="3848" width="6" style="34" customWidth="1"/>
    <col min="3849" max="3849" width="4.21875" style="34" customWidth="1"/>
    <col min="3850" max="4096" width="8.21875" style="34"/>
    <col min="4097" max="4097" width="4.44140625" style="34" customWidth="1"/>
    <col min="4098" max="4098" width="37.88671875" style="34" customWidth="1"/>
    <col min="4099" max="4100" width="3.33203125" style="34" customWidth="1"/>
    <col min="4101" max="4101" width="6" style="34" customWidth="1"/>
    <col min="4102" max="4103" width="5.44140625" style="34" customWidth="1"/>
    <col min="4104" max="4104" width="6" style="34" customWidth="1"/>
    <col min="4105" max="4105" width="4.21875" style="34" customWidth="1"/>
    <col min="4106" max="4352" width="8.21875" style="34"/>
    <col min="4353" max="4353" width="4.44140625" style="34" customWidth="1"/>
    <col min="4354" max="4354" width="37.88671875" style="34" customWidth="1"/>
    <col min="4355" max="4356" width="3.33203125" style="34" customWidth="1"/>
    <col min="4357" max="4357" width="6" style="34" customWidth="1"/>
    <col min="4358" max="4359" width="5.44140625" style="34" customWidth="1"/>
    <col min="4360" max="4360" width="6" style="34" customWidth="1"/>
    <col min="4361" max="4361" width="4.21875" style="34" customWidth="1"/>
    <col min="4362" max="4608" width="8.21875" style="34"/>
    <col min="4609" max="4609" width="4.44140625" style="34" customWidth="1"/>
    <col min="4610" max="4610" width="37.88671875" style="34" customWidth="1"/>
    <col min="4611" max="4612" width="3.33203125" style="34" customWidth="1"/>
    <col min="4613" max="4613" width="6" style="34" customWidth="1"/>
    <col min="4614" max="4615" width="5.44140625" style="34" customWidth="1"/>
    <col min="4616" max="4616" width="6" style="34" customWidth="1"/>
    <col min="4617" max="4617" width="4.21875" style="34" customWidth="1"/>
    <col min="4618" max="4864" width="8.21875" style="34"/>
    <col min="4865" max="4865" width="4.44140625" style="34" customWidth="1"/>
    <col min="4866" max="4866" width="37.88671875" style="34" customWidth="1"/>
    <col min="4867" max="4868" width="3.33203125" style="34" customWidth="1"/>
    <col min="4869" max="4869" width="6" style="34" customWidth="1"/>
    <col min="4870" max="4871" width="5.44140625" style="34" customWidth="1"/>
    <col min="4872" max="4872" width="6" style="34" customWidth="1"/>
    <col min="4873" max="4873" width="4.21875" style="34" customWidth="1"/>
    <col min="4874" max="5120" width="8.21875" style="34"/>
    <col min="5121" max="5121" width="4.44140625" style="34" customWidth="1"/>
    <col min="5122" max="5122" width="37.88671875" style="34" customWidth="1"/>
    <col min="5123" max="5124" width="3.33203125" style="34" customWidth="1"/>
    <col min="5125" max="5125" width="6" style="34" customWidth="1"/>
    <col min="5126" max="5127" width="5.44140625" style="34" customWidth="1"/>
    <col min="5128" max="5128" width="6" style="34" customWidth="1"/>
    <col min="5129" max="5129" width="4.21875" style="34" customWidth="1"/>
    <col min="5130" max="5376" width="8.21875" style="34"/>
    <col min="5377" max="5377" width="4.44140625" style="34" customWidth="1"/>
    <col min="5378" max="5378" width="37.88671875" style="34" customWidth="1"/>
    <col min="5379" max="5380" width="3.33203125" style="34" customWidth="1"/>
    <col min="5381" max="5381" width="6" style="34" customWidth="1"/>
    <col min="5382" max="5383" width="5.44140625" style="34" customWidth="1"/>
    <col min="5384" max="5384" width="6" style="34" customWidth="1"/>
    <col min="5385" max="5385" width="4.21875" style="34" customWidth="1"/>
    <col min="5386" max="5632" width="8.21875" style="34"/>
    <col min="5633" max="5633" width="4.44140625" style="34" customWidth="1"/>
    <col min="5634" max="5634" width="37.88671875" style="34" customWidth="1"/>
    <col min="5635" max="5636" width="3.33203125" style="34" customWidth="1"/>
    <col min="5637" max="5637" width="6" style="34" customWidth="1"/>
    <col min="5638" max="5639" width="5.44140625" style="34" customWidth="1"/>
    <col min="5640" max="5640" width="6" style="34" customWidth="1"/>
    <col min="5641" max="5641" width="4.21875" style="34" customWidth="1"/>
    <col min="5642" max="5888" width="8.21875" style="34"/>
    <col min="5889" max="5889" width="4.44140625" style="34" customWidth="1"/>
    <col min="5890" max="5890" width="37.88671875" style="34" customWidth="1"/>
    <col min="5891" max="5892" width="3.33203125" style="34" customWidth="1"/>
    <col min="5893" max="5893" width="6" style="34" customWidth="1"/>
    <col min="5894" max="5895" width="5.44140625" style="34" customWidth="1"/>
    <col min="5896" max="5896" width="6" style="34" customWidth="1"/>
    <col min="5897" max="5897" width="4.21875" style="34" customWidth="1"/>
    <col min="5898" max="6144" width="8.21875" style="34"/>
    <col min="6145" max="6145" width="4.44140625" style="34" customWidth="1"/>
    <col min="6146" max="6146" width="37.88671875" style="34" customWidth="1"/>
    <col min="6147" max="6148" width="3.33203125" style="34" customWidth="1"/>
    <col min="6149" max="6149" width="6" style="34" customWidth="1"/>
    <col min="6150" max="6151" width="5.44140625" style="34" customWidth="1"/>
    <col min="6152" max="6152" width="6" style="34" customWidth="1"/>
    <col min="6153" max="6153" width="4.21875" style="34" customWidth="1"/>
    <col min="6154" max="6400" width="8.21875" style="34"/>
    <col min="6401" max="6401" width="4.44140625" style="34" customWidth="1"/>
    <col min="6402" max="6402" width="37.88671875" style="34" customWidth="1"/>
    <col min="6403" max="6404" width="3.33203125" style="34" customWidth="1"/>
    <col min="6405" max="6405" width="6" style="34" customWidth="1"/>
    <col min="6406" max="6407" width="5.44140625" style="34" customWidth="1"/>
    <col min="6408" max="6408" width="6" style="34" customWidth="1"/>
    <col min="6409" max="6409" width="4.21875" style="34" customWidth="1"/>
    <col min="6410" max="6656" width="8.21875" style="34"/>
    <col min="6657" max="6657" width="4.44140625" style="34" customWidth="1"/>
    <col min="6658" max="6658" width="37.88671875" style="34" customWidth="1"/>
    <col min="6659" max="6660" width="3.33203125" style="34" customWidth="1"/>
    <col min="6661" max="6661" width="6" style="34" customWidth="1"/>
    <col min="6662" max="6663" width="5.44140625" style="34" customWidth="1"/>
    <col min="6664" max="6664" width="6" style="34" customWidth="1"/>
    <col min="6665" max="6665" width="4.21875" style="34" customWidth="1"/>
    <col min="6666" max="6912" width="8.21875" style="34"/>
    <col min="6913" max="6913" width="4.44140625" style="34" customWidth="1"/>
    <col min="6914" max="6914" width="37.88671875" style="34" customWidth="1"/>
    <col min="6915" max="6916" width="3.33203125" style="34" customWidth="1"/>
    <col min="6917" max="6917" width="6" style="34" customWidth="1"/>
    <col min="6918" max="6919" width="5.44140625" style="34" customWidth="1"/>
    <col min="6920" max="6920" width="6" style="34" customWidth="1"/>
    <col min="6921" max="6921" width="4.21875" style="34" customWidth="1"/>
    <col min="6922" max="7168" width="8.21875" style="34"/>
    <col min="7169" max="7169" width="4.44140625" style="34" customWidth="1"/>
    <col min="7170" max="7170" width="37.88671875" style="34" customWidth="1"/>
    <col min="7171" max="7172" width="3.33203125" style="34" customWidth="1"/>
    <col min="7173" max="7173" width="6" style="34" customWidth="1"/>
    <col min="7174" max="7175" width="5.44140625" style="34" customWidth="1"/>
    <col min="7176" max="7176" width="6" style="34" customWidth="1"/>
    <col min="7177" max="7177" width="4.21875" style="34" customWidth="1"/>
    <col min="7178" max="7424" width="8.21875" style="34"/>
    <col min="7425" max="7425" width="4.44140625" style="34" customWidth="1"/>
    <col min="7426" max="7426" width="37.88671875" style="34" customWidth="1"/>
    <col min="7427" max="7428" width="3.33203125" style="34" customWidth="1"/>
    <col min="7429" max="7429" width="6" style="34" customWidth="1"/>
    <col min="7430" max="7431" width="5.44140625" style="34" customWidth="1"/>
    <col min="7432" max="7432" width="6" style="34" customWidth="1"/>
    <col min="7433" max="7433" width="4.21875" style="34" customWidth="1"/>
    <col min="7434" max="7680" width="8.21875" style="34"/>
    <col min="7681" max="7681" width="4.44140625" style="34" customWidth="1"/>
    <col min="7682" max="7682" width="37.88671875" style="34" customWidth="1"/>
    <col min="7683" max="7684" width="3.33203125" style="34" customWidth="1"/>
    <col min="7685" max="7685" width="6" style="34" customWidth="1"/>
    <col min="7686" max="7687" width="5.44140625" style="34" customWidth="1"/>
    <col min="7688" max="7688" width="6" style="34" customWidth="1"/>
    <col min="7689" max="7689" width="4.21875" style="34" customWidth="1"/>
    <col min="7690" max="7936" width="8.21875" style="34"/>
    <col min="7937" max="7937" width="4.44140625" style="34" customWidth="1"/>
    <col min="7938" max="7938" width="37.88671875" style="34" customWidth="1"/>
    <col min="7939" max="7940" width="3.33203125" style="34" customWidth="1"/>
    <col min="7941" max="7941" width="6" style="34" customWidth="1"/>
    <col min="7942" max="7943" width="5.44140625" style="34" customWidth="1"/>
    <col min="7944" max="7944" width="6" style="34" customWidth="1"/>
    <col min="7945" max="7945" width="4.21875" style="34" customWidth="1"/>
    <col min="7946" max="8192" width="8.21875" style="34"/>
    <col min="8193" max="8193" width="4.44140625" style="34" customWidth="1"/>
    <col min="8194" max="8194" width="37.88671875" style="34" customWidth="1"/>
    <col min="8195" max="8196" width="3.33203125" style="34" customWidth="1"/>
    <col min="8197" max="8197" width="6" style="34" customWidth="1"/>
    <col min="8198" max="8199" width="5.44140625" style="34" customWidth="1"/>
    <col min="8200" max="8200" width="6" style="34" customWidth="1"/>
    <col min="8201" max="8201" width="4.21875" style="34" customWidth="1"/>
    <col min="8202" max="8448" width="8.21875" style="34"/>
    <col min="8449" max="8449" width="4.44140625" style="34" customWidth="1"/>
    <col min="8450" max="8450" width="37.88671875" style="34" customWidth="1"/>
    <col min="8451" max="8452" width="3.33203125" style="34" customWidth="1"/>
    <col min="8453" max="8453" width="6" style="34" customWidth="1"/>
    <col min="8454" max="8455" width="5.44140625" style="34" customWidth="1"/>
    <col min="8456" max="8456" width="6" style="34" customWidth="1"/>
    <col min="8457" max="8457" width="4.21875" style="34" customWidth="1"/>
    <col min="8458" max="8704" width="8.21875" style="34"/>
    <col min="8705" max="8705" width="4.44140625" style="34" customWidth="1"/>
    <col min="8706" max="8706" width="37.88671875" style="34" customWidth="1"/>
    <col min="8707" max="8708" width="3.33203125" style="34" customWidth="1"/>
    <col min="8709" max="8709" width="6" style="34" customWidth="1"/>
    <col min="8710" max="8711" width="5.44140625" style="34" customWidth="1"/>
    <col min="8712" max="8712" width="6" style="34" customWidth="1"/>
    <col min="8713" max="8713" width="4.21875" style="34" customWidth="1"/>
    <col min="8714" max="8960" width="8.21875" style="34"/>
    <col min="8961" max="8961" width="4.44140625" style="34" customWidth="1"/>
    <col min="8962" max="8962" width="37.88671875" style="34" customWidth="1"/>
    <col min="8963" max="8964" width="3.33203125" style="34" customWidth="1"/>
    <col min="8965" max="8965" width="6" style="34" customWidth="1"/>
    <col min="8966" max="8967" width="5.44140625" style="34" customWidth="1"/>
    <col min="8968" max="8968" width="6" style="34" customWidth="1"/>
    <col min="8969" max="8969" width="4.21875" style="34" customWidth="1"/>
    <col min="8970" max="9216" width="8.21875" style="34"/>
    <col min="9217" max="9217" width="4.44140625" style="34" customWidth="1"/>
    <col min="9218" max="9218" width="37.88671875" style="34" customWidth="1"/>
    <col min="9219" max="9220" width="3.33203125" style="34" customWidth="1"/>
    <col min="9221" max="9221" width="6" style="34" customWidth="1"/>
    <col min="9222" max="9223" width="5.44140625" style="34" customWidth="1"/>
    <col min="9224" max="9224" width="6" style="34" customWidth="1"/>
    <col min="9225" max="9225" width="4.21875" style="34" customWidth="1"/>
    <col min="9226" max="9472" width="8.21875" style="34"/>
    <col min="9473" max="9473" width="4.44140625" style="34" customWidth="1"/>
    <col min="9474" max="9474" width="37.88671875" style="34" customWidth="1"/>
    <col min="9475" max="9476" width="3.33203125" style="34" customWidth="1"/>
    <col min="9477" max="9477" width="6" style="34" customWidth="1"/>
    <col min="9478" max="9479" width="5.44140625" style="34" customWidth="1"/>
    <col min="9480" max="9480" width="6" style="34" customWidth="1"/>
    <col min="9481" max="9481" width="4.21875" style="34" customWidth="1"/>
    <col min="9482" max="9728" width="8.21875" style="34"/>
    <col min="9729" max="9729" width="4.44140625" style="34" customWidth="1"/>
    <col min="9730" max="9730" width="37.88671875" style="34" customWidth="1"/>
    <col min="9731" max="9732" width="3.33203125" style="34" customWidth="1"/>
    <col min="9733" max="9733" width="6" style="34" customWidth="1"/>
    <col min="9734" max="9735" width="5.44140625" style="34" customWidth="1"/>
    <col min="9736" max="9736" width="6" style="34" customWidth="1"/>
    <col min="9737" max="9737" width="4.21875" style="34" customWidth="1"/>
    <col min="9738" max="9984" width="8.21875" style="34"/>
    <col min="9985" max="9985" width="4.44140625" style="34" customWidth="1"/>
    <col min="9986" max="9986" width="37.88671875" style="34" customWidth="1"/>
    <col min="9987" max="9988" width="3.33203125" style="34" customWidth="1"/>
    <col min="9989" max="9989" width="6" style="34" customWidth="1"/>
    <col min="9990" max="9991" width="5.44140625" style="34" customWidth="1"/>
    <col min="9992" max="9992" width="6" style="34" customWidth="1"/>
    <col min="9993" max="9993" width="4.21875" style="34" customWidth="1"/>
    <col min="9994" max="10240" width="8.21875" style="34"/>
    <col min="10241" max="10241" width="4.44140625" style="34" customWidth="1"/>
    <col min="10242" max="10242" width="37.88671875" style="34" customWidth="1"/>
    <col min="10243" max="10244" width="3.33203125" style="34" customWidth="1"/>
    <col min="10245" max="10245" width="6" style="34" customWidth="1"/>
    <col min="10246" max="10247" width="5.44140625" style="34" customWidth="1"/>
    <col min="10248" max="10248" width="6" style="34" customWidth="1"/>
    <col min="10249" max="10249" width="4.21875" style="34" customWidth="1"/>
    <col min="10250" max="10496" width="8.21875" style="34"/>
    <col min="10497" max="10497" width="4.44140625" style="34" customWidth="1"/>
    <col min="10498" max="10498" width="37.88671875" style="34" customWidth="1"/>
    <col min="10499" max="10500" width="3.33203125" style="34" customWidth="1"/>
    <col min="10501" max="10501" width="6" style="34" customWidth="1"/>
    <col min="10502" max="10503" width="5.44140625" style="34" customWidth="1"/>
    <col min="10504" max="10504" width="6" style="34" customWidth="1"/>
    <col min="10505" max="10505" width="4.21875" style="34" customWidth="1"/>
    <col min="10506" max="10752" width="8.21875" style="34"/>
    <col min="10753" max="10753" width="4.44140625" style="34" customWidth="1"/>
    <col min="10754" max="10754" width="37.88671875" style="34" customWidth="1"/>
    <col min="10755" max="10756" width="3.33203125" style="34" customWidth="1"/>
    <col min="10757" max="10757" width="6" style="34" customWidth="1"/>
    <col min="10758" max="10759" width="5.44140625" style="34" customWidth="1"/>
    <col min="10760" max="10760" width="6" style="34" customWidth="1"/>
    <col min="10761" max="10761" width="4.21875" style="34" customWidth="1"/>
    <col min="10762" max="11008" width="8.21875" style="34"/>
    <col min="11009" max="11009" width="4.44140625" style="34" customWidth="1"/>
    <col min="11010" max="11010" width="37.88671875" style="34" customWidth="1"/>
    <col min="11011" max="11012" width="3.33203125" style="34" customWidth="1"/>
    <col min="11013" max="11013" width="6" style="34" customWidth="1"/>
    <col min="11014" max="11015" width="5.44140625" style="34" customWidth="1"/>
    <col min="11016" max="11016" width="6" style="34" customWidth="1"/>
    <col min="11017" max="11017" width="4.21875" style="34" customWidth="1"/>
    <col min="11018" max="11264" width="8.21875" style="34"/>
    <col min="11265" max="11265" width="4.44140625" style="34" customWidth="1"/>
    <col min="11266" max="11266" width="37.88671875" style="34" customWidth="1"/>
    <col min="11267" max="11268" width="3.33203125" style="34" customWidth="1"/>
    <col min="11269" max="11269" width="6" style="34" customWidth="1"/>
    <col min="11270" max="11271" width="5.44140625" style="34" customWidth="1"/>
    <col min="11272" max="11272" width="6" style="34" customWidth="1"/>
    <col min="11273" max="11273" width="4.21875" style="34" customWidth="1"/>
    <col min="11274" max="11520" width="8.21875" style="34"/>
    <col min="11521" max="11521" width="4.44140625" style="34" customWidth="1"/>
    <col min="11522" max="11522" width="37.88671875" style="34" customWidth="1"/>
    <col min="11523" max="11524" width="3.33203125" style="34" customWidth="1"/>
    <col min="11525" max="11525" width="6" style="34" customWidth="1"/>
    <col min="11526" max="11527" width="5.44140625" style="34" customWidth="1"/>
    <col min="11528" max="11528" width="6" style="34" customWidth="1"/>
    <col min="11529" max="11529" width="4.21875" style="34" customWidth="1"/>
    <col min="11530" max="11776" width="8.21875" style="34"/>
    <col min="11777" max="11777" width="4.44140625" style="34" customWidth="1"/>
    <col min="11778" max="11778" width="37.88671875" style="34" customWidth="1"/>
    <col min="11779" max="11780" width="3.33203125" style="34" customWidth="1"/>
    <col min="11781" max="11781" width="6" style="34" customWidth="1"/>
    <col min="11782" max="11783" width="5.44140625" style="34" customWidth="1"/>
    <col min="11784" max="11784" width="6" style="34" customWidth="1"/>
    <col min="11785" max="11785" width="4.21875" style="34" customWidth="1"/>
    <col min="11786" max="12032" width="8.21875" style="34"/>
    <col min="12033" max="12033" width="4.44140625" style="34" customWidth="1"/>
    <col min="12034" max="12034" width="37.88671875" style="34" customWidth="1"/>
    <col min="12035" max="12036" width="3.33203125" style="34" customWidth="1"/>
    <col min="12037" max="12037" width="6" style="34" customWidth="1"/>
    <col min="12038" max="12039" width="5.44140625" style="34" customWidth="1"/>
    <col min="12040" max="12040" width="6" style="34" customWidth="1"/>
    <col min="12041" max="12041" width="4.21875" style="34" customWidth="1"/>
    <col min="12042" max="12288" width="8.21875" style="34"/>
    <col min="12289" max="12289" width="4.44140625" style="34" customWidth="1"/>
    <col min="12290" max="12290" width="37.88671875" style="34" customWidth="1"/>
    <col min="12291" max="12292" width="3.33203125" style="34" customWidth="1"/>
    <col min="12293" max="12293" width="6" style="34" customWidth="1"/>
    <col min="12294" max="12295" width="5.44140625" style="34" customWidth="1"/>
    <col min="12296" max="12296" width="6" style="34" customWidth="1"/>
    <col min="12297" max="12297" width="4.21875" style="34" customWidth="1"/>
    <col min="12298" max="12544" width="8.21875" style="34"/>
    <col min="12545" max="12545" width="4.44140625" style="34" customWidth="1"/>
    <col min="12546" max="12546" width="37.88671875" style="34" customWidth="1"/>
    <col min="12547" max="12548" width="3.33203125" style="34" customWidth="1"/>
    <col min="12549" max="12549" width="6" style="34" customWidth="1"/>
    <col min="12550" max="12551" width="5.44140625" style="34" customWidth="1"/>
    <col min="12552" max="12552" width="6" style="34" customWidth="1"/>
    <col min="12553" max="12553" width="4.21875" style="34" customWidth="1"/>
    <col min="12554" max="12800" width="8.21875" style="34"/>
    <col min="12801" max="12801" width="4.44140625" style="34" customWidth="1"/>
    <col min="12802" max="12802" width="37.88671875" style="34" customWidth="1"/>
    <col min="12803" max="12804" width="3.33203125" style="34" customWidth="1"/>
    <col min="12805" max="12805" width="6" style="34" customWidth="1"/>
    <col min="12806" max="12807" width="5.44140625" style="34" customWidth="1"/>
    <col min="12808" max="12808" width="6" style="34" customWidth="1"/>
    <col min="12809" max="12809" width="4.21875" style="34" customWidth="1"/>
    <col min="12810" max="13056" width="8.21875" style="34"/>
    <col min="13057" max="13057" width="4.44140625" style="34" customWidth="1"/>
    <col min="13058" max="13058" width="37.88671875" style="34" customWidth="1"/>
    <col min="13059" max="13060" width="3.33203125" style="34" customWidth="1"/>
    <col min="13061" max="13061" width="6" style="34" customWidth="1"/>
    <col min="13062" max="13063" width="5.44140625" style="34" customWidth="1"/>
    <col min="13064" max="13064" width="6" style="34" customWidth="1"/>
    <col min="13065" max="13065" width="4.21875" style="34" customWidth="1"/>
    <col min="13066" max="13312" width="8.21875" style="34"/>
    <col min="13313" max="13313" width="4.44140625" style="34" customWidth="1"/>
    <col min="13314" max="13314" width="37.88671875" style="34" customWidth="1"/>
    <col min="13315" max="13316" width="3.33203125" style="34" customWidth="1"/>
    <col min="13317" max="13317" width="6" style="34" customWidth="1"/>
    <col min="13318" max="13319" width="5.44140625" style="34" customWidth="1"/>
    <col min="13320" max="13320" width="6" style="34" customWidth="1"/>
    <col min="13321" max="13321" width="4.21875" style="34" customWidth="1"/>
    <col min="13322" max="13568" width="8.21875" style="34"/>
    <col min="13569" max="13569" width="4.44140625" style="34" customWidth="1"/>
    <col min="13570" max="13570" width="37.88671875" style="34" customWidth="1"/>
    <col min="13571" max="13572" width="3.33203125" style="34" customWidth="1"/>
    <col min="13573" max="13573" width="6" style="34" customWidth="1"/>
    <col min="13574" max="13575" width="5.44140625" style="34" customWidth="1"/>
    <col min="13576" max="13576" width="6" style="34" customWidth="1"/>
    <col min="13577" max="13577" width="4.21875" style="34" customWidth="1"/>
    <col min="13578" max="13824" width="8.21875" style="34"/>
    <col min="13825" max="13825" width="4.44140625" style="34" customWidth="1"/>
    <col min="13826" max="13826" width="37.88671875" style="34" customWidth="1"/>
    <col min="13827" max="13828" width="3.33203125" style="34" customWidth="1"/>
    <col min="13829" max="13829" width="6" style="34" customWidth="1"/>
    <col min="13830" max="13831" width="5.44140625" style="34" customWidth="1"/>
    <col min="13832" max="13832" width="6" style="34" customWidth="1"/>
    <col min="13833" max="13833" width="4.21875" style="34" customWidth="1"/>
    <col min="13834" max="14080" width="8.21875" style="34"/>
    <col min="14081" max="14081" width="4.44140625" style="34" customWidth="1"/>
    <col min="14082" max="14082" width="37.88671875" style="34" customWidth="1"/>
    <col min="14083" max="14084" width="3.33203125" style="34" customWidth="1"/>
    <col min="14085" max="14085" width="6" style="34" customWidth="1"/>
    <col min="14086" max="14087" width="5.44140625" style="34" customWidth="1"/>
    <col min="14088" max="14088" width="6" style="34" customWidth="1"/>
    <col min="14089" max="14089" width="4.21875" style="34" customWidth="1"/>
    <col min="14090" max="14336" width="8.21875" style="34"/>
    <col min="14337" max="14337" width="4.44140625" style="34" customWidth="1"/>
    <col min="14338" max="14338" width="37.88671875" style="34" customWidth="1"/>
    <col min="14339" max="14340" width="3.33203125" style="34" customWidth="1"/>
    <col min="14341" max="14341" width="6" style="34" customWidth="1"/>
    <col min="14342" max="14343" width="5.44140625" style="34" customWidth="1"/>
    <col min="14344" max="14344" width="6" style="34" customWidth="1"/>
    <col min="14345" max="14345" width="4.21875" style="34" customWidth="1"/>
    <col min="14346" max="14592" width="8.21875" style="34"/>
    <col min="14593" max="14593" width="4.44140625" style="34" customWidth="1"/>
    <col min="14594" max="14594" width="37.88671875" style="34" customWidth="1"/>
    <col min="14595" max="14596" width="3.33203125" style="34" customWidth="1"/>
    <col min="14597" max="14597" width="6" style="34" customWidth="1"/>
    <col min="14598" max="14599" width="5.44140625" style="34" customWidth="1"/>
    <col min="14600" max="14600" width="6" style="34" customWidth="1"/>
    <col min="14601" max="14601" width="4.21875" style="34" customWidth="1"/>
    <col min="14602" max="14848" width="8.21875" style="34"/>
    <col min="14849" max="14849" width="4.44140625" style="34" customWidth="1"/>
    <col min="14850" max="14850" width="37.88671875" style="34" customWidth="1"/>
    <col min="14851" max="14852" width="3.33203125" style="34" customWidth="1"/>
    <col min="14853" max="14853" width="6" style="34" customWidth="1"/>
    <col min="14854" max="14855" width="5.44140625" style="34" customWidth="1"/>
    <col min="14856" max="14856" width="6" style="34" customWidth="1"/>
    <col min="14857" max="14857" width="4.21875" style="34" customWidth="1"/>
    <col min="14858" max="15104" width="8.21875" style="34"/>
    <col min="15105" max="15105" width="4.44140625" style="34" customWidth="1"/>
    <col min="15106" max="15106" width="37.88671875" style="34" customWidth="1"/>
    <col min="15107" max="15108" width="3.33203125" style="34" customWidth="1"/>
    <col min="15109" max="15109" width="6" style="34" customWidth="1"/>
    <col min="15110" max="15111" width="5.44140625" style="34" customWidth="1"/>
    <col min="15112" max="15112" width="6" style="34" customWidth="1"/>
    <col min="15113" max="15113" width="4.21875" style="34" customWidth="1"/>
    <col min="15114" max="15360" width="8.21875" style="34"/>
    <col min="15361" max="15361" width="4.44140625" style="34" customWidth="1"/>
    <col min="15362" max="15362" width="37.88671875" style="34" customWidth="1"/>
    <col min="15363" max="15364" width="3.33203125" style="34" customWidth="1"/>
    <col min="15365" max="15365" width="6" style="34" customWidth="1"/>
    <col min="15366" max="15367" width="5.44140625" style="34" customWidth="1"/>
    <col min="15368" max="15368" width="6" style="34" customWidth="1"/>
    <col min="15369" max="15369" width="4.21875" style="34" customWidth="1"/>
    <col min="15370" max="15616" width="8.21875" style="34"/>
    <col min="15617" max="15617" width="4.44140625" style="34" customWidth="1"/>
    <col min="15618" max="15618" width="37.88671875" style="34" customWidth="1"/>
    <col min="15619" max="15620" width="3.33203125" style="34" customWidth="1"/>
    <col min="15621" max="15621" width="6" style="34" customWidth="1"/>
    <col min="15622" max="15623" width="5.44140625" style="34" customWidth="1"/>
    <col min="15624" max="15624" width="6" style="34" customWidth="1"/>
    <col min="15625" max="15625" width="4.21875" style="34" customWidth="1"/>
    <col min="15626" max="15872" width="8.21875" style="34"/>
    <col min="15873" max="15873" width="4.44140625" style="34" customWidth="1"/>
    <col min="15874" max="15874" width="37.88671875" style="34" customWidth="1"/>
    <col min="15875" max="15876" width="3.33203125" style="34" customWidth="1"/>
    <col min="15877" max="15877" width="6" style="34" customWidth="1"/>
    <col min="15878" max="15879" width="5.44140625" style="34" customWidth="1"/>
    <col min="15880" max="15880" width="6" style="34" customWidth="1"/>
    <col min="15881" max="15881" width="4.21875" style="34" customWidth="1"/>
    <col min="15882" max="16128" width="8.21875" style="34"/>
    <col min="16129" max="16129" width="4.44140625" style="34" customWidth="1"/>
    <col min="16130" max="16130" width="37.88671875" style="34" customWidth="1"/>
    <col min="16131" max="16132" width="3.33203125" style="34" customWidth="1"/>
    <col min="16133" max="16133" width="6" style="34" customWidth="1"/>
    <col min="16134" max="16135" width="5.44140625" style="34" customWidth="1"/>
    <col min="16136" max="16136" width="6" style="34" customWidth="1"/>
    <col min="16137" max="16137" width="4.21875" style="34" customWidth="1"/>
    <col min="16138" max="16384" width="8.21875" style="34"/>
  </cols>
  <sheetData>
    <row r="1" spans="1:9" ht="21" customHeight="1">
      <c r="A1" s="1549" t="s">
        <v>72</v>
      </c>
      <c r="B1" s="1549"/>
      <c r="C1" s="1549"/>
      <c r="D1" s="1549"/>
      <c r="E1" s="1549"/>
      <c r="F1" s="1549"/>
      <c r="G1" s="1549"/>
      <c r="H1" s="1549"/>
      <c r="I1" s="33"/>
    </row>
    <row r="2" spans="1:9" ht="21" customHeight="1">
      <c r="A2" s="35" t="s">
        <v>210</v>
      </c>
      <c r="B2" s="36"/>
      <c r="C2" s="37"/>
      <c r="D2" s="38"/>
      <c r="E2" s="38"/>
      <c r="F2" s="38"/>
      <c r="G2" s="38"/>
      <c r="H2" s="38"/>
      <c r="I2" s="33"/>
    </row>
    <row r="3" spans="1:9" s="39" customFormat="1" ht="34.9" customHeight="1">
      <c r="A3" s="1550" t="s">
        <v>546</v>
      </c>
      <c r="B3" s="1550"/>
      <c r="C3" s="1550"/>
      <c r="D3" s="1550"/>
      <c r="E3" s="1550"/>
      <c r="F3" s="1550"/>
      <c r="G3" s="1550"/>
      <c r="H3" s="1550"/>
      <c r="I3" s="1550"/>
    </row>
    <row r="4" spans="1:9" ht="12" customHeight="1"/>
    <row r="5" spans="1:9">
      <c r="A5" s="1551" t="s">
        <v>211</v>
      </c>
      <c r="B5" s="1548" t="s">
        <v>212</v>
      </c>
      <c r="C5" s="1552" t="s">
        <v>213</v>
      </c>
      <c r="D5" s="1552"/>
      <c r="E5" s="1548" t="s">
        <v>74</v>
      </c>
      <c r="F5" s="1552" t="s">
        <v>75</v>
      </c>
      <c r="G5" s="1552" t="s">
        <v>76</v>
      </c>
      <c r="H5" s="1552" t="s">
        <v>214</v>
      </c>
      <c r="I5" s="1552" t="s">
        <v>215</v>
      </c>
    </row>
    <row r="6" spans="1:9" ht="18.75" customHeight="1">
      <c r="A6" s="1551"/>
      <c r="B6" s="1548"/>
      <c r="C6" s="1552"/>
      <c r="D6" s="1552"/>
      <c r="E6" s="1548"/>
      <c r="F6" s="1552"/>
      <c r="G6" s="1552"/>
      <c r="H6" s="1552"/>
      <c r="I6" s="1552"/>
    </row>
    <row r="7" spans="1:9">
      <c r="A7" s="43">
        <v>1</v>
      </c>
      <c r="B7" s="44">
        <v>2</v>
      </c>
      <c r="C7" s="1548">
        <v>3</v>
      </c>
      <c r="D7" s="1548"/>
      <c r="E7" s="44">
        <v>4</v>
      </c>
      <c r="F7" s="44">
        <v>5</v>
      </c>
      <c r="G7" s="44">
        <v>6</v>
      </c>
      <c r="H7" s="44">
        <v>7</v>
      </c>
      <c r="I7" s="44">
        <v>8</v>
      </c>
    </row>
    <row r="8" spans="1:9" ht="64.900000000000006" customHeight="1">
      <c r="A8" s="45">
        <v>1</v>
      </c>
      <c r="B8" s="46" t="s">
        <v>216</v>
      </c>
      <c r="C8" s="47"/>
      <c r="D8" s="48"/>
      <c r="E8" s="48"/>
      <c r="F8" s="48"/>
      <c r="G8" s="48"/>
      <c r="H8" s="48"/>
      <c r="I8" s="49"/>
    </row>
    <row r="9" spans="1:9" ht="21" customHeight="1">
      <c r="A9" s="45"/>
      <c r="B9" s="46" t="s">
        <v>217</v>
      </c>
      <c r="C9" s="47"/>
      <c r="D9" s="50"/>
      <c r="E9" s="48"/>
      <c r="F9" s="50"/>
      <c r="G9" s="48"/>
      <c r="H9" s="48"/>
      <c r="I9" s="49"/>
    </row>
    <row r="10" spans="1:9" ht="21" customHeight="1">
      <c r="A10" s="45"/>
      <c r="B10" s="46" t="s">
        <v>218</v>
      </c>
      <c r="C10" s="47">
        <v>1</v>
      </c>
      <c r="D10" s="51">
        <v>1</v>
      </c>
      <c r="E10" s="50">
        <v>60</v>
      </c>
      <c r="F10" s="50" t="s">
        <v>372</v>
      </c>
      <c r="G10" s="50" t="s">
        <v>372</v>
      </c>
      <c r="H10" s="52">
        <f>PRODUCT(C10:G10)</f>
        <v>60</v>
      </c>
      <c r="I10" s="53" t="s">
        <v>61</v>
      </c>
    </row>
    <row r="11" spans="1:9" ht="21" customHeight="1">
      <c r="A11" s="45"/>
      <c r="B11" s="46"/>
      <c r="C11" s="47"/>
      <c r="D11" s="51"/>
      <c r="E11" s="50"/>
      <c r="F11" s="50"/>
      <c r="G11" s="48"/>
      <c r="H11" s="52"/>
      <c r="I11" s="49"/>
    </row>
    <row r="12" spans="1:9" ht="33" customHeight="1">
      <c r="A12" s="45"/>
      <c r="B12" s="54" t="s">
        <v>219</v>
      </c>
      <c r="C12" s="47"/>
      <c r="D12" s="51"/>
      <c r="E12" s="48" t="s">
        <v>220</v>
      </c>
      <c r="F12" s="50"/>
      <c r="G12" s="48"/>
      <c r="H12" s="55"/>
      <c r="I12" s="49"/>
    </row>
    <row r="13" spans="1:9" ht="21" customHeight="1">
      <c r="A13" s="45"/>
      <c r="B13" s="46" t="s">
        <v>218</v>
      </c>
      <c r="C13" s="47">
        <v>1</v>
      </c>
      <c r="D13" s="51">
        <v>1</v>
      </c>
      <c r="E13" s="50">
        <v>30</v>
      </c>
      <c r="F13" s="50" t="s">
        <v>372</v>
      </c>
      <c r="G13" s="50" t="s">
        <v>372</v>
      </c>
      <c r="H13" s="52">
        <f>PRODUCT(C13:G13)</f>
        <v>30</v>
      </c>
      <c r="I13" s="53" t="s">
        <v>61</v>
      </c>
    </row>
    <row r="14" spans="1:9" ht="21" customHeight="1">
      <c r="A14" s="45"/>
      <c r="B14" s="46"/>
      <c r="C14" s="47"/>
      <c r="D14" s="51"/>
      <c r="E14" s="50"/>
      <c r="F14" s="50"/>
      <c r="G14" s="48"/>
      <c r="H14" s="52"/>
      <c r="I14" s="49"/>
    </row>
    <row r="15" spans="1:9" ht="33" customHeight="1">
      <c r="A15" s="45">
        <v>2</v>
      </c>
      <c r="B15" s="46" t="s">
        <v>221</v>
      </c>
      <c r="C15" s="47"/>
      <c r="D15" s="51"/>
      <c r="E15" s="48"/>
      <c r="F15" s="50"/>
      <c r="G15" s="48"/>
      <c r="H15" s="55"/>
      <c r="I15" s="49"/>
    </row>
    <row r="16" spans="1:9" ht="21" customHeight="1">
      <c r="A16" s="45"/>
      <c r="B16" s="46" t="s">
        <v>217</v>
      </c>
      <c r="C16" s="47"/>
      <c r="D16" s="51"/>
      <c r="E16" s="48" t="s">
        <v>220</v>
      </c>
      <c r="F16" s="50"/>
      <c r="G16" s="48"/>
      <c r="H16" s="55"/>
      <c r="I16" s="49"/>
    </row>
    <row r="17" spans="1:10" ht="21" customHeight="1">
      <c r="A17" s="45"/>
      <c r="B17" s="46" t="s">
        <v>218</v>
      </c>
      <c r="C17" s="47">
        <v>1</v>
      </c>
      <c r="D17" s="51">
        <v>1</v>
      </c>
      <c r="E17" s="50">
        <v>60</v>
      </c>
      <c r="F17" s="50" t="s">
        <v>372</v>
      </c>
      <c r="G17" s="50" t="s">
        <v>372</v>
      </c>
      <c r="H17" s="52">
        <f>PRODUCT(C17:G17)</f>
        <v>60</v>
      </c>
      <c r="I17" s="53" t="s">
        <v>61</v>
      </c>
    </row>
    <row r="18" spans="1:10" ht="21" customHeight="1">
      <c r="A18" s="45"/>
      <c r="B18" s="46"/>
      <c r="C18" s="47"/>
      <c r="D18" s="51"/>
      <c r="E18" s="50"/>
      <c r="F18" s="50"/>
      <c r="G18" s="48"/>
      <c r="H18" s="52"/>
      <c r="I18" s="49"/>
    </row>
    <row r="19" spans="1:10" ht="33" customHeight="1">
      <c r="A19" s="45"/>
      <c r="B19" s="54" t="s">
        <v>219</v>
      </c>
      <c r="C19" s="47"/>
      <c r="D19" s="51"/>
      <c r="E19" s="48" t="s">
        <v>220</v>
      </c>
      <c r="F19" s="50"/>
      <c r="G19" s="48"/>
      <c r="H19" s="55"/>
      <c r="I19" s="49"/>
    </row>
    <row r="20" spans="1:10" ht="21" customHeight="1">
      <c r="A20" s="45"/>
      <c r="B20" s="46" t="s">
        <v>218</v>
      </c>
      <c r="C20" s="47">
        <v>1</v>
      </c>
      <c r="D20" s="51">
        <v>1</v>
      </c>
      <c r="E20" s="50">
        <v>30</v>
      </c>
      <c r="F20" s="50" t="s">
        <v>372</v>
      </c>
      <c r="G20" s="50" t="s">
        <v>372</v>
      </c>
      <c r="H20" s="52">
        <f>PRODUCT(C20:G20)</f>
        <v>30</v>
      </c>
      <c r="I20" s="53" t="s">
        <v>61</v>
      </c>
    </row>
    <row r="21" spans="1:10" ht="21" customHeight="1">
      <c r="A21" s="45"/>
      <c r="B21" s="46"/>
      <c r="C21" s="47"/>
      <c r="D21" s="51"/>
      <c r="E21" s="50"/>
      <c r="F21" s="50"/>
      <c r="G21" s="48"/>
      <c r="H21" s="52"/>
      <c r="I21" s="49"/>
    </row>
    <row r="22" spans="1:10" ht="49.9" customHeight="1">
      <c r="A22" s="45">
        <v>3</v>
      </c>
      <c r="B22" s="54" t="s">
        <v>222</v>
      </c>
      <c r="C22" s="47"/>
      <c r="D22" s="51"/>
      <c r="E22" s="48" t="s">
        <v>220</v>
      </c>
      <c r="F22" s="50"/>
      <c r="G22" s="48"/>
      <c r="H22" s="55"/>
      <c r="I22" s="49"/>
    </row>
    <row r="23" spans="1:10" ht="21" customHeight="1">
      <c r="A23" s="45"/>
      <c r="B23" s="46" t="s">
        <v>223</v>
      </c>
      <c r="C23" s="47">
        <v>1</v>
      </c>
      <c r="D23" s="51">
        <v>1</v>
      </c>
      <c r="E23" s="50">
        <f>E10+E13</f>
        <v>90</v>
      </c>
      <c r="F23" s="50" t="s">
        <v>372</v>
      </c>
      <c r="G23" s="50" t="s">
        <v>372</v>
      </c>
      <c r="H23" s="52">
        <f>PRODUCT(C23:G23)</f>
        <v>90</v>
      </c>
      <c r="I23" s="53" t="s">
        <v>61</v>
      </c>
    </row>
    <row r="24" spans="1:10" ht="21" customHeight="1">
      <c r="A24" s="45"/>
      <c r="B24" s="46"/>
      <c r="C24" s="47"/>
      <c r="D24" s="51"/>
      <c r="E24" s="50"/>
      <c r="F24" s="50"/>
      <c r="G24" s="48"/>
      <c r="H24" s="52"/>
      <c r="I24" s="49"/>
    </row>
    <row r="25" spans="1:10" ht="64.900000000000006" customHeight="1">
      <c r="A25" s="45">
        <v>4</v>
      </c>
      <c r="B25" s="46" t="s">
        <v>224</v>
      </c>
      <c r="C25" s="47"/>
      <c r="D25" s="51"/>
      <c r="E25" s="48" t="s">
        <v>220</v>
      </c>
      <c r="F25" s="50"/>
      <c r="G25" s="48"/>
      <c r="H25" s="55"/>
      <c r="I25" s="49"/>
    </row>
    <row r="26" spans="1:10" ht="21" customHeight="1">
      <c r="A26" s="45"/>
      <c r="B26" s="46" t="s">
        <v>223</v>
      </c>
      <c r="C26" s="47">
        <v>1</v>
      </c>
      <c r="D26" s="51">
        <v>1</v>
      </c>
      <c r="E26" s="50">
        <v>36</v>
      </c>
      <c r="F26" s="50" t="s">
        <v>372</v>
      </c>
      <c r="G26" s="50" t="s">
        <v>372</v>
      </c>
      <c r="H26" s="52">
        <f>PRODUCT(C26:G26)</f>
        <v>36</v>
      </c>
      <c r="I26" s="53" t="s">
        <v>61</v>
      </c>
      <c r="J26" s="34">
        <v>45</v>
      </c>
    </row>
    <row r="27" spans="1:10" ht="21" customHeight="1">
      <c r="A27" s="45"/>
      <c r="B27" s="46"/>
      <c r="C27" s="47"/>
      <c r="D27" s="51"/>
      <c r="E27" s="50"/>
      <c r="F27" s="50"/>
      <c r="G27" s="48"/>
      <c r="H27" s="52"/>
      <c r="I27" s="49"/>
    </row>
    <row r="28" spans="1:10" ht="64.900000000000006" customHeight="1">
      <c r="A28" s="45">
        <v>5</v>
      </c>
      <c r="B28" s="46" t="s">
        <v>225</v>
      </c>
      <c r="C28" s="47"/>
      <c r="D28" s="51"/>
      <c r="E28" s="48" t="s">
        <v>220</v>
      </c>
      <c r="F28" s="50"/>
      <c r="G28" s="48"/>
      <c r="H28" s="55"/>
      <c r="I28" s="49"/>
    </row>
    <row r="29" spans="1:10" ht="21" customHeight="1">
      <c r="A29" s="45"/>
      <c r="B29" s="46" t="s">
        <v>223</v>
      </c>
      <c r="C29" s="47">
        <v>1</v>
      </c>
      <c r="D29" s="51">
        <v>1</v>
      </c>
      <c r="E29" s="50">
        <v>54</v>
      </c>
      <c r="F29" s="50"/>
      <c r="G29" s="48"/>
      <c r="H29" s="52">
        <f>PRODUCT(C29:G29)</f>
        <v>54</v>
      </c>
      <c r="I29" s="53" t="s">
        <v>61</v>
      </c>
      <c r="J29" s="34">
        <v>75</v>
      </c>
    </row>
    <row r="30" spans="1:10" ht="21" customHeight="1">
      <c r="A30" s="45"/>
      <c r="B30" s="46"/>
      <c r="C30" s="47"/>
      <c r="D30" s="51"/>
      <c r="E30" s="50"/>
      <c r="F30" s="50"/>
      <c r="G30" s="48"/>
      <c r="H30" s="52"/>
      <c r="I30" s="49"/>
    </row>
    <row r="31" spans="1:10" ht="49.9" customHeight="1">
      <c r="A31" s="45">
        <v>6</v>
      </c>
      <c r="B31" s="46" t="s">
        <v>226</v>
      </c>
      <c r="C31" s="47"/>
      <c r="D31" s="51"/>
      <c r="E31" s="48" t="s">
        <v>220</v>
      </c>
      <c r="F31" s="50"/>
      <c r="G31" s="48"/>
      <c r="H31" s="55"/>
      <c r="I31" s="49"/>
    </row>
    <row r="32" spans="1:10" ht="21" customHeight="1">
      <c r="A32" s="45"/>
      <c r="B32" s="46" t="s">
        <v>223</v>
      </c>
      <c r="C32" s="47">
        <v>1</v>
      </c>
      <c r="D32" s="51">
        <v>1</v>
      </c>
      <c r="E32" s="50">
        <v>8</v>
      </c>
      <c r="F32" s="50" t="s">
        <v>372</v>
      </c>
      <c r="G32" s="50" t="s">
        <v>372</v>
      </c>
      <c r="H32" s="52">
        <f>PRODUCT(C32:G32)</f>
        <v>8</v>
      </c>
      <c r="I32" s="53" t="s">
        <v>227</v>
      </c>
    </row>
    <row r="33" spans="1:9" ht="21" customHeight="1">
      <c r="A33" s="45"/>
      <c r="B33" s="46"/>
      <c r="C33" s="47"/>
      <c r="D33" s="51"/>
      <c r="E33" s="50"/>
      <c r="F33" s="50"/>
      <c r="G33" s="48"/>
      <c r="H33" s="52"/>
      <c r="I33" s="49"/>
    </row>
    <row r="34" spans="1:9" ht="49.9" customHeight="1">
      <c r="A34" s="45">
        <v>7</v>
      </c>
      <c r="B34" s="46" t="s">
        <v>228</v>
      </c>
      <c r="C34" s="47"/>
      <c r="D34" s="51"/>
      <c r="E34" s="48" t="s">
        <v>220</v>
      </c>
      <c r="F34" s="50"/>
      <c r="G34" s="48"/>
      <c r="H34" s="55"/>
      <c r="I34" s="49"/>
    </row>
    <row r="35" spans="1:9" ht="21" customHeight="1">
      <c r="A35" s="45"/>
      <c r="B35" s="46" t="s">
        <v>223</v>
      </c>
      <c r="C35" s="47">
        <v>1</v>
      </c>
      <c r="D35" s="51">
        <v>1</v>
      </c>
      <c r="E35" s="50" t="s">
        <v>372</v>
      </c>
      <c r="F35" s="50" t="s">
        <v>372</v>
      </c>
      <c r="G35" s="50" t="s">
        <v>372</v>
      </c>
      <c r="H35" s="52">
        <f>PRODUCT(C35:G35)</f>
        <v>1</v>
      </c>
      <c r="I35" s="53" t="s">
        <v>54</v>
      </c>
    </row>
    <row r="36" spans="1:9" ht="21" customHeight="1">
      <c r="A36" s="45"/>
      <c r="B36" s="46"/>
      <c r="C36" s="47"/>
      <c r="D36" s="51"/>
      <c r="E36" s="50"/>
      <c r="F36" s="50"/>
      <c r="G36" s="48"/>
      <c r="H36" s="52"/>
      <c r="I36" s="49"/>
    </row>
    <row r="37" spans="1:9" ht="33" customHeight="1">
      <c r="A37" s="45">
        <v>8</v>
      </c>
      <c r="B37" s="46" t="s">
        <v>229</v>
      </c>
      <c r="C37" s="47"/>
      <c r="D37" s="51"/>
      <c r="E37" s="48" t="s">
        <v>220</v>
      </c>
      <c r="F37" s="50"/>
      <c r="G37" s="48"/>
      <c r="H37" s="55"/>
      <c r="I37" s="49"/>
    </row>
    <row r="38" spans="1:9" ht="21" customHeight="1">
      <c r="A38" s="45"/>
      <c r="B38" s="46" t="s">
        <v>223</v>
      </c>
      <c r="C38" s="47">
        <v>1</v>
      </c>
      <c r="D38" s="51">
        <v>1</v>
      </c>
      <c r="E38" s="50" t="s">
        <v>372</v>
      </c>
      <c r="F38" s="50" t="s">
        <v>372</v>
      </c>
      <c r="G38" s="50" t="s">
        <v>372</v>
      </c>
      <c r="H38" s="52">
        <f>PRODUCT(C38:G38)</f>
        <v>1</v>
      </c>
      <c r="I38" s="53" t="s">
        <v>54</v>
      </c>
    </row>
    <row r="39" spans="1:9" ht="21" customHeight="1">
      <c r="A39" s="45"/>
      <c r="B39" s="46"/>
      <c r="C39" s="47"/>
      <c r="D39" s="51"/>
      <c r="E39" s="50"/>
      <c r="F39" s="50"/>
      <c r="G39" s="48"/>
      <c r="H39" s="52"/>
      <c r="I39" s="49"/>
    </row>
    <row r="40" spans="1:9">
      <c r="A40" s="56"/>
      <c r="B40" s="57"/>
      <c r="C40" s="58"/>
      <c r="D40" s="59"/>
      <c r="E40" s="59"/>
      <c r="F40" s="59"/>
    </row>
    <row r="41" spans="1:9">
      <c r="A41" s="56"/>
      <c r="B41" s="57"/>
      <c r="C41" s="58"/>
      <c r="D41" s="59"/>
      <c r="E41" s="59"/>
      <c r="F41" s="59"/>
    </row>
    <row r="42" spans="1:9">
      <c r="A42" s="56"/>
      <c r="B42" s="57"/>
      <c r="C42" s="58"/>
      <c r="D42" s="59"/>
      <c r="E42" s="59"/>
      <c r="F42" s="59"/>
    </row>
    <row r="43" spans="1:9">
      <c r="A43" s="56"/>
      <c r="B43" s="57"/>
      <c r="C43" s="58"/>
      <c r="D43" s="59"/>
      <c r="E43" s="59"/>
      <c r="F43" s="59"/>
    </row>
    <row r="44" spans="1:9">
      <c r="A44" s="56"/>
      <c r="B44" s="57"/>
      <c r="C44" s="58"/>
      <c r="D44" s="59"/>
      <c r="E44" s="59"/>
      <c r="F44" s="59"/>
    </row>
    <row r="45" spans="1:9">
      <c r="A45" s="56"/>
      <c r="B45" s="60"/>
      <c r="C45" s="61"/>
      <c r="D45" s="59"/>
      <c r="E45" s="59"/>
      <c r="F45" s="59"/>
    </row>
    <row r="46" spans="1:9">
      <c r="A46" s="56"/>
      <c r="B46" s="60"/>
      <c r="C46" s="61"/>
      <c r="D46" s="59"/>
      <c r="E46" s="59"/>
      <c r="F46" s="59"/>
    </row>
    <row r="47" spans="1:9">
      <c r="A47" s="56"/>
      <c r="B47" s="60"/>
      <c r="C47" s="61"/>
      <c r="D47" s="59"/>
      <c r="E47" s="59"/>
      <c r="F47" s="59"/>
    </row>
    <row r="48" spans="1:9">
      <c r="A48" s="56"/>
      <c r="B48" s="60"/>
      <c r="C48" s="61"/>
      <c r="D48" s="59"/>
      <c r="E48" s="59"/>
      <c r="F48" s="59"/>
    </row>
    <row r="49" spans="1:6">
      <c r="A49" s="56"/>
      <c r="B49" s="60"/>
      <c r="C49" s="61"/>
      <c r="D49" s="59"/>
      <c r="E49" s="59"/>
      <c r="F49" s="59"/>
    </row>
    <row r="50" spans="1:6">
      <c r="A50" s="56"/>
      <c r="B50" s="60"/>
      <c r="C50" s="61"/>
      <c r="D50" s="59"/>
      <c r="E50" s="59"/>
      <c r="F50" s="59"/>
    </row>
    <row r="51" spans="1:6">
      <c r="A51" s="56"/>
      <c r="B51" s="60"/>
      <c r="C51" s="61"/>
      <c r="D51" s="59"/>
      <c r="E51" s="59"/>
      <c r="F51" s="59"/>
    </row>
    <row r="52" spans="1:6">
      <c r="A52" s="56"/>
      <c r="B52" s="60"/>
      <c r="C52" s="61"/>
      <c r="D52" s="59"/>
      <c r="E52" s="59"/>
      <c r="F52" s="59"/>
    </row>
    <row r="53" spans="1:6">
      <c r="A53" s="56"/>
      <c r="B53" s="60"/>
      <c r="C53" s="61"/>
      <c r="D53" s="59"/>
      <c r="E53" s="59"/>
      <c r="F53" s="59"/>
    </row>
    <row r="54" spans="1:6">
      <c r="A54" s="62"/>
      <c r="B54" s="63"/>
      <c r="C54" s="64"/>
      <c r="D54" s="63"/>
      <c r="E54" s="63"/>
      <c r="F54" s="63"/>
    </row>
    <row r="55" spans="1:6">
      <c r="A55" s="62"/>
      <c r="B55" s="63"/>
      <c r="C55" s="64"/>
      <c r="D55" s="63"/>
      <c r="E55" s="63"/>
      <c r="F55" s="63"/>
    </row>
    <row r="56" spans="1:6">
      <c r="A56" s="62"/>
      <c r="B56" s="63"/>
      <c r="C56" s="64"/>
      <c r="D56" s="63"/>
      <c r="E56" s="63"/>
      <c r="F56" s="63"/>
    </row>
    <row r="57" spans="1:6">
      <c r="A57" s="56"/>
      <c r="B57" s="60"/>
      <c r="C57" s="61"/>
      <c r="D57" s="59"/>
      <c r="E57" s="59"/>
      <c r="F57" s="59"/>
    </row>
    <row r="58" spans="1:6">
      <c r="A58" s="56"/>
      <c r="B58" s="60"/>
      <c r="C58" s="61"/>
      <c r="D58" s="59"/>
      <c r="E58" s="59"/>
      <c r="F58" s="59"/>
    </row>
    <row r="59" spans="1:6">
      <c r="A59" s="56"/>
      <c r="B59" s="60"/>
      <c r="C59" s="61"/>
      <c r="D59" s="59"/>
      <c r="E59" s="59"/>
      <c r="F59" s="59"/>
    </row>
    <row r="60" spans="1:6">
      <c r="A60" s="56"/>
      <c r="B60" s="60"/>
      <c r="C60" s="61"/>
      <c r="D60" s="59"/>
      <c r="E60" s="59"/>
      <c r="F60" s="59"/>
    </row>
    <row r="61" spans="1:6">
      <c r="A61" s="56"/>
      <c r="B61" s="60"/>
      <c r="C61" s="61"/>
      <c r="D61" s="59"/>
      <c r="E61" s="59"/>
      <c r="F61" s="59"/>
    </row>
    <row r="62" spans="1:6">
      <c r="A62" s="56"/>
      <c r="B62" s="60"/>
      <c r="C62" s="61"/>
      <c r="D62" s="59"/>
      <c r="E62" s="59"/>
      <c r="F62" s="59"/>
    </row>
    <row r="63" spans="1:6">
      <c r="A63" s="56"/>
      <c r="B63" s="60"/>
      <c r="C63" s="61"/>
      <c r="D63" s="59"/>
      <c r="E63" s="59"/>
      <c r="F63" s="59"/>
    </row>
    <row r="64" spans="1:6">
      <c r="A64" s="56"/>
      <c r="B64" s="60"/>
      <c r="C64" s="61"/>
      <c r="D64" s="59"/>
      <c r="E64" s="59"/>
      <c r="F64" s="59"/>
    </row>
    <row r="65" spans="1:6">
      <c r="A65" s="56"/>
      <c r="B65" s="60"/>
      <c r="C65" s="61"/>
      <c r="D65" s="59"/>
      <c r="E65" s="59"/>
      <c r="F65" s="59"/>
    </row>
    <row r="66" spans="1:6">
      <c r="A66" s="56"/>
      <c r="B66" s="60"/>
      <c r="C66" s="61"/>
      <c r="D66" s="59"/>
      <c r="E66" s="59"/>
      <c r="F66" s="59"/>
    </row>
    <row r="67" spans="1:6">
      <c r="A67" s="56"/>
      <c r="B67" s="60"/>
      <c r="C67" s="61"/>
      <c r="D67" s="59"/>
      <c r="E67" s="59"/>
      <c r="F67" s="59"/>
    </row>
    <row r="68" spans="1:6">
      <c r="A68" s="56"/>
      <c r="B68" s="60"/>
      <c r="C68" s="61"/>
      <c r="D68" s="59"/>
      <c r="E68" s="59"/>
      <c r="F68" s="59"/>
    </row>
    <row r="69" spans="1:6">
      <c r="A69" s="56"/>
      <c r="B69" s="60"/>
      <c r="C69" s="61"/>
      <c r="D69" s="59"/>
      <c r="E69" s="59"/>
      <c r="F69" s="59"/>
    </row>
    <row r="70" spans="1:6">
      <c r="A70" s="56"/>
      <c r="B70" s="60"/>
      <c r="C70" s="61"/>
      <c r="D70" s="59"/>
      <c r="E70" s="59"/>
      <c r="F70" s="59"/>
    </row>
    <row r="71" spans="1:6">
      <c r="A71" s="56"/>
      <c r="B71" s="60"/>
      <c r="C71" s="61"/>
      <c r="D71" s="59"/>
      <c r="E71" s="59"/>
      <c r="F71" s="59"/>
    </row>
    <row r="72" spans="1:6">
      <c r="A72" s="56"/>
      <c r="B72" s="60"/>
      <c r="C72" s="61"/>
      <c r="D72" s="59"/>
      <c r="E72" s="59"/>
      <c r="F72" s="59"/>
    </row>
    <row r="73" spans="1:6">
      <c r="A73" s="56"/>
      <c r="B73" s="60"/>
      <c r="C73" s="61"/>
      <c r="D73" s="59"/>
      <c r="E73" s="59"/>
      <c r="F73" s="59"/>
    </row>
    <row r="74" spans="1:6">
      <c r="A74" s="56"/>
      <c r="B74" s="60"/>
      <c r="C74" s="61"/>
      <c r="D74" s="59"/>
      <c r="E74" s="59"/>
      <c r="F74" s="59"/>
    </row>
    <row r="75" spans="1:6">
      <c r="A75" s="56"/>
      <c r="B75" s="60"/>
      <c r="C75" s="61"/>
      <c r="D75" s="59"/>
      <c r="E75" s="59"/>
      <c r="F75" s="59"/>
    </row>
    <row r="76" spans="1:6">
      <c r="A76" s="56"/>
      <c r="B76" s="60"/>
      <c r="C76" s="61"/>
      <c r="D76" s="59"/>
      <c r="E76" s="59"/>
      <c r="F76" s="59"/>
    </row>
    <row r="77" spans="1:6">
      <c r="A77" s="56"/>
      <c r="B77" s="60"/>
      <c r="C77" s="61"/>
      <c r="D77" s="59"/>
      <c r="E77" s="59"/>
      <c r="F77" s="59"/>
    </row>
    <row r="78" spans="1:6">
      <c r="A78" s="56"/>
      <c r="B78" s="60"/>
      <c r="C78" s="61"/>
      <c r="D78" s="59"/>
      <c r="E78" s="59"/>
      <c r="F78" s="59"/>
    </row>
    <row r="79" spans="1:6">
      <c r="A79" s="56"/>
      <c r="B79" s="60"/>
      <c r="C79" s="61"/>
      <c r="D79" s="59"/>
      <c r="E79" s="59"/>
      <c r="F79" s="59"/>
    </row>
    <row r="80" spans="1:6">
      <c r="A80" s="56"/>
      <c r="B80" s="60"/>
      <c r="C80" s="61"/>
      <c r="D80" s="59"/>
      <c r="E80" s="59"/>
      <c r="F80" s="59"/>
    </row>
    <row r="81" spans="1:6">
      <c r="A81" s="56"/>
      <c r="B81" s="60"/>
      <c r="C81" s="61"/>
      <c r="D81" s="59"/>
      <c r="E81" s="59"/>
      <c r="F81" s="59"/>
    </row>
    <row r="82" spans="1:6">
      <c r="A82" s="56"/>
      <c r="B82" s="60"/>
      <c r="C82" s="61"/>
      <c r="D82" s="59"/>
      <c r="E82" s="59"/>
      <c r="F82" s="59"/>
    </row>
    <row r="83" spans="1:6">
      <c r="A83" s="56"/>
      <c r="B83" s="60"/>
      <c r="C83" s="61"/>
      <c r="D83" s="59"/>
      <c r="E83" s="59"/>
      <c r="F83" s="59"/>
    </row>
    <row r="84" spans="1:6">
      <c r="A84" s="56"/>
      <c r="B84" s="60"/>
      <c r="C84" s="61"/>
      <c r="D84" s="59"/>
      <c r="E84" s="59"/>
      <c r="F84" s="59"/>
    </row>
    <row r="85" spans="1:6">
      <c r="A85" s="56"/>
      <c r="B85" s="60"/>
      <c r="C85" s="61"/>
      <c r="D85" s="59"/>
      <c r="E85" s="59"/>
      <c r="F85" s="59"/>
    </row>
    <row r="86" spans="1:6">
      <c r="A86" s="56"/>
      <c r="B86" s="60"/>
      <c r="C86" s="61"/>
      <c r="D86" s="59"/>
      <c r="E86" s="59"/>
      <c r="F86" s="59"/>
    </row>
    <row r="87" spans="1:6">
      <c r="A87" s="56"/>
      <c r="B87" s="60"/>
      <c r="C87" s="61"/>
      <c r="D87" s="59"/>
      <c r="E87" s="59"/>
      <c r="F87" s="59"/>
    </row>
    <row r="88" spans="1:6">
      <c r="A88" s="56"/>
      <c r="B88" s="60"/>
      <c r="C88" s="61"/>
      <c r="D88" s="59"/>
      <c r="E88" s="59"/>
      <c r="F88" s="59"/>
    </row>
    <row r="89" spans="1:6">
      <c r="A89" s="56"/>
      <c r="B89" s="60"/>
      <c r="C89" s="61"/>
      <c r="D89" s="59"/>
      <c r="E89" s="59"/>
      <c r="F89" s="59"/>
    </row>
    <row r="90" spans="1:6">
      <c r="A90" s="56"/>
      <c r="B90" s="60"/>
      <c r="C90" s="61"/>
      <c r="D90" s="59"/>
      <c r="E90" s="59"/>
      <c r="F90" s="59"/>
    </row>
    <row r="91" spans="1:6">
      <c r="A91" s="56"/>
      <c r="B91" s="60"/>
      <c r="C91" s="61"/>
      <c r="D91" s="59"/>
      <c r="E91" s="59"/>
      <c r="F91" s="59"/>
    </row>
  </sheetData>
  <mergeCells count="11">
    <mergeCell ref="C7:D7"/>
    <mergeCell ref="A1:H1"/>
    <mergeCell ref="A3:I3"/>
    <mergeCell ref="A5:A6"/>
    <mergeCell ref="B5:B6"/>
    <mergeCell ref="C5:D6"/>
    <mergeCell ref="E5:E6"/>
    <mergeCell ref="F5:F6"/>
    <mergeCell ref="G5:G6"/>
    <mergeCell ref="H5:H6"/>
    <mergeCell ref="I5:I6"/>
  </mergeCells>
  <pageMargins left="0.7" right="0.7" top="0.7" bottom="0.3" header="0.3" footer="0.3"/>
  <pageSetup paperSize="9" orientation="portrait" r:id="rId1"/>
  <headerFooter>
    <oddHeader>Page &amp;P</oddHeader>
  </headerFooter>
</worksheet>
</file>

<file path=xl/worksheets/sheet21.xml><?xml version="1.0" encoding="utf-8"?>
<worksheet xmlns="http://schemas.openxmlformats.org/spreadsheetml/2006/main" xmlns:r="http://schemas.openxmlformats.org/officeDocument/2006/relationships">
  <sheetPr>
    <tabColor rgb="FFFF0000"/>
  </sheetPr>
  <dimension ref="A1:P43"/>
  <sheetViews>
    <sheetView view="pageBreakPreview" zoomScale="80" zoomScaleSheetLayoutView="80" workbookViewId="0">
      <selection activeCell="E40" sqref="E40"/>
    </sheetView>
  </sheetViews>
  <sheetFormatPr defaultColWidth="8.88671875" defaultRowHeight="20.100000000000001" customHeight="1"/>
  <cols>
    <col min="1" max="1" width="5.77734375" style="65" customWidth="1"/>
    <col min="2" max="2" width="38.109375" style="65" customWidth="1"/>
    <col min="3" max="4" width="4.5546875" style="65" customWidth="1"/>
    <col min="5" max="7" width="8.5546875" style="114" customWidth="1"/>
    <col min="8" max="8" width="8.88671875" style="114" customWidth="1"/>
    <col min="9" max="256" width="8.88671875" style="65"/>
    <col min="257" max="257" width="5.77734375" style="65" customWidth="1"/>
    <col min="258" max="258" width="39.33203125" style="65" customWidth="1"/>
    <col min="259" max="260" width="4.5546875" style="65" customWidth="1"/>
    <col min="261" max="263" width="8.5546875" style="65" customWidth="1"/>
    <col min="264" max="264" width="8.88671875" style="65" customWidth="1"/>
    <col min="265" max="512" width="8.88671875" style="65"/>
    <col min="513" max="513" width="5.77734375" style="65" customWidth="1"/>
    <col min="514" max="514" width="39.33203125" style="65" customWidth="1"/>
    <col min="515" max="516" width="4.5546875" style="65" customWidth="1"/>
    <col min="517" max="519" width="8.5546875" style="65" customWidth="1"/>
    <col min="520" max="520" width="8.88671875" style="65" customWidth="1"/>
    <col min="521" max="768" width="8.88671875" style="65"/>
    <col min="769" max="769" width="5.77734375" style="65" customWidth="1"/>
    <col min="770" max="770" width="39.33203125" style="65" customWidth="1"/>
    <col min="771" max="772" width="4.5546875" style="65" customWidth="1"/>
    <col min="773" max="775" width="8.5546875" style="65" customWidth="1"/>
    <col min="776" max="776" width="8.88671875" style="65" customWidth="1"/>
    <col min="777" max="1024" width="8.88671875" style="65"/>
    <col min="1025" max="1025" width="5.77734375" style="65" customWidth="1"/>
    <col min="1026" max="1026" width="39.33203125" style="65" customWidth="1"/>
    <col min="1027" max="1028" width="4.5546875" style="65" customWidth="1"/>
    <col min="1029" max="1031" width="8.5546875" style="65" customWidth="1"/>
    <col min="1032" max="1032" width="8.88671875" style="65" customWidth="1"/>
    <col min="1033" max="1280" width="8.88671875" style="65"/>
    <col min="1281" max="1281" width="5.77734375" style="65" customWidth="1"/>
    <col min="1282" max="1282" width="39.33203125" style="65" customWidth="1"/>
    <col min="1283" max="1284" width="4.5546875" style="65" customWidth="1"/>
    <col min="1285" max="1287" width="8.5546875" style="65" customWidth="1"/>
    <col min="1288" max="1288" width="8.88671875" style="65" customWidth="1"/>
    <col min="1289" max="1536" width="8.88671875" style="65"/>
    <col min="1537" max="1537" width="5.77734375" style="65" customWidth="1"/>
    <col min="1538" max="1538" width="39.33203125" style="65" customWidth="1"/>
    <col min="1539" max="1540" width="4.5546875" style="65" customWidth="1"/>
    <col min="1541" max="1543" width="8.5546875" style="65" customWidth="1"/>
    <col min="1544" max="1544" width="8.88671875" style="65" customWidth="1"/>
    <col min="1545" max="1792" width="8.88671875" style="65"/>
    <col min="1793" max="1793" width="5.77734375" style="65" customWidth="1"/>
    <col min="1794" max="1794" width="39.33203125" style="65" customWidth="1"/>
    <col min="1795" max="1796" width="4.5546875" style="65" customWidth="1"/>
    <col min="1797" max="1799" width="8.5546875" style="65" customWidth="1"/>
    <col min="1800" max="1800" width="8.88671875" style="65" customWidth="1"/>
    <col min="1801" max="2048" width="8.88671875" style="65"/>
    <col min="2049" max="2049" width="5.77734375" style="65" customWidth="1"/>
    <col min="2050" max="2050" width="39.33203125" style="65" customWidth="1"/>
    <col min="2051" max="2052" width="4.5546875" style="65" customWidth="1"/>
    <col min="2053" max="2055" width="8.5546875" style="65" customWidth="1"/>
    <col min="2056" max="2056" width="8.88671875" style="65" customWidth="1"/>
    <col min="2057" max="2304" width="8.88671875" style="65"/>
    <col min="2305" max="2305" width="5.77734375" style="65" customWidth="1"/>
    <col min="2306" max="2306" width="39.33203125" style="65" customWidth="1"/>
    <col min="2307" max="2308" width="4.5546875" style="65" customWidth="1"/>
    <col min="2309" max="2311" width="8.5546875" style="65" customWidth="1"/>
    <col min="2312" max="2312" width="8.88671875" style="65" customWidth="1"/>
    <col min="2313" max="2560" width="8.88671875" style="65"/>
    <col min="2561" max="2561" width="5.77734375" style="65" customWidth="1"/>
    <col min="2562" max="2562" width="39.33203125" style="65" customWidth="1"/>
    <col min="2563" max="2564" width="4.5546875" style="65" customWidth="1"/>
    <col min="2565" max="2567" width="8.5546875" style="65" customWidth="1"/>
    <col min="2568" max="2568" width="8.88671875" style="65" customWidth="1"/>
    <col min="2569" max="2816" width="8.88671875" style="65"/>
    <col min="2817" max="2817" width="5.77734375" style="65" customWidth="1"/>
    <col min="2818" max="2818" width="39.33203125" style="65" customWidth="1"/>
    <col min="2819" max="2820" width="4.5546875" style="65" customWidth="1"/>
    <col min="2821" max="2823" width="8.5546875" style="65" customWidth="1"/>
    <col min="2824" max="2824" width="8.88671875" style="65" customWidth="1"/>
    <col min="2825" max="3072" width="8.88671875" style="65"/>
    <col min="3073" max="3073" width="5.77734375" style="65" customWidth="1"/>
    <col min="3074" max="3074" width="39.33203125" style="65" customWidth="1"/>
    <col min="3075" max="3076" width="4.5546875" style="65" customWidth="1"/>
    <col min="3077" max="3079" width="8.5546875" style="65" customWidth="1"/>
    <col min="3080" max="3080" width="8.88671875" style="65" customWidth="1"/>
    <col min="3081" max="3328" width="8.88671875" style="65"/>
    <col min="3329" max="3329" width="5.77734375" style="65" customWidth="1"/>
    <col min="3330" max="3330" width="39.33203125" style="65" customWidth="1"/>
    <col min="3331" max="3332" width="4.5546875" style="65" customWidth="1"/>
    <col min="3333" max="3335" width="8.5546875" style="65" customWidth="1"/>
    <col min="3336" max="3336" width="8.88671875" style="65" customWidth="1"/>
    <col min="3337" max="3584" width="8.88671875" style="65"/>
    <col min="3585" max="3585" width="5.77734375" style="65" customWidth="1"/>
    <col min="3586" max="3586" width="39.33203125" style="65" customWidth="1"/>
    <col min="3587" max="3588" width="4.5546875" style="65" customWidth="1"/>
    <col min="3589" max="3591" width="8.5546875" style="65" customWidth="1"/>
    <col min="3592" max="3592" width="8.88671875" style="65" customWidth="1"/>
    <col min="3593" max="3840" width="8.88671875" style="65"/>
    <col min="3841" max="3841" width="5.77734375" style="65" customWidth="1"/>
    <col min="3842" max="3842" width="39.33203125" style="65" customWidth="1"/>
    <col min="3843" max="3844" width="4.5546875" style="65" customWidth="1"/>
    <col min="3845" max="3847" width="8.5546875" style="65" customWidth="1"/>
    <col min="3848" max="3848" width="8.88671875" style="65" customWidth="1"/>
    <col min="3849" max="4096" width="8.88671875" style="65"/>
    <col min="4097" max="4097" width="5.77734375" style="65" customWidth="1"/>
    <col min="4098" max="4098" width="39.33203125" style="65" customWidth="1"/>
    <col min="4099" max="4100" width="4.5546875" style="65" customWidth="1"/>
    <col min="4101" max="4103" width="8.5546875" style="65" customWidth="1"/>
    <col min="4104" max="4104" width="8.88671875" style="65" customWidth="1"/>
    <col min="4105" max="4352" width="8.88671875" style="65"/>
    <col min="4353" max="4353" width="5.77734375" style="65" customWidth="1"/>
    <col min="4354" max="4354" width="39.33203125" style="65" customWidth="1"/>
    <col min="4355" max="4356" width="4.5546875" style="65" customWidth="1"/>
    <col min="4357" max="4359" width="8.5546875" style="65" customWidth="1"/>
    <col min="4360" max="4360" width="8.88671875" style="65" customWidth="1"/>
    <col min="4361" max="4608" width="8.88671875" style="65"/>
    <col min="4609" max="4609" width="5.77734375" style="65" customWidth="1"/>
    <col min="4610" max="4610" width="39.33203125" style="65" customWidth="1"/>
    <col min="4611" max="4612" width="4.5546875" style="65" customWidth="1"/>
    <col min="4613" max="4615" width="8.5546875" style="65" customWidth="1"/>
    <col min="4616" max="4616" width="8.88671875" style="65" customWidth="1"/>
    <col min="4617" max="4864" width="8.88671875" style="65"/>
    <col min="4865" max="4865" width="5.77734375" style="65" customWidth="1"/>
    <col min="4866" max="4866" width="39.33203125" style="65" customWidth="1"/>
    <col min="4867" max="4868" width="4.5546875" style="65" customWidth="1"/>
    <col min="4869" max="4871" width="8.5546875" style="65" customWidth="1"/>
    <col min="4872" max="4872" width="8.88671875" style="65" customWidth="1"/>
    <col min="4873" max="5120" width="8.88671875" style="65"/>
    <col min="5121" max="5121" width="5.77734375" style="65" customWidth="1"/>
    <col min="5122" max="5122" width="39.33203125" style="65" customWidth="1"/>
    <col min="5123" max="5124" width="4.5546875" style="65" customWidth="1"/>
    <col min="5125" max="5127" width="8.5546875" style="65" customWidth="1"/>
    <col min="5128" max="5128" width="8.88671875" style="65" customWidth="1"/>
    <col min="5129" max="5376" width="8.88671875" style="65"/>
    <col min="5377" max="5377" width="5.77734375" style="65" customWidth="1"/>
    <col min="5378" max="5378" width="39.33203125" style="65" customWidth="1"/>
    <col min="5379" max="5380" width="4.5546875" style="65" customWidth="1"/>
    <col min="5381" max="5383" width="8.5546875" style="65" customWidth="1"/>
    <col min="5384" max="5384" width="8.88671875" style="65" customWidth="1"/>
    <col min="5385" max="5632" width="8.88671875" style="65"/>
    <col min="5633" max="5633" width="5.77734375" style="65" customWidth="1"/>
    <col min="5634" max="5634" width="39.33203125" style="65" customWidth="1"/>
    <col min="5635" max="5636" width="4.5546875" style="65" customWidth="1"/>
    <col min="5637" max="5639" width="8.5546875" style="65" customWidth="1"/>
    <col min="5640" max="5640" width="8.88671875" style="65" customWidth="1"/>
    <col min="5641" max="5888" width="8.88671875" style="65"/>
    <col min="5889" max="5889" width="5.77734375" style="65" customWidth="1"/>
    <col min="5890" max="5890" width="39.33203125" style="65" customWidth="1"/>
    <col min="5891" max="5892" width="4.5546875" style="65" customWidth="1"/>
    <col min="5893" max="5895" width="8.5546875" style="65" customWidth="1"/>
    <col min="5896" max="5896" width="8.88671875" style="65" customWidth="1"/>
    <col min="5897" max="6144" width="8.88671875" style="65"/>
    <col min="6145" max="6145" width="5.77734375" style="65" customWidth="1"/>
    <col min="6146" max="6146" width="39.33203125" style="65" customWidth="1"/>
    <col min="6147" max="6148" width="4.5546875" style="65" customWidth="1"/>
    <col min="6149" max="6151" width="8.5546875" style="65" customWidth="1"/>
    <col min="6152" max="6152" width="8.88671875" style="65" customWidth="1"/>
    <col min="6153" max="6400" width="8.88671875" style="65"/>
    <col min="6401" max="6401" width="5.77734375" style="65" customWidth="1"/>
    <col min="6402" max="6402" width="39.33203125" style="65" customWidth="1"/>
    <col min="6403" max="6404" width="4.5546875" style="65" customWidth="1"/>
    <col min="6405" max="6407" width="8.5546875" style="65" customWidth="1"/>
    <col min="6408" max="6408" width="8.88671875" style="65" customWidth="1"/>
    <col min="6409" max="6656" width="8.88671875" style="65"/>
    <col min="6657" max="6657" width="5.77734375" style="65" customWidth="1"/>
    <col min="6658" max="6658" width="39.33203125" style="65" customWidth="1"/>
    <col min="6659" max="6660" width="4.5546875" style="65" customWidth="1"/>
    <col min="6661" max="6663" width="8.5546875" style="65" customWidth="1"/>
    <col min="6664" max="6664" width="8.88671875" style="65" customWidth="1"/>
    <col min="6665" max="6912" width="8.88671875" style="65"/>
    <col min="6913" max="6913" width="5.77734375" style="65" customWidth="1"/>
    <col min="6914" max="6914" width="39.33203125" style="65" customWidth="1"/>
    <col min="6915" max="6916" width="4.5546875" style="65" customWidth="1"/>
    <col min="6917" max="6919" width="8.5546875" style="65" customWidth="1"/>
    <col min="6920" max="6920" width="8.88671875" style="65" customWidth="1"/>
    <col min="6921" max="7168" width="8.88671875" style="65"/>
    <col min="7169" max="7169" width="5.77734375" style="65" customWidth="1"/>
    <col min="7170" max="7170" width="39.33203125" style="65" customWidth="1"/>
    <col min="7171" max="7172" width="4.5546875" style="65" customWidth="1"/>
    <col min="7173" max="7175" width="8.5546875" style="65" customWidth="1"/>
    <col min="7176" max="7176" width="8.88671875" style="65" customWidth="1"/>
    <col min="7177" max="7424" width="8.88671875" style="65"/>
    <col min="7425" max="7425" width="5.77734375" style="65" customWidth="1"/>
    <col min="7426" max="7426" width="39.33203125" style="65" customWidth="1"/>
    <col min="7427" max="7428" width="4.5546875" style="65" customWidth="1"/>
    <col min="7429" max="7431" width="8.5546875" style="65" customWidth="1"/>
    <col min="7432" max="7432" width="8.88671875" style="65" customWidth="1"/>
    <col min="7433" max="7680" width="8.88671875" style="65"/>
    <col min="7681" max="7681" width="5.77734375" style="65" customWidth="1"/>
    <col min="7682" max="7682" width="39.33203125" style="65" customWidth="1"/>
    <col min="7683" max="7684" width="4.5546875" style="65" customWidth="1"/>
    <col min="7685" max="7687" width="8.5546875" style="65" customWidth="1"/>
    <col min="7688" max="7688" width="8.88671875" style="65" customWidth="1"/>
    <col min="7689" max="7936" width="8.88671875" style="65"/>
    <col min="7937" max="7937" width="5.77734375" style="65" customWidth="1"/>
    <col min="7938" max="7938" width="39.33203125" style="65" customWidth="1"/>
    <col min="7939" max="7940" width="4.5546875" style="65" customWidth="1"/>
    <col min="7941" max="7943" width="8.5546875" style="65" customWidth="1"/>
    <col min="7944" max="7944" width="8.88671875" style="65" customWidth="1"/>
    <col min="7945" max="8192" width="8.88671875" style="65"/>
    <col min="8193" max="8193" width="5.77734375" style="65" customWidth="1"/>
    <col min="8194" max="8194" width="39.33203125" style="65" customWidth="1"/>
    <col min="8195" max="8196" width="4.5546875" style="65" customWidth="1"/>
    <col min="8197" max="8199" width="8.5546875" style="65" customWidth="1"/>
    <col min="8200" max="8200" width="8.88671875" style="65" customWidth="1"/>
    <col min="8201" max="8448" width="8.88671875" style="65"/>
    <col min="8449" max="8449" width="5.77734375" style="65" customWidth="1"/>
    <col min="8450" max="8450" width="39.33203125" style="65" customWidth="1"/>
    <col min="8451" max="8452" width="4.5546875" style="65" customWidth="1"/>
    <col min="8453" max="8455" width="8.5546875" style="65" customWidth="1"/>
    <col min="8456" max="8456" width="8.88671875" style="65" customWidth="1"/>
    <col min="8457" max="8704" width="8.88671875" style="65"/>
    <col min="8705" max="8705" width="5.77734375" style="65" customWidth="1"/>
    <col min="8706" max="8706" width="39.33203125" style="65" customWidth="1"/>
    <col min="8707" max="8708" width="4.5546875" style="65" customWidth="1"/>
    <col min="8709" max="8711" width="8.5546875" style="65" customWidth="1"/>
    <col min="8712" max="8712" width="8.88671875" style="65" customWidth="1"/>
    <col min="8713" max="8960" width="8.88671875" style="65"/>
    <col min="8961" max="8961" width="5.77734375" style="65" customWidth="1"/>
    <col min="8962" max="8962" width="39.33203125" style="65" customWidth="1"/>
    <col min="8963" max="8964" width="4.5546875" style="65" customWidth="1"/>
    <col min="8965" max="8967" width="8.5546875" style="65" customWidth="1"/>
    <col min="8968" max="8968" width="8.88671875" style="65" customWidth="1"/>
    <col min="8969" max="9216" width="8.88671875" style="65"/>
    <col min="9217" max="9217" width="5.77734375" style="65" customWidth="1"/>
    <col min="9218" max="9218" width="39.33203125" style="65" customWidth="1"/>
    <col min="9219" max="9220" width="4.5546875" style="65" customWidth="1"/>
    <col min="9221" max="9223" width="8.5546875" style="65" customWidth="1"/>
    <col min="9224" max="9224" width="8.88671875" style="65" customWidth="1"/>
    <col min="9225" max="9472" width="8.88671875" style="65"/>
    <col min="9473" max="9473" width="5.77734375" style="65" customWidth="1"/>
    <col min="9474" max="9474" width="39.33203125" style="65" customWidth="1"/>
    <col min="9475" max="9476" width="4.5546875" style="65" customWidth="1"/>
    <col min="9477" max="9479" width="8.5546875" style="65" customWidth="1"/>
    <col min="9480" max="9480" width="8.88671875" style="65" customWidth="1"/>
    <col min="9481" max="9728" width="8.88671875" style="65"/>
    <col min="9729" max="9729" width="5.77734375" style="65" customWidth="1"/>
    <col min="9730" max="9730" width="39.33203125" style="65" customWidth="1"/>
    <col min="9731" max="9732" width="4.5546875" style="65" customWidth="1"/>
    <col min="9733" max="9735" width="8.5546875" style="65" customWidth="1"/>
    <col min="9736" max="9736" width="8.88671875" style="65" customWidth="1"/>
    <col min="9737" max="9984" width="8.88671875" style="65"/>
    <col min="9985" max="9985" width="5.77734375" style="65" customWidth="1"/>
    <col min="9986" max="9986" width="39.33203125" style="65" customWidth="1"/>
    <col min="9987" max="9988" width="4.5546875" style="65" customWidth="1"/>
    <col min="9989" max="9991" width="8.5546875" style="65" customWidth="1"/>
    <col min="9992" max="9992" width="8.88671875" style="65" customWidth="1"/>
    <col min="9993" max="10240" width="8.88671875" style="65"/>
    <col min="10241" max="10241" width="5.77734375" style="65" customWidth="1"/>
    <col min="10242" max="10242" width="39.33203125" style="65" customWidth="1"/>
    <col min="10243" max="10244" width="4.5546875" style="65" customWidth="1"/>
    <col min="10245" max="10247" width="8.5546875" style="65" customWidth="1"/>
    <col min="10248" max="10248" width="8.88671875" style="65" customWidth="1"/>
    <col min="10249" max="10496" width="8.88671875" style="65"/>
    <col min="10497" max="10497" width="5.77734375" style="65" customWidth="1"/>
    <col min="10498" max="10498" width="39.33203125" style="65" customWidth="1"/>
    <col min="10499" max="10500" width="4.5546875" style="65" customWidth="1"/>
    <col min="10501" max="10503" width="8.5546875" style="65" customWidth="1"/>
    <col min="10504" max="10504" width="8.88671875" style="65" customWidth="1"/>
    <col min="10505" max="10752" width="8.88671875" style="65"/>
    <col min="10753" max="10753" width="5.77734375" style="65" customWidth="1"/>
    <col min="10754" max="10754" width="39.33203125" style="65" customWidth="1"/>
    <col min="10755" max="10756" width="4.5546875" style="65" customWidth="1"/>
    <col min="10757" max="10759" width="8.5546875" style="65" customWidth="1"/>
    <col min="10760" max="10760" width="8.88671875" style="65" customWidth="1"/>
    <col min="10761" max="11008" width="8.88671875" style="65"/>
    <col min="11009" max="11009" width="5.77734375" style="65" customWidth="1"/>
    <col min="11010" max="11010" width="39.33203125" style="65" customWidth="1"/>
    <col min="11011" max="11012" width="4.5546875" style="65" customWidth="1"/>
    <col min="11013" max="11015" width="8.5546875" style="65" customWidth="1"/>
    <col min="11016" max="11016" width="8.88671875" style="65" customWidth="1"/>
    <col min="11017" max="11264" width="8.88671875" style="65"/>
    <col min="11265" max="11265" width="5.77734375" style="65" customWidth="1"/>
    <col min="11266" max="11266" width="39.33203125" style="65" customWidth="1"/>
    <col min="11267" max="11268" width="4.5546875" style="65" customWidth="1"/>
    <col min="11269" max="11271" width="8.5546875" style="65" customWidth="1"/>
    <col min="11272" max="11272" width="8.88671875" style="65" customWidth="1"/>
    <col min="11273" max="11520" width="8.88671875" style="65"/>
    <col min="11521" max="11521" width="5.77734375" style="65" customWidth="1"/>
    <col min="11522" max="11522" width="39.33203125" style="65" customWidth="1"/>
    <col min="11523" max="11524" width="4.5546875" style="65" customWidth="1"/>
    <col min="11525" max="11527" width="8.5546875" style="65" customWidth="1"/>
    <col min="11528" max="11528" width="8.88671875" style="65" customWidth="1"/>
    <col min="11529" max="11776" width="8.88671875" style="65"/>
    <col min="11777" max="11777" width="5.77734375" style="65" customWidth="1"/>
    <col min="11778" max="11778" width="39.33203125" style="65" customWidth="1"/>
    <col min="11779" max="11780" width="4.5546875" style="65" customWidth="1"/>
    <col min="11781" max="11783" width="8.5546875" style="65" customWidth="1"/>
    <col min="11784" max="11784" width="8.88671875" style="65" customWidth="1"/>
    <col min="11785" max="12032" width="8.88671875" style="65"/>
    <col min="12033" max="12033" width="5.77734375" style="65" customWidth="1"/>
    <col min="12034" max="12034" width="39.33203125" style="65" customWidth="1"/>
    <col min="12035" max="12036" width="4.5546875" style="65" customWidth="1"/>
    <col min="12037" max="12039" width="8.5546875" style="65" customWidth="1"/>
    <col min="12040" max="12040" width="8.88671875" style="65" customWidth="1"/>
    <col min="12041" max="12288" width="8.88671875" style="65"/>
    <col min="12289" max="12289" width="5.77734375" style="65" customWidth="1"/>
    <col min="12290" max="12290" width="39.33203125" style="65" customWidth="1"/>
    <col min="12291" max="12292" width="4.5546875" style="65" customWidth="1"/>
    <col min="12293" max="12295" width="8.5546875" style="65" customWidth="1"/>
    <col min="12296" max="12296" width="8.88671875" style="65" customWidth="1"/>
    <col min="12297" max="12544" width="8.88671875" style="65"/>
    <col min="12545" max="12545" width="5.77734375" style="65" customWidth="1"/>
    <col min="12546" max="12546" width="39.33203125" style="65" customWidth="1"/>
    <col min="12547" max="12548" width="4.5546875" style="65" customWidth="1"/>
    <col min="12549" max="12551" width="8.5546875" style="65" customWidth="1"/>
    <col min="12552" max="12552" width="8.88671875" style="65" customWidth="1"/>
    <col min="12553" max="12800" width="8.88671875" style="65"/>
    <col min="12801" max="12801" width="5.77734375" style="65" customWidth="1"/>
    <col min="12802" max="12802" width="39.33203125" style="65" customWidth="1"/>
    <col min="12803" max="12804" width="4.5546875" style="65" customWidth="1"/>
    <col min="12805" max="12807" width="8.5546875" style="65" customWidth="1"/>
    <col min="12808" max="12808" width="8.88671875" style="65" customWidth="1"/>
    <col min="12809" max="13056" width="8.88671875" style="65"/>
    <col min="13057" max="13057" width="5.77734375" style="65" customWidth="1"/>
    <col min="13058" max="13058" width="39.33203125" style="65" customWidth="1"/>
    <col min="13059" max="13060" width="4.5546875" style="65" customWidth="1"/>
    <col min="13061" max="13063" width="8.5546875" style="65" customWidth="1"/>
    <col min="13064" max="13064" width="8.88671875" style="65" customWidth="1"/>
    <col min="13065" max="13312" width="8.88671875" style="65"/>
    <col min="13313" max="13313" width="5.77734375" style="65" customWidth="1"/>
    <col min="13314" max="13314" width="39.33203125" style="65" customWidth="1"/>
    <col min="13315" max="13316" width="4.5546875" style="65" customWidth="1"/>
    <col min="13317" max="13319" width="8.5546875" style="65" customWidth="1"/>
    <col min="13320" max="13320" width="8.88671875" style="65" customWidth="1"/>
    <col min="13321" max="13568" width="8.88671875" style="65"/>
    <col min="13569" max="13569" width="5.77734375" style="65" customWidth="1"/>
    <col min="13570" max="13570" width="39.33203125" style="65" customWidth="1"/>
    <col min="13571" max="13572" width="4.5546875" style="65" customWidth="1"/>
    <col min="13573" max="13575" width="8.5546875" style="65" customWidth="1"/>
    <col min="13576" max="13576" width="8.88671875" style="65" customWidth="1"/>
    <col min="13577" max="13824" width="8.88671875" style="65"/>
    <col min="13825" max="13825" width="5.77734375" style="65" customWidth="1"/>
    <col min="13826" max="13826" width="39.33203125" style="65" customWidth="1"/>
    <col min="13827" max="13828" width="4.5546875" style="65" customWidth="1"/>
    <col min="13829" max="13831" width="8.5546875" style="65" customWidth="1"/>
    <col min="13832" max="13832" width="8.88671875" style="65" customWidth="1"/>
    <col min="13833" max="14080" width="8.88671875" style="65"/>
    <col min="14081" max="14081" width="5.77734375" style="65" customWidth="1"/>
    <col min="14082" max="14082" width="39.33203125" style="65" customWidth="1"/>
    <col min="14083" max="14084" width="4.5546875" style="65" customWidth="1"/>
    <col min="14085" max="14087" width="8.5546875" style="65" customWidth="1"/>
    <col min="14088" max="14088" width="8.88671875" style="65" customWidth="1"/>
    <col min="14089" max="14336" width="8.88671875" style="65"/>
    <col min="14337" max="14337" width="5.77734375" style="65" customWidth="1"/>
    <col min="14338" max="14338" width="39.33203125" style="65" customWidth="1"/>
    <col min="14339" max="14340" width="4.5546875" style="65" customWidth="1"/>
    <col min="14341" max="14343" width="8.5546875" style="65" customWidth="1"/>
    <col min="14344" max="14344" width="8.88671875" style="65" customWidth="1"/>
    <col min="14345" max="14592" width="8.88671875" style="65"/>
    <col min="14593" max="14593" width="5.77734375" style="65" customWidth="1"/>
    <col min="14594" max="14594" width="39.33203125" style="65" customWidth="1"/>
    <col min="14595" max="14596" width="4.5546875" style="65" customWidth="1"/>
    <col min="14597" max="14599" width="8.5546875" style="65" customWidth="1"/>
    <col min="14600" max="14600" width="8.88671875" style="65" customWidth="1"/>
    <col min="14601" max="14848" width="8.88671875" style="65"/>
    <col min="14849" max="14849" width="5.77734375" style="65" customWidth="1"/>
    <col min="14850" max="14850" width="39.33203125" style="65" customWidth="1"/>
    <col min="14851" max="14852" width="4.5546875" style="65" customWidth="1"/>
    <col min="14853" max="14855" width="8.5546875" style="65" customWidth="1"/>
    <col min="14856" max="14856" width="8.88671875" style="65" customWidth="1"/>
    <col min="14857" max="15104" width="8.88671875" style="65"/>
    <col min="15105" max="15105" width="5.77734375" style="65" customWidth="1"/>
    <col min="15106" max="15106" width="39.33203125" style="65" customWidth="1"/>
    <col min="15107" max="15108" width="4.5546875" style="65" customWidth="1"/>
    <col min="15109" max="15111" width="8.5546875" style="65" customWidth="1"/>
    <col min="15112" max="15112" width="8.88671875" style="65" customWidth="1"/>
    <col min="15113" max="15360" width="8.88671875" style="65"/>
    <col min="15361" max="15361" width="5.77734375" style="65" customWidth="1"/>
    <col min="15362" max="15362" width="39.33203125" style="65" customWidth="1"/>
    <col min="15363" max="15364" width="4.5546875" style="65" customWidth="1"/>
    <col min="15365" max="15367" width="8.5546875" style="65" customWidth="1"/>
    <col min="15368" max="15368" width="8.88671875" style="65" customWidth="1"/>
    <col min="15369" max="15616" width="8.88671875" style="65"/>
    <col min="15617" max="15617" width="5.77734375" style="65" customWidth="1"/>
    <col min="15618" max="15618" width="39.33203125" style="65" customWidth="1"/>
    <col min="15619" max="15620" width="4.5546875" style="65" customWidth="1"/>
    <col min="15621" max="15623" width="8.5546875" style="65" customWidth="1"/>
    <col min="15624" max="15624" width="8.88671875" style="65" customWidth="1"/>
    <col min="15625" max="15872" width="8.88671875" style="65"/>
    <col min="15873" max="15873" width="5.77734375" style="65" customWidth="1"/>
    <col min="15874" max="15874" width="39.33203125" style="65" customWidth="1"/>
    <col min="15875" max="15876" width="4.5546875" style="65" customWidth="1"/>
    <col min="15877" max="15879" width="8.5546875" style="65" customWidth="1"/>
    <col min="15880" max="15880" width="8.88671875" style="65" customWidth="1"/>
    <col min="15881" max="16128" width="8.88671875" style="65"/>
    <col min="16129" max="16129" width="5.77734375" style="65" customWidth="1"/>
    <col min="16130" max="16130" width="39.33203125" style="65" customWidth="1"/>
    <col min="16131" max="16132" width="4.5546875" style="65" customWidth="1"/>
    <col min="16133" max="16135" width="8.5546875" style="65" customWidth="1"/>
    <col min="16136" max="16136" width="8.88671875" style="65" customWidth="1"/>
    <col min="16137" max="16384" width="8.88671875" style="65"/>
  </cols>
  <sheetData>
    <row r="1" spans="1:16" ht="20.100000000000001" customHeight="1">
      <c r="A1" s="1554" t="s">
        <v>230</v>
      </c>
      <c r="B1" s="1554"/>
      <c r="C1" s="1554"/>
      <c r="D1" s="1554"/>
      <c r="E1" s="1554"/>
      <c r="F1" s="1554"/>
      <c r="G1" s="1554"/>
      <c r="H1" s="1554"/>
    </row>
    <row r="2" spans="1:16" ht="20.100000000000001" customHeight="1">
      <c r="A2" s="1554" t="s">
        <v>231</v>
      </c>
      <c r="B2" s="1554"/>
      <c r="C2" s="1554"/>
      <c r="D2" s="1554"/>
      <c r="E2" s="1554"/>
      <c r="F2" s="1554"/>
      <c r="G2" s="1554"/>
      <c r="H2" s="1554"/>
      <c r="I2" s="66"/>
      <c r="J2" s="66"/>
      <c r="K2" s="66"/>
      <c r="L2" s="66"/>
      <c r="M2" s="66"/>
      <c r="N2" s="66"/>
      <c r="O2" s="66"/>
      <c r="P2" s="66"/>
    </row>
    <row r="3" spans="1:16" ht="67.5" customHeight="1">
      <c r="A3" s="1555" t="str">
        <f>'Septic Tank'!A5:H5</f>
        <v>CONSTRUCTION OF NEW POLICE STATION BUILDING WITH DEVELOPMENT WORK IN  REGUNATHAPURAM IN PUDUKKOTTAI DISRICT.</v>
      </c>
      <c r="B3" s="1555"/>
      <c r="C3" s="1555"/>
      <c r="D3" s="1555"/>
      <c r="E3" s="1555"/>
      <c r="F3" s="1555"/>
      <c r="G3" s="1555"/>
      <c r="H3" s="1555"/>
      <c r="I3" s="66"/>
      <c r="J3" s="66"/>
      <c r="K3" s="66"/>
      <c r="L3" s="66"/>
      <c r="M3" s="66"/>
      <c r="N3" s="66"/>
      <c r="O3" s="66"/>
      <c r="P3" s="66"/>
    </row>
    <row r="4" spans="1:16" ht="25.15" customHeight="1">
      <c r="A4" s="1554" t="s">
        <v>1199</v>
      </c>
      <c r="B4" s="1554"/>
      <c r="C4" s="1554"/>
      <c r="D4" s="1554"/>
      <c r="E4" s="1554"/>
      <c r="F4" s="1554"/>
      <c r="G4" s="1554"/>
      <c r="H4" s="1554"/>
      <c r="I4" s="66"/>
      <c r="J4" s="66"/>
      <c r="K4" s="66"/>
      <c r="L4" s="66"/>
      <c r="M4" s="66"/>
      <c r="N4" s="66"/>
      <c r="O4" s="66"/>
      <c r="P4" s="66"/>
    </row>
    <row r="5" spans="1:16" ht="30" customHeight="1">
      <c r="A5" s="67" t="s">
        <v>544</v>
      </c>
      <c r="B5" s="68" t="s">
        <v>3</v>
      </c>
      <c r="C5" s="1556" t="s">
        <v>213</v>
      </c>
      <c r="D5" s="1556"/>
      <c r="E5" s="69" t="s">
        <v>74</v>
      </c>
      <c r="F5" s="69" t="s">
        <v>75</v>
      </c>
      <c r="G5" s="69" t="s">
        <v>76</v>
      </c>
      <c r="H5" s="69" t="s">
        <v>214</v>
      </c>
      <c r="I5" s="66"/>
      <c r="J5" s="66"/>
      <c r="K5" s="66"/>
      <c r="L5" s="66"/>
      <c r="M5" s="66"/>
      <c r="N5" s="66"/>
      <c r="O5" s="66"/>
      <c r="P5" s="66"/>
    </row>
    <row r="6" spans="1:16" ht="25.15" customHeight="1">
      <c r="A6" s="67">
        <v>1</v>
      </c>
      <c r="B6" s="68">
        <v>2</v>
      </c>
      <c r="C6" s="1556">
        <v>3</v>
      </c>
      <c r="D6" s="1556"/>
      <c r="E6" s="67">
        <v>4</v>
      </c>
      <c r="F6" s="67">
        <v>5</v>
      </c>
      <c r="G6" s="67">
        <v>6</v>
      </c>
      <c r="H6" s="67">
        <v>7</v>
      </c>
      <c r="I6" s="70"/>
      <c r="J6" s="70"/>
      <c r="K6" s="70"/>
      <c r="L6" s="70"/>
      <c r="M6" s="70"/>
      <c r="N6" s="70"/>
      <c r="O6" s="70"/>
      <c r="P6" s="70"/>
    </row>
    <row r="7" spans="1:16" ht="40.15" customHeight="1">
      <c r="A7" s="71">
        <v>1</v>
      </c>
      <c r="B7" s="72" t="s">
        <v>448</v>
      </c>
      <c r="C7" s="71"/>
      <c r="D7" s="71"/>
      <c r="E7" s="73"/>
      <c r="F7" s="73"/>
      <c r="G7" s="73"/>
      <c r="H7" s="73"/>
    </row>
    <row r="8" spans="1:16" ht="25.15" customHeight="1">
      <c r="A8" s="71"/>
      <c r="B8" s="150" t="s">
        <v>424</v>
      </c>
      <c r="C8" s="71">
        <v>1</v>
      </c>
      <c r="D8" s="71">
        <v>1</v>
      </c>
      <c r="E8" s="550" t="s">
        <v>372</v>
      </c>
      <c r="F8" s="550" t="s">
        <v>372</v>
      </c>
      <c r="G8" s="550" t="s">
        <v>372</v>
      </c>
      <c r="H8" s="73">
        <f>PRODUCT(C8:G8)</f>
        <v>1</v>
      </c>
    </row>
    <row r="9" spans="1:16" ht="25.15" customHeight="1">
      <c r="A9" s="71"/>
      <c r="B9" s="150" t="s">
        <v>447</v>
      </c>
      <c r="C9" s="71">
        <v>1</v>
      </c>
      <c r="D9" s="71">
        <v>1</v>
      </c>
      <c r="E9" s="550" t="s">
        <v>372</v>
      </c>
      <c r="F9" s="550" t="s">
        <v>372</v>
      </c>
      <c r="G9" s="550" t="s">
        <v>372</v>
      </c>
      <c r="H9" s="73">
        <f>PRODUCT(C9:G9)</f>
        <v>1</v>
      </c>
    </row>
    <row r="10" spans="1:16" ht="25.15" customHeight="1">
      <c r="A10" s="71"/>
      <c r="B10" s="150"/>
      <c r="C10" s="71"/>
      <c r="D10" s="71"/>
      <c r="E10" s="73"/>
      <c r="F10" s="73"/>
      <c r="G10" s="73" t="s">
        <v>57</v>
      </c>
      <c r="H10" s="73">
        <f>SUM(H8:H9)</f>
        <v>2</v>
      </c>
    </row>
    <row r="11" spans="1:16" ht="25.15" customHeight="1">
      <c r="A11" s="71"/>
      <c r="B11" s="150"/>
      <c r="C11" s="71"/>
      <c r="D11" s="71"/>
      <c r="E11" s="73"/>
      <c r="F11" s="76" t="s">
        <v>15</v>
      </c>
      <c r="G11" s="76">
        <f>+H10</f>
        <v>2</v>
      </c>
      <c r="H11" s="77" t="s">
        <v>213</v>
      </c>
    </row>
    <row r="12" spans="1:16" ht="60" customHeight="1">
      <c r="A12" s="71">
        <f>+A7+1</f>
        <v>2</v>
      </c>
      <c r="B12" s="72" t="s">
        <v>449</v>
      </c>
      <c r="C12" s="71"/>
      <c r="D12" s="71"/>
      <c r="E12" s="73"/>
      <c r="F12" s="76"/>
      <c r="G12" s="76"/>
      <c r="H12" s="76"/>
    </row>
    <row r="13" spans="1:16" ht="25.15" customHeight="1">
      <c r="A13" s="71"/>
      <c r="B13" s="72" t="s">
        <v>450</v>
      </c>
      <c r="C13" s="71">
        <v>1</v>
      </c>
      <c r="D13" s="71">
        <v>2</v>
      </c>
      <c r="E13" s="550" t="s">
        <v>372</v>
      </c>
      <c r="F13" s="550" t="s">
        <v>372</v>
      </c>
      <c r="G13" s="550" t="s">
        <v>372</v>
      </c>
      <c r="H13" s="73">
        <f>PRODUCT(C13:G13)</f>
        <v>2</v>
      </c>
    </row>
    <row r="14" spans="1:16" ht="25.15" customHeight="1">
      <c r="A14" s="71"/>
      <c r="B14" s="150"/>
      <c r="C14" s="71"/>
      <c r="D14" s="71"/>
      <c r="E14" s="73"/>
      <c r="F14" s="76" t="s">
        <v>15</v>
      </c>
      <c r="G14" s="76">
        <f>H13</f>
        <v>2</v>
      </c>
      <c r="H14" s="77" t="s">
        <v>213</v>
      </c>
    </row>
    <row r="15" spans="1:16" ht="60" customHeight="1">
      <c r="A15" s="71">
        <f>+A12+1</f>
        <v>3</v>
      </c>
      <c r="B15" s="72" t="s">
        <v>451</v>
      </c>
      <c r="C15" s="71"/>
      <c r="D15" s="71"/>
      <c r="E15" s="73"/>
      <c r="F15" s="76"/>
      <c r="G15" s="76"/>
      <c r="H15" s="76"/>
    </row>
    <row r="16" spans="1:16" ht="25.15" customHeight="1">
      <c r="A16" s="71"/>
      <c r="B16" s="72" t="s">
        <v>452</v>
      </c>
      <c r="C16" s="71">
        <v>1</v>
      </c>
      <c r="D16" s="71">
        <v>1</v>
      </c>
      <c r="E16" s="550" t="s">
        <v>372</v>
      </c>
      <c r="F16" s="550" t="s">
        <v>372</v>
      </c>
      <c r="G16" s="550" t="s">
        <v>372</v>
      </c>
      <c r="H16" s="73">
        <f>PRODUCT(C16:G16)</f>
        <v>1</v>
      </c>
    </row>
    <row r="17" spans="1:8" ht="25.15" customHeight="1">
      <c r="A17" s="71"/>
      <c r="B17" s="150"/>
      <c r="C17" s="71"/>
      <c r="D17" s="71"/>
      <c r="E17" s="73"/>
      <c r="F17" s="76" t="s">
        <v>15</v>
      </c>
      <c r="G17" s="76">
        <f>H16</f>
        <v>1</v>
      </c>
      <c r="H17" s="77" t="s">
        <v>213</v>
      </c>
    </row>
    <row r="18" spans="1:8" ht="40.15" customHeight="1">
      <c r="A18" s="71">
        <v>4</v>
      </c>
      <c r="B18" s="72" t="s">
        <v>453</v>
      </c>
      <c r="C18" s="71"/>
      <c r="D18" s="71"/>
      <c r="E18" s="73"/>
      <c r="F18" s="76"/>
      <c r="G18" s="76"/>
      <c r="H18" s="76"/>
    </row>
    <row r="19" spans="1:8" ht="25.15" customHeight="1">
      <c r="A19" s="71"/>
      <c r="B19" s="72" t="s">
        <v>454</v>
      </c>
      <c r="C19" s="71">
        <v>1</v>
      </c>
      <c r="D19" s="71">
        <v>1</v>
      </c>
      <c r="E19" s="550" t="s">
        <v>372</v>
      </c>
      <c r="F19" s="550" t="s">
        <v>372</v>
      </c>
      <c r="G19" s="550" t="s">
        <v>372</v>
      </c>
      <c r="H19" s="73">
        <f>PRODUCT(C19:G19)</f>
        <v>1</v>
      </c>
    </row>
    <row r="20" spans="1:8" ht="25.15" customHeight="1">
      <c r="A20" s="71"/>
      <c r="B20" s="150"/>
      <c r="C20" s="71"/>
      <c r="D20" s="71"/>
      <c r="E20" s="73"/>
      <c r="F20" s="76" t="s">
        <v>15</v>
      </c>
      <c r="G20" s="76">
        <f>H19</f>
        <v>1</v>
      </c>
      <c r="H20" s="77" t="s">
        <v>314</v>
      </c>
    </row>
    <row r="21" spans="1:8" ht="40.15" customHeight="1">
      <c r="A21" s="71">
        <f>+A18+1</f>
        <v>5</v>
      </c>
      <c r="B21" s="72" t="s">
        <v>455</v>
      </c>
      <c r="C21" s="71"/>
      <c r="D21" s="71"/>
      <c r="E21" s="73"/>
      <c r="F21" s="76"/>
      <c r="G21" s="76"/>
      <c r="H21" s="76"/>
    </row>
    <row r="22" spans="1:8" ht="25.15" customHeight="1">
      <c r="A22" s="71"/>
      <c r="B22" s="72" t="s">
        <v>424</v>
      </c>
      <c r="C22" s="71">
        <v>1</v>
      </c>
      <c r="D22" s="71">
        <v>1</v>
      </c>
      <c r="E22" s="73">
        <v>190</v>
      </c>
      <c r="F22" s="550" t="s">
        <v>372</v>
      </c>
      <c r="G22" s="550" t="s">
        <v>372</v>
      </c>
      <c r="H22" s="73">
        <f>PRODUCT(C22:G22)</f>
        <v>190</v>
      </c>
    </row>
    <row r="23" spans="1:8" ht="25.15" customHeight="1">
      <c r="A23" s="71"/>
      <c r="B23" s="72"/>
      <c r="C23" s="71"/>
      <c r="D23" s="71"/>
      <c r="E23" s="73"/>
      <c r="F23" s="73"/>
      <c r="G23" s="73" t="s">
        <v>57</v>
      </c>
      <c r="H23" s="73">
        <f>SUM(H22:H22)</f>
        <v>190</v>
      </c>
    </row>
    <row r="24" spans="1:8" ht="25.15" customHeight="1">
      <c r="A24" s="71"/>
      <c r="B24" s="150"/>
      <c r="C24" s="71"/>
      <c r="D24" s="71"/>
      <c r="E24" s="73"/>
      <c r="F24" s="76" t="s">
        <v>15</v>
      </c>
      <c r="G24" s="76">
        <f>+H23</f>
        <v>190</v>
      </c>
      <c r="H24" s="77" t="s">
        <v>61</v>
      </c>
    </row>
    <row r="25" spans="1:8" ht="40.15" customHeight="1">
      <c r="A25" s="71">
        <v>8</v>
      </c>
      <c r="B25" s="72" t="s">
        <v>456</v>
      </c>
      <c r="C25" s="71"/>
      <c r="D25" s="71"/>
      <c r="E25" s="73"/>
      <c r="F25" s="76"/>
      <c r="G25" s="76"/>
      <c r="H25" s="76"/>
    </row>
    <row r="26" spans="1:8" ht="25.15" customHeight="1">
      <c r="A26" s="71"/>
      <c r="B26" s="72" t="s">
        <v>424</v>
      </c>
      <c r="C26" s="71">
        <v>1</v>
      </c>
      <c r="D26" s="71">
        <v>1</v>
      </c>
      <c r="E26" s="73">
        <v>180</v>
      </c>
      <c r="F26" s="550" t="s">
        <v>372</v>
      </c>
      <c r="G26" s="550" t="s">
        <v>372</v>
      </c>
      <c r="H26" s="73">
        <f>PRODUCT(C26:G26)</f>
        <v>180</v>
      </c>
    </row>
    <row r="27" spans="1:8" ht="25.15" customHeight="1">
      <c r="A27" s="71"/>
      <c r="B27" s="150"/>
      <c r="C27" s="71"/>
      <c r="D27" s="71"/>
      <c r="E27" s="73"/>
      <c r="F27" s="76" t="s">
        <v>15</v>
      </c>
      <c r="G27" s="76">
        <f>+H26</f>
        <v>180</v>
      </c>
      <c r="H27" s="77" t="s">
        <v>61</v>
      </c>
    </row>
    <row r="28" spans="1:8" ht="40.15" customHeight="1">
      <c r="A28" s="71">
        <f>+A25+1</f>
        <v>9</v>
      </c>
      <c r="B28" s="72" t="s">
        <v>457</v>
      </c>
      <c r="C28" s="71"/>
      <c r="D28" s="71"/>
      <c r="E28" s="73"/>
      <c r="F28" s="76"/>
      <c r="G28" s="76"/>
      <c r="H28" s="76"/>
    </row>
    <row r="29" spans="1:8" ht="25.15" customHeight="1">
      <c r="A29" s="71"/>
      <c r="B29" s="72" t="s">
        <v>458</v>
      </c>
      <c r="C29" s="71">
        <v>1</v>
      </c>
      <c r="D29" s="71">
        <v>1</v>
      </c>
      <c r="E29" s="73">
        <v>170</v>
      </c>
      <c r="F29" s="550" t="s">
        <v>372</v>
      </c>
      <c r="G29" s="550" t="s">
        <v>372</v>
      </c>
      <c r="H29" s="73">
        <f>PRODUCT(C29:G29)</f>
        <v>170</v>
      </c>
    </row>
    <row r="30" spans="1:8" ht="25.15" customHeight="1">
      <c r="A30" s="71"/>
      <c r="B30" s="150"/>
      <c r="C30" s="71"/>
      <c r="D30" s="71"/>
      <c r="E30" s="73"/>
      <c r="F30" s="76" t="s">
        <v>15</v>
      </c>
      <c r="G30" s="76">
        <f>+H29</f>
        <v>170</v>
      </c>
      <c r="H30" s="77" t="s">
        <v>61</v>
      </c>
    </row>
    <row r="31" spans="1:8" ht="25.15" customHeight="1">
      <c r="A31" s="71">
        <f>+A28+1</f>
        <v>10</v>
      </c>
      <c r="B31" s="72" t="s">
        <v>459</v>
      </c>
      <c r="C31" s="71"/>
      <c r="D31" s="71"/>
      <c r="E31" s="73"/>
      <c r="F31" s="73"/>
      <c r="G31" s="73"/>
      <c r="H31" s="73"/>
    </row>
    <row r="32" spans="1:8" ht="25.15" customHeight="1">
      <c r="A32" s="71"/>
      <c r="B32" s="72" t="s">
        <v>424</v>
      </c>
      <c r="C32" s="71">
        <v>1</v>
      </c>
      <c r="D32" s="71">
        <v>1</v>
      </c>
      <c r="E32" s="550" t="s">
        <v>372</v>
      </c>
      <c r="F32" s="550" t="s">
        <v>372</v>
      </c>
      <c r="G32" s="550" t="s">
        <v>372</v>
      </c>
      <c r="H32" s="73">
        <f>PRODUCT(C32:G32)</f>
        <v>1</v>
      </c>
    </row>
    <row r="33" spans="1:8" ht="25.15" customHeight="1">
      <c r="A33" s="71"/>
      <c r="B33" s="150"/>
      <c r="C33" s="71"/>
      <c r="D33" s="71"/>
      <c r="E33" s="73"/>
      <c r="F33" s="76" t="s">
        <v>15</v>
      </c>
      <c r="G33" s="76">
        <f>H32</f>
        <v>1</v>
      </c>
      <c r="H33" s="77" t="s">
        <v>314</v>
      </c>
    </row>
    <row r="34" spans="1:8" ht="40.15" customHeight="1">
      <c r="A34" s="71">
        <f>+A31+1</f>
        <v>11</v>
      </c>
      <c r="B34" s="72" t="s">
        <v>460</v>
      </c>
      <c r="C34" s="71"/>
      <c r="D34" s="71"/>
      <c r="E34" s="73"/>
      <c r="F34" s="73"/>
      <c r="G34" s="73"/>
      <c r="H34" s="73"/>
    </row>
    <row r="35" spans="1:8" ht="25.15" customHeight="1">
      <c r="A35" s="71"/>
      <c r="B35" s="72" t="s">
        <v>1200</v>
      </c>
      <c r="C35" s="71"/>
      <c r="D35" s="71"/>
      <c r="E35" s="73"/>
      <c r="F35" s="73"/>
      <c r="G35" s="73"/>
      <c r="H35" s="73"/>
    </row>
    <row r="36" spans="1:8" ht="25.15" customHeight="1">
      <c r="A36" s="71"/>
      <c r="B36" s="72" t="s">
        <v>632</v>
      </c>
      <c r="C36" s="71">
        <v>1</v>
      </c>
      <c r="D36" s="71">
        <v>1</v>
      </c>
      <c r="E36" s="73">
        <v>3</v>
      </c>
      <c r="F36" s="550" t="s">
        <v>372</v>
      </c>
      <c r="G36" s="550" t="s">
        <v>372</v>
      </c>
      <c r="H36" s="73">
        <f>PRODUCT(C36:G36)</f>
        <v>3</v>
      </c>
    </row>
    <row r="37" spans="1:8" ht="25.15" customHeight="1">
      <c r="A37" s="71"/>
      <c r="B37" s="72"/>
      <c r="C37" s="71"/>
      <c r="D37" s="71"/>
      <c r="E37" s="73"/>
      <c r="F37" s="76" t="s">
        <v>15</v>
      </c>
      <c r="G37" s="76">
        <f>H36</f>
        <v>3</v>
      </c>
      <c r="H37" s="77" t="s">
        <v>61</v>
      </c>
    </row>
    <row r="38" spans="1:8" ht="40.15" customHeight="1">
      <c r="A38" s="71">
        <f>+A34+1</f>
        <v>12</v>
      </c>
      <c r="B38" s="72" t="s">
        <v>461</v>
      </c>
      <c r="C38" s="71"/>
      <c r="D38" s="71"/>
      <c r="E38" s="73"/>
      <c r="F38" s="76"/>
      <c r="G38" s="76"/>
      <c r="H38" s="76"/>
    </row>
    <row r="39" spans="1:8" s="803" customFormat="1" ht="25.15" customHeight="1">
      <c r="A39" s="799"/>
      <c r="B39" s="800" t="s">
        <v>1289</v>
      </c>
      <c r="C39" s="799">
        <v>1</v>
      </c>
      <c r="D39" s="799">
        <v>1</v>
      </c>
      <c r="E39" s="801">
        <v>5.5</v>
      </c>
      <c r="F39" s="802" t="s">
        <v>372</v>
      </c>
      <c r="G39" s="802" t="s">
        <v>372</v>
      </c>
      <c r="H39" s="801">
        <f>PRODUCT(C39:G39)</f>
        <v>5.5</v>
      </c>
    </row>
    <row r="40" spans="1:8" ht="25.15" customHeight="1">
      <c r="A40" s="71"/>
      <c r="B40" s="72"/>
      <c r="C40" s="71"/>
      <c r="D40" s="71"/>
      <c r="E40" s="73"/>
      <c r="F40" s="76" t="s">
        <v>15</v>
      </c>
      <c r="G40" s="76">
        <f>H39</f>
        <v>5.5</v>
      </c>
      <c r="H40" s="77" t="s">
        <v>61</v>
      </c>
    </row>
    <row r="42" spans="1:8" ht="30" customHeight="1"/>
    <row r="43" spans="1:8" ht="20.100000000000001" customHeight="1">
      <c r="A43" s="1553"/>
      <c r="B43" s="1553"/>
      <c r="C43" s="1553"/>
      <c r="D43" s="1553"/>
      <c r="E43" s="1553"/>
      <c r="F43" s="1553"/>
      <c r="G43" s="1553"/>
      <c r="H43" s="1553"/>
    </row>
  </sheetData>
  <mergeCells count="7">
    <mergeCell ref="A43:H43"/>
    <mergeCell ref="A1:H1"/>
    <mergeCell ref="A2:H2"/>
    <mergeCell ref="A3:H3"/>
    <mergeCell ref="A4:H4"/>
    <mergeCell ref="C5:D5"/>
    <mergeCell ref="C6:D6"/>
  </mergeCells>
  <printOptions horizontalCentered="1"/>
  <pageMargins left="0.7" right="0.7" top="0.7" bottom="0.4" header="0.3" footer="0.3"/>
  <pageSetup paperSize="9" scale="76" orientation="portrait" r:id="rId1"/>
  <headerFooter>
    <oddHeader>&amp;C&amp;"Arial Narrow,Regular"&amp;8Page &amp;P</oddHeader>
  </headerFooter>
</worksheet>
</file>

<file path=xl/worksheets/sheet22.xml><?xml version="1.0" encoding="utf-8"?>
<worksheet xmlns="http://schemas.openxmlformats.org/spreadsheetml/2006/main" xmlns:r="http://schemas.openxmlformats.org/officeDocument/2006/relationships">
  <sheetPr>
    <tabColor rgb="FFFF0000"/>
  </sheetPr>
  <dimension ref="A1:P193"/>
  <sheetViews>
    <sheetView view="pageBreakPreview" topLeftCell="A162" zoomScale="80" zoomScaleSheetLayoutView="80" workbookViewId="0">
      <selection activeCell="B22" sqref="B22:G22"/>
    </sheetView>
  </sheetViews>
  <sheetFormatPr defaultColWidth="8.88671875" defaultRowHeight="20.100000000000001" customHeight="1"/>
  <cols>
    <col min="1" max="1" width="5.77734375" style="65" customWidth="1"/>
    <col min="2" max="2" width="38.5546875" style="65" customWidth="1"/>
    <col min="3" max="3" width="4.5546875" style="65" customWidth="1"/>
    <col min="4" max="4" width="4.88671875" style="65" customWidth="1"/>
    <col min="5" max="5" width="9.6640625" style="114" customWidth="1"/>
    <col min="6" max="7" width="8.5546875" style="114" customWidth="1"/>
    <col min="8" max="8" width="7.21875" style="114" customWidth="1"/>
    <col min="9" max="256" width="8.88671875" style="65"/>
    <col min="257" max="257" width="5.77734375" style="65" customWidth="1"/>
    <col min="258" max="258" width="39.33203125" style="65" customWidth="1"/>
    <col min="259" max="259" width="4.5546875" style="65" customWidth="1"/>
    <col min="260" max="260" width="4.88671875" style="65" customWidth="1"/>
    <col min="261" max="261" width="9.6640625" style="65" customWidth="1"/>
    <col min="262" max="263" width="8.5546875" style="65" customWidth="1"/>
    <col min="264" max="264" width="7.21875" style="65" customWidth="1"/>
    <col min="265" max="512" width="8.88671875" style="65"/>
    <col min="513" max="513" width="5.77734375" style="65" customWidth="1"/>
    <col min="514" max="514" width="39.33203125" style="65" customWidth="1"/>
    <col min="515" max="515" width="4.5546875" style="65" customWidth="1"/>
    <col min="516" max="516" width="4.88671875" style="65" customWidth="1"/>
    <col min="517" max="517" width="9.6640625" style="65" customWidth="1"/>
    <col min="518" max="519" width="8.5546875" style="65" customWidth="1"/>
    <col min="520" max="520" width="7.21875" style="65" customWidth="1"/>
    <col min="521" max="768" width="8.88671875" style="65"/>
    <col min="769" max="769" width="5.77734375" style="65" customWidth="1"/>
    <col min="770" max="770" width="39.33203125" style="65" customWidth="1"/>
    <col min="771" max="771" width="4.5546875" style="65" customWidth="1"/>
    <col min="772" max="772" width="4.88671875" style="65" customWidth="1"/>
    <col min="773" max="773" width="9.6640625" style="65" customWidth="1"/>
    <col min="774" max="775" width="8.5546875" style="65" customWidth="1"/>
    <col min="776" max="776" width="7.21875" style="65" customWidth="1"/>
    <col min="777" max="1024" width="8.88671875" style="65"/>
    <col min="1025" max="1025" width="5.77734375" style="65" customWidth="1"/>
    <col min="1026" max="1026" width="39.33203125" style="65" customWidth="1"/>
    <col min="1027" max="1027" width="4.5546875" style="65" customWidth="1"/>
    <col min="1028" max="1028" width="4.88671875" style="65" customWidth="1"/>
    <col min="1029" max="1029" width="9.6640625" style="65" customWidth="1"/>
    <col min="1030" max="1031" width="8.5546875" style="65" customWidth="1"/>
    <col min="1032" max="1032" width="7.21875" style="65" customWidth="1"/>
    <col min="1033" max="1280" width="8.88671875" style="65"/>
    <col min="1281" max="1281" width="5.77734375" style="65" customWidth="1"/>
    <col min="1282" max="1282" width="39.33203125" style="65" customWidth="1"/>
    <col min="1283" max="1283" width="4.5546875" style="65" customWidth="1"/>
    <col min="1284" max="1284" width="4.88671875" style="65" customWidth="1"/>
    <col min="1285" max="1285" width="9.6640625" style="65" customWidth="1"/>
    <col min="1286" max="1287" width="8.5546875" style="65" customWidth="1"/>
    <col min="1288" max="1288" width="7.21875" style="65" customWidth="1"/>
    <col min="1289" max="1536" width="8.88671875" style="65"/>
    <col min="1537" max="1537" width="5.77734375" style="65" customWidth="1"/>
    <col min="1538" max="1538" width="39.33203125" style="65" customWidth="1"/>
    <col min="1539" max="1539" width="4.5546875" style="65" customWidth="1"/>
    <col min="1540" max="1540" width="4.88671875" style="65" customWidth="1"/>
    <col min="1541" max="1541" width="9.6640625" style="65" customWidth="1"/>
    <col min="1542" max="1543" width="8.5546875" style="65" customWidth="1"/>
    <col min="1544" max="1544" width="7.21875" style="65" customWidth="1"/>
    <col min="1545" max="1792" width="8.88671875" style="65"/>
    <col min="1793" max="1793" width="5.77734375" style="65" customWidth="1"/>
    <col min="1794" max="1794" width="39.33203125" style="65" customWidth="1"/>
    <col min="1795" max="1795" width="4.5546875" style="65" customWidth="1"/>
    <col min="1796" max="1796" width="4.88671875" style="65" customWidth="1"/>
    <col min="1797" max="1797" width="9.6640625" style="65" customWidth="1"/>
    <col min="1798" max="1799" width="8.5546875" style="65" customWidth="1"/>
    <col min="1800" max="1800" width="7.21875" style="65" customWidth="1"/>
    <col min="1801" max="2048" width="8.88671875" style="65"/>
    <col min="2049" max="2049" width="5.77734375" style="65" customWidth="1"/>
    <col min="2050" max="2050" width="39.33203125" style="65" customWidth="1"/>
    <col min="2051" max="2051" width="4.5546875" style="65" customWidth="1"/>
    <col min="2052" max="2052" width="4.88671875" style="65" customWidth="1"/>
    <col min="2053" max="2053" width="9.6640625" style="65" customWidth="1"/>
    <col min="2054" max="2055" width="8.5546875" style="65" customWidth="1"/>
    <col min="2056" max="2056" width="7.21875" style="65" customWidth="1"/>
    <col min="2057" max="2304" width="8.88671875" style="65"/>
    <col min="2305" max="2305" width="5.77734375" style="65" customWidth="1"/>
    <col min="2306" max="2306" width="39.33203125" style="65" customWidth="1"/>
    <col min="2307" max="2307" width="4.5546875" style="65" customWidth="1"/>
    <col min="2308" max="2308" width="4.88671875" style="65" customWidth="1"/>
    <col min="2309" max="2309" width="9.6640625" style="65" customWidth="1"/>
    <col min="2310" max="2311" width="8.5546875" style="65" customWidth="1"/>
    <col min="2312" max="2312" width="7.21875" style="65" customWidth="1"/>
    <col min="2313" max="2560" width="8.88671875" style="65"/>
    <col min="2561" max="2561" width="5.77734375" style="65" customWidth="1"/>
    <col min="2562" max="2562" width="39.33203125" style="65" customWidth="1"/>
    <col min="2563" max="2563" width="4.5546875" style="65" customWidth="1"/>
    <col min="2564" max="2564" width="4.88671875" style="65" customWidth="1"/>
    <col min="2565" max="2565" width="9.6640625" style="65" customWidth="1"/>
    <col min="2566" max="2567" width="8.5546875" style="65" customWidth="1"/>
    <col min="2568" max="2568" width="7.21875" style="65" customWidth="1"/>
    <col min="2569" max="2816" width="8.88671875" style="65"/>
    <col min="2817" max="2817" width="5.77734375" style="65" customWidth="1"/>
    <col min="2818" max="2818" width="39.33203125" style="65" customWidth="1"/>
    <col min="2819" max="2819" width="4.5546875" style="65" customWidth="1"/>
    <col min="2820" max="2820" width="4.88671875" style="65" customWidth="1"/>
    <col min="2821" max="2821" width="9.6640625" style="65" customWidth="1"/>
    <col min="2822" max="2823" width="8.5546875" style="65" customWidth="1"/>
    <col min="2824" max="2824" width="7.21875" style="65" customWidth="1"/>
    <col min="2825" max="3072" width="8.88671875" style="65"/>
    <col min="3073" max="3073" width="5.77734375" style="65" customWidth="1"/>
    <col min="3074" max="3074" width="39.33203125" style="65" customWidth="1"/>
    <col min="3075" max="3075" width="4.5546875" style="65" customWidth="1"/>
    <col min="3076" max="3076" width="4.88671875" style="65" customWidth="1"/>
    <col min="3077" max="3077" width="9.6640625" style="65" customWidth="1"/>
    <col min="3078" max="3079" width="8.5546875" style="65" customWidth="1"/>
    <col min="3080" max="3080" width="7.21875" style="65" customWidth="1"/>
    <col min="3081" max="3328" width="8.88671875" style="65"/>
    <col min="3329" max="3329" width="5.77734375" style="65" customWidth="1"/>
    <col min="3330" max="3330" width="39.33203125" style="65" customWidth="1"/>
    <col min="3331" max="3331" width="4.5546875" style="65" customWidth="1"/>
    <col min="3332" max="3332" width="4.88671875" style="65" customWidth="1"/>
    <col min="3333" max="3333" width="9.6640625" style="65" customWidth="1"/>
    <col min="3334" max="3335" width="8.5546875" style="65" customWidth="1"/>
    <col min="3336" max="3336" width="7.21875" style="65" customWidth="1"/>
    <col min="3337" max="3584" width="8.88671875" style="65"/>
    <col min="3585" max="3585" width="5.77734375" style="65" customWidth="1"/>
    <col min="3586" max="3586" width="39.33203125" style="65" customWidth="1"/>
    <col min="3587" max="3587" width="4.5546875" style="65" customWidth="1"/>
    <col min="3588" max="3588" width="4.88671875" style="65" customWidth="1"/>
    <col min="3589" max="3589" width="9.6640625" style="65" customWidth="1"/>
    <col min="3590" max="3591" width="8.5546875" style="65" customWidth="1"/>
    <col min="3592" max="3592" width="7.21875" style="65" customWidth="1"/>
    <col min="3593" max="3840" width="8.88671875" style="65"/>
    <col min="3841" max="3841" width="5.77734375" style="65" customWidth="1"/>
    <col min="3842" max="3842" width="39.33203125" style="65" customWidth="1"/>
    <col min="3843" max="3843" width="4.5546875" style="65" customWidth="1"/>
    <col min="3844" max="3844" width="4.88671875" style="65" customWidth="1"/>
    <col min="3845" max="3845" width="9.6640625" style="65" customWidth="1"/>
    <col min="3846" max="3847" width="8.5546875" style="65" customWidth="1"/>
    <col min="3848" max="3848" width="7.21875" style="65" customWidth="1"/>
    <col min="3849" max="4096" width="8.88671875" style="65"/>
    <col min="4097" max="4097" width="5.77734375" style="65" customWidth="1"/>
    <col min="4098" max="4098" width="39.33203125" style="65" customWidth="1"/>
    <col min="4099" max="4099" width="4.5546875" style="65" customWidth="1"/>
    <col min="4100" max="4100" width="4.88671875" style="65" customWidth="1"/>
    <col min="4101" max="4101" width="9.6640625" style="65" customWidth="1"/>
    <col min="4102" max="4103" width="8.5546875" style="65" customWidth="1"/>
    <col min="4104" max="4104" width="7.21875" style="65" customWidth="1"/>
    <col min="4105" max="4352" width="8.88671875" style="65"/>
    <col min="4353" max="4353" width="5.77734375" style="65" customWidth="1"/>
    <col min="4354" max="4354" width="39.33203125" style="65" customWidth="1"/>
    <col min="4355" max="4355" width="4.5546875" style="65" customWidth="1"/>
    <col min="4356" max="4356" width="4.88671875" style="65" customWidth="1"/>
    <col min="4357" max="4357" width="9.6640625" style="65" customWidth="1"/>
    <col min="4358" max="4359" width="8.5546875" style="65" customWidth="1"/>
    <col min="4360" max="4360" width="7.21875" style="65" customWidth="1"/>
    <col min="4361" max="4608" width="8.88671875" style="65"/>
    <col min="4609" max="4609" width="5.77734375" style="65" customWidth="1"/>
    <col min="4610" max="4610" width="39.33203125" style="65" customWidth="1"/>
    <col min="4611" max="4611" width="4.5546875" style="65" customWidth="1"/>
    <col min="4612" max="4612" width="4.88671875" style="65" customWidth="1"/>
    <col min="4613" max="4613" width="9.6640625" style="65" customWidth="1"/>
    <col min="4614" max="4615" width="8.5546875" style="65" customWidth="1"/>
    <col min="4616" max="4616" width="7.21875" style="65" customWidth="1"/>
    <col min="4617" max="4864" width="8.88671875" style="65"/>
    <col min="4865" max="4865" width="5.77734375" style="65" customWidth="1"/>
    <col min="4866" max="4866" width="39.33203125" style="65" customWidth="1"/>
    <col min="4867" max="4867" width="4.5546875" style="65" customWidth="1"/>
    <col min="4868" max="4868" width="4.88671875" style="65" customWidth="1"/>
    <col min="4869" max="4869" width="9.6640625" style="65" customWidth="1"/>
    <col min="4870" max="4871" width="8.5546875" style="65" customWidth="1"/>
    <col min="4872" max="4872" width="7.21875" style="65" customWidth="1"/>
    <col min="4873" max="5120" width="8.88671875" style="65"/>
    <col min="5121" max="5121" width="5.77734375" style="65" customWidth="1"/>
    <col min="5122" max="5122" width="39.33203125" style="65" customWidth="1"/>
    <col min="5123" max="5123" width="4.5546875" style="65" customWidth="1"/>
    <col min="5124" max="5124" width="4.88671875" style="65" customWidth="1"/>
    <col min="5125" max="5125" width="9.6640625" style="65" customWidth="1"/>
    <col min="5126" max="5127" width="8.5546875" style="65" customWidth="1"/>
    <col min="5128" max="5128" width="7.21875" style="65" customWidth="1"/>
    <col min="5129" max="5376" width="8.88671875" style="65"/>
    <col min="5377" max="5377" width="5.77734375" style="65" customWidth="1"/>
    <col min="5378" max="5378" width="39.33203125" style="65" customWidth="1"/>
    <col min="5379" max="5379" width="4.5546875" style="65" customWidth="1"/>
    <col min="5380" max="5380" width="4.88671875" style="65" customWidth="1"/>
    <col min="5381" max="5381" width="9.6640625" style="65" customWidth="1"/>
    <col min="5382" max="5383" width="8.5546875" style="65" customWidth="1"/>
    <col min="5384" max="5384" width="7.21875" style="65" customWidth="1"/>
    <col min="5385" max="5632" width="8.88671875" style="65"/>
    <col min="5633" max="5633" width="5.77734375" style="65" customWidth="1"/>
    <col min="5634" max="5634" width="39.33203125" style="65" customWidth="1"/>
    <col min="5635" max="5635" width="4.5546875" style="65" customWidth="1"/>
    <col min="5636" max="5636" width="4.88671875" style="65" customWidth="1"/>
    <col min="5637" max="5637" width="9.6640625" style="65" customWidth="1"/>
    <col min="5638" max="5639" width="8.5546875" style="65" customWidth="1"/>
    <col min="5640" max="5640" width="7.21875" style="65" customWidth="1"/>
    <col min="5641" max="5888" width="8.88671875" style="65"/>
    <col min="5889" max="5889" width="5.77734375" style="65" customWidth="1"/>
    <col min="5890" max="5890" width="39.33203125" style="65" customWidth="1"/>
    <col min="5891" max="5891" width="4.5546875" style="65" customWidth="1"/>
    <col min="5892" max="5892" width="4.88671875" style="65" customWidth="1"/>
    <col min="5893" max="5893" width="9.6640625" style="65" customWidth="1"/>
    <col min="5894" max="5895" width="8.5546875" style="65" customWidth="1"/>
    <col min="5896" max="5896" width="7.21875" style="65" customWidth="1"/>
    <col min="5897" max="6144" width="8.88671875" style="65"/>
    <col min="6145" max="6145" width="5.77734375" style="65" customWidth="1"/>
    <col min="6146" max="6146" width="39.33203125" style="65" customWidth="1"/>
    <col min="6147" max="6147" width="4.5546875" style="65" customWidth="1"/>
    <col min="6148" max="6148" width="4.88671875" style="65" customWidth="1"/>
    <col min="6149" max="6149" width="9.6640625" style="65" customWidth="1"/>
    <col min="6150" max="6151" width="8.5546875" style="65" customWidth="1"/>
    <col min="6152" max="6152" width="7.21875" style="65" customWidth="1"/>
    <col min="6153" max="6400" width="8.88671875" style="65"/>
    <col min="6401" max="6401" width="5.77734375" style="65" customWidth="1"/>
    <col min="6402" max="6402" width="39.33203125" style="65" customWidth="1"/>
    <col min="6403" max="6403" width="4.5546875" style="65" customWidth="1"/>
    <col min="6404" max="6404" width="4.88671875" style="65" customWidth="1"/>
    <col min="6405" max="6405" width="9.6640625" style="65" customWidth="1"/>
    <col min="6406" max="6407" width="8.5546875" style="65" customWidth="1"/>
    <col min="6408" max="6408" width="7.21875" style="65" customWidth="1"/>
    <col min="6409" max="6656" width="8.88671875" style="65"/>
    <col min="6657" max="6657" width="5.77734375" style="65" customWidth="1"/>
    <col min="6658" max="6658" width="39.33203125" style="65" customWidth="1"/>
    <col min="6659" max="6659" width="4.5546875" style="65" customWidth="1"/>
    <col min="6660" max="6660" width="4.88671875" style="65" customWidth="1"/>
    <col min="6661" max="6661" width="9.6640625" style="65" customWidth="1"/>
    <col min="6662" max="6663" width="8.5546875" style="65" customWidth="1"/>
    <col min="6664" max="6664" width="7.21875" style="65" customWidth="1"/>
    <col min="6665" max="6912" width="8.88671875" style="65"/>
    <col min="6913" max="6913" width="5.77734375" style="65" customWidth="1"/>
    <col min="6914" max="6914" width="39.33203125" style="65" customWidth="1"/>
    <col min="6915" max="6915" width="4.5546875" style="65" customWidth="1"/>
    <col min="6916" max="6916" width="4.88671875" style="65" customWidth="1"/>
    <col min="6917" max="6917" width="9.6640625" style="65" customWidth="1"/>
    <col min="6918" max="6919" width="8.5546875" style="65" customWidth="1"/>
    <col min="6920" max="6920" width="7.21875" style="65" customWidth="1"/>
    <col min="6921" max="7168" width="8.88671875" style="65"/>
    <col min="7169" max="7169" width="5.77734375" style="65" customWidth="1"/>
    <col min="7170" max="7170" width="39.33203125" style="65" customWidth="1"/>
    <col min="7171" max="7171" width="4.5546875" style="65" customWidth="1"/>
    <col min="7172" max="7172" width="4.88671875" style="65" customWidth="1"/>
    <col min="7173" max="7173" width="9.6640625" style="65" customWidth="1"/>
    <col min="7174" max="7175" width="8.5546875" style="65" customWidth="1"/>
    <col min="7176" max="7176" width="7.21875" style="65" customWidth="1"/>
    <col min="7177" max="7424" width="8.88671875" style="65"/>
    <col min="7425" max="7425" width="5.77734375" style="65" customWidth="1"/>
    <col min="7426" max="7426" width="39.33203125" style="65" customWidth="1"/>
    <col min="7427" max="7427" width="4.5546875" style="65" customWidth="1"/>
    <col min="7428" max="7428" width="4.88671875" style="65" customWidth="1"/>
    <col min="7429" max="7429" width="9.6640625" style="65" customWidth="1"/>
    <col min="7430" max="7431" width="8.5546875" style="65" customWidth="1"/>
    <col min="7432" max="7432" width="7.21875" style="65" customWidth="1"/>
    <col min="7433" max="7680" width="8.88671875" style="65"/>
    <col min="7681" max="7681" width="5.77734375" style="65" customWidth="1"/>
    <col min="7682" max="7682" width="39.33203125" style="65" customWidth="1"/>
    <col min="7683" max="7683" width="4.5546875" style="65" customWidth="1"/>
    <col min="7684" max="7684" width="4.88671875" style="65" customWidth="1"/>
    <col min="7685" max="7685" width="9.6640625" style="65" customWidth="1"/>
    <col min="7686" max="7687" width="8.5546875" style="65" customWidth="1"/>
    <col min="7688" max="7688" width="7.21875" style="65" customWidth="1"/>
    <col min="7689" max="7936" width="8.88671875" style="65"/>
    <col min="7937" max="7937" width="5.77734375" style="65" customWidth="1"/>
    <col min="7938" max="7938" width="39.33203125" style="65" customWidth="1"/>
    <col min="7939" max="7939" width="4.5546875" style="65" customWidth="1"/>
    <col min="7940" max="7940" width="4.88671875" style="65" customWidth="1"/>
    <col min="7941" max="7941" width="9.6640625" style="65" customWidth="1"/>
    <col min="7942" max="7943" width="8.5546875" style="65" customWidth="1"/>
    <col min="7944" max="7944" width="7.21875" style="65" customWidth="1"/>
    <col min="7945" max="8192" width="8.88671875" style="65"/>
    <col min="8193" max="8193" width="5.77734375" style="65" customWidth="1"/>
    <col min="8194" max="8194" width="39.33203125" style="65" customWidth="1"/>
    <col min="8195" max="8195" width="4.5546875" style="65" customWidth="1"/>
    <col min="8196" max="8196" width="4.88671875" style="65" customWidth="1"/>
    <col min="8197" max="8197" width="9.6640625" style="65" customWidth="1"/>
    <col min="8198" max="8199" width="8.5546875" style="65" customWidth="1"/>
    <col min="8200" max="8200" width="7.21875" style="65" customWidth="1"/>
    <col min="8201" max="8448" width="8.88671875" style="65"/>
    <col min="8449" max="8449" width="5.77734375" style="65" customWidth="1"/>
    <col min="8450" max="8450" width="39.33203125" style="65" customWidth="1"/>
    <col min="8451" max="8451" width="4.5546875" style="65" customWidth="1"/>
    <col min="8452" max="8452" width="4.88671875" style="65" customWidth="1"/>
    <col min="8453" max="8453" width="9.6640625" style="65" customWidth="1"/>
    <col min="8454" max="8455" width="8.5546875" style="65" customWidth="1"/>
    <col min="8456" max="8456" width="7.21875" style="65" customWidth="1"/>
    <col min="8457" max="8704" width="8.88671875" style="65"/>
    <col min="8705" max="8705" width="5.77734375" style="65" customWidth="1"/>
    <col min="8706" max="8706" width="39.33203125" style="65" customWidth="1"/>
    <col min="8707" max="8707" width="4.5546875" style="65" customWidth="1"/>
    <col min="8708" max="8708" width="4.88671875" style="65" customWidth="1"/>
    <col min="8709" max="8709" width="9.6640625" style="65" customWidth="1"/>
    <col min="8710" max="8711" width="8.5546875" style="65" customWidth="1"/>
    <col min="8712" max="8712" width="7.21875" style="65" customWidth="1"/>
    <col min="8713" max="8960" width="8.88671875" style="65"/>
    <col min="8961" max="8961" width="5.77734375" style="65" customWidth="1"/>
    <col min="8962" max="8962" width="39.33203125" style="65" customWidth="1"/>
    <col min="8963" max="8963" width="4.5546875" style="65" customWidth="1"/>
    <col min="8964" max="8964" width="4.88671875" style="65" customWidth="1"/>
    <col min="8965" max="8965" width="9.6640625" style="65" customWidth="1"/>
    <col min="8966" max="8967" width="8.5546875" style="65" customWidth="1"/>
    <col min="8968" max="8968" width="7.21875" style="65" customWidth="1"/>
    <col min="8969" max="9216" width="8.88671875" style="65"/>
    <col min="9217" max="9217" width="5.77734375" style="65" customWidth="1"/>
    <col min="9218" max="9218" width="39.33203125" style="65" customWidth="1"/>
    <col min="9219" max="9219" width="4.5546875" style="65" customWidth="1"/>
    <col min="9220" max="9220" width="4.88671875" style="65" customWidth="1"/>
    <col min="9221" max="9221" width="9.6640625" style="65" customWidth="1"/>
    <col min="9222" max="9223" width="8.5546875" style="65" customWidth="1"/>
    <col min="9224" max="9224" width="7.21875" style="65" customWidth="1"/>
    <col min="9225" max="9472" width="8.88671875" style="65"/>
    <col min="9473" max="9473" width="5.77734375" style="65" customWidth="1"/>
    <col min="9474" max="9474" width="39.33203125" style="65" customWidth="1"/>
    <col min="9475" max="9475" width="4.5546875" style="65" customWidth="1"/>
    <col min="9476" max="9476" width="4.88671875" style="65" customWidth="1"/>
    <col min="9477" max="9477" width="9.6640625" style="65" customWidth="1"/>
    <col min="9478" max="9479" width="8.5546875" style="65" customWidth="1"/>
    <col min="9480" max="9480" width="7.21875" style="65" customWidth="1"/>
    <col min="9481" max="9728" width="8.88671875" style="65"/>
    <col min="9729" max="9729" width="5.77734375" style="65" customWidth="1"/>
    <col min="9730" max="9730" width="39.33203125" style="65" customWidth="1"/>
    <col min="9731" max="9731" width="4.5546875" style="65" customWidth="1"/>
    <col min="9732" max="9732" width="4.88671875" style="65" customWidth="1"/>
    <col min="9733" max="9733" width="9.6640625" style="65" customWidth="1"/>
    <col min="9734" max="9735" width="8.5546875" style="65" customWidth="1"/>
    <col min="9736" max="9736" width="7.21875" style="65" customWidth="1"/>
    <col min="9737" max="9984" width="8.88671875" style="65"/>
    <col min="9985" max="9985" width="5.77734375" style="65" customWidth="1"/>
    <col min="9986" max="9986" width="39.33203125" style="65" customWidth="1"/>
    <col min="9987" max="9987" width="4.5546875" style="65" customWidth="1"/>
    <col min="9988" max="9988" width="4.88671875" style="65" customWidth="1"/>
    <col min="9989" max="9989" width="9.6640625" style="65" customWidth="1"/>
    <col min="9990" max="9991" width="8.5546875" style="65" customWidth="1"/>
    <col min="9992" max="9992" width="7.21875" style="65" customWidth="1"/>
    <col min="9993" max="10240" width="8.88671875" style="65"/>
    <col min="10241" max="10241" width="5.77734375" style="65" customWidth="1"/>
    <col min="10242" max="10242" width="39.33203125" style="65" customWidth="1"/>
    <col min="10243" max="10243" width="4.5546875" style="65" customWidth="1"/>
    <col min="10244" max="10244" width="4.88671875" style="65" customWidth="1"/>
    <col min="10245" max="10245" width="9.6640625" style="65" customWidth="1"/>
    <col min="10246" max="10247" width="8.5546875" style="65" customWidth="1"/>
    <col min="10248" max="10248" width="7.21875" style="65" customWidth="1"/>
    <col min="10249" max="10496" width="8.88671875" style="65"/>
    <col min="10497" max="10497" width="5.77734375" style="65" customWidth="1"/>
    <col min="10498" max="10498" width="39.33203125" style="65" customWidth="1"/>
    <col min="10499" max="10499" width="4.5546875" style="65" customWidth="1"/>
    <col min="10500" max="10500" width="4.88671875" style="65" customWidth="1"/>
    <col min="10501" max="10501" width="9.6640625" style="65" customWidth="1"/>
    <col min="10502" max="10503" width="8.5546875" style="65" customWidth="1"/>
    <col min="10504" max="10504" width="7.21875" style="65" customWidth="1"/>
    <col min="10505" max="10752" width="8.88671875" style="65"/>
    <col min="10753" max="10753" width="5.77734375" style="65" customWidth="1"/>
    <col min="10754" max="10754" width="39.33203125" style="65" customWidth="1"/>
    <col min="10755" max="10755" width="4.5546875" style="65" customWidth="1"/>
    <col min="10756" max="10756" width="4.88671875" style="65" customWidth="1"/>
    <col min="10757" max="10757" width="9.6640625" style="65" customWidth="1"/>
    <col min="10758" max="10759" width="8.5546875" style="65" customWidth="1"/>
    <col min="10760" max="10760" width="7.21875" style="65" customWidth="1"/>
    <col min="10761" max="11008" width="8.88671875" style="65"/>
    <col min="11009" max="11009" width="5.77734375" style="65" customWidth="1"/>
    <col min="11010" max="11010" width="39.33203125" style="65" customWidth="1"/>
    <col min="11011" max="11011" width="4.5546875" style="65" customWidth="1"/>
    <col min="11012" max="11012" width="4.88671875" style="65" customWidth="1"/>
    <col min="11013" max="11013" width="9.6640625" style="65" customWidth="1"/>
    <col min="11014" max="11015" width="8.5546875" style="65" customWidth="1"/>
    <col min="11016" max="11016" width="7.21875" style="65" customWidth="1"/>
    <col min="11017" max="11264" width="8.88671875" style="65"/>
    <col min="11265" max="11265" width="5.77734375" style="65" customWidth="1"/>
    <col min="11266" max="11266" width="39.33203125" style="65" customWidth="1"/>
    <col min="11267" max="11267" width="4.5546875" style="65" customWidth="1"/>
    <col min="11268" max="11268" width="4.88671875" style="65" customWidth="1"/>
    <col min="11269" max="11269" width="9.6640625" style="65" customWidth="1"/>
    <col min="11270" max="11271" width="8.5546875" style="65" customWidth="1"/>
    <col min="11272" max="11272" width="7.21875" style="65" customWidth="1"/>
    <col min="11273" max="11520" width="8.88671875" style="65"/>
    <col min="11521" max="11521" width="5.77734375" style="65" customWidth="1"/>
    <col min="11522" max="11522" width="39.33203125" style="65" customWidth="1"/>
    <col min="11523" max="11523" width="4.5546875" style="65" customWidth="1"/>
    <col min="11524" max="11524" width="4.88671875" style="65" customWidth="1"/>
    <col min="11525" max="11525" width="9.6640625" style="65" customWidth="1"/>
    <col min="11526" max="11527" width="8.5546875" style="65" customWidth="1"/>
    <col min="11528" max="11528" width="7.21875" style="65" customWidth="1"/>
    <col min="11529" max="11776" width="8.88671875" style="65"/>
    <col min="11777" max="11777" width="5.77734375" style="65" customWidth="1"/>
    <col min="11778" max="11778" width="39.33203125" style="65" customWidth="1"/>
    <col min="11779" max="11779" width="4.5546875" style="65" customWidth="1"/>
    <col min="11780" max="11780" width="4.88671875" style="65" customWidth="1"/>
    <col min="11781" max="11781" width="9.6640625" style="65" customWidth="1"/>
    <col min="11782" max="11783" width="8.5546875" style="65" customWidth="1"/>
    <col min="11784" max="11784" width="7.21875" style="65" customWidth="1"/>
    <col min="11785" max="12032" width="8.88671875" style="65"/>
    <col min="12033" max="12033" width="5.77734375" style="65" customWidth="1"/>
    <col min="12034" max="12034" width="39.33203125" style="65" customWidth="1"/>
    <col min="12035" max="12035" width="4.5546875" style="65" customWidth="1"/>
    <col min="12036" max="12036" width="4.88671875" style="65" customWidth="1"/>
    <col min="12037" max="12037" width="9.6640625" style="65" customWidth="1"/>
    <col min="12038" max="12039" width="8.5546875" style="65" customWidth="1"/>
    <col min="12040" max="12040" width="7.21875" style="65" customWidth="1"/>
    <col min="12041" max="12288" width="8.88671875" style="65"/>
    <col min="12289" max="12289" width="5.77734375" style="65" customWidth="1"/>
    <col min="12290" max="12290" width="39.33203125" style="65" customWidth="1"/>
    <col min="12291" max="12291" width="4.5546875" style="65" customWidth="1"/>
    <col min="12292" max="12292" width="4.88671875" style="65" customWidth="1"/>
    <col min="12293" max="12293" width="9.6640625" style="65" customWidth="1"/>
    <col min="12294" max="12295" width="8.5546875" style="65" customWidth="1"/>
    <col min="12296" max="12296" width="7.21875" style="65" customWidth="1"/>
    <col min="12297" max="12544" width="8.88671875" style="65"/>
    <col min="12545" max="12545" width="5.77734375" style="65" customWidth="1"/>
    <col min="12546" max="12546" width="39.33203125" style="65" customWidth="1"/>
    <col min="12547" max="12547" width="4.5546875" style="65" customWidth="1"/>
    <col min="12548" max="12548" width="4.88671875" style="65" customWidth="1"/>
    <col min="12549" max="12549" width="9.6640625" style="65" customWidth="1"/>
    <col min="12550" max="12551" width="8.5546875" style="65" customWidth="1"/>
    <col min="12552" max="12552" width="7.21875" style="65" customWidth="1"/>
    <col min="12553" max="12800" width="8.88671875" style="65"/>
    <col min="12801" max="12801" width="5.77734375" style="65" customWidth="1"/>
    <col min="12802" max="12802" width="39.33203125" style="65" customWidth="1"/>
    <col min="12803" max="12803" width="4.5546875" style="65" customWidth="1"/>
    <col min="12804" max="12804" width="4.88671875" style="65" customWidth="1"/>
    <col min="12805" max="12805" width="9.6640625" style="65" customWidth="1"/>
    <col min="12806" max="12807" width="8.5546875" style="65" customWidth="1"/>
    <col min="12808" max="12808" width="7.21875" style="65" customWidth="1"/>
    <col min="12809" max="13056" width="8.88671875" style="65"/>
    <col min="13057" max="13057" width="5.77734375" style="65" customWidth="1"/>
    <col min="13058" max="13058" width="39.33203125" style="65" customWidth="1"/>
    <col min="13059" max="13059" width="4.5546875" style="65" customWidth="1"/>
    <col min="13060" max="13060" width="4.88671875" style="65" customWidth="1"/>
    <col min="13061" max="13061" width="9.6640625" style="65" customWidth="1"/>
    <col min="13062" max="13063" width="8.5546875" style="65" customWidth="1"/>
    <col min="13064" max="13064" width="7.21875" style="65" customWidth="1"/>
    <col min="13065" max="13312" width="8.88671875" style="65"/>
    <col min="13313" max="13313" width="5.77734375" style="65" customWidth="1"/>
    <col min="13314" max="13314" width="39.33203125" style="65" customWidth="1"/>
    <col min="13315" max="13315" width="4.5546875" style="65" customWidth="1"/>
    <col min="13316" max="13316" width="4.88671875" style="65" customWidth="1"/>
    <col min="13317" max="13317" width="9.6640625" style="65" customWidth="1"/>
    <col min="13318" max="13319" width="8.5546875" style="65" customWidth="1"/>
    <col min="13320" max="13320" width="7.21875" style="65" customWidth="1"/>
    <col min="13321" max="13568" width="8.88671875" style="65"/>
    <col min="13569" max="13569" width="5.77734375" style="65" customWidth="1"/>
    <col min="13570" max="13570" width="39.33203125" style="65" customWidth="1"/>
    <col min="13571" max="13571" width="4.5546875" style="65" customWidth="1"/>
    <col min="13572" max="13572" width="4.88671875" style="65" customWidth="1"/>
    <col min="13573" max="13573" width="9.6640625" style="65" customWidth="1"/>
    <col min="13574" max="13575" width="8.5546875" style="65" customWidth="1"/>
    <col min="13576" max="13576" width="7.21875" style="65" customWidth="1"/>
    <col min="13577" max="13824" width="8.88671875" style="65"/>
    <col min="13825" max="13825" width="5.77734375" style="65" customWidth="1"/>
    <col min="13826" max="13826" width="39.33203125" style="65" customWidth="1"/>
    <col min="13827" max="13827" width="4.5546875" style="65" customWidth="1"/>
    <col min="13828" max="13828" width="4.88671875" style="65" customWidth="1"/>
    <col min="13829" max="13829" width="9.6640625" style="65" customWidth="1"/>
    <col min="13830" max="13831" width="8.5546875" style="65" customWidth="1"/>
    <col min="13832" max="13832" width="7.21875" style="65" customWidth="1"/>
    <col min="13833" max="14080" width="8.88671875" style="65"/>
    <col min="14081" max="14081" width="5.77734375" style="65" customWidth="1"/>
    <col min="14082" max="14082" width="39.33203125" style="65" customWidth="1"/>
    <col min="14083" max="14083" width="4.5546875" style="65" customWidth="1"/>
    <col min="14084" max="14084" width="4.88671875" style="65" customWidth="1"/>
    <col min="14085" max="14085" width="9.6640625" style="65" customWidth="1"/>
    <col min="14086" max="14087" width="8.5546875" style="65" customWidth="1"/>
    <col min="14088" max="14088" width="7.21875" style="65" customWidth="1"/>
    <col min="14089" max="14336" width="8.88671875" style="65"/>
    <col min="14337" max="14337" width="5.77734375" style="65" customWidth="1"/>
    <col min="14338" max="14338" width="39.33203125" style="65" customWidth="1"/>
    <col min="14339" max="14339" width="4.5546875" style="65" customWidth="1"/>
    <col min="14340" max="14340" width="4.88671875" style="65" customWidth="1"/>
    <col min="14341" max="14341" width="9.6640625" style="65" customWidth="1"/>
    <col min="14342" max="14343" width="8.5546875" style="65" customWidth="1"/>
    <col min="14344" max="14344" width="7.21875" style="65" customWidth="1"/>
    <col min="14345" max="14592" width="8.88671875" style="65"/>
    <col min="14593" max="14593" width="5.77734375" style="65" customWidth="1"/>
    <col min="14594" max="14594" width="39.33203125" style="65" customWidth="1"/>
    <col min="14595" max="14595" width="4.5546875" style="65" customWidth="1"/>
    <col min="14596" max="14596" width="4.88671875" style="65" customWidth="1"/>
    <col min="14597" max="14597" width="9.6640625" style="65" customWidth="1"/>
    <col min="14598" max="14599" width="8.5546875" style="65" customWidth="1"/>
    <col min="14600" max="14600" width="7.21875" style="65" customWidth="1"/>
    <col min="14601" max="14848" width="8.88671875" style="65"/>
    <col min="14849" max="14849" width="5.77734375" style="65" customWidth="1"/>
    <col min="14850" max="14850" width="39.33203125" style="65" customWidth="1"/>
    <col min="14851" max="14851" width="4.5546875" style="65" customWidth="1"/>
    <col min="14852" max="14852" width="4.88671875" style="65" customWidth="1"/>
    <col min="14853" max="14853" width="9.6640625" style="65" customWidth="1"/>
    <col min="14854" max="14855" width="8.5546875" style="65" customWidth="1"/>
    <col min="14856" max="14856" width="7.21875" style="65" customWidth="1"/>
    <col min="14857" max="15104" width="8.88671875" style="65"/>
    <col min="15105" max="15105" width="5.77734375" style="65" customWidth="1"/>
    <col min="15106" max="15106" width="39.33203125" style="65" customWidth="1"/>
    <col min="15107" max="15107" width="4.5546875" style="65" customWidth="1"/>
    <col min="15108" max="15108" width="4.88671875" style="65" customWidth="1"/>
    <col min="15109" max="15109" width="9.6640625" style="65" customWidth="1"/>
    <col min="15110" max="15111" width="8.5546875" style="65" customWidth="1"/>
    <col min="15112" max="15112" width="7.21875" style="65" customWidth="1"/>
    <col min="15113" max="15360" width="8.88671875" style="65"/>
    <col min="15361" max="15361" width="5.77734375" style="65" customWidth="1"/>
    <col min="15362" max="15362" width="39.33203125" style="65" customWidth="1"/>
    <col min="15363" max="15363" width="4.5546875" style="65" customWidth="1"/>
    <col min="15364" max="15364" width="4.88671875" style="65" customWidth="1"/>
    <col min="15365" max="15365" width="9.6640625" style="65" customWidth="1"/>
    <col min="15366" max="15367" width="8.5546875" style="65" customWidth="1"/>
    <col min="15368" max="15368" width="7.21875" style="65" customWidth="1"/>
    <col min="15369" max="15616" width="8.88671875" style="65"/>
    <col min="15617" max="15617" width="5.77734375" style="65" customWidth="1"/>
    <col min="15618" max="15618" width="39.33203125" style="65" customWidth="1"/>
    <col min="15619" max="15619" width="4.5546875" style="65" customWidth="1"/>
    <col min="15620" max="15620" width="4.88671875" style="65" customWidth="1"/>
    <col min="15621" max="15621" width="9.6640625" style="65" customWidth="1"/>
    <col min="15622" max="15623" width="8.5546875" style="65" customWidth="1"/>
    <col min="15624" max="15624" width="7.21875" style="65" customWidth="1"/>
    <col min="15625" max="15872" width="8.88671875" style="65"/>
    <col min="15873" max="15873" width="5.77734375" style="65" customWidth="1"/>
    <col min="15874" max="15874" width="39.33203125" style="65" customWidth="1"/>
    <col min="15875" max="15875" width="4.5546875" style="65" customWidth="1"/>
    <col min="15876" max="15876" width="4.88671875" style="65" customWidth="1"/>
    <col min="15877" max="15877" width="9.6640625" style="65" customWidth="1"/>
    <col min="15878" max="15879" width="8.5546875" style="65" customWidth="1"/>
    <col min="15880" max="15880" width="7.21875" style="65" customWidth="1"/>
    <col min="15881" max="16128" width="8.88671875" style="65"/>
    <col min="16129" max="16129" width="5.77734375" style="65" customWidth="1"/>
    <col min="16130" max="16130" width="39.33203125" style="65" customWidth="1"/>
    <col min="16131" max="16131" width="4.5546875" style="65" customWidth="1"/>
    <col min="16132" max="16132" width="4.88671875" style="65" customWidth="1"/>
    <col min="16133" max="16133" width="9.6640625" style="65" customWidth="1"/>
    <col min="16134" max="16135" width="8.5546875" style="65" customWidth="1"/>
    <col min="16136" max="16136" width="7.21875" style="65" customWidth="1"/>
    <col min="16137" max="16384" width="8.88671875" style="65"/>
  </cols>
  <sheetData>
    <row r="1" spans="1:16" ht="20.100000000000001" customHeight="1">
      <c r="A1" s="1554" t="s">
        <v>230</v>
      </c>
      <c r="B1" s="1554"/>
      <c r="C1" s="1554"/>
      <c r="D1" s="1554"/>
      <c r="E1" s="1554"/>
      <c r="F1" s="1554"/>
      <c r="G1" s="1554"/>
      <c r="H1" s="1554"/>
    </row>
    <row r="2" spans="1:16" ht="20.100000000000001" customHeight="1">
      <c r="A2" s="1554" t="s">
        <v>231</v>
      </c>
      <c r="B2" s="1554"/>
      <c r="C2" s="1554"/>
      <c r="D2" s="1554"/>
      <c r="E2" s="1554"/>
      <c r="F2" s="1554"/>
      <c r="G2" s="1554"/>
      <c r="H2" s="1554"/>
      <c r="I2" s="66"/>
      <c r="J2" s="66"/>
      <c r="K2" s="66"/>
      <c r="L2" s="66"/>
      <c r="M2" s="66"/>
      <c r="N2" s="66"/>
      <c r="O2" s="66"/>
      <c r="P2" s="66"/>
    </row>
    <row r="3" spans="1:16" ht="45" customHeight="1">
      <c r="A3" s="1555" t="str">
        <f>'Septic Tank'!A5:H5</f>
        <v>CONSTRUCTION OF NEW POLICE STATION BUILDING WITH DEVELOPMENT WORK IN  REGUNATHAPURAM IN PUDUKKOTTAI DISRICT.</v>
      </c>
      <c r="B3" s="1555"/>
      <c r="C3" s="1555"/>
      <c r="D3" s="1555"/>
      <c r="E3" s="1555"/>
      <c r="F3" s="1555"/>
      <c r="G3" s="1555"/>
      <c r="H3" s="1555"/>
      <c r="I3" s="66"/>
      <c r="J3" s="66"/>
      <c r="K3" s="66"/>
      <c r="L3" s="66"/>
      <c r="M3" s="66"/>
      <c r="N3" s="66"/>
      <c r="O3" s="66"/>
      <c r="P3" s="66"/>
    </row>
    <row r="4" spans="1:16" ht="25.15" customHeight="1">
      <c r="A4" s="1554" t="s">
        <v>1201</v>
      </c>
      <c r="B4" s="1554"/>
      <c r="C4" s="1554"/>
      <c r="D4" s="1554"/>
      <c r="E4" s="1554"/>
      <c r="F4" s="1554"/>
      <c r="G4" s="1554"/>
      <c r="H4" s="1554"/>
      <c r="I4" s="66"/>
      <c r="J4" s="66"/>
      <c r="K4" s="66"/>
      <c r="L4" s="66"/>
      <c r="M4" s="66"/>
      <c r="N4" s="66"/>
      <c r="O4" s="66"/>
      <c r="P4" s="66"/>
    </row>
    <row r="5" spans="1:16" ht="25.15" customHeight="1">
      <c r="A5" s="67" t="s">
        <v>576</v>
      </c>
      <c r="B5" s="373" t="s">
        <v>504</v>
      </c>
      <c r="C5" s="1556" t="s">
        <v>213</v>
      </c>
      <c r="D5" s="1556"/>
      <c r="E5" s="69" t="s">
        <v>74</v>
      </c>
      <c r="F5" s="69" t="s">
        <v>75</v>
      </c>
      <c r="G5" s="69" t="s">
        <v>76</v>
      </c>
      <c r="H5" s="69" t="s">
        <v>214</v>
      </c>
      <c r="I5" s="66"/>
      <c r="J5" s="66"/>
      <c r="K5" s="66"/>
      <c r="L5" s="66"/>
      <c r="M5" s="66"/>
      <c r="N5" s="66"/>
      <c r="O5" s="66"/>
      <c r="P5" s="66"/>
    </row>
    <row r="6" spans="1:16" ht="25.15" customHeight="1">
      <c r="A6" s="67">
        <v>1</v>
      </c>
      <c r="B6" s="373">
        <v>2</v>
      </c>
      <c r="C6" s="1556">
        <v>3</v>
      </c>
      <c r="D6" s="1556"/>
      <c r="E6" s="67">
        <v>4</v>
      </c>
      <c r="F6" s="67">
        <v>5</v>
      </c>
      <c r="G6" s="67">
        <v>6</v>
      </c>
      <c r="H6" s="67">
        <v>7</v>
      </c>
      <c r="I6" s="70"/>
      <c r="J6" s="70"/>
      <c r="K6" s="70"/>
      <c r="L6" s="70"/>
      <c r="M6" s="70"/>
      <c r="N6" s="70"/>
      <c r="O6" s="70"/>
      <c r="P6" s="70"/>
    </row>
    <row r="7" spans="1:16" ht="40.15" customHeight="1">
      <c r="A7" s="71">
        <v>1</v>
      </c>
      <c r="B7" s="72" t="s">
        <v>232</v>
      </c>
      <c r="C7" s="71"/>
      <c r="D7" s="71"/>
      <c r="E7" s="73"/>
      <c r="F7" s="73"/>
      <c r="G7" s="73"/>
      <c r="H7" s="73"/>
    </row>
    <row r="8" spans="1:16" ht="25.15" customHeight="1">
      <c r="A8" s="71"/>
      <c r="B8" s="72" t="s">
        <v>233</v>
      </c>
      <c r="C8" s="71">
        <v>1</v>
      </c>
      <c r="D8" s="71">
        <v>1</v>
      </c>
      <c r="E8" s="73">
        <v>1</v>
      </c>
      <c r="F8" s="73">
        <v>0.6</v>
      </c>
      <c r="G8" s="73">
        <v>0.3</v>
      </c>
      <c r="H8" s="73">
        <f>PRODUCT(C8:G8)</f>
        <v>0.18</v>
      </c>
    </row>
    <row r="9" spans="1:16" ht="25.15" customHeight="1">
      <c r="A9" s="71"/>
      <c r="B9" s="74" t="s">
        <v>234</v>
      </c>
      <c r="C9" s="71"/>
      <c r="D9" s="71"/>
      <c r="E9" s="73"/>
      <c r="F9" s="73"/>
      <c r="G9" s="73"/>
      <c r="H9" s="73">
        <v>0.02</v>
      </c>
    </row>
    <row r="10" spans="1:16" ht="25.15" customHeight="1">
      <c r="A10" s="71"/>
      <c r="B10" s="74"/>
      <c r="C10" s="71"/>
      <c r="D10" s="71"/>
      <c r="E10" s="73"/>
      <c r="F10" s="73"/>
      <c r="G10" s="73" t="s">
        <v>57</v>
      </c>
      <c r="H10" s="75">
        <f>SUM(H8:H9)</f>
        <v>0.19999999999999998</v>
      </c>
    </row>
    <row r="11" spans="1:16" ht="25.15" customHeight="1">
      <c r="A11" s="71"/>
      <c r="B11" s="72"/>
      <c r="C11" s="71"/>
      <c r="D11" s="71"/>
      <c r="E11" s="73"/>
      <c r="F11" s="76" t="s">
        <v>15</v>
      </c>
      <c r="G11" s="76">
        <f>+H10</f>
        <v>0.19999999999999998</v>
      </c>
      <c r="H11" s="77" t="s">
        <v>235</v>
      </c>
    </row>
    <row r="12" spans="1:16" s="83" customFormat="1" ht="40.15" customHeight="1">
      <c r="A12" s="78">
        <f>+A7+1</f>
        <v>2</v>
      </c>
      <c r="B12" s="79" t="s">
        <v>236</v>
      </c>
      <c r="C12" s="80"/>
      <c r="D12" s="80"/>
      <c r="E12" s="81"/>
      <c r="F12" s="81"/>
      <c r="G12" s="82"/>
      <c r="H12" s="81"/>
    </row>
    <row r="13" spans="1:16" ht="25.15" customHeight="1">
      <c r="A13" s="71"/>
      <c r="B13" s="72" t="s">
        <v>237</v>
      </c>
      <c r="C13" s="71">
        <v>1</v>
      </c>
      <c r="D13" s="71">
        <v>1</v>
      </c>
      <c r="E13" s="73">
        <v>1</v>
      </c>
      <c r="F13" s="73">
        <v>0.6</v>
      </c>
      <c r="G13" s="73">
        <v>0.15</v>
      </c>
      <c r="H13" s="73">
        <f>PRODUCT(C13:G13)</f>
        <v>0.09</v>
      </c>
    </row>
    <row r="14" spans="1:16" ht="25.15" customHeight="1">
      <c r="A14" s="71"/>
      <c r="B14" s="74" t="s">
        <v>234</v>
      </c>
      <c r="C14" s="71"/>
      <c r="D14" s="71"/>
      <c r="E14" s="73"/>
      <c r="F14" s="73"/>
      <c r="G14" s="73"/>
      <c r="H14" s="73">
        <v>0.01</v>
      </c>
    </row>
    <row r="15" spans="1:16" ht="25.15" customHeight="1">
      <c r="A15" s="71"/>
      <c r="B15" s="74"/>
      <c r="C15" s="71"/>
      <c r="D15" s="71"/>
      <c r="E15" s="73"/>
      <c r="F15" s="73"/>
      <c r="G15" s="73" t="s">
        <v>57</v>
      </c>
      <c r="H15" s="75">
        <f>SUM(H13:H14)</f>
        <v>9.9999999999999992E-2</v>
      </c>
    </row>
    <row r="16" spans="1:16" s="83" customFormat="1" ht="25.15" customHeight="1">
      <c r="A16" s="80"/>
      <c r="B16" s="79"/>
      <c r="C16" s="80"/>
      <c r="D16" s="80"/>
      <c r="E16" s="84"/>
      <c r="F16" s="84" t="s">
        <v>15</v>
      </c>
      <c r="G16" s="84">
        <f>+H15</f>
        <v>9.9999999999999992E-2</v>
      </c>
      <c r="H16" s="85" t="s">
        <v>235</v>
      </c>
    </row>
    <row r="17" spans="1:10" s="83" customFormat="1" ht="40.15" customHeight="1">
      <c r="A17" s="78">
        <f>+A12+1</f>
        <v>3</v>
      </c>
      <c r="B17" s="79" t="s">
        <v>238</v>
      </c>
      <c r="C17" s="80"/>
      <c r="D17" s="80"/>
      <c r="E17" s="81"/>
      <c r="F17" s="81"/>
      <c r="G17" s="82"/>
      <c r="H17" s="81"/>
    </row>
    <row r="18" spans="1:10" ht="25.15" customHeight="1">
      <c r="A18" s="71"/>
      <c r="B18" s="72" t="s">
        <v>233</v>
      </c>
      <c r="C18" s="71">
        <v>1</v>
      </c>
      <c r="D18" s="71">
        <v>1</v>
      </c>
      <c r="E18" s="73">
        <v>1</v>
      </c>
      <c r="F18" s="73">
        <v>0.6</v>
      </c>
      <c r="G18" s="73">
        <v>0.15</v>
      </c>
      <c r="H18" s="73">
        <f>PRODUCT(C18:G18)</f>
        <v>0.09</v>
      </c>
    </row>
    <row r="19" spans="1:10" ht="25.15" customHeight="1">
      <c r="A19" s="71"/>
      <c r="B19" s="74" t="s">
        <v>234</v>
      </c>
      <c r="C19" s="71"/>
      <c r="D19" s="71"/>
      <c r="E19" s="73"/>
      <c r="F19" s="73"/>
      <c r="G19" s="73"/>
      <c r="H19" s="73">
        <v>0.01</v>
      </c>
    </row>
    <row r="20" spans="1:10" ht="25.15" customHeight="1">
      <c r="A20" s="71"/>
      <c r="B20" s="74"/>
      <c r="C20" s="71"/>
      <c r="D20" s="71"/>
      <c r="E20" s="73"/>
      <c r="F20" s="73"/>
      <c r="G20" s="73" t="s">
        <v>57</v>
      </c>
      <c r="H20" s="75">
        <f>SUM(H18:H19)</f>
        <v>9.9999999999999992E-2</v>
      </c>
    </row>
    <row r="21" spans="1:10" s="83" customFormat="1" ht="25.15" customHeight="1">
      <c r="A21" s="80"/>
      <c r="B21" s="79"/>
      <c r="C21" s="80"/>
      <c r="D21" s="80"/>
      <c r="E21" s="81"/>
      <c r="F21" s="84" t="s">
        <v>15</v>
      </c>
      <c r="G21" s="84">
        <f>+H20</f>
        <v>9.9999999999999992E-2</v>
      </c>
      <c r="H21" s="85" t="s">
        <v>235</v>
      </c>
    </row>
    <row r="22" spans="1:10" ht="60" customHeight="1">
      <c r="A22" s="86">
        <f>+A17+1</f>
        <v>4</v>
      </c>
      <c r="B22" s="72" t="s">
        <v>239</v>
      </c>
      <c r="C22" s="86"/>
      <c r="D22" s="87"/>
      <c r="E22" s="75"/>
      <c r="F22" s="75"/>
      <c r="G22" s="75"/>
      <c r="H22" s="75"/>
    </row>
    <row r="23" spans="1:10" ht="25.15" customHeight="1">
      <c r="A23" s="71"/>
      <c r="B23" s="72" t="s">
        <v>240</v>
      </c>
      <c r="C23" s="71">
        <v>1</v>
      </c>
      <c r="D23" s="71">
        <v>1</v>
      </c>
      <c r="E23" s="73">
        <v>1</v>
      </c>
      <c r="F23" s="73">
        <v>0.6</v>
      </c>
      <c r="G23" s="73">
        <v>0.15</v>
      </c>
      <c r="H23" s="73">
        <f>PRODUCT(C23:G23)</f>
        <v>0.09</v>
      </c>
    </row>
    <row r="24" spans="1:10" ht="25.15" customHeight="1">
      <c r="A24" s="71"/>
      <c r="B24" s="72" t="s">
        <v>241</v>
      </c>
      <c r="C24" s="71">
        <v>1</v>
      </c>
      <c r="D24" s="71">
        <v>1</v>
      </c>
      <c r="E24" s="73">
        <v>1</v>
      </c>
      <c r="F24" s="73">
        <v>0.3</v>
      </c>
      <c r="G24" s="73">
        <v>0.15</v>
      </c>
      <c r="H24" s="73">
        <f>PRODUCT(C24:G24)</f>
        <v>4.4999999999999998E-2</v>
      </c>
    </row>
    <row r="25" spans="1:10" ht="25.15" customHeight="1">
      <c r="A25" s="88"/>
      <c r="B25" s="74" t="s">
        <v>234</v>
      </c>
      <c r="C25" s="89"/>
      <c r="D25" s="87"/>
      <c r="E25" s="75"/>
      <c r="F25" s="75"/>
      <c r="G25" s="75"/>
      <c r="H25" s="75">
        <v>0.06</v>
      </c>
    </row>
    <row r="26" spans="1:10" ht="25.15" customHeight="1">
      <c r="A26" s="88"/>
      <c r="B26" s="74"/>
      <c r="C26" s="89"/>
      <c r="D26" s="87"/>
      <c r="E26" s="75"/>
      <c r="F26" s="75"/>
      <c r="G26" s="75" t="s">
        <v>57</v>
      </c>
      <c r="H26" s="75">
        <f>SUM(H23:H25)</f>
        <v>0.19500000000000001</v>
      </c>
    </row>
    <row r="27" spans="1:10" ht="25.15" customHeight="1">
      <c r="A27" s="88"/>
      <c r="B27" s="90"/>
      <c r="C27" s="91"/>
      <c r="D27" s="91"/>
      <c r="E27" s="374"/>
      <c r="F27" s="92" t="s">
        <v>15</v>
      </c>
      <c r="G27" s="92">
        <f>+H26</f>
        <v>0.19500000000000001</v>
      </c>
      <c r="H27" s="93" t="s">
        <v>235</v>
      </c>
    </row>
    <row r="28" spans="1:10" ht="60" customHeight="1">
      <c r="A28" s="86">
        <f>+A22+1</f>
        <v>5</v>
      </c>
      <c r="B28" s="90" t="s">
        <v>242</v>
      </c>
      <c r="C28" s="86"/>
      <c r="D28" s="87"/>
      <c r="E28" s="75"/>
      <c r="F28" s="75"/>
      <c r="G28" s="75"/>
      <c r="H28" s="75"/>
    </row>
    <row r="29" spans="1:10" ht="25.15" customHeight="1">
      <c r="A29" s="88"/>
      <c r="B29" s="90" t="s">
        <v>243</v>
      </c>
      <c r="C29" s="111">
        <v>1</v>
      </c>
      <c r="D29" s="91">
        <v>1</v>
      </c>
      <c r="E29" s="95" t="s">
        <v>324</v>
      </c>
      <c r="F29" s="374">
        <v>0.23</v>
      </c>
      <c r="G29" s="374">
        <v>2.1</v>
      </c>
      <c r="H29" s="75">
        <f>G29*F29*D29*C29*3.14*4.03</f>
        <v>6.1119786000000005</v>
      </c>
    </row>
    <row r="30" spans="1:10" ht="25.15" customHeight="1">
      <c r="A30" s="88"/>
      <c r="B30" s="90" t="s">
        <v>244</v>
      </c>
      <c r="C30" s="91">
        <v>1</v>
      </c>
      <c r="D30" s="91">
        <v>-1</v>
      </c>
      <c r="E30" s="374">
        <v>1.36</v>
      </c>
      <c r="F30" s="374">
        <v>0.23</v>
      </c>
      <c r="G30" s="374">
        <v>0.05</v>
      </c>
      <c r="H30" s="75">
        <f>PRODUCT(C30:G30)</f>
        <v>-1.5640000000000001E-2</v>
      </c>
    </row>
    <row r="31" spans="1:10" ht="25.15" customHeight="1">
      <c r="A31" s="88"/>
      <c r="B31" s="74" t="s">
        <v>245</v>
      </c>
      <c r="C31" s="89">
        <v>1</v>
      </c>
      <c r="D31" s="87">
        <v>-1</v>
      </c>
      <c r="E31" s="75">
        <v>1</v>
      </c>
      <c r="F31" s="75">
        <v>0.23</v>
      </c>
      <c r="G31" s="75">
        <v>2.1</v>
      </c>
      <c r="H31" s="75">
        <f>PRODUCT(C31:G31)</f>
        <v>-0.48300000000000004</v>
      </c>
      <c r="J31" s="65" t="e">
        <f>#REF!+0.3</f>
        <v>#REF!</v>
      </c>
    </row>
    <row r="32" spans="1:10" ht="25.15" customHeight="1">
      <c r="A32" s="88"/>
      <c r="B32" s="74" t="s">
        <v>246</v>
      </c>
      <c r="C32" s="89">
        <v>1</v>
      </c>
      <c r="D32" s="87">
        <v>-1</v>
      </c>
      <c r="E32" s="75">
        <v>0.9</v>
      </c>
      <c r="F32" s="75">
        <v>0.23</v>
      </c>
      <c r="G32" s="75">
        <v>1.35</v>
      </c>
      <c r="H32" s="75">
        <f>PRODUCT(C32:G32)</f>
        <v>-0.27945000000000003</v>
      </c>
    </row>
    <row r="33" spans="1:13" ht="25.15" customHeight="1">
      <c r="A33" s="88"/>
      <c r="B33" s="90" t="s">
        <v>247</v>
      </c>
      <c r="C33" s="111">
        <v>1</v>
      </c>
      <c r="D33" s="91">
        <v>1</v>
      </c>
      <c r="E33" s="95" t="s">
        <v>324</v>
      </c>
      <c r="F33" s="374">
        <v>0.23</v>
      </c>
      <c r="G33" s="374">
        <v>0.45</v>
      </c>
      <c r="H33" s="75">
        <f>G33*F33*D33*C33*3.14*4.03</f>
        <v>1.3097097000000002</v>
      </c>
    </row>
    <row r="34" spans="1:13" ht="25.15" customHeight="1">
      <c r="A34" s="88"/>
      <c r="B34" s="74" t="s">
        <v>234</v>
      </c>
      <c r="C34" s="94"/>
      <c r="D34" s="91"/>
      <c r="E34" s="95"/>
      <c r="F34" s="374"/>
      <c r="G34" s="374"/>
      <c r="H34" s="75">
        <v>0.06</v>
      </c>
    </row>
    <row r="35" spans="1:13" ht="25.15" customHeight="1">
      <c r="A35" s="88"/>
      <c r="B35" s="74"/>
      <c r="C35" s="89"/>
      <c r="D35" s="87"/>
      <c r="E35" s="75"/>
      <c r="F35" s="75"/>
      <c r="G35" s="75" t="s">
        <v>57</v>
      </c>
      <c r="H35" s="75">
        <f>SUM(H29:H34)</f>
        <v>6.7035983000000003</v>
      </c>
    </row>
    <row r="36" spans="1:13" ht="25.15" customHeight="1">
      <c r="A36" s="88"/>
      <c r="B36" s="90"/>
      <c r="C36" s="91"/>
      <c r="D36" s="91"/>
      <c r="E36" s="374"/>
      <c r="F36" s="92" t="s">
        <v>15</v>
      </c>
      <c r="G36" s="92">
        <f>+H35</f>
        <v>6.7035983000000003</v>
      </c>
      <c r="H36" s="93" t="s">
        <v>235</v>
      </c>
    </row>
    <row r="37" spans="1:13" ht="40.15" customHeight="1">
      <c r="A37" s="86">
        <f>+A28+1</f>
        <v>6</v>
      </c>
      <c r="B37" s="74" t="s">
        <v>248</v>
      </c>
      <c r="C37" s="89"/>
      <c r="D37" s="96"/>
      <c r="E37" s="75"/>
      <c r="F37" s="97"/>
      <c r="G37" s="97"/>
      <c r="H37" s="97"/>
    </row>
    <row r="38" spans="1:13" ht="25.15" customHeight="1">
      <c r="A38" s="88"/>
      <c r="B38" s="90" t="s">
        <v>249</v>
      </c>
      <c r="C38" s="98">
        <v>0.25</v>
      </c>
      <c r="D38" s="91">
        <v>1</v>
      </c>
      <c r="E38" s="1560" t="s">
        <v>325</v>
      </c>
      <c r="F38" s="1561"/>
      <c r="G38" s="99">
        <v>0.12</v>
      </c>
      <c r="H38" s="75">
        <f>C38*D38*G38*3.14*4.26*4.26</f>
        <v>1.7095039199999997</v>
      </c>
    </row>
    <row r="39" spans="1:13" ht="25.15" customHeight="1">
      <c r="A39" s="86"/>
      <c r="B39" s="90" t="s">
        <v>250</v>
      </c>
      <c r="C39" s="86">
        <v>1</v>
      </c>
      <c r="D39" s="91">
        <v>1</v>
      </c>
      <c r="E39" s="374" t="s">
        <v>324</v>
      </c>
      <c r="F39" s="374">
        <v>0.23</v>
      </c>
      <c r="G39" s="374">
        <v>0.3</v>
      </c>
      <c r="H39" s="75">
        <f>G39*F39*C39*D39*3.14*4.03</f>
        <v>0.87313980000000013</v>
      </c>
    </row>
    <row r="40" spans="1:13" ht="25.15" customHeight="1">
      <c r="A40" s="88"/>
      <c r="B40" s="90" t="s">
        <v>251</v>
      </c>
      <c r="C40" s="91">
        <v>1</v>
      </c>
      <c r="D40" s="91">
        <v>1</v>
      </c>
      <c r="E40" s="374">
        <f>1+0.46</f>
        <v>1.46</v>
      </c>
      <c r="F40" s="374">
        <v>0.6</v>
      </c>
      <c r="G40" s="100">
        <v>6.25E-2</v>
      </c>
      <c r="H40" s="75">
        <f>PRODUCT(C40:G40)</f>
        <v>5.475E-2</v>
      </c>
    </row>
    <row r="41" spans="1:13" ht="25.15" customHeight="1">
      <c r="A41" s="88"/>
      <c r="B41" s="90" t="s">
        <v>252</v>
      </c>
      <c r="C41" s="91">
        <v>1</v>
      </c>
      <c r="D41" s="91">
        <v>1</v>
      </c>
      <c r="E41" s="374">
        <v>1.36</v>
      </c>
      <c r="F41" s="374">
        <v>0.6</v>
      </c>
      <c r="G41" s="100">
        <v>6.25E-2</v>
      </c>
      <c r="H41" s="75">
        <f>PRODUCT(C41:G41)</f>
        <v>5.1000000000000004E-2</v>
      </c>
    </row>
    <row r="42" spans="1:13" ht="25.15" customHeight="1">
      <c r="A42" s="88"/>
      <c r="B42" s="74" t="s">
        <v>234</v>
      </c>
      <c r="C42" s="91"/>
      <c r="D42" s="91"/>
      <c r="E42" s="374"/>
      <c r="F42" s="374"/>
      <c r="G42" s="374"/>
      <c r="H42" s="75">
        <v>0.01</v>
      </c>
    </row>
    <row r="43" spans="1:13" ht="25.15" customHeight="1">
      <c r="A43" s="88"/>
      <c r="B43" s="74"/>
      <c r="C43" s="89"/>
      <c r="D43" s="87"/>
      <c r="E43" s="75"/>
      <c r="F43" s="75"/>
      <c r="G43" s="75" t="s">
        <v>57</v>
      </c>
      <c r="H43" s="75">
        <f>SUM(H38:H42)</f>
        <v>2.6983937199999999</v>
      </c>
    </row>
    <row r="44" spans="1:13" ht="25.15" customHeight="1">
      <c r="A44" s="88"/>
      <c r="B44" s="74"/>
      <c r="C44" s="89"/>
      <c r="D44" s="87"/>
      <c r="E44" s="75"/>
      <c r="F44" s="92" t="s">
        <v>15</v>
      </c>
      <c r="G44" s="92">
        <f>+H43</f>
        <v>2.6983937199999999</v>
      </c>
      <c r="H44" s="93" t="s">
        <v>235</v>
      </c>
    </row>
    <row r="45" spans="1:13" ht="60" customHeight="1">
      <c r="A45" s="71">
        <f>+A37+1</f>
        <v>7</v>
      </c>
      <c r="B45" s="72" t="s">
        <v>253</v>
      </c>
      <c r="C45" s="375"/>
      <c r="D45" s="375"/>
      <c r="E45" s="73"/>
      <c r="F45" s="73"/>
      <c r="G45" s="73"/>
      <c r="H45" s="73"/>
      <c r="L45" s="101"/>
      <c r="M45" s="101"/>
    </row>
    <row r="46" spans="1:13" ht="25.15" customHeight="1">
      <c r="A46" s="375"/>
      <c r="B46" s="72" t="s">
        <v>254</v>
      </c>
      <c r="C46" s="98">
        <v>0.25</v>
      </c>
      <c r="D46" s="87">
        <v>1</v>
      </c>
      <c r="E46" s="1560" t="s">
        <v>580</v>
      </c>
      <c r="F46" s="1561"/>
      <c r="G46" s="88" t="s">
        <v>372</v>
      </c>
      <c r="H46" s="75">
        <f>C46*D46*3.14*3.8*3.8</f>
        <v>11.3354</v>
      </c>
      <c r="L46" s="101"/>
      <c r="M46" s="101"/>
    </row>
    <row r="47" spans="1:13" ht="25.15" customHeight="1">
      <c r="A47" s="375"/>
      <c r="B47" s="72" t="s">
        <v>255</v>
      </c>
      <c r="C47" s="89">
        <v>1</v>
      </c>
      <c r="D47" s="87">
        <v>1</v>
      </c>
      <c r="E47" s="1560" t="s">
        <v>581</v>
      </c>
      <c r="F47" s="1561"/>
      <c r="G47" s="75">
        <v>0.12</v>
      </c>
      <c r="H47" s="75">
        <f>G47*C47*D47*3.14*4.26</f>
        <v>1.6051679999999999</v>
      </c>
      <c r="L47" s="101"/>
      <c r="M47" s="101"/>
    </row>
    <row r="48" spans="1:13" ht="25.15" customHeight="1">
      <c r="A48" s="86"/>
      <c r="B48" s="90" t="s">
        <v>256</v>
      </c>
      <c r="C48" s="86">
        <v>2</v>
      </c>
      <c r="D48" s="87">
        <v>1</v>
      </c>
      <c r="E48" s="1560" t="s">
        <v>582</v>
      </c>
      <c r="F48" s="1561"/>
      <c r="G48" s="374">
        <f>0.3-0.12</f>
        <v>0.18</v>
      </c>
      <c r="H48" s="75">
        <f>G48*C48*D48*3.14*4.26</f>
        <v>4.8155039999999998</v>
      </c>
    </row>
    <row r="49" spans="1:13" ht="25.15" customHeight="1">
      <c r="A49" s="88"/>
      <c r="B49" s="90" t="s">
        <v>257</v>
      </c>
      <c r="C49" s="91">
        <v>2</v>
      </c>
      <c r="D49" s="91">
        <v>1</v>
      </c>
      <c r="E49" s="374">
        <v>1.36</v>
      </c>
      <c r="F49" s="374"/>
      <c r="G49" s="374">
        <v>0.05</v>
      </c>
      <c r="H49" s="75">
        <f t="shared" ref="H49:H55" si="0">PRODUCT(C49:G49)</f>
        <v>0.13600000000000001</v>
      </c>
    </row>
    <row r="50" spans="1:13" ht="25.15" customHeight="1">
      <c r="A50" s="88"/>
      <c r="B50" s="90" t="s">
        <v>258</v>
      </c>
      <c r="C50" s="91">
        <v>1</v>
      </c>
      <c r="D50" s="91">
        <v>1</v>
      </c>
      <c r="E50" s="374">
        <v>1</v>
      </c>
      <c r="F50" s="374">
        <v>0.23</v>
      </c>
      <c r="G50" s="88" t="s">
        <v>372</v>
      </c>
      <c r="H50" s="75">
        <f t="shared" si="0"/>
        <v>0.23</v>
      </c>
    </row>
    <row r="51" spans="1:13" ht="25.15" customHeight="1">
      <c r="A51" s="88"/>
      <c r="B51" s="90" t="s">
        <v>259</v>
      </c>
      <c r="C51" s="91">
        <v>1</v>
      </c>
      <c r="D51" s="91">
        <v>1</v>
      </c>
      <c r="E51" s="374">
        <v>0.9</v>
      </c>
      <c r="F51" s="374">
        <v>0.23</v>
      </c>
      <c r="G51" s="88" t="s">
        <v>372</v>
      </c>
      <c r="H51" s="75">
        <f t="shared" si="0"/>
        <v>0.20700000000000002</v>
      </c>
    </row>
    <row r="52" spans="1:13" ht="25.15" customHeight="1">
      <c r="A52" s="88"/>
      <c r="B52" s="90" t="s">
        <v>260</v>
      </c>
      <c r="C52" s="91">
        <v>1</v>
      </c>
      <c r="D52" s="91">
        <v>1</v>
      </c>
      <c r="E52" s="374">
        <v>1.36</v>
      </c>
      <c r="F52" s="374">
        <v>0.6</v>
      </c>
      <c r="G52" s="88" t="s">
        <v>372</v>
      </c>
      <c r="H52" s="75">
        <f t="shared" si="0"/>
        <v>0.81600000000000006</v>
      </c>
    </row>
    <row r="53" spans="1:13" ht="25.15" customHeight="1">
      <c r="A53" s="88"/>
      <c r="B53" s="90" t="s">
        <v>261</v>
      </c>
      <c r="C53" s="91">
        <v>1</v>
      </c>
      <c r="D53" s="91">
        <v>1</v>
      </c>
      <c r="E53" s="374">
        <v>2.56</v>
      </c>
      <c r="F53" s="88" t="s">
        <v>372</v>
      </c>
      <c r="G53" s="100">
        <v>6.25E-2</v>
      </c>
      <c r="H53" s="75">
        <f t="shared" si="0"/>
        <v>0.16</v>
      </c>
    </row>
    <row r="54" spans="1:13" ht="25.15" customHeight="1">
      <c r="A54" s="88"/>
      <c r="B54" s="90" t="s">
        <v>262</v>
      </c>
      <c r="C54" s="91">
        <v>1</v>
      </c>
      <c r="D54" s="91">
        <v>1</v>
      </c>
      <c r="E54" s="374">
        <f>1+0.46</f>
        <v>1.46</v>
      </c>
      <c r="F54" s="374">
        <v>0.6</v>
      </c>
      <c r="G54" s="88" t="s">
        <v>372</v>
      </c>
      <c r="H54" s="75">
        <f t="shared" si="0"/>
        <v>0.876</v>
      </c>
    </row>
    <row r="55" spans="1:13" ht="25.15" customHeight="1">
      <c r="A55" s="88"/>
      <c r="B55" s="90" t="s">
        <v>263</v>
      </c>
      <c r="C55" s="91">
        <v>1</v>
      </c>
      <c r="D55" s="91">
        <v>1</v>
      </c>
      <c r="E55" s="374">
        <v>2.2000000000000002</v>
      </c>
      <c r="F55" s="88" t="s">
        <v>372</v>
      </c>
      <c r="G55" s="100">
        <v>6.25E-2</v>
      </c>
      <c r="H55" s="75">
        <f t="shared" si="0"/>
        <v>0.13750000000000001</v>
      </c>
    </row>
    <row r="56" spans="1:13" ht="25.15" customHeight="1">
      <c r="A56" s="88"/>
      <c r="B56" s="74" t="s">
        <v>234</v>
      </c>
      <c r="C56" s="91"/>
      <c r="D56" s="91"/>
      <c r="E56" s="374"/>
      <c r="F56" s="374"/>
      <c r="G56" s="374"/>
      <c r="H56" s="75">
        <v>0.08</v>
      </c>
    </row>
    <row r="57" spans="1:13" ht="25.15" customHeight="1">
      <c r="A57" s="375"/>
      <c r="B57" s="72"/>
      <c r="C57" s="375"/>
      <c r="D57" s="375"/>
      <c r="E57" s="73"/>
      <c r="F57" s="73"/>
      <c r="G57" s="73" t="s">
        <v>57</v>
      </c>
      <c r="H57" s="73">
        <f>SUM(H46:H56)</f>
        <v>20.398571999999998</v>
      </c>
      <c r="L57" s="101"/>
      <c r="M57" s="101"/>
    </row>
    <row r="58" spans="1:13" ht="25.15" customHeight="1">
      <c r="A58" s="375"/>
      <c r="B58" s="72"/>
      <c r="C58" s="375"/>
      <c r="D58" s="375"/>
      <c r="E58" s="73"/>
      <c r="F58" s="97" t="s">
        <v>15</v>
      </c>
      <c r="G58" s="97">
        <f>+H57</f>
        <v>20.398571999999998</v>
      </c>
      <c r="H58" s="93" t="s">
        <v>264</v>
      </c>
      <c r="L58" s="101"/>
      <c r="M58" s="101"/>
    </row>
    <row r="59" spans="1:13" ht="40.15" customHeight="1">
      <c r="A59" s="71">
        <f>+A45+1</f>
        <v>8</v>
      </c>
      <c r="B59" s="72" t="s">
        <v>265</v>
      </c>
      <c r="C59" s="375"/>
      <c r="D59" s="375"/>
      <c r="E59" s="73"/>
      <c r="F59" s="73"/>
      <c r="G59" s="73"/>
      <c r="H59" s="76"/>
      <c r="L59" s="101"/>
      <c r="M59" s="101"/>
    </row>
    <row r="60" spans="1:13" s="301" customFormat="1" ht="25.15" customHeight="1">
      <c r="A60" s="539"/>
      <c r="B60" s="112" t="s">
        <v>1290</v>
      </c>
      <c r="C60" s="1562">
        <f>+G44</f>
        <v>2.6983937199999999</v>
      </c>
      <c r="D60" s="1562"/>
      <c r="E60" s="88" t="s">
        <v>372</v>
      </c>
      <c r="F60" s="88" t="s">
        <v>372</v>
      </c>
      <c r="G60" s="419">
        <f>+C60</f>
        <v>2.6983937199999999</v>
      </c>
      <c r="H60" s="540" t="s">
        <v>16</v>
      </c>
      <c r="L60" s="541"/>
      <c r="M60" s="541"/>
    </row>
    <row r="61" spans="1:13" ht="25.15" customHeight="1">
      <c r="A61" s="375"/>
      <c r="B61" s="313" t="s">
        <v>57</v>
      </c>
      <c r="C61" s="1563">
        <f>G60</f>
        <v>2.6983937199999999</v>
      </c>
      <c r="D61" s="1563"/>
      <c r="E61" s="375" t="s">
        <v>266</v>
      </c>
      <c r="F61" s="73">
        <v>100</v>
      </c>
      <c r="G61" s="104" t="s">
        <v>267</v>
      </c>
      <c r="H61" s="73">
        <f>F61*C61</f>
        <v>269.83937199999997</v>
      </c>
      <c r="L61" s="101"/>
      <c r="M61" s="101"/>
    </row>
    <row r="62" spans="1:13" ht="25.15" customHeight="1">
      <c r="A62" s="375"/>
      <c r="B62" s="72"/>
      <c r="C62" s="375"/>
      <c r="D62" s="375"/>
      <c r="E62" s="73"/>
      <c r="F62" s="76" t="s">
        <v>15</v>
      </c>
      <c r="G62" s="102">
        <f>H61/1000</f>
        <v>0.26983937199999997</v>
      </c>
      <c r="H62" s="77" t="s">
        <v>58</v>
      </c>
      <c r="L62" s="101"/>
      <c r="M62" s="101"/>
    </row>
    <row r="63" spans="1:13" ht="40.15" customHeight="1">
      <c r="A63" s="71">
        <f>+A59+1</f>
        <v>9</v>
      </c>
      <c r="B63" s="420" t="s">
        <v>268</v>
      </c>
      <c r="C63" s="375"/>
      <c r="D63" s="375"/>
      <c r="E63" s="73"/>
      <c r="F63" s="73"/>
      <c r="G63" s="102"/>
      <c r="H63" s="76"/>
      <c r="L63" s="101"/>
      <c r="M63" s="101"/>
    </row>
    <row r="64" spans="1:13" ht="25.15" customHeight="1">
      <c r="A64" s="375"/>
      <c r="B64" s="72" t="s">
        <v>269</v>
      </c>
      <c r="C64" s="89">
        <v>1</v>
      </c>
      <c r="D64" s="87">
        <v>1</v>
      </c>
      <c r="E64" s="73">
        <v>0.9</v>
      </c>
      <c r="F64" s="73">
        <v>35</v>
      </c>
      <c r="G64" s="75">
        <v>1.35</v>
      </c>
      <c r="H64" s="75">
        <f>PRODUCT(C64:G64)</f>
        <v>42.525000000000006</v>
      </c>
      <c r="L64" s="101"/>
      <c r="M64" s="101"/>
    </row>
    <row r="65" spans="1:13" ht="25.15" customHeight="1">
      <c r="A65" s="375"/>
      <c r="B65" s="90" t="s">
        <v>270</v>
      </c>
      <c r="C65" s="91">
        <v>1</v>
      </c>
      <c r="D65" s="91">
        <v>1</v>
      </c>
      <c r="E65" s="73">
        <v>1</v>
      </c>
      <c r="F65" s="73">
        <v>80</v>
      </c>
      <c r="G65" s="374">
        <v>2.1</v>
      </c>
      <c r="H65" s="75">
        <f>PRODUCT(C65:G65)</f>
        <v>168</v>
      </c>
      <c r="J65" s="65">
        <f>0.9*2.1</f>
        <v>1.8900000000000001</v>
      </c>
    </row>
    <row r="66" spans="1:13" ht="25.15" customHeight="1">
      <c r="A66" s="375"/>
      <c r="B66" s="74" t="s">
        <v>234</v>
      </c>
      <c r="C66" s="89"/>
      <c r="D66" s="87"/>
      <c r="E66" s="73"/>
      <c r="F66" s="76"/>
      <c r="G66" s="75"/>
      <c r="H66" s="75">
        <v>7.0000000000000007E-2</v>
      </c>
      <c r="L66" s="101"/>
      <c r="M66" s="101"/>
    </row>
    <row r="67" spans="1:13" ht="25.15" customHeight="1">
      <c r="A67" s="375"/>
      <c r="B67" s="72"/>
      <c r="C67" s="89"/>
      <c r="D67" s="87"/>
      <c r="E67" s="73"/>
      <c r="F67" s="76"/>
      <c r="G67" s="75" t="s">
        <v>57</v>
      </c>
      <c r="H67" s="75">
        <f>SUM(H64:H66)</f>
        <v>210.595</v>
      </c>
      <c r="L67" s="101"/>
      <c r="M67" s="101"/>
    </row>
    <row r="68" spans="1:13" ht="25.15" customHeight="1">
      <c r="A68" s="375"/>
      <c r="B68" s="72"/>
      <c r="C68" s="91"/>
      <c r="D68" s="91"/>
      <c r="E68" s="73"/>
      <c r="F68" s="76" t="s">
        <v>15</v>
      </c>
      <c r="G68" s="103">
        <f>H67</f>
        <v>210.595</v>
      </c>
      <c r="H68" s="77" t="s">
        <v>271</v>
      </c>
    </row>
    <row r="69" spans="1:13" ht="40.15" customHeight="1">
      <c r="A69" s="71">
        <f>+A63+1</f>
        <v>10</v>
      </c>
      <c r="B69" s="72" t="s">
        <v>272</v>
      </c>
      <c r="C69" s="375"/>
      <c r="D69" s="375"/>
      <c r="E69" s="73"/>
      <c r="F69" s="73"/>
      <c r="G69" s="102"/>
      <c r="H69" s="76"/>
      <c r="L69" s="101"/>
      <c r="M69" s="101"/>
    </row>
    <row r="70" spans="1:13" ht="25.15" customHeight="1">
      <c r="A70" s="375"/>
      <c r="B70" s="72" t="s">
        <v>273</v>
      </c>
      <c r="C70" s="89">
        <v>1</v>
      </c>
      <c r="D70" s="87">
        <v>1</v>
      </c>
      <c r="E70" s="73">
        <v>0.9</v>
      </c>
      <c r="F70" s="88" t="s">
        <v>372</v>
      </c>
      <c r="G70" s="75">
        <v>1.35</v>
      </c>
      <c r="H70" s="75">
        <f>PRODUCT(C70:G70)</f>
        <v>1.2150000000000001</v>
      </c>
      <c r="L70" s="101"/>
      <c r="M70" s="101"/>
    </row>
    <row r="71" spans="1:13" ht="25.15" customHeight="1">
      <c r="A71" s="375"/>
      <c r="B71" s="74" t="s">
        <v>234</v>
      </c>
      <c r="C71" s="91"/>
      <c r="D71" s="91"/>
      <c r="E71" s="73"/>
      <c r="F71" s="73"/>
      <c r="G71" s="99"/>
      <c r="H71" s="75">
        <v>0.08</v>
      </c>
      <c r="J71" s="65">
        <f>0.9*2.1</f>
        <v>1.8900000000000001</v>
      </c>
    </row>
    <row r="72" spans="1:13" ht="25.15" customHeight="1">
      <c r="A72" s="375"/>
      <c r="B72" s="72"/>
      <c r="C72" s="89"/>
      <c r="D72" s="87"/>
      <c r="E72" s="73"/>
      <c r="F72" s="76"/>
      <c r="G72" s="75" t="s">
        <v>57</v>
      </c>
      <c r="H72" s="75">
        <f>SUM(H70:H71)</f>
        <v>1.2950000000000002</v>
      </c>
      <c r="L72" s="101"/>
      <c r="M72" s="101"/>
    </row>
    <row r="73" spans="1:13" ht="25.15" customHeight="1">
      <c r="A73" s="375"/>
      <c r="B73" s="72"/>
      <c r="C73" s="91"/>
      <c r="D73" s="91"/>
      <c r="E73" s="73"/>
      <c r="F73" s="76" t="s">
        <v>15</v>
      </c>
      <c r="G73" s="103">
        <f>H72</f>
        <v>1.2950000000000002</v>
      </c>
      <c r="H73" s="77" t="s">
        <v>264</v>
      </c>
    </row>
    <row r="74" spans="1:13" ht="25.15" customHeight="1">
      <c r="A74" s="71">
        <f>+A69+1</f>
        <v>11</v>
      </c>
      <c r="B74" s="72" t="s">
        <v>274</v>
      </c>
      <c r="C74" s="375"/>
      <c r="D74" s="375"/>
      <c r="E74" s="73"/>
      <c r="F74" s="73"/>
      <c r="G74" s="73"/>
      <c r="H74" s="73"/>
    </row>
    <row r="75" spans="1:13" ht="25.15" customHeight="1">
      <c r="A75" s="71"/>
      <c r="B75" s="72" t="s">
        <v>233</v>
      </c>
      <c r="C75" s="71">
        <v>1</v>
      </c>
      <c r="D75" s="71">
        <v>1</v>
      </c>
      <c r="E75" s="73">
        <v>1</v>
      </c>
      <c r="F75" s="73">
        <f>0.45*2</f>
        <v>0.9</v>
      </c>
      <c r="G75" s="88" t="s">
        <v>372</v>
      </c>
      <c r="H75" s="73">
        <f>PRODUCT(C75:G75)</f>
        <v>0.9</v>
      </c>
    </row>
    <row r="76" spans="1:13" ht="25.15" customHeight="1">
      <c r="A76" s="71"/>
      <c r="B76" s="72" t="s">
        <v>275</v>
      </c>
      <c r="C76" s="71">
        <v>1</v>
      </c>
      <c r="D76" s="71">
        <v>2</v>
      </c>
      <c r="E76" s="73">
        <v>0.6</v>
      </c>
      <c r="F76" s="88" t="s">
        <v>372</v>
      </c>
      <c r="G76" s="73">
        <v>0.15</v>
      </c>
      <c r="H76" s="73">
        <f>PRODUCT(C76:G76)</f>
        <v>0.18</v>
      </c>
    </row>
    <row r="77" spans="1:13" ht="25.15" customHeight="1">
      <c r="A77" s="71"/>
      <c r="B77" s="72" t="s">
        <v>275</v>
      </c>
      <c r="C77" s="71">
        <v>1</v>
      </c>
      <c r="D77" s="71">
        <v>2</v>
      </c>
      <c r="E77" s="73">
        <v>0.3</v>
      </c>
      <c r="F77" s="88" t="s">
        <v>372</v>
      </c>
      <c r="G77" s="73">
        <v>0.15</v>
      </c>
      <c r="H77" s="73">
        <f>PRODUCT(C77:G77)</f>
        <v>0.09</v>
      </c>
    </row>
    <row r="78" spans="1:13" ht="25.15" customHeight="1">
      <c r="A78" s="88"/>
      <c r="B78" s="74" t="s">
        <v>234</v>
      </c>
      <c r="C78" s="91"/>
      <c r="D78" s="91"/>
      <c r="E78" s="73"/>
      <c r="F78" s="73"/>
      <c r="G78" s="374"/>
      <c r="H78" s="75">
        <v>0.03</v>
      </c>
    </row>
    <row r="79" spans="1:13" ht="25.15" customHeight="1">
      <c r="A79" s="88"/>
      <c r="B79" s="90"/>
      <c r="C79" s="91"/>
      <c r="D79" s="91"/>
      <c r="E79" s="73"/>
      <c r="F79" s="73"/>
      <c r="G79" s="374" t="s">
        <v>57</v>
      </c>
      <c r="H79" s="75">
        <f>SUM(H75:H78)</f>
        <v>1.2000000000000002</v>
      </c>
    </row>
    <row r="80" spans="1:13" ht="25.15" customHeight="1">
      <c r="A80" s="88"/>
      <c r="B80" s="90"/>
      <c r="C80" s="91"/>
      <c r="D80" s="91"/>
      <c r="E80" s="73"/>
      <c r="F80" s="97" t="s">
        <v>15</v>
      </c>
      <c r="G80" s="97">
        <f>+H79</f>
        <v>1.2000000000000002</v>
      </c>
      <c r="H80" s="93" t="s">
        <v>264</v>
      </c>
    </row>
    <row r="81" spans="1:8" ht="60" customHeight="1">
      <c r="A81" s="71">
        <f>+A74+1</f>
        <v>12</v>
      </c>
      <c r="B81" s="72" t="s">
        <v>276</v>
      </c>
      <c r="C81" s="375"/>
      <c r="D81" s="375"/>
      <c r="E81" s="73"/>
      <c r="F81" s="73"/>
      <c r="G81" s="73"/>
      <c r="H81" s="73"/>
    </row>
    <row r="82" spans="1:8" ht="25.15" customHeight="1">
      <c r="A82" s="71"/>
      <c r="B82" s="72" t="s">
        <v>277</v>
      </c>
      <c r="C82" s="71">
        <v>1</v>
      </c>
      <c r="D82" s="105">
        <v>0.25</v>
      </c>
      <c r="E82" s="1557" t="s">
        <v>580</v>
      </c>
      <c r="F82" s="1558"/>
      <c r="G82" s="88" t="s">
        <v>372</v>
      </c>
      <c r="H82" s="73">
        <f>D82*C82*3.14*3.8*3.8</f>
        <v>11.3354</v>
      </c>
    </row>
    <row r="83" spans="1:8" ht="25.15" customHeight="1">
      <c r="A83" s="71"/>
      <c r="B83" s="74" t="s">
        <v>234</v>
      </c>
      <c r="C83" s="71"/>
      <c r="D83" s="71"/>
      <c r="E83" s="73"/>
      <c r="F83" s="73"/>
      <c r="G83" s="73"/>
      <c r="H83" s="73">
        <v>0.06</v>
      </c>
    </row>
    <row r="84" spans="1:8" ht="25.15" customHeight="1">
      <c r="A84" s="88"/>
      <c r="B84" s="90"/>
      <c r="C84" s="91"/>
      <c r="D84" s="91"/>
      <c r="E84" s="73"/>
      <c r="F84" s="73"/>
      <c r="G84" s="374" t="s">
        <v>57</v>
      </c>
      <c r="H84" s="75">
        <f>SUM(H82:H83)</f>
        <v>11.3954</v>
      </c>
    </row>
    <row r="85" spans="1:8" ht="25.15" customHeight="1">
      <c r="A85" s="88"/>
      <c r="B85" s="90"/>
      <c r="C85" s="91"/>
      <c r="D85" s="91"/>
      <c r="E85" s="73"/>
      <c r="F85" s="97" t="s">
        <v>15</v>
      </c>
      <c r="G85" s="97">
        <f>+H84</f>
        <v>11.3954</v>
      </c>
      <c r="H85" s="93" t="s">
        <v>264</v>
      </c>
    </row>
    <row r="86" spans="1:8" ht="25.15" customHeight="1">
      <c r="A86" s="71">
        <f>+A81+1</f>
        <v>13</v>
      </c>
      <c r="B86" s="72" t="s">
        <v>278</v>
      </c>
      <c r="C86" s="375"/>
      <c r="D86" s="375"/>
      <c r="E86" s="73"/>
      <c r="F86" s="73"/>
      <c r="G86" s="73"/>
      <c r="H86" s="73"/>
    </row>
    <row r="87" spans="1:8" ht="25.15" customHeight="1">
      <c r="A87" s="88"/>
      <c r="B87" s="90" t="s">
        <v>279</v>
      </c>
      <c r="C87" s="98">
        <v>0.25</v>
      </c>
      <c r="D87" s="91">
        <v>1</v>
      </c>
      <c r="E87" s="1557" t="s">
        <v>580</v>
      </c>
      <c r="F87" s="1558"/>
      <c r="G87" s="88" t="s">
        <v>372</v>
      </c>
      <c r="H87" s="75">
        <f>D87*C87*3.14*3.8*3.8</f>
        <v>11.3354</v>
      </c>
    </row>
    <row r="88" spans="1:8" ht="25.15" customHeight="1">
      <c r="A88" s="88"/>
      <c r="B88" s="90" t="s">
        <v>260</v>
      </c>
      <c r="C88" s="91">
        <v>1</v>
      </c>
      <c r="D88" s="91">
        <v>1</v>
      </c>
      <c r="E88" s="374">
        <v>1.36</v>
      </c>
      <c r="F88" s="374">
        <v>0.6</v>
      </c>
      <c r="G88" s="88" t="s">
        <v>372</v>
      </c>
      <c r="H88" s="75">
        <f>PRODUCT(C88:G88)</f>
        <v>0.81600000000000006</v>
      </c>
    </row>
    <row r="89" spans="1:8" ht="25.15" customHeight="1">
      <c r="A89" s="88"/>
      <c r="B89" s="90" t="s">
        <v>261</v>
      </c>
      <c r="C89" s="91">
        <v>1</v>
      </c>
      <c r="D89" s="91">
        <v>1</v>
      </c>
      <c r="E89" s="374">
        <v>2.56</v>
      </c>
      <c r="F89" s="374"/>
      <c r="G89" s="100">
        <v>6.25E-2</v>
      </c>
      <c r="H89" s="75">
        <f>PRODUCT(C89:G89)</f>
        <v>0.16</v>
      </c>
    </row>
    <row r="90" spans="1:8" ht="25.15" customHeight="1">
      <c r="A90" s="88"/>
      <c r="B90" s="90" t="s">
        <v>262</v>
      </c>
      <c r="C90" s="91">
        <v>1</v>
      </c>
      <c r="D90" s="91">
        <v>1</v>
      </c>
      <c r="E90" s="374">
        <f>1+0.46</f>
        <v>1.46</v>
      </c>
      <c r="F90" s="374">
        <v>0.6</v>
      </c>
      <c r="G90" s="88" t="s">
        <v>372</v>
      </c>
      <c r="H90" s="75">
        <f>PRODUCT(C90:G90)</f>
        <v>0.876</v>
      </c>
    </row>
    <row r="91" spans="1:8" ht="25.15" customHeight="1">
      <c r="A91" s="88"/>
      <c r="B91" s="90" t="s">
        <v>263</v>
      </c>
      <c r="C91" s="91">
        <v>1</v>
      </c>
      <c r="D91" s="91">
        <v>1</v>
      </c>
      <c r="E91" s="374">
        <v>2.2000000000000002</v>
      </c>
      <c r="F91" s="88" t="s">
        <v>372</v>
      </c>
      <c r="G91" s="100">
        <v>6.25E-2</v>
      </c>
      <c r="H91" s="75">
        <f>PRODUCT(C91:G91)</f>
        <v>0.13750000000000001</v>
      </c>
    </row>
    <row r="92" spans="1:8" ht="25.15" customHeight="1">
      <c r="A92" s="88"/>
      <c r="B92" s="74" t="s">
        <v>234</v>
      </c>
      <c r="C92" s="91"/>
      <c r="D92" s="91"/>
      <c r="E92" s="73"/>
      <c r="F92" s="73"/>
      <c r="G92" s="374"/>
      <c r="H92" s="75">
        <v>0.08</v>
      </c>
    </row>
    <row r="93" spans="1:8" ht="25.15" customHeight="1">
      <c r="A93" s="88"/>
      <c r="B93" s="90"/>
      <c r="C93" s="91"/>
      <c r="D93" s="91"/>
      <c r="E93" s="73"/>
      <c r="F93" s="73"/>
      <c r="G93" s="374" t="s">
        <v>57</v>
      </c>
      <c r="H93" s="75">
        <f>SUM(H87:H92)</f>
        <v>13.4049</v>
      </c>
    </row>
    <row r="94" spans="1:8" ht="25.15" customHeight="1">
      <c r="A94" s="88"/>
      <c r="B94" s="90"/>
      <c r="C94" s="91"/>
      <c r="D94" s="91"/>
      <c r="E94" s="73"/>
      <c r="F94" s="97" t="s">
        <v>15</v>
      </c>
      <c r="G94" s="97">
        <f>+H93</f>
        <v>13.4049</v>
      </c>
      <c r="H94" s="93" t="s">
        <v>235</v>
      </c>
    </row>
    <row r="95" spans="1:8" ht="40.15" customHeight="1">
      <c r="A95" s="71">
        <f>+A86+1</f>
        <v>14</v>
      </c>
      <c r="B95" s="72" t="s">
        <v>280</v>
      </c>
      <c r="C95" s="375"/>
      <c r="D95" s="375"/>
      <c r="E95" s="73"/>
      <c r="F95" s="73"/>
      <c r="G95" s="73"/>
      <c r="H95" s="73"/>
    </row>
    <row r="96" spans="1:8" ht="25.15" customHeight="1">
      <c r="A96" s="71"/>
      <c r="B96" s="106" t="s">
        <v>281</v>
      </c>
      <c r="C96" s="375"/>
      <c r="D96" s="375"/>
      <c r="E96" s="73"/>
      <c r="F96" s="73"/>
      <c r="G96" s="73"/>
      <c r="H96" s="73"/>
    </row>
    <row r="97" spans="1:8" ht="25.15" customHeight="1">
      <c r="A97" s="71"/>
      <c r="B97" s="72" t="s">
        <v>282</v>
      </c>
      <c r="C97" s="91">
        <v>1</v>
      </c>
      <c r="D97" s="91">
        <v>1</v>
      </c>
      <c r="E97" s="374">
        <v>3.14</v>
      </c>
      <c r="F97" s="374">
        <v>3.8</v>
      </c>
      <c r="G97" s="374">
        <v>2.4</v>
      </c>
      <c r="H97" s="75">
        <f>PRODUCT(C97:G97)</f>
        <v>28.636800000000001</v>
      </c>
    </row>
    <row r="98" spans="1:8" ht="25.15" customHeight="1">
      <c r="A98" s="71"/>
      <c r="B98" s="72" t="s">
        <v>283</v>
      </c>
      <c r="C98" s="91">
        <v>1</v>
      </c>
      <c r="D98" s="91">
        <v>-1</v>
      </c>
      <c r="E98" s="374">
        <v>1</v>
      </c>
      <c r="F98" s="88" t="s">
        <v>372</v>
      </c>
      <c r="G98" s="374">
        <v>2.1</v>
      </c>
      <c r="H98" s="75">
        <f>PRODUCT(C98:G98)</f>
        <v>-2.1</v>
      </c>
    </row>
    <row r="99" spans="1:8" ht="25.15" customHeight="1">
      <c r="A99" s="71"/>
      <c r="B99" s="72" t="s">
        <v>284</v>
      </c>
      <c r="C99" s="91">
        <v>1</v>
      </c>
      <c r="D99" s="91">
        <v>-1</v>
      </c>
      <c r="E99" s="374">
        <v>0.9</v>
      </c>
      <c r="F99" s="88" t="s">
        <v>372</v>
      </c>
      <c r="G99" s="374">
        <v>1.35</v>
      </c>
      <c r="H99" s="75">
        <f>PRODUCT(C99:G99)</f>
        <v>-1.2150000000000001</v>
      </c>
    </row>
    <row r="100" spans="1:8" ht="25.15" customHeight="1">
      <c r="A100" s="71"/>
      <c r="B100" s="72" t="s">
        <v>285</v>
      </c>
      <c r="C100" s="91">
        <v>1</v>
      </c>
      <c r="D100" s="91">
        <v>1</v>
      </c>
      <c r="E100" s="374">
        <v>5.2</v>
      </c>
      <c r="F100" s="88" t="s">
        <v>372</v>
      </c>
      <c r="G100" s="374">
        <v>0.23</v>
      </c>
      <c r="H100" s="75">
        <f>PRODUCT(C100:G100)</f>
        <v>1.1960000000000002</v>
      </c>
    </row>
    <row r="101" spans="1:8" ht="25.15" customHeight="1">
      <c r="A101" s="71"/>
      <c r="B101" s="72" t="s">
        <v>286</v>
      </c>
      <c r="C101" s="91">
        <v>1</v>
      </c>
      <c r="D101" s="91">
        <v>1</v>
      </c>
      <c r="E101" s="374">
        <v>4.5</v>
      </c>
      <c r="F101" s="88" t="s">
        <v>372</v>
      </c>
      <c r="G101" s="374">
        <v>0.1</v>
      </c>
      <c r="H101" s="75">
        <f>PRODUCT(C101:G101)</f>
        <v>0.45</v>
      </c>
    </row>
    <row r="102" spans="1:8" ht="25.15" customHeight="1">
      <c r="A102" s="71"/>
      <c r="B102" s="106" t="s">
        <v>287</v>
      </c>
      <c r="C102" s="375"/>
      <c r="D102" s="375"/>
      <c r="E102" s="107"/>
      <c r="F102" s="108"/>
      <c r="G102" s="73"/>
      <c r="H102" s="73"/>
    </row>
    <row r="103" spans="1:8" ht="25.15" customHeight="1">
      <c r="A103" s="71"/>
      <c r="B103" s="72" t="s">
        <v>288</v>
      </c>
      <c r="C103" s="91">
        <v>1</v>
      </c>
      <c r="D103" s="91">
        <v>1</v>
      </c>
      <c r="E103" s="374">
        <v>3.14</v>
      </c>
      <c r="F103" s="374">
        <v>4.26</v>
      </c>
      <c r="G103" s="374">
        <v>3.75</v>
      </c>
      <c r="H103" s="75">
        <f>PRODUCT(C103:G103)</f>
        <v>50.161500000000004</v>
      </c>
    </row>
    <row r="104" spans="1:8" ht="25.15" customHeight="1">
      <c r="A104" s="71"/>
      <c r="B104" s="72" t="s">
        <v>289</v>
      </c>
      <c r="C104" s="91">
        <v>1</v>
      </c>
      <c r="D104" s="91">
        <v>1</v>
      </c>
      <c r="E104" s="374">
        <v>1.36</v>
      </c>
      <c r="F104" s="88" t="s">
        <v>372</v>
      </c>
      <c r="G104" s="374">
        <v>0.6</v>
      </c>
      <c r="H104" s="75">
        <f t="shared" ref="H104:H110" si="1">PRODUCT(C104:G104)</f>
        <v>0.81600000000000006</v>
      </c>
    </row>
    <row r="105" spans="1:8" ht="25.15" customHeight="1">
      <c r="A105" s="71"/>
      <c r="B105" s="72" t="s">
        <v>290</v>
      </c>
      <c r="C105" s="91">
        <v>1</v>
      </c>
      <c r="D105" s="91">
        <v>1</v>
      </c>
      <c r="E105" s="374">
        <v>1.46</v>
      </c>
      <c r="F105" s="88" t="s">
        <v>372</v>
      </c>
      <c r="G105" s="374">
        <v>0.6</v>
      </c>
      <c r="H105" s="75">
        <f t="shared" si="1"/>
        <v>0.876</v>
      </c>
    </row>
    <row r="106" spans="1:8" ht="25.15" customHeight="1">
      <c r="A106" s="71"/>
      <c r="B106" s="72" t="s">
        <v>291</v>
      </c>
      <c r="C106" s="91">
        <v>1</v>
      </c>
      <c r="D106" s="91">
        <v>1</v>
      </c>
      <c r="E106" s="374">
        <v>3.14</v>
      </c>
      <c r="F106" s="374">
        <v>4.03</v>
      </c>
      <c r="G106" s="374">
        <v>0.23</v>
      </c>
      <c r="H106" s="75">
        <f t="shared" si="1"/>
        <v>2.9104660000000004</v>
      </c>
    </row>
    <row r="107" spans="1:8" ht="25.15" customHeight="1">
      <c r="A107" s="71"/>
      <c r="B107" s="72" t="s">
        <v>292</v>
      </c>
      <c r="C107" s="91">
        <v>1</v>
      </c>
      <c r="D107" s="91">
        <v>1</v>
      </c>
      <c r="E107" s="374">
        <v>3.14</v>
      </c>
      <c r="F107" s="109">
        <v>3.8</v>
      </c>
      <c r="G107" s="374">
        <v>0.45</v>
      </c>
      <c r="H107" s="75">
        <f t="shared" si="1"/>
        <v>5.3694000000000006</v>
      </c>
    </row>
    <row r="108" spans="1:8" ht="25.15" customHeight="1">
      <c r="A108" s="71"/>
      <c r="B108" s="72" t="s">
        <v>283</v>
      </c>
      <c r="C108" s="71">
        <v>1</v>
      </c>
      <c r="D108" s="71">
        <v>-1</v>
      </c>
      <c r="E108" s="73">
        <v>1</v>
      </c>
      <c r="F108" s="88" t="s">
        <v>372</v>
      </c>
      <c r="G108" s="73">
        <v>2.1</v>
      </c>
      <c r="H108" s="75">
        <f t="shared" si="1"/>
        <v>-2.1</v>
      </c>
    </row>
    <row r="109" spans="1:8" ht="25.15" customHeight="1">
      <c r="A109" s="71"/>
      <c r="B109" s="72" t="s">
        <v>284</v>
      </c>
      <c r="C109" s="71">
        <v>1</v>
      </c>
      <c r="D109" s="71">
        <v>1</v>
      </c>
      <c r="E109" s="73">
        <v>0.9</v>
      </c>
      <c r="F109" s="88" t="s">
        <v>372</v>
      </c>
      <c r="G109" s="73">
        <v>1.35</v>
      </c>
      <c r="H109" s="75">
        <f t="shared" si="1"/>
        <v>1.2150000000000001</v>
      </c>
    </row>
    <row r="110" spans="1:8" ht="25.15" customHeight="1">
      <c r="A110" s="71"/>
      <c r="B110" s="72" t="s">
        <v>293</v>
      </c>
      <c r="C110" s="71">
        <v>1</v>
      </c>
      <c r="D110" s="71">
        <v>1</v>
      </c>
      <c r="E110" s="73">
        <v>4.5</v>
      </c>
      <c r="F110" s="88" t="s">
        <v>372</v>
      </c>
      <c r="G110" s="73">
        <v>0.1</v>
      </c>
      <c r="H110" s="75">
        <f t="shared" si="1"/>
        <v>0.45</v>
      </c>
    </row>
    <row r="111" spans="1:8" ht="25.15" customHeight="1">
      <c r="A111" s="88"/>
      <c r="B111" s="74" t="s">
        <v>234</v>
      </c>
      <c r="C111" s="89"/>
      <c r="D111" s="87"/>
      <c r="E111" s="75"/>
      <c r="F111" s="75"/>
      <c r="G111" s="75"/>
      <c r="H111" s="75">
        <v>0.03</v>
      </c>
    </row>
    <row r="112" spans="1:8" ht="25.15" customHeight="1">
      <c r="A112" s="375"/>
      <c r="B112" s="72"/>
      <c r="C112" s="375"/>
      <c r="D112" s="375"/>
      <c r="E112" s="73"/>
      <c r="F112" s="73"/>
      <c r="G112" s="73" t="s">
        <v>57</v>
      </c>
      <c r="H112" s="73">
        <f>SUM(H97:H111)</f>
        <v>86.696166000000019</v>
      </c>
    </row>
    <row r="113" spans="1:8" ht="25.15" customHeight="1">
      <c r="A113" s="375"/>
      <c r="B113" s="72"/>
      <c r="C113" s="375"/>
      <c r="D113" s="375"/>
      <c r="E113" s="73"/>
      <c r="F113" s="97" t="s">
        <v>15</v>
      </c>
      <c r="G113" s="97">
        <f>+H112</f>
        <v>86.696166000000019</v>
      </c>
      <c r="H113" s="93" t="s">
        <v>264</v>
      </c>
    </row>
    <row r="114" spans="1:8" ht="40.15" customHeight="1">
      <c r="A114" s="71">
        <f>+A95+1</f>
        <v>15</v>
      </c>
      <c r="B114" s="110" t="s">
        <v>136</v>
      </c>
      <c r="C114" s="375"/>
      <c r="D114" s="375"/>
      <c r="E114" s="73"/>
      <c r="F114" s="73"/>
      <c r="G114" s="73"/>
      <c r="H114" s="73"/>
    </row>
    <row r="115" spans="1:8" ht="25.15" customHeight="1">
      <c r="A115" s="88"/>
      <c r="B115" s="90" t="s">
        <v>294</v>
      </c>
      <c r="C115" s="98">
        <v>0.25</v>
      </c>
      <c r="D115" s="91">
        <v>1</v>
      </c>
      <c r="E115" s="1559" t="s">
        <v>580</v>
      </c>
      <c r="F115" s="1559"/>
      <c r="G115" s="88" t="s">
        <v>372</v>
      </c>
      <c r="H115" s="75">
        <f>D115*3.14*3.8*3.8*C115</f>
        <v>11.3354</v>
      </c>
    </row>
    <row r="116" spans="1:8" ht="25.15" customHeight="1">
      <c r="A116" s="88"/>
      <c r="B116" s="90" t="s">
        <v>295</v>
      </c>
      <c r="C116" s="111">
        <v>1</v>
      </c>
      <c r="D116" s="91">
        <v>1</v>
      </c>
      <c r="E116" s="1559" t="s">
        <v>583</v>
      </c>
      <c r="F116" s="1559"/>
      <c r="G116" s="88" t="s">
        <v>372</v>
      </c>
      <c r="H116" s="75">
        <f>C116*D116*3.14*3.8*0.23</f>
        <v>2.7443600000000004</v>
      </c>
    </row>
    <row r="117" spans="1:8" ht="25.15" customHeight="1">
      <c r="A117" s="375"/>
      <c r="B117" s="74" t="s">
        <v>234</v>
      </c>
      <c r="C117" s="375"/>
      <c r="D117" s="375"/>
      <c r="E117" s="73"/>
      <c r="F117" s="73"/>
      <c r="G117" s="73"/>
      <c r="H117" s="73">
        <v>0.02</v>
      </c>
    </row>
    <row r="118" spans="1:8" ht="25.15" customHeight="1">
      <c r="A118" s="375"/>
      <c r="B118" s="72"/>
      <c r="C118" s="375"/>
      <c r="D118" s="375"/>
      <c r="E118" s="73"/>
      <c r="F118" s="73"/>
      <c r="G118" s="73" t="s">
        <v>57</v>
      </c>
      <c r="H118" s="73">
        <f>SUM(H115:H117)</f>
        <v>14.09976</v>
      </c>
    </row>
    <row r="119" spans="1:8" ht="25.15" customHeight="1">
      <c r="A119" s="375"/>
      <c r="B119" s="72"/>
      <c r="C119" s="375"/>
      <c r="D119" s="375"/>
      <c r="E119" s="73"/>
      <c r="F119" s="97" t="s">
        <v>15</v>
      </c>
      <c r="G119" s="97">
        <f>+H118</f>
        <v>14.09976</v>
      </c>
      <c r="H119" s="93" t="s">
        <v>264</v>
      </c>
    </row>
    <row r="120" spans="1:8" ht="40.15" customHeight="1">
      <c r="A120" s="71">
        <f>+A114+1</f>
        <v>16</v>
      </c>
      <c r="B120" s="72" t="s">
        <v>296</v>
      </c>
      <c r="C120" s="375"/>
      <c r="D120" s="375"/>
      <c r="E120" s="73"/>
      <c r="F120" s="73"/>
      <c r="G120" s="73"/>
      <c r="H120" s="73"/>
    </row>
    <row r="121" spans="1:8" ht="25.15" customHeight="1">
      <c r="A121" s="88"/>
      <c r="B121" s="90" t="s">
        <v>297</v>
      </c>
      <c r="C121" s="91">
        <v>1</v>
      </c>
      <c r="D121" s="91">
        <v>1</v>
      </c>
      <c r="E121" s="73">
        <v>5.3</v>
      </c>
      <c r="F121" s="88" t="s">
        <v>372</v>
      </c>
      <c r="G121" s="88" t="s">
        <v>372</v>
      </c>
      <c r="H121" s="75">
        <f>PRODUCT(C121:G121)</f>
        <v>5.3</v>
      </c>
    </row>
    <row r="122" spans="1:8" ht="25.15" customHeight="1">
      <c r="A122" s="375"/>
      <c r="B122" s="72"/>
      <c r="C122" s="375"/>
      <c r="D122" s="375"/>
      <c r="E122" s="73"/>
      <c r="F122" s="97" t="s">
        <v>15</v>
      </c>
      <c r="G122" s="97">
        <f>+H121</f>
        <v>5.3</v>
      </c>
      <c r="H122" s="93" t="s">
        <v>298</v>
      </c>
    </row>
    <row r="123" spans="1:8" ht="75" customHeight="1">
      <c r="A123" s="71">
        <f>+A120+1</f>
        <v>17</v>
      </c>
      <c r="B123" s="72" t="s">
        <v>299</v>
      </c>
      <c r="C123" s="375"/>
      <c r="D123" s="375"/>
      <c r="E123" s="73"/>
      <c r="F123" s="97"/>
      <c r="G123" s="97"/>
      <c r="H123" s="97"/>
    </row>
    <row r="124" spans="1:8" ht="25.15" customHeight="1">
      <c r="A124" s="71"/>
      <c r="B124" s="72" t="s">
        <v>300</v>
      </c>
      <c r="C124" s="91">
        <v>1</v>
      </c>
      <c r="D124" s="91">
        <v>1</v>
      </c>
      <c r="E124" s="73">
        <v>0.9</v>
      </c>
      <c r="F124" s="88" t="s">
        <v>372</v>
      </c>
      <c r="G124" s="374">
        <v>1.35</v>
      </c>
      <c r="H124" s="75">
        <f>PRODUCT(C124:G124)</f>
        <v>1.2150000000000001</v>
      </c>
    </row>
    <row r="125" spans="1:8" ht="25.15" customHeight="1">
      <c r="A125" s="71"/>
      <c r="B125" s="72" t="s">
        <v>301</v>
      </c>
      <c r="C125" s="91">
        <v>1</v>
      </c>
      <c r="D125" s="91">
        <v>1</v>
      </c>
      <c r="E125" s="73">
        <v>1</v>
      </c>
      <c r="F125" s="88" t="s">
        <v>372</v>
      </c>
      <c r="G125" s="374">
        <v>2.1</v>
      </c>
      <c r="H125" s="75">
        <f>PRODUCT(C125:G125)</f>
        <v>2.1</v>
      </c>
    </row>
    <row r="126" spans="1:8" ht="25.15" customHeight="1">
      <c r="A126" s="88"/>
      <c r="B126" s="74" t="s">
        <v>234</v>
      </c>
      <c r="C126" s="91"/>
      <c r="D126" s="91"/>
      <c r="E126" s="374"/>
      <c r="F126" s="374"/>
      <c r="G126" s="374"/>
      <c r="H126" s="75">
        <v>0.08</v>
      </c>
    </row>
    <row r="127" spans="1:8" ht="25.15" customHeight="1">
      <c r="A127" s="71"/>
      <c r="B127" s="72"/>
      <c r="C127" s="375"/>
      <c r="D127" s="375"/>
      <c r="E127" s="73"/>
      <c r="F127" s="97"/>
      <c r="G127" s="75" t="s">
        <v>57</v>
      </c>
      <c r="H127" s="75">
        <f>SUM(H124:H126)</f>
        <v>3.3950000000000005</v>
      </c>
    </row>
    <row r="128" spans="1:8" ht="25.15" customHeight="1">
      <c r="A128" s="71"/>
      <c r="B128" s="72"/>
      <c r="C128" s="375"/>
      <c r="D128" s="375"/>
      <c r="E128" s="73"/>
      <c r="F128" s="97" t="s">
        <v>15</v>
      </c>
      <c r="G128" s="97">
        <f>+H127</f>
        <v>3.3950000000000005</v>
      </c>
      <c r="H128" s="93" t="s">
        <v>264</v>
      </c>
    </row>
    <row r="129" spans="1:8" ht="25.15" customHeight="1">
      <c r="A129" s="71">
        <f>+A123+1</f>
        <v>18</v>
      </c>
      <c r="B129" s="110" t="s">
        <v>302</v>
      </c>
      <c r="C129" s="375"/>
      <c r="D129" s="375"/>
      <c r="E129" s="73"/>
      <c r="F129" s="97"/>
      <c r="G129" s="97"/>
      <c r="H129" s="97"/>
    </row>
    <row r="130" spans="1:8" ht="25.15" customHeight="1">
      <c r="A130" s="71"/>
      <c r="B130" s="106" t="s">
        <v>287</v>
      </c>
      <c r="C130" s="375"/>
      <c r="D130" s="375"/>
      <c r="E130" s="107"/>
      <c r="F130" s="108"/>
      <c r="G130" s="73"/>
      <c r="H130" s="73"/>
    </row>
    <row r="131" spans="1:8" ht="25.15" customHeight="1">
      <c r="A131" s="71"/>
      <c r="B131" s="72" t="s">
        <v>288</v>
      </c>
      <c r="C131" s="91">
        <v>1</v>
      </c>
      <c r="D131" s="91">
        <v>1</v>
      </c>
      <c r="E131" s="374">
        <v>3.14</v>
      </c>
      <c r="F131" s="374">
        <v>4.26</v>
      </c>
      <c r="G131" s="374">
        <v>3.75</v>
      </c>
      <c r="H131" s="75">
        <f>PRODUCT(C131:G131)</f>
        <v>50.161500000000004</v>
      </c>
    </row>
    <row r="132" spans="1:8" ht="25.15" customHeight="1">
      <c r="A132" s="71"/>
      <c r="B132" s="72" t="s">
        <v>289</v>
      </c>
      <c r="C132" s="91">
        <v>1</v>
      </c>
      <c r="D132" s="91">
        <v>1</v>
      </c>
      <c r="E132" s="374">
        <v>1.36</v>
      </c>
      <c r="F132" s="88" t="s">
        <v>372</v>
      </c>
      <c r="G132" s="374">
        <v>0.6</v>
      </c>
      <c r="H132" s="75">
        <f t="shared" ref="H132:H138" si="2">PRODUCT(C132:G132)</f>
        <v>0.81600000000000006</v>
      </c>
    </row>
    <row r="133" spans="1:8" ht="25.15" customHeight="1">
      <c r="A133" s="71"/>
      <c r="B133" s="72" t="s">
        <v>290</v>
      </c>
      <c r="C133" s="91">
        <v>1</v>
      </c>
      <c r="D133" s="91">
        <v>1</v>
      </c>
      <c r="E133" s="374">
        <v>1.46</v>
      </c>
      <c r="F133" s="88" t="s">
        <v>372</v>
      </c>
      <c r="G133" s="374">
        <v>0.6</v>
      </c>
      <c r="H133" s="75">
        <f t="shared" si="2"/>
        <v>0.876</v>
      </c>
    </row>
    <row r="134" spans="1:8" ht="25.15" customHeight="1">
      <c r="A134" s="71"/>
      <c r="B134" s="72" t="s">
        <v>291</v>
      </c>
      <c r="C134" s="91">
        <v>1</v>
      </c>
      <c r="D134" s="91">
        <v>1</v>
      </c>
      <c r="E134" s="374">
        <v>3.14</v>
      </c>
      <c r="F134" s="374">
        <v>4.03</v>
      </c>
      <c r="G134" s="374">
        <v>0.23</v>
      </c>
      <c r="H134" s="75">
        <f t="shared" si="2"/>
        <v>2.9104660000000004</v>
      </c>
    </row>
    <row r="135" spans="1:8" ht="25.15" customHeight="1">
      <c r="A135" s="71"/>
      <c r="B135" s="72" t="s">
        <v>292</v>
      </c>
      <c r="C135" s="91">
        <v>1</v>
      </c>
      <c r="D135" s="91">
        <v>1</v>
      </c>
      <c r="E135" s="374">
        <v>3.14</v>
      </c>
      <c r="F135" s="109">
        <v>3.8</v>
      </c>
      <c r="G135" s="374">
        <v>0.45</v>
      </c>
      <c r="H135" s="75">
        <f t="shared" si="2"/>
        <v>5.3694000000000006</v>
      </c>
    </row>
    <row r="136" spans="1:8" ht="25.15" customHeight="1">
      <c r="A136" s="71"/>
      <c r="B136" s="72" t="s">
        <v>283</v>
      </c>
      <c r="C136" s="71">
        <v>1</v>
      </c>
      <c r="D136" s="71">
        <v>-1</v>
      </c>
      <c r="E136" s="73">
        <v>1</v>
      </c>
      <c r="F136" s="88" t="s">
        <v>372</v>
      </c>
      <c r="G136" s="73">
        <v>2.1</v>
      </c>
      <c r="H136" s="75">
        <f t="shared" si="2"/>
        <v>-2.1</v>
      </c>
    </row>
    <row r="137" spans="1:8" ht="25.15" customHeight="1">
      <c r="A137" s="71"/>
      <c r="B137" s="72" t="s">
        <v>284</v>
      </c>
      <c r="C137" s="71">
        <v>1</v>
      </c>
      <c r="D137" s="71">
        <v>-1</v>
      </c>
      <c r="E137" s="73">
        <v>0.9</v>
      </c>
      <c r="F137" s="88" t="s">
        <v>372</v>
      </c>
      <c r="G137" s="73">
        <v>1.35</v>
      </c>
      <c r="H137" s="75">
        <f t="shared" si="2"/>
        <v>-1.2150000000000001</v>
      </c>
    </row>
    <row r="138" spans="1:8" ht="25.15" customHeight="1">
      <c r="A138" s="71"/>
      <c r="B138" s="72" t="s">
        <v>293</v>
      </c>
      <c r="C138" s="71">
        <v>1</v>
      </c>
      <c r="D138" s="71">
        <v>1</v>
      </c>
      <c r="E138" s="73">
        <v>4.5</v>
      </c>
      <c r="F138" s="88" t="s">
        <v>372</v>
      </c>
      <c r="G138" s="73">
        <v>0.1</v>
      </c>
      <c r="H138" s="75">
        <f t="shared" si="2"/>
        <v>0.45</v>
      </c>
    </row>
    <row r="139" spans="1:8" ht="25.15" customHeight="1">
      <c r="A139" s="88"/>
      <c r="B139" s="74" t="s">
        <v>234</v>
      </c>
      <c r="C139" s="91"/>
      <c r="D139" s="91"/>
      <c r="E139" s="374"/>
      <c r="F139" s="374"/>
      <c r="G139" s="374"/>
      <c r="H139" s="75">
        <v>0.03</v>
      </c>
    </row>
    <row r="140" spans="1:8" ht="25.15" customHeight="1">
      <c r="A140" s="71"/>
      <c r="B140" s="72"/>
      <c r="C140" s="375"/>
      <c r="D140" s="375"/>
      <c r="E140" s="73"/>
      <c r="F140" s="97"/>
      <c r="G140" s="75" t="s">
        <v>57</v>
      </c>
      <c r="H140" s="75">
        <f>SUM(H131:H139)</f>
        <v>57.298366000000001</v>
      </c>
    </row>
    <row r="141" spans="1:8" ht="25.15" customHeight="1">
      <c r="A141" s="71"/>
      <c r="B141" s="72"/>
      <c r="C141" s="375"/>
      <c r="D141" s="375"/>
      <c r="E141" s="73"/>
      <c r="F141" s="97" t="s">
        <v>15</v>
      </c>
      <c r="G141" s="97">
        <f>+H140</f>
        <v>57.298366000000001</v>
      </c>
      <c r="H141" s="93" t="s">
        <v>264</v>
      </c>
    </row>
    <row r="142" spans="1:8" ht="60" customHeight="1">
      <c r="A142" s="71">
        <f>+A129+1</f>
        <v>19</v>
      </c>
      <c r="B142" s="72" t="s">
        <v>303</v>
      </c>
      <c r="C142" s="375"/>
      <c r="D142" s="375"/>
      <c r="E142" s="73"/>
      <c r="F142" s="97"/>
      <c r="G142" s="97"/>
      <c r="H142" s="97"/>
    </row>
    <row r="143" spans="1:8" ht="25.15" customHeight="1">
      <c r="A143" s="71"/>
      <c r="B143" s="72" t="s">
        <v>304</v>
      </c>
      <c r="C143" s="375"/>
      <c r="D143" s="375"/>
      <c r="E143" s="73"/>
      <c r="F143" s="97" t="s">
        <v>15</v>
      </c>
      <c r="G143" s="97">
        <f>+G94</f>
        <v>13.4049</v>
      </c>
      <c r="H143" s="93" t="s">
        <v>264</v>
      </c>
    </row>
    <row r="144" spans="1:8" ht="40.15" customHeight="1">
      <c r="A144" s="71">
        <f>+A142+1</f>
        <v>20</v>
      </c>
      <c r="B144" s="72" t="s">
        <v>160</v>
      </c>
      <c r="C144" s="375"/>
      <c r="D144" s="375"/>
      <c r="E144" s="73"/>
      <c r="F144" s="73"/>
      <c r="G144" s="73"/>
      <c r="H144" s="73"/>
    </row>
    <row r="145" spans="1:8" ht="25.15" customHeight="1">
      <c r="A145" s="375"/>
      <c r="B145" s="72" t="s">
        <v>305</v>
      </c>
      <c r="C145" s="375"/>
      <c r="D145" s="375"/>
      <c r="E145" s="73"/>
      <c r="F145" s="76"/>
      <c r="G145" s="76"/>
      <c r="H145" s="73">
        <f>H112</f>
        <v>86.696166000000019</v>
      </c>
    </row>
    <row r="146" spans="1:8" ht="25.15" customHeight="1">
      <c r="A146" s="375"/>
      <c r="B146" s="72" t="s">
        <v>306</v>
      </c>
      <c r="C146" s="375"/>
      <c r="D146" s="375"/>
      <c r="E146" s="73"/>
      <c r="F146" s="76"/>
      <c r="G146" s="76"/>
      <c r="H146" s="73">
        <f>-H140</f>
        <v>-57.298366000000001</v>
      </c>
    </row>
    <row r="147" spans="1:8" ht="25.15" customHeight="1">
      <c r="A147" s="375"/>
      <c r="B147" s="72"/>
      <c r="C147" s="375"/>
      <c r="D147" s="375"/>
      <c r="E147" s="73"/>
      <c r="F147" s="76"/>
      <c r="G147" s="73" t="s">
        <v>57</v>
      </c>
      <c r="H147" s="73">
        <f>SUM(H145:H146)</f>
        <v>29.397800000000018</v>
      </c>
    </row>
    <row r="148" spans="1:8" ht="25.15" customHeight="1">
      <c r="A148" s="375"/>
      <c r="B148" s="72"/>
      <c r="C148" s="375"/>
      <c r="D148" s="375"/>
      <c r="E148" s="73"/>
      <c r="F148" s="76" t="s">
        <v>15</v>
      </c>
      <c r="G148" s="76">
        <f>+H147</f>
        <v>29.397800000000018</v>
      </c>
      <c r="H148" s="77" t="s">
        <v>264</v>
      </c>
    </row>
    <row r="149" spans="1:8" ht="25.15" customHeight="1">
      <c r="A149" s="71">
        <f>++A144+1</f>
        <v>21</v>
      </c>
      <c r="B149" s="110" t="s">
        <v>162</v>
      </c>
      <c r="C149" s="375"/>
      <c r="D149" s="375"/>
      <c r="E149" s="73"/>
      <c r="F149" s="73"/>
      <c r="G149" s="73"/>
      <c r="H149" s="73"/>
    </row>
    <row r="150" spans="1:8" ht="25.15" customHeight="1">
      <c r="A150" s="375"/>
      <c r="B150" s="72" t="s">
        <v>305</v>
      </c>
      <c r="C150" s="375"/>
      <c r="D150" s="375"/>
      <c r="E150" s="73"/>
      <c r="F150" s="76"/>
      <c r="G150" s="76"/>
      <c r="H150" s="73">
        <f>H112</f>
        <v>86.696166000000019</v>
      </c>
    </row>
    <row r="151" spans="1:8" ht="25.15" customHeight="1">
      <c r="A151" s="375"/>
      <c r="B151" s="72" t="s">
        <v>306</v>
      </c>
      <c r="C151" s="375"/>
      <c r="D151" s="375"/>
      <c r="E151" s="73"/>
      <c r="F151" s="76"/>
      <c r="G151" s="76"/>
      <c r="H151" s="73">
        <f>-G141</f>
        <v>-57.298366000000001</v>
      </c>
    </row>
    <row r="152" spans="1:8" ht="25.15" customHeight="1">
      <c r="A152" s="375"/>
      <c r="B152" s="72"/>
      <c r="C152" s="375"/>
      <c r="D152" s="375"/>
      <c r="E152" s="73"/>
      <c r="F152" s="76"/>
      <c r="G152" s="73" t="s">
        <v>57</v>
      </c>
      <c r="H152" s="73">
        <f>SUM(H150:H151)</f>
        <v>29.397800000000018</v>
      </c>
    </row>
    <row r="153" spans="1:8" ht="25.15" customHeight="1">
      <c r="A153" s="375"/>
      <c r="B153" s="72"/>
      <c r="C153" s="375"/>
      <c r="D153" s="375"/>
      <c r="E153" s="73"/>
      <c r="F153" s="76" t="s">
        <v>15</v>
      </c>
      <c r="G153" s="103">
        <f>+H152</f>
        <v>29.397800000000018</v>
      </c>
      <c r="H153" s="77" t="s">
        <v>264</v>
      </c>
    </row>
    <row r="154" spans="1:8" ht="60" customHeight="1">
      <c r="A154" s="71">
        <f>+A149+1</f>
        <v>22</v>
      </c>
      <c r="B154" s="72" t="s">
        <v>208</v>
      </c>
      <c r="C154" s="375"/>
      <c r="D154" s="375"/>
      <c r="E154" s="73"/>
      <c r="F154" s="73"/>
      <c r="G154" s="73"/>
      <c r="H154" s="73"/>
    </row>
    <row r="155" spans="1:8" ht="25.15" customHeight="1">
      <c r="A155" s="71"/>
      <c r="B155" s="72" t="s">
        <v>307</v>
      </c>
      <c r="C155" s="375"/>
      <c r="D155" s="375"/>
      <c r="E155" s="73"/>
      <c r="F155" s="73"/>
      <c r="G155" s="73"/>
      <c r="H155" s="73"/>
    </row>
    <row r="156" spans="1:8" ht="25.15" customHeight="1">
      <c r="A156" s="71"/>
      <c r="B156" s="72" t="s">
        <v>310</v>
      </c>
      <c r="C156" s="71">
        <v>1</v>
      </c>
      <c r="D156" s="71">
        <v>1</v>
      </c>
      <c r="E156" s="88" t="s">
        <v>372</v>
      </c>
      <c r="F156" s="88" t="s">
        <v>372</v>
      </c>
      <c r="G156" s="88" t="s">
        <v>372</v>
      </c>
      <c r="H156" s="75">
        <f>PRODUCT(C156:G156)</f>
        <v>1</v>
      </c>
    </row>
    <row r="157" spans="1:8" ht="25.15" customHeight="1">
      <c r="A157" s="71"/>
      <c r="B157" s="72" t="s">
        <v>311</v>
      </c>
      <c r="C157" s="71">
        <v>1</v>
      </c>
      <c r="D157" s="71">
        <v>1</v>
      </c>
      <c r="E157" s="88" t="s">
        <v>372</v>
      </c>
      <c r="F157" s="88" t="s">
        <v>372</v>
      </c>
      <c r="G157" s="73"/>
      <c r="H157" s="75">
        <f>PRODUCT(C157:G157)</f>
        <v>1</v>
      </c>
    </row>
    <row r="158" spans="1:8" ht="25.15" customHeight="1">
      <c r="A158" s="71"/>
      <c r="B158" s="72" t="s">
        <v>308</v>
      </c>
      <c r="C158" s="71">
        <v>1</v>
      </c>
      <c r="D158" s="71">
        <v>1</v>
      </c>
      <c r="E158" s="88" t="s">
        <v>372</v>
      </c>
      <c r="F158" s="88" t="s">
        <v>372</v>
      </c>
      <c r="G158" s="73"/>
      <c r="H158" s="75">
        <f>PRODUCT(C158:G158)</f>
        <v>1</v>
      </c>
    </row>
    <row r="159" spans="1:8" ht="25.15" customHeight="1">
      <c r="A159" s="71"/>
      <c r="B159" s="72"/>
      <c r="C159" s="375"/>
      <c r="D159" s="375"/>
      <c r="E159" s="73"/>
      <c r="F159" s="73"/>
      <c r="G159" s="73" t="s">
        <v>57</v>
      </c>
      <c r="H159" s="73">
        <f>SUM(H156:H158)</f>
        <v>3</v>
      </c>
    </row>
    <row r="160" spans="1:8" ht="25.15" customHeight="1">
      <c r="A160" s="71"/>
      <c r="B160" s="72"/>
      <c r="C160" s="375"/>
      <c r="D160" s="375"/>
      <c r="E160" s="73"/>
      <c r="F160" s="76" t="s">
        <v>15</v>
      </c>
      <c r="G160" s="76">
        <f>+H159</f>
        <v>3</v>
      </c>
      <c r="H160" s="77" t="s">
        <v>213</v>
      </c>
    </row>
    <row r="161" spans="1:8" ht="25.15" customHeight="1">
      <c r="A161" s="71"/>
      <c r="B161" s="72" t="s">
        <v>309</v>
      </c>
      <c r="C161" s="375"/>
      <c r="D161" s="375"/>
      <c r="E161" s="73"/>
      <c r="F161" s="73"/>
      <c r="G161" s="73"/>
      <c r="H161" s="73"/>
    </row>
    <row r="162" spans="1:8" ht="25.15" customHeight="1">
      <c r="A162" s="71"/>
      <c r="B162" s="72" t="s">
        <v>310</v>
      </c>
      <c r="C162" s="71">
        <v>1</v>
      </c>
      <c r="D162" s="71">
        <v>1</v>
      </c>
      <c r="E162" s="88" t="s">
        <v>372</v>
      </c>
      <c r="F162" s="88" t="s">
        <v>372</v>
      </c>
      <c r="G162" s="88" t="s">
        <v>372</v>
      </c>
      <c r="H162" s="75">
        <f>PRODUCT(C162:G162)</f>
        <v>1</v>
      </c>
    </row>
    <row r="163" spans="1:8" ht="25.15" customHeight="1">
      <c r="A163" s="71"/>
      <c r="B163" s="72"/>
      <c r="C163" s="375"/>
      <c r="D163" s="375"/>
      <c r="E163" s="73"/>
      <c r="F163" s="76" t="s">
        <v>15</v>
      </c>
      <c r="G163" s="76">
        <f>+H162</f>
        <v>1</v>
      </c>
      <c r="H163" s="77" t="s">
        <v>314</v>
      </c>
    </row>
    <row r="164" spans="1:8" ht="60" customHeight="1">
      <c r="A164" s="71">
        <f>+A154+1</f>
        <v>23</v>
      </c>
      <c r="B164" s="72" t="s">
        <v>312</v>
      </c>
      <c r="C164" s="375"/>
      <c r="D164" s="375"/>
      <c r="E164" s="73"/>
      <c r="F164" s="73"/>
      <c r="G164" s="73"/>
      <c r="H164" s="73"/>
    </row>
    <row r="165" spans="1:8" ht="25.15" customHeight="1">
      <c r="A165" s="71"/>
      <c r="B165" s="72" t="s">
        <v>313</v>
      </c>
      <c r="C165" s="71">
        <v>1</v>
      </c>
      <c r="D165" s="71">
        <v>1</v>
      </c>
      <c r="E165" s="88" t="s">
        <v>372</v>
      </c>
      <c r="F165" s="88" t="s">
        <v>372</v>
      </c>
      <c r="G165" s="73"/>
      <c r="H165" s="75">
        <f>PRODUCT(C165:G165)</f>
        <v>1</v>
      </c>
    </row>
    <row r="166" spans="1:8" ht="25.15" customHeight="1">
      <c r="A166" s="71"/>
      <c r="B166" s="72"/>
      <c r="C166" s="375"/>
      <c r="D166" s="375"/>
      <c r="E166" s="73"/>
      <c r="F166" s="76" t="s">
        <v>15</v>
      </c>
      <c r="G166" s="76">
        <f>+H165</f>
        <v>1</v>
      </c>
      <c r="H166" s="77" t="s">
        <v>314</v>
      </c>
    </row>
    <row r="167" spans="1:8" ht="40.15" customHeight="1">
      <c r="A167" s="71">
        <f>+A164+1</f>
        <v>24</v>
      </c>
      <c r="B167" s="72" t="s">
        <v>397</v>
      </c>
      <c r="C167" s="375"/>
      <c r="D167" s="375"/>
      <c r="E167" s="73"/>
      <c r="F167" s="73"/>
      <c r="G167" s="73"/>
      <c r="H167" s="73"/>
    </row>
    <row r="168" spans="1:8" ht="25.15" customHeight="1">
      <c r="A168" s="71"/>
      <c r="B168" s="72" t="s">
        <v>313</v>
      </c>
      <c r="C168" s="71">
        <v>1</v>
      </c>
      <c r="D168" s="71">
        <v>1</v>
      </c>
      <c r="E168" s="73">
        <v>30</v>
      </c>
      <c r="F168" s="88" t="s">
        <v>372</v>
      </c>
      <c r="G168" s="88" t="s">
        <v>372</v>
      </c>
      <c r="H168" s="75">
        <f>PRODUCT(C168:G168)</f>
        <v>30</v>
      </c>
    </row>
    <row r="169" spans="1:8" ht="25.15" customHeight="1">
      <c r="A169" s="71"/>
      <c r="B169" s="72"/>
      <c r="C169" s="375"/>
      <c r="D169" s="375"/>
      <c r="E169" s="73"/>
      <c r="F169" s="76" t="s">
        <v>15</v>
      </c>
      <c r="G169" s="76">
        <f>+H168</f>
        <v>30</v>
      </c>
      <c r="H169" s="77" t="s">
        <v>298</v>
      </c>
    </row>
    <row r="170" spans="1:8" ht="25.15" customHeight="1">
      <c r="A170" s="71"/>
      <c r="B170" s="72"/>
      <c r="C170" s="375"/>
      <c r="D170" s="375"/>
      <c r="E170" s="73"/>
      <c r="F170" s="76"/>
      <c r="G170" s="76"/>
      <c r="H170" s="77"/>
    </row>
    <row r="171" spans="1:8" ht="25.15" customHeight="1">
      <c r="A171" s="71">
        <f>+A167+1</f>
        <v>25</v>
      </c>
      <c r="B171" s="72" t="s">
        <v>584</v>
      </c>
      <c r="C171" s="375"/>
      <c r="D171" s="375"/>
      <c r="E171" s="73"/>
      <c r="F171" s="73"/>
      <c r="G171" s="73"/>
      <c r="H171" s="73"/>
    </row>
    <row r="172" spans="1:8" ht="25.15" customHeight="1">
      <c r="A172" s="71"/>
      <c r="B172" s="72" t="s">
        <v>313</v>
      </c>
      <c r="C172" s="71">
        <v>1</v>
      </c>
      <c r="D172" s="71">
        <v>1</v>
      </c>
      <c r="E172" s="73">
        <v>2</v>
      </c>
      <c r="F172" s="88" t="s">
        <v>372</v>
      </c>
      <c r="G172" s="88" t="s">
        <v>372</v>
      </c>
      <c r="H172" s="75">
        <f>PRODUCT(C172:G172)</f>
        <v>2</v>
      </c>
    </row>
    <row r="173" spans="1:8" ht="25.15" customHeight="1">
      <c r="A173" s="71"/>
      <c r="B173" s="72"/>
      <c r="C173" s="375"/>
      <c r="D173" s="375"/>
      <c r="E173" s="73"/>
      <c r="F173" s="76" t="s">
        <v>15</v>
      </c>
      <c r="G173" s="76">
        <f>+H172</f>
        <v>2</v>
      </c>
      <c r="H173" s="77" t="s">
        <v>298</v>
      </c>
    </row>
    <row r="174" spans="1:8" ht="25.15" customHeight="1">
      <c r="A174" s="71"/>
      <c r="B174" s="72"/>
      <c r="C174" s="375"/>
      <c r="D174" s="375"/>
      <c r="E174" s="73"/>
      <c r="F174" s="76"/>
      <c r="G174" s="76"/>
      <c r="H174" s="77"/>
    </row>
    <row r="175" spans="1:8" ht="40.15" hidden="1" customHeight="1">
      <c r="A175" s="71">
        <f>+A164+1</f>
        <v>24</v>
      </c>
      <c r="B175" s="72" t="s">
        <v>315</v>
      </c>
      <c r="C175" s="375"/>
      <c r="D175" s="375"/>
      <c r="E175" s="73"/>
      <c r="F175" s="73"/>
      <c r="G175" s="73"/>
      <c r="H175" s="73"/>
    </row>
    <row r="176" spans="1:8" ht="25.15" hidden="1" customHeight="1">
      <c r="A176" s="71"/>
      <c r="B176" s="72" t="s">
        <v>310</v>
      </c>
      <c r="C176" s="71">
        <v>1</v>
      </c>
      <c r="D176" s="71">
        <v>1</v>
      </c>
      <c r="E176" s="73"/>
      <c r="F176" s="73"/>
      <c r="G176" s="73"/>
      <c r="H176" s="75">
        <f>PRODUCT(C176:G176)</f>
        <v>1</v>
      </c>
    </row>
    <row r="177" spans="1:8" ht="25.15" hidden="1" customHeight="1">
      <c r="A177" s="71"/>
      <c r="B177" s="72"/>
      <c r="C177" s="375"/>
      <c r="D177" s="375"/>
      <c r="E177" s="73"/>
      <c r="F177" s="76" t="s">
        <v>15</v>
      </c>
      <c r="G177" s="76">
        <f>+H176</f>
        <v>1</v>
      </c>
      <c r="H177" s="77" t="s">
        <v>314</v>
      </c>
    </row>
    <row r="178" spans="1:8" ht="25.15" hidden="1" customHeight="1">
      <c r="A178" s="71">
        <f>+A175+1</f>
        <v>25</v>
      </c>
      <c r="B178" s="72" t="s">
        <v>316</v>
      </c>
      <c r="C178" s="375"/>
      <c r="D178" s="375"/>
      <c r="E178" s="73"/>
      <c r="F178" s="73"/>
      <c r="G178" s="73"/>
      <c r="H178" s="73"/>
    </row>
    <row r="179" spans="1:8" ht="25.15" hidden="1" customHeight="1">
      <c r="A179" s="71"/>
      <c r="B179" s="72" t="s">
        <v>317</v>
      </c>
      <c r="C179" s="71">
        <v>1</v>
      </c>
      <c r="D179" s="71">
        <v>1</v>
      </c>
      <c r="E179" s="73"/>
      <c r="F179" s="73"/>
      <c r="G179" s="73"/>
      <c r="H179" s="75">
        <f>PRODUCT(C179:G179)</f>
        <v>1</v>
      </c>
    </row>
    <row r="180" spans="1:8" ht="25.15" hidden="1" customHeight="1">
      <c r="A180" s="71"/>
      <c r="B180" s="72"/>
      <c r="C180" s="375"/>
      <c r="D180" s="375"/>
      <c r="E180" s="73"/>
      <c r="F180" s="76" t="s">
        <v>15</v>
      </c>
      <c r="G180" s="76">
        <f>+H179</f>
        <v>1</v>
      </c>
      <c r="H180" s="77" t="s">
        <v>314</v>
      </c>
    </row>
    <row r="181" spans="1:8" ht="40.15" hidden="1" customHeight="1">
      <c r="A181" s="71">
        <f>+A178+1</f>
        <v>26</v>
      </c>
      <c r="B181" s="72" t="s">
        <v>318</v>
      </c>
      <c r="C181" s="375"/>
      <c r="D181" s="375"/>
      <c r="E181" s="73"/>
      <c r="F181" s="73"/>
      <c r="G181" s="73"/>
      <c r="H181" s="73"/>
    </row>
    <row r="182" spans="1:8" ht="25.15" hidden="1" customHeight="1">
      <c r="A182" s="71"/>
      <c r="B182" s="72" t="s">
        <v>319</v>
      </c>
      <c r="C182" s="71"/>
      <c r="D182" s="71"/>
      <c r="E182" s="73"/>
      <c r="F182" s="73"/>
      <c r="G182" s="73"/>
      <c r="H182" s="75"/>
    </row>
    <row r="183" spans="1:8" ht="25.15" hidden="1" customHeight="1">
      <c r="A183" s="71"/>
      <c r="B183" s="72" t="s">
        <v>310</v>
      </c>
      <c r="C183" s="71">
        <v>1</v>
      </c>
      <c r="D183" s="71">
        <v>1</v>
      </c>
      <c r="E183" s="73"/>
      <c r="F183" s="73"/>
      <c r="G183" s="73"/>
      <c r="H183" s="75">
        <f>PRODUCT(C183:G183)</f>
        <v>1</v>
      </c>
    </row>
    <row r="184" spans="1:8" ht="25.15" hidden="1" customHeight="1">
      <c r="A184" s="71"/>
      <c r="B184" s="72"/>
      <c r="C184" s="375"/>
      <c r="D184" s="375"/>
      <c r="E184" s="73"/>
      <c r="F184" s="76" t="s">
        <v>15</v>
      </c>
      <c r="G184" s="76">
        <f>+H183</f>
        <v>1</v>
      </c>
      <c r="H184" s="77" t="s">
        <v>314</v>
      </c>
    </row>
    <row r="185" spans="1:8" ht="25.15" hidden="1" customHeight="1">
      <c r="A185" s="71"/>
      <c r="B185" s="72" t="s">
        <v>320</v>
      </c>
      <c r="C185" s="375"/>
      <c r="D185" s="375"/>
      <c r="E185" s="73"/>
      <c r="F185" s="73"/>
      <c r="G185" s="73"/>
      <c r="H185" s="73"/>
    </row>
    <row r="186" spans="1:8" ht="25.15" hidden="1" customHeight="1">
      <c r="A186" s="71"/>
      <c r="B186" s="72" t="s">
        <v>321</v>
      </c>
      <c r="C186" s="71">
        <v>1</v>
      </c>
      <c r="D186" s="71">
        <v>1</v>
      </c>
      <c r="E186" s="73"/>
      <c r="F186" s="73"/>
      <c r="G186" s="73"/>
      <c r="H186" s="75">
        <f>PRODUCT(C186:G186)</f>
        <v>1</v>
      </c>
    </row>
    <row r="187" spans="1:8" ht="25.15" hidden="1" customHeight="1">
      <c r="A187" s="71"/>
      <c r="B187" s="72"/>
      <c r="C187" s="375"/>
      <c r="D187" s="375"/>
      <c r="E187" s="73"/>
      <c r="F187" s="76" t="s">
        <v>15</v>
      </c>
      <c r="G187" s="76">
        <f>+H186</f>
        <v>1</v>
      </c>
      <c r="H187" s="77" t="s">
        <v>314</v>
      </c>
    </row>
    <row r="188" spans="1:8" ht="40.15" hidden="1" customHeight="1">
      <c r="A188" s="71">
        <f>+A181+1</f>
        <v>27</v>
      </c>
      <c r="B188" s="72" t="s">
        <v>322</v>
      </c>
      <c r="C188" s="375"/>
      <c r="D188" s="375"/>
      <c r="E188" s="73"/>
      <c r="F188" s="73"/>
      <c r="G188" s="73"/>
      <c r="H188" s="73"/>
    </row>
    <row r="189" spans="1:8" ht="25.15" hidden="1" customHeight="1">
      <c r="A189" s="71"/>
      <c r="B189" s="72" t="s">
        <v>323</v>
      </c>
      <c r="C189" s="71">
        <v>1</v>
      </c>
      <c r="D189" s="71">
        <v>1</v>
      </c>
      <c r="E189" s="73"/>
      <c r="F189" s="73"/>
      <c r="G189" s="73"/>
      <c r="H189" s="75">
        <f>PRODUCT(C189:G189)</f>
        <v>1</v>
      </c>
    </row>
    <row r="190" spans="1:8" ht="25.15" hidden="1" customHeight="1">
      <c r="A190" s="71"/>
      <c r="B190" s="113"/>
      <c r="C190" s="375"/>
      <c r="D190" s="375"/>
      <c r="E190" s="73"/>
      <c r="F190" s="76" t="s">
        <v>15</v>
      </c>
      <c r="G190" s="76">
        <f>+H189</f>
        <v>1</v>
      </c>
      <c r="H190" s="77" t="s">
        <v>314</v>
      </c>
    </row>
    <row r="191" spans="1:8" ht="20.100000000000001" hidden="1" customHeight="1"/>
    <row r="192" spans="1:8" ht="30" hidden="1" customHeight="1"/>
    <row r="193" spans="1:8" ht="20.100000000000001" hidden="1" customHeight="1">
      <c r="A193" s="1553"/>
      <c r="B193" s="1553"/>
      <c r="C193" s="1553"/>
      <c r="D193" s="1553"/>
      <c r="E193" s="1553"/>
      <c r="F193" s="1553"/>
      <c r="G193" s="1553"/>
      <c r="H193" s="1553"/>
    </row>
  </sheetData>
  <mergeCells count="17">
    <mergeCell ref="E87:F87"/>
    <mergeCell ref="E115:F115"/>
    <mergeCell ref="E116:F116"/>
    <mergeCell ref="A193:H193"/>
    <mergeCell ref="E38:F38"/>
    <mergeCell ref="E46:F46"/>
    <mergeCell ref="C60:D60"/>
    <mergeCell ref="C61:D61"/>
    <mergeCell ref="E82:F82"/>
    <mergeCell ref="E47:F47"/>
    <mergeCell ref="E48:F48"/>
    <mergeCell ref="C6:D6"/>
    <mergeCell ref="A1:H1"/>
    <mergeCell ref="A2:H2"/>
    <mergeCell ref="A3:H3"/>
    <mergeCell ref="A4:H4"/>
    <mergeCell ref="C5:D5"/>
  </mergeCells>
  <printOptions horizontalCentered="1"/>
  <pageMargins left="0.7" right="0.7" top="0.7" bottom="0.5" header="0.3" footer="0.3"/>
  <pageSetup paperSize="9" scale="85" orientation="portrait" r:id="rId1"/>
  <headerFooter>
    <oddHeader>&amp;C&amp;"Arial Narrow,Regular"&amp;8Page &amp;P</oddHeader>
  </headerFooter>
</worksheet>
</file>

<file path=xl/worksheets/sheet23.xml><?xml version="1.0" encoding="utf-8"?>
<worksheet xmlns="http://schemas.openxmlformats.org/spreadsheetml/2006/main" xmlns:r="http://schemas.openxmlformats.org/officeDocument/2006/relationships">
  <dimension ref="A1:I153"/>
  <sheetViews>
    <sheetView topLeftCell="A143" workbookViewId="0">
      <selection activeCell="B22" sqref="B22:G22"/>
    </sheetView>
  </sheetViews>
  <sheetFormatPr defaultRowHeight="15"/>
  <cols>
    <col min="1" max="1" width="5.109375" style="309" customWidth="1"/>
    <col min="2" max="2" width="31.21875" style="309" customWidth="1"/>
    <col min="3" max="4" width="3.6640625" style="309" customWidth="1"/>
    <col min="5" max="8" width="7.6640625" style="309" customWidth="1"/>
    <col min="9" max="9" width="5" style="309" customWidth="1"/>
    <col min="10" max="256" width="8.77734375" style="309"/>
    <col min="257" max="257" width="6.109375" style="309" customWidth="1"/>
    <col min="258" max="258" width="31.21875" style="309" customWidth="1"/>
    <col min="259" max="259" width="5.77734375" style="309" customWidth="1"/>
    <col min="260" max="260" width="3.88671875" style="309" customWidth="1"/>
    <col min="261" max="261" width="11.21875" style="309" bestFit="1" customWidth="1"/>
    <col min="262" max="262" width="9.44140625" style="309" customWidth="1"/>
    <col min="263" max="263" width="7.6640625" style="309" customWidth="1"/>
    <col min="264" max="264" width="10.44140625" style="309" customWidth="1"/>
    <col min="265" max="265" width="5" style="309" customWidth="1"/>
    <col min="266" max="512" width="8.77734375" style="309"/>
    <col min="513" max="513" width="6.109375" style="309" customWidth="1"/>
    <col min="514" max="514" width="31.21875" style="309" customWidth="1"/>
    <col min="515" max="515" width="5.77734375" style="309" customWidth="1"/>
    <col min="516" max="516" width="3.88671875" style="309" customWidth="1"/>
    <col min="517" max="517" width="11.21875" style="309" bestFit="1" customWidth="1"/>
    <col min="518" max="518" width="9.44140625" style="309" customWidth="1"/>
    <col min="519" max="519" width="7.6640625" style="309" customWidth="1"/>
    <col min="520" max="520" width="10.44140625" style="309" customWidth="1"/>
    <col min="521" max="521" width="5" style="309" customWidth="1"/>
    <col min="522" max="768" width="8.77734375" style="309"/>
    <col min="769" max="769" width="6.109375" style="309" customWidth="1"/>
    <col min="770" max="770" width="31.21875" style="309" customWidth="1"/>
    <col min="771" max="771" width="5.77734375" style="309" customWidth="1"/>
    <col min="772" max="772" width="3.88671875" style="309" customWidth="1"/>
    <col min="773" max="773" width="11.21875" style="309" bestFit="1" customWidth="1"/>
    <col min="774" max="774" width="9.44140625" style="309" customWidth="1"/>
    <col min="775" max="775" width="7.6640625" style="309" customWidth="1"/>
    <col min="776" max="776" width="10.44140625" style="309" customWidth="1"/>
    <col min="777" max="777" width="5" style="309" customWidth="1"/>
    <col min="778" max="1024" width="8.77734375" style="309"/>
    <col min="1025" max="1025" width="6.109375" style="309" customWidth="1"/>
    <col min="1026" max="1026" width="31.21875" style="309" customWidth="1"/>
    <col min="1027" max="1027" width="5.77734375" style="309" customWidth="1"/>
    <col min="1028" max="1028" width="3.88671875" style="309" customWidth="1"/>
    <col min="1029" max="1029" width="11.21875" style="309" bestFit="1" customWidth="1"/>
    <col min="1030" max="1030" width="9.44140625" style="309" customWidth="1"/>
    <col min="1031" max="1031" width="7.6640625" style="309" customWidth="1"/>
    <col min="1032" max="1032" width="10.44140625" style="309" customWidth="1"/>
    <col min="1033" max="1033" width="5" style="309" customWidth="1"/>
    <col min="1034" max="1280" width="8.77734375" style="309"/>
    <col min="1281" max="1281" width="6.109375" style="309" customWidth="1"/>
    <col min="1282" max="1282" width="31.21875" style="309" customWidth="1"/>
    <col min="1283" max="1283" width="5.77734375" style="309" customWidth="1"/>
    <col min="1284" max="1284" width="3.88671875" style="309" customWidth="1"/>
    <col min="1285" max="1285" width="11.21875" style="309" bestFit="1" customWidth="1"/>
    <col min="1286" max="1286" width="9.44140625" style="309" customWidth="1"/>
    <col min="1287" max="1287" width="7.6640625" style="309" customWidth="1"/>
    <col min="1288" max="1288" width="10.44140625" style="309" customWidth="1"/>
    <col min="1289" max="1289" width="5" style="309" customWidth="1"/>
    <col min="1290" max="1536" width="8.77734375" style="309"/>
    <col min="1537" max="1537" width="6.109375" style="309" customWidth="1"/>
    <col min="1538" max="1538" width="31.21875" style="309" customWidth="1"/>
    <col min="1539" max="1539" width="5.77734375" style="309" customWidth="1"/>
    <col min="1540" max="1540" width="3.88671875" style="309" customWidth="1"/>
    <col min="1541" max="1541" width="11.21875" style="309" bestFit="1" customWidth="1"/>
    <col min="1542" max="1542" width="9.44140625" style="309" customWidth="1"/>
    <col min="1543" max="1543" width="7.6640625" style="309" customWidth="1"/>
    <col min="1544" max="1544" width="10.44140625" style="309" customWidth="1"/>
    <col min="1545" max="1545" width="5" style="309" customWidth="1"/>
    <col min="1546" max="1792" width="8.77734375" style="309"/>
    <col min="1793" max="1793" width="6.109375" style="309" customWidth="1"/>
    <col min="1794" max="1794" width="31.21875" style="309" customWidth="1"/>
    <col min="1795" max="1795" width="5.77734375" style="309" customWidth="1"/>
    <col min="1796" max="1796" width="3.88671875" style="309" customWidth="1"/>
    <col min="1797" max="1797" width="11.21875" style="309" bestFit="1" customWidth="1"/>
    <col min="1798" max="1798" width="9.44140625" style="309" customWidth="1"/>
    <col min="1799" max="1799" width="7.6640625" style="309" customWidth="1"/>
    <col min="1800" max="1800" width="10.44140625" style="309" customWidth="1"/>
    <col min="1801" max="1801" width="5" style="309" customWidth="1"/>
    <col min="1802" max="2048" width="8.77734375" style="309"/>
    <col min="2049" max="2049" width="6.109375" style="309" customWidth="1"/>
    <col min="2050" max="2050" width="31.21875" style="309" customWidth="1"/>
    <col min="2051" max="2051" width="5.77734375" style="309" customWidth="1"/>
    <col min="2052" max="2052" width="3.88671875" style="309" customWidth="1"/>
    <col min="2053" max="2053" width="11.21875" style="309" bestFit="1" customWidth="1"/>
    <col min="2054" max="2054" width="9.44140625" style="309" customWidth="1"/>
    <col min="2055" max="2055" width="7.6640625" style="309" customWidth="1"/>
    <col min="2056" max="2056" width="10.44140625" style="309" customWidth="1"/>
    <col min="2057" max="2057" width="5" style="309" customWidth="1"/>
    <col min="2058" max="2304" width="8.77734375" style="309"/>
    <col min="2305" max="2305" width="6.109375" style="309" customWidth="1"/>
    <col min="2306" max="2306" width="31.21875" style="309" customWidth="1"/>
    <col min="2307" max="2307" width="5.77734375" style="309" customWidth="1"/>
    <col min="2308" max="2308" width="3.88671875" style="309" customWidth="1"/>
    <col min="2309" max="2309" width="11.21875" style="309" bestFit="1" customWidth="1"/>
    <col min="2310" max="2310" width="9.44140625" style="309" customWidth="1"/>
    <col min="2311" max="2311" width="7.6640625" style="309" customWidth="1"/>
    <col min="2312" max="2312" width="10.44140625" style="309" customWidth="1"/>
    <col min="2313" max="2313" width="5" style="309" customWidth="1"/>
    <col min="2314" max="2560" width="8.77734375" style="309"/>
    <col min="2561" max="2561" width="6.109375" style="309" customWidth="1"/>
    <col min="2562" max="2562" width="31.21875" style="309" customWidth="1"/>
    <col min="2563" max="2563" width="5.77734375" style="309" customWidth="1"/>
    <col min="2564" max="2564" width="3.88671875" style="309" customWidth="1"/>
    <col min="2565" max="2565" width="11.21875" style="309" bestFit="1" customWidth="1"/>
    <col min="2566" max="2566" width="9.44140625" style="309" customWidth="1"/>
    <col min="2567" max="2567" width="7.6640625" style="309" customWidth="1"/>
    <col min="2568" max="2568" width="10.44140625" style="309" customWidth="1"/>
    <col min="2569" max="2569" width="5" style="309" customWidth="1"/>
    <col min="2570" max="2816" width="8.77734375" style="309"/>
    <col min="2817" max="2817" width="6.109375" style="309" customWidth="1"/>
    <col min="2818" max="2818" width="31.21875" style="309" customWidth="1"/>
    <col min="2819" max="2819" width="5.77734375" style="309" customWidth="1"/>
    <col min="2820" max="2820" width="3.88671875" style="309" customWidth="1"/>
    <col min="2821" max="2821" width="11.21875" style="309" bestFit="1" customWidth="1"/>
    <col min="2822" max="2822" width="9.44140625" style="309" customWidth="1"/>
    <col min="2823" max="2823" width="7.6640625" style="309" customWidth="1"/>
    <col min="2824" max="2824" width="10.44140625" style="309" customWidth="1"/>
    <col min="2825" max="2825" width="5" style="309" customWidth="1"/>
    <col min="2826" max="3072" width="8.77734375" style="309"/>
    <col min="3073" max="3073" width="6.109375" style="309" customWidth="1"/>
    <col min="3074" max="3074" width="31.21875" style="309" customWidth="1"/>
    <col min="3075" max="3075" width="5.77734375" style="309" customWidth="1"/>
    <col min="3076" max="3076" width="3.88671875" style="309" customWidth="1"/>
    <col min="3077" max="3077" width="11.21875" style="309" bestFit="1" customWidth="1"/>
    <col min="3078" max="3078" width="9.44140625" style="309" customWidth="1"/>
    <col min="3079" max="3079" width="7.6640625" style="309" customWidth="1"/>
    <col min="3080" max="3080" width="10.44140625" style="309" customWidth="1"/>
    <col min="3081" max="3081" width="5" style="309" customWidth="1"/>
    <col min="3082" max="3328" width="8.77734375" style="309"/>
    <col min="3329" max="3329" width="6.109375" style="309" customWidth="1"/>
    <col min="3330" max="3330" width="31.21875" style="309" customWidth="1"/>
    <col min="3331" max="3331" width="5.77734375" style="309" customWidth="1"/>
    <col min="3332" max="3332" width="3.88671875" style="309" customWidth="1"/>
    <col min="3333" max="3333" width="11.21875" style="309" bestFit="1" customWidth="1"/>
    <col min="3334" max="3334" width="9.44140625" style="309" customWidth="1"/>
    <col min="3335" max="3335" width="7.6640625" style="309" customWidth="1"/>
    <col min="3336" max="3336" width="10.44140625" style="309" customWidth="1"/>
    <col min="3337" max="3337" width="5" style="309" customWidth="1"/>
    <col min="3338" max="3584" width="8.77734375" style="309"/>
    <col min="3585" max="3585" width="6.109375" style="309" customWidth="1"/>
    <col min="3586" max="3586" width="31.21875" style="309" customWidth="1"/>
    <col min="3587" max="3587" width="5.77734375" style="309" customWidth="1"/>
    <col min="3588" max="3588" width="3.88671875" style="309" customWidth="1"/>
    <col min="3589" max="3589" width="11.21875" style="309" bestFit="1" customWidth="1"/>
    <col min="3590" max="3590" width="9.44140625" style="309" customWidth="1"/>
    <col min="3591" max="3591" width="7.6640625" style="309" customWidth="1"/>
    <col min="3592" max="3592" width="10.44140625" style="309" customWidth="1"/>
    <col min="3593" max="3593" width="5" style="309" customWidth="1"/>
    <col min="3594" max="3840" width="8.77734375" style="309"/>
    <col min="3841" max="3841" width="6.109375" style="309" customWidth="1"/>
    <col min="3842" max="3842" width="31.21875" style="309" customWidth="1"/>
    <col min="3843" max="3843" width="5.77734375" style="309" customWidth="1"/>
    <col min="3844" max="3844" width="3.88671875" style="309" customWidth="1"/>
    <col min="3845" max="3845" width="11.21875" style="309" bestFit="1" customWidth="1"/>
    <col min="3846" max="3846" width="9.44140625" style="309" customWidth="1"/>
    <col min="3847" max="3847" width="7.6640625" style="309" customWidth="1"/>
    <col min="3848" max="3848" width="10.44140625" style="309" customWidth="1"/>
    <col min="3849" max="3849" width="5" style="309" customWidth="1"/>
    <col min="3850" max="4096" width="8.77734375" style="309"/>
    <col min="4097" max="4097" width="6.109375" style="309" customWidth="1"/>
    <col min="4098" max="4098" width="31.21875" style="309" customWidth="1"/>
    <col min="4099" max="4099" width="5.77734375" style="309" customWidth="1"/>
    <col min="4100" max="4100" width="3.88671875" style="309" customWidth="1"/>
    <col min="4101" max="4101" width="11.21875" style="309" bestFit="1" customWidth="1"/>
    <col min="4102" max="4102" width="9.44140625" style="309" customWidth="1"/>
    <col min="4103" max="4103" width="7.6640625" style="309" customWidth="1"/>
    <col min="4104" max="4104" width="10.44140625" style="309" customWidth="1"/>
    <col min="4105" max="4105" width="5" style="309" customWidth="1"/>
    <col min="4106" max="4352" width="8.77734375" style="309"/>
    <col min="4353" max="4353" width="6.109375" style="309" customWidth="1"/>
    <col min="4354" max="4354" width="31.21875" style="309" customWidth="1"/>
    <col min="4355" max="4355" width="5.77734375" style="309" customWidth="1"/>
    <col min="4356" max="4356" width="3.88671875" style="309" customWidth="1"/>
    <col min="4357" max="4357" width="11.21875" style="309" bestFit="1" customWidth="1"/>
    <col min="4358" max="4358" width="9.44140625" style="309" customWidth="1"/>
    <col min="4359" max="4359" width="7.6640625" style="309" customWidth="1"/>
    <col min="4360" max="4360" width="10.44140625" style="309" customWidth="1"/>
    <col min="4361" max="4361" width="5" style="309" customWidth="1"/>
    <col min="4362" max="4608" width="8.77734375" style="309"/>
    <col min="4609" max="4609" width="6.109375" style="309" customWidth="1"/>
    <col min="4610" max="4610" width="31.21875" style="309" customWidth="1"/>
    <col min="4611" max="4611" width="5.77734375" style="309" customWidth="1"/>
    <col min="4612" max="4612" width="3.88671875" style="309" customWidth="1"/>
    <col min="4613" max="4613" width="11.21875" style="309" bestFit="1" customWidth="1"/>
    <col min="4614" max="4614" width="9.44140625" style="309" customWidth="1"/>
    <col min="4615" max="4615" width="7.6640625" style="309" customWidth="1"/>
    <col min="4616" max="4616" width="10.44140625" style="309" customWidth="1"/>
    <col min="4617" max="4617" width="5" style="309" customWidth="1"/>
    <col min="4618" max="4864" width="8.77734375" style="309"/>
    <col min="4865" max="4865" width="6.109375" style="309" customWidth="1"/>
    <col min="4866" max="4866" width="31.21875" style="309" customWidth="1"/>
    <col min="4867" max="4867" width="5.77734375" style="309" customWidth="1"/>
    <col min="4868" max="4868" width="3.88671875" style="309" customWidth="1"/>
    <col min="4869" max="4869" width="11.21875" style="309" bestFit="1" customWidth="1"/>
    <col min="4870" max="4870" width="9.44140625" style="309" customWidth="1"/>
    <col min="4871" max="4871" width="7.6640625" style="309" customWidth="1"/>
    <col min="4872" max="4872" width="10.44140625" style="309" customWidth="1"/>
    <col min="4873" max="4873" width="5" style="309" customWidth="1"/>
    <col min="4874" max="5120" width="8.77734375" style="309"/>
    <col min="5121" max="5121" width="6.109375" style="309" customWidth="1"/>
    <col min="5122" max="5122" width="31.21875" style="309" customWidth="1"/>
    <col min="5123" max="5123" width="5.77734375" style="309" customWidth="1"/>
    <col min="5124" max="5124" width="3.88671875" style="309" customWidth="1"/>
    <col min="5125" max="5125" width="11.21875" style="309" bestFit="1" customWidth="1"/>
    <col min="5126" max="5126" width="9.44140625" style="309" customWidth="1"/>
    <col min="5127" max="5127" width="7.6640625" style="309" customWidth="1"/>
    <col min="5128" max="5128" width="10.44140625" style="309" customWidth="1"/>
    <col min="5129" max="5129" width="5" style="309" customWidth="1"/>
    <col min="5130" max="5376" width="8.77734375" style="309"/>
    <col min="5377" max="5377" width="6.109375" style="309" customWidth="1"/>
    <col min="5378" max="5378" width="31.21875" style="309" customWidth="1"/>
    <col min="5379" max="5379" width="5.77734375" style="309" customWidth="1"/>
    <col min="5380" max="5380" width="3.88671875" style="309" customWidth="1"/>
    <col min="5381" max="5381" width="11.21875" style="309" bestFit="1" customWidth="1"/>
    <col min="5382" max="5382" width="9.44140625" style="309" customWidth="1"/>
    <col min="5383" max="5383" width="7.6640625" style="309" customWidth="1"/>
    <col min="5384" max="5384" width="10.44140625" style="309" customWidth="1"/>
    <col min="5385" max="5385" width="5" style="309" customWidth="1"/>
    <col min="5386" max="5632" width="8.77734375" style="309"/>
    <col min="5633" max="5633" width="6.109375" style="309" customWidth="1"/>
    <col min="5634" max="5634" width="31.21875" style="309" customWidth="1"/>
    <col min="5635" max="5635" width="5.77734375" style="309" customWidth="1"/>
    <col min="5636" max="5636" width="3.88671875" style="309" customWidth="1"/>
    <col min="5637" max="5637" width="11.21875" style="309" bestFit="1" customWidth="1"/>
    <col min="5638" max="5638" width="9.44140625" style="309" customWidth="1"/>
    <col min="5639" max="5639" width="7.6640625" style="309" customWidth="1"/>
    <col min="5640" max="5640" width="10.44140625" style="309" customWidth="1"/>
    <col min="5641" max="5641" width="5" style="309" customWidth="1"/>
    <col min="5642" max="5888" width="8.77734375" style="309"/>
    <col min="5889" max="5889" width="6.109375" style="309" customWidth="1"/>
    <col min="5890" max="5890" width="31.21875" style="309" customWidth="1"/>
    <col min="5891" max="5891" width="5.77734375" style="309" customWidth="1"/>
    <col min="5892" max="5892" width="3.88671875" style="309" customWidth="1"/>
    <col min="5893" max="5893" width="11.21875" style="309" bestFit="1" customWidth="1"/>
    <col min="5894" max="5894" width="9.44140625" style="309" customWidth="1"/>
    <col min="5895" max="5895" width="7.6640625" style="309" customWidth="1"/>
    <col min="5896" max="5896" width="10.44140625" style="309" customWidth="1"/>
    <col min="5897" max="5897" width="5" style="309" customWidth="1"/>
    <col min="5898" max="6144" width="8.77734375" style="309"/>
    <col min="6145" max="6145" width="6.109375" style="309" customWidth="1"/>
    <col min="6146" max="6146" width="31.21875" style="309" customWidth="1"/>
    <col min="6147" max="6147" width="5.77734375" style="309" customWidth="1"/>
    <col min="6148" max="6148" width="3.88671875" style="309" customWidth="1"/>
    <col min="6149" max="6149" width="11.21875" style="309" bestFit="1" customWidth="1"/>
    <col min="6150" max="6150" width="9.44140625" style="309" customWidth="1"/>
    <col min="6151" max="6151" width="7.6640625" style="309" customWidth="1"/>
    <col min="6152" max="6152" width="10.44140625" style="309" customWidth="1"/>
    <col min="6153" max="6153" width="5" style="309" customWidth="1"/>
    <col min="6154" max="6400" width="8.77734375" style="309"/>
    <col min="6401" max="6401" width="6.109375" style="309" customWidth="1"/>
    <col min="6402" max="6402" width="31.21875" style="309" customWidth="1"/>
    <col min="6403" max="6403" width="5.77734375" style="309" customWidth="1"/>
    <col min="6404" max="6404" width="3.88671875" style="309" customWidth="1"/>
    <col min="6405" max="6405" width="11.21875" style="309" bestFit="1" customWidth="1"/>
    <col min="6406" max="6406" width="9.44140625" style="309" customWidth="1"/>
    <col min="6407" max="6407" width="7.6640625" style="309" customWidth="1"/>
    <col min="6408" max="6408" width="10.44140625" style="309" customWidth="1"/>
    <col min="6409" max="6409" width="5" style="309" customWidth="1"/>
    <col min="6410" max="6656" width="8.77734375" style="309"/>
    <col min="6657" max="6657" width="6.109375" style="309" customWidth="1"/>
    <col min="6658" max="6658" width="31.21875" style="309" customWidth="1"/>
    <col min="6659" max="6659" width="5.77734375" style="309" customWidth="1"/>
    <col min="6660" max="6660" width="3.88671875" style="309" customWidth="1"/>
    <col min="6661" max="6661" width="11.21875" style="309" bestFit="1" customWidth="1"/>
    <col min="6662" max="6662" width="9.44140625" style="309" customWidth="1"/>
    <col min="6663" max="6663" width="7.6640625" style="309" customWidth="1"/>
    <col min="6664" max="6664" width="10.44140625" style="309" customWidth="1"/>
    <col min="6665" max="6665" width="5" style="309" customWidth="1"/>
    <col min="6666" max="6912" width="8.77734375" style="309"/>
    <col min="6913" max="6913" width="6.109375" style="309" customWidth="1"/>
    <col min="6914" max="6914" width="31.21875" style="309" customWidth="1"/>
    <col min="6915" max="6915" width="5.77734375" style="309" customWidth="1"/>
    <col min="6916" max="6916" width="3.88671875" style="309" customWidth="1"/>
    <col min="6917" max="6917" width="11.21875" style="309" bestFit="1" customWidth="1"/>
    <col min="6918" max="6918" width="9.44140625" style="309" customWidth="1"/>
    <col min="6919" max="6919" width="7.6640625" style="309" customWidth="1"/>
    <col min="6920" max="6920" width="10.44140625" style="309" customWidth="1"/>
    <col min="6921" max="6921" width="5" style="309" customWidth="1"/>
    <col min="6922" max="7168" width="8.77734375" style="309"/>
    <col min="7169" max="7169" width="6.109375" style="309" customWidth="1"/>
    <col min="7170" max="7170" width="31.21875" style="309" customWidth="1"/>
    <col min="7171" max="7171" width="5.77734375" style="309" customWidth="1"/>
    <col min="7172" max="7172" width="3.88671875" style="309" customWidth="1"/>
    <col min="7173" max="7173" width="11.21875" style="309" bestFit="1" customWidth="1"/>
    <col min="7174" max="7174" width="9.44140625" style="309" customWidth="1"/>
    <col min="7175" max="7175" width="7.6640625" style="309" customWidth="1"/>
    <col min="7176" max="7176" width="10.44140625" style="309" customWidth="1"/>
    <col min="7177" max="7177" width="5" style="309" customWidth="1"/>
    <col min="7178" max="7424" width="8.77734375" style="309"/>
    <col min="7425" max="7425" width="6.109375" style="309" customWidth="1"/>
    <col min="7426" max="7426" width="31.21875" style="309" customWidth="1"/>
    <col min="7427" max="7427" width="5.77734375" style="309" customWidth="1"/>
    <col min="7428" max="7428" width="3.88671875" style="309" customWidth="1"/>
    <col min="7429" max="7429" width="11.21875" style="309" bestFit="1" customWidth="1"/>
    <col min="7430" max="7430" width="9.44140625" style="309" customWidth="1"/>
    <col min="7431" max="7431" width="7.6640625" style="309" customWidth="1"/>
    <col min="7432" max="7432" width="10.44140625" style="309" customWidth="1"/>
    <col min="7433" max="7433" width="5" style="309" customWidth="1"/>
    <col min="7434" max="7680" width="8.77734375" style="309"/>
    <col min="7681" max="7681" width="6.109375" style="309" customWidth="1"/>
    <col min="7682" max="7682" width="31.21875" style="309" customWidth="1"/>
    <col min="7683" max="7683" width="5.77734375" style="309" customWidth="1"/>
    <col min="7684" max="7684" width="3.88671875" style="309" customWidth="1"/>
    <col min="7685" max="7685" width="11.21875" style="309" bestFit="1" customWidth="1"/>
    <col min="7686" max="7686" width="9.44140625" style="309" customWidth="1"/>
    <col min="7687" max="7687" width="7.6640625" style="309" customWidth="1"/>
    <col min="7688" max="7688" width="10.44140625" style="309" customWidth="1"/>
    <col min="7689" max="7689" width="5" style="309" customWidth="1"/>
    <col min="7690" max="7936" width="8.77734375" style="309"/>
    <col min="7937" max="7937" width="6.109375" style="309" customWidth="1"/>
    <col min="7938" max="7938" width="31.21875" style="309" customWidth="1"/>
    <col min="7939" max="7939" width="5.77734375" style="309" customWidth="1"/>
    <col min="7940" max="7940" width="3.88671875" style="309" customWidth="1"/>
    <col min="7941" max="7941" width="11.21875" style="309" bestFit="1" customWidth="1"/>
    <col min="7942" max="7942" width="9.44140625" style="309" customWidth="1"/>
    <col min="7943" max="7943" width="7.6640625" style="309" customWidth="1"/>
    <col min="7944" max="7944" width="10.44140625" style="309" customWidth="1"/>
    <col min="7945" max="7945" width="5" style="309" customWidth="1"/>
    <col min="7946" max="8192" width="8.77734375" style="309"/>
    <col min="8193" max="8193" width="6.109375" style="309" customWidth="1"/>
    <col min="8194" max="8194" width="31.21875" style="309" customWidth="1"/>
    <col min="8195" max="8195" width="5.77734375" style="309" customWidth="1"/>
    <col min="8196" max="8196" width="3.88671875" style="309" customWidth="1"/>
    <col min="8197" max="8197" width="11.21875" style="309" bestFit="1" customWidth="1"/>
    <col min="8198" max="8198" width="9.44140625" style="309" customWidth="1"/>
    <col min="8199" max="8199" width="7.6640625" style="309" customWidth="1"/>
    <col min="8200" max="8200" width="10.44140625" style="309" customWidth="1"/>
    <col min="8201" max="8201" width="5" style="309" customWidth="1"/>
    <col min="8202" max="8448" width="8.77734375" style="309"/>
    <col min="8449" max="8449" width="6.109375" style="309" customWidth="1"/>
    <col min="8450" max="8450" width="31.21875" style="309" customWidth="1"/>
    <col min="8451" max="8451" width="5.77734375" style="309" customWidth="1"/>
    <col min="8452" max="8452" width="3.88671875" style="309" customWidth="1"/>
    <col min="8453" max="8453" width="11.21875" style="309" bestFit="1" customWidth="1"/>
    <col min="8454" max="8454" width="9.44140625" style="309" customWidth="1"/>
    <col min="8455" max="8455" width="7.6640625" style="309" customWidth="1"/>
    <col min="8456" max="8456" width="10.44140625" style="309" customWidth="1"/>
    <col min="8457" max="8457" width="5" style="309" customWidth="1"/>
    <col min="8458" max="8704" width="8.77734375" style="309"/>
    <col min="8705" max="8705" width="6.109375" style="309" customWidth="1"/>
    <col min="8706" max="8706" width="31.21875" style="309" customWidth="1"/>
    <col min="8707" max="8707" width="5.77734375" style="309" customWidth="1"/>
    <col min="8708" max="8708" width="3.88671875" style="309" customWidth="1"/>
    <col min="8709" max="8709" width="11.21875" style="309" bestFit="1" customWidth="1"/>
    <col min="8710" max="8710" width="9.44140625" style="309" customWidth="1"/>
    <col min="8711" max="8711" width="7.6640625" style="309" customWidth="1"/>
    <col min="8712" max="8712" width="10.44140625" style="309" customWidth="1"/>
    <col min="8713" max="8713" width="5" style="309" customWidth="1"/>
    <col min="8714" max="8960" width="8.77734375" style="309"/>
    <col min="8961" max="8961" width="6.109375" style="309" customWidth="1"/>
    <col min="8962" max="8962" width="31.21875" style="309" customWidth="1"/>
    <col min="8963" max="8963" width="5.77734375" style="309" customWidth="1"/>
    <col min="8964" max="8964" width="3.88671875" style="309" customWidth="1"/>
    <col min="8965" max="8965" width="11.21875" style="309" bestFit="1" customWidth="1"/>
    <col min="8966" max="8966" width="9.44140625" style="309" customWidth="1"/>
    <col min="8967" max="8967" width="7.6640625" style="309" customWidth="1"/>
    <col min="8968" max="8968" width="10.44140625" style="309" customWidth="1"/>
    <col min="8969" max="8969" width="5" style="309" customWidth="1"/>
    <col min="8970" max="9216" width="8.77734375" style="309"/>
    <col min="9217" max="9217" width="6.109375" style="309" customWidth="1"/>
    <col min="9218" max="9218" width="31.21875" style="309" customWidth="1"/>
    <col min="9219" max="9219" width="5.77734375" style="309" customWidth="1"/>
    <col min="9220" max="9220" width="3.88671875" style="309" customWidth="1"/>
    <col min="9221" max="9221" width="11.21875" style="309" bestFit="1" customWidth="1"/>
    <col min="9222" max="9222" width="9.44140625" style="309" customWidth="1"/>
    <col min="9223" max="9223" width="7.6640625" style="309" customWidth="1"/>
    <col min="9224" max="9224" width="10.44140625" style="309" customWidth="1"/>
    <col min="9225" max="9225" width="5" style="309" customWidth="1"/>
    <col min="9226" max="9472" width="8.77734375" style="309"/>
    <col min="9473" max="9473" width="6.109375" style="309" customWidth="1"/>
    <col min="9474" max="9474" width="31.21875" style="309" customWidth="1"/>
    <col min="9475" max="9475" width="5.77734375" style="309" customWidth="1"/>
    <col min="9476" max="9476" width="3.88671875" style="309" customWidth="1"/>
    <col min="9477" max="9477" width="11.21875" style="309" bestFit="1" customWidth="1"/>
    <col min="9478" max="9478" width="9.44140625" style="309" customWidth="1"/>
    <col min="9479" max="9479" width="7.6640625" style="309" customWidth="1"/>
    <col min="9480" max="9480" width="10.44140625" style="309" customWidth="1"/>
    <col min="9481" max="9481" width="5" style="309" customWidth="1"/>
    <col min="9482" max="9728" width="8.77734375" style="309"/>
    <col min="9729" max="9729" width="6.109375" style="309" customWidth="1"/>
    <col min="9730" max="9730" width="31.21875" style="309" customWidth="1"/>
    <col min="9731" max="9731" width="5.77734375" style="309" customWidth="1"/>
    <col min="9732" max="9732" width="3.88671875" style="309" customWidth="1"/>
    <col min="9733" max="9733" width="11.21875" style="309" bestFit="1" customWidth="1"/>
    <col min="9734" max="9734" width="9.44140625" style="309" customWidth="1"/>
    <col min="9735" max="9735" width="7.6640625" style="309" customWidth="1"/>
    <col min="9736" max="9736" width="10.44140625" style="309" customWidth="1"/>
    <col min="9737" max="9737" width="5" style="309" customWidth="1"/>
    <col min="9738" max="9984" width="8.77734375" style="309"/>
    <col min="9985" max="9985" width="6.109375" style="309" customWidth="1"/>
    <col min="9986" max="9986" width="31.21875" style="309" customWidth="1"/>
    <col min="9987" max="9987" width="5.77734375" style="309" customWidth="1"/>
    <col min="9988" max="9988" width="3.88671875" style="309" customWidth="1"/>
    <col min="9989" max="9989" width="11.21875" style="309" bestFit="1" customWidth="1"/>
    <col min="9990" max="9990" width="9.44140625" style="309" customWidth="1"/>
    <col min="9991" max="9991" width="7.6640625" style="309" customWidth="1"/>
    <col min="9992" max="9992" width="10.44140625" style="309" customWidth="1"/>
    <col min="9993" max="9993" width="5" style="309" customWidth="1"/>
    <col min="9994" max="10240" width="8.77734375" style="309"/>
    <col min="10241" max="10241" width="6.109375" style="309" customWidth="1"/>
    <col min="10242" max="10242" width="31.21875" style="309" customWidth="1"/>
    <col min="10243" max="10243" width="5.77734375" style="309" customWidth="1"/>
    <col min="10244" max="10244" width="3.88671875" style="309" customWidth="1"/>
    <col min="10245" max="10245" width="11.21875" style="309" bestFit="1" customWidth="1"/>
    <col min="10246" max="10246" width="9.44140625" style="309" customWidth="1"/>
    <col min="10247" max="10247" width="7.6640625" style="309" customWidth="1"/>
    <col min="10248" max="10248" width="10.44140625" style="309" customWidth="1"/>
    <col min="10249" max="10249" width="5" style="309" customWidth="1"/>
    <col min="10250" max="10496" width="8.77734375" style="309"/>
    <col min="10497" max="10497" width="6.109375" style="309" customWidth="1"/>
    <col min="10498" max="10498" width="31.21875" style="309" customWidth="1"/>
    <col min="10499" max="10499" width="5.77734375" style="309" customWidth="1"/>
    <col min="10500" max="10500" width="3.88671875" style="309" customWidth="1"/>
    <col min="10501" max="10501" width="11.21875" style="309" bestFit="1" customWidth="1"/>
    <col min="10502" max="10502" width="9.44140625" style="309" customWidth="1"/>
    <col min="10503" max="10503" width="7.6640625" style="309" customWidth="1"/>
    <col min="10504" max="10504" width="10.44140625" style="309" customWidth="1"/>
    <col min="10505" max="10505" width="5" style="309" customWidth="1"/>
    <col min="10506" max="10752" width="8.77734375" style="309"/>
    <col min="10753" max="10753" width="6.109375" style="309" customWidth="1"/>
    <col min="10754" max="10754" width="31.21875" style="309" customWidth="1"/>
    <col min="10755" max="10755" width="5.77734375" style="309" customWidth="1"/>
    <col min="10756" max="10756" width="3.88671875" style="309" customWidth="1"/>
    <col min="10757" max="10757" width="11.21875" style="309" bestFit="1" customWidth="1"/>
    <col min="10758" max="10758" width="9.44140625" style="309" customWidth="1"/>
    <col min="10759" max="10759" width="7.6640625" style="309" customWidth="1"/>
    <col min="10760" max="10760" width="10.44140625" style="309" customWidth="1"/>
    <col min="10761" max="10761" width="5" style="309" customWidth="1"/>
    <col min="10762" max="11008" width="8.77734375" style="309"/>
    <col min="11009" max="11009" width="6.109375" style="309" customWidth="1"/>
    <col min="11010" max="11010" width="31.21875" style="309" customWidth="1"/>
    <col min="11011" max="11011" width="5.77734375" style="309" customWidth="1"/>
    <col min="11012" max="11012" width="3.88671875" style="309" customWidth="1"/>
    <col min="11013" max="11013" width="11.21875" style="309" bestFit="1" customWidth="1"/>
    <col min="11014" max="11014" width="9.44140625" style="309" customWidth="1"/>
    <col min="11015" max="11015" width="7.6640625" style="309" customWidth="1"/>
    <col min="11016" max="11016" width="10.44140625" style="309" customWidth="1"/>
    <col min="11017" max="11017" width="5" style="309" customWidth="1"/>
    <col min="11018" max="11264" width="8.77734375" style="309"/>
    <col min="11265" max="11265" width="6.109375" style="309" customWidth="1"/>
    <col min="11266" max="11266" width="31.21875" style="309" customWidth="1"/>
    <col min="11267" max="11267" width="5.77734375" style="309" customWidth="1"/>
    <col min="11268" max="11268" width="3.88671875" style="309" customWidth="1"/>
    <col min="11269" max="11269" width="11.21875" style="309" bestFit="1" customWidth="1"/>
    <col min="11270" max="11270" width="9.44140625" style="309" customWidth="1"/>
    <col min="11271" max="11271" width="7.6640625" style="309" customWidth="1"/>
    <col min="11272" max="11272" width="10.44140625" style="309" customWidth="1"/>
    <col min="11273" max="11273" width="5" style="309" customWidth="1"/>
    <col min="11274" max="11520" width="8.77734375" style="309"/>
    <col min="11521" max="11521" width="6.109375" style="309" customWidth="1"/>
    <col min="11522" max="11522" width="31.21875" style="309" customWidth="1"/>
    <col min="11523" max="11523" width="5.77734375" style="309" customWidth="1"/>
    <col min="11524" max="11524" width="3.88671875" style="309" customWidth="1"/>
    <col min="11525" max="11525" width="11.21875" style="309" bestFit="1" customWidth="1"/>
    <col min="11526" max="11526" width="9.44140625" style="309" customWidth="1"/>
    <col min="11527" max="11527" width="7.6640625" style="309" customWidth="1"/>
    <col min="11528" max="11528" width="10.44140625" style="309" customWidth="1"/>
    <col min="11529" max="11529" width="5" style="309" customWidth="1"/>
    <col min="11530" max="11776" width="8.77734375" style="309"/>
    <col min="11777" max="11777" width="6.109375" style="309" customWidth="1"/>
    <col min="11778" max="11778" width="31.21875" style="309" customWidth="1"/>
    <col min="11779" max="11779" width="5.77734375" style="309" customWidth="1"/>
    <col min="11780" max="11780" width="3.88671875" style="309" customWidth="1"/>
    <col min="11781" max="11781" width="11.21875" style="309" bestFit="1" customWidth="1"/>
    <col min="11782" max="11782" width="9.44140625" style="309" customWidth="1"/>
    <col min="11783" max="11783" width="7.6640625" style="309" customWidth="1"/>
    <col min="11784" max="11784" width="10.44140625" style="309" customWidth="1"/>
    <col min="11785" max="11785" width="5" style="309" customWidth="1"/>
    <col min="11786" max="12032" width="8.77734375" style="309"/>
    <col min="12033" max="12033" width="6.109375" style="309" customWidth="1"/>
    <col min="12034" max="12034" width="31.21875" style="309" customWidth="1"/>
    <col min="12035" max="12035" width="5.77734375" style="309" customWidth="1"/>
    <col min="12036" max="12036" width="3.88671875" style="309" customWidth="1"/>
    <col min="12037" max="12037" width="11.21875" style="309" bestFit="1" customWidth="1"/>
    <col min="12038" max="12038" width="9.44140625" style="309" customWidth="1"/>
    <col min="12039" max="12039" width="7.6640625" style="309" customWidth="1"/>
    <col min="12040" max="12040" width="10.44140625" style="309" customWidth="1"/>
    <col min="12041" max="12041" width="5" style="309" customWidth="1"/>
    <col min="12042" max="12288" width="8.77734375" style="309"/>
    <col min="12289" max="12289" width="6.109375" style="309" customWidth="1"/>
    <col min="12290" max="12290" width="31.21875" style="309" customWidth="1"/>
    <col min="12291" max="12291" width="5.77734375" style="309" customWidth="1"/>
    <col min="12292" max="12292" width="3.88671875" style="309" customWidth="1"/>
    <col min="12293" max="12293" width="11.21875" style="309" bestFit="1" customWidth="1"/>
    <col min="12294" max="12294" width="9.44140625" style="309" customWidth="1"/>
    <col min="12295" max="12295" width="7.6640625" style="309" customWidth="1"/>
    <col min="12296" max="12296" width="10.44140625" style="309" customWidth="1"/>
    <col min="12297" max="12297" width="5" style="309" customWidth="1"/>
    <col min="12298" max="12544" width="8.77734375" style="309"/>
    <col min="12545" max="12545" width="6.109375" style="309" customWidth="1"/>
    <col min="12546" max="12546" width="31.21875" style="309" customWidth="1"/>
    <col min="12547" max="12547" width="5.77734375" style="309" customWidth="1"/>
    <col min="12548" max="12548" width="3.88671875" style="309" customWidth="1"/>
    <col min="12549" max="12549" width="11.21875" style="309" bestFit="1" customWidth="1"/>
    <col min="12550" max="12550" width="9.44140625" style="309" customWidth="1"/>
    <col min="12551" max="12551" width="7.6640625" style="309" customWidth="1"/>
    <col min="12552" max="12552" width="10.44140625" style="309" customWidth="1"/>
    <col min="12553" max="12553" width="5" style="309" customWidth="1"/>
    <col min="12554" max="12800" width="8.77734375" style="309"/>
    <col min="12801" max="12801" width="6.109375" style="309" customWidth="1"/>
    <col min="12802" max="12802" width="31.21875" style="309" customWidth="1"/>
    <col min="12803" max="12803" width="5.77734375" style="309" customWidth="1"/>
    <col min="12804" max="12804" width="3.88671875" style="309" customWidth="1"/>
    <col min="12805" max="12805" width="11.21875" style="309" bestFit="1" customWidth="1"/>
    <col min="12806" max="12806" width="9.44140625" style="309" customWidth="1"/>
    <col min="12807" max="12807" width="7.6640625" style="309" customWidth="1"/>
    <col min="12808" max="12808" width="10.44140625" style="309" customWidth="1"/>
    <col min="12809" max="12809" width="5" style="309" customWidth="1"/>
    <col min="12810" max="13056" width="8.77734375" style="309"/>
    <col min="13057" max="13057" width="6.109375" style="309" customWidth="1"/>
    <col min="13058" max="13058" width="31.21875" style="309" customWidth="1"/>
    <col min="13059" max="13059" width="5.77734375" style="309" customWidth="1"/>
    <col min="13060" max="13060" width="3.88671875" style="309" customWidth="1"/>
    <col min="13061" max="13061" width="11.21875" style="309" bestFit="1" customWidth="1"/>
    <col min="13062" max="13062" width="9.44140625" style="309" customWidth="1"/>
    <col min="13063" max="13063" width="7.6640625" style="309" customWidth="1"/>
    <col min="13064" max="13064" width="10.44140625" style="309" customWidth="1"/>
    <col min="13065" max="13065" width="5" style="309" customWidth="1"/>
    <col min="13066" max="13312" width="8.77734375" style="309"/>
    <col min="13313" max="13313" width="6.109375" style="309" customWidth="1"/>
    <col min="13314" max="13314" width="31.21875" style="309" customWidth="1"/>
    <col min="13315" max="13315" width="5.77734375" style="309" customWidth="1"/>
    <col min="13316" max="13316" width="3.88671875" style="309" customWidth="1"/>
    <col min="13317" max="13317" width="11.21875" style="309" bestFit="1" customWidth="1"/>
    <col min="13318" max="13318" width="9.44140625" style="309" customWidth="1"/>
    <col min="13319" max="13319" width="7.6640625" style="309" customWidth="1"/>
    <col min="13320" max="13320" width="10.44140625" style="309" customWidth="1"/>
    <col min="13321" max="13321" width="5" style="309" customWidth="1"/>
    <col min="13322" max="13568" width="8.77734375" style="309"/>
    <col min="13569" max="13569" width="6.109375" style="309" customWidth="1"/>
    <col min="13570" max="13570" width="31.21875" style="309" customWidth="1"/>
    <col min="13571" max="13571" width="5.77734375" style="309" customWidth="1"/>
    <col min="13572" max="13572" width="3.88671875" style="309" customWidth="1"/>
    <col min="13573" max="13573" width="11.21875" style="309" bestFit="1" customWidth="1"/>
    <col min="13574" max="13574" width="9.44140625" style="309" customWidth="1"/>
    <col min="13575" max="13575" width="7.6640625" style="309" customWidth="1"/>
    <col min="13576" max="13576" width="10.44140625" style="309" customWidth="1"/>
    <col min="13577" max="13577" width="5" style="309" customWidth="1"/>
    <col min="13578" max="13824" width="8.77734375" style="309"/>
    <col min="13825" max="13825" width="6.109375" style="309" customWidth="1"/>
    <col min="13826" max="13826" width="31.21875" style="309" customWidth="1"/>
    <col min="13827" max="13827" width="5.77734375" style="309" customWidth="1"/>
    <col min="13828" max="13828" width="3.88671875" style="309" customWidth="1"/>
    <col min="13829" max="13829" width="11.21875" style="309" bestFit="1" customWidth="1"/>
    <col min="13830" max="13830" width="9.44140625" style="309" customWidth="1"/>
    <col min="13831" max="13831" width="7.6640625" style="309" customWidth="1"/>
    <col min="13832" max="13832" width="10.44140625" style="309" customWidth="1"/>
    <col min="13833" max="13833" width="5" style="309" customWidth="1"/>
    <col min="13834" max="14080" width="8.77734375" style="309"/>
    <col min="14081" max="14081" width="6.109375" style="309" customWidth="1"/>
    <col min="14082" max="14082" width="31.21875" style="309" customWidth="1"/>
    <col min="14083" max="14083" width="5.77734375" style="309" customWidth="1"/>
    <col min="14084" max="14084" width="3.88671875" style="309" customWidth="1"/>
    <col min="14085" max="14085" width="11.21875" style="309" bestFit="1" customWidth="1"/>
    <col min="14086" max="14086" width="9.44140625" style="309" customWidth="1"/>
    <col min="14087" max="14087" width="7.6640625" style="309" customWidth="1"/>
    <col min="14088" max="14088" width="10.44140625" style="309" customWidth="1"/>
    <col min="14089" max="14089" width="5" style="309" customWidth="1"/>
    <col min="14090" max="14336" width="8.77734375" style="309"/>
    <col min="14337" max="14337" width="6.109375" style="309" customWidth="1"/>
    <col min="14338" max="14338" width="31.21875" style="309" customWidth="1"/>
    <col min="14339" max="14339" width="5.77734375" style="309" customWidth="1"/>
    <col min="14340" max="14340" width="3.88671875" style="309" customWidth="1"/>
    <col min="14341" max="14341" width="11.21875" style="309" bestFit="1" customWidth="1"/>
    <col min="14342" max="14342" width="9.44140625" style="309" customWidth="1"/>
    <col min="14343" max="14343" width="7.6640625" style="309" customWidth="1"/>
    <col min="14344" max="14344" width="10.44140625" style="309" customWidth="1"/>
    <col min="14345" max="14345" width="5" style="309" customWidth="1"/>
    <col min="14346" max="14592" width="8.77734375" style="309"/>
    <col min="14593" max="14593" width="6.109375" style="309" customWidth="1"/>
    <col min="14594" max="14594" width="31.21875" style="309" customWidth="1"/>
    <col min="14595" max="14595" width="5.77734375" style="309" customWidth="1"/>
    <col min="14596" max="14596" width="3.88671875" style="309" customWidth="1"/>
    <col min="14597" max="14597" width="11.21875" style="309" bestFit="1" customWidth="1"/>
    <col min="14598" max="14598" width="9.44140625" style="309" customWidth="1"/>
    <col min="14599" max="14599" width="7.6640625" style="309" customWidth="1"/>
    <col min="14600" max="14600" width="10.44140625" style="309" customWidth="1"/>
    <col min="14601" max="14601" width="5" style="309" customWidth="1"/>
    <col min="14602" max="14848" width="8.77734375" style="309"/>
    <col min="14849" max="14849" width="6.109375" style="309" customWidth="1"/>
    <col min="14850" max="14850" width="31.21875" style="309" customWidth="1"/>
    <col min="14851" max="14851" width="5.77734375" style="309" customWidth="1"/>
    <col min="14852" max="14852" width="3.88671875" style="309" customWidth="1"/>
    <col min="14853" max="14853" width="11.21875" style="309" bestFit="1" customWidth="1"/>
    <col min="14854" max="14854" width="9.44140625" style="309" customWidth="1"/>
    <col min="14855" max="14855" width="7.6640625" style="309" customWidth="1"/>
    <col min="14856" max="14856" width="10.44140625" style="309" customWidth="1"/>
    <col min="14857" max="14857" width="5" style="309" customWidth="1"/>
    <col min="14858" max="15104" width="8.77734375" style="309"/>
    <col min="15105" max="15105" width="6.109375" style="309" customWidth="1"/>
    <col min="15106" max="15106" width="31.21875" style="309" customWidth="1"/>
    <col min="15107" max="15107" width="5.77734375" style="309" customWidth="1"/>
    <col min="15108" max="15108" width="3.88671875" style="309" customWidth="1"/>
    <col min="15109" max="15109" width="11.21875" style="309" bestFit="1" customWidth="1"/>
    <col min="15110" max="15110" width="9.44140625" style="309" customWidth="1"/>
    <col min="15111" max="15111" width="7.6640625" style="309" customWidth="1"/>
    <col min="15112" max="15112" width="10.44140625" style="309" customWidth="1"/>
    <col min="15113" max="15113" width="5" style="309" customWidth="1"/>
    <col min="15114" max="15360" width="8.77734375" style="309"/>
    <col min="15361" max="15361" width="6.109375" style="309" customWidth="1"/>
    <col min="15362" max="15362" width="31.21875" style="309" customWidth="1"/>
    <col min="15363" max="15363" width="5.77734375" style="309" customWidth="1"/>
    <col min="15364" max="15364" width="3.88671875" style="309" customWidth="1"/>
    <col min="15365" max="15365" width="11.21875" style="309" bestFit="1" customWidth="1"/>
    <col min="15366" max="15366" width="9.44140625" style="309" customWidth="1"/>
    <col min="15367" max="15367" width="7.6640625" style="309" customWidth="1"/>
    <col min="15368" max="15368" width="10.44140625" style="309" customWidth="1"/>
    <col min="15369" max="15369" width="5" style="309" customWidth="1"/>
    <col min="15370" max="15616" width="8.77734375" style="309"/>
    <col min="15617" max="15617" width="6.109375" style="309" customWidth="1"/>
    <col min="15618" max="15618" width="31.21875" style="309" customWidth="1"/>
    <col min="15619" max="15619" width="5.77734375" style="309" customWidth="1"/>
    <col min="15620" max="15620" width="3.88671875" style="309" customWidth="1"/>
    <col min="15621" max="15621" width="11.21875" style="309" bestFit="1" customWidth="1"/>
    <col min="15622" max="15622" width="9.44140625" style="309" customWidth="1"/>
    <col min="15623" max="15623" width="7.6640625" style="309" customWidth="1"/>
    <col min="15624" max="15624" width="10.44140625" style="309" customWidth="1"/>
    <col min="15625" max="15625" width="5" style="309" customWidth="1"/>
    <col min="15626" max="15872" width="8.77734375" style="309"/>
    <col min="15873" max="15873" width="6.109375" style="309" customWidth="1"/>
    <col min="15874" max="15874" width="31.21875" style="309" customWidth="1"/>
    <col min="15875" max="15875" width="5.77734375" style="309" customWidth="1"/>
    <col min="15876" max="15876" width="3.88671875" style="309" customWidth="1"/>
    <col min="15877" max="15877" width="11.21875" style="309" bestFit="1" customWidth="1"/>
    <col min="15878" max="15878" width="9.44140625" style="309" customWidth="1"/>
    <col min="15879" max="15879" width="7.6640625" style="309" customWidth="1"/>
    <col min="15880" max="15880" width="10.44140625" style="309" customWidth="1"/>
    <col min="15881" max="15881" width="5" style="309" customWidth="1"/>
    <col min="15882" max="16128" width="8.77734375" style="309"/>
    <col min="16129" max="16129" width="6.109375" style="309" customWidth="1"/>
    <col min="16130" max="16130" width="31.21875" style="309" customWidth="1"/>
    <col min="16131" max="16131" width="5.77734375" style="309" customWidth="1"/>
    <col min="16132" max="16132" width="3.88671875" style="309" customWidth="1"/>
    <col min="16133" max="16133" width="11.21875" style="309" bestFit="1" customWidth="1"/>
    <col min="16134" max="16134" width="9.44140625" style="309" customWidth="1"/>
    <col min="16135" max="16135" width="7.6640625" style="309" customWidth="1"/>
    <col min="16136" max="16136" width="10.44140625" style="309" customWidth="1"/>
    <col min="16137" max="16137" width="5" style="309" customWidth="1"/>
    <col min="16138" max="16384" width="8.77734375" style="309"/>
  </cols>
  <sheetData>
    <row r="1" spans="1:8" ht="33.6" customHeight="1">
      <c r="A1" s="1565" t="s">
        <v>1182</v>
      </c>
      <c r="B1" s="1565"/>
      <c r="C1" s="1565"/>
      <c r="D1" s="1565"/>
      <c r="E1" s="1565"/>
      <c r="F1" s="1565"/>
      <c r="G1" s="1565"/>
      <c r="H1" s="1565"/>
    </row>
    <row r="2" spans="1:8" ht="35.450000000000003" customHeight="1">
      <c r="A2" s="1564" t="str">
        <f>'Septic Tank'!A5</f>
        <v>CONSTRUCTION OF NEW POLICE STATION BUILDING WITH DEVELOPMENT WORK IN  REGUNATHAPURAM IN PUDUKKOTTAI DISRICT.</v>
      </c>
      <c r="B2" s="1564"/>
      <c r="C2" s="1564"/>
      <c r="D2" s="1564"/>
      <c r="E2" s="1564"/>
      <c r="F2" s="1564"/>
      <c r="G2" s="1564"/>
      <c r="H2" s="1564"/>
    </row>
    <row r="3" spans="1:8" ht="18.75">
      <c r="A3" s="1565" t="s">
        <v>72</v>
      </c>
      <c r="B3" s="1565"/>
      <c r="C3" s="1565"/>
      <c r="D3" s="1565"/>
      <c r="E3" s="1565"/>
      <c r="F3" s="1565"/>
      <c r="G3" s="1565"/>
      <c r="H3" s="1565"/>
    </row>
    <row r="4" spans="1:8" ht="19.899999999999999" customHeight="1">
      <c r="A4" s="1567" t="s">
        <v>326</v>
      </c>
      <c r="B4" s="1568" t="s">
        <v>327</v>
      </c>
      <c r="C4" s="1567" t="s">
        <v>4</v>
      </c>
      <c r="D4" s="1567"/>
      <c r="E4" s="1568" t="s">
        <v>328</v>
      </c>
      <c r="F4" s="1568"/>
      <c r="G4" s="1568"/>
      <c r="H4" s="1568" t="s">
        <v>90</v>
      </c>
    </row>
    <row r="5" spans="1:8" ht="19.899999999999999" customHeight="1">
      <c r="A5" s="1567"/>
      <c r="B5" s="1568"/>
      <c r="C5" s="1567"/>
      <c r="D5" s="1567"/>
      <c r="E5" s="552" t="s">
        <v>5</v>
      </c>
      <c r="F5" s="552" t="s">
        <v>205</v>
      </c>
      <c r="G5" s="552" t="s">
        <v>7</v>
      </c>
      <c r="H5" s="1568"/>
    </row>
    <row r="6" spans="1:8" ht="19.899999999999999" customHeight="1">
      <c r="A6" s="551">
        <v>1</v>
      </c>
      <c r="B6" s="1569" t="s">
        <v>1291</v>
      </c>
      <c r="C6" s="1569"/>
      <c r="D6" s="1569"/>
      <c r="E6" s="1569"/>
      <c r="F6" s="1569"/>
      <c r="G6" s="1569"/>
      <c r="H6" s="176"/>
    </row>
    <row r="7" spans="1:8" ht="19.899999999999999" customHeight="1">
      <c r="A7" s="551"/>
      <c r="B7" s="554" t="s">
        <v>329</v>
      </c>
      <c r="C7" s="551"/>
      <c r="D7" s="551"/>
      <c r="E7" s="176"/>
      <c r="F7" s="176"/>
      <c r="G7" s="176"/>
      <c r="H7" s="176"/>
    </row>
    <row r="8" spans="1:8" ht="19.899999999999999" customHeight="1">
      <c r="A8" s="551"/>
      <c r="B8" s="554" t="s">
        <v>330</v>
      </c>
      <c r="C8" s="551">
        <v>1</v>
      </c>
      <c r="D8" s="551">
        <v>1</v>
      </c>
      <c r="E8" s="176">
        <v>29.77</v>
      </c>
      <c r="F8" s="176">
        <v>3.54</v>
      </c>
      <c r="G8" s="176">
        <v>0.3</v>
      </c>
      <c r="H8" s="176">
        <f>PRODUCT(C8:G8)</f>
        <v>31.615739999999999</v>
      </c>
    </row>
    <row r="9" spans="1:8" ht="19.899999999999999" customHeight="1">
      <c r="A9" s="551"/>
      <c r="B9" s="554" t="s">
        <v>331</v>
      </c>
      <c r="C9" s="551">
        <v>1</v>
      </c>
      <c r="D9" s="551">
        <v>1</v>
      </c>
      <c r="E9" s="176">
        <v>67.540000000000006</v>
      </c>
      <c r="F9" s="176">
        <v>0.45</v>
      </c>
      <c r="G9" s="176">
        <v>0.6</v>
      </c>
      <c r="H9" s="176">
        <f>PRODUCT(C9:G9)</f>
        <v>18.235800000000001</v>
      </c>
    </row>
    <row r="10" spans="1:8" ht="19.899999999999999" customHeight="1">
      <c r="A10" s="551"/>
      <c r="B10" s="554"/>
      <c r="C10" s="551"/>
      <c r="D10" s="551"/>
      <c r="E10" s="176"/>
      <c r="F10" s="176"/>
      <c r="G10" s="176" t="s">
        <v>57</v>
      </c>
      <c r="H10" s="176">
        <f>SUM(H8:H9)</f>
        <v>49.85154</v>
      </c>
    </row>
    <row r="11" spans="1:8" ht="19.899999999999999" customHeight="1">
      <c r="A11" s="551"/>
      <c r="B11" s="554"/>
      <c r="C11" s="551"/>
      <c r="D11" s="551"/>
      <c r="E11" s="176"/>
      <c r="F11" s="176"/>
      <c r="G11" s="552" t="s">
        <v>15</v>
      </c>
      <c r="H11" s="552">
        <f>ROUNDUP(H10,1)</f>
        <v>49.9</v>
      </c>
    </row>
    <row r="12" spans="1:8" ht="19.899999999999999" customHeight="1">
      <c r="A12" s="551">
        <v>2</v>
      </c>
      <c r="B12" s="554" t="s">
        <v>1385</v>
      </c>
      <c r="C12" s="551"/>
      <c r="D12" s="551"/>
      <c r="E12" s="176"/>
      <c r="F12" s="176"/>
      <c r="G12" s="176"/>
      <c r="H12" s="176"/>
    </row>
    <row r="13" spans="1:8" ht="19.899999999999999" customHeight="1">
      <c r="A13" s="551"/>
      <c r="B13" s="554" t="s">
        <v>329</v>
      </c>
      <c r="C13" s="551"/>
      <c r="D13" s="551"/>
      <c r="E13" s="176"/>
      <c r="F13" s="176"/>
      <c r="G13" s="176"/>
      <c r="H13" s="176"/>
    </row>
    <row r="14" spans="1:8" ht="19.899999999999999" customHeight="1">
      <c r="A14" s="551"/>
      <c r="B14" s="554" t="s">
        <v>331</v>
      </c>
      <c r="C14" s="551">
        <v>1</v>
      </c>
      <c r="D14" s="551">
        <v>1</v>
      </c>
      <c r="E14" s="176">
        <v>67.540000000000006</v>
      </c>
      <c r="F14" s="176">
        <v>0.45</v>
      </c>
      <c r="G14" s="176">
        <v>0.1</v>
      </c>
      <c r="H14" s="176">
        <f>PRODUCT(C14:G14)</f>
        <v>3.0393000000000008</v>
      </c>
    </row>
    <row r="15" spans="1:8" ht="19.899999999999999" customHeight="1">
      <c r="A15" s="551"/>
      <c r="B15" s="554"/>
      <c r="C15" s="551"/>
      <c r="D15" s="551"/>
      <c r="E15" s="176"/>
      <c r="F15" s="176"/>
      <c r="G15" s="176" t="s">
        <v>57</v>
      </c>
      <c r="H15" s="176">
        <f>SUM(H14:H14)</f>
        <v>3.0393000000000008</v>
      </c>
    </row>
    <row r="16" spans="1:8" ht="19.899999999999999" customHeight="1">
      <c r="A16" s="551"/>
      <c r="B16" s="554"/>
      <c r="C16" s="551"/>
      <c r="D16" s="551"/>
      <c r="E16" s="176"/>
      <c r="F16" s="176"/>
      <c r="G16" s="552" t="s">
        <v>15</v>
      </c>
      <c r="H16" s="552">
        <f>ROUNDUP(H15,1)</f>
        <v>3.1</v>
      </c>
    </row>
    <row r="17" spans="1:8" ht="34.9" customHeight="1">
      <c r="A17" s="551">
        <v>3</v>
      </c>
      <c r="B17" s="1570" t="s">
        <v>1318</v>
      </c>
      <c r="C17" s="1571"/>
      <c r="D17" s="1571"/>
      <c r="E17" s="1571"/>
      <c r="F17" s="1571"/>
      <c r="G17" s="1572"/>
      <c r="H17" s="176"/>
    </row>
    <row r="18" spans="1:8" ht="19.899999999999999" customHeight="1">
      <c r="A18" s="551"/>
      <c r="B18" s="554" t="s">
        <v>329</v>
      </c>
      <c r="C18" s="551"/>
      <c r="D18" s="551"/>
      <c r="E18" s="176"/>
      <c r="F18" s="176"/>
      <c r="G18" s="176"/>
      <c r="H18" s="176"/>
    </row>
    <row r="19" spans="1:8" ht="19.899999999999999" customHeight="1">
      <c r="A19" s="551"/>
      <c r="B19" s="554" t="s">
        <v>331</v>
      </c>
      <c r="C19" s="551">
        <v>1</v>
      </c>
      <c r="D19" s="551">
        <v>1</v>
      </c>
      <c r="E19" s="176">
        <v>68.459999999999994</v>
      </c>
      <c r="F19" s="176" t="s">
        <v>36</v>
      </c>
      <c r="G19" s="176">
        <v>1</v>
      </c>
      <c r="H19" s="176">
        <f>PRODUCT(C19:G19)</f>
        <v>68.459999999999994</v>
      </c>
    </row>
    <row r="20" spans="1:8" ht="19.899999999999999" customHeight="1">
      <c r="A20" s="551"/>
      <c r="B20" s="554" t="s">
        <v>332</v>
      </c>
      <c r="C20" s="551">
        <v>1</v>
      </c>
      <c r="D20" s="551">
        <v>1</v>
      </c>
      <c r="E20" s="176">
        <v>66.62</v>
      </c>
      <c r="F20" s="176" t="s">
        <v>36</v>
      </c>
      <c r="G20" s="176">
        <v>1</v>
      </c>
      <c r="H20" s="176">
        <f>PRODUCT(C20:G20)</f>
        <v>66.62</v>
      </c>
    </row>
    <row r="21" spans="1:8" ht="19.899999999999999" customHeight="1">
      <c r="A21" s="551"/>
      <c r="B21" s="554" t="s">
        <v>607</v>
      </c>
      <c r="C21" s="551">
        <v>1</v>
      </c>
      <c r="D21" s="551">
        <v>1</v>
      </c>
      <c r="E21" s="176">
        <v>68.459999999999994</v>
      </c>
      <c r="F21" s="176" t="s">
        <v>36</v>
      </c>
      <c r="G21" s="176">
        <v>0.3</v>
      </c>
      <c r="H21" s="176">
        <f>PRODUCT(C21:G21)</f>
        <v>20.537999999999997</v>
      </c>
    </row>
    <row r="22" spans="1:8" ht="19.899999999999999" customHeight="1">
      <c r="A22" s="551"/>
      <c r="B22" s="554" t="s">
        <v>608</v>
      </c>
      <c r="C22" s="551">
        <v>1</v>
      </c>
      <c r="D22" s="551">
        <v>1</v>
      </c>
      <c r="E22" s="176">
        <v>66.62</v>
      </c>
      <c r="F22" s="176" t="s">
        <v>36</v>
      </c>
      <c r="G22" s="176">
        <v>0.3</v>
      </c>
      <c r="H22" s="176">
        <f>PRODUCT(C22:G22)</f>
        <v>19.986000000000001</v>
      </c>
    </row>
    <row r="23" spans="1:8" ht="19.899999999999999" customHeight="1">
      <c r="A23" s="551"/>
      <c r="B23" s="554"/>
      <c r="C23" s="551"/>
      <c r="D23" s="551"/>
      <c r="E23" s="176"/>
      <c r="F23" s="176"/>
      <c r="G23" s="552" t="s">
        <v>57</v>
      </c>
      <c r="H23" s="552">
        <f>SUM(H19:H22)</f>
        <v>175.60399999999998</v>
      </c>
    </row>
    <row r="24" spans="1:8" ht="34.9" customHeight="1">
      <c r="A24" s="551"/>
      <c r="B24" s="1570" t="str">
        <f>[18]Building!B557</f>
        <v>b.Plain surfaces such as Roof slab,floorslab,Beams,lintels,lofts,sill slab,staircase,portico slab and other similar works</v>
      </c>
      <c r="C24" s="1571"/>
      <c r="D24" s="1571"/>
      <c r="E24" s="1571"/>
      <c r="F24" s="1571"/>
      <c r="G24" s="1572"/>
      <c r="H24" s="552"/>
    </row>
    <row r="25" spans="1:8" ht="19.899999999999999" customHeight="1">
      <c r="A25" s="551"/>
      <c r="B25" s="554" t="s">
        <v>333</v>
      </c>
      <c r="C25" s="551">
        <v>2</v>
      </c>
      <c r="D25" s="551">
        <v>3</v>
      </c>
      <c r="E25" s="176">
        <v>1.98</v>
      </c>
      <c r="F25" s="176">
        <v>0.6</v>
      </c>
      <c r="G25" s="176" t="s">
        <v>36</v>
      </c>
      <c r="H25" s="176">
        <f>PRODUCT(C25:G25)</f>
        <v>7.1279999999999992</v>
      </c>
    </row>
    <row r="26" spans="1:8" ht="19.899999999999999" customHeight="1">
      <c r="A26" s="551"/>
      <c r="B26" s="554" t="s">
        <v>334</v>
      </c>
      <c r="C26" s="551">
        <v>2</v>
      </c>
      <c r="D26" s="551">
        <v>3</v>
      </c>
      <c r="E26" s="176">
        <v>5.85</v>
      </c>
      <c r="F26" s="176" t="s">
        <v>36</v>
      </c>
      <c r="G26" s="176">
        <v>0.04</v>
      </c>
      <c r="H26" s="176">
        <f>PRODUCT(C26:G26)</f>
        <v>1.4039999999999997</v>
      </c>
    </row>
    <row r="27" spans="1:8" ht="19.899999999999999" customHeight="1">
      <c r="A27" s="551"/>
      <c r="B27" s="554"/>
      <c r="C27" s="551"/>
      <c r="D27" s="551"/>
      <c r="E27" s="176"/>
      <c r="F27" s="176"/>
      <c r="G27" s="176" t="s">
        <v>57</v>
      </c>
      <c r="H27" s="176">
        <f>SUM(H25:H26)</f>
        <v>8.5319999999999983</v>
      </c>
    </row>
    <row r="28" spans="1:8" ht="19.899999999999999" customHeight="1">
      <c r="A28" s="551"/>
      <c r="B28" s="554"/>
      <c r="C28" s="551"/>
      <c r="D28" s="551"/>
      <c r="E28" s="176"/>
      <c r="F28" s="176"/>
      <c r="G28" s="552" t="s">
        <v>15</v>
      </c>
      <c r="H28" s="552">
        <f>ROUNDUP(H27,1)</f>
        <v>8.6</v>
      </c>
    </row>
    <row r="29" spans="1:8" ht="19.899999999999999" customHeight="1">
      <c r="A29" s="551">
        <f>A17+1</f>
        <v>4</v>
      </c>
      <c r="B29" s="1573" t="s">
        <v>335</v>
      </c>
      <c r="C29" s="1574"/>
      <c r="D29" s="1574"/>
      <c r="E29" s="1574"/>
      <c r="F29" s="1574"/>
      <c r="G29" s="1575"/>
      <c r="H29" s="176"/>
    </row>
    <row r="30" spans="1:8" ht="19.899999999999999" customHeight="1">
      <c r="A30" s="551"/>
      <c r="B30" s="554" t="s">
        <v>331</v>
      </c>
      <c r="C30" s="551">
        <v>1</v>
      </c>
      <c r="D30" s="551">
        <v>1</v>
      </c>
      <c r="E30" s="176">
        <v>67.540000000000006</v>
      </c>
      <c r="F30" s="176">
        <v>0.23</v>
      </c>
      <c r="G30" s="176">
        <v>1</v>
      </c>
      <c r="H30" s="176">
        <f>PRODUCT(C30:G30)</f>
        <v>15.534200000000002</v>
      </c>
    </row>
    <row r="31" spans="1:8" ht="19.899999999999999" customHeight="1">
      <c r="A31" s="551"/>
      <c r="B31" s="554"/>
      <c r="C31" s="551"/>
      <c r="D31" s="551"/>
      <c r="E31" s="176"/>
      <c r="F31" s="176"/>
      <c r="G31" s="176"/>
      <c r="H31" s="176">
        <v>7.0000000000000007E-2</v>
      </c>
    </row>
    <row r="32" spans="1:8" ht="19.899999999999999" customHeight="1">
      <c r="A32" s="551"/>
      <c r="B32" s="554"/>
      <c r="C32" s="551"/>
      <c r="D32" s="551"/>
      <c r="E32" s="176"/>
      <c r="F32" s="176"/>
      <c r="G32" s="552" t="s">
        <v>57</v>
      </c>
      <c r="H32" s="552">
        <f>SUM(H30:H31)</f>
        <v>15.604200000000002</v>
      </c>
    </row>
    <row r="33" spans="1:8" ht="34.9" customHeight="1">
      <c r="A33" s="551">
        <f>A29+1</f>
        <v>5</v>
      </c>
      <c r="B33" s="1570" t="s">
        <v>69</v>
      </c>
      <c r="C33" s="1571"/>
      <c r="D33" s="1571"/>
      <c r="E33" s="1571"/>
      <c r="F33" s="1571"/>
      <c r="G33" s="1572"/>
      <c r="H33" s="176"/>
    </row>
    <row r="34" spans="1:8" ht="19.899999999999999" customHeight="1">
      <c r="A34" s="551"/>
      <c r="B34" s="554" t="s">
        <v>329</v>
      </c>
      <c r="C34" s="551"/>
      <c r="D34" s="551"/>
      <c r="E34" s="176"/>
      <c r="F34" s="176"/>
      <c r="G34" s="176"/>
      <c r="H34" s="176"/>
    </row>
    <row r="35" spans="1:8" ht="19.899999999999999" customHeight="1">
      <c r="A35" s="551"/>
      <c r="B35" s="554" t="s">
        <v>336</v>
      </c>
      <c r="C35" s="551">
        <v>2</v>
      </c>
      <c r="D35" s="551">
        <v>2</v>
      </c>
      <c r="E35" s="176">
        <v>0.23</v>
      </c>
      <c r="F35" s="176">
        <v>0.23</v>
      </c>
      <c r="G35" s="542">
        <v>0.3</v>
      </c>
      <c r="H35" s="176">
        <f>PRODUCT(C35:G35)</f>
        <v>6.3479999999999995E-2</v>
      </c>
    </row>
    <row r="36" spans="1:8" ht="19.899999999999999" customHeight="1">
      <c r="A36" s="551"/>
      <c r="B36" s="554" t="s">
        <v>337</v>
      </c>
      <c r="C36" s="551">
        <v>2</v>
      </c>
      <c r="D36" s="551">
        <v>2</v>
      </c>
      <c r="E36" s="176">
        <v>0.23</v>
      </c>
      <c r="F36" s="176">
        <v>0.23</v>
      </c>
      <c r="G36" s="542">
        <v>0.38</v>
      </c>
      <c r="H36" s="176">
        <f t="shared" ref="H36:H47" si="0">PRODUCT(C36:G36)</f>
        <v>8.0408000000000007E-2</v>
      </c>
    </row>
    <row r="37" spans="1:8" ht="19.899999999999999" customHeight="1">
      <c r="A37" s="551"/>
      <c r="B37" s="554" t="s">
        <v>338</v>
      </c>
      <c r="C37" s="551">
        <v>2</v>
      </c>
      <c r="D37" s="551">
        <v>2</v>
      </c>
      <c r="E37" s="176">
        <v>0.23</v>
      </c>
      <c r="F37" s="176">
        <v>0.23</v>
      </c>
      <c r="G37" s="542">
        <v>0.46500000000000002</v>
      </c>
      <c r="H37" s="176">
        <f t="shared" si="0"/>
        <v>9.8394000000000009E-2</v>
      </c>
    </row>
    <row r="38" spans="1:8" ht="19.899999999999999" customHeight="1">
      <c r="A38" s="551"/>
      <c r="B38" s="554" t="s">
        <v>339</v>
      </c>
      <c r="C38" s="551">
        <v>2</v>
      </c>
      <c r="D38" s="551">
        <v>2</v>
      </c>
      <c r="E38" s="176">
        <v>0.23</v>
      </c>
      <c r="F38" s="176">
        <v>0.23</v>
      </c>
      <c r="G38" s="542">
        <v>0.54500000000000004</v>
      </c>
      <c r="H38" s="176">
        <f t="shared" si="0"/>
        <v>0.11532200000000001</v>
      </c>
    </row>
    <row r="39" spans="1:8" ht="19.899999999999999" customHeight="1">
      <c r="A39" s="551"/>
      <c r="B39" s="554" t="s">
        <v>340</v>
      </c>
      <c r="C39" s="551">
        <v>2</v>
      </c>
      <c r="D39" s="551">
        <v>2</v>
      </c>
      <c r="E39" s="176">
        <v>0.23</v>
      </c>
      <c r="F39" s="176">
        <v>0.23</v>
      </c>
      <c r="G39" s="542">
        <v>0.63</v>
      </c>
      <c r="H39" s="176">
        <f t="shared" si="0"/>
        <v>0.13330800000000001</v>
      </c>
    </row>
    <row r="40" spans="1:8" ht="19.899999999999999" customHeight="1">
      <c r="A40" s="551"/>
      <c r="B40" s="554" t="s">
        <v>341</v>
      </c>
      <c r="C40" s="551">
        <v>2</v>
      </c>
      <c r="D40" s="551">
        <v>2</v>
      </c>
      <c r="E40" s="176">
        <v>0.23</v>
      </c>
      <c r="F40" s="176">
        <v>0.23</v>
      </c>
      <c r="G40" s="542">
        <v>0.71</v>
      </c>
      <c r="H40" s="176">
        <f t="shared" si="0"/>
        <v>0.15023600000000001</v>
      </c>
    </row>
    <row r="41" spans="1:8" ht="19.899999999999999" customHeight="1">
      <c r="A41" s="551"/>
      <c r="B41" s="554" t="s">
        <v>342</v>
      </c>
      <c r="C41" s="551">
        <v>2</v>
      </c>
      <c r="D41" s="551">
        <v>2</v>
      </c>
      <c r="E41" s="176">
        <v>0.23</v>
      </c>
      <c r="F41" s="176">
        <v>0.23</v>
      </c>
      <c r="G41" s="542">
        <v>0.79</v>
      </c>
      <c r="H41" s="176">
        <f t="shared" si="0"/>
        <v>0.16716400000000001</v>
      </c>
    </row>
    <row r="42" spans="1:8" ht="19.899999999999999" customHeight="1">
      <c r="A42" s="551"/>
      <c r="B42" s="554" t="s">
        <v>343</v>
      </c>
      <c r="C42" s="551">
        <v>2</v>
      </c>
      <c r="D42" s="551">
        <v>2</v>
      </c>
      <c r="E42" s="176">
        <v>0.23</v>
      </c>
      <c r="F42" s="176">
        <v>0.23</v>
      </c>
      <c r="G42" s="542">
        <v>0.875</v>
      </c>
      <c r="H42" s="176">
        <f t="shared" si="0"/>
        <v>0.18515000000000001</v>
      </c>
    </row>
    <row r="43" spans="1:8" ht="19.899999999999999" customHeight="1">
      <c r="A43" s="551"/>
      <c r="B43" s="554" t="s">
        <v>344</v>
      </c>
      <c r="C43" s="551">
        <v>2</v>
      </c>
      <c r="D43" s="551">
        <v>2</v>
      </c>
      <c r="E43" s="176">
        <v>0.23</v>
      </c>
      <c r="F43" s="176">
        <v>0.23</v>
      </c>
      <c r="G43" s="542">
        <v>0.95499999999999996</v>
      </c>
      <c r="H43" s="176">
        <f t="shared" si="0"/>
        <v>0.20207800000000001</v>
      </c>
    </row>
    <row r="44" spans="1:8" ht="19.899999999999999" customHeight="1">
      <c r="A44" s="551"/>
      <c r="B44" s="554" t="s">
        <v>345</v>
      </c>
      <c r="C44" s="551">
        <v>2</v>
      </c>
      <c r="D44" s="551">
        <v>2</v>
      </c>
      <c r="E44" s="176">
        <v>0.23</v>
      </c>
      <c r="F44" s="176">
        <v>0.23</v>
      </c>
      <c r="G44" s="542">
        <v>1.0349999999999999</v>
      </c>
      <c r="H44" s="176">
        <f t="shared" si="0"/>
        <v>0.21900600000000001</v>
      </c>
    </row>
    <row r="45" spans="1:8" ht="19.899999999999999" customHeight="1">
      <c r="A45" s="551"/>
      <c r="B45" s="554" t="s">
        <v>346</v>
      </c>
      <c r="C45" s="551">
        <v>2</v>
      </c>
      <c r="D45" s="551">
        <v>2</v>
      </c>
      <c r="E45" s="176">
        <v>0.23</v>
      </c>
      <c r="F45" s="176">
        <v>0.23</v>
      </c>
      <c r="G45" s="542">
        <v>1.1200000000000001</v>
      </c>
      <c r="H45" s="176">
        <f t="shared" si="0"/>
        <v>0.23699200000000004</v>
      </c>
    </row>
    <row r="46" spans="1:8" ht="19.899999999999999" customHeight="1">
      <c r="A46" s="551"/>
      <c r="B46" s="554" t="s">
        <v>347</v>
      </c>
      <c r="C46" s="551">
        <v>2</v>
      </c>
      <c r="D46" s="551">
        <v>2</v>
      </c>
      <c r="E46" s="176">
        <v>0.23</v>
      </c>
      <c r="F46" s="176">
        <v>0.23</v>
      </c>
      <c r="G46" s="542">
        <v>1.2</v>
      </c>
      <c r="H46" s="176">
        <f t="shared" si="0"/>
        <v>0.25391999999999998</v>
      </c>
    </row>
    <row r="47" spans="1:8" ht="19.899999999999999" customHeight="1">
      <c r="A47" s="551"/>
      <c r="B47" s="554" t="s">
        <v>348</v>
      </c>
      <c r="C47" s="551">
        <v>1</v>
      </c>
      <c r="D47" s="551">
        <v>2</v>
      </c>
      <c r="E47" s="176">
        <v>0.23</v>
      </c>
      <c r="F47" s="176">
        <v>0.23</v>
      </c>
      <c r="G47" s="542">
        <v>1.24</v>
      </c>
      <c r="H47" s="176">
        <f t="shared" si="0"/>
        <v>0.131192</v>
      </c>
    </row>
    <row r="48" spans="1:8" ht="19.899999999999999" customHeight="1">
      <c r="A48" s="551"/>
      <c r="B48" s="554"/>
      <c r="C48" s="551"/>
      <c r="D48" s="551"/>
      <c r="E48" s="176"/>
      <c r="F48" s="176"/>
      <c r="G48" s="176" t="s">
        <v>57</v>
      </c>
      <c r="H48" s="176">
        <f>SUM(H35:H47)</f>
        <v>2.0366500000000003</v>
      </c>
    </row>
    <row r="49" spans="1:8" ht="19.899999999999999" customHeight="1">
      <c r="A49" s="551"/>
      <c r="B49" s="554"/>
      <c r="C49" s="551"/>
      <c r="D49" s="551"/>
      <c r="E49" s="176"/>
      <c r="F49" s="176"/>
      <c r="G49" s="552" t="s">
        <v>15</v>
      </c>
      <c r="H49" s="552">
        <f>ROUNDUP(H48,1)</f>
        <v>2.1</v>
      </c>
    </row>
    <row r="50" spans="1:8" ht="19.899999999999999" customHeight="1">
      <c r="A50" s="551">
        <f>A33+1</f>
        <v>6</v>
      </c>
      <c r="B50" s="554" t="s">
        <v>509</v>
      </c>
      <c r="C50" s="551"/>
      <c r="D50" s="551"/>
      <c r="E50" s="176"/>
      <c r="F50" s="176"/>
      <c r="G50" s="176"/>
      <c r="H50" s="176"/>
    </row>
    <row r="51" spans="1:8" ht="19.899999999999999" customHeight="1">
      <c r="A51" s="551"/>
      <c r="B51" s="554" t="s">
        <v>330</v>
      </c>
      <c r="C51" s="551">
        <v>1</v>
      </c>
      <c r="D51" s="551">
        <v>1</v>
      </c>
      <c r="E51" s="176">
        <v>29.77</v>
      </c>
      <c r="F51" s="176">
        <v>3.54</v>
      </c>
      <c r="G51" s="176">
        <v>0.15</v>
      </c>
      <c r="H51" s="176">
        <f>PRODUCT(C51:G51)</f>
        <v>15.807869999999999</v>
      </c>
    </row>
    <row r="52" spans="1:8" ht="19.899999999999999" customHeight="1">
      <c r="A52" s="551"/>
      <c r="B52" s="554"/>
      <c r="C52" s="551"/>
      <c r="D52" s="551"/>
      <c r="E52" s="176"/>
      <c r="F52" s="176"/>
      <c r="G52" s="176" t="s">
        <v>57</v>
      </c>
      <c r="H52" s="176">
        <f>SUM(H51:H51)</f>
        <v>15.807869999999999</v>
      </c>
    </row>
    <row r="53" spans="1:8" ht="19.899999999999999" customHeight="1">
      <c r="A53" s="551"/>
      <c r="B53" s="554"/>
      <c r="C53" s="551"/>
      <c r="D53" s="551"/>
      <c r="E53" s="176"/>
      <c r="F53" s="176"/>
      <c r="G53" s="552" t="s">
        <v>15</v>
      </c>
      <c r="H53" s="552">
        <f>ROUNDUP(H52,1)</f>
        <v>15.9</v>
      </c>
    </row>
    <row r="54" spans="1:8" ht="19.899999999999999" customHeight="1">
      <c r="A54" s="551">
        <f>A50+1</f>
        <v>7</v>
      </c>
      <c r="B54" s="554" t="s">
        <v>1509</v>
      </c>
      <c r="C54" s="551"/>
      <c r="D54" s="551"/>
      <c r="E54" s="176"/>
      <c r="F54" s="176"/>
      <c r="G54" s="176"/>
      <c r="H54" s="176"/>
    </row>
    <row r="55" spans="1:8" ht="19.899999999999999" customHeight="1">
      <c r="A55" s="551"/>
      <c r="B55" s="554" t="s">
        <v>330</v>
      </c>
      <c r="C55" s="551">
        <v>1</v>
      </c>
      <c r="D55" s="551">
        <v>1</v>
      </c>
      <c r="E55" s="176">
        <v>29.77</v>
      </c>
      <c r="F55" s="176">
        <v>3.54</v>
      </c>
      <c r="G55" s="542">
        <v>7.4999999999999997E-2</v>
      </c>
      <c r="H55" s="176">
        <f>PRODUCT(C55:G55)</f>
        <v>7.9039349999999997</v>
      </c>
    </row>
    <row r="56" spans="1:8" ht="19.899999999999999" customHeight="1">
      <c r="A56" s="551"/>
      <c r="B56" s="554"/>
      <c r="C56" s="551"/>
      <c r="D56" s="551"/>
      <c r="E56" s="176"/>
      <c r="F56" s="176"/>
      <c r="G56" s="552" t="s">
        <v>57</v>
      </c>
      <c r="H56" s="552">
        <f>SUM(H55:H55)</f>
        <v>7.9039349999999997</v>
      </c>
    </row>
    <row r="57" spans="1:8" ht="19.899999999999999" customHeight="1">
      <c r="A57" s="551"/>
      <c r="B57" s="554"/>
      <c r="C57" s="551"/>
      <c r="D57" s="551"/>
      <c r="E57" s="176"/>
      <c r="F57" s="176"/>
      <c r="G57" s="552" t="s">
        <v>15</v>
      </c>
      <c r="H57" s="549">
        <f>ROUNDUP(H56,3)</f>
        <v>7.9039999999999999</v>
      </c>
    </row>
    <row r="58" spans="1:8" ht="34.9" customHeight="1">
      <c r="A58" s="551">
        <f>A54+1</f>
        <v>8</v>
      </c>
      <c r="B58" s="1570" t="s">
        <v>1319</v>
      </c>
      <c r="C58" s="1571"/>
      <c r="D58" s="1571"/>
      <c r="E58" s="1571"/>
      <c r="F58" s="1571"/>
      <c r="G58" s="1572"/>
      <c r="H58" s="552"/>
    </row>
    <row r="59" spans="1:8" ht="19.899999999999999" customHeight="1">
      <c r="A59" s="551"/>
      <c r="B59" s="554" t="s">
        <v>349</v>
      </c>
      <c r="C59" s="551">
        <v>1</v>
      </c>
      <c r="D59" s="551">
        <v>3</v>
      </c>
      <c r="E59" s="176">
        <v>0.23</v>
      </c>
      <c r="F59" s="176">
        <v>0.23</v>
      </c>
      <c r="G59" s="176">
        <v>2.25</v>
      </c>
      <c r="H59" s="176">
        <f>PRODUCT(C59:G59)</f>
        <v>0.35707500000000003</v>
      </c>
    </row>
    <row r="60" spans="1:8" ht="19.899999999999999" customHeight="1">
      <c r="A60" s="551"/>
      <c r="B60" s="554" t="s">
        <v>350</v>
      </c>
      <c r="C60" s="551">
        <v>1</v>
      </c>
      <c r="D60" s="551">
        <v>3</v>
      </c>
      <c r="E60" s="176">
        <v>4.6500000000000004</v>
      </c>
      <c r="F60" s="176">
        <v>0.6</v>
      </c>
      <c r="G60" s="176">
        <v>0.12</v>
      </c>
      <c r="H60" s="176">
        <f>PRODUCT(C60:G60)</f>
        <v>1.0044000000000002</v>
      </c>
    </row>
    <row r="61" spans="1:8" ht="19.899999999999999" customHeight="1">
      <c r="A61" s="551"/>
      <c r="B61" s="554"/>
      <c r="C61" s="551"/>
      <c r="D61" s="551"/>
      <c r="E61" s="176"/>
      <c r="F61" s="176"/>
      <c r="G61" s="176" t="s">
        <v>57</v>
      </c>
      <c r="H61" s="176">
        <f>SUM(H59:H60)</f>
        <v>1.3614750000000002</v>
      </c>
    </row>
    <row r="62" spans="1:8" ht="19.899999999999999" customHeight="1">
      <c r="A62" s="551"/>
      <c r="B62" s="554"/>
      <c r="C62" s="551"/>
      <c r="D62" s="551"/>
      <c r="E62" s="176"/>
      <c r="F62" s="176"/>
      <c r="G62" s="552" t="s">
        <v>15</v>
      </c>
      <c r="H62" s="552">
        <f>ROUNDUP(H61,1)</f>
        <v>1.4000000000000001</v>
      </c>
    </row>
    <row r="63" spans="1:8" ht="19.899999999999999" customHeight="1">
      <c r="A63" s="551">
        <v>9</v>
      </c>
      <c r="B63" s="1570" t="s">
        <v>1320</v>
      </c>
      <c r="C63" s="1571"/>
      <c r="D63" s="1571"/>
      <c r="E63" s="1571"/>
      <c r="F63" s="1571"/>
      <c r="G63" s="1572"/>
      <c r="H63" s="552"/>
    </row>
    <row r="64" spans="1:8" ht="19.899999999999999" customHeight="1">
      <c r="A64" s="551"/>
      <c r="B64" s="554" t="s">
        <v>351</v>
      </c>
      <c r="C64" s="551">
        <v>1</v>
      </c>
      <c r="D64" s="551">
        <v>4</v>
      </c>
      <c r="E64" s="176">
        <v>3</v>
      </c>
      <c r="F64" s="176">
        <v>0.6</v>
      </c>
      <c r="G64" s="176" t="s">
        <v>36</v>
      </c>
      <c r="H64" s="176">
        <f>PRODUCT(C64:G64)</f>
        <v>7.1999999999999993</v>
      </c>
    </row>
    <row r="65" spans="1:9" ht="19.899999999999999" customHeight="1">
      <c r="A65" s="551"/>
      <c r="B65" s="554" t="s">
        <v>352</v>
      </c>
      <c r="C65" s="551">
        <v>-1</v>
      </c>
      <c r="D65" s="551">
        <v>1</v>
      </c>
      <c r="E65" s="176">
        <v>1</v>
      </c>
      <c r="F65" s="176" t="s">
        <v>36</v>
      </c>
      <c r="G65" s="176">
        <v>2.1</v>
      </c>
      <c r="H65" s="176">
        <f>PRODUCT(C65:G65)</f>
        <v>-2.1</v>
      </c>
    </row>
    <row r="66" spans="1:9" ht="19.899999999999999" customHeight="1">
      <c r="A66" s="551"/>
      <c r="B66" s="554"/>
      <c r="C66" s="551"/>
      <c r="D66" s="551"/>
      <c r="E66" s="176"/>
      <c r="F66" s="176"/>
      <c r="G66" s="176" t="s">
        <v>57</v>
      </c>
      <c r="H66" s="176">
        <f>SUM(H64:H65)</f>
        <v>5.0999999999999996</v>
      </c>
    </row>
    <row r="67" spans="1:9" ht="19.899999999999999" customHeight="1">
      <c r="A67" s="551"/>
      <c r="B67" s="554"/>
      <c r="C67" s="551"/>
      <c r="D67" s="551"/>
      <c r="E67" s="176"/>
      <c r="F67" s="176"/>
      <c r="G67" s="552" t="s">
        <v>15</v>
      </c>
      <c r="H67" s="552">
        <f>ROUNDUP(H66,1)</f>
        <v>5.0999999999999996</v>
      </c>
    </row>
    <row r="68" spans="1:9" ht="19.899999999999999" customHeight="1">
      <c r="A68" s="551">
        <f>A63+1</f>
        <v>10</v>
      </c>
      <c r="B68" s="554" t="s">
        <v>1332</v>
      </c>
      <c r="C68" s="551"/>
      <c r="D68" s="551"/>
      <c r="E68" s="176"/>
      <c r="F68" s="176"/>
      <c r="G68" s="176"/>
      <c r="H68" s="176"/>
    </row>
    <row r="69" spans="1:9" ht="19.899999999999999" customHeight="1">
      <c r="A69" s="551"/>
      <c r="B69" s="554" t="s">
        <v>330</v>
      </c>
      <c r="C69" s="551">
        <v>1</v>
      </c>
      <c r="D69" s="551">
        <v>1</v>
      </c>
      <c r="E69" s="176">
        <v>29.77</v>
      </c>
      <c r="F69" s="176">
        <v>3.54</v>
      </c>
      <c r="G69" s="176" t="s">
        <v>36</v>
      </c>
      <c r="H69" s="176">
        <f>PRODUCT(C69:G69)</f>
        <v>105.3858</v>
      </c>
    </row>
    <row r="70" spans="1:9" ht="19.899999999999999" customHeight="1">
      <c r="A70" s="551"/>
      <c r="B70" s="554" t="s">
        <v>350</v>
      </c>
      <c r="C70" s="551">
        <v>1</v>
      </c>
      <c r="D70" s="551">
        <v>2</v>
      </c>
      <c r="E70" s="176">
        <v>4.6500000000000004</v>
      </c>
      <c r="F70" s="176">
        <v>0.6</v>
      </c>
      <c r="G70" s="176" t="s">
        <v>36</v>
      </c>
      <c r="H70" s="176">
        <f>PRODUCT(C70:G70)</f>
        <v>5.58</v>
      </c>
    </row>
    <row r="71" spans="1:9" ht="19.899999999999999" customHeight="1">
      <c r="A71" s="551"/>
      <c r="B71" s="554"/>
      <c r="C71" s="551"/>
      <c r="D71" s="551"/>
      <c r="E71" s="176"/>
      <c r="F71" s="176"/>
      <c r="G71" s="176" t="s">
        <v>57</v>
      </c>
      <c r="H71" s="176">
        <f>SUM(H69:H70)</f>
        <v>110.9658</v>
      </c>
    </row>
    <row r="72" spans="1:9" ht="19.899999999999999" customHeight="1">
      <c r="A72" s="551"/>
      <c r="B72" s="554"/>
      <c r="C72" s="551"/>
      <c r="D72" s="551"/>
      <c r="E72" s="176"/>
      <c r="F72" s="176"/>
      <c r="G72" s="552" t="s">
        <v>15</v>
      </c>
      <c r="H72" s="552">
        <f>ROUNDUP(H71,1)</f>
        <v>111</v>
      </c>
    </row>
    <row r="73" spans="1:9" ht="34.9" customHeight="1">
      <c r="A73" s="551">
        <f>A68+1</f>
        <v>11</v>
      </c>
      <c r="B73" s="1570" t="s">
        <v>1321</v>
      </c>
      <c r="C73" s="1571"/>
      <c r="D73" s="1571"/>
      <c r="E73" s="1571"/>
      <c r="F73" s="1571"/>
      <c r="G73" s="1572"/>
      <c r="H73" s="552"/>
    </row>
    <row r="74" spans="1:9" ht="19.899999999999999" customHeight="1">
      <c r="A74" s="551"/>
      <c r="B74" s="554" t="s">
        <v>353</v>
      </c>
      <c r="C74" s="551"/>
      <c r="D74" s="551"/>
      <c r="E74" s="176"/>
      <c r="F74" s="176"/>
      <c r="G74" s="552"/>
      <c r="H74" s="552"/>
    </row>
    <row r="75" spans="1:9" ht="19.899999999999999" customHeight="1">
      <c r="A75" s="551"/>
      <c r="B75" s="554" t="s">
        <v>354</v>
      </c>
      <c r="C75" s="551">
        <v>2</v>
      </c>
      <c r="D75" s="551">
        <v>3</v>
      </c>
      <c r="E75" s="176">
        <v>4.6500000000000004</v>
      </c>
      <c r="F75" s="176">
        <v>0.6</v>
      </c>
      <c r="G75" s="176">
        <v>0.04</v>
      </c>
      <c r="H75" s="176">
        <f>PRODUCT(C75:G75)</f>
        <v>0.66960000000000008</v>
      </c>
    </row>
    <row r="76" spans="1:9" ht="19.899999999999999" customHeight="1">
      <c r="A76" s="551"/>
      <c r="B76" s="554" t="s">
        <v>609</v>
      </c>
      <c r="C76" s="551">
        <v>1</v>
      </c>
      <c r="D76" s="551">
        <v>1</v>
      </c>
      <c r="E76" s="176">
        <v>67.540000000000006</v>
      </c>
      <c r="F76" s="176">
        <v>0.23</v>
      </c>
      <c r="G76" s="176">
        <v>0.3</v>
      </c>
      <c r="H76" s="176">
        <f>PRODUCT(C76:G76)</f>
        <v>4.6602600000000001</v>
      </c>
    </row>
    <row r="77" spans="1:9" ht="19.899999999999999" customHeight="1">
      <c r="A77" s="551"/>
      <c r="B77" s="554" t="s">
        <v>610</v>
      </c>
      <c r="C77" s="551">
        <v>1</v>
      </c>
      <c r="D77" s="551">
        <v>1</v>
      </c>
      <c r="E77" s="176">
        <v>29.77</v>
      </c>
      <c r="F77" s="176">
        <v>3.54</v>
      </c>
      <c r="G77" s="542">
        <v>7.4999999999999997E-2</v>
      </c>
      <c r="H77" s="176">
        <f>PRODUCT(C77:G77)</f>
        <v>7.9039349999999997</v>
      </c>
    </row>
    <row r="78" spans="1:9" ht="19.899999999999999" customHeight="1">
      <c r="A78" s="551"/>
      <c r="B78" s="554"/>
      <c r="C78" s="551"/>
      <c r="D78" s="551"/>
      <c r="E78" s="176"/>
      <c r="F78" s="176"/>
      <c r="G78" s="176" t="s">
        <v>57</v>
      </c>
      <c r="H78" s="176">
        <f>SUM(H75:H75)</f>
        <v>0.66960000000000008</v>
      </c>
    </row>
    <row r="79" spans="1:9" ht="19.899999999999999" customHeight="1">
      <c r="A79" s="551"/>
      <c r="B79" s="554"/>
      <c r="C79" s="551"/>
      <c r="D79" s="551"/>
      <c r="E79" s="176"/>
      <c r="F79" s="176"/>
      <c r="G79" s="552" t="s">
        <v>15</v>
      </c>
      <c r="H79" s="552">
        <f>ROUNDUP(H78,1)</f>
        <v>0.7</v>
      </c>
      <c r="I79" s="309">
        <v>3.5</v>
      </c>
    </row>
    <row r="80" spans="1:9" ht="19.899999999999999" customHeight="1">
      <c r="A80" s="551">
        <f>A73+1</f>
        <v>12</v>
      </c>
      <c r="B80" s="554" t="s">
        <v>1526</v>
      </c>
      <c r="C80" s="551"/>
      <c r="D80" s="551"/>
      <c r="E80" s="176"/>
      <c r="F80" s="176"/>
      <c r="G80" s="176"/>
      <c r="H80" s="176"/>
    </row>
    <row r="81" spans="1:8" ht="19.899999999999999" customHeight="1">
      <c r="A81" s="551"/>
      <c r="B81" s="554" t="s">
        <v>329</v>
      </c>
      <c r="C81" s="551"/>
      <c r="D81" s="551"/>
      <c r="E81" s="176"/>
      <c r="F81" s="176"/>
      <c r="G81" s="176"/>
      <c r="H81" s="176"/>
    </row>
    <row r="82" spans="1:8" ht="19.899999999999999" customHeight="1">
      <c r="A82" s="551"/>
      <c r="B82" s="554" t="s">
        <v>331</v>
      </c>
      <c r="C82" s="551">
        <v>1</v>
      </c>
      <c r="D82" s="551">
        <v>1</v>
      </c>
      <c r="E82" s="176">
        <v>68.459999999999994</v>
      </c>
      <c r="F82" s="176" t="s">
        <v>36</v>
      </c>
      <c r="G82" s="176">
        <v>0.55000000000000004</v>
      </c>
      <c r="H82" s="176">
        <f>PRODUCT(C82:G82)</f>
        <v>37.652999999999999</v>
      </c>
    </row>
    <row r="83" spans="1:8" ht="19.899999999999999" customHeight="1">
      <c r="A83" s="551"/>
      <c r="B83" s="554" t="s">
        <v>332</v>
      </c>
      <c r="C83" s="551">
        <v>1</v>
      </c>
      <c r="D83" s="551">
        <v>1</v>
      </c>
      <c r="E83" s="176">
        <v>66.62</v>
      </c>
      <c r="F83" s="176" t="s">
        <v>36</v>
      </c>
      <c r="G83" s="176">
        <v>0.15</v>
      </c>
      <c r="H83" s="176">
        <f>PRODUCT(C83:G83)</f>
        <v>9.9930000000000003</v>
      </c>
    </row>
    <row r="84" spans="1:8" ht="19.899999999999999" customHeight="1">
      <c r="A84" s="551"/>
      <c r="B84" s="554" t="s">
        <v>355</v>
      </c>
      <c r="C84" s="551">
        <v>1</v>
      </c>
      <c r="D84" s="551">
        <v>1</v>
      </c>
      <c r="E84" s="176">
        <v>68.459999999999994</v>
      </c>
      <c r="F84" s="176">
        <v>0.23</v>
      </c>
      <c r="G84" s="176" t="s">
        <v>36</v>
      </c>
      <c r="H84" s="176">
        <f>PRODUCT(C84:G84)</f>
        <v>15.745799999999999</v>
      </c>
    </row>
    <row r="85" spans="1:8" ht="19.899999999999999" customHeight="1">
      <c r="A85" s="551"/>
      <c r="B85" s="554" t="s">
        <v>336</v>
      </c>
      <c r="C85" s="551">
        <v>2</v>
      </c>
      <c r="D85" s="551">
        <v>2</v>
      </c>
      <c r="E85" s="176">
        <v>0.92</v>
      </c>
      <c r="F85" s="176" t="s">
        <v>36</v>
      </c>
      <c r="G85" s="542">
        <v>0.3</v>
      </c>
      <c r="H85" s="176">
        <f>PRODUCT(C85:G85)</f>
        <v>1.1040000000000001</v>
      </c>
    </row>
    <row r="86" spans="1:8" ht="19.899999999999999" customHeight="1">
      <c r="A86" s="551"/>
      <c r="B86" s="554" t="s">
        <v>337</v>
      </c>
      <c r="C86" s="551">
        <v>2</v>
      </c>
      <c r="D86" s="551">
        <v>2</v>
      </c>
      <c r="E86" s="176">
        <v>0.92</v>
      </c>
      <c r="F86" s="176" t="s">
        <v>36</v>
      </c>
      <c r="G86" s="542">
        <v>0.38</v>
      </c>
      <c r="H86" s="176">
        <f t="shared" ref="H86:H102" si="1">PRODUCT(C86:G86)</f>
        <v>1.3984000000000001</v>
      </c>
    </row>
    <row r="87" spans="1:8" ht="19.899999999999999" customHeight="1">
      <c r="A87" s="551"/>
      <c r="B87" s="554" t="s">
        <v>338</v>
      </c>
      <c r="C87" s="551">
        <v>2</v>
      </c>
      <c r="D87" s="551">
        <v>2</v>
      </c>
      <c r="E87" s="176">
        <v>0.92</v>
      </c>
      <c r="F87" s="176" t="s">
        <v>36</v>
      </c>
      <c r="G87" s="542">
        <v>0.46500000000000002</v>
      </c>
      <c r="H87" s="176">
        <f t="shared" si="1"/>
        <v>1.7112000000000001</v>
      </c>
    </row>
    <row r="88" spans="1:8" ht="19.899999999999999" customHeight="1">
      <c r="A88" s="551"/>
      <c r="B88" s="554" t="s">
        <v>339</v>
      </c>
      <c r="C88" s="551">
        <v>2</v>
      </c>
      <c r="D88" s="551">
        <v>2</v>
      </c>
      <c r="E88" s="176">
        <v>0.92</v>
      </c>
      <c r="F88" s="176" t="s">
        <v>36</v>
      </c>
      <c r="G88" s="542">
        <v>0.54500000000000004</v>
      </c>
      <c r="H88" s="176">
        <f t="shared" si="1"/>
        <v>2.0056000000000003</v>
      </c>
    </row>
    <row r="89" spans="1:8" ht="19.899999999999999" customHeight="1">
      <c r="A89" s="551"/>
      <c r="B89" s="554" t="s">
        <v>340</v>
      </c>
      <c r="C89" s="551">
        <v>2</v>
      </c>
      <c r="D89" s="551">
        <v>2</v>
      </c>
      <c r="E89" s="176">
        <v>0.92</v>
      </c>
      <c r="F89" s="176" t="s">
        <v>36</v>
      </c>
      <c r="G89" s="542">
        <v>0.63</v>
      </c>
      <c r="H89" s="176">
        <f t="shared" si="1"/>
        <v>2.3184</v>
      </c>
    </row>
    <row r="90" spans="1:8" ht="19.899999999999999" customHeight="1">
      <c r="A90" s="551"/>
      <c r="B90" s="554" t="s">
        <v>341</v>
      </c>
      <c r="C90" s="551">
        <v>2</v>
      </c>
      <c r="D90" s="551">
        <v>2</v>
      </c>
      <c r="E90" s="176">
        <v>0.92</v>
      </c>
      <c r="F90" s="176" t="s">
        <v>36</v>
      </c>
      <c r="G90" s="542">
        <v>0.71</v>
      </c>
      <c r="H90" s="176">
        <f t="shared" si="1"/>
        <v>2.6128</v>
      </c>
    </row>
    <row r="91" spans="1:8" ht="19.899999999999999" customHeight="1">
      <c r="A91" s="551"/>
      <c r="B91" s="554" t="s">
        <v>342</v>
      </c>
      <c r="C91" s="551">
        <v>2</v>
      </c>
      <c r="D91" s="551">
        <v>2</v>
      </c>
      <c r="E91" s="176">
        <v>0.92</v>
      </c>
      <c r="F91" s="176" t="s">
        <v>36</v>
      </c>
      <c r="G91" s="542">
        <v>0.79</v>
      </c>
      <c r="H91" s="176">
        <f t="shared" si="1"/>
        <v>2.9072000000000005</v>
      </c>
    </row>
    <row r="92" spans="1:8" ht="19.899999999999999" customHeight="1">
      <c r="A92" s="551"/>
      <c r="B92" s="554" t="s">
        <v>343</v>
      </c>
      <c r="C92" s="551">
        <v>2</v>
      </c>
      <c r="D92" s="551">
        <v>2</v>
      </c>
      <c r="E92" s="176">
        <v>0.92</v>
      </c>
      <c r="F92" s="176" t="s">
        <v>36</v>
      </c>
      <c r="G92" s="542">
        <v>0.875</v>
      </c>
      <c r="H92" s="176">
        <f t="shared" si="1"/>
        <v>3.22</v>
      </c>
    </row>
    <row r="93" spans="1:8" ht="19.899999999999999" customHeight="1">
      <c r="A93" s="551"/>
      <c r="B93" s="554" t="s">
        <v>344</v>
      </c>
      <c r="C93" s="551">
        <v>2</v>
      </c>
      <c r="D93" s="551">
        <v>2</v>
      </c>
      <c r="E93" s="176">
        <v>0.92</v>
      </c>
      <c r="F93" s="176" t="s">
        <v>36</v>
      </c>
      <c r="G93" s="542">
        <v>0.95499999999999996</v>
      </c>
      <c r="H93" s="176">
        <f t="shared" si="1"/>
        <v>3.5144000000000002</v>
      </c>
    </row>
    <row r="94" spans="1:8" ht="19.899999999999999" customHeight="1">
      <c r="A94" s="551"/>
      <c r="B94" s="554" t="s">
        <v>345</v>
      </c>
      <c r="C94" s="551">
        <v>2</v>
      </c>
      <c r="D94" s="551">
        <v>2</v>
      </c>
      <c r="E94" s="176">
        <v>0.92</v>
      </c>
      <c r="F94" s="176" t="s">
        <v>36</v>
      </c>
      <c r="G94" s="542">
        <v>1.0349999999999999</v>
      </c>
      <c r="H94" s="176">
        <f t="shared" si="1"/>
        <v>3.8087999999999997</v>
      </c>
    </row>
    <row r="95" spans="1:8" ht="19.899999999999999" customHeight="1">
      <c r="A95" s="551"/>
      <c r="B95" s="554" t="s">
        <v>346</v>
      </c>
      <c r="C95" s="551">
        <v>2</v>
      </c>
      <c r="D95" s="551">
        <v>2</v>
      </c>
      <c r="E95" s="176">
        <v>0.92</v>
      </c>
      <c r="F95" s="176" t="s">
        <v>36</v>
      </c>
      <c r="G95" s="542">
        <v>1.1200000000000001</v>
      </c>
      <c r="H95" s="176">
        <f t="shared" si="1"/>
        <v>4.1216000000000008</v>
      </c>
    </row>
    <row r="96" spans="1:8" ht="19.899999999999999" customHeight="1">
      <c r="A96" s="551"/>
      <c r="B96" s="554" t="s">
        <v>347</v>
      </c>
      <c r="C96" s="551">
        <v>2</v>
      </c>
      <c r="D96" s="551">
        <v>2</v>
      </c>
      <c r="E96" s="176">
        <v>0.92</v>
      </c>
      <c r="F96" s="176" t="s">
        <v>36</v>
      </c>
      <c r="G96" s="542">
        <v>1.2</v>
      </c>
      <c r="H96" s="176">
        <f t="shared" si="1"/>
        <v>4.4160000000000004</v>
      </c>
    </row>
    <row r="97" spans="1:8" ht="19.899999999999999" customHeight="1">
      <c r="A97" s="551"/>
      <c r="B97" s="554" t="s">
        <v>348</v>
      </c>
      <c r="C97" s="551">
        <v>1</v>
      </c>
      <c r="D97" s="551">
        <v>2</v>
      </c>
      <c r="E97" s="176">
        <v>0.92</v>
      </c>
      <c r="F97" s="176" t="s">
        <v>36</v>
      </c>
      <c r="G97" s="542">
        <v>1.24</v>
      </c>
      <c r="H97" s="176">
        <f t="shared" si="1"/>
        <v>2.2816000000000001</v>
      </c>
    </row>
    <row r="98" spans="1:8" ht="19.899999999999999" customHeight="1">
      <c r="A98" s="551"/>
      <c r="B98" s="554" t="s">
        <v>356</v>
      </c>
      <c r="C98" s="551"/>
      <c r="D98" s="551"/>
      <c r="E98" s="176"/>
      <c r="F98" s="176"/>
      <c r="G98" s="542"/>
      <c r="H98" s="176"/>
    </row>
    <row r="99" spans="1:8" s="555" customFormat="1" ht="19.899999999999999" customHeight="1">
      <c r="A99" s="543"/>
      <c r="B99" s="544" t="s">
        <v>349</v>
      </c>
      <c r="C99" s="543">
        <v>1</v>
      </c>
      <c r="D99" s="543">
        <v>3</v>
      </c>
      <c r="E99" s="545">
        <v>1.43</v>
      </c>
      <c r="F99" s="545" t="s">
        <v>36</v>
      </c>
      <c r="G99" s="546">
        <v>2.25</v>
      </c>
      <c r="H99" s="545">
        <f t="shared" si="1"/>
        <v>9.6524999999999999</v>
      </c>
    </row>
    <row r="100" spans="1:8" s="555" customFormat="1" ht="19.899999999999999" customHeight="1">
      <c r="A100" s="543"/>
      <c r="B100" s="544" t="s">
        <v>350</v>
      </c>
      <c r="C100" s="543">
        <v>1</v>
      </c>
      <c r="D100" s="543">
        <v>1</v>
      </c>
      <c r="E100" s="545">
        <v>5.85</v>
      </c>
      <c r="F100" s="545" t="s">
        <v>36</v>
      </c>
      <c r="G100" s="546">
        <v>0.12</v>
      </c>
      <c r="H100" s="545">
        <f t="shared" si="1"/>
        <v>0.70199999999999996</v>
      </c>
    </row>
    <row r="101" spans="1:8" ht="19.899999999999999" customHeight="1">
      <c r="A101" s="551"/>
      <c r="B101" s="554" t="s">
        <v>357</v>
      </c>
      <c r="C101" s="551">
        <v>2</v>
      </c>
      <c r="D101" s="551">
        <v>3</v>
      </c>
      <c r="E101" s="176">
        <v>4.6500000000000004</v>
      </c>
      <c r="F101" s="176">
        <v>0.6</v>
      </c>
      <c r="G101" s="547" t="s">
        <v>36</v>
      </c>
      <c r="H101" s="176">
        <f t="shared" si="1"/>
        <v>16.740000000000002</v>
      </c>
    </row>
    <row r="102" spans="1:8" ht="19.899999999999999" customHeight="1">
      <c r="A102" s="551"/>
      <c r="B102" s="554" t="s">
        <v>358</v>
      </c>
      <c r="C102" s="551">
        <v>2</v>
      </c>
      <c r="D102" s="551">
        <v>3</v>
      </c>
      <c r="E102" s="176">
        <v>4.6500000000000004</v>
      </c>
      <c r="F102" s="176" t="s">
        <v>36</v>
      </c>
      <c r="G102" s="547">
        <v>0.04</v>
      </c>
      <c r="H102" s="176">
        <f t="shared" si="1"/>
        <v>1.1160000000000001</v>
      </c>
    </row>
    <row r="103" spans="1:8" ht="19.899999999999999" customHeight="1">
      <c r="A103" s="551"/>
      <c r="B103" s="554"/>
      <c r="C103" s="551"/>
      <c r="D103" s="551"/>
      <c r="E103" s="176"/>
      <c r="F103" s="176"/>
      <c r="G103" s="176" t="s">
        <v>57</v>
      </c>
      <c r="H103" s="176">
        <f>SUM(H82:H102)</f>
        <v>127.02230000000002</v>
      </c>
    </row>
    <row r="104" spans="1:8" ht="19.899999999999999" customHeight="1">
      <c r="A104" s="551"/>
      <c r="B104" s="554"/>
      <c r="C104" s="551"/>
      <c r="D104" s="551"/>
      <c r="E104" s="176"/>
      <c r="F104" s="176"/>
      <c r="G104" s="552" t="s">
        <v>15</v>
      </c>
      <c r="H104" s="552">
        <f>ROUNDUP(H103,1)</f>
        <v>127.1</v>
      </c>
    </row>
    <row r="105" spans="1:8" ht="19.899999999999999" customHeight="1">
      <c r="A105" s="551">
        <f>A80+1</f>
        <v>13</v>
      </c>
      <c r="B105" s="1570" t="s">
        <v>1322</v>
      </c>
      <c r="C105" s="1571"/>
      <c r="D105" s="1571"/>
      <c r="E105" s="1571"/>
      <c r="F105" s="1571"/>
      <c r="G105" s="1572"/>
      <c r="H105" s="552"/>
    </row>
    <row r="106" spans="1:8" ht="19.899999999999999" customHeight="1">
      <c r="A106" s="551"/>
      <c r="B106" s="554" t="s">
        <v>333</v>
      </c>
      <c r="C106" s="551">
        <v>2</v>
      </c>
      <c r="D106" s="551">
        <v>3</v>
      </c>
      <c r="E106" s="176">
        <v>4.6500000000000004</v>
      </c>
      <c r="F106" s="176">
        <v>0.6</v>
      </c>
      <c r="G106" s="176" t="s">
        <v>36</v>
      </c>
      <c r="H106" s="176">
        <f>PRODUCT(C106:G106)</f>
        <v>16.740000000000002</v>
      </c>
    </row>
    <row r="107" spans="1:8" ht="19.899999999999999" customHeight="1">
      <c r="A107" s="551"/>
      <c r="B107" s="554"/>
      <c r="C107" s="551"/>
      <c r="D107" s="551"/>
      <c r="E107" s="176"/>
      <c r="F107" s="176"/>
      <c r="G107" s="176" t="s">
        <v>57</v>
      </c>
      <c r="H107" s="176">
        <f>SUM(H106:H106)</f>
        <v>16.740000000000002</v>
      </c>
    </row>
    <row r="108" spans="1:8" ht="19.899999999999999" customHeight="1">
      <c r="A108" s="551"/>
      <c r="B108" s="554"/>
      <c r="C108" s="551"/>
      <c r="D108" s="551"/>
      <c r="E108" s="176"/>
      <c r="F108" s="176"/>
      <c r="G108" s="552" t="s">
        <v>15</v>
      </c>
      <c r="H108" s="552">
        <f>ROUNDUP(H107,1)</f>
        <v>16.8</v>
      </c>
    </row>
    <row r="109" spans="1:8" s="436" customFormat="1" ht="19.899999999999999" customHeight="1">
      <c r="A109" s="559">
        <f>A105+1</f>
        <v>14</v>
      </c>
      <c r="B109" s="1579" t="str">
        <f>[18]Building!B626</f>
        <v>Fabrication of Mild steel / RTS grills (without cement slurry) for all sizes of rods.</v>
      </c>
      <c r="C109" s="1580"/>
      <c r="D109" s="1580"/>
      <c r="E109" s="1580"/>
      <c r="F109" s="1580"/>
      <c r="G109" s="1581"/>
      <c r="H109" s="549"/>
    </row>
    <row r="110" spans="1:8" ht="19.899999999999999" customHeight="1">
      <c r="A110" s="551"/>
      <c r="B110" s="554" t="s">
        <v>359</v>
      </c>
      <c r="C110" s="551">
        <v>1</v>
      </c>
      <c r="D110" s="551">
        <v>1</v>
      </c>
      <c r="E110" s="176">
        <f>H79</f>
        <v>0.7</v>
      </c>
      <c r="F110" s="176" t="s">
        <v>36</v>
      </c>
      <c r="G110" s="176" t="s">
        <v>36</v>
      </c>
      <c r="H110" s="176">
        <f>PRODUCT(C110:G110)</f>
        <v>0.7</v>
      </c>
    </row>
    <row r="111" spans="1:8" ht="19.899999999999999" customHeight="1">
      <c r="A111" s="551"/>
      <c r="B111" s="554"/>
      <c r="C111" s="551"/>
      <c r="D111" s="551"/>
      <c r="E111" s="176"/>
      <c r="F111" s="176"/>
      <c r="G111" s="552" t="s">
        <v>57</v>
      </c>
      <c r="H111" s="552">
        <f>SUM(H110:H110)</f>
        <v>0.7</v>
      </c>
    </row>
    <row r="112" spans="1:8" ht="19.899999999999999" customHeight="1">
      <c r="A112" s="551"/>
      <c r="B112" s="554"/>
      <c r="C112" s="1566" t="s">
        <v>360</v>
      </c>
      <c r="D112" s="1566"/>
      <c r="E112" s="1566"/>
      <c r="F112" s="1566"/>
      <c r="G112" s="552"/>
      <c r="H112" s="552">
        <f>SUM(H111*100)</f>
        <v>70</v>
      </c>
    </row>
    <row r="113" spans="1:8" ht="19.899999999999999" customHeight="1">
      <c r="A113" s="551"/>
      <c r="B113" s="554"/>
      <c r="C113" s="551"/>
      <c r="D113" s="551"/>
      <c r="E113" s="176" t="s">
        <v>220</v>
      </c>
      <c r="F113" s="176"/>
      <c r="G113" s="552" t="s">
        <v>15</v>
      </c>
      <c r="H113" s="548">
        <f>H112/1000</f>
        <v>7.0000000000000007E-2</v>
      </c>
    </row>
    <row r="114" spans="1:8" ht="19.899999999999999" customHeight="1">
      <c r="A114" s="551">
        <v>15</v>
      </c>
      <c r="B114" s="554" t="str">
        <f>[18]Building!B348</f>
        <v>White washing 3 coats  (slaked)</v>
      </c>
      <c r="C114" s="551"/>
      <c r="D114" s="551"/>
      <c r="E114" s="176"/>
      <c r="F114" s="176"/>
      <c r="G114" s="552"/>
      <c r="H114" s="552"/>
    </row>
    <row r="115" spans="1:8" ht="19.899999999999999" customHeight="1">
      <c r="A115" s="551"/>
      <c r="B115" s="554" t="s">
        <v>361</v>
      </c>
      <c r="C115" s="551">
        <v>1</v>
      </c>
      <c r="D115" s="551">
        <v>1</v>
      </c>
      <c r="E115" s="176">
        <f>H108</f>
        <v>16.8</v>
      </c>
      <c r="F115" s="176" t="s">
        <v>36</v>
      </c>
      <c r="G115" s="176" t="s">
        <v>36</v>
      </c>
      <c r="H115" s="176">
        <f>PRODUCT(C115:G115)</f>
        <v>16.8</v>
      </c>
    </row>
    <row r="116" spans="1:8" ht="19.899999999999999" customHeight="1">
      <c r="A116" s="551"/>
      <c r="B116" s="554"/>
      <c r="C116" s="551"/>
      <c r="D116" s="551"/>
      <c r="E116" s="176"/>
      <c r="F116" s="176"/>
      <c r="G116" s="176" t="s">
        <v>57</v>
      </c>
      <c r="H116" s="176">
        <f>SUM(H115:H115)</f>
        <v>16.8</v>
      </c>
    </row>
    <row r="117" spans="1:8" ht="19.899999999999999" customHeight="1">
      <c r="A117" s="551"/>
      <c r="B117" s="554"/>
      <c r="C117" s="551"/>
      <c r="D117" s="551"/>
      <c r="E117" s="176"/>
      <c r="F117" s="176"/>
      <c r="G117" s="552" t="s">
        <v>15</v>
      </c>
      <c r="H117" s="552">
        <f>ROUNDUP(H116,1)</f>
        <v>16.8</v>
      </c>
    </row>
    <row r="118" spans="1:8" ht="19.899999999999999" customHeight="1">
      <c r="A118" s="551">
        <v>16</v>
      </c>
      <c r="B118" s="1570" t="str">
        <f>[18]Building!B680</f>
        <v xml:space="preserve">Two coat of OBD over one coat white cement for inner walls </v>
      </c>
      <c r="C118" s="1571"/>
      <c r="D118" s="1571"/>
      <c r="E118" s="1571"/>
      <c r="F118" s="1571"/>
      <c r="G118" s="1572"/>
      <c r="H118" s="552"/>
    </row>
    <row r="119" spans="1:8" ht="19.899999999999999" customHeight="1">
      <c r="A119" s="551"/>
      <c r="B119" s="554" t="s">
        <v>356</v>
      </c>
      <c r="C119" s="551"/>
      <c r="D119" s="551"/>
      <c r="E119" s="176"/>
      <c r="F119" s="176"/>
      <c r="G119" s="542"/>
      <c r="H119" s="176"/>
    </row>
    <row r="120" spans="1:8" ht="19.899999999999999" customHeight="1">
      <c r="A120" s="551"/>
      <c r="B120" s="554" t="s">
        <v>349</v>
      </c>
      <c r="C120" s="551">
        <v>1</v>
      </c>
      <c r="D120" s="551">
        <v>3</v>
      </c>
      <c r="E120" s="176">
        <v>1.43</v>
      </c>
      <c r="F120" s="176" t="s">
        <v>36</v>
      </c>
      <c r="G120" s="547">
        <v>2.25</v>
      </c>
      <c r="H120" s="176">
        <f>PRODUCT(C120:G120)</f>
        <v>9.6524999999999999</v>
      </c>
    </row>
    <row r="121" spans="1:8" ht="19.899999999999999" customHeight="1">
      <c r="A121" s="551"/>
      <c r="B121" s="554" t="s">
        <v>350</v>
      </c>
      <c r="C121" s="551">
        <v>1</v>
      </c>
      <c r="D121" s="551">
        <v>2</v>
      </c>
      <c r="E121" s="176">
        <v>3.18</v>
      </c>
      <c r="F121" s="176" t="s">
        <v>36</v>
      </c>
      <c r="G121" s="547">
        <v>0.12</v>
      </c>
      <c r="H121" s="176">
        <f>PRODUCT(C121:G121)</f>
        <v>0.76319999999999999</v>
      </c>
    </row>
    <row r="122" spans="1:8" ht="19.899999999999999" customHeight="1">
      <c r="A122" s="551"/>
      <c r="B122" s="554" t="s">
        <v>357</v>
      </c>
      <c r="C122" s="551">
        <v>2</v>
      </c>
      <c r="D122" s="551">
        <v>3</v>
      </c>
      <c r="E122" s="176">
        <v>4.6500000000000004</v>
      </c>
      <c r="F122" s="176">
        <v>0.6</v>
      </c>
      <c r="G122" s="547" t="s">
        <v>36</v>
      </c>
      <c r="H122" s="176">
        <f>PRODUCT(C122:G122)</f>
        <v>16.740000000000002</v>
      </c>
    </row>
    <row r="123" spans="1:8" ht="19.899999999999999" customHeight="1">
      <c r="A123" s="551"/>
      <c r="B123" s="554" t="s">
        <v>362</v>
      </c>
      <c r="C123" s="551">
        <v>2</v>
      </c>
      <c r="D123" s="551">
        <v>3</v>
      </c>
      <c r="E123" s="176">
        <v>4.6500000000000004</v>
      </c>
      <c r="F123" s="176" t="s">
        <v>36</v>
      </c>
      <c r="G123" s="547">
        <v>0.04</v>
      </c>
      <c r="H123" s="176">
        <f>PRODUCT(C123:G123)</f>
        <v>1.1160000000000001</v>
      </c>
    </row>
    <row r="124" spans="1:8" ht="19.899999999999999" customHeight="1">
      <c r="A124" s="551"/>
      <c r="B124" s="554"/>
      <c r="C124" s="551"/>
      <c r="D124" s="551"/>
      <c r="E124" s="176"/>
      <c r="F124" s="176"/>
      <c r="G124" s="176" t="s">
        <v>57</v>
      </c>
      <c r="H124" s="176">
        <f>SUM(H120:H123)</f>
        <v>28.271700000000003</v>
      </c>
    </row>
    <row r="125" spans="1:8" ht="19.899999999999999" customHeight="1">
      <c r="A125" s="551"/>
      <c r="B125" s="554"/>
      <c r="C125" s="551"/>
      <c r="D125" s="551"/>
      <c r="E125" s="176"/>
      <c r="F125" s="176"/>
      <c r="G125" s="552" t="s">
        <v>15</v>
      </c>
      <c r="H125" s="552">
        <f>ROUNDUP(H124,1)</f>
        <v>28.3</v>
      </c>
    </row>
    <row r="126" spans="1:8" ht="19.899999999999999" customHeight="1">
      <c r="A126" s="551">
        <f>A118+1</f>
        <v>17</v>
      </c>
      <c r="B126" s="1570" t="s">
        <v>506</v>
      </c>
      <c r="C126" s="1571"/>
      <c r="D126" s="1571"/>
      <c r="E126" s="1571"/>
      <c r="F126" s="1571"/>
      <c r="G126" s="1572"/>
      <c r="H126" s="176"/>
    </row>
    <row r="127" spans="1:8" ht="19.899999999999999" customHeight="1">
      <c r="A127" s="551"/>
      <c r="B127" s="554" t="s">
        <v>329</v>
      </c>
      <c r="C127" s="551"/>
      <c r="D127" s="551"/>
      <c r="E127" s="176"/>
      <c r="F127" s="176"/>
      <c r="G127" s="176"/>
      <c r="H127" s="176"/>
    </row>
    <row r="128" spans="1:8" ht="19.899999999999999" customHeight="1">
      <c r="A128" s="551"/>
      <c r="B128" s="554" t="s">
        <v>331</v>
      </c>
      <c r="C128" s="551">
        <v>1</v>
      </c>
      <c r="D128" s="551">
        <v>1</v>
      </c>
      <c r="E128" s="176">
        <v>68.459999999999994</v>
      </c>
      <c r="F128" s="176" t="s">
        <v>36</v>
      </c>
      <c r="G128" s="176">
        <v>0.15</v>
      </c>
      <c r="H128" s="176">
        <f>PRODUCT(C128:G128)</f>
        <v>10.268999999999998</v>
      </c>
    </row>
    <row r="129" spans="1:8" ht="19.899999999999999" customHeight="1">
      <c r="A129" s="551"/>
      <c r="B129" s="554" t="s">
        <v>332</v>
      </c>
      <c r="C129" s="551">
        <v>1</v>
      </c>
      <c r="D129" s="551">
        <v>1</v>
      </c>
      <c r="E129" s="176">
        <v>66.62</v>
      </c>
      <c r="F129" s="176" t="s">
        <v>36</v>
      </c>
      <c r="G129" s="176">
        <v>0.15</v>
      </c>
      <c r="H129" s="176">
        <f>PRODUCT(C129:G129)</f>
        <v>9.9930000000000003</v>
      </c>
    </row>
    <row r="130" spans="1:8" ht="19.899999999999999" customHeight="1">
      <c r="A130" s="551"/>
      <c r="B130" s="554" t="s">
        <v>355</v>
      </c>
      <c r="C130" s="551">
        <v>1</v>
      </c>
      <c r="D130" s="551">
        <v>1</v>
      </c>
      <c r="E130" s="176">
        <v>68.459999999999994</v>
      </c>
      <c r="F130" s="176">
        <v>0.23</v>
      </c>
      <c r="G130" s="176" t="s">
        <v>36</v>
      </c>
      <c r="H130" s="176">
        <f>PRODUCT(C130:G130)</f>
        <v>15.745799999999999</v>
      </c>
    </row>
    <row r="131" spans="1:8" ht="19.899999999999999" customHeight="1">
      <c r="A131" s="551"/>
      <c r="B131" s="554" t="s">
        <v>336</v>
      </c>
      <c r="C131" s="551">
        <v>2</v>
      </c>
      <c r="D131" s="551">
        <v>2</v>
      </c>
      <c r="E131" s="176">
        <v>0.92</v>
      </c>
      <c r="F131" s="176" t="s">
        <v>36</v>
      </c>
      <c r="G131" s="542">
        <v>0.3</v>
      </c>
      <c r="H131" s="176">
        <f>PRODUCT(C131:G131)</f>
        <v>1.1040000000000001</v>
      </c>
    </row>
    <row r="132" spans="1:8" ht="19.899999999999999" customHeight="1">
      <c r="A132" s="551"/>
      <c r="B132" s="554" t="s">
        <v>337</v>
      </c>
      <c r="C132" s="551">
        <v>2</v>
      </c>
      <c r="D132" s="551">
        <v>2</v>
      </c>
      <c r="E132" s="176">
        <v>0.92</v>
      </c>
      <c r="F132" s="176" t="s">
        <v>36</v>
      </c>
      <c r="G132" s="542">
        <v>0.38</v>
      </c>
      <c r="H132" s="176">
        <f t="shared" ref="H132:H143" si="2">PRODUCT(C132:G132)</f>
        <v>1.3984000000000001</v>
      </c>
    </row>
    <row r="133" spans="1:8" ht="19.899999999999999" customHeight="1">
      <c r="A133" s="551"/>
      <c r="B133" s="554" t="s">
        <v>338</v>
      </c>
      <c r="C133" s="551">
        <v>2</v>
      </c>
      <c r="D133" s="551">
        <v>2</v>
      </c>
      <c r="E133" s="176">
        <v>0.92</v>
      </c>
      <c r="F133" s="176" t="s">
        <v>36</v>
      </c>
      <c r="G133" s="542">
        <v>0.46500000000000002</v>
      </c>
      <c r="H133" s="176">
        <f t="shared" si="2"/>
        <v>1.7112000000000001</v>
      </c>
    </row>
    <row r="134" spans="1:8" ht="19.899999999999999" customHeight="1">
      <c r="A134" s="551"/>
      <c r="B134" s="554" t="s">
        <v>339</v>
      </c>
      <c r="C134" s="551">
        <v>2</v>
      </c>
      <c r="D134" s="551">
        <v>2</v>
      </c>
      <c r="E134" s="176">
        <v>0.92</v>
      </c>
      <c r="F134" s="176" t="s">
        <v>36</v>
      </c>
      <c r="G134" s="542">
        <v>0.54500000000000004</v>
      </c>
      <c r="H134" s="176">
        <f t="shared" si="2"/>
        <v>2.0056000000000003</v>
      </c>
    </row>
    <row r="135" spans="1:8" ht="19.899999999999999" customHeight="1">
      <c r="A135" s="551"/>
      <c r="B135" s="554" t="s">
        <v>340</v>
      </c>
      <c r="C135" s="551">
        <v>2</v>
      </c>
      <c r="D135" s="551">
        <v>2</v>
      </c>
      <c r="E135" s="176">
        <v>0.92</v>
      </c>
      <c r="F135" s="176" t="s">
        <v>36</v>
      </c>
      <c r="G135" s="542">
        <v>0.63</v>
      </c>
      <c r="H135" s="176">
        <f t="shared" si="2"/>
        <v>2.3184</v>
      </c>
    </row>
    <row r="136" spans="1:8" ht="19.899999999999999" customHeight="1">
      <c r="A136" s="551"/>
      <c r="B136" s="554" t="s">
        <v>341</v>
      </c>
      <c r="C136" s="551">
        <v>2</v>
      </c>
      <c r="D136" s="551">
        <v>2</v>
      </c>
      <c r="E136" s="176">
        <v>0.92</v>
      </c>
      <c r="F136" s="176" t="s">
        <v>36</v>
      </c>
      <c r="G136" s="542">
        <v>0.71</v>
      </c>
      <c r="H136" s="176">
        <f t="shared" si="2"/>
        <v>2.6128</v>
      </c>
    </row>
    <row r="137" spans="1:8" ht="19.899999999999999" customHeight="1">
      <c r="A137" s="551"/>
      <c r="B137" s="554" t="s">
        <v>342</v>
      </c>
      <c r="C137" s="551">
        <v>2</v>
      </c>
      <c r="D137" s="551">
        <v>2</v>
      </c>
      <c r="E137" s="176">
        <v>0.92</v>
      </c>
      <c r="F137" s="176" t="s">
        <v>36</v>
      </c>
      <c r="G137" s="542">
        <v>0.79</v>
      </c>
      <c r="H137" s="176">
        <f t="shared" si="2"/>
        <v>2.9072000000000005</v>
      </c>
    </row>
    <row r="138" spans="1:8" ht="19.899999999999999" customHeight="1">
      <c r="A138" s="551"/>
      <c r="B138" s="554" t="s">
        <v>343</v>
      </c>
      <c r="C138" s="551">
        <v>2</v>
      </c>
      <c r="D138" s="551">
        <v>2</v>
      </c>
      <c r="E138" s="176">
        <v>0.92</v>
      </c>
      <c r="F138" s="176" t="s">
        <v>36</v>
      </c>
      <c r="G138" s="542">
        <v>0.875</v>
      </c>
      <c r="H138" s="176">
        <f t="shared" si="2"/>
        <v>3.22</v>
      </c>
    </row>
    <row r="139" spans="1:8" ht="19.899999999999999" customHeight="1">
      <c r="A139" s="551"/>
      <c r="B139" s="554" t="s">
        <v>344</v>
      </c>
      <c r="C139" s="551">
        <v>2</v>
      </c>
      <c r="D139" s="551">
        <v>2</v>
      </c>
      <c r="E139" s="176">
        <v>0.92</v>
      </c>
      <c r="F139" s="176" t="s">
        <v>36</v>
      </c>
      <c r="G139" s="542">
        <v>0.95499999999999996</v>
      </c>
      <c r="H139" s="176">
        <f t="shared" si="2"/>
        <v>3.5144000000000002</v>
      </c>
    </row>
    <row r="140" spans="1:8" ht="19.899999999999999" customHeight="1">
      <c r="A140" s="551"/>
      <c r="B140" s="554" t="s">
        <v>345</v>
      </c>
      <c r="C140" s="551">
        <v>2</v>
      </c>
      <c r="D140" s="551">
        <v>2</v>
      </c>
      <c r="E140" s="176">
        <v>0.92</v>
      </c>
      <c r="F140" s="176" t="s">
        <v>36</v>
      </c>
      <c r="G140" s="542">
        <v>1.0349999999999999</v>
      </c>
      <c r="H140" s="176">
        <f t="shared" si="2"/>
        <v>3.8087999999999997</v>
      </c>
    </row>
    <row r="141" spans="1:8" ht="19.899999999999999" customHeight="1">
      <c r="A141" s="551"/>
      <c r="B141" s="554" t="s">
        <v>346</v>
      </c>
      <c r="C141" s="551">
        <v>2</v>
      </c>
      <c r="D141" s="551">
        <v>2</v>
      </c>
      <c r="E141" s="176">
        <v>0.92</v>
      </c>
      <c r="F141" s="176" t="s">
        <v>36</v>
      </c>
      <c r="G141" s="542">
        <v>1.1200000000000001</v>
      </c>
      <c r="H141" s="176">
        <f t="shared" si="2"/>
        <v>4.1216000000000008</v>
      </c>
    </row>
    <row r="142" spans="1:8" ht="19.899999999999999" customHeight="1">
      <c r="A142" s="551"/>
      <c r="B142" s="554" t="s">
        <v>347</v>
      </c>
      <c r="C142" s="551">
        <v>2</v>
      </c>
      <c r="D142" s="551">
        <v>2</v>
      </c>
      <c r="E142" s="176">
        <v>0.92</v>
      </c>
      <c r="F142" s="176" t="s">
        <v>36</v>
      </c>
      <c r="G142" s="542">
        <v>1.2</v>
      </c>
      <c r="H142" s="176">
        <f t="shared" si="2"/>
        <v>4.4160000000000004</v>
      </c>
    </row>
    <row r="143" spans="1:8" ht="19.899999999999999" customHeight="1">
      <c r="A143" s="551"/>
      <c r="B143" s="554" t="s">
        <v>348</v>
      </c>
      <c r="C143" s="551">
        <v>1</v>
      </c>
      <c r="D143" s="551">
        <v>2</v>
      </c>
      <c r="E143" s="176">
        <v>0.92</v>
      </c>
      <c r="F143" s="176" t="s">
        <v>36</v>
      </c>
      <c r="G143" s="542">
        <v>1.24</v>
      </c>
      <c r="H143" s="176">
        <f t="shared" si="2"/>
        <v>2.2816000000000001</v>
      </c>
    </row>
    <row r="144" spans="1:8" ht="19.899999999999999" customHeight="1">
      <c r="A144" s="551"/>
      <c r="B144" s="554"/>
      <c r="C144" s="551"/>
      <c r="D144" s="551"/>
      <c r="E144" s="176"/>
      <c r="F144" s="176"/>
      <c r="G144" s="176" t="s">
        <v>57</v>
      </c>
      <c r="H144" s="176">
        <f>SUM(H128:H143)</f>
        <v>71.427799999999991</v>
      </c>
    </row>
    <row r="145" spans="1:8" ht="19.899999999999999" customHeight="1">
      <c r="A145" s="551"/>
      <c r="B145" s="554"/>
      <c r="C145" s="551"/>
      <c r="D145" s="551"/>
      <c r="E145" s="176"/>
      <c r="F145" s="176"/>
      <c r="G145" s="552" t="s">
        <v>15</v>
      </c>
      <c r="H145" s="552">
        <f>ROUNDUP(H144,1)</f>
        <v>71.5</v>
      </c>
    </row>
    <row r="146" spans="1:8" s="240" customFormat="1" ht="34.9" customHeight="1">
      <c r="A146" s="383">
        <f>A126+1</f>
        <v>18</v>
      </c>
      <c r="B146" s="1576" t="s">
        <v>1323</v>
      </c>
      <c r="C146" s="1577"/>
      <c r="D146" s="1577"/>
      <c r="E146" s="1577"/>
      <c r="F146" s="1577"/>
      <c r="G146" s="1578"/>
      <c r="H146" s="264"/>
    </row>
    <row r="147" spans="1:8" ht="19.899999999999999" customHeight="1">
      <c r="A147" s="551"/>
      <c r="B147" s="554" t="s">
        <v>363</v>
      </c>
      <c r="C147" s="551">
        <v>1</v>
      </c>
      <c r="D147" s="551">
        <v>25</v>
      </c>
      <c r="E147" s="176">
        <v>4</v>
      </c>
      <c r="F147" s="176" t="s">
        <v>36</v>
      </c>
      <c r="G147" s="176" t="s">
        <v>36</v>
      </c>
      <c r="H147" s="176">
        <f>PRODUCT(C147:G147)</f>
        <v>100</v>
      </c>
    </row>
    <row r="148" spans="1:8" ht="19.899999999999999" customHeight="1">
      <c r="A148" s="551"/>
      <c r="B148" s="554"/>
      <c r="C148" s="551"/>
      <c r="D148" s="551"/>
      <c r="E148" s="176"/>
      <c r="F148" s="176"/>
      <c r="G148" s="552" t="s">
        <v>57</v>
      </c>
      <c r="H148" s="552">
        <f>SUM(H147:H147)</f>
        <v>100</v>
      </c>
    </row>
    <row r="149" spans="1:8" ht="19.899999999999999" customHeight="1">
      <c r="A149" s="551">
        <f>A146+1</f>
        <v>19</v>
      </c>
      <c r="B149" s="554" t="s">
        <v>1539</v>
      </c>
      <c r="C149" s="551"/>
      <c r="D149" s="551"/>
      <c r="E149" s="176"/>
      <c r="F149" s="176"/>
      <c r="G149" s="176"/>
      <c r="H149" s="176"/>
    </row>
    <row r="150" spans="1:8" ht="19.899999999999999" customHeight="1">
      <c r="A150" s="551"/>
      <c r="B150" s="554" t="s">
        <v>363</v>
      </c>
      <c r="C150" s="551">
        <v>1</v>
      </c>
      <c r="D150" s="551">
        <v>25</v>
      </c>
      <c r="E150" s="176">
        <v>3.14</v>
      </c>
      <c r="F150" s="547">
        <v>0.05</v>
      </c>
      <c r="G150" s="176">
        <v>3.54</v>
      </c>
      <c r="H150" s="176">
        <f>PRODUCT(C150:G150)</f>
        <v>13.894500000000001</v>
      </c>
    </row>
    <row r="151" spans="1:8" ht="19.899999999999999" customHeight="1">
      <c r="A151" s="551"/>
      <c r="B151" s="554"/>
      <c r="C151" s="551"/>
      <c r="D151" s="551"/>
      <c r="E151" s="176"/>
      <c r="F151" s="176"/>
      <c r="G151" s="176" t="s">
        <v>57</v>
      </c>
      <c r="H151" s="176">
        <f>SUM(H150:H150)</f>
        <v>13.894500000000001</v>
      </c>
    </row>
    <row r="152" spans="1:8" ht="19.899999999999999" customHeight="1">
      <c r="A152" s="551"/>
      <c r="B152" s="554"/>
      <c r="C152" s="551"/>
      <c r="D152" s="551"/>
      <c r="E152" s="176"/>
      <c r="F152" s="176"/>
      <c r="G152" s="552" t="s">
        <v>15</v>
      </c>
      <c r="H152" s="552">
        <f>ROUNDUP(H151,1)</f>
        <v>13.9</v>
      </c>
    </row>
    <row r="153" spans="1:8" ht="19.899999999999999" customHeight="1">
      <c r="A153" s="556"/>
      <c r="B153" s="556"/>
      <c r="C153" s="556"/>
      <c r="D153" s="556"/>
      <c r="E153" s="556"/>
      <c r="F153" s="556"/>
      <c r="G153" s="556"/>
      <c r="H153" s="556"/>
    </row>
  </sheetData>
  <mergeCells count="22">
    <mergeCell ref="B146:G146"/>
    <mergeCell ref="B73:G73"/>
    <mergeCell ref="B105:G105"/>
    <mergeCell ref="B109:G109"/>
    <mergeCell ref="B118:G118"/>
    <mergeCell ref="B126:G126"/>
    <mergeCell ref="A2:H2"/>
    <mergeCell ref="A1:H1"/>
    <mergeCell ref="C112:F112"/>
    <mergeCell ref="A3:H3"/>
    <mergeCell ref="A4:A5"/>
    <mergeCell ref="B4:B5"/>
    <mergeCell ref="C4:D5"/>
    <mergeCell ref="E4:G4"/>
    <mergeCell ref="H4:H5"/>
    <mergeCell ref="B6:G6"/>
    <mergeCell ref="B17:G17"/>
    <mergeCell ref="B24:G24"/>
    <mergeCell ref="B29:G29"/>
    <mergeCell ref="B33:G33"/>
    <mergeCell ref="B58:G58"/>
    <mergeCell ref="B63:G63"/>
  </mergeCells>
  <pageMargins left="0.7" right="0.7" top="0.75" bottom="0.5" header="0.3" footer="0.3"/>
  <pageSetup paperSize="256" orientation="portrait" horizontalDpi="300" verticalDpi="300" r:id="rId1"/>
  <headerFooter>
    <oddHeader>Page &amp;P</oddHeader>
  </headerFooter>
</worksheet>
</file>

<file path=xl/worksheets/sheet24.xml><?xml version="1.0" encoding="utf-8"?>
<worksheet xmlns="http://schemas.openxmlformats.org/spreadsheetml/2006/main" xmlns:r="http://schemas.openxmlformats.org/officeDocument/2006/relationships">
  <dimension ref="A1:P40"/>
  <sheetViews>
    <sheetView topLeftCell="A29" workbookViewId="0">
      <selection activeCell="B22" sqref="B22:G22"/>
    </sheetView>
  </sheetViews>
  <sheetFormatPr defaultColWidth="7.44140625" defaultRowHeight="15"/>
  <cols>
    <col min="1" max="1" width="4.6640625" style="349" customWidth="1"/>
    <col min="2" max="2" width="24.44140625" style="326" customWidth="1"/>
    <col min="3" max="5" width="3.21875" style="349" customWidth="1"/>
    <col min="6" max="9" width="7.6640625" style="361" customWidth="1"/>
    <col min="10" max="10" width="4.109375" style="367" bestFit="1" customWidth="1"/>
    <col min="11" max="16384" width="7.44140625" style="326"/>
  </cols>
  <sheetData>
    <row r="1" spans="1:14" ht="18.75">
      <c r="A1" s="1597" t="s">
        <v>597</v>
      </c>
      <c r="B1" s="1597"/>
      <c r="C1" s="1597"/>
      <c r="D1" s="1597"/>
      <c r="E1" s="1597"/>
      <c r="F1" s="1597"/>
      <c r="G1" s="1597"/>
      <c r="H1" s="1597"/>
      <c r="I1" s="1597"/>
      <c r="J1" s="1597"/>
    </row>
    <row r="2" spans="1:14" ht="10.15" customHeight="1">
      <c r="A2" s="1598"/>
      <c r="B2" s="1598"/>
      <c r="C2" s="350"/>
      <c r="D2" s="350"/>
      <c r="E2" s="350"/>
      <c r="F2" s="351"/>
      <c r="G2" s="351"/>
      <c r="H2" s="351"/>
      <c r="I2" s="351"/>
      <c r="J2" s="362"/>
    </row>
    <row r="3" spans="1:14" ht="40.15" customHeight="1">
      <c r="A3" s="1604" t="str">
        <f>'Septic Tank'!A5:H5</f>
        <v>CONSTRUCTION OF NEW POLICE STATION BUILDING WITH DEVELOPMENT WORK IN  REGUNATHAPURAM IN PUDUKKOTTAI DISRICT.</v>
      </c>
      <c r="B3" s="1604"/>
      <c r="C3" s="1604"/>
      <c r="D3" s="1604"/>
      <c r="E3" s="1604"/>
      <c r="F3" s="1604"/>
      <c r="G3" s="1604"/>
      <c r="H3" s="1604"/>
      <c r="I3" s="1604"/>
      <c r="J3" s="1604"/>
    </row>
    <row r="4" spans="1:14" ht="10.15" customHeight="1">
      <c r="A4" s="327"/>
      <c r="B4" s="327"/>
      <c r="C4" s="327"/>
      <c r="D4" s="327"/>
      <c r="E4" s="327"/>
      <c r="F4" s="352"/>
      <c r="G4" s="352"/>
      <c r="H4" s="352"/>
      <c r="I4" s="353"/>
      <c r="J4" s="363"/>
    </row>
    <row r="5" spans="1:14">
      <c r="A5" s="1599" t="s">
        <v>211</v>
      </c>
      <c r="B5" s="1600" t="s">
        <v>364</v>
      </c>
      <c r="C5" s="1600" t="s">
        <v>365</v>
      </c>
      <c r="D5" s="1600"/>
      <c r="E5" s="1600"/>
      <c r="F5" s="1601" t="s">
        <v>366</v>
      </c>
      <c r="G5" s="1601"/>
      <c r="H5" s="1601"/>
      <c r="I5" s="1602" t="s">
        <v>367</v>
      </c>
      <c r="J5" s="1603" t="s">
        <v>215</v>
      </c>
    </row>
    <row r="6" spans="1:14">
      <c r="A6" s="1599"/>
      <c r="B6" s="1600"/>
      <c r="C6" s="1600"/>
      <c r="D6" s="1600"/>
      <c r="E6" s="1600"/>
      <c r="F6" s="1601" t="s">
        <v>5</v>
      </c>
      <c r="G6" s="1601" t="s">
        <v>205</v>
      </c>
      <c r="H6" s="1602" t="s">
        <v>368</v>
      </c>
      <c r="I6" s="1602"/>
      <c r="J6" s="1603"/>
      <c r="L6" s="328"/>
      <c r="M6" s="329"/>
      <c r="N6" s="328"/>
    </row>
    <row r="7" spans="1:14">
      <c r="A7" s="1599"/>
      <c r="B7" s="1600"/>
      <c r="C7" s="1600"/>
      <c r="D7" s="1600"/>
      <c r="E7" s="1600"/>
      <c r="F7" s="1601"/>
      <c r="G7" s="1601"/>
      <c r="H7" s="1602"/>
      <c r="I7" s="1602"/>
      <c r="J7" s="1603"/>
      <c r="L7" s="328"/>
      <c r="M7" s="329"/>
      <c r="N7" s="328"/>
    </row>
    <row r="8" spans="1:14">
      <c r="A8" s="330">
        <v>1</v>
      </c>
      <c r="B8" s="330">
        <v>2</v>
      </c>
      <c r="C8" s="1591">
        <v>3</v>
      </c>
      <c r="D8" s="1591"/>
      <c r="E8" s="1591"/>
      <c r="F8" s="354">
        <v>4</v>
      </c>
      <c r="G8" s="354">
        <v>5</v>
      </c>
      <c r="H8" s="354">
        <v>6</v>
      </c>
      <c r="I8" s="354">
        <v>7</v>
      </c>
      <c r="J8" s="364">
        <v>8</v>
      </c>
      <c r="L8" s="329"/>
      <c r="M8" s="329"/>
      <c r="N8" s="328"/>
    </row>
    <row r="9" spans="1:14" ht="34.9" customHeight="1">
      <c r="A9" s="331">
        <v>1</v>
      </c>
      <c r="B9" s="1585" t="s">
        <v>619</v>
      </c>
      <c r="C9" s="1586"/>
      <c r="D9" s="1586"/>
      <c r="E9" s="1586"/>
      <c r="F9" s="1586"/>
      <c r="G9" s="1586"/>
      <c r="H9" s="1587"/>
      <c r="I9" s="355"/>
      <c r="J9" s="365"/>
    </row>
    <row r="10" spans="1:14" ht="19.899999999999999" customHeight="1">
      <c r="A10" s="331"/>
      <c r="B10" s="332" t="s">
        <v>620</v>
      </c>
      <c r="C10" s="330"/>
      <c r="D10" s="330"/>
      <c r="E10" s="330"/>
      <c r="F10" s="356"/>
      <c r="G10" s="356"/>
      <c r="H10" s="356"/>
      <c r="I10" s="356"/>
      <c r="J10" s="366"/>
    </row>
    <row r="11" spans="1:14" ht="19.899999999999999" customHeight="1">
      <c r="A11" s="331"/>
      <c r="B11" s="332" t="s">
        <v>586</v>
      </c>
      <c r="C11" s="330">
        <v>1</v>
      </c>
      <c r="D11" s="330" t="s">
        <v>266</v>
      </c>
      <c r="E11" s="330">
        <v>1</v>
      </c>
      <c r="F11" s="356">
        <v>124</v>
      </c>
      <c r="G11" s="356">
        <v>1.7</v>
      </c>
      <c r="H11" s="356">
        <v>1.5</v>
      </c>
      <c r="I11" s="125">
        <f>ROUND(PRODUCT(C11:H11),2)</f>
        <v>316.2</v>
      </c>
      <c r="J11" s="366"/>
    </row>
    <row r="12" spans="1:14" ht="19.899999999999999" customHeight="1">
      <c r="A12" s="331"/>
      <c r="B12" s="332" t="s">
        <v>234</v>
      </c>
      <c r="C12" s="330"/>
      <c r="D12" s="330"/>
      <c r="E12" s="330"/>
      <c r="F12" s="356"/>
      <c r="G12" s="356"/>
      <c r="H12" s="356"/>
      <c r="I12" s="368"/>
      <c r="J12" s="366"/>
    </row>
    <row r="13" spans="1:14" ht="19.899999999999999" customHeight="1">
      <c r="A13" s="331"/>
      <c r="B13" s="332"/>
      <c r="C13" s="330"/>
      <c r="D13" s="330"/>
      <c r="E13" s="330"/>
      <c r="F13" s="356"/>
      <c r="G13" s="356"/>
      <c r="H13" s="355" t="s">
        <v>57</v>
      </c>
      <c r="I13" s="358">
        <f>SUM(I11:I12)</f>
        <v>316.2</v>
      </c>
      <c r="J13" s="366" t="s">
        <v>595</v>
      </c>
      <c r="K13" s="334"/>
    </row>
    <row r="14" spans="1:14" ht="34.9" customHeight="1">
      <c r="A14" s="331">
        <v>2</v>
      </c>
      <c r="B14" s="1594" t="s">
        <v>621</v>
      </c>
      <c r="C14" s="1595"/>
      <c r="D14" s="1595"/>
      <c r="E14" s="1595"/>
      <c r="F14" s="1595"/>
      <c r="G14" s="1595"/>
      <c r="H14" s="1596"/>
      <c r="I14" s="358"/>
      <c r="J14" s="366"/>
      <c r="K14" s="334"/>
    </row>
    <row r="15" spans="1:14" ht="19.899999999999999" customHeight="1">
      <c r="A15" s="331"/>
      <c r="B15" s="335" t="s">
        <v>598</v>
      </c>
      <c r="C15" s="330"/>
      <c r="D15" s="330"/>
      <c r="E15" s="330"/>
      <c r="F15" s="356"/>
      <c r="G15" s="356"/>
      <c r="H15" s="355"/>
      <c r="I15" s="358"/>
      <c r="J15" s="366"/>
      <c r="K15" s="334"/>
    </row>
    <row r="16" spans="1:14" ht="19.899999999999999" customHeight="1">
      <c r="A16" s="331"/>
      <c r="B16" s="332" t="s">
        <v>586</v>
      </c>
      <c r="C16" s="330">
        <v>1</v>
      </c>
      <c r="D16" s="330" t="s">
        <v>266</v>
      </c>
      <c r="E16" s="330">
        <v>1</v>
      </c>
      <c r="F16" s="356">
        <f>F11</f>
        <v>124</v>
      </c>
      <c r="G16" s="356">
        <v>1.5</v>
      </c>
      <c r="H16" s="356">
        <v>0.2</v>
      </c>
      <c r="I16" s="125">
        <f>ROUND(PRODUCT(C16:H16),2)</f>
        <v>37.200000000000003</v>
      </c>
      <c r="J16" s="366"/>
    </row>
    <row r="17" spans="1:16" ht="19.899999999999999" customHeight="1">
      <c r="A17" s="331"/>
      <c r="B17" s="332"/>
      <c r="C17" s="330"/>
      <c r="D17" s="330"/>
      <c r="E17" s="330"/>
      <c r="F17" s="356"/>
      <c r="G17" s="356"/>
      <c r="H17" s="355" t="s">
        <v>57</v>
      </c>
      <c r="I17" s="358">
        <f>SUM(I16:I16)</f>
        <v>37.200000000000003</v>
      </c>
      <c r="J17" s="366" t="s">
        <v>595</v>
      </c>
      <c r="K17" s="334"/>
    </row>
    <row r="18" spans="1:16" ht="34.9" customHeight="1">
      <c r="A18" s="331">
        <v>3</v>
      </c>
      <c r="B18" s="1585" t="s">
        <v>622</v>
      </c>
      <c r="C18" s="1586"/>
      <c r="D18" s="1586"/>
      <c r="E18" s="1586"/>
      <c r="F18" s="1586"/>
      <c r="G18" s="1586"/>
      <c r="H18" s="1587"/>
      <c r="I18" s="356"/>
      <c r="J18" s="366"/>
      <c r="K18" s="334"/>
    </row>
    <row r="19" spans="1:16" ht="19.899999999999999" customHeight="1">
      <c r="A19" s="331"/>
      <c r="B19" s="332" t="s">
        <v>586</v>
      </c>
      <c r="C19" s="330">
        <v>1</v>
      </c>
      <c r="D19" s="330" t="s">
        <v>266</v>
      </c>
      <c r="E19" s="330">
        <v>1</v>
      </c>
      <c r="F19" s="356">
        <f>F16</f>
        <v>124</v>
      </c>
      <c r="G19" s="356">
        <f>G16</f>
        <v>1.5</v>
      </c>
      <c r="H19" s="356">
        <v>0.1</v>
      </c>
      <c r="I19" s="125">
        <f>ROUND(PRODUCT(C19:H19),2)</f>
        <v>18.600000000000001</v>
      </c>
      <c r="J19" s="366"/>
      <c r="K19" s="334"/>
    </row>
    <row r="20" spans="1:16" ht="19.899999999999999" customHeight="1">
      <c r="A20" s="331"/>
      <c r="B20" s="332"/>
      <c r="C20" s="330"/>
      <c r="D20" s="330"/>
      <c r="E20" s="330"/>
      <c r="F20" s="356"/>
      <c r="G20" s="356"/>
      <c r="H20" s="356"/>
      <c r="I20" s="125"/>
      <c r="J20" s="366"/>
      <c r="K20" s="334"/>
    </row>
    <row r="21" spans="1:16" ht="19.899999999999999" customHeight="1">
      <c r="A21" s="331"/>
      <c r="B21" s="332"/>
      <c r="C21" s="330"/>
      <c r="D21" s="330"/>
      <c r="E21" s="330"/>
      <c r="F21" s="356"/>
      <c r="G21" s="356"/>
      <c r="H21" s="355" t="s">
        <v>57</v>
      </c>
      <c r="I21" s="358">
        <f>SUM(I19:I20)</f>
        <v>18.600000000000001</v>
      </c>
      <c r="J21" s="366" t="s">
        <v>595</v>
      </c>
      <c r="K21" s="334"/>
      <c r="N21" s="336"/>
      <c r="P21" s="336"/>
    </row>
    <row r="22" spans="1:16" ht="34.9" customHeight="1">
      <c r="A22" s="331">
        <v>4</v>
      </c>
      <c r="B22" s="1585" t="s">
        <v>623</v>
      </c>
      <c r="C22" s="1586"/>
      <c r="D22" s="1586"/>
      <c r="E22" s="1586"/>
      <c r="F22" s="1586"/>
      <c r="G22" s="1586"/>
      <c r="H22" s="1587"/>
      <c r="I22" s="355"/>
      <c r="J22" s="365"/>
    </row>
    <row r="23" spans="1:16" ht="19.899999999999999" customHeight="1">
      <c r="A23" s="331"/>
      <c r="B23" s="1588" t="s">
        <v>624</v>
      </c>
      <c r="C23" s="1589"/>
      <c r="D23" s="1589"/>
      <c r="E23" s="1589"/>
      <c r="F23" s="1589"/>
      <c r="G23" s="1589"/>
      <c r="H23" s="1590"/>
      <c r="I23" s="355"/>
      <c r="J23" s="365"/>
    </row>
    <row r="24" spans="1:16" ht="19.899999999999999" customHeight="1">
      <c r="A24" s="331"/>
      <c r="B24" s="337" t="s">
        <v>590</v>
      </c>
      <c r="C24" s="330">
        <v>1</v>
      </c>
      <c r="D24" s="330" t="s">
        <v>266</v>
      </c>
      <c r="E24" s="330">
        <v>2</v>
      </c>
      <c r="F24" s="356">
        <f>F19</f>
        <v>124</v>
      </c>
      <c r="G24" s="333" t="s">
        <v>36</v>
      </c>
      <c r="H24" s="356">
        <v>0.2</v>
      </c>
      <c r="I24" s="125">
        <f>ROUND(PRODUCT(C24:H24),2)</f>
        <v>49.6</v>
      </c>
      <c r="J24" s="365"/>
    </row>
    <row r="25" spans="1:16" ht="19.899999999999999" customHeight="1">
      <c r="A25" s="331"/>
      <c r="B25" s="332" t="s">
        <v>591</v>
      </c>
      <c r="C25" s="330">
        <v>1</v>
      </c>
      <c r="D25" s="330" t="s">
        <v>266</v>
      </c>
      <c r="E25" s="330">
        <v>2</v>
      </c>
      <c r="F25" s="356">
        <f>F24</f>
        <v>124</v>
      </c>
      <c r="G25" s="333" t="s">
        <v>36</v>
      </c>
      <c r="H25" s="356">
        <v>3</v>
      </c>
      <c r="I25" s="125">
        <f>ROUND(PRODUCT(C25:H25),2)</f>
        <v>744</v>
      </c>
      <c r="J25" s="365"/>
    </row>
    <row r="26" spans="1:16" ht="19.899999999999999" customHeight="1">
      <c r="A26" s="331"/>
      <c r="B26" s="332" t="s">
        <v>275</v>
      </c>
      <c r="C26" s="330">
        <v>1</v>
      </c>
      <c r="D26" s="330" t="s">
        <v>266</v>
      </c>
      <c r="E26" s="330">
        <v>2</v>
      </c>
      <c r="F26" s="356">
        <v>1.2</v>
      </c>
      <c r="G26" s="333" t="s">
        <v>36</v>
      </c>
      <c r="H26" s="356">
        <v>1.2</v>
      </c>
      <c r="I26" s="125">
        <f>ROUND(PRODUCT(C26:H26),2)</f>
        <v>2.88</v>
      </c>
      <c r="J26" s="365"/>
    </row>
    <row r="27" spans="1:16" ht="19.899999999999999" customHeight="1">
      <c r="A27" s="331"/>
      <c r="B27" s="332" t="s">
        <v>275</v>
      </c>
      <c r="C27" s="330">
        <v>1</v>
      </c>
      <c r="D27" s="330" t="s">
        <v>266</v>
      </c>
      <c r="E27" s="330">
        <v>2</v>
      </c>
      <c r="F27" s="1592" t="s">
        <v>589</v>
      </c>
      <c r="G27" s="1593"/>
      <c r="H27" s="356">
        <v>1.8</v>
      </c>
      <c r="I27" s="368">
        <f>C27*E27*K27*H27</f>
        <v>2.5920000000000001</v>
      </c>
      <c r="J27" s="365"/>
      <c r="K27" s="336">
        <f>ROUND((1.2+0.23)/2,2)</f>
        <v>0.72</v>
      </c>
    </row>
    <row r="28" spans="1:16" ht="19.899999999999999" customHeight="1">
      <c r="A28" s="331"/>
      <c r="B28" s="332" t="s">
        <v>234</v>
      </c>
      <c r="C28" s="330"/>
      <c r="D28" s="330"/>
      <c r="E28" s="330"/>
      <c r="F28" s="356"/>
      <c r="G28" s="356"/>
      <c r="H28" s="356"/>
      <c r="I28" s="356">
        <v>0.03</v>
      </c>
      <c r="J28" s="365"/>
    </row>
    <row r="29" spans="1:16" ht="19.899999999999999" customHeight="1">
      <c r="A29" s="331"/>
      <c r="B29" s="332"/>
      <c r="C29" s="330"/>
      <c r="D29" s="330"/>
      <c r="E29" s="330"/>
      <c r="F29" s="356"/>
      <c r="G29" s="356"/>
      <c r="H29" s="355" t="s">
        <v>57</v>
      </c>
      <c r="I29" s="358">
        <f>SUM(I24:I28)</f>
        <v>799.10199999999998</v>
      </c>
      <c r="J29" s="366" t="s">
        <v>596</v>
      </c>
    </row>
    <row r="30" spans="1:16" ht="34.9" customHeight="1">
      <c r="A30" s="331">
        <v>5</v>
      </c>
      <c r="B30" s="1585" t="s">
        <v>626</v>
      </c>
      <c r="C30" s="1586"/>
      <c r="D30" s="1586"/>
      <c r="E30" s="1586"/>
      <c r="F30" s="1586"/>
      <c r="G30" s="1586"/>
      <c r="H30" s="1587"/>
      <c r="I30" s="355"/>
      <c r="J30" s="365"/>
    </row>
    <row r="31" spans="1:16" ht="19.899999999999999" customHeight="1">
      <c r="A31" s="331"/>
      <c r="B31" s="332" t="s">
        <v>587</v>
      </c>
      <c r="C31" s="330">
        <v>1</v>
      </c>
      <c r="D31" s="330" t="s">
        <v>266</v>
      </c>
      <c r="E31" s="330">
        <v>1</v>
      </c>
      <c r="F31" s="356">
        <f>F24</f>
        <v>124</v>
      </c>
      <c r="G31" s="356">
        <v>1.2</v>
      </c>
      <c r="H31" s="356">
        <v>1.2</v>
      </c>
      <c r="I31" s="125">
        <f>ROUND(PRODUCT(C31:H31),2)</f>
        <v>178.56</v>
      </c>
      <c r="J31" s="365"/>
    </row>
    <row r="32" spans="1:16" ht="34.9" customHeight="1">
      <c r="A32" s="331"/>
      <c r="B32" s="332" t="s">
        <v>588</v>
      </c>
      <c r="C32" s="330">
        <v>1</v>
      </c>
      <c r="D32" s="330" t="s">
        <v>266</v>
      </c>
      <c r="E32" s="330">
        <v>1</v>
      </c>
      <c r="F32" s="356">
        <f>F31</f>
        <v>124</v>
      </c>
      <c r="G32" s="359" t="s">
        <v>594</v>
      </c>
      <c r="H32" s="356">
        <v>1.8</v>
      </c>
      <c r="I32" s="368">
        <f>C32*E32*F32*K32*H32</f>
        <v>160.70400000000001</v>
      </c>
      <c r="J32" s="365"/>
      <c r="K32" s="336">
        <f>ROUND((1.2+0.23)/2,2)</f>
        <v>0.72</v>
      </c>
    </row>
    <row r="33" spans="1:10" ht="19.899999999999999" customHeight="1">
      <c r="A33" s="331"/>
      <c r="B33" s="332"/>
      <c r="C33" s="330"/>
      <c r="D33" s="330"/>
      <c r="E33" s="330"/>
      <c r="F33" s="356"/>
      <c r="G33" s="356"/>
      <c r="H33" s="355" t="s">
        <v>57</v>
      </c>
      <c r="I33" s="358">
        <f>SUM(I31:I32)</f>
        <v>339.26400000000001</v>
      </c>
      <c r="J33" s="366" t="s">
        <v>595</v>
      </c>
    </row>
    <row r="34" spans="1:10" ht="34.9" customHeight="1">
      <c r="A34" s="331">
        <v>6</v>
      </c>
      <c r="B34" s="1582" t="s">
        <v>625</v>
      </c>
      <c r="C34" s="1583"/>
      <c r="D34" s="1583"/>
      <c r="E34" s="1583"/>
      <c r="F34" s="1583"/>
      <c r="G34" s="1583"/>
      <c r="H34" s="1584"/>
      <c r="I34" s="358"/>
      <c r="J34" s="366"/>
    </row>
    <row r="35" spans="1:10" s="537" customFormat="1" ht="19.899999999999999" customHeight="1">
      <c r="A35" s="534"/>
      <c r="B35" s="538" t="s">
        <v>1285</v>
      </c>
      <c r="C35" s="535"/>
      <c r="D35" s="535"/>
      <c r="E35" s="535"/>
      <c r="F35" s="357">
        <f>I17</f>
        <v>37.200000000000003</v>
      </c>
      <c r="G35" s="357">
        <v>100</v>
      </c>
      <c r="H35" s="357" t="s">
        <v>592</v>
      </c>
      <c r="I35" s="357">
        <f>F35*G35</f>
        <v>3720.0000000000005</v>
      </c>
      <c r="J35" s="536" t="s">
        <v>271</v>
      </c>
    </row>
    <row r="36" spans="1:10" ht="19.899999999999999" customHeight="1">
      <c r="A36" s="331"/>
      <c r="B36" s="332"/>
      <c r="C36" s="330"/>
      <c r="D36" s="330"/>
      <c r="E36" s="330"/>
      <c r="F36" s="356"/>
      <c r="G36" s="356"/>
      <c r="H36" s="355" t="s">
        <v>57</v>
      </c>
      <c r="I36" s="360">
        <f>I35/1000</f>
        <v>3.7200000000000006</v>
      </c>
      <c r="J36" s="366" t="s">
        <v>58</v>
      </c>
    </row>
    <row r="37" spans="1:10" ht="34.9" customHeight="1">
      <c r="A37" s="331">
        <v>7</v>
      </c>
      <c r="B37" s="1588" t="s">
        <v>627</v>
      </c>
      <c r="C37" s="1589"/>
      <c r="D37" s="1589"/>
      <c r="E37" s="1589"/>
      <c r="F37" s="1589"/>
      <c r="G37" s="1589"/>
      <c r="H37" s="1590"/>
      <c r="I37" s="358"/>
      <c r="J37" s="366"/>
    </row>
    <row r="38" spans="1:10" ht="19.899999999999999" customHeight="1">
      <c r="A38" s="331"/>
      <c r="B38" s="332" t="s">
        <v>593</v>
      </c>
      <c r="C38" s="330">
        <v>1</v>
      </c>
      <c r="D38" s="330" t="s">
        <v>266</v>
      </c>
      <c r="E38" s="330">
        <v>42</v>
      </c>
      <c r="F38" s="356">
        <v>0.6</v>
      </c>
      <c r="G38" s="333" t="s">
        <v>372</v>
      </c>
      <c r="H38" s="333" t="s">
        <v>372</v>
      </c>
      <c r="I38" s="125">
        <f>ROUND(PRODUCT(C38:H38),2)</f>
        <v>25.2</v>
      </c>
      <c r="J38" s="366"/>
    </row>
    <row r="39" spans="1:10" ht="19.899999999999999" customHeight="1">
      <c r="A39" s="331"/>
      <c r="B39" s="332" t="s">
        <v>593</v>
      </c>
      <c r="C39" s="330">
        <v>1</v>
      </c>
      <c r="D39" s="330" t="s">
        <v>266</v>
      </c>
      <c r="E39" s="330">
        <v>42</v>
      </c>
      <c r="F39" s="356">
        <v>1.2</v>
      </c>
      <c r="G39" s="333" t="s">
        <v>372</v>
      </c>
      <c r="H39" s="333" t="s">
        <v>372</v>
      </c>
      <c r="I39" s="125">
        <f>ROUND(PRODUCT(C39:H39),2)</f>
        <v>50.4</v>
      </c>
      <c r="J39" s="366"/>
    </row>
    <row r="40" spans="1:10" ht="19.899999999999999" customHeight="1">
      <c r="A40" s="331"/>
      <c r="B40" s="332"/>
      <c r="C40" s="330"/>
      <c r="D40" s="330"/>
      <c r="E40" s="330"/>
      <c r="F40" s="356"/>
      <c r="G40" s="356"/>
      <c r="H40" s="355" t="s">
        <v>57</v>
      </c>
      <c r="I40" s="358">
        <f>SUM(I38:I39)</f>
        <v>75.599999999999994</v>
      </c>
      <c r="J40" s="366" t="s">
        <v>61</v>
      </c>
    </row>
  </sheetData>
  <mergeCells count="22">
    <mergeCell ref="A1:J1"/>
    <mergeCell ref="A2:B2"/>
    <mergeCell ref="A5:A7"/>
    <mergeCell ref="B5:B7"/>
    <mergeCell ref="C5:E7"/>
    <mergeCell ref="F5:H5"/>
    <mergeCell ref="I5:I7"/>
    <mergeCell ref="J5:J7"/>
    <mergeCell ref="F6:F7"/>
    <mergeCell ref="A3:J3"/>
    <mergeCell ref="G6:G7"/>
    <mergeCell ref="H6:H7"/>
    <mergeCell ref="B34:H34"/>
    <mergeCell ref="B30:H30"/>
    <mergeCell ref="B37:H37"/>
    <mergeCell ref="C8:E8"/>
    <mergeCell ref="F27:G27"/>
    <mergeCell ref="B9:H9"/>
    <mergeCell ref="B14:H14"/>
    <mergeCell ref="B18:H18"/>
    <mergeCell ref="B22:H22"/>
    <mergeCell ref="B23:H23"/>
  </mergeCells>
  <pageMargins left="0.7" right="0.7" top="0.75" bottom="0.5" header="0.3" footer="0.3"/>
  <pageSetup paperSize="9" orientation="portrait" horizontalDpi="300" verticalDpi="300" r:id="rId1"/>
  <headerFooter>
    <oddHeader>Page &amp;P</oddHeader>
  </headerFooter>
</worksheet>
</file>

<file path=xl/worksheets/sheet25.xml><?xml version="1.0" encoding="utf-8"?>
<worksheet xmlns="http://schemas.openxmlformats.org/spreadsheetml/2006/main" xmlns:r="http://schemas.openxmlformats.org/officeDocument/2006/relationships">
  <dimension ref="A1:O42"/>
  <sheetViews>
    <sheetView workbookViewId="0">
      <selection activeCell="B22" sqref="B22:G22"/>
    </sheetView>
  </sheetViews>
  <sheetFormatPr defaultColWidth="8.77734375" defaultRowHeight="15"/>
  <cols>
    <col min="1" max="1" width="4.21875" style="145" customWidth="1"/>
    <col min="2" max="2" width="29.109375" style="115" customWidth="1"/>
    <col min="3" max="4" width="3.21875" style="146" customWidth="1"/>
    <col min="5" max="5" width="3.21875" style="147" customWidth="1"/>
    <col min="6" max="9" width="6.77734375" style="148" customWidth="1"/>
    <col min="10" max="10" width="4.88671875" style="149" customWidth="1"/>
    <col min="11" max="11" width="8.77734375" style="115"/>
    <col min="12" max="12" width="8.77734375" style="116"/>
    <col min="13" max="256" width="8.77734375" style="115"/>
    <col min="257" max="257" width="4.21875" style="115" customWidth="1"/>
    <col min="258" max="258" width="29.109375" style="115" customWidth="1"/>
    <col min="259" max="261" width="3.77734375" style="115" customWidth="1"/>
    <col min="262" max="265" width="6.77734375" style="115" customWidth="1"/>
    <col min="266" max="266" width="4.88671875" style="115" customWidth="1"/>
    <col min="267" max="512" width="8.77734375" style="115"/>
    <col min="513" max="513" width="4.21875" style="115" customWidth="1"/>
    <col min="514" max="514" width="29.109375" style="115" customWidth="1"/>
    <col min="515" max="517" width="3.77734375" style="115" customWidth="1"/>
    <col min="518" max="521" width="6.77734375" style="115" customWidth="1"/>
    <col min="522" max="522" width="4.88671875" style="115" customWidth="1"/>
    <col min="523" max="768" width="8.77734375" style="115"/>
    <col min="769" max="769" width="4.21875" style="115" customWidth="1"/>
    <col min="770" max="770" width="29.109375" style="115" customWidth="1"/>
    <col min="771" max="773" width="3.77734375" style="115" customWidth="1"/>
    <col min="774" max="777" width="6.77734375" style="115" customWidth="1"/>
    <col min="778" max="778" width="4.88671875" style="115" customWidth="1"/>
    <col min="779" max="1024" width="8.77734375" style="115"/>
    <col min="1025" max="1025" width="4.21875" style="115" customWidth="1"/>
    <col min="1026" max="1026" width="29.109375" style="115" customWidth="1"/>
    <col min="1027" max="1029" width="3.77734375" style="115" customWidth="1"/>
    <col min="1030" max="1033" width="6.77734375" style="115" customWidth="1"/>
    <col min="1034" max="1034" width="4.88671875" style="115" customWidth="1"/>
    <col min="1035" max="1280" width="8.77734375" style="115"/>
    <col min="1281" max="1281" width="4.21875" style="115" customWidth="1"/>
    <col min="1282" max="1282" width="29.109375" style="115" customWidth="1"/>
    <col min="1283" max="1285" width="3.77734375" style="115" customWidth="1"/>
    <col min="1286" max="1289" width="6.77734375" style="115" customWidth="1"/>
    <col min="1290" max="1290" width="4.88671875" style="115" customWidth="1"/>
    <col min="1291" max="1536" width="8.77734375" style="115"/>
    <col min="1537" max="1537" width="4.21875" style="115" customWidth="1"/>
    <col min="1538" max="1538" width="29.109375" style="115" customWidth="1"/>
    <col min="1539" max="1541" width="3.77734375" style="115" customWidth="1"/>
    <col min="1542" max="1545" width="6.77734375" style="115" customWidth="1"/>
    <col min="1546" max="1546" width="4.88671875" style="115" customWidth="1"/>
    <col min="1547" max="1792" width="8.77734375" style="115"/>
    <col min="1793" max="1793" width="4.21875" style="115" customWidth="1"/>
    <col min="1794" max="1794" width="29.109375" style="115" customWidth="1"/>
    <col min="1795" max="1797" width="3.77734375" style="115" customWidth="1"/>
    <col min="1798" max="1801" width="6.77734375" style="115" customWidth="1"/>
    <col min="1802" max="1802" width="4.88671875" style="115" customWidth="1"/>
    <col min="1803" max="2048" width="8.77734375" style="115"/>
    <col min="2049" max="2049" width="4.21875" style="115" customWidth="1"/>
    <col min="2050" max="2050" width="29.109375" style="115" customWidth="1"/>
    <col min="2051" max="2053" width="3.77734375" style="115" customWidth="1"/>
    <col min="2054" max="2057" width="6.77734375" style="115" customWidth="1"/>
    <col min="2058" max="2058" width="4.88671875" style="115" customWidth="1"/>
    <col min="2059" max="2304" width="8.77734375" style="115"/>
    <col min="2305" max="2305" width="4.21875" style="115" customWidth="1"/>
    <col min="2306" max="2306" width="29.109375" style="115" customWidth="1"/>
    <col min="2307" max="2309" width="3.77734375" style="115" customWidth="1"/>
    <col min="2310" max="2313" width="6.77734375" style="115" customWidth="1"/>
    <col min="2314" max="2314" width="4.88671875" style="115" customWidth="1"/>
    <col min="2315" max="2560" width="8.77734375" style="115"/>
    <col min="2561" max="2561" width="4.21875" style="115" customWidth="1"/>
    <col min="2562" max="2562" width="29.109375" style="115" customWidth="1"/>
    <col min="2563" max="2565" width="3.77734375" style="115" customWidth="1"/>
    <col min="2566" max="2569" width="6.77734375" style="115" customWidth="1"/>
    <col min="2570" max="2570" width="4.88671875" style="115" customWidth="1"/>
    <col min="2571" max="2816" width="8.77734375" style="115"/>
    <col min="2817" max="2817" width="4.21875" style="115" customWidth="1"/>
    <col min="2818" max="2818" width="29.109375" style="115" customWidth="1"/>
    <col min="2819" max="2821" width="3.77734375" style="115" customWidth="1"/>
    <col min="2822" max="2825" width="6.77734375" style="115" customWidth="1"/>
    <col min="2826" max="2826" width="4.88671875" style="115" customWidth="1"/>
    <col min="2827" max="3072" width="8.77734375" style="115"/>
    <col min="3073" max="3073" width="4.21875" style="115" customWidth="1"/>
    <col min="3074" max="3074" width="29.109375" style="115" customWidth="1"/>
    <col min="3075" max="3077" width="3.77734375" style="115" customWidth="1"/>
    <col min="3078" max="3081" width="6.77734375" style="115" customWidth="1"/>
    <col min="3082" max="3082" width="4.88671875" style="115" customWidth="1"/>
    <col min="3083" max="3328" width="8.77734375" style="115"/>
    <col min="3329" max="3329" width="4.21875" style="115" customWidth="1"/>
    <col min="3330" max="3330" width="29.109375" style="115" customWidth="1"/>
    <col min="3331" max="3333" width="3.77734375" style="115" customWidth="1"/>
    <col min="3334" max="3337" width="6.77734375" style="115" customWidth="1"/>
    <col min="3338" max="3338" width="4.88671875" style="115" customWidth="1"/>
    <col min="3339" max="3584" width="8.77734375" style="115"/>
    <col min="3585" max="3585" width="4.21875" style="115" customWidth="1"/>
    <col min="3586" max="3586" width="29.109375" style="115" customWidth="1"/>
    <col min="3587" max="3589" width="3.77734375" style="115" customWidth="1"/>
    <col min="3590" max="3593" width="6.77734375" style="115" customWidth="1"/>
    <col min="3594" max="3594" width="4.88671875" style="115" customWidth="1"/>
    <col min="3595" max="3840" width="8.77734375" style="115"/>
    <col min="3841" max="3841" width="4.21875" style="115" customWidth="1"/>
    <col min="3842" max="3842" width="29.109375" style="115" customWidth="1"/>
    <col min="3843" max="3845" width="3.77734375" style="115" customWidth="1"/>
    <col min="3846" max="3849" width="6.77734375" style="115" customWidth="1"/>
    <col min="3850" max="3850" width="4.88671875" style="115" customWidth="1"/>
    <col min="3851" max="4096" width="8.77734375" style="115"/>
    <col min="4097" max="4097" width="4.21875" style="115" customWidth="1"/>
    <col min="4098" max="4098" width="29.109375" style="115" customWidth="1"/>
    <col min="4099" max="4101" width="3.77734375" style="115" customWidth="1"/>
    <col min="4102" max="4105" width="6.77734375" style="115" customWidth="1"/>
    <col min="4106" max="4106" width="4.88671875" style="115" customWidth="1"/>
    <col min="4107" max="4352" width="8.77734375" style="115"/>
    <col min="4353" max="4353" width="4.21875" style="115" customWidth="1"/>
    <col min="4354" max="4354" width="29.109375" style="115" customWidth="1"/>
    <col min="4355" max="4357" width="3.77734375" style="115" customWidth="1"/>
    <col min="4358" max="4361" width="6.77734375" style="115" customWidth="1"/>
    <col min="4362" max="4362" width="4.88671875" style="115" customWidth="1"/>
    <col min="4363" max="4608" width="8.77734375" style="115"/>
    <col min="4609" max="4609" width="4.21875" style="115" customWidth="1"/>
    <col min="4610" max="4610" width="29.109375" style="115" customWidth="1"/>
    <col min="4611" max="4613" width="3.77734375" style="115" customWidth="1"/>
    <col min="4614" max="4617" width="6.77734375" style="115" customWidth="1"/>
    <col min="4618" max="4618" width="4.88671875" style="115" customWidth="1"/>
    <col min="4619" max="4864" width="8.77734375" style="115"/>
    <col min="4865" max="4865" width="4.21875" style="115" customWidth="1"/>
    <col min="4866" max="4866" width="29.109375" style="115" customWidth="1"/>
    <col min="4867" max="4869" width="3.77734375" style="115" customWidth="1"/>
    <col min="4870" max="4873" width="6.77734375" style="115" customWidth="1"/>
    <col min="4874" max="4874" width="4.88671875" style="115" customWidth="1"/>
    <col min="4875" max="5120" width="8.77734375" style="115"/>
    <col min="5121" max="5121" width="4.21875" style="115" customWidth="1"/>
    <col min="5122" max="5122" width="29.109375" style="115" customWidth="1"/>
    <col min="5123" max="5125" width="3.77734375" style="115" customWidth="1"/>
    <col min="5126" max="5129" width="6.77734375" style="115" customWidth="1"/>
    <col min="5130" max="5130" width="4.88671875" style="115" customWidth="1"/>
    <col min="5131" max="5376" width="8.77734375" style="115"/>
    <col min="5377" max="5377" width="4.21875" style="115" customWidth="1"/>
    <col min="5378" max="5378" width="29.109375" style="115" customWidth="1"/>
    <col min="5379" max="5381" width="3.77734375" style="115" customWidth="1"/>
    <col min="5382" max="5385" width="6.77734375" style="115" customWidth="1"/>
    <col min="5386" max="5386" width="4.88671875" style="115" customWidth="1"/>
    <col min="5387" max="5632" width="8.77734375" style="115"/>
    <col min="5633" max="5633" width="4.21875" style="115" customWidth="1"/>
    <col min="5634" max="5634" width="29.109375" style="115" customWidth="1"/>
    <col min="5635" max="5637" width="3.77734375" style="115" customWidth="1"/>
    <col min="5638" max="5641" width="6.77734375" style="115" customWidth="1"/>
    <col min="5642" max="5642" width="4.88671875" style="115" customWidth="1"/>
    <col min="5643" max="5888" width="8.77734375" style="115"/>
    <col min="5889" max="5889" width="4.21875" style="115" customWidth="1"/>
    <col min="5890" max="5890" width="29.109375" style="115" customWidth="1"/>
    <col min="5891" max="5893" width="3.77734375" style="115" customWidth="1"/>
    <col min="5894" max="5897" width="6.77734375" style="115" customWidth="1"/>
    <col min="5898" max="5898" width="4.88671875" style="115" customWidth="1"/>
    <col min="5899" max="6144" width="8.77734375" style="115"/>
    <col min="6145" max="6145" width="4.21875" style="115" customWidth="1"/>
    <col min="6146" max="6146" width="29.109375" style="115" customWidth="1"/>
    <col min="6147" max="6149" width="3.77734375" style="115" customWidth="1"/>
    <col min="6150" max="6153" width="6.77734375" style="115" customWidth="1"/>
    <col min="6154" max="6154" width="4.88671875" style="115" customWidth="1"/>
    <col min="6155" max="6400" width="8.77734375" style="115"/>
    <col min="6401" max="6401" width="4.21875" style="115" customWidth="1"/>
    <col min="6402" max="6402" width="29.109375" style="115" customWidth="1"/>
    <col min="6403" max="6405" width="3.77734375" style="115" customWidth="1"/>
    <col min="6406" max="6409" width="6.77734375" style="115" customWidth="1"/>
    <col min="6410" max="6410" width="4.88671875" style="115" customWidth="1"/>
    <col min="6411" max="6656" width="8.77734375" style="115"/>
    <col min="6657" max="6657" width="4.21875" style="115" customWidth="1"/>
    <col min="6658" max="6658" width="29.109375" style="115" customWidth="1"/>
    <col min="6659" max="6661" width="3.77734375" style="115" customWidth="1"/>
    <col min="6662" max="6665" width="6.77734375" style="115" customWidth="1"/>
    <col min="6666" max="6666" width="4.88671875" style="115" customWidth="1"/>
    <col min="6667" max="6912" width="8.77734375" style="115"/>
    <col min="6913" max="6913" width="4.21875" style="115" customWidth="1"/>
    <col min="6914" max="6914" width="29.109375" style="115" customWidth="1"/>
    <col min="6915" max="6917" width="3.77734375" style="115" customWidth="1"/>
    <col min="6918" max="6921" width="6.77734375" style="115" customWidth="1"/>
    <col min="6922" max="6922" width="4.88671875" style="115" customWidth="1"/>
    <col min="6923" max="7168" width="8.77734375" style="115"/>
    <col min="7169" max="7169" width="4.21875" style="115" customWidth="1"/>
    <col min="7170" max="7170" width="29.109375" style="115" customWidth="1"/>
    <col min="7171" max="7173" width="3.77734375" style="115" customWidth="1"/>
    <col min="7174" max="7177" width="6.77734375" style="115" customWidth="1"/>
    <col min="7178" max="7178" width="4.88671875" style="115" customWidth="1"/>
    <col min="7179" max="7424" width="8.77734375" style="115"/>
    <col min="7425" max="7425" width="4.21875" style="115" customWidth="1"/>
    <col min="7426" max="7426" width="29.109375" style="115" customWidth="1"/>
    <col min="7427" max="7429" width="3.77734375" style="115" customWidth="1"/>
    <col min="7430" max="7433" width="6.77734375" style="115" customWidth="1"/>
    <col min="7434" max="7434" width="4.88671875" style="115" customWidth="1"/>
    <col min="7435" max="7680" width="8.77734375" style="115"/>
    <col min="7681" max="7681" width="4.21875" style="115" customWidth="1"/>
    <col min="7682" max="7682" width="29.109375" style="115" customWidth="1"/>
    <col min="7683" max="7685" width="3.77734375" style="115" customWidth="1"/>
    <col min="7686" max="7689" width="6.77734375" style="115" customWidth="1"/>
    <col min="7690" max="7690" width="4.88671875" style="115" customWidth="1"/>
    <col min="7691" max="7936" width="8.77734375" style="115"/>
    <col min="7937" max="7937" width="4.21875" style="115" customWidth="1"/>
    <col min="7938" max="7938" width="29.109375" style="115" customWidth="1"/>
    <col min="7939" max="7941" width="3.77734375" style="115" customWidth="1"/>
    <col min="7942" max="7945" width="6.77734375" style="115" customWidth="1"/>
    <col min="7946" max="7946" width="4.88671875" style="115" customWidth="1"/>
    <col min="7947" max="8192" width="8.77734375" style="115"/>
    <col min="8193" max="8193" width="4.21875" style="115" customWidth="1"/>
    <col min="8194" max="8194" width="29.109375" style="115" customWidth="1"/>
    <col min="8195" max="8197" width="3.77734375" style="115" customWidth="1"/>
    <col min="8198" max="8201" width="6.77734375" style="115" customWidth="1"/>
    <col min="8202" max="8202" width="4.88671875" style="115" customWidth="1"/>
    <col min="8203" max="8448" width="8.77734375" style="115"/>
    <col min="8449" max="8449" width="4.21875" style="115" customWidth="1"/>
    <col min="8450" max="8450" width="29.109375" style="115" customWidth="1"/>
    <col min="8451" max="8453" width="3.77734375" style="115" customWidth="1"/>
    <col min="8454" max="8457" width="6.77734375" style="115" customWidth="1"/>
    <col min="8458" max="8458" width="4.88671875" style="115" customWidth="1"/>
    <col min="8459" max="8704" width="8.77734375" style="115"/>
    <col min="8705" max="8705" width="4.21875" style="115" customWidth="1"/>
    <col min="8706" max="8706" width="29.109375" style="115" customWidth="1"/>
    <col min="8707" max="8709" width="3.77734375" style="115" customWidth="1"/>
    <col min="8710" max="8713" width="6.77734375" style="115" customWidth="1"/>
    <col min="8714" max="8714" width="4.88671875" style="115" customWidth="1"/>
    <col min="8715" max="8960" width="8.77734375" style="115"/>
    <col min="8961" max="8961" width="4.21875" style="115" customWidth="1"/>
    <col min="8962" max="8962" width="29.109375" style="115" customWidth="1"/>
    <col min="8963" max="8965" width="3.77734375" style="115" customWidth="1"/>
    <col min="8966" max="8969" width="6.77734375" style="115" customWidth="1"/>
    <col min="8970" max="8970" width="4.88671875" style="115" customWidth="1"/>
    <col min="8971" max="9216" width="8.77734375" style="115"/>
    <col min="9217" max="9217" width="4.21875" style="115" customWidth="1"/>
    <col min="9218" max="9218" width="29.109375" style="115" customWidth="1"/>
    <col min="9219" max="9221" width="3.77734375" style="115" customWidth="1"/>
    <col min="9222" max="9225" width="6.77734375" style="115" customWidth="1"/>
    <col min="9226" max="9226" width="4.88671875" style="115" customWidth="1"/>
    <col min="9227" max="9472" width="8.77734375" style="115"/>
    <col min="9473" max="9473" width="4.21875" style="115" customWidth="1"/>
    <col min="9474" max="9474" width="29.109375" style="115" customWidth="1"/>
    <col min="9475" max="9477" width="3.77734375" style="115" customWidth="1"/>
    <col min="9478" max="9481" width="6.77734375" style="115" customWidth="1"/>
    <col min="9482" max="9482" width="4.88671875" style="115" customWidth="1"/>
    <col min="9483" max="9728" width="8.77734375" style="115"/>
    <col min="9729" max="9729" width="4.21875" style="115" customWidth="1"/>
    <col min="9730" max="9730" width="29.109375" style="115" customWidth="1"/>
    <col min="9731" max="9733" width="3.77734375" style="115" customWidth="1"/>
    <col min="9734" max="9737" width="6.77734375" style="115" customWidth="1"/>
    <col min="9738" max="9738" width="4.88671875" style="115" customWidth="1"/>
    <col min="9739" max="9984" width="8.77734375" style="115"/>
    <col min="9985" max="9985" width="4.21875" style="115" customWidth="1"/>
    <col min="9986" max="9986" width="29.109375" style="115" customWidth="1"/>
    <col min="9987" max="9989" width="3.77734375" style="115" customWidth="1"/>
    <col min="9990" max="9993" width="6.77734375" style="115" customWidth="1"/>
    <col min="9994" max="9994" width="4.88671875" style="115" customWidth="1"/>
    <col min="9995" max="10240" width="8.77734375" style="115"/>
    <col min="10241" max="10241" width="4.21875" style="115" customWidth="1"/>
    <col min="10242" max="10242" width="29.109375" style="115" customWidth="1"/>
    <col min="10243" max="10245" width="3.77734375" style="115" customWidth="1"/>
    <col min="10246" max="10249" width="6.77734375" style="115" customWidth="1"/>
    <col min="10250" max="10250" width="4.88671875" style="115" customWidth="1"/>
    <col min="10251" max="10496" width="8.77734375" style="115"/>
    <col min="10497" max="10497" width="4.21875" style="115" customWidth="1"/>
    <col min="10498" max="10498" width="29.109375" style="115" customWidth="1"/>
    <col min="10499" max="10501" width="3.77734375" style="115" customWidth="1"/>
    <col min="10502" max="10505" width="6.77734375" style="115" customWidth="1"/>
    <col min="10506" max="10506" width="4.88671875" style="115" customWidth="1"/>
    <col min="10507" max="10752" width="8.77734375" style="115"/>
    <col min="10753" max="10753" width="4.21875" style="115" customWidth="1"/>
    <col min="10754" max="10754" width="29.109375" style="115" customWidth="1"/>
    <col min="10755" max="10757" width="3.77734375" style="115" customWidth="1"/>
    <col min="10758" max="10761" width="6.77734375" style="115" customWidth="1"/>
    <col min="10762" max="10762" width="4.88671875" style="115" customWidth="1"/>
    <col min="10763" max="11008" width="8.77734375" style="115"/>
    <col min="11009" max="11009" width="4.21875" style="115" customWidth="1"/>
    <col min="11010" max="11010" width="29.109375" style="115" customWidth="1"/>
    <col min="11011" max="11013" width="3.77734375" style="115" customWidth="1"/>
    <col min="11014" max="11017" width="6.77734375" style="115" customWidth="1"/>
    <col min="11018" max="11018" width="4.88671875" style="115" customWidth="1"/>
    <col min="11019" max="11264" width="8.77734375" style="115"/>
    <col min="11265" max="11265" width="4.21875" style="115" customWidth="1"/>
    <col min="11266" max="11266" width="29.109375" style="115" customWidth="1"/>
    <col min="11267" max="11269" width="3.77734375" style="115" customWidth="1"/>
    <col min="11270" max="11273" width="6.77734375" style="115" customWidth="1"/>
    <col min="11274" max="11274" width="4.88671875" style="115" customWidth="1"/>
    <col min="11275" max="11520" width="8.77734375" style="115"/>
    <col min="11521" max="11521" width="4.21875" style="115" customWidth="1"/>
    <col min="11522" max="11522" width="29.109375" style="115" customWidth="1"/>
    <col min="11523" max="11525" width="3.77734375" style="115" customWidth="1"/>
    <col min="11526" max="11529" width="6.77734375" style="115" customWidth="1"/>
    <col min="11530" max="11530" width="4.88671875" style="115" customWidth="1"/>
    <col min="11531" max="11776" width="8.77734375" style="115"/>
    <col min="11777" max="11777" width="4.21875" style="115" customWidth="1"/>
    <col min="11778" max="11778" width="29.109375" style="115" customWidth="1"/>
    <col min="11779" max="11781" width="3.77734375" style="115" customWidth="1"/>
    <col min="11782" max="11785" width="6.77734375" style="115" customWidth="1"/>
    <col min="11786" max="11786" width="4.88671875" style="115" customWidth="1"/>
    <col min="11787" max="12032" width="8.77734375" style="115"/>
    <col min="12033" max="12033" width="4.21875" style="115" customWidth="1"/>
    <col min="12034" max="12034" width="29.109375" style="115" customWidth="1"/>
    <col min="12035" max="12037" width="3.77734375" style="115" customWidth="1"/>
    <col min="12038" max="12041" width="6.77734375" style="115" customWidth="1"/>
    <col min="12042" max="12042" width="4.88671875" style="115" customWidth="1"/>
    <col min="12043" max="12288" width="8.77734375" style="115"/>
    <col min="12289" max="12289" width="4.21875" style="115" customWidth="1"/>
    <col min="12290" max="12290" width="29.109375" style="115" customWidth="1"/>
    <col min="12291" max="12293" width="3.77734375" style="115" customWidth="1"/>
    <col min="12294" max="12297" width="6.77734375" style="115" customWidth="1"/>
    <col min="12298" max="12298" width="4.88671875" style="115" customWidth="1"/>
    <col min="12299" max="12544" width="8.77734375" style="115"/>
    <col min="12545" max="12545" width="4.21875" style="115" customWidth="1"/>
    <col min="12546" max="12546" width="29.109375" style="115" customWidth="1"/>
    <col min="12547" max="12549" width="3.77734375" style="115" customWidth="1"/>
    <col min="12550" max="12553" width="6.77734375" style="115" customWidth="1"/>
    <col min="12554" max="12554" width="4.88671875" style="115" customWidth="1"/>
    <col min="12555" max="12800" width="8.77734375" style="115"/>
    <col min="12801" max="12801" width="4.21875" style="115" customWidth="1"/>
    <col min="12802" max="12802" width="29.109375" style="115" customWidth="1"/>
    <col min="12803" max="12805" width="3.77734375" style="115" customWidth="1"/>
    <col min="12806" max="12809" width="6.77734375" style="115" customWidth="1"/>
    <col min="12810" max="12810" width="4.88671875" style="115" customWidth="1"/>
    <col min="12811" max="13056" width="8.77734375" style="115"/>
    <col min="13057" max="13057" width="4.21875" style="115" customWidth="1"/>
    <col min="13058" max="13058" width="29.109375" style="115" customWidth="1"/>
    <col min="13059" max="13061" width="3.77734375" style="115" customWidth="1"/>
    <col min="13062" max="13065" width="6.77734375" style="115" customWidth="1"/>
    <col min="13066" max="13066" width="4.88671875" style="115" customWidth="1"/>
    <col min="13067" max="13312" width="8.77734375" style="115"/>
    <col min="13313" max="13313" width="4.21875" style="115" customWidth="1"/>
    <col min="13314" max="13314" width="29.109375" style="115" customWidth="1"/>
    <col min="13315" max="13317" width="3.77734375" style="115" customWidth="1"/>
    <col min="13318" max="13321" width="6.77734375" style="115" customWidth="1"/>
    <col min="13322" max="13322" width="4.88671875" style="115" customWidth="1"/>
    <col min="13323" max="13568" width="8.77734375" style="115"/>
    <col min="13569" max="13569" width="4.21875" style="115" customWidth="1"/>
    <col min="13570" max="13570" width="29.109375" style="115" customWidth="1"/>
    <col min="13571" max="13573" width="3.77734375" style="115" customWidth="1"/>
    <col min="13574" max="13577" width="6.77734375" style="115" customWidth="1"/>
    <col min="13578" max="13578" width="4.88671875" style="115" customWidth="1"/>
    <col min="13579" max="13824" width="8.77734375" style="115"/>
    <col min="13825" max="13825" width="4.21875" style="115" customWidth="1"/>
    <col min="13826" max="13826" width="29.109375" style="115" customWidth="1"/>
    <col min="13827" max="13829" width="3.77734375" style="115" customWidth="1"/>
    <col min="13830" max="13833" width="6.77734375" style="115" customWidth="1"/>
    <col min="13834" max="13834" width="4.88671875" style="115" customWidth="1"/>
    <col min="13835" max="14080" width="8.77734375" style="115"/>
    <col min="14081" max="14081" width="4.21875" style="115" customWidth="1"/>
    <col min="14082" max="14082" width="29.109375" style="115" customWidth="1"/>
    <col min="14083" max="14085" width="3.77734375" style="115" customWidth="1"/>
    <col min="14086" max="14089" width="6.77734375" style="115" customWidth="1"/>
    <col min="14090" max="14090" width="4.88671875" style="115" customWidth="1"/>
    <col min="14091" max="14336" width="8.77734375" style="115"/>
    <col min="14337" max="14337" width="4.21875" style="115" customWidth="1"/>
    <col min="14338" max="14338" width="29.109375" style="115" customWidth="1"/>
    <col min="14339" max="14341" width="3.77734375" style="115" customWidth="1"/>
    <col min="14342" max="14345" width="6.77734375" style="115" customWidth="1"/>
    <col min="14346" max="14346" width="4.88671875" style="115" customWidth="1"/>
    <col min="14347" max="14592" width="8.77734375" style="115"/>
    <col min="14593" max="14593" width="4.21875" style="115" customWidth="1"/>
    <col min="14594" max="14594" width="29.109375" style="115" customWidth="1"/>
    <col min="14595" max="14597" width="3.77734375" style="115" customWidth="1"/>
    <col min="14598" max="14601" width="6.77734375" style="115" customWidth="1"/>
    <col min="14602" max="14602" width="4.88671875" style="115" customWidth="1"/>
    <col min="14603" max="14848" width="8.77734375" style="115"/>
    <col min="14849" max="14849" width="4.21875" style="115" customWidth="1"/>
    <col min="14850" max="14850" width="29.109375" style="115" customWidth="1"/>
    <col min="14851" max="14853" width="3.77734375" style="115" customWidth="1"/>
    <col min="14854" max="14857" width="6.77734375" style="115" customWidth="1"/>
    <col min="14858" max="14858" width="4.88671875" style="115" customWidth="1"/>
    <col min="14859" max="15104" width="8.77734375" style="115"/>
    <col min="15105" max="15105" width="4.21875" style="115" customWidth="1"/>
    <col min="15106" max="15106" width="29.109375" style="115" customWidth="1"/>
    <col min="15107" max="15109" width="3.77734375" style="115" customWidth="1"/>
    <col min="15110" max="15113" width="6.77734375" style="115" customWidth="1"/>
    <col min="15114" max="15114" width="4.88671875" style="115" customWidth="1"/>
    <col min="15115" max="15360" width="8.77734375" style="115"/>
    <col min="15361" max="15361" width="4.21875" style="115" customWidth="1"/>
    <col min="15362" max="15362" width="29.109375" style="115" customWidth="1"/>
    <col min="15363" max="15365" width="3.77734375" style="115" customWidth="1"/>
    <col min="15366" max="15369" width="6.77734375" style="115" customWidth="1"/>
    <col min="15370" max="15370" width="4.88671875" style="115" customWidth="1"/>
    <col min="15371" max="15616" width="8.77734375" style="115"/>
    <col min="15617" max="15617" width="4.21875" style="115" customWidth="1"/>
    <col min="15618" max="15618" width="29.109375" style="115" customWidth="1"/>
    <col min="15619" max="15621" width="3.77734375" style="115" customWidth="1"/>
    <col min="15622" max="15625" width="6.77734375" style="115" customWidth="1"/>
    <col min="15626" max="15626" width="4.88671875" style="115" customWidth="1"/>
    <col min="15627" max="15872" width="8.77734375" style="115"/>
    <col min="15873" max="15873" width="4.21875" style="115" customWidth="1"/>
    <col min="15874" max="15874" width="29.109375" style="115" customWidth="1"/>
    <col min="15875" max="15877" width="3.77734375" style="115" customWidth="1"/>
    <col min="15878" max="15881" width="6.77734375" style="115" customWidth="1"/>
    <col min="15882" max="15882" width="4.88671875" style="115" customWidth="1"/>
    <col min="15883" max="16128" width="8.77734375" style="115"/>
    <col min="16129" max="16129" width="4.21875" style="115" customWidth="1"/>
    <col min="16130" max="16130" width="29.109375" style="115" customWidth="1"/>
    <col min="16131" max="16133" width="3.77734375" style="115" customWidth="1"/>
    <col min="16134" max="16137" width="6.77734375" style="115" customWidth="1"/>
    <col min="16138" max="16138" width="4.88671875" style="115" customWidth="1"/>
    <col min="16139" max="16384" width="8.77734375" style="115"/>
  </cols>
  <sheetData>
    <row r="1" spans="1:15" ht="19.899999999999999" customHeight="1">
      <c r="A1" s="1611" t="s">
        <v>1202</v>
      </c>
      <c r="B1" s="1611"/>
      <c r="C1" s="1611"/>
      <c r="D1" s="1611"/>
      <c r="E1" s="1611"/>
      <c r="F1" s="1611"/>
      <c r="G1" s="1611"/>
      <c r="H1" s="1611"/>
      <c r="I1" s="1611"/>
      <c r="J1" s="1611"/>
    </row>
    <row r="2" spans="1:15" ht="19.899999999999999" customHeight="1">
      <c r="A2" s="1612"/>
      <c r="B2" s="1612"/>
      <c r="C2" s="1612"/>
      <c r="D2" s="1612"/>
      <c r="E2" s="1612"/>
      <c r="F2" s="1612"/>
      <c r="G2" s="1612"/>
      <c r="H2" s="1612"/>
      <c r="I2" s="1612"/>
      <c r="J2" s="1612"/>
    </row>
    <row r="3" spans="1:15" s="117" customFormat="1" ht="40.15" customHeight="1">
      <c r="A3" s="1613" t="str">
        <f>'Septic Tank'!A5:H5</f>
        <v>CONSTRUCTION OF NEW POLICE STATION BUILDING WITH DEVELOPMENT WORK IN  REGUNATHAPURAM IN PUDUKKOTTAI DISRICT.</v>
      </c>
      <c r="B3" s="1613"/>
      <c r="C3" s="1613"/>
      <c r="D3" s="1613"/>
      <c r="E3" s="1613"/>
      <c r="F3" s="1613"/>
      <c r="G3" s="1613"/>
      <c r="H3" s="1613"/>
      <c r="I3" s="1613"/>
      <c r="J3" s="1613"/>
      <c r="L3" s="118"/>
      <c r="M3" s="1610"/>
      <c r="N3" s="1610"/>
      <c r="O3" s="1610"/>
    </row>
    <row r="4" spans="1:15" ht="14.45" customHeight="1">
      <c r="A4" s="1614" t="s">
        <v>211</v>
      </c>
      <c r="B4" s="1616" t="s">
        <v>212</v>
      </c>
      <c r="C4" s="1618" t="s">
        <v>213</v>
      </c>
      <c r="D4" s="1619"/>
      <c r="E4" s="1620"/>
      <c r="F4" s="1616" t="s">
        <v>74</v>
      </c>
      <c r="G4" s="1624" t="s">
        <v>75</v>
      </c>
      <c r="H4" s="1624" t="s">
        <v>76</v>
      </c>
      <c r="I4" s="1626" t="s">
        <v>214</v>
      </c>
      <c r="J4" s="1628" t="s">
        <v>215</v>
      </c>
    </row>
    <row r="5" spans="1:15">
      <c r="A5" s="1615"/>
      <c r="B5" s="1617"/>
      <c r="C5" s="1621"/>
      <c r="D5" s="1622"/>
      <c r="E5" s="1623"/>
      <c r="F5" s="1617"/>
      <c r="G5" s="1625"/>
      <c r="H5" s="1625"/>
      <c r="I5" s="1627"/>
      <c r="J5" s="1628"/>
    </row>
    <row r="6" spans="1:15">
      <c r="A6" s="119">
        <v>1</v>
      </c>
      <c r="B6" s="119">
        <v>2</v>
      </c>
      <c r="C6" s="1605">
        <v>3</v>
      </c>
      <c r="D6" s="1606"/>
      <c r="E6" s="1607"/>
      <c r="F6" s="119">
        <v>4</v>
      </c>
      <c r="G6" s="119">
        <v>5</v>
      </c>
      <c r="H6" s="119">
        <v>6</v>
      </c>
      <c r="I6" s="553">
        <v>7</v>
      </c>
      <c r="J6" s="119">
        <v>8</v>
      </c>
    </row>
    <row r="7" spans="1:15" ht="49.9" customHeight="1">
      <c r="A7" s="122">
        <v>1</v>
      </c>
      <c r="B7" s="1576" t="s">
        <v>431</v>
      </c>
      <c r="C7" s="1577"/>
      <c r="D7" s="1577"/>
      <c r="E7" s="1577"/>
      <c r="F7" s="1577"/>
      <c r="G7" s="1577"/>
      <c r="H7" s="1577"/>
      <c r="I7" s="1577"/>
      <c r="J7" s="126"/>
    </row>
    <row r="8" spans="1:15" ht="19.899999999999999" customHeight="1">
      <c r="A8" s="122"/>
      <c r="B8" s="142" t="s">
        <v>432</v>
      </c>
      <c r="C8" s="142"/>
      <c r="D8" s="142"/>
      <c r="E8" s="142"/>
      <c r="F8" s="142"/>
      <c r="G8" s="142"/>
      <c r="H8" s="142"/>
      <c r="I8" s="142"/>
      <c r="J8" s="126"/>
    </row>
    <row r="9" spans="1:15" ht="34.9" customHeight="1">
      <c r="A9" s="122"/>
      <c r="B9" s="557" t="s">
        <v>433</v>
      </c>
      <c r="C9" s="123">
        <v>1</v>
      </c>
      <c r="D9" s="123" t="s">
        <v>266</v>
      </c>
      <c r="E9" s="123">
        <v>23</v>
      </c>
      <c r="F9" s="127" t="s">
        <v>372</v>
      </c>
      <c r="G9" s="127" t="s">
        <v>372</v>
      </c>
      <c r="H9" s="127" t="s">
        <v>372</v>
      </c>
      <c r="I9" s="125">
        <f>ROUND(PRODUCT(C9:H9),2)</f>
        <v>23</v>
      </c>
      <c r="J9" s="126"/>
    </row>
    <row r="10" spans="1:15" ht="19.899999999999999" customHeight="1">
      <c r="A10" s="122"/>
      <c r="B10" s="139"/>
      <c r="C10" s="123"/>
      <c r="D10" s="123"/>
      <c r="E10" s="127"/>
      <c r="F10" s="128"/>
      <c r="G10" s="132"/>
      <c r="H10" s="129" t="s">
        <v>57</v>
      </c>
      <c r="I10" s="130">
        <f>ROUND(SUM(I8:I9),2)</f>
        <v>23</v>
      </c>
      <c r="J10" s="131" t="s">
        <v>213</v>
      </c>
    </row>
    <row r="11" spans="1:15" ht="19.899999999999999" customHeight="1">
      <c r="A11" s="122"/>
      <c r="B11" s="139"/>
      <c r="C11" s="123"/>
      <c r="D11" s="123"/>
      <c r="E11" s="127"/>
      <c r="F11" s="128"/>
      <c r="G11" s="132"/>
      <c r="H11" s="129"/>
      <c r="I11" s="130"/>
      <c r="J11" s="131"/>
    </row>
    <row r="12" spans="1:15" ht="19.899999999999999" customHeight="1">
      <c r="A12" s="122"/>
      <c r="B12" s="142" t="s">
        <v>434</v>
      </c>
      <c r="C12" s="142"/>
      <c r="D12" s="142"/>
      <c r="E12" s="142"/>
      <c r="F12" s="142"/>
      <c r="G12" s="142"/>
      <c r="H12" s="142"/>
      <c r="I12" s="142"/>
      <c r="J12" s="126"/>
    </row>
    <row r="13" spans="1:15" ht="19.899999999999999" customHeight="1">
      <c r="A13" s="122"/>
      <c r="B13" s="557" t="s">
        <v>585</v>
      </c>
      <c r="C13" s="123">
        <v>1</v>
      </c>
      <c r="D13" s="123" t="s">
        <v>266</v>
      </c>
      <c r="E13" s="123">
        <v>20</v>
      </c>
      <c r="F13" s="127" t="s">
        <v>372</v>
      </c>
      <c r="G13" s="127" t="s">
        <v>372</v>
      </c>
      <c r="H13" s="127" t="s">
        <v>372</v>
      </c>
      <c r="I13" s="125">
        <f>ROUND(PRODUCT(C13:H13),2)</f>
        <v>20</v>
      </c>
      <c r="J13" s="126"/>
    </row>
    <row r="14" spans="1:15" ht="19.899999999999999" customHeight="1">
      <c r="A14" s="122"/>
      <c r="B14" s="139"/>
      <c r="C14" s="123"/>
      <c r="D14" s="123"/>
      <c r="E14" s="127"/>
      <c r="F14" s="128"/>
      <c r="G14" s="132"/>
      <c r="H14" s="129" t="s">
        <v>57</v>
      </c>
      <c r="I14" s="130">
        <f>ROUND(SUM(I12:I13),2)</f>
        <v>20</v>
      </c>
      <c r="J14" s="131" t="s">
        <v>4</v>
      </c>
    </row>
    <row r="15" spans="1:15" ht="19.899999999999999" customHeight="1">
      <c r="A15" s="122"/>
      <c r="B15" s="139"/>
      <c r="C15" s="123"/>
      <c r="D15" s="123"/>
      <c r="E15" s="127"/>
      <c r="F15" s="128"/>
      <c r="G15" s="132"/>
      <c r="H15" s="129"/>
      <c r="I15" s="130"/>
      <c r="J15" s="131"/>
    </row>
    <row r="16" spans="1:15" ht="25.15" customHeight="1">
      <c r="A16" s="122">
        <v>2</v>
      </c>
      <c r="B16" s="1608" t="s">
        <v>435</v>
      </c>
      <c r="C16" s="1609"/>
      <c r="D16" s="1609"/>
      <c r="E16" s="1609"/>
      <c r="F16" s="1609"/>
      <c r="G16" s="1609"/>
      <c r="H16" s="1609"/>
      <c r="I16" s="1609"/>
      <c r="J16" s="126"/>
    </row>
    <row r="17" spans="1:10" ht="19.899999999999999" customHeight="1">
      <c r="A17" s="122"/>
      <c r="B17" s="138"/>
      <c r="C17" s="123">
        <v>1</v>
      </c>
      <c r="D17" s="123" t="s">
        <v>266</v>
      </c>
      <c r="E17" s="123">
        <v>1</v>
      </c>
      <c r="F17" s="127" t="s">
        <v>372</v>
      </c>
      <c r="G17" s="127" t="s">
        <v>372</v>
      </c>
      <c r="H17" s="127" t="s">
        <v>372</v>
      </c>
      <c r="I17" s="125">
        <f>ROUND(PRODUCT(C17:H17),2)</f>
        <v>1</v>
      </c>
      <c r="J17" s="126"/>
    </row>
    <row r="18" spans="1:10" ht="19.899999999999999" customHeight="1">
      <c r="A18" s="122"/>
      <c r="B18" s="138"/>
      <c r="C18" s="123"/>
      <c r="D18" s="123"/>
      <c r="E18" s="127"/>
      <c r="F18" s="128"/>
      <c r="G18" s="128"/>
      <c r="H18" s="129" t="s">
        <v>57</v>
      </c>
      <c r="I18" s="130">
        <f>ROUND(SUM(I17:I17),2)</f>
        <v>1</v>
      </c>
      <c r="J18" s="131" t="s">
        <v>314</v>
      </c>
    </row>
    <row r="19" spans="1:10" ht="19.899999999999999" customHeight="1">
      <c r="A19" s="122"/>
      <c r="B19" s="121"/>
      <c r="C19" s="123"/>
      <c r="D19" s="123"/>
      <c r="E19" s="127"/>
      <c r="F19" s="128"/>
      <c r="G19" s="128"/>
      <c r="H19" s="129"/>
      <c r="I19" s="130"/>
      <c r="J19" s="131"/>
    </row>
    <row r="20" spans="1:10" ht="25.15" customHeight="1">
      <c r="A20" s="122">
        <v>3</v>
      </c>
      <c r="B20" s="1608" t="s">
        <v>1195</v>
      </c>
      <c r="C20" s="1609"/>
      <c r="D20" s="1609"/>
      <c r="E20" s="1609"/>
      <c r="F20" s="1609"/>
      <c r="G20" s="1609"/>
      <c r="H20" s="1609"/>
      <c r="I20" s="1609"/>
      <c r="J20" s="126"/>
    </row>
    <row r="21" spans="1:10" ht="19.899999999999999" customHeight="1">
      <c r="A21" s="122"/>
      <c r="B21" s="138"/>
      <c r="C21" s="123">
        <v>1</v>
      </c>
      <c r="D21" s="123" t="s">
        <v>266</v>
      </c>
      <c r="E21" s="123">
        <v>1</v>
      </c>
      <c r="F21" s="127" t="s">
        <v>372</v>
      </c>
      <c r="G21" s="127" t="s">
        <v>372</v>
      </c>
      <c r="H21" s="127" t="s">
        <v>372</v>
      </c>
      <c r="I21" s="125">
        <f>ROUND(PRODUCT(C21:H21),2)</f>
        <v>1</v>
      </c>
      <c r="J21" s="126"/>
    </row>
    <row r="22" spans="1:10" ht="19.899999999999999" customHeight="1">
      <c r="A22" s="122"/>
      <c r="B22" s="138"/>
      <c r="C22" s="123"/>
      <c r="D22" s="123"/>
      <c r="E22" s="127"/>
      <c r="F22" s="128"/>
      <c r="G22" s="128"/>
      <c r="H22" s="129" t="s">
        <v>57</v>
      </c>
      <c r="I22" s="130">
        <f>ROUND(SUM(I21:I21),2)</f>
        <v>1</v>
      </c>
      <c r="J22" s="131" t="s">
        <v>314</v>
      </c>
    </row>
    <row r="23" spans="1:10" ht="19.899999999999999" customHeight="1">
      <c r="A23" s="122"/>
      <c r="B23" s="121"/>
      <c r="C23" s="123"/>
      <c r="D23" s="123"/>
      <c r="E23" s="127"/>
      <c r="F23" s="128"/>
      <c r="G23" s="128"/>
      <c r="H23" s="129"/>
      <c r="I23" s="130"/>
      <c r="J23" s="131"/>
    </row>
    <row r="24" spans="1:10" ht="25.15" customHeight="1">
      <c r="A24" s="122">
        <v>4</v>
      </c>
      <c r="B24" s="1608" t="s">
        <v>436</v>
      </c>
      <c r="C24" s="1609"/>
      <c r="D24" s="1609"/>
      <c r="E24" s="1609"/>
      <c r="F24" s="1609"/>
      <c r="G24" s="1609"/>
      <c r="H24" s="1609"/>
      <c r="I24" s="1609"/>
      <c r="J24" s="126"/>
    </row>
    <row r="25" spans="1:10" ht="19.899999999999999" customHeight="1">
      <c r="A25" s="122"/>
      <c r="B25" s="138" t="s">
        <v>611</v>
      </c>
      <c r="C25" s="123">
        <v>1</v>
      </c>
      <c r="D25" s="123" t="s">
        <v>266</v>
      </c>
      <c r="E25" s="123">
        <v>12</v>
      </c>
      <c r="F25" s="132">
        <v>24</v>
      </c>
      <c r="G25" s="132">
        <v>4</v>
      </c>
      <c r="H25" s="127" t="s">
        <v>372</v>
      </c>
      <c r="I25" s="125">
        <f>ROUND(PRODUCT(C25:H25),2)</f>
        <v>1152</v>
      </c>
      <c r="J25" s="126"/>
    </row>
    <row r="26" spans="1:10" ht="19.899999999999999" customHeight="1">
      <c r="A26" s="122"/>
      <c r="B26" s="138" t="s">
        <v>612</v>
      </c>
      <c r="C26" s="123">
        <v>1</v>
      </c>
      <c r="D26" s="558" t="s">
        <v>266</v>
      </c>
      <c r="E26" s="123">
        <v>1</v>
      </c>
      <c r="F26" s="132">
        <v>24</v>
      </c>
      <c r="G26" s="132">
        <v>8</v>
      </c>
      <c r="H26" s="127" t="s">
        <v>372</v>
      </c>
      <c r="I26" s="125">
        <f>ROUND(PRODUCT(C26:H26),2)</f>
        <v>192</v>
      </c>
      <c r="J26" s="126"/>
    </row>
    <row r="27" spans="1:10" ht="19.899999999999999" customHeight="1">
      <c r="A27" s="122"/>
      <c r="B27" s="138"/>
      <c r="C27" s="123"/>
      <c r="D27" s="123"/>
      <c r="E27" s="127"/>
      <c r="F27" s="128"/>
      <c r="G27" s="128"/>
      <c r="H27" s="129" t="s">
        <v>57</v>
      </c>
      <c r="I27" s="130">
        <f>ROUND(SUM(I25:I26),2)</f>
        <v>1344</v>
      </c>
      <c r="J27" s="421" t="s">
        <v>437</v>
      </c>
    </row>
    <row r="28" spans="1:10" ht="19.899999999999999" customHeight="1">
      <c r="A28" s="122"/>
      <c r="B28" s="139"/>
      <c r="C28" s="123"/>
      <c r="D28" s="123"/>
      <c r="E28" s="127"/>
      <c r="F28" s="128"/>
      <c r="G28" s="132"/>
      <c r="H28" s="129"/>
      <c r="I28" s="130"/>
      <c r="J28" s="131"/>
    </row>
    <row r="42" ht="93.6" customHeight="1"/>
  </sheetData>
  <mergeCells count="17">
    <mergeCell ref="M3:O3"/>
    <mergeCell ref="A1:J1"/>
    <mergeCell ref="A2:J2"/>
    <mergeCell ref="A3:J3"/>
    <mergeCell ref="A4:A5"/>
    <mergeCell ref="B4:B5"/>
    <mergeCell ref="C4:E5"/>
    <mergeCell ref="F4:F5"/>
    <mergeCell ref="G4:G5"/>
    <mergeCell ref="H4:H5"/>
    <mergeCell ref="I4:I5"/>
    <mergeCell ref="J4:J5"/>
    <mergeCell ref="C6:E6"/>
    <mergeCell ref="B24:I24"/>
    <mergeCell ref="B20:I20"/>
    <mergeCell ref="B7:I7"/>
    <mergeCell ref="B16:I16"/>
  </mergeCells>
  <pageMargins left="0.7" right="0.6" top="0.7" bottom="0.5" header="0.3" footer="0.3"/>
  <pageSetup paperSize="9" orientation="portrait" r:id="rId1"/>
  <headerFooter>
    <oddHeader>Page &amp;P</oddHeader>
  </headerFooter>
</worksheet>
</file>

<file path=xl/worksheets/sheet26.xml><?xml version="1.0" encoding="utf-8"?>
<worksheet xmlns="http://schemas.openxmlformats.org/spreadsheetml/2006/main" xmlns:r="http://schemas.openxmlformats.org/officeDocument/2006/relationships">
  <sheetPr>
    <tabColor rgb="FF92D050"/>
  </sheetPr>
  <dimension ref="A1:M116"/>
  <sheetViews>
    <sheetView view="pageBreakPreview" zoomScaleSheetLayoutView="100" workbookViewId="0">
      <selection activeCell="B22" sqref="B22:G22"/>
    </sheetView>
  </sheetViews>
  <sheetFormatPr defaultColWidth="8.88671875" defaultRowHeight="20.100000000000001" customHeight="1"/>
  <cols>
    <col min="1" max="1" width="3.77734375" style="439" customWidth="1"/>
    <col min="2" max="2" width="30.44140625" style="439" customWidth="1"/>
    <col min="3" max="3" width="4.21875" style="457" customWidth="1"/>
    <col min="4" max="4" width="4.44140625" style="457" customWidth="1"/>
    <col min="5" max="8" width="7.6640625" style="466" customWidth="1"/>
    <col min="9" max="11" width="8.5546875" style="439" customWidth="1"/>
    <col min="12" max="16384" width="8.88671875" style="439"/>
  </cols>
  <sheetData>
    <row r="1" spans="1:13" ht="22.5" customHeight="1">
      <c r="A1" s="1631" t="s">
        <v>0</v>
      </c>
      <c r="B1" s="1631"/>
      <c r="C1" s="1631"/>
      <c r="D1" s="1631"/>
      <c r="E1" s="1631"/>
      <c r="F1" s="1631"/>
      <c r="G1" s="1631"/>
      <c r="H1" s="1631"/>
    </row>
    <row r="2" spans="1:13" ht="22.5" customHeight="1">
      <c r="A2" s="1631" t="s">
        <v>231</v>
      </c>
      <c r="B2" s="1631"/>
      <c r="C2" s="1631"/>
      <c r="D2" s="1631"/>
      <c r="E2" s="1631"/>
      <c r="F2" s="1631"/>
      <c r="G2" s="1631"/>
      <c r="H2" s="1631"/>
    </row>
    <row r="3" spans="1:13" ht="49.9" customHeight="1">
      <c r="A3" s="1632" t="str">
        <f>'Septic Tank'!A5:H5</f>
        <v>CONSTRUCTION OF NEW POLICE STATION BUILDING WITH DEVELOPMENT WORK IN  REGUNATHAPURAM IN PUDUKKOTTAI DISRICT.</v>
      </c>
      <c r="B3" s="1632"/>
      <c r="C3" s="1632"/>
      <c r="D3" s="1632"/>
      <c r="E3" s="1632"/>
      <c r="F3" s="1632"/>
      <c r="G3" s="1632"/>
      <c r="H3" s="1632"/>
    </row>
    <row r="4" spans="1:13" ht="20.100000000000001" customHeight="1">
      <c r="A4" s="1631" t="s">
        <v>1217</v>
      </c>
      <c r="B4" s="1631"/>
      <c r="C4" s="1631"/>
      <c r="D4" s="1631"/>
      <c r="E4" s="1631"/>
      <c r="F4" s="1631"/>
      <c r="G4" s="1631"/>
      <c r="H4" s="1631"/>
    </row>
    <row r="5" spans="1:13" ht="20.100000000000001" customHeight="1">
      <c r="A5" s="1633" t="s">
        <v>1184</v>
      </c>
      <c r="B5" s="1634" t="s">
        <v>88</v>
      </c>
      <c r="C5" s="1635" t="s">
        <v>54</v>
      </c>
      <c r="D5" s="1635"/>
      <c r="E5" s="1634" t="s">
        <v>89</v>
      </c>
      <c r="F5" s="1634"/>
      <c r="G5" s="1634"/>
      <c r="H5" s="1634" t="s">
        <v>8</v>
      </c>
    </row>
    <row r="6" spans="1:13" ht="20.100000000000001" customHeight="1">
      <c r="A6" s="1634"/>
      <c r="B6" s="1634"/>
      <c r="C6" s="1635"/>
      <c r="D6" s="1635"/>
      <c r="E6" s="440" t="s">
        <v>91</v>
      </c>
      <c r="F6" s="440" t="s">
        <v>6</v>
      </c>
      <c r="G6" s="440" t="s">
        <v>7</v>
      </c>
      <c r="H6" s="1634"/>
      <c r="J6" s="441"/>
    </row>
    <row r="7" spans="1:13" ht="34.9" customHeight="1">
      <c r="A7" s="238">
        <v>1</v>
      </c>
      <c r="B7" s="1576" t="s">
        <v>462</v>
      </c>
      <c r="C7" s="1577"/>
      <c r="D7" s="1577"/>
      <c r="E7" s="1577"/>
      <c r="F7" s="1577"/>
      <c r="G7" s="1578"/>
      <c r="H7" s="256"/>
      <c r="K7" s="439" t="s">
        <v>463</v>
      </c>
    </row>
    <row r="8" spans="1:13" ht="19.899999999999999" customHeight="1">
      <c r="A8" s="238"/>
      <c r="B8" s="442" t="s">
        <v>1225</v>
      </c>
      <c r="C8" s="238">
        <v>1</v>
      </c>
      <c r="D8" s="238">
        <v>2</v>
      </c>
      <c r="E8" s="256">
        <v>15</v>
      </c>
      <c r="F8" s="456" t="s">
        <v>372</v>
      </c>
      <c r="G8" s="456" t="s">
        <v>372</v>
      </c>
      <c r="H8" s="256">
        <f t="shared" ref="H8:H10" si="0">PRODUCT(C8:G8)</f>
        <v>30</v>
      </c>
      <c r="K8" s="439">
        <f>8+9+4+1</f>
        <v>22</v>
      </c>
      <c r="L8" s="439">
        <f>K8/0.6</f>
        <v>36.666666666666671</v>
      </c>
      <c r="M8" s="439">
        <f>ROUNDUP(L8,0)</f>
        <v>37</v>
      </c>
    </row>
    <row r="9" spans="1:13" ht="19.899999999999999" customHeight="1">
      <c r="A9" s="238"/>
      <c r="B9" s="442" t="s">
        <v>1226</v>
      </c>
      <c r="C9" s="238">
        <v>1</v>
      </c>
      <c r="D9" s="238">
        <v>2</v>
      </c>
      <c r="E9" s="256">
        <v>10</v>
      </c>
      <c r="F9" s="456" t="s">
        <v>372</v>
      </c>
      <c r="G9" s="456" t="s">
        <v>372</v>
      </c>
      <c r="H9" s="256">
        <f t="shared" si="0"/>
        <v>20</v>
      </c>
    </row>
    <row r="10" spans="1:13" ht="19.899999999999999" customHeight="1">
      <c r="A10" s="238"/>
      <c r="B10" s="442" t="s">
        <v>1227</v>
      </c>
      <c r="C10" s="238">
        <v>1</v>
      </c>
      <c r="D10" s="238">
        <v>80</v>
      </c>
      <c r="E10" s="256">
        <v>0.2</v>
      </c>
      <c r="F10" s="456" t="s">
        <v>372</v>
      </c>
      <c r="G10" s="456" t="s">
        <v>372</v>
      </c>
      <c r="H10" s="256">
        <f t="shared" si="0"/>
        <v>16</v>
      </c>
    </row>
    <row r="11" spans="1:13" ht="19.899999999999999" customHeight="1">
      <c r="A11" s="238"/>
      <c r="B11" s="442"/>
      <c r="C11" s="238"/>
      <c r="D11" s="238"/>
      <c r="E11" s="256"/>
      <c r="F11" s="256"/>
      <c r="G11" s="256"/>
      <c r="H11" s="256">
        <f>SUM(H8:H10)</f>
        <v>66</v>
      </c>
    </row>
    <row r="12" spans="1:13" ht="34.9" customHeight="1">
      <c r="A12" s="238"/>
      <c r="B12" s="178" t="s">
        <v>1228</v>
      </c>
      <c r="C12" s="238"/>
      <c r="D12" s="1630" t="s">
        <v>1229</v>
      </c>
      <c r="E12" s="1630"/>
      <c r="F12" s="1630"/>
      <c r="G12" s="259"/>
      <c r="H12" s="256">
        <f>66*2.31</f>
        <v>152.46</v>
      </c>
      <c r="I12" s="439">
        <f>H11/1.8</f>
        <v>36.666666666666664</v>
      </c>
      <c r="L12" s="439">
        <f>9+5.5+6</f>
        <v>20.5</v>
      </c>
    </row>
    <row r="13" spans="1:13" ht="19.899999999999999" customHeight="1">
      <c r="A13" s="238"/>
      <c r="B13" s="178"/>
      <c r="C13" s="238"/>
      <c r="D13" s="238"/>
      <c r="E13" s="238"/>
      <c r="F13" s="238"/>
      <c r="G13" s="259"/>
      <c r="H13" s="256">
        <v>0.04</v>
      </c>
    </row>
    <row r="14" spans="1:13" ht="19.899999999999999" customHeight="1">
      <c r="A14" s="238"/>
      <c r="B14" s="442"/>
      <c r="C14" s="238"/>
      <c r="D14" s="238"/>
      <c r="E14" s="256"/>
      <c r="F14" s="259" t="s">
        <v>15</v>
      </c>
      <c r="G14" s="259">
        <f>H12+H13</f>
        <v>152.5</v>
      </c>
      <c r="H14" s="266" t="s">
        <v>165</v>
      </c>
      <c r="I14" s="439" t="e">
        <f>#REF!*1.1</f>
        <v>#REF!</v>
      </c>
    </row>
    <row r="15" spans="1:13" ht="19.899999999999999" customHeight="1">
      <c r="A15" s="238">
        <v>2</v>
      </c>
      <c r="B15" s="1576" t="s">
        <v>464</v>
      </c>
      <c r="C15" s="1577"/>
      <c r="D15" s="1577"/>
      <c r="E15" s="1577"/>
      <c r="F15" s="1577"/>
      <c r="G15" s="1578"/>
      <c r="H15" s="256"/>
    </row>
    <row r="16" spans="1:13" ht="19.899999999999999" customHeight="1">
      <c r="A16" s="238"/>
      <c r="B16" s="442" t="s">
        <v>1218</v>
      </c>
      <c r="C16" s="238"/>
      <c r="D16" s="238"/>
      <c r="E16" s="256"/>
      <c r="F16" s="256"/>
      <c r="G16" s="256"/>
      <c r="H16" s="256"/>
    </row>
    <row r="17" spans="1:10" ht="19.899999999999999" customHeight="1">
      <c r="A17" s="238"/>
      <c r="B17" s="442" t="s">
        <v>465</v>
      </c>
      <c r="C17" s="238">
        <v>1</v>
      </c>
      <c r="D17" s="238">
        <v>1</v>
      </c>
      <c r="E17" s="256">
        <v>12</v>
      </c>
      <c r="F17" s="456" t="s">
        <v>372</v>
      </c>
      <c r="G17" s="456" t="s">
        <v>372</v>
      </c>
      <c r="H17" s="256">
        <f t="shared" ref="H17:H18" si="1">PRODUCT(C17:G17)</f>
        <v>12</v>
      </c>
    </row>
    <row r="18" spans="1:10" ht="19.899999999999999" customHeight="1">
      <c r="A18" s="238"/>
      <c r="B18" s="442" t="s">
        <v>282</v>
      </c>
      <c r="C18" s="238">
        <v>1</v>
      </c>
      <c r="D18" s="238">
        <v>1</v>
      </c>
      <c r="E18" s="256">
        <v>3</v>
      </c>
      <c r="F18" s="456" t="s">
        <v>372</v>
      </c>
      <c r="G18" s="456" t="s">
        <v>372</v>
      </c>
      <c r="H18" s="256">
        <f t="shared" si="1"/>
        <v>3</v>
      </c>
    </row>
    <row r="19" spans="1:10" ht="19.899999999999999" customHeight="1">
      <c r="A19" s="238"/>
      <c r="B19" s="442"/>
      <c r="C19" s="238"/>
      <c r="D19" s="238"/>
      <c r="E19" s="256"/>
      <c r="F19" s="256"/>
      <c r="G19" s="256"/>
      <c r="H19" s="256">
        <f>SUM(H17:H18)</f>
        <v>15</v>
      </c>
    </row>
    <row r="20" spans="1:10" ht="19.899999999999999" customHeight="1">
      <c r="A20" s="238"/>
      <c r="B20" s="442"/>
      <c r="C20" s="238"/>
      <c r="D20" s="238"/>
      <c r="E20" s="256"/>
      <c r="F20" s="259" t="s">
        <v>15</v>
      </c>
      <c r="G20" s="533">
        <f>H19</f>
        <v>15</v>
      </c>
      <c r="H20" s="443" t="s">
        <v>61</v>
      </c>
    </row>
    <row r="21" spans="1:10" ht="19.899999999999999" customHeight="1">
      <c r="A21" s="238"/>
      <c r="B21" s="442" t="s">
        <v>466</v>
      </c>
      <c r="C21" s="238"/>
      <c r="D21" s="238"/>
      <c r="E21" s="256"/>
      <c r="F21" s="256"/>
      <c r="G21" s="256"/>
      <c r="H21" s="256"/>
    </row>
    <row r="22" spans="1:10" ht="19.899999999999999" customHeight="1">
      <c r="A22" s="238"/>
      <c r="B22" s="442" t="s">
        <v>467</v>
      </c>
      <c r="C22" s="238">
        <v>2</v>
      </c>
      <c r="D22" s="238">
        <v>3</v>
      </c>
      <c r="E22" s="256">
        <v>1</v>
      </c>
      <c r="F22" s="456" t="s">
        <v>372</v>
      </c>
      <c r="G22" s="456" t="s">
        <v>372</v>
      </c>
      <c r="H22" s="256">
        <f>PRODUCT(C22:G22)</f>
        <v>6</v>
      </c>
    </row>
    <row r="23" spans="1:10" ht="19.899999999999999" customHeight="1">
      <c r="A23" s="238"/>
      <c r="B23" s="442"/>
      <c r="C23" s="238"/>
      <c r="D23" s="238"/>
      <c r="E23" s="256"/>
      <c r="F23" s="256"/>
      <c r="G23" s="256"/>
      <c r="H23" s="256">
        <f>SUM(H22:H22)</f>
        <v>6</v>
      </c>
    </row>
    <row r="24" spans="1:10" ht="19.899999999999999" customHeight="1">
      <c r="A24" s="238"/>
      <c r="B24" s="442"/>
      <c r="C24" s="238"/>
      <c r="D24" s="238"/>
      <c r="E24" s="256"/>
      <c r="F24" s="259" t="s">
        <v>15</v>
      </c>
      <c r="G24" s="259">
        <f>H23</f>
        <v>6</v>
      </c>
      <c r="H24" s="266" t="s">
        <v>213</v>
      </c>
    </row>
    <row r="25" spans="1:10" ht="34.9" customHeight="1">
      <c r="A25" s="444">
        <v>3</v>
      </c>
      <c r="B25" s="1636" t="s">
        <v>468</v>
      </c>
      <c r="C25" s="1637"/>
      <c r="D25" s="1637"/>
      <c r="E25" s="1637"/>
      <c r="F25" s="1637"/>
      <c r="G25" s="1638"/>
      <c r="H25" s="461"/>
    </row>
    <row r="26" spans="1:10" ht="19.899999999999999" customHeight="1">
      <c r="A26" s="444"/>
      <c r="B26" s="445" t="s">
        <v>469</v>
      </c>
      <c r="C26" s="446"/>
      <c r="D26" s="446"/>
      <c r="E26" s="462"/>
      <c r="F26" s="256"/>
      <c r="G26" s="462"/>
      <c r="H26" s="462"/>
    </row>
    <row r="27" spans="1:10" ht="19.899999999999999" customHeight="1">
      <c r="A27" s="444"/>
      <c r="B27" s="445" t="s">
        <v>1224</v>
      </c>
      <c r="C27" s="446">
        <v>1</v>
      </c>
      <c r="D27" s="446">
        <v>1</v>
      </c>
      <c r="E27" s="462">
        <v>30</v>
      </c>
      <c r="F27" s="456" t="s">
        <v>372</v>
      </c>
      <c r="G27" s="456" t="s">
        <v>372</v>
      </c>
      <c r="H27" s="462">
        <f t="shared" ref="H27:H28" si="2">E27*D27*C27</f>
        <v>30</v>
      </c>
      <c r="J27" s="439" t="s">
        <v>470</v>
      </c>
    </row>
    <row r="28" spans="1:10" ht="19.899999999999999" customHeight="1">
      <c r="A28" s="444"/>
      <c r="B28" s="445" t="s">
        <v>282</v>
      </c>
      <c r="C28" s="446">
        <v>1</v>
      </c>
      <c r="D28" s="446">
        <v>1</v>
      </c>
      <c r="E28" s="462">
        <v>40</v>
      </c>
      <c r="F28" s="456" t="s">
        <v>372</v>
      </c>
      <c r="G28" s="456" t="s">
        <v>372</v>
      </c>
      <c r="H28" s="462">
        <f t="shared" si="2"/>
        <v>40</v>
      </c>
    </row>
    <row r="29" spans="1:10" ht="19.899999999999999" customHeight="1">
      <c r="A29" s="444"/>
      <c r="B29" s="445"/>
      <c r="C29" s="446"/>
      <c r="D29" s="446"/>
      <c r="E29" s="462"/>
      <c r="F29" s="256"/>
      <c r="G29" s="462"/>
      <c r="H29" s="462">
        <f>SUM(H26:H28)</f>
        <v>70</v>
      </c>
    </row>
    <row r="30" spans="1:10" ht="19.899999999999999" customHeight="1">
      <c r="A30" s="444"/>
      <c r="B30" s="445"/>
      <c r="C30" s="446"/>
      <c r="D30" s="446"/>
      <c r="E30" s="462"/>
      <c r="F30" s="259" t="s">
        <v>15</v>
      </c>
      <c r="G30" s="259">
        <f>H29</f>
        <v>70</v>
      </c>
      <c r="H30" s="468" t="s">
        <v>61</v>
      </c>
    </row>
    <row r="31" spans="1:10" ht="49.9" customHeight="1">
      <c r="A31" s="447">
        <v>4</v>
      </c>
      <c r="B31" s="1636" t="s">
        <v>1287</v>
      </c>
      <c r="C31" s="1637"/>
      <c r="D31" s="1637"/>
      <c r="E31" s="1637"/>
      <c r="F31" s="1637"/>
      <c r="G31" s="1638"/>
      <c r="H31" s="462"/>
    </row>
    <row r="32" spans="1:10" ht="19.899999999999999" customHeight="1">
      <c r="A32" s="444"/>
      <c r="B32" s="445" t="s">
        <v>471</v>
      </c>
      <c r="C32" s="446"/>
      <c r="D32" s="446"/>
      <c r="E32" s="462"/>
      <c r="F32" s="256"/>
      <c r="G32" s="462"/>
      <c r="H32" s="462"/>
    </row>
    <row r="33" spans="1:9" ht="19.899999999999999" customHeight="1">
      <c r="A33" s="444"/>
      <c r="B33" s="445" t="s">
        <v>1223</v>
      </c>
      <c r="C33" s="446">
        <v>1</v>
      </c>
      <c r="D33" s="446">
        <v>1</v>
      </c>
      <c r="E33" s="462">
        <v>30</v>
      </c>
      <c r="F33" s="456" t="s">
        <v>372</v>
      </c>
      <c r="G33" s="456" t="s">
        <v>372</v>
      </c>
      <c r="H33" s="256">
        <f t="shared" ref="H33" si="3">E33*D33*C33</f>
        <v>30</v>
      </c>
    </row>
    <row r="34" spans="1:9" ht="19.899999999999999" customHeight="1">
      <c r="A34" s="238"/>
      <c r="B34" s="448"/>
      <c r="C34" s="238"/>
      <c r="D34" s="238"/>
      <c r="E34" s="256"/>
      <c r="F34" s="256"/>
      <c r="G34" s="256"/>
      <c r="H34" s="256">
        <f>SUM(H33:H33)</f>
        <v>30</v>
      </c>
    </row>
    <row r="35" spans="1:9" ht="19.899999999999999" customHeight="1">
      <c r="A35" s="238"/>
      <c r="B35" s="448"/>
      <c r="C35" s="238"/>
      <c r="D35" s="238"/>
      <c r="E35" s="256"/>
      <c r="F35" s="259" t="s">
        <v>15</v>
      </c>
      <c r="G35" s="259">
        <f>H34</f>
        <v>30</v>
      </c>
      <c r="H35" s="266" t="s">
        <v>61</v>
      </c>
    </row>
    <row r="36" spans="1:9" ht="34.9" customHeight="1">
      <c r="A36" s="238">
        <f>+A31+1</f>
        <v>5</v>
      </c>
      <c r="B36" s="1576" t="s">
        <v>472</v>
      </c>
      <c r="C36" s="1577"/>
      <c r="D36" s="1577"/>
      <c r="E36" s="1577"/>
      <c r="F36" s="1577"/>
      <c r="G36" s="1578"/>
      <c r="H36" s="256"/>
    </row>
    <row r="37" spans="1:9" ht="19.899999999999999" customHeight="1">
      <c r="A37" s="238"/>
      <c r="B37" s="442" t="s">
        <v>474</v>
      </c>
      <c r="C37" s="238">
        <v>1</v>
      </c>
      <c r="D37" s="238">
        <v>2</v>
      </c>
      <c r="E37" s="456" t="s">
        <v>372</v>
      </c>
      <c r="F37" s="456" t="s">
        <v>372</v>
      </c>
      <c r="G37" s="456" t="s">
        <v>372</v>
      </c>
      <c r="H37" s="256">
        <f>PRODUCT(C37:G37)</f>
        <v>2</v>
      </c>
    </row>
    <row r="38" spans="1:9" ht="19.899999999999999" customHeight="1">
      <c r="A38" s="238"/>
      <c r="B38" s="442"/>
      <c r="C38" s="238"/>
      <c r="D38" s="238"/>
      <c r="E38" s="256"/>
      <c r="F38" s="259" t="s">
        <v>15</v>
      </c>
      <c r="G38" s="259">
        <f>+H37</f>
        <v>2</v>
      </c>
      <c r="H38" s="266" t="s">
        <v>4</v>
      </c>
    </row>
    <row r="39" spans="1:9" ht="49.9" customHeight="1">
      <c r="A39" s="238">
        <f>+A36+1</f>
        <v>6</v>
      </c>
      <c r="B39" s="1576" t="s">
        <v>1288</v>
      </c>
      <c r="C39" s="1577"/>
      <c r="D39" s="1577"/>
      <c r="E39" s="1577"/>
      <c r="F39" s="1577"/>
      <c r="G39" s="1578"/>
      <c r="H39" s="256"/>
    </row>
    <row r="40" spans="1:9" ht="20.100000000000001" customHeight="1">
      <c r="A40" s="238"/>
      <c r="B40" s="442" t="s">
        <v>474</v>
      </c>
      <c r="C40" s="238">
        <f>+C37</f>
        <v>1</v>
      </c>
      <c r="D40" s="238">
        <v>2</v>
      </c>
      <c r="E40" s="456" t="s">
        <v>372</v>
      </c>
      <c r="F40" s="456" t="s">
        <v>372</v>
      </c>
      <c r="G40" s="456" t="s">
        <v>372</v>
      </c>
      <c r="H40" s="256">
        <f>PRODUCT(C40:G40)</f>
        <v>2</v>
      </c>
    </row>
    <row r="41" spans="1:9" ht="20.100000000000001" customHeight="1">
      <c r="A41" s="238"/>
      <c r="B41" s="442"/>
      <c r="C41" s="238"/>
      <c r="D41" s="238"/>
      <c r="E41" s="256"/>
      <c r="F41" s="259" t="s">
        <v>15</v>
      </c>
      <c r="G41" s="259">
        <f>+H40</f>
        <v>2</v>
      </c>
      <c r="H41" s="266" t="s">
        <v>4</v>
      </c>
    </row>
    <row r="42" spans="1:9" ht="49.9" customHeight="1">
      <c r="A42" s="238">
        <v>7</v>
      </c>
      <c r="B42" s="1576" t="s">
        <v>473</v>
      </c>
      <c r="C42" s="1577"/>
      <c r="D42" s="1577"/>
      <c r="E42" s="1577"/>
      <c r="F42" s="1577"/>
      <c r="G42" s="1578"/>
      <c r="H42" s="256"/>
    </row>
    <row r="43" spans="1:9" ht="19.899999999999999" customHeight="1">
      <c r="A43" s="238"/>
      <c r="B43" s="442" t="s">
        <v>474</v>
      </c>
      <c r="C43" s="238">
        <v>1</v>
      </c>
      <c r="D43" s="238">
        <v>1</v>
      </c>
      <c r="E43" s="456" t="s">
        <v>372</v>
      </c>
      <c r="F43" s="456" t="s">
        <v>372</v>
      </c>
      <c r="G43" s="456" t="s">
        <v>372</v>
      </c>
      <c r="H43" s="256">
        <f>PRODUCT(C43:G43)</f>
        <v>1</v>
      </c>
    </row>
    <row r="44" spans="1:9" ht="19.899999999999999" customHeight="1">
      <c r="A44" s="238"/>
      <c r="B44" s="442"/>
      <c r="C44" s="238"/>
      <c r="D44" s="238"/>
      <c r="E44" s="256"/>
      <c r="F44" s="259" t="s">
        <v>206</v>
      </c>
      <c r="G44" s="259">
        <f>H43</f>
        <v>1</v>
      </c>
      <c r="H44" s="266" t="s">
        <v>314</v>
      </c>
    </row>
    <row r="45" spans="1:9" ht="34.9" customHeight="1">
      <c r="A45" s="238">
        <v>8</v>
      </c>
      <c r="B45" s="1576" t="s">
        <v>475</v>
      </c>
      <c r="C45" s="1577"/>
      <c r="D45" s="1577"/>
      <c r="E45" s="1577"/>
      <c r="F45" s="1577"/>
      <c r="G45" s="1578"/>
      <c r="H45" s="259"/>
    </row>
    <row r="46" spans="1:9" ht="19.899999999999999" customHeight="1">
      <c r="A46" s="238"/>
      <c r="B46" s="442"/>
      <c r="C46" s="238"/>
      <c r="D46" s="238"/>
      <c r="E46" s="256"/>
      <c r="F46" s="256"/>
      <c r="G46" s="256"/>
      <c r="H46" s="256">
        <f>G35</f>
        <v>30</v>
      </c>
    </row>
    <row r="47" spans="1:9" ht="19.899999999999999" customHeight="1">
      <c r="A47" s="238"/>
      <c r="B47" s="442"/>
      <c r="C47" s="238"/>
      <c r="D47" s="238"/>
      <c r="E47" s="256"/>
      <c r="F47" s="259" t="s">
        <v>15</v>
      </c>
      <c r="G47" s="259">
        <f>+H46</f>
        <v>30</v>
      </c>
      <c r="H47" s="266" t="s">
        <v>61</v>
      </c>
      <c r="I47" s="439" t="e">
        <f>SUM(#REF!)</f>
        <v>#REF!</v>
      </c>
    </row>
    <row r="48" spans="1:9" ht="90" hidden="1" customHeight="1">
      <c r="A48" s="238">
        <f t="shared" ref="A48:A53" si="4">+A45+1</f>
        <v>9</v>
      </c>
      <c r="B48" s="442"/>
      <c r="C48" s="238"/>
      <c r="D48" s="238"/>
      <c r="E48" s="256"/>
      <c r="F48" s="259"/>
      <c r="G48" s="259"/>
      <c r="H48" s="259"/>
    </row>
    <row r="49" spans="1:9" ht="42" hidden="1" customHeight="1">
      <c r="A49" s="238">
        <f t="shared" si="4"/>
        <v>1</v>
      </c>
      <c r="B49" s="442"/>
      <c r="C49" s="238"/>
      <c r="D49" s="238"/>
      <c r="E49" s="256"/>
      <c r="F49" s="256"/>
      <c r="G49" s="256"/>
      <c r="H49" s="256"/>
    </row>
    <row r="50" spans="1:9" ht="20.100000000000001" hidden="1" customHeight="1">
      <c r="A50" s="238">
        <f t="shared" si="4"/>
        <v>1</v>
      </c>
      <c r="B50" s="442"/>
      <c r="C50" s="238"/>
      <c r="D50" s="238"/>
      <c r="E50" s="256"/>
      <c r="F50" s="259"/>
      <c r="G50" s="259"/>
      <c r="H50" s="259"/>
    </row>
    <row r="51" spans="1:9" ht="93.75" hidden="1" customHeight="1">
      <c r="A51" s="238">
        <f t="shared" si="4"/>
        <v>10</v>
      </c>
      <c r="B51" s="442"/>
      <c r="C51" s="238"/>
      <c r="D51" s="238"/>
      <c r="E51" s="256"/>
      <c r="F51" s="259"/>
      <c r="G51" s="259"/>
      <c r="H51" s="259"/>
    </row>
    <row r="52" spans="1:9" ht="55.5" hidden="1" customHeight="1">
      <c r="A52" s="238">
        <f t="shared" si="4"/>
        <v>2</v>
      </c>
      <c r="B52" s="442"/>
      <c r="C52" s="238"/>
      <c r="D52" s="238"/>
      <c r="E52" s="256"/>
      <c r="F52" s="256"/>
      <c r="G52" s="256"/>
      <c r="H52" s="256"/>
    </row>
    <row r="53" spans="1:9" ht="20.100000000000001" hidden="1" customHeight="1">
      <c r="A53" s="238">
        <f t="shared" si="4"/>
        <v>2</v>
      </c>
      <c r="B53" s="442"/>
      <c r="C53" s="238"/>
      <c r="D53" s="238"/>
      <c r="E53" s="256"/>
      <c r="F53" s="259"/>
      <c r="G53" s="259"/>
      <c r="H53" s="259"/>
      <c r="I53" s="439">
        <f>SUM(H55:H55)</f>
        <v>20</v>
      </c>
    </row>
    <row r="54" spans="1:9" ht="19.899999999999999" customHeight="1">
      <c r="A54" s="238">
        <v>9</v>
      </c>
      <c r="B54" s="1576" t="s">
        <v>476</v>
      </c>
      <c r="C54" s="1577"/>
      <c r="D54" s="1577"/>
      <c r="E54" s="1577"/>
      <c r="F54" s="1577"/>
      <c r="G54" s="1578"/>
      <c r="H54" s="259"/>
    </row>
    <row r="55" spans="1:9" ht="19.899999999999999" customHeight="1">
      <c r="A55" s="238"/>
      <c r="B55" s="442" t="s">
        <v>474</v>
      </c>
      <c r="C55" s="238">
        <v>2</v>
      </c>
      <c r="D55" s="238">
        <v>10</v>
      </c>
      <c r="E55" s="456" t="s">
        <v>372</v>
      </c>
      <c r="F55" s="456" t="s">
        <v>372</v>
      </c>
      <c r="G55" s="456" t="s">
        <v>372</v>
      </c>
      <c r="H55" s="256">
        <f t="shared" ref="H55" si="5">PRODUCT(C55:G55)</f>
        <v>20</v>
      </c>
    </row>
    <row r="56" spans="1:9" ht="19.899999999999999" customHeight="1">
      <c r="A56" s="238"/>
      <c r="B56" s="442"/>
      <c r="C56" s="238"/>
      <c r="D56" s="238"/>
      <c r="E56" s="256"/>
      <c r="F56" s="259" t="s">
        <v>15</v>
      </c>
      <c r="G56" s="259">
        <f>+H55</f>
        <v>20</v>
      </c>
      <c r="H56" s="266" t="s">
        <v>4</v>
      </c>
    </row>
    <row r="57" spans="1:9" ht="19.899999999999999" customHeight="1">
      <c r="A57" s="238">
        <v>10</v>
      </c>
      <c r="B57" s="1576" t="s">
        <v>478</v>
      </c>
      <c r="C57" s="1577"/>
      <c r="D57" s="1577"/>
      <c r="E57" s="1577"/>
      <c r="F57" s="1577"/>
      <c r="G57" s="1578"/>
      <c r="H57" s="259"/>
      <c r="I57" s="439" t="e">
        <f>SUM(#REF!)</f>
        <v>#REF!</v>
      </c>
    </row>
    <row r="58" spans="1:9" ht="19.899999999999999" customHeight="1">
      <c r="A58" s="238"/>
      <c r="B58" s="442" t="s">
        <v>1220</v>
      </c>
      <c r="C58" s="238">
        <v>1</v>
      </c>
      <c r="D58" s="238">
        <v>1</v>
      </c>
      <c r="E58" s="456" t="s">
        <v>372</v>
      </c>
      <c r="F58" s="456" t="s">
        <v>372</v>
      </c>
      <c r="G58" s="456" t="s">
        <v>372</v>
      </c>
      <c r="H58" s="256">
        <f t="shared" ref="H58:H64" si="6">PRODUCT(C58:G58)</f>
        <v>1</v>
      </c>
    </row>
    <row r="59" spans="1:9" ht="19.899999999999999" customHeight="1">
      <c r="A59" s="238"/>
      <c r="B59" s="442" t="s">
        <v>474</v>
      </c>
      <c r="C59" s="238"/>
      <c r="D59" s="238"/>
      <c r="E59" s="256"/>
      <c r="F59" s="259"/>
      <c r="G59" s="259"/>
      <c r="H59" s="256"/>
    </row>
    <row r="60" spans="1:9" ht="19.899999999999999" customHeight="1">
      <c r="A60" s="238"/>
      <c r="B60" s="442" t="s">
        <v>479</v>
      </c>
      <c r="C60" s="238">
        <v>3</v>
      </c>
      <c r="D60" s="238">
        <v>3</v>
      </c>
      <c r="E60" s="456" t="s">
        <v>372</v>
      </c>
      <c r="F60" s="456" t="s">
        <v>372</v>
      </c>
      <c r="G60" s="456" t="s">
        <v>372</v>
      </c>
      <c r="H60" s="256">
        <f t="shared" si="6"/>
        <v>9</v>
      </c>
    </row>
    <row r="61" spans="1:9" ht="19.899999999999999" customHeight="1">
      <c r="A61" s="238"/>
      <c r="B61" s="442" t="s">
        <v>1222</v>
      </c>
      <c r="C61" s="238">
        <v>1</v>
      </c>
      <c r="D61" s="238">
        <v>12</v>
      </c>
      <c r="E61" s="456" t="s">
        <v>372</v>
      </c>
      <c r="F61" s="456" t="s">
        <v>372</v>
      </c>
      <c r="G61" s="456" t="s">
        <v>372</v>
      </c>
      <c r="H61" s="256">
        <f t="shared" si="6"/>
        <v>12</v>
      </c>
    </row>
    <row r="62" spans="1:9" ht="19.899999999999999" customHeight="1">
      <c r="A62" s="238"/>
      <c r="B62" s="442" t="s">
        <v>480</v>
      </c>
      <c r="C62" s="238">
        <v>1</v>
      </c>
      <c r="D62" s="238">
        <v>2</v>
      </c>
      <c r="E62" s="456" t="s">
        <v>372</v>
      </c>
      <c r="F62" s="456" t="s">
        <v>372</v>
      </c>
      <c r="G62" s="456" t="s">
        <v>372</v>
      </c>
      <c r="H62" s="256">
        <f t="shared" si="6"/>
        <v>2</v>
      </c>
    </row>
    <row r="63" spans="1:9" ht="19.899999999999999" customHeight="1">
      <c r="A63" s="238"/>
      <c r="B63" s="442" t="s">
        <v>481</v>
      </c>
      <c r="C63" s="238">
        <v>2</v>
      </c>
      <c r="D63" s="238">
        <v>1</v>
      </c>
      <c r="E63" s="456" t="s">
        <v>372</v>
      </c>
      <c r="F63" s="456" t="s">
        <v>372</v>
      </c>
      <c r="G63" s="456" t="s">
        <v>372</v>
      </c>
      <c r="H63" s="256">
        <f t="shared" si="6"/>
        <v>2</v>
      </c>
    </row>
    <row r="64" spans="1:9" ht="19.899999999999999" customHeight="1">
      <c r="A64" s="238"/>
      <c r="B64" s="442" t="s">
        <v>1221</v>
      </c>
      <c r="C64" s="238">
        <v>2</v>
      </c>
      <c r="D64" s="238">
        <v>2</v>
      </c>
      <c r="E64" s="456" t="s">
        <v>372</v>
      </c>
      <c r="F64" s="456" t="s">
        <v>372</v>
      </c>
      <c r="G64" s="456" t="s">
        <v>372</v>
      </c>
      <c r="H64" s="256">
        <f t="shared" si="6"/>
        <v>4</v>
      </c>
    </row>
    <row r="65" spans="1:9" ht="19.899999999999999" customHeight="1">
      <c r="A65" s="238"/>
      <c r="B65" s="449"/>
      <c r="C65" s="238"/>
      <c r="D65" s="238"/>
      <c r="E65" s="256"/>
      <c r="F65" s="259"/>
      <c r="G65" s="259"/>
      <c r="H65" s="256">
        <f>SUM(H58:H64)</f>
        <v>30</v>
      </c>
    </row>
    <row r="66" spans="1:9" ht="19.899999999999999" customHeight="1">
      <c r="A66" s="238"/>
      <c r="B66" s="442"/>
      <c r="C66" s="238"/>
      <c r="D66" s="238"/>
      <c r="E66" s="256"/>
      <c r="F66" s="259" t="s">
        <v>15</v>
      </c>
      <c r="G66" s="259">
        <f>+H65</f>
        <v>30</v>
      </c>
      <c r="H66" s="266" t="s">
        <v>4</v>
      </c>
      <c r="I66" s="439">
        <f>SUM(H91:H91)</f>
        <v>4</v>
      </c>
    </row>
    <row r="67" spans="1:9" ht="19.899999999999999" customHeight="1">
      <c r="A67" s="238">
        <v>11</v>
      </c>
      <c r="B67" s="1576" t="s">
        <v>482</v>
      </c>
      <c r="C67" s="1577"/>
      <c r="D67" s="1577"/>
      <c r="E67" s="1577"/>
      <c r="F67" s="1577"/>
      <c r="G67" s="1578"/>
      <c r="H67" s="259"/>
    </row>
    <row r="68" spans="1:9" ht="19.899999999999999" customHeight="1">
      <c r="A68" s="238"/>
      <c r="B68" s="442" t="s">
        <v>1220</v>
      </c>
      <c r="C68" s="238">
        <v>1</v>
      </c>
      <c r="D68" s="238">
        <v>1</v>
      </c>
      <c r="E68" s="456" t="s">
        <v>372</v>
      </c>
      <c r="F68" s="456" t="s">
        <v>372</v>
      </c>
      <c r="G68" s="456" t="s">
        <v>372</v>
      </c>
      <c r="H68" s="256">
        <f t="shared" ref="H68:H69" si="7">PRODUCT(C68:G68)</f>
        <v>1</v>
      </c>
    </row>
    <row r="69" spans="1:9" ht="19.899999999999999" customHeight="1">
      <c r="A69" s="238"/>
      <c r="B69" s="442" t="s">
        <v>483</v>
      </c>
      <c r="C69" s="238">
        <v>2</v>
      </c>
      <c r="D69" s="238">
        <v>3</v>
      </c>
      <c r="E69" s="456" t="s">
        <v>372</v>
      </c>
      <c r="F69" s="456" t="s">
        <v>372</v>
      </c>
      <c r="G69" s="456" t="s">
        <v>372</v>
      </c>
      <c r="H69" s="256">
        <f t="shared" si="7"/>
        <v>6</v>
      </c>
    </row>
    <row r="70" spans="1:9" ht="19.899999999999999" customHeight="1">
      <c r="A70" s="242"/>
      <c r="B70" s="450" t="s">
        <v>484</v>
      </c>
      <c r="C70" s="238">
        <v>1</v>
      </c>
      <c r="D70" s="238">
        <v>2</v>
      </c>
      <c r="E70" s="456" t="s">
        <v>372</v>
      </c>
      <c r="F70" s="456" t="s">
        <v>372</v>
      </c>
      <c r="G70" s="456" t="s">
        <v>372</v>
      </c>
      <c r="H70" s="256">
        <f>PRODUCT(C70:G70)</f>
        <v>2</v>
      </c>
    </row>
    <row r="71" spans="1:9" ht="19.899999999999999" customHeight="1">
      <c r="A71" s="238"/>
      <c r="B71" s="442" t="s">
        <v>485</v>
      </c>
      <c r="C71" s="238">
        <v>1</v>
      </c>
      <c r="D71" s="238">
        <v>2</v>
      </c>
      <c r="E71" s="456" t="s">
        <v>372</v>
      </c>
      <c r="F71" s="456" t="s">
        <v>372</v>
      </c>
      <c r="G71" s="456" t="s">
        <v>372</v>
      </c>
      <c r="H71" s="256">
        <f>PRODUCT(C71:G71)</f>
        <v>2</v>
      </c>
    </row>
    <row r="72" spans="1:9" ht="19.899999999999999" customHeight="1">
      <c r="A72" s="238"/>
      <c r="B72" s="442" t="s">
        <v>486</v>
      </c>
      <c r="C72" s="238">
        <v>2</v>
      </c>
      <c r="D72" s="238">
        <v>2</v>
      </c>
      <c r="E72" s="456" t="s">
        <v>372</v>
      </c>
      <c r="F72" s="456" t="s">
        <v>372</v>
      </c>
      <c r="G72" s="456" t="s">
        <v>372</v>
      </c>
      <c r="H72" s="256">
        <f>PRODUCT(C72:G72)</f>
        <v>4</v>
      </c>
    </row>
    <row r="73" spans="1:9" ht="19.899999999999999" customHeight="1">
      <c r="A73" s="238"/>
      <c r="B73" s="442" t="s">
        <v>479</v>
      </c>
      <c r="C73" s="238">
        <v>2</v>
      </c>
      <c r="D73" s="238">
        <v>6</v>
      </c>
      <c r="E73" s="456" t="s">
        <v>372</v>
      </c>
      <c r="F73" s="456" t="s">
        <v>372</v>
      </c>
      <c r="G73" s="456" t="s">
        <v>372</v>
      </c>
      <c r="H73" s="256">
        <f>PRODUCT(C73:G73)</f>
        <v>12</v>
      </c>
    </row>
    <row r="74" spans="1:9" ht="19.899999999999999" customHeight="1">
      <c r="A74" s="238"/>
      <c r="B74" s="442"/>
      <c r="C74" s="238"/>
      <c r="D74" s="238"/>
      <c r="E74" s="256"/>
      <c r="F74" s="259"/>
      <c r="G74" s="259"/>
      <c r="H74" s="256">
        <f>SUM(H68:H73)</f>
        <v>27</v>
      </c>
    </row>
    <row r="75" spans="1:9" ht="19.899999999999999" customHeight="1">
      <c r="A75" s="238"/>
      <c r="B75" s="442"/>
      <c r="C75" s="238"/>
      <c r="D75" s="238"/>
      <c r="E75" s="256"/>
      <c r="F75" s="259" t="s">
        <v>15</v>
      </c>
      <c r="G75" s="259">
        <f>+H74</f>
        <v>27</v>
      </c>
      <c r="H75" s="266" t="s">
        <v>4</v>
      </c>
    </row>
    <row r="76" spans="1:9" ht="19.899999999999999" customHeight="1">
      <c r="A76" s="238">
        <v>12</v>
      </c>
      <c r="B76" s="1576" t="s">
        <v>487</v>
      </c>
      <c r="C76" s="1577"/>
      <c r="D76" s="1577"/>
      <c r="E76" s="1577"/>
      <c r="F76" s="1577"/>
      <c r="G76" s="1578"/>
      <c r="H76" s="259"/>
    </row>
    <row r="77" spans="1:9" ht="19.899999999999999" customHeight="1">
      <c r="A77" s="238"/>
      <c r="B77" s="442" t="s">
        <v>488</v>
      </c>
      <c r="C77" s="238"/>
      <c r="D77" s="238"/>
      <c r="E77" s="256"/>
      <c r="F77" s="259"/>
      <c r="G77" s="259"/>
      <c r="H77" s="259"/>
    </row>
    <row r="78" spans="1:9" ht="19.899999999999999" customHeight="1">
      <c r="A78" s="238"/>
      <c r="B78" s="442" t="s">
        <v>489</v>
      </c>
      <c r="C78" s="238"/>
      <c r="D78" s="238"/>
      <c r="E78" s="256"/>
      <c r="F78" s="259"/>
      <c r="G78" s="259"/>
      <c r="H78" s="256"/>
    </row>
    <row r="79" spans="1:9" ht="19.899999999999999" customHeight="1">
      <c r="A79" s="238"/>
      <c r="B79" s="442" t="s">
        <v>490</v>
      </c>
      <c r="C79" s="238">
        <v>2</v>
      </c>
      <c r="D79" s="238">
        <v>1</v>
      </c>
      <c r="E79" s="456" t="s">
        <v>372</v>
      </c>
      <c r="F79" s="456" t="s">
        <v>372</v>
      </c>
      <c r="G79" s="456" t="s">
        <v>372</v>
      </c>
      <c r="H79" s="256">
        <f t="shared" ref="H79:H81" si="8">PRODUCT(C79:G79)</f>
        <v>2</v>
      </c>
    </row>
    <row r="80" spans="1:9" ht="19.899999999999999" customHeight="1">
      <c r="A80" s="238"/>
      <c r="B80" s="442" t="s">
        <v>491</v>
      </c>
      <c r="C80" s="238">
        <v>3</v>
      </c>
      <c r="D80" s="238">
        <v>1</v>
      </c>
      <c r="E80" s="456" t="s">
        <v>372</v>
      </c>
      <c r="F80" s="456" t="s">
        <v>372</v>
      </c>
      <c r="G80" s="456" t="s">
        <v>372</v>
      </c>
      <c r="H80" s="256">
        <f t="shared" si="8"/>
        <v>3</v>
      </c>
    </row>
    <row r="81" spans="1:8" ht="19.899999999999999" customHeight="1">
      <c r="A81" s="238"/>
      <c r="B81" s="442" t="s">
        <v>492</v>
      </c>
      <c r="C81" s="238">
        <v>1</v>
      </c>
      <c r="D81" s="238">
        <v>1</v>
      </c>
      <c r="E81" s="456" t="s">
        <v>372</v>
      </c>
      <c r="F81" s="456" t="s">
        <v>372</v>
      </c>
      <c r="G81" s="456" t="s">
        <v>372</v>
      </c>
      <c r="H81" s="256">
        <f t="shared" si="8"/>
        <v>1</v>
      </c>
    </row>
    <row r="82" spans="1:8" ht="19.899999999999999" customHeight="1">
      <c r="A82" s="238"/>
      <c r="B82" s="442"/>
      <c r="C82" s="238"/>
      <c r="D82" s="238"/>
      <c r="E82" s="256"/>
      <c r="F82" s="259"/>
      <c r="G82" s="259"/>
      <c r="H82" s="256">
        <f>SUM(H78:H81)</f>
        <v>6</v>
      </c>
    </row>
    <row r="83" spans="1:8" ht="19.899999999999999" customHeight="1">
      <c r="A83" s="238"/>
      <c r="B83" s="442"/>
      <c r="C83" s="238"/>
      <c r="D83" s="238"/>
      <c r="E83" s="256"/>
      <c r="F83" s="259" t="s">
        <v>15</v>
      </c>
      <c r="G83" s="259">
        <f>+H82</f>
        <v>6</v>
      </c>
      <c r="H83" s="266" t="s">
        <v>4</v>
      </c>
    </row>
    <row r="84" spans="1:8" ht="34.9" customHeight="1">
      <c r="A84" s="238">
        <v>13</v>
      </c>
      <c r="B84" s="1576" t="s">
        <v>493</v>
      </c>
      <c r="C84" s="1577"/>
      <c r="D84" s="1577"/>
      <c r="E84" s="1577"/>
      <c r="F84" s="1577"/>
      <c r="G84" s="1578"/>
      <c r="H84" s="259"/>
    </row>
    <row r="85" spans="1:8" ht="20.100000000000001" customHeight="1">
      <c r="A85" s="238"/>
      <c r="B85" s="442" t="s">
        <v>1220</v>
      </c>
      <c r="C85" s="238">
        <v>1</v>
      </c>
      <c r="D85" s="238">
        <v>1</v>
      </c>
      <c r="E85" s="456" t="s">
        <v>372</v>
      </c>
      <c r="F85" s="456" t="s">
        <v>372</v>
      </c>
      <c r="G85" s="456" t="s">
        <v>372</v>
      </c>
      <c r="H85" s="256">
        <f t="shared" ref="H85:H87" si="9">PRODUCT(C85:G85)</f>
        <v>1</v>
      </c>
    </row>
    <row r="86" spans="1:8" ht="20.100000000000001" customHeight="1">
      <c r="A86" s="238"/>
      <c r="B86" s="442" t="s">
        <v>483</v>
      </c>
      <c r="C86" s="238">
        <v>2</v>
      </c>
      <c r="D86" s="238">
        <v>3</v>
      </c>
      <c r="E86" s="456" t="s">
        <v>372</v>
      </c>
      <c r="F86" s="456" t="s">
        <v>372</v>
      </c>
      <c r="G86" s="456" t="s">
        <v>372</v>
      </c>
      <c r="H86" s="256">
        <f t="shared" si="9"/>
        <v>6</v>
      </c>
    </row>
    <row r="87" spans="1:8" ht="20.100000000000001" customHeight="1">
      <c r="A87" s="238"/>
      <c r="B87" s="442" t="s">
        <v>107</v>
      </c>
      <c r="C87" s="238">
        <v>1</v>
      </c>
      <c r="D87" s="238">
        <v>2</v>
      </c>
      <c r="E87" s="456" t="s">
        <v>372</v>
      </c>
      <c r="F87" s="456" t="s">
        <v>372</v>
      </c>
      <c r="G87" s="456" t="s">
        <v>372</v>
      </c>
      <c r="H87" s="256">
        <f t="shared" si="9"/>
        <v>2</v>
      </c>
    </row>
    <row r="88" spans="1:8" ht="20.100000000000001" customHeight="1">
      <c r="A88" s="238"/>
      <c r="B88" s="442"/>
      <c r="C88" s="238"/>
      <c r="D88" s="238"/>
      <c r="E88" s="256"/>
      <c r="F88" s="259"/>
      <c r="G88" s="259"/>
      <c r="H88" s="256">
        <f>SUM(H85:H87)</f>
        <v>9</v>
      </c>
    </row>
    <row r="89" spans="1:8" ht="20.100000000000001" customHeight="1">
      <c r="A89" s="238"/>
      <c r="B89" s="448"/>
      <c r="C89" s="238"/>
      <c r="D89" s="238"/>
      <c r="E89" s="256"/>
      <c r="F89" s="259" t="s">
        <v>15</v>
      </c>
      <c r="G89" s="259">
        <f>+H88</f>
        <v>9</v>
      </c>
      <c r="H89" s="266" t="s">
        <v>4</v>
      </c>
    </row>
    <row r="90" spans="1:8" ht="34.9" customHeight="1">
      <c r="A90" s="238">
        <v>14</v>
      </c>
      <c r="B90" s="1576" t="s">
        <v>494</v>
      </c>
      <c r="C90" s="1577"/>
      <c r="D90" s="1577"/>
      <c r="E90" s="1577"/>
      <c r="F90" s="1577"/>
      <c r="G90" s="1578"/>
      <c r="H90" s="259"/>
    </row>
    <row r="91" spans="1:8" ht="20.100000000000001" customHeight="1">
      <c r="A91" s="238"/>
      <c r="B91" s="442" t="s">
        <v>489</v>
      </c>
      <c r="C91" s="238">
        <v>1</v>
      </c>
      <c r="D91" s="238">
        <v>4</v>
      </c>
      <c r="E91" s="456" t="s">
        <v>372</v>
      </c>
      <c r="F91" s="456" t="s">
        <v>372</v>
      </c>
      <c r="G91" s="456" t="s">
        <v>372</v>
      </c>
      <c r="H91" s="256">
        <f t="shared" ref="H91:H92" si="10">PRODUCT(C91:G91)</f>
        <v>4</v>
      </c>
    </row>
    <row r="92" spans="1:8" ht="20.100000000000001" customHeight="1">
      <c r="A92" s="238"/>
      <c r="B92" s="442" t="s">
        <v>1220</v>
      </c>
      <c r="C92" s="238">
        <v>1</v>
      </c>
      <c r="D92" s="238">
        <v>2</v>
      </c>
      <c r="E92" s="456" t="s">
        <v>372</v>
      </c>
      <c r="F92" s="456" t="s">
        <v>372</v>
      </c>
      <c r="G92" s="456" t="s">
        <v>372</v>
      </c>
      <c r="H92" s="256">
        <f t="shared" si="10"/>
        <v>2</v>
      </c>
    </row>
    <row r="93" spans="1:8" ht="20.100000000000001" customHeight="1">
      <c r="A93" s="238"/>
      <c r="B93" s="442"/>
      <c r="C93" s="238"/>
      <c r="D93" s="238"/>
      <c r="E93" s="256"/>
      <c r="F93" s="259"/>
      <c r="G93" s="259"/>
      <c r="H93" s="256">
        <f>SUM(H91:H92)</f>
        <v>6</v>
      </c>
    </row>
    <row r="94" spans="1:8" ht="20.100000000000001" customHeight="1">
      <c r="A94" s="238"/>
      <c r="B94" s="442"/>
      <c r="C94" s="238"/>
      <c r="D94" s="238"/>
      <c r="E94" s="256"/>
      <c r="F94" s="259" t="s">
        <v>15</v>
      </c>
      <c r="G94" s="259">
        <f>+H93</f>
        <v>6</v>
      </c>
      <c r="H94" s="266" t="s">
        <v>4</v>
      </c>
    </row>
    <row r="95" spans="1:8" ht="64.900000000000006" customHeight="1">
      <c r="A95" s="451">
        <v>15</v>
      </c>
      <c r="B95" s="1639" t="s">
        <v>495</v>
      </c>
      <c r="C95" s="1640"/>
      <c r="D95" s="1640"/>
      <c r="E95" s="1640"/>
      <c r="F95" s="1640"/>
      <c r="G95" s="1641"/>
      <c r="H95" s="259"/>
    </row>
    <row r="96" spans="1:8" ht="19.899999999999999" customHeight="1">
      <c r="A96" s="451"/>
      <c r="B96" s="453" t="s">
        <v>1219</v>
      </c>
      <c r="C96" s="446">
        <v>1</v>
      </c>
      <c r="D96" s="446">
        <v>1</v>
      </c>
      <c r="E96" s="462">
        <v>80</v>
      </c>
      <c r="F96" s="456" t="s">
        <v>372</v>
      </c>
      <c r="G96" s="456" t="s">
        <v>372</v>
      </c>
      <c r="H96" s="256">
        <f t="shared" ref="H96" si="11">PRODUCT(C96:G96)</f>
        <v>80</v>
      </c>
    </row>
    <row r="97" spans="1:8" ht="19.899999999999999" customHeight="1">
      <c r="A97" s="238"/>
      <c r="B97" s="442"/>
      <c r="C97" s="238"/>
      <c r="D97" s="238"/>
      <c r="E97" s="256"/>
      <c r="F97" s="259" t="s">
        <v>15</v>
      </c>
      <c r="G97" s="259">
        <f>+H96</f>
        <v>80</v>
      </c>
      <c r="H97" s="266" t="s">
        <v>4</v>
      </c>
    </row>
    <row r="98" spans="1:8" ht="19.899999999999999" customHeight="1">
      <c r="A98" s="451">
        <f>A95+1</f>
        <v>16</v>
      </c>
      <c r="B98" s="1639" t="s">
        <v>496</v>
      </c>
      <c r="C98" s="1640"/>
      <c r="D98" s="1640"/>
      <c r="E98" s="1640"/>
      <c r="F98" s="1640"/>
      <c r="G98" s="1641"/>
      <c r="H98" s="462"/>
    </row>
    <row r="99" spans="1:8" ht="19.899999999999999" customHeight="1">
      <c r="A99" s="451"/>
      <c r="B99" s="452" t="s">
        <v>497</v>
      </c>
      <c r="C99" s="446">
        <v>1</v>
      </c>
      <c r="D99" s="446">
        <v>2</v>
      </c>
      <c r="E99" s="456" t="s">
        <v>372</v>
      </c>
      <c r="F99" s="456" t="s">
        <v>372</v>
      </c>
      <c r="G99" s="456" t="s">
        <v>372</v>
      </c>
      <c r="H99" s="462">
        <f>PRODUCT(C99:G99)</f>
        <v>2</v>
      </c>
    </row>
    <row r="100" spans="1:8" ht="19.899999999999999" customHeight="1">
      <c r="A100" s="451"/>
      <c r="B100" s="452"/>
      <c r="C100" s="446"/>
      <c r="D100" s="446"/>
      <c r="E100" s="462"/>
      <c r="F100" s="259" t="s">
        <v>15</v>
      </c>
      <c r="G100" s="259">
        <f>+H99</f>
        <v>2</v>
      </c>
      <c r="H100" s="266" t="s">
        <v>4</v>
      </c>
    </row>
    <row r="101" spans="1:8" ht="19.899999999999999" customHeight="1">
      <c r="A101" s="451">
        <f>A98+1</f>
        <v>17</v>
      </c>
      <c r="B101" s="1639" t="s">
        <v>498</v>
      </c>
      <c r="C101" s="1640"/>
      <c r="D101" s="1640"/>
      <c r="E101" s="1640"/>
      <c r="F101" s="1640"/>
      <c r="G101" s="1641"/>
      <c r="H101" s="461"/>
    </row>
    <row r="102" spans="1:8" ht="19.899999999999999" customHeight="1">
      <c r="A102" s="451"/>
      <c r="B102" s="452" t="s">
        <v>499</v>
      </c>
      <c r="C102" s="446">
        <v>1</v>
      </c>
      <c r="D102" s="446">
        <v>1</v>
      </c>
      <c r="E102" s="456" t="s">
        <v>372</v>
      </c>
      <c r="F102" s="456" t="s">
        <v>372</v>
      </c>
      <c r="G102" s="456" t="s">
        <v>372</v>
      </c>
      <c r="H102" s="462">
        <f>PRODUCT(C102:G102)</f>
        <v>1</v>
      </c>
    </row>
    <row r="103" spans="1:8" ht="19.899999999999999" customHeight="1">
      <c r="A103" s="451"/>
      <c r="B103" s="452"/>
      <c r="C103" s="446"/>
      <c r="D103" s="446"/>
      <c r="E103" s="462"/>
      <c r="F103" s="259" t="s">
        <v>15</v>
      </c>
      <c r="G103" s="259">
        <f>+H102</f>
        <v>1</v>
      </c>
      <c r="H103" s="266" t="s">
        <v>54</v>
      </c>
    </row>
    <row r="104" spans="1:8" ht="19.899999999999999" customHeight="1">
      <c r="A104" s="241">
        <f>A101+1</f>
        <v>18</v>
      </c>
      <c r="B104" s="1642" t="s">
        <v>500</v>
      </c>
      <c r="C104" s="1643"/>
      <c r="D104" s="1643"/>
      <c r="E104" s="1643"/>
      <c r="F104" s="1643"/>
      <c r="G104" s="1644"/>
      <c r="H104" s="463"/>
    </row>
    <row r="105" spans="1:8" ht="19.899999999999999" customHeight="1">
      <c r="A105" s="241"/>
      <c r="B105" s="467"/>
      <c r="C105" s="446">
        <v>1</v>
      </c>
      <c r="D105" s="446">
        <v>2</v>
      </c>
      <c r="E105" s="456" t="s">
        <v>372</v>
      </c>
      <c r="F105" s="456" t="s">
        <v>372</v>
      </c>
      <c r="G105" s="456" t="s">
        <v>372</v>
      </c>
      <c r="H105" s="462">
        <f>PRODUCT(C105:G105)</f>
        <v>2</v>
      </c>
    </row>
    <row r="106" spans="1:8" ht="19.899999999999999" customHeight="1">
      <c r="A106" s="241"/>
      <c r="B106" s="449"/>
      <c r="C106" s="454"/>
      <c r="D106" s="454"/>
      <c r="E106" s="140"/>
      <c r="F106" s="259" t="s">
        <v>15</v>
      </c>
      <c r="G106" s="259">
        <f>+H105</f>
        <v>2</v>
      </c>
      <c r="H106" s="266" t="s">
        <v>4</v>
      </c>
    </row>
    <row r="107" spans="1:8" ht="19.899999999999999" customHeight="1">
      <c r="A107" s="241">
        <f>A104+1</f>
        <v>19</v>
      </c>
      <c r="B107" s="1642" t="s">
        <v>501</v>
      </c>
      <c r="C107" s="1643"/>
      <c r="D107" s="1643"/>
      <c r="E107" s="1643"/>
      <c r="F107" s="1643"/>
      <c r="G107" s="1644"/>
      <c r="H107" s="463"/>
    </row>
    <row r="108" spans="1:8" ht="19.899999999999999" customHeight="1">
      <c r="A108" s="241"/>
      <c r="B108" s="449"/>
      <c r="C108" s="454">
        <v>1</v>
      </c>
      <c r="D108" s="454">
        <v>10</v>
      </c>
      <c r="E108" s="456" t="s">
        <v>372</v>
      </c>
      <c r="F108" s="456" t="s">
        <v>372</v>
      </c>
      <c r="G108" s="456" t="s">
        <v>372</v>
      </c>
      <c r="H108" s="140">
        <f>PRODUCT(C108:G108)</f>
        <v>10</v>
      </c>
    </row>
    <row r="109" spans="1:8" ht="19.899999999999999" customHeight="1">
      <c r="A109" s="241"/>
      <c r="B109" s="449"/>
      <c r="C109" s="454"/>
      <c r="D109" s="454"/>
      <c r="E109" s="140"/>
      <c r="F109" s="259" t="s">
        <v>15</v>
      </c>
      <c r="G109" s="259">
        <f>+H108</f>
        <v>10</v>
      </c>
      <c r="H109" s="266" t="s">
        <v>4</v>
      </c>
    </row>
    <row r="110" spans="1:8" ht="75" customHeight="1">
      <c r="A110" s="383">
        <f>A107+1</f>
        <v>20</v>
      </c>
      <c r="B110" s="1645" t="s">
        <v>502</v>
      </c>
      <c r="C110" s="1646"/>
      <c r="D110" s="1646"/>
      <c r="E110" s="1646"/>
      <c r="F110" s="1646"/>
      <c r="G110" s="1647"/>
      <c r="H110" s="256"/>
    </row>
    <row r="111" spans="1:8" ht="19.899999999999999" customHeight="1">
      <c r="A111" s="383"/>
      <c r="B111" s="237" t="s">
        <v>503</v>
      </c>
      <c r="C111" s="455">
        <v>1</v>
      </c>
      <c r="D111" s="455">
        <v>1</v>
      </c>
      <c r="E111" s="456" t="s">
        <v>372</v>
      </c>
      <c r="F111" s="456" t="s">
        <v>372</v>
      </c>
      <c r="G111" s="456" t="s">
        <v>372</v>
      </c>
      <c r="H111" s="140">
        <f>PRODUCT(C111:G111)</f>
        <v>1</v>
      </c>
    </row>
    <row r="112" spans="1:8" ht="19.899999999999999" customHeight="1">
      <c r="A112" s="383"/>
      <c r="B112" s="449"/>
      <c r="C112" s="383"/>
      <c r="D112" s="383"/>
      <c r="E112" s="465"/>
      <c r="F112" s="259" t="s">
        <v>15</v>
      </c>
      <c r="G112" s="259">
        <f>+H111</f>
        <v>1</v>
      </c>
      <c r="H112" s="266" t="s">
        <v>54</v>
      </c>
    </row>
    <row r="113" spans="1:8" ht="19.899999999999999" customHeight="1">
      <c r="A113" s="383"/>
      <c r="B113" s="449"/>
      <c r="C113" s="383"/>
      <c r="D113" s="383"/>
      <c r="E113" s="465"/>
      <c r="F113" s="259"/>
      <c r="G113" s="259"/>
      <c r="H113" s="259"/>
    </row>
    <row r="116" spans="1:8" ht="20.100000000000001" customHeight="1">
      <c r="A116" s="1629"/>
      <c r="B116" s="1629"/>
      <c r="C116" s="1629"/>
      <c r="D116" s="1629"/>
      <c r="E116" s="1629"/>
      <c r="F116" s="1629"/>
      <c r="G116" s="1629"/>
      <c r="H116" s="1629"/>
    </row>
  </sheetData>
  <mergeCells count="31">
    <mergeCell ref="B98:G98"/>
    <mergeCell ref="B101:G101"/>
    <mergeCell ref="B104:G104"/>
    <mergeCell ref="B107:G107"/>
    <mergeCell ref="B110:G110"/>
    <mergeCell ref="B67:G67"/>
    <mergeCell ref="B76:G76"/>
    <mergeCell ref="B84:G84"/>
    <mergeCell ref="B90:G90"/>
    <mergeCell ref="B95:G95"/>
    <mergeCell ref="B39:G39"/>
    <mergeCell ref="B42:G42"/>
    <mergeCell ref="B45:G45"/>
    <mergeCell ref="B54:G54"/>
    <mergeCell ref="B57:G57"/>
    <mergeCell ref="A116:H116"/>
    <mergeCell ref="D12:F12"/>
    <mergeCell ref="A1:H1"/>
    <mergeCell ref="A2:H2"/>
    <mergeCell ref="A3:H3"/>
    <mergeCell ref="A4:H4"/>
    <mergeCell ref="A5:A6"/>
    <mergeCell ref="B5:B6"/>
    <mergeCell ref="C5:D6"/>
    <mergeCell ref="E5:G5"/>
    <mergeCell ref="H5:H6"/>
    <mergeCell ref="B7:G7"/>
    <mergeCell ref="B15:G15"/>
    <mergeCell ref="B25:G25"/>
    <mergeCell ref="B31:G31"/>
    <mergeCell ref="B36:G36"/>
  </mergeCells>
  <printOptions horizontalCentered="1"/>
  <pageMargins left="0.7" right="0.7" top="0.7" bottom="0.5" header="0.3" footer="0.3"/>
  <pageSetup paperSize="9" orientation="portrait" r:id="rId1"/>
  <headerFooter>
    <oddHeader>&amp;C&amp;"-,Regular"&amp;8Page &amp;P of &amp;N</oddHeader>
  </headerFooter>
</worksheet>
</file>

<file path=xl/worksheets/sheet27.xml><?xml version="1.0" encoding="utf-8"?>
<worksheet xmlns="http://schemas.openxmlformats.org/spreadsheetml/2006/main" xmlns:r="http://schemas.openxmlformats.org/officeDocument/2006/relationships">
  <sheetPr>
    <tabColor theme="5" tint="-0.249977111117893"/>
  </sheetPr>
  <dimension ref="A1:L229"/>
  <sheetViews>
    <sheetView view="pageBreakPreview" topLeftCell="A4" zoomScaleSheetLayoutView="100" workbookViewId="0">
      <selection activeCell="B22" sqref="B22:G22"/>
    </sheetView>
  </sheetViews>
  <sheetFormatPr defaultColWidth="8.88671875" defaultRowHeight="15"/>
  <cols>
    <col min="1" max="1" width="4" style="424" customWidth="1"/>
    <col min="2" max="2" width="31" style="309" customWidth="1"/>
    <col min="3" max="4" width="3.6640625" style="308" customWidth="1"/>
    <col min="5" max="8" width="8.77734375" style="306" customWidth="1"/>
    <col min="9" max="256" width="8.88671875" style="309"/>
    <col min="257" max="257" width="4" style="309" customWidth="1"/>
    <col min="258" max="258" width="31" style="309" customWidth="1"/>
    <col min="259" max="259" width="4.33203125" style="309" customWidth="1"/>
    <col min="260" max="260" width="4.21875" style="309" customWidth="1"/>
    <col min="261" max="264" width="8.77734375" style="309" customWidth="1"/>
    <col min="265" max="512" width="8.88671875" style="309"/>
    <col min="513" max="513" width="4" style="309" customWidth="1"/>
    <col min="514" max="514" width="31" style="309" customWidth="1"/>
    <col min="515" max="515" width="4.33203125" style="309" customWidth="1"/>
    <col min="516" max="516" width="4.21875" style="309" customWidth="1"/>
    <col min="517" max="520" width="8.77734375" style="309" customWidth="1"/>
    <col min="521" max="768" width="8.88671875" style="309"/>
    <col min="769" max="769" width="4" style="309" customWidth="1"/>
    <col min="770" max="770" width="31" style="309" customWidth="1"/>
    <col min="771" max="771" width="4.33203125" style="309" customWidth="1"/>
    <col min="772" max="772" width="4.21875" style="309" customWidth="1"/>
    <col min="773" max="776" width="8.77734375" style="309" customWidth="1"/>
    <col min="777" max="1024" width="8.88671875" style="309"/>
    <col min="1025" max="1025" width="4" style="309" customWidth="1"/>
    <col min="1026" max="1026" width="31" style="309" customWidth="1"/>
    <col min="1027" max="1027" width="4.33203125" style="309" customWidth="1"/>
    <col min="1028" max="1028" width="4.21875" style="309" customWidth="1"/>
    <col min="1029" max="1032" width="8.77734375" style="309" customWidth="1"/>
    <col min="1033" max="1280" width="8.88671875" style="309"/>
    <col min="1281" max="1281" width="4" style="309" customWidth="1"/>
    <col min="1282" max="1282" width="31" style="309" customWidth="1"/>
    <col min="1283" max="1283" width="4.33203125" style="309" customWidth="1"/>
    <col min="1284" max="1284" width="4.21875" style="309" customWidth="1"/>
    <col min="1285" max="1288" width="8.77734375" style="309" customWidth="1"/>
    <col min="1289" max="1536" width="8.88671875" style="309"/>
    <col min="1537" max="1537" width="4" style="309" customWidth="1"/>
    <col min="1538" max="1538" width="31" style="309" customWidth="1"/>
    <col min="1539" max="1539" width="4.33203125" style="309" customWidth="1"/>
    <col min="1540" max="1540" width="4.21875" style="309" customWidth="1"/>
    <col min="1541" max="1544" width="8.77734375" style="309" customWidth="1"/>
    <col min="1545" max="1792" width="8.88671875" style="309"/>
    <col min="1793" max="1793" width="4" style="309" customWidth="1"/>
    <col min="1794" max="1794" width="31" style="309" customWidth="1"/>
    <col min="1795" max="1795" width="4.33203125" style="309" customWidth="1"/>
    <col min="1796" max="1796" width="4.21875" style="309" customWidth="1"/>
    <col min="1797" max="1800" width="8.77734375" style="309" customWidth="1"/>
    <col min="1801" max="2048" width="8.88671875" style="309"/>
    <col min="2049" max="2049" width="4" style="309" customWidth="1"/>
    <col min="2050" max="2050" width="31" style="309" customWidth="1"/>
    <col min="2051" max="2051" width="4.33203125" style="309" customWidth="1"/>
    <col min="2052" max="2052" width="4.21875" style="309" customWidth="1"/>
    <col min="2053" max="2056" width="8.77734375" style="309" customWidth="1"/>
    <col min="2057" max="2304" width="8.88671875" style="309"/>
    <col min="2305" max="2305" width="4" style="309" customWidth="1"/>
    <col min="2306" max="2306" width="31" style="309" customWidth="1"/>
    <col min="2307" max="2307" width="4.33203125" style="309" customWidth="1"/>
    <col min="2308" max="2308" width="4.21875" style="309" customWidth="1"/>
    <col min="2309" max="2312" width="8.77734375" style="309" customWidth="1"/>
    <col min="2313" max="2560" width="8.88671875" style="309"/>
    <col min="2561" max="2561" width="4" style="309" customWidth="1"/>
    <col min="2562" max="2562" width="31" style="309" customWidth="1"/>
    <col min="2563" max="2563" width="4.33203125" style="309" customWidth="1"/>
    <col min="2564" max="2564" width="4.21875" style="309" customWidth="1"/>
    <col min="2565" max="2568" width="8.77734375" style="309" customWidth="1"/>
    <col min="2569" max="2816" width="8.88671875" style="309"/>
    <col min="2817" max="2817" width="4" style="309" customWidth="1"/>
    <col min="2818" max="2818" width="31" style="309" customWidth="1"/>
    <col min="2819" max="2819" width="4.33203125" style="309" customWidth="1"/>
    <col min="2820" max="2820" width="4.21875" style="309" customWidth="1"/>
    <col min="2821" max="2824" width="8.77734375" style="309" customWidth="1"/>
    <col min="2825" max="3072" width="8.88671875" style="309"/>
    <col min="3073" max="3073" width="4" style="309" customWidth="1"/>
    <col min="3074" max="3074" width="31" style="309" customWidth="1"/>
    <col min="3075" max="3075" width="4.33203125" style="309" customWidth="1"/>
    <col min="3076" max="3076" width="4.21875" style="309" customWidth="1"/>
    <col min="3077" max="3080" width="8.77734375" style="309" customWidth="1"/>
    <col min="3081" max="3328" width="8.88671875" style="309"/>
    <col min="3329" max="3329" width="4" style="309" customWidth="1"/>
    <col min="3330" max="3330" width="31" style="309" customWidth="1"/>
    <col min="3331" max="3331" width="4.33203125" style="309" customWidth="1"/>
    <col min="3332" max="3332" width="4.21875" style="309" customWidth="1"/>
    <col min="3333" max="3336" width="8.77734375" style="309" customWidth="1"/>
    <col min="3337" max="3584" width="8.88671875" style="309"/>
    <col min="3585" max="3585" width="4" style="309" customWidth="1"/>
    <col min="3586" max="3586" width="31" style="309" customWidth="1"/>
    <col min="3587" max="3587" width="4.33203125" style="309" customWidth="1"/>
    <col min="3588" max="3588" width="4.21875" style="309" customWidth="1"/>
    <col min="3589" max="3592" width="8.77734375" style="309" customWidth="1"/>
    <col min="3593" max="3840" width="8.88671875" style="309"/>
    <col min="3841" max="3841" width="4" style="309" customWidth="1"/>
    <col min="3842" max="3842" width="31" style="309" customWidth="1"/>
    <col min="3843" max="3843" width="4.33203125" style="309" customWidth="1"/>
    <col min="3844" max="3844" width="4.21875" style="309" customWidth="1"/>
    <col min="3845" max="3848" width="8.77734375" style="309" customWidth="1"/>
    <col min="3849" max="4096" width="8.88671875" style="309"/>
    <col min="4097" max="4097" width="4" style="309" customWidth="1"/>
    <col min="4098" max="4098" width="31" style="309" customWidth="1"/>
    <col min="4099" max="4099" width="4.33203125" style="309" customWidth="1"/>
    <col min="4100" max="4100" width="4.21875" style="309" customWidth="1"/>
    <col min="4101" max="4104" width="8.77734375" style="309" customWidth="1"/>
    <col min="4105" max="4352" width="8.88671875" style="309"/>
    <col min="4353" max="4353" width="4" style="309" customWidth="1"/>
    <col min="4354" max="4354" width="31" style="309" customWidth="1"/>
    <col min="4355" max="4355" width="4.33203125" style="309" customWidth="1"/>
    <col min="4356" max="4356" width="4.21875" style="309" customWidth="1"/>
    <col min="4357" max="4360" width="8.77734375" style="309" customWidth="1"/>
    <col min="4361" max="4608" width="8.88671875" style="309"/>
    <col min="4609" max="4609" width="4" style="309" customWidth="1"/>
    <col min="4610" max="4610" width="31" style="309" customWidth="1"/>
    <col min="4611" max="4611" width="4.33203125" style="309" customWidth="1"/>
    <col min="4612" max="4612" width="4.21875" style="309" customWidth="1"/>
    <col min="4613" max="4616" width="8.77734375" style="309" customWidth="1"/>
    <col min="4617" max="4864" width="8.88671875" style="309"/>
    <col min="4865" max="4865" width="4" style="309" customWidth="1"/>
    <col min="4866" max="4866" width="31" style="309" customWidth="1"/>
    <col min="4867" max="4867" width="4.33203125" style="309" customWidth="1"/>
    <col min="4868" max="4868" width="4.21875" style="309" customWidth="1"/>
    <col min="4869" max="4872" width="8.77734375" style="309" customWidth="1"/>
    <col min="4873" max="5120" width="8.88671875" style="309"/>
    <col min="5121" max="5121" width="4" style="309" customWidth="1"/>
    <col min="5122" max="5122" width="31" style="309" customWidth="1"/>
    <col min="5123" max="5123" width="4.33203125" style="309" customWidth="1"/>
    <col min="5124" max="5124" width="4.21875" style="309" customWidth="1"/>
    <col min="5125" max="5128" width="8.77734375" style="309" customWidth="1"/>
    <col min="5129" max="5376" width="8.88671875" style="309"/>
    <col min="5377" max="5377" width="4" style="309" customWidth="1"/>
    <col min="5378" max="5378" width="31" style="309" customWidth="1"/>
    <col min="5379" max="5379" width="4.33203125" style="309" customWidth="1"/>
    <col min="5380" max="5380" width="4.21875" style="309" customWidth="1"/>
    <col min="5381" max="5384" width="8.77734375" style="309" customWidth="1"/>
    <col min="5385" max="5632" width="8.88671875" style="309"/>
    <col min="5633" max="5633" width="4" style="309" customWidth="1"/>
    <col min="5634" max="5634" width="31" style="309" customWidth="1"/>
    <col min="5635" max="5635" width="4.33203125" style="309" customWidth="1"/>
    <col min="5636" max="5636" width="4.21875" style="309" customWidth="1"/>
    <col min="5637" max="5640" width="8.77734375" style="309" customWidth="1"/>
    <col min="5641" max="5888" width="8.88671875" style="309"/>
    <col min="5889" max="5889" width="4" style="309" customWidth="1"/>
    <col min="5890" max="5890" width="31" style="309" customWidth="1"/>
    <col min="5891" max="5891" width="4.33203125" style="309" customWidth="1"/>
    <col min="5892" max="5892" width="4.21875" style="309" customWidth="1"/>
    <col min="5893" max="5896" width="8.77734375" style="309" customWidth="1"/>
    <col min="5897" max="6144" width="8.88671875" style="309"/>
    <col min="6145" max="6145" width="4" style="309" customWidth="1"/>
    <col min="6146" max="6146" width="31" style="309" customWidth="1"/>
    <col min="6147" max="6147" width="4.33203125" style="309" customWidth="1"/>
    <col min="6148" max="6148" width="4.21875" style="309" customWidth="1"/>
    <col min="6149" max="6152" width="8.77734375" style="309" customWidth="1"/>
    <col min="6153" max="6400" width="8.88671875" style="309"/>
    <col min="6401" max="6401" width="4" style="309" customWidth="1"/>
    <col min="6402" max="6402" width="31" style="309" customWidth="1"/>
    <col min="6403" max="6403" width="4.33203125" style="309" customWidth="1"/>
    <col min="6404" max="6404" width="4.21875" style="309" customWidth="1"/>
    <col min="6405" max="6408" width="8.77734375" style="309" customWidth="1"/>
    <col min="6409" max="6656" width="8.88671875" style="309"/>
    <col min="6657" max="6657" width="4" style="309" customWidth="1"/>
    <col min="6658" max="6658" width="31" style="309" customWidth="1"/>
    <col min="6659" max="6659" width="4.33203125" style="309" customWidth="1"/>
    <col min="6660" max="6660" width="4.21875" style="309" customWidth="1"/>
    <col min="6661" max="6664" width="8.77734375" style="309" customWidth="1"/>
    <col min="6665" max="6912" width="8.88671875" style="309"/>
    <col min="6913" max="6913" width="4" style="309" customWidth="1"/>
    <col min="6914" max="6914" width="31" style="309" customWidth="1"/>
    <col min="6915" max="6915" width="4.33203125" style="309" customWidth="1"/>
    <col min="6916" max="6916" width="4.21875" style="309" customWidth="1"/>
    <col min="6917" max="6920" width="8.77734375" style="309" customWidth="1"/>
    <col min="6921" max="7168" width="8.88671875" style="309"/>
    <col min="7169" max="7169" width="4" style="309" customWidth="1"/>
    <col min="7170" max="7170" width="31" style="309" customWidth="1"/>
    <col min="7171" max="7171" width="4.33203125" style="309" customWidth="1"/>
    <col min="7172" max="7172" width="4.21875" style="309" customWidth="1"/>
    <col min="7173" max="7176" width="8.77734375" style="309" customWidth="1"/>
    <col min="7177" max="7424" width="8.88671875" style="309"/>
    <col min="7425" max="7425" width="4" style="309" customWidth="1"/>
    <col min="7426" max="7426" width="31" style="309" customWidth="1"/>
    <col min="7427" max="7427" width="4.33203125" style="309" customWidth="1"/>
    <col min="7428" max="7428" width="4.21875" style="309" customWidth="1"/>
    <col min="7429" max="7432" width="8.77734375" style="309" customWidth="1"/>
    <col min="7433" max="7680" width="8.88671875" style="309"/>
    <col min="7681" max="7681" width="4" style="309" customWidth="1"/>
    <col min="7682" max="7682" width="31" style="309" customWidth="1"/>
    <col min="7683" max="7683" width="4.33203125" style="309" customWidth="1"/>
    <col min="7684" max="7684" width="4.21875" style="309" customWidth="1"/>
    <col min="7685" max="7688" width="8.77734375" style="309" customWidth="1"/>
    <col min="7689" max="7936" width="8.88671875" style="309"/>
    <col min="7937" max="7937" width="4" style="309" customWidth="1"/>
    <col min="7938" max="7938" width="31" style="309" customWidth="1"/>
    <col min="7939" max="7939" width="4.33203125" style="309" customWidth="1"/>
    <col min="7940" max="7940" width="4.21875" style="309" customWidth="1"/>
    <col min="7941" max="7944" width="8.77734375" style="309" customWidth="1"/>
    <col min="7945" max="8192" width="8.88671875" style="309"/>
    <col min="8193" max="8193" width="4" style="309" customWidth="1"/>
    <col min="8194" max="8194" width="31" style="309" customWidth="1"/>
    <col min="8195" max="8195" width="4.33203125" style="309" customWidth="1"/>
    <col min="8196" max="8196" width="4.21875" style="309" customWidth="1"/>
    <col min="8197" max="8200" width="8.77734375" style="309" customWidth="1"/>
    <col min="8201" max="8448" width="8.88671875" style="309"/>
    <col min="8449" max="8449" width="4" style="309" customWidth="1"/>
    <col min="8450" max="8450" width="31" style="309" customWidth="1"/>
    <col min="8451" max="8451" width="4.33203125" style="309" customWidth="1"/>
    <col min="8452" max="8452" width="4.21875" style="309" customWidth="1"/>
    <col min="8453" max="8456" width="8.77734375" style="309" customWidth="1"/>
    <col min="8457" max="8704" width="8.88671875" style="309"/>
    <col min="8705" max="8705" width="4" style="309" customWidth="1"/>
    <col min="8706" max="8706" width="31" style="309" customWidth="1"/>
    <col min="8707" max="8707" width="4.33203125" style="309" customWidth="1"/>
    <col min="8708" max="8708" width="4.21875" style="309" customWidth="1"/>
    <col min="8709" max="8712" width="8.77734375" style="309" customWidth="1"/>
    <col min="8713" max="8960" width="8.88671875" style="309"/>
    <col min="8961" max="8961" width="4" style="309" customWidth="1"/>
    <col min="8962" max="8962" width="31" style="309" customWidth="1"/>
    <col min="8963" max="8963" width="4.33203125" style="309" customWidth="1"/>
    <col min="8964" max="8964" width="4.21875" style="309" customWidth="1"/>
    <col min="8965" max="8968" width="8.77734375" style="309" customWidth="1"/>
    <col min="8969" max="9216" width="8.88671875" style="309"/>
    <col min="9217" max="9217" width="4" style="309" customWidth="1"/>
    <col min="9218" max="9218" width="31" style="309" customWidth="1"/>
    <col min="9219" max="9219" width="4.33203125" style="309" customWidth="1"/>
    <col min="9220" max="9220" width="4.21875" style="309" customWidth="1"/>
    <col min="9221" max="9224" width="8.77734375" style="309" customWidth="1"/>
    <col min="9225" max="9472" width="8.88671875" style="309"/>
    <col min="9473" max="9473" width="4" style="309" customWidth="1"/>
    <col min="9474" max="9474" width="31" style="309" customWidth="1"/>
    <col min="9475" max="9475" width="4.33203125" style="309" customWidth="1"/>
    <col min="9476" max="9476" width="4.21875" style="309" customWidth="1"/>
    <col min="9477" max="9480" width="8.77734375" style="309" customWidth="1"/>
    <col min="9481" max="9728" width="8.88671875" style="309"/>
    <col min="9729" max="9729" width="4" style="309" customWidth="1"/>
    <col min="9730" max="9730" width="31" style="309" customWidth="1"/>
    <col min="9731" max="9731" width="4.33203125" style="309" customWidth="1"/>
    <col min="9732" max="9732" width="4.21875" style="309" customWidth="1"/>
    <col min="9733" max="9736" width="8.77734375" style="309" customWidth="1"/>
    <col min="9737" max="9984" width="8.88671875" style="309"/>
    <col min="9985" max="9985" width="4" style="309" customWidth="1"/>
    <col min="9986" max="9986" width="31" style="309" customWidth="1"/>
    <col min="9987" max="9987" width="4.33203125" style="309" customWidth="1"/>
    <col min="9988" max="9988" width="4.21875" style="309" customWidth="1"/>
    <col min="9989" max="9992" width="8.77734375" style="309" customWidth="1"/>
    <col min="9993" max="10240" width="8.88671875" style="309"/>
    <col min="10241" max="10241" width="4" style="309" customWidth="1"/>
    <col min="10242" max="10242" width="31" style="309" customWidth="1"/>
    <col min="10243" max="10243" width="4.33203125" style="309" customWidth="1"/>
    <col min="10244" max="10244" width="4.21875" style="309" customWidth="1"/>
    <col min="10245" max="10248" width="8.77734375" style="309" customWidth="1"/>
    <col min="10249" max="10496" width="8.88671875" style="309"/>
    <col min="10497" max="10497" width="4" style="309" customWidth="1"/>
    <col min="10498" max="10498" width="31" style="309" customWidth="1"/>
    <col min="10499" max="10499" width="4.33203125" style="309" customWidth="1"/>
    <col min="10500" max="10500" width="4.21875" style="309" customWidth="1"/>
    <col min="10501" max="10504" width="8.77734375" style="309" customWidth="1"/>
    <col min="10505" max="10752" width="8.88671875" style="309"/>
    <col min="10753" max="10753" width="4" style="309" customWidth="1"/>
    <col min="10754" max="10754" width="31" style="309" customWidth="1"/>
    <col min="10755" max="10755" width="4.33203125" style="309" customWidth="1"/>
    <col min="10756" max="10756" width="4.21875" style="309" customWidth="1"/>
    <col min="10757" max="10760" width="8.77734375" style="309" customWidth="1"/>
    <col min="10761" max="11008" width="8.88671875" style="309"/>
    <col min="11009" max="11009" width="4" style="309" customWidth="1"/>
    <col min="11010" max="11010" width="31" style="309" customWidth="1"/>
    <col min="11011" max="11011" width="4.33203125" style="309" customWidth="1"/>
    <col min="11012" max="11012" width="4.21875" style="309" customWidth="1"/>
    <col min="11013" max="11016" width="8.77734375" style="309" customWidth="1"/>
    <col min="11017" max="11264" width="8.88671875" style="309"/>
    <col min="11265" max="11265" width="4" style="309" customWidth="1"/>
    <col min="11266" max="11266" width="31" style="309" customWidth="1"/>
    <col min="11267" max="11267" width="4.33203125" style="309" customWidth="1"/>
    <col min="11268" max="11268" width="4.21875" style="309" customWidth="1"/>
    <col min="11269" max="11272" width="8.77734375" style="309" customWidth="1"/>
    <col min="11273" max="11520" width="8.88671875" style="309"/>
    <col min="11521" max="11521" width="4" style="309" customWidth="1"/>
    <col min="11522" max="11522" width="31" style="309" customWidth="1"/>
    <col min="11523" max="11523" width="4.33203125" style="309" customWidth="1"/>
    <col min="11524" max="11524" width="4.21875" style="309" customWidth="1"/>
    <col min="11525" max="11528" width="8.77734375" style="309" customWidth="1"/>
    <col min="11529" max="11776" width="8.88671875" style="309"/>
    <col min="11777" max="11777" width="4" style="309" customWidth="1"/>
    <col min="11778" max="11778" width="31" style="309" customWidth="1"/>
    <col min="11779" max="11779" width="4.33203125" style="309" customWidth="1"/>
    <col min="11780" max="11780" width="4.21875" style="309" customWidth="1"/>
    <col min="11781" max="11784" width="8.77734375" style="309" customWidth="1"/>
    <col min="11785" max="12032" width="8.88671875" style="309"/>
    <col min="12033" max="12033" width="4" style="309" customWidth="1"/>
    <col min="12034" max="12034" width="31" style="309" customWidth="1"/>
    <col min="12035" max="12035" width="4.33203125" style="309" customWidth="1"/>
    <col min="12036" max="12036" width="4.21875" style="309" customWidth="1"/>
    <col min="12037" max="12040" width="8.77734375" style="309" customWidth="1"/>
    <col min="12041" max="12288" width="8.88671875" style="309"/>
    <col min="12289" max="12289" width="4" style="309" customWidth="1"/>
    <col min="12290" max="12290" width="31" style="309" customWidth="1"/>
    <col min="12291" max="12291" width="4.33203125" style="309" customWidth="1"/>
    <col min="12292" max="12292" width="4.21875" style="309" customWidth="1"/>
    <col min="12293" max="12296" width="8.77734375" style="309" customWidth="1"/>
    <col min="12297" max="12544" width="8.88671875" style="309"/>
    <col min="12545" max="12545" width="4" style="309" customWidth="1"/>
    <col min="12546" max="12546" width="31" style="309" customWidth="1"/>
    <col min="12547" max="12547" width="4.33203125" style="309" customWidth="1"/>
    <col min="12548" max="12548" width="4.21875" style="309" customWidth="1"/>
    <col min="12549" max="12552" width="8.77734375" style="309" customWidth="1"/>
    <col min="12553" max="12800" width="8.88671875" style="309"/>
    <col min="12801" max="12801" width="4" style="309" customWidth="1"/>
    <col min="12802" max="12802" width="31" style="309" customWidth="1"/>
    <col min="12803" max="12803" width="4.33203125" style="309" customWidth="1"/>
    <col min="12804" max="12804" width="4.21875" style="309" customWidth="1"/>
    <col min="12805" max="12808" width="8.77734375" style="309" customWidth="1"/>
    <col min="12809" max="13056" width="8.88671875" style="309"/>
    <col min="13057" max="13057" width="4" style="309" customWidth="1"/>
    <col min="13058" max="13058" width="31" style="309" customWidth="1"/>
    <col min="13059" max="13059" width="4.33203125" style="309" customWidth="1"/>
    <col min="13060" max="13060" width="4.21875" style="309" customWidth="1"/>
    <col min="13061" max="13064" width="8.77734375" style="309" customWidth="1"/>
    <col min="13065" max="13312" width="8.88671875" style="309"/>
    <col min="13313" max="13313" width="4" style="309" customWidth="1"/>
    <col min="13314" max="13314" width="31" style="309" customWidth="1"/>
    <col min="13315" max="13315" width="4.33203125" style="309" customWidth="1"/>
    <col min="13316" max="13316" width="4.21875" style="309" customWidth="1"/>
    <col min="13317" max="13320" width="8.77734375" style="309" customWidth="1"/>
    <col min="13321" max="13568" width="8.88671875" style="309"/>
    <col min="13569" max="13569" width="4" style="309" customWidth="1"/>
    <col min="13570" max="13570" width="31" style="309" customWidth="1"/>
    <col min="13571" max="13571" width="4.33203125" style="309" customWidth="1"/>
    <col min="13572" max="13572" width="4.21875" style="309" customWidth="1"/>
    <col min="13573" max="13576" width="8.77734375" style="309" customWidth="1"/>
    <col min="13577" max="13824" width="8.88671875" style="309"/>
    <col min="13825" max="13825" width="4" style="309" customWidth="1"/>
    <col min="13826" max="13826" width="31" style="309" customWidth="1"/>
    <col min="13827" max="13827" width="4.33203125" style="309" customWidth="1"/>
    <col min="13828" max="13828" width="4.21875" style="309" customWidth="1"/>
    <col min="13829" max="13832" width="8.77734375" style="309" customWidth="1"/>
    <col min="13833" max="14080" width="8.88671875" style="309"/>
    <col min="14081" max="14081" width="4" style="309" customWidth="1"/>
    <col min="14082" max="14082" width="31" style="309" customWidth="1"/>
    <col min="14083" max="14083" width="4.33203125" style="309" customWidth="1"/>
    <col min="14084" max="14084" width="4.21875" style="309" customWidth="1"/>
    <col min="14085" max="14088" width="8.77734375" style="309" customWidth="1"/>
    <col min="14089" max="14336" width="8.88671875" style="309"/>
    <col min="14337" max="14337" width="4" style="309" customWidth="1"/>
    <col min="14338" max="14338" width="31" style="309" customWidth="1"/>
    <col min="14339" max="14339" width="4.33203125" style="309" customWidth="1"/>
    <col min="14340" max="14340" width="4.21875" style="309" customWidth="1"/>
    <col min="14341" max="14344" width="8.77734375" style="309" customWidth="1"/>
    <col min="14345" max="14592" width="8.88671875" style="309"/>
    <col min="14593" max="14593" width="4" style="309" customWidth="1"/>
    <col min="14594" max="14594" width="31" style="309" customWidth="1"/>
    <col min="14595" max="14595" width="4.33203125" style="309" customWidth="1"/>
    <col min="14596" max="14596" width="4.21875" style="309" customWidth="1"/>
    <col min="14597" max="14600" width="8.77734375" style="309" customWidth="1"/>
    <col min="14601" max="14848" width="8.88671875" style="309"/>
    <col min="14849" max="14849" width="4" style="309" customWidth="1"/>
    <col min="14850" max="14850" width="31" style="309" customWidth="1"/>
    <col min="14851" max="14851" width="4.33203125" style="309" customWidth="1"/>
    <col min="14852" max="14852" width="4.21875" style="309" customWidth="1"/>
    <col min="14853" max="14856" width="8.77734375" style="309" customWidth="1"/>
    <col min="14857" max="15104" width="8.88671875" style="309"/>
    <col min="15105" max="15105" width="4" style="309" customWidth="1"/>
    <col min="15106" max="15106" width="31" style="309" customWidth="1"/>
    <col min="15107" max="15107" width="4.33203125" style="309" customWidth="1"/>
    <col min="15108" max="15108" width="4.21875" style="309" customWidth="1"/>
    <col min="15109" max="15112" width="8.77734375" style="309" customWidth="1"/>
    <col min="15113" max="15360" width="8.88671875" style="309"/>
    <col min="15361" max="15361" width="4" style="309" customWidth="1"/>
    <col min="15362" max="15362" width="31" style="309" customWidth="1"/>
    <col min="15363" max="15363" width="4.33203125" style="309" customWidth="1"/>
    <col min="15364" max="15364" width="4.21875" style="309" customWidth="1"/>
    <col min="15365" max="15368" width="8.77734375" style="309" customWidth="1"/>
    <col min="15369" max="15616" width="8.88671875" style="309"/>
    <col min="15617" max="15617" width="4" style="309" customWidth="1"/>
    <col min="15618" max="15618" width="31" style="309" customWidth="1"/>
    <col min="15619" max="15619" width="4.33203125" style="309" customWidth="1"/>
    <col min="15620" max="15620" width="4.21875" style="309" customWidth="1"/>
    <col min="15621" max="15624" width="8.77734375" style="309" customWidth="1"/>
    <col min="15625" max="15872" width="8.88671875" style="309"/>
    <col min="15873" max="15873" width="4" style="309" customWidth="1"/>
    <col min="15874" max="15874" width="31" style="309" customWidth="1"/>
    <col min="15875" max="15875" width="4.33203125" style="309" customWidth="1"/>
    <col min="15876" max="15876" width="4.21875" style="309" customWidth="1"/>
    <col min="15877" max="15880" width="8.77734375" style="309" customWidth="1"/>
    <col min="15881" max="16128" width="8.88671875" style="309"/>
    <col min="16129" max="16129" width="4" style="309" customWidth="1"/>
    <col min="16130" max="16130" width="31" style="309" customWidth="1"/>
    <col min="16131" max="16131" width="4.33203125" style="309" customWidth="1"/>
    <col min="16132" max="16132" width="4.21875" style="309" customWidth="1"/>
    <col min="16133" max="16136" width="8.77734375" style="309" customWidth="1"/>
    <col min="16137" max="16384" width="8.88671875" style="309"/>
  </cols>
  <sheetData>
    <row r="1" spans="1:12" ht="19.899999999999999" customHeight="1">
      <c r="A1" s="1648" t="s">
        <v>0</v>
      </c>
      <c r="B1" s="1648"/>
      <c r="C1" s="1648"/>
      <c r="D1" s="1648"/>
      <c r="E1" s="1648"/>
      <c r="F1" s="1648"/>
      <c r="G1" s="1648"/>
      <c r="H1" s="1648"/>
      <c r="I1" s="426"/>
    </row>
    <row r="2" spans="1:12" ht="19.899999999999999" customHeight="1">
      <c r="A2" s="1648" t="s">
        <v>543</v>
      </c>
      <c r="B2" s="1648"/>
      <c r="C2" s="1648"/>
      <c r="D2" s="1648"/>
      <c r="E2" s="1648"/>
      <c r="F2" s="1648"/>
      <c r="G2" s="1648"/>
      <c r="H2" s="1648"/>
      <c r="I2" s="426"/>
    </row>
    <row r="3" spans="1:12" ht="42.75" customHeight="1">
      <c r="A3" s="1656" t="str">
        <f>'Septic Tank'!A5</f>
        <v>CONSTRUCTION OF NEW POLICE STATION BUILDING WITH DEVELOPMENT WORK IN  REGUNATHAPURAM IN PUDUKKOTTAI DISRICT.</v>
      </c>
      <c r="B3" s="1656"/>
      <c r="C3" s="1656"/>
      <c r="D3" s="1656"/>
      <c r="E3" s="1656"/>
      <c r="F3" s="1656"/>
      <c r="G3" s="1656"/>
      <c r="H3" s="1656"/>
    </row>
    <row r="4" spans="1:12" ht="10.15" customHeight="1">
      <c r="A4" s="1649"/>
      <c r="B4" s="1649"/>
      <c r="C4" s="1649"/>
      <c r="D4" s="1649"/>
      <c r="E4" s="1649"/>
      <c r="F4" s="1649"/>
      <c r="G4" s="1649"/>
      <c r="H4" s="1649"/>
    </row>
    <row r="5" spans="1:12" ht="18.75">
      <c r="A5" s="1650" t="s">
        <v>1207</v>
      </c>
      <c r="B5" s="1650"/>
      <c r="C5" s="1650"/>
      <c r="D5" s="1650"/>
      <c r="E5" s="1650"/>
      <c r="F5" s="1650"/>
      <c r="G5" s="1650"/>
      <c r="H5" s="1650"/>
    </row>
    <row r="6" spans="1:12">
      <c r="A6" s="1651"/>
      <c r="B6" s="1651"/>
      <c r="C6" s="1651"/>
      <c r="D6" s="1651"/>
      <c r="E6" s="1651"/>
      <c r="F6" s="1651"/>
      <c r="G6" s="1651"/>
      <c r="H6" s="1651"/>
    </row>
    <row r="7" spans="1:12" ht="19.899999999999999" customHeight="1">
      <c r="A7" s="1652" t="s">
        <v>1184</v>
      </c>
      <c r="B7" s="1654" t="s">
        <v>504</v>
      </c>
      <c r="C7" s="1655" t="s">
        <v>213</v>
      </c>
      <c r="D7" s="1655"/>
      <c r="E7" s="1655" t="s">
        <v>89</v>
      </c>
      <c r="F7" s="1655"/>
      <c r="G7" s="1655"/>
      <c r="H7" s="1655" t="s">
        <v>214</v>
      </c>
    </row>
    <row r="8" spans="1:12" ht="19.899999999999999" customHeight="1">
      <c r="A8" s="1653"/>
      <c r="B8" s="1654"/>
      <c r="C8" s="1655"/>
      <c r="D8" s="1655"/>
      <c r="E8" s="425" t="s">
        <v>91</v>
      </c>
      <c r="F8" s="425" t="s">
        <v>6</v>
      </c>
      <c r="G8" s="425" t="s">
        <v>7</v>
      </c>
      <c r="H8" s="1655"/>
    </row>
    <row r="9" spans="1:12" ht="25.15" customHeight="1">
      <c r="A9" s="151">
        <v>1</v>
      </c>
      <c r="B9" s="1657" t="s">
        <v>1209</v>
      </c>
      <c r="C9" s="1658"/>
      <c r="D9" s="1658"/>
      <c r="E9" s="1658"/>
      <c r="F9" s="1658"/>
      <c r="G9" s="1659"/>
      <c r="H9" s="154"/>
    </row>
    <row r="10" spans="1:12" ht="18" customHeight="1">
      <c r="A10" s="151"/>
      <c r="B10" s="155" t="s">
        <v>93</v>
      </c>
      <c r="C10" s="384">
        <v>1</v>
      </c>
      <c r="D10" s="384">
        <v>4</v>
      </c>
      <c r="E10" s="156">
        <v>1.2</v>
      </c>
      <c r="F10" s="156">
        <v>1.2</v>
      </c>
      <c r="G10" s="156">
        <v>1.2</v>
      </c>
      <c r="H10" s="154">
        <f>PRODUCT(C10:G10)</f>
        <v>6.9119999999999999</v>
      </c>
    </row>
    <row r="11" spans="1:12" ht="18" customHeight="1">
      <c r="A11" s="151"/>
      <c r="B11" s="155" t="s">
        <v>94</v>
      </c>
      <c r="C11" s="384">
        <v>1</v>
      </c>
      <c r="D11" s="381">
        <v>1</v>
      </c>
      <c r="E11" s="156">
        <v>1.46</v>
      </c>
      <c r="F11" s="156">
        <v>1.2</v>
      </c>
      <c r="G11" s="156">
        <v>0.3</v>
      </c>
      <c r="H11" s="158">
        <f>PRODUCT(C11:G11)</f>
        <v>0.52559999999999996</v>
      </c>
    </row>
    <row r="12" spans="1:12" ht="18" customHeight="1">
      <c r="A12" s="151"/>
      <c r="B12" s="155" t="s">
        <v>95</v>
      </c>
      <c r="C12" s="384">
        <v>1</v>
      </c>
      <c r="D12" s="381">
        <v>1</v>
      </c>
      <c r="E12" s="156">
        <v>10.52</v>
      </c>
      <c r="F12" s="156">
        <v>0.23</v>
      </c>
      <c r="G12" s="159">
        <v>0.1</v>
      </c>
      <c r="H12" s="158">
        <f>PRODUCT(C12:G12)</f>
        <v>0.24196000000000001</v>
      </c>
    </row>
    <row r="13" spans="1:12" ht="18" customHeight="1">
      <c r="A13" s="151"/>
      <c r="B13" s="155"/>
      <c r="C13" s="384"/>
      <c r="D13" s="157"/>
      <c r="E13" s="156"/>
      <c r="F13" s="156"/>
      <c r="G13" s="156"/>
      <c r="H13" s="158">
        <v>0.02</v>
      </c>
    </row>
    <row r="14" spans="1:12" ht="18" customHeight="1">
      <c r="A14" s="151"/>
      <c r="B14" s="155"/>
      <c r="C14" s="384"/>
      <c r="D14" s="157"/>
      <c r="E14" s="156"/>
      <c r="F14" s="156"/>
      <c r="G14" s="156"/>
      <c r="H14" s="158">
        <f>SUM(H10:H13)</f>
        <v>7.6995599999999991</v>
      </c>
    </row>
    <row r="15" spans="1:12" s="423" customFormat="1" ht="18" customHeight="1">
      <c r="A15" s="376"/>
      <c r="B15" s="160"/>
      <c r="C15" s="384"/>
      <c r="D15" s="384"/>
      <c r="E15" s="161"/>
      <c r="F15" s="161" t="s">
        <v>96</v>
      </c>
      <c r="G15" s="162">
        <f>+H14</f>
        <v>7.6995599999999991</v>
      </c>
      <c r="H15" s="163" t="s">
        <v>16</v>
      </c>
      <c r="L15" s="423">
        <f>17.28+17.28+11.57+30</f>
        <v>76.13</v>
      </c>
    </row>
    <row r="16" spans="1:12" ht="25.15" customHeight="1">
      <c r="A16" s="151">
        <f>A9+1</f>
        <v>2</v>
      </c>
      <c r="B16" s="155" t="s">
        <v>67</v>
      </c>
      <c r="C16" s="384"/>
      <c r="D16" s="157"/>
      <c r="E16" s="156"/>
      <c r="F16" s="156"/>
      <c r="G16" s="159"/>
      <c r="H16" s="158"/>
    </row>
    <row r="17" spans="1:8" ht="18" customHeight="1">
      <c r="A17" s="151"/>
      <c r="B17" s="155" t="s">
        <v>93</v>
      </c>
      <c r="C17" s="384">
        <v>1</v>
      </c>
      <c r="D17" s="381">
        <f>+D10</f>
        <v>4</v>
      </c>
      <c r="E17" s="156">
        <f>+E10</f>
        <v>1.2</v>
      </c>
      <c r="F17" s="156">
        <f>+F10</f>
        <v>1.2</v>
      </c>
      <c r="G17" s="159">
        <v>0.1</v>
      </c>
      <c r="H17" s="158">
        <f>PRODUCT(C17:G17)</f>
        <v>0.57599999999999996</v>
      </c>
    </row>
    <row r="18" spans="1:8" ht="18" customHeight="1">
      <c r="A18" s="151"/>
      <c r="B18" s="155" t="s">
        <v>94</v>
      </c>
      <c r="C18" s="384">
        <v>1</v>
      </c>
      <c r="D18" s="381">
        <v>1</v>
      </c>
      <c r="E18" s="156">
        <f>+E11</f>
        <v>1.46</v>
      </c>
      <c r="F18" s="156">
        <f>+F11</f>
        <v>1.2</v>
      </c>
      <c r="G18" s="156">
        <v>0.15</v>
      </c>
      <c r="H18" s="158">
        <f>PRODUCT(C18:G18)</f>
        <v>0.26279999999999998</v>
      </c>
    </row>
    <row r="19" spans="1:8" ht="18" customHeight="1">
      <c r="A19" s="151"/>
      <c r="B19" s="155" t="s">
        <v>97</v>
      </c>
      <c r="C19" s="384">
        <v>1</v>
      </c>
      <c r="D19" s="381">
        <v>1</v>
      </c>
      <c r="E19" s="156">
        <v>2.4</v>
      </c>
      <c r="F19" s="156">
        <v>2.4</v>
      </c>
      <c r="G19" s="156">
        <v>0.15</v>
      </c>
      <c r="H19" s="158">
        <f>PRODUCT(C19:G19)</f>
        <v>0.86399999999999999</v>
      </c>
    </row>
    <row r="20" spans="1:8" ht="18" customHeight="1">
      <c r="A20" s="151"/>
      <c r="B20" s="152"/>
      <c r="C20" s="384"/>
      <c r="D20" s="384"/>
      <c r="E20" s="153"/>
      <c r="F20" s="153"/>
      <c r="G20" s="153"/>
      <c r="H20" s="158">
        <v>0</v>
      </c>
    </row>
    <row r="21" spans="1:8" ht="18" customHeight="1">
      <c r="A21" s="151"/>
      <c r="B21" s="155"/>
      <c r="C21" s="384"/>
      <c r="D21" s="384"/>
      <c r="E21" s="153"/>
      <c r="F21" s="153"/>
      <c r="G21" s="153"/>
      <c r="H21" s="158">
        <f>SUM(H17:H20)</f>
        <v>1.7027999999999999</v>
      </c>
    </row>
    <row r="22" spans="1:8" s="423" customFormat="1" ht="18" customHeight="1">
      <c r="A22" s="376"/>
      <c r="B22" s="164"/>
      <c r="C22" s="384"/>
      <c r="D22" s="157"/>
      <c r="E22" s="162"/>
      <c r="F22" s="162" t="s">
        <v>96</v>
      </c>
      <c r="G22" s="165">
        <f>+H21</f>
        <v>1.7027999999999999</v>
      </c>
      <c r="H22" s="166" t="s">
        <v>16</v>
      </c>
    </row>
    <row r="23" spans="1:8" ht="34.9" customHeight="1">
      <c r="A23" s="151">
        <f>+A16+1</f>
        <v>3</v>
      </c>
      <c r="B23" s="1660" t="s">
        <v>621</v>
      </c>
      <c r="C23" s="1661"/>
      <c r="D23" s="1661"/>
      <c r="E23" s="1661"/>
      <c r="F23" s="1661"/>
      <c r="G23" s="1662"/>
      <c r="H23" s="158"/>
    </row>
    <row r="24" spans="1:8" ht="19.899999999999999" customHeight="1">
      <c r="A24" s="151"/>
      <c r="B24" s="385" t="s">
        <v>598</v>
      </c>
      <c r="C24" s="384"/>
      <c r="D24" s="157"/>
      <c r="E24" s="156"/>
      <c r="F24" s="156"/>
      <c r="G24" s="156"/>
      <c r="H24" s="158"/>
    </row>
    <row r="25" spans="1:8" ht="18" customHeight="1">
      <c r="A25" s="151"/>
      <c r="B25" s="152" t="s">
        <v>93</v>
      </c>
      <c r="C25" s="384">
        <v>1</v>
      </c>
      <c r="D25" s="381">
        <f>+D17</f>
        <v>4</v>
      </c>
      <c r="E25" s="153">
        <v>0.9</v>
      </c>
      <c r="F25" s="153">
        <v>0.9</v>
      </c>
      <c r="G25" s="153">
        <v>0.3</v>
      </c>
      <c r="H25" s="158">
        <f>PRODUCT(C25:G25)</f>
        <v>0.97199999999999998</v>
      </c>
    </row>
    <row r="26" spans="1:8" ht="18" customHeight="1">
      <c r="A26" s="151"/>
      <c r="B26" s="155"/>
      <c r="C26" s="384">
        <v>1</v>
      </c>
      <c r="D26" s="381">
        <f>+D25</f>
        <v>4</v>
      </c>
      <c r="E26" s="156">
        <v>0.45</v>
      </c>
      <c r="F26" s="156">
        <v>0.45</v>
      </c>
      <c r="G26" s="156">
        <v>0.6</v>
      </c>
      <c r="H26" s="158">
        <f>PRODUCT(C26:G26)</f>
        <v>0.48599999999999999</v>
      </c>
    </row>
    <row r="27" spans="1:8" ht="18" customHeight="1">
      <c r="A27" s="151"/>
      <c r="B27" s="155" t="s">
        <v>95</v>
      </c>
      <c r="C27" s="384">
        <v>1</v>
      </c>
      <c r="D27" s="381">
        <v>1</v>
      </c>
      <c r="E27" s="156">
        <f>+E12</f>
        <v>10.52</v>
      </c>
      <c r="F27" s="156">
        <v>0.23</v>
      </c>
      <c r="G27" s="156">
        <v>0.23</v>
      </c>
      <c r="H27" s="158">
        <f>PRODUCT(C27:G27)</f>
        <v>0.556508</v>
      </c>
    </row>
    <row r="28" spans="1:8" ht="18" customHeight="1">
      <c r="A28" s="151"/>
      <c r="B28" s="152" t="s">
        <v>98</v>
      </c>
      <c r="C28" s="384">
        <v>1</v>
      </c>
      <c r="D28" s="381">
        <f>+D25</f>
        <v>4</v>
      </c>
      <c r="E28" s="153">
        <v>0.23</v>
      </c>
      <c r="F28" s="153">
        <v>0.23</v>
      </c>
      <c r="G28" s="153">
        <f>1.2-0.13</f>
        <v>1.0699999999999998</v>
      </c>
      <c r="H28" s="158">
        <f>PRODUCT(C28:G28)</f>
        <v>0.22641199999999997</v>
      </c>
    </row>
    <row r="29" spans="1:8" ht="18" customHeight="1">
      <c r="A29" s="151"/>
      <c r="B29" s="155"/>
      <c r="C29" s="167"/>
      <c r="D29" s="157"/>
      <c r="E29" s="156"/>
      <c r="F29" s="156"/>
      <c r="G29" s="156"/>
      <c r="H29" s="158">
        <v>0.06</v>
      </c>
    </row>
    <row r="30" spans="1:8" ht="18" customHeight="1">
      <c r="A30" s="151"/>
      <c r="B30" s="155"/>
      <c r="C30" s="384"/>
      <c r="D30" s="157"/>
      <c r="E30" s="156"/>
      <c r="F30" s="156"/>
      <c r="G30" s="159"/>
      <c r="H30" s="158">
        <f>ROUND(SUM(H25:H29),2)</f>
        <v>2.2999999999999998</v>
      </c>
    </row>
    <row r="31" spans="1:8" s="423" customFormat="1" ht="18" customHeight="1">
      <c r="A31" s="168"/>
      <c r="B31" s="169"/>
      <c r="C31" s="176"/>
      <c r="D31" s="176"/>
      <c r="E31" s="170"/>
      <c r="F31" s="170" t="s">
        <v>96</v>
      </c>
      <c r="G31" s="170">
        <f>+H30</f>
        <v>2.2999999999999998</v>
      </c>
      <c r="H31" s="171" t="s">
        <v>16</v>
      </c>
    </row>
    <row r="32" spans="1:8" ht="25.15" customHeight="1">
      <c r="A32" s="172">
        <f>+A23+1</f>
        <v>4</v>
      </c>
      <c r="B32" s="1570" t="s">
        <v>99</v>
      </c>
      <c r="C32" s="1571"/>
      <c r="D32" s="1571"/>
      <c r="E32" s="1571"/>
      <c r="F32" s="1571"/>
      <c r="G32" s="1572"/>
      <c r="H32" s="175"/>
    </row>
    <row r="33" spans="1:8" ht="18" customHeight="1">
      <c r="A33" s="172"/>
      <c r="B33" s="173" t="s">
        <v>100</v>
      </c>
      <c r="C33" s="174">
        <v>1</v>
      </c>
      <c r="D33" s="174">
        <v>1</v>
      </c>
      <c r="E33" s="175">
        <f>+E27</f>
        <v>10.52</v>
      </c>
      <c r="F33" s="175">
        <v>0.23</v>
      </c>
      <c r="G33" s="175">
        <f>1.2-0.13</f>
        <v>1.0699999999999998</v>
      </c>
      <c r="H33" s="175">
        <f t="shared" ref="H33:H38" si="0">PRODUCT(C33:G33)</f>
        <v>2.5889719999999996</v>
      </c>
    </row>
    <row r="34" spans="1:8" ht="18" customHeight="1">
      <c r="A34" s="172"/>
      <c r="B34" s="173" t="s">
        <v>101</v>
      </c>
      <c r="C34" s="174">
        <v>1</v>
      </c>
      <c r="D34" s="174">
        <v>1</v>
      </c>
      <c r="E34" s="175">
        <f>+E18</f>
        <v>1.46</v>
      </c>
      <c r="F34" s="175">
        <v>0.3</v>
      </c>
      <c r="G34" s="175">
        <v>0.24</v>
      </c>
      <c r="H34" s="175">
        <f t="shared" si="0"/>
        <v>0.10511999999999999</v>
      </c>
    </row>
    <row r="35" spans="1:8" ht="18" customHeight="1">
      <c r="A35" s="172"/>
      <c r="B35" s="173" t="s">
        <v>102</v>
      </c>
      <c r="C35" s="174">
        <v>1</v>
      </c>
      <c r="D35" s="174">
        <v>1</v>
      </c>
      <c r="E35" s="175">
        <f>+E34</f>
        <v>1.46</v>
      </c>
      <c r="F35" s="175">
        <v>0.3</v>
      </c>
      <c r="G35" s="175">
        <f>G34*2</f>
        <v>0.48</v>
      </c>
      <c r="H35" s="175">
        <f t="shared" si="0"/>
        <v>0.21023999999999998</v>
      </c>
    </row>
    <row r="36" spans="1:8" ht="18" customHeight="1">
      <c r="A36" s="172"/>
      <c r="B36" s="173" t="s">
        <v>103</v>
      </c>
      <c r="C36" s="174">
        <v>1</v>
      </c>
      <c r="D36" s="174">
        <v>1</v>
      </c>
      <c r="E36" s="175">
        <f>+E35</f>
        <v>1.46</v>
      </c>
      <c r="F36" s="175">
        <v>0.3</v>
      </c>
      <c r="G36" s="175">
        <f>G34*3</f>
        <v>0.72</v>
      </c>
      <c r="H36" s="175">
        <f t="shared" si="0"/>
        <v>0.31535999999999997</v>
      </c>
    </row>
    <row r="37" spans="1:8" ht="18" customHeight="1">
      <c r="A37" s="172"/>
      <c r="B37" s="173" t="s">
        <v>104</v>
      </c>
      <c r="C37" s="174">
        <v>1</v>
      </c>
      <c r="D37" s="174">
        <v>1</v>
      </c>
      <c r="E37" s="175">
        <f>+E36</f>
        <v>1.46</v>
      </c>
      <c r="F37" s="175">
        <v>0.3</v>
      </c>
      <c r="G37" s="175">
        <f>G34*4</f>
        <v>0.96</v>
      </c>
      <c r="H37" s="175">
        <f t="shared" si="0"/>
        <v>0.42047999999999996</v>
      </c>
    </row>
    <row r="38" spans="1:8" ht="18" customHeight="1">
      <c r="A38" s="172"/>
      <c r="B38" s="173" t="s">
        <v>105</v>
      </c>
      <c r="C38" s="174">
        <v>-1</v>
      </c>
      <c r="D38" s="174">
        <f>+D28</f>
        <v>4</v>
      </c>
      <c r="E38" s="175">
        <v>0.23</v>
      </c>
      <c r="F38" s="175">
        <v>0.23</v>
      </c>
      <c r="G38" s="175">
        <f>+G33</f>
        <v>1.0699999999999998</v>
      </c>
      <c r="H38" s="175">
        <f t="shared" si="0"/>
        <v>-0.22641199999999997</v>
      </c>
    </row>
    <row r="39" spans="1:8" ht="18" customHeight="1">
      <c r="A39" s="172"/>
      <c r="B39" s="173"/>
      <c r="C39" s="174"/>
      <c r="D39" s="174"/>
      <c r="E39" s="175"/>
      <c r="F39" s="175"/>
      <c r="G39" s="175"/>
      <c r="H39" s="175">
        <v>0.09</v>
      </c>
    </row>
    <row r="40" spans="1:8" ht="18" customHeight="1">
      <c r="A40" s="172"/>
      <c r="B40" s="173"/>
      <c r="C40" s="174"/>
      <c r="D40" s="174"/>
      <c r="E40" s="175"/>
      <c r="F40" s="175"/>
      <c r="G40" s="175"/>
      <c r="H40" s="175">
        <f>SUM(H33:H39)</f>
        <v>3.5037599999999993</v>
      </c>
    </row>
    <row r="41" spans="1:8" s="423" customFormat="1" ht="18" customHeight="1">
      <c r="A41" s="168"/>
      <c r="B41" s="169"/>
      <c r="C41" s="174"/>
      <c r="D41" s="174"/>
      <c r="E41" s="170"/>
      <c r="F41" s="170" t="s">
        <v>96</v>
      </c>
      <c r="G41" s="170">
        <f>+H40</f>
        <v>3.5037599999999993</v>
      </c>
      <c r="H41" s="171" t="s">
        <v>16</v>
      </c>
    </row>
    <row r="42" spans="1:8" ht="25.15" customHeight="1">
      <c r="A42" s="172">
        <f>+A32+1</f>
        <v>5</v>
      </c>
      <c r="B42" s="1570" t="s">
        <v>106</v>
      </c>
      <c r="C42" s="1571"/>
      <c r="D42" s="1571"/>
      <c r="E42" s="1571"/>
      <c r="F42" s="1571"/>
      <c r="G42" s="1572"/>
      <c r="H42" s="175"/>
    </row>
    <row r="43" spans="1:8" ht="18" customHeight="1">
      <c r="A43" s="172"/>
      <c r="B43" s="173" t="s">
        <v>107</v>
      </c>
      <c r="C43" s="174">
        <v>1</v>
      </c>
      <c r="D43" s="174">
        <v>1</v>
      </c>
      <c r="E43" s="175">
        <f>+E19</f>
        <v>2.4</v>
      </c>
      <c r="F43" s="175">
        <f>+F19</f>
        <v>2.4</v>
      </c>
      <c r="G43" s="175">
        <v>0.97499999999999998</v>
      </c>
      <c r="H43" s="175">
        <f>PRODUCT(C43:G43)</f>
        <v>5.6159999999999997</v>
      </c>
    </row>
    <row r="44" spans="1:8" ht="18" customHeight="1">
      <c r="A44" s="172"/>
      <c r="B44" s="173"/>
      <c r="C44" s="174"/>
      <c r="D44" s="174"/>
      <c r="E44" s="175"/>
      <c r="F44" s="175"/>
      <c r="G44" s="175"/>
      <c r="H44" s="175">
        <v>0.08</v>
      </c>
    </row>
    <row r="45" spans="1:8" ht="18" customHeight="1">
      <c r="A45" s="172"/>
      <c r="B45" s="173"/>
      <c r="C45" s="174"/>
      <c r="D45" s="174"/>
      <c r="E45" s="175"/>
      <c r="F45" s="175"/>
      <c r="G45" s="175"/>
      <c r="H45" s="175">
        <f>SUM(H43:H44)</f>
        <v>5.6959999999999997</v>
      </c>
    </row>
    <row r="46" spans="1:8" s="423" customFormat="1" ht="18" customHeight="1">
      <c r="A46" s="168"/>
      <c r="B46" s="169"/>
      <c r="C46" s="174"/>
      <c r="D46" s="174"/>
      <c r="E46" s="170"/>
      <c r="F46" s="170" t="s">
        <v>96</v>
      </c>
      <c r="G46" s="170">
        <f>+H45</f>
        <v>5.6959999999999997</v>
      </c>
      <c r="H46" s="171" t="s">
        <v>16</v>
      </c>
    </row>
    <row r="47" spans="1:8" ht="25.15" customHeight="1">
      <c r="A47" s="172">
        <f>+A42+1</f>
        <v>6</v>
      </c>
      <c r="B47" s="1570" t="s">
        <v>108</v>
      </c>
      <c r="C47" s="1571"/>
      <c r="D47" s="1571"/>
      <c r="E47" s="1571"/>
      <c r="F47" s="1571"/>
      <c r="G47" s="1572"/>
      <c r="H47" s="175"/>
    </row>
    <row r="48" spans="1:8" ht="18" customHeight="1">
      <c r="A48" s="172"/>
      <c r="B48" s="173" t="s">
        <v>93</v>
      </c>
      <c r="C48" s="174">
        <v>1</v>
      </c>
      <c r="D48" s="174">
        <f t="shared" ref="D48:F49" si="1">+D17</f>
        <v>4</v>
      </c>
      <c r="E48" s="175">
        <f t="shared" si="1"/>
        <v>1.2</v>
      </c>
      <c r="F48" s="175">
        <f t="shared" si="1"/>
        <v>1.2</v>
      </c>
      <c r="G48" s="175">
        <v>0.1</v>
      </c>
      <c r="H48" s="175">
        <f>PRODUCT(C48:G48)</f>
        <v>0.57599999999999996</v>
      </c>
    </row>
    <row r="49" spans="1:8" ht="18" customHeight="1">
      <c r="A49" s="172"/>
      <c r="B49" s="173" t="s">
        <v>94</v>
      </c>
      <c r="C49" s="174">
        <v>1</v>
      </c>
      <c r="D49" s="174">
        <f t="shared" si="1"/>
        <v>1</v>
      </c>
      <c r="E49" s="175">
        <f t="shared" si="1"/>
        <v>1.46</v>
      </c>
      <c r="F49" s="175">
        <f t="shared" si="1"/>
        <v>1.2</v>
      </c>
      <c r="G49" s="175">
        <f>+G18</f>
        <v>0.15</v>
      </c>
      <c r="H49" s="175">
        <f>PRODUCT(C49:G49)</f>
        <v>0.26279999999999998</v>
      </c>
    </row>
    <row r="50" spans="1:8" ht="18" customHeight="1">
      <c r="A50" s="172"/>
      <c r="B50" s="173" t="s">
        <v>109</v>
      </c>
      <c r="C50" s="174">
        <v>1</v>
      </c>
      <c r="D50" s="174">
        <v>1</v>
      </c>
      <c r="E50" s="175">
        <f>+E43</f>
        <v>2.4</v>
      </c>
      <c r="F50" s="175">
        <f>+F43</f>
        <v>2.4</v>
      </c>
      <c r="G50" s="175">
        <v>7.4999999999999997E-2</v>
      </c>
      <c r="H50" s="175">
        <f>PRODUCT(C50:G50)</f>
        <v>0.432</v>
      </c>
    </row>
    <row r="51" spans="1:8" ht="18" customHeight="1">
      <c r="A51" s="172"/>
      <c r="B51" s="173" t="s">
        <v>110</v>
      </c>
      <c r="C51" s="174">
        <v>1</v>
      </c>
      <c r="D51" s="174">
        <v>1</v>
      </c>
      <c r="E51" s="175">
        <v>8.1</v>
      </c>
      <c r="F51" s="175">
        <v>4.2</v>
      </c>
      <c r="G51" s="175">
        <v>0.15</v>
      </c>
      <c r="H51" s="175">
        <f>PRODUCT(C51:G51)</f>
        <v>5.1030000000000006</v>
      </c>
    </row>
    <row r="52" spans="1:8" ht="18" customHeight="1">
      <c r="A52" s="172"/>
      <c r="B52" s="173"/>
      <c r="C52" s="174"/>
      <c r="D52" s="174"/>
      <c r="E52" s="175"/>
      <c r="F52" s="175"/>
      <c r="G52" s="175"/>
      <c r="H52" s="175">
        <v>0.03</v>
      </c>
    </row>
    <row r="53" spans="1:8" ht="18" customHeight="1">
      <c r="A53" s="172"/>
      <c r="B53" s="173"/>
      <c r="C53" s="174"/>
      <c r="D53" s="174"/>
      <c r="E53" s="175"/>
      <c r="F53" s="175"/>
      <c r="G53" s="175"/>
      <c r="H53" s="175">
        <f>SUM(H48:H52)</f>
        <v>6.4038000000000013</v>
      </c>
    </row>
    <row r="54" spans="1:8" s="423" customFormat="1" ht="18" customHeight="1">
      <c r="A54" s="168"/>
      <c r="B54" s="169"/>
      <c r="C54" s="174"/>
      <c r="D54" s="174"/>
      <c r="E54" s="170"/>
      <c r="F54" s="170" t="s">
        <v>96</v>
      </c>
      <c r="G54" s="170">
        <f>+H53</f>
        <v>6.4038000000000013</v>
      </c>
      <c r="H54" s="171" t="s">
        <v>16</v>
      </c>
    </row>
    <row r="55" spans="1:8" ht="34.9" customHeight="1">
      <c r="A55" s="172">
        <f>+A47+1</f>
        <v>7</v>
      </c>
      <c r="B55" s="1576" t="s">
        <v>621</v>
      </c>
      <c r="C55" s="1577"/>
      <c r="D55" s="1577"/>
      <c r="E55" s="1577"/>
      <c r="F55" s="1577"/>
      <c r="G55" s="1578"/>
      <c r="H55" s="175"/>
    </row>
    <row r="56" spans="1:8" ht="18" customHeight="1">
      <c r="A56" s="172"/>
      <c r="B56" s="173" t="s">
        <v>111</v>
      </c>
      <c r="C56" s="174"/>
      <c r="D56" s="174"/>
      <c r="E56" s="175"/>
      <c r="F56" s="175"/>
      <c r="G56" s="175"/>
      <c r="H56" s="175"/>
    </row>
    <row r="57" spans="1:8" ht="18" customHeight="1">
      <c r="A57" s="172"/>
      <c r="B57" s="173" t="s">
        <v>112</v>
      </c>
      <c r="C57" s="174">
        <v>1</v>
      </c>
      <c r="D57" s="174">
        <f>+D48</f>
        <v>4</v>
      </c>
      <c r="E57" s="175">
        <v>0.23</v>
      </c>
      <c r="F57" s="175">
        <v>0.23</v>
      </c>
      <c r="G57" s="175">
        <v>2.95</v>
      </c>
      <c r="H57" s="175">
        <f t="shared" ref="H57:H62" si="2">PRODUCT(C57:G57)</f>
        <v>0.62422000000000011</v>
      </c>
    </row>
    <row r="58" spans="1:8" ht="18" customHeight="1">
      <c r="A58" s="172"/>
      <c r="B58" s="173" t="s">
        <v>113</v>
      </c>
      <c r="C58" s="174">
        <v>1</v>
      </c>
      <c r="D58" s="174">
        <v>1</v>
      </c>
      <c r="E58" s="175">
        <f>+E33</f>
        <v>10.52</v>
      </c>
      <c r="F58" s="175">
        <v>0.23</v>
      </c>
      <c r="G58" s="175">
        <v>0.1</v>
      </c>
      <c r="H58" s="175">
        <f t="shared" si="2"/>
        <v>0.24196000000000001</v>
      </c>
    </row>
    <row r="59" spans="1:8" ht="18" customHeight="1">
      <c r="A59" s="172"/>
      <c r="B59" s="173" t="s">
        <v>114</v>
      </c>
      <c r="C59" s="174">
        <v>1</v>
      </c>
      <c r="D59" s="174">
        <v>1</v>
      </c>
      <c r="E59" s="175">
        <v>2.86</v>
      </c>
      <c r="F59" s="175">
        <v>2.86</v>
      </c>
      <c r="G59" s="175">
        <v>0.1</v>
      </c>
      <c r="H59" s="175">
        <f t="shared" si="2"/>
        <v>0.81795999999999991</v>
      </c>
    </row>
    <row r="60" spans="1:8" ht="18" customHeight="1">
      <c r="A60" s="172"/>
      <c r="B60" s="169" t="s">
        <v>115</v>
      </c>
      <c r="C60" s="174"/>
      <c r="D60" s="174"/>
      <c r="E60" s="175"/>
      <c r="F60" s="175"/>
      <c r="G60" s="175"/>
      <c r="H60" s="175"/>
    </row>
    <row r="61" spans="1:8" ht="18" customHeight="1">
      <c r="A61" s="172"/>
      <c r="B61" s="173" t="s">
        <v>116</v>
      </c>
      <c r="C61" s="174">
        <v>1</v>
      </c>
      <c r="D61" s="174">
        <v>1</v>
      </c>
      <c r="E61" s="175">
        <v>2.86</v>
      </c>
      <c r="F61" s="175">
        <v>0.6</v>
      </c>
      <c r="G61" s="175">
        <v>6.25E-2</v>
      </c>
      <c r="H61" s="175">
        <f t="shared" si="2"/>
        <v>0.10725</v>
      </c>
    </row>
    <row r="62" spans="1:8" ht="18" customHeight="1">
      <c r="A62" s="172"/>
      <c r="B62" s="173" t="s">
        <v>117</v>
      </c>
      <c r="C62" s="174">
        <v>1</v>
      </c>
      <c r="D62" s="174">
        <v>2</v>
      </c>
      <c r="E62" s="175">
        <f>1.2+0.46</f>
        <v>1.66</v>
      </c>
      <c r="F62" s="175">
        <v>0.45</v>
      </c>
      <c r="G62" s="175">
        <v>6.25E-2</v>
      </c>
      <c r="H62" s="175">
        <f t="shared" si="2"/>
        <v>9.3375E-2</v>
      </c>
    </row>
    <row r="63" spans="1:8" ht="18" customHeight="1">
      <c r="A63" s="172"/>
      <c r="B63" s="173"/>
      <c r="C63" s="174"/>
      <c r="D63" s="174"/>
      <c r="E63" s="175"/>
      <c r="F63" s="175"/>
      <c r="G63" s="175"/>
      <c r="H63" s="175">
        <v>0.02</v>
      </c>
    </row>
    <row r="64" spans="1:8" ht="18" customHeight="1">
      <c r="A64" s="172"/>
      <c r="B64" s="173"/>
      <c r="C64" s="176"/>
      <c r="D64" s="176"/>
      <c r="E64" s="175"/>
      <c r="F64" s="175"/>
      <c r="G64" s="175"/>
      <c r="H64" s="175">
        <f>ROUND(SUM(H57:H63),2)</f>
        <v>1.9</v>
      </c>
    </row>
    <row r="65" spans="1:8" s="423" customFormat="1" ht="18" customHeight="1">
      <c r="A65" s="168"/>
      <c r="B65" s="169"/>
      <c r="C65" s="176"/>
      <c r="D65" s="176"/>
      <c r="E65" s="170"/>
      <c r="F65" s="170" t="s">
        <v>96</v>
      </c>
      <c r="G65" s="170">
        <f>+H64</f>
        <v>1.9</v>
      </c>
      <c r="H65" s="171" t="s">
        <v>16</v>
      </c>
    </row>
    <row r="66" spans="1:8" ht="25.15" customHeight="1">
      <c r="A66" s="172">
        <f>A55+1</f>
        <v>8</v>
      </c>
      <c r="B66" s="1570" t="s">
        <v>118</v>
      </c>
      <c r="C66" s="1571"/>
      <c r="D66" s="1571"/>
      <c r="E66" s="1571"/>
      <c r="F66" s="1571"/>
      <c r="G66" s="1572"/>
      <c r="H66" s="175"/>
    </row>
    <row r="67" spans="1:8" ht="18" customHeight="1">
      <c r="A67" s="172"/>
      <c r="B67" s="173" t="s">
        <v>100</v>
      </c>
      <c r="C67" s="174">
        <v>1</v>
      </c>
      <c r="D67" s="174">
        <v>1</v>
      </c>
      <c r="E67" s="177">
        <f>+E33</f>
        <v>10.52</v>
      </c>
      <c r="F67" s="175">
        <v>0.23</v>
      </c>
      <c r="G67" s="175">
        <f>(2.6+2.4)/2</f>
        <v>2.5</v>
      </c>
      <c r="H67" s="175">
        <f>PRODUCT(C67:G67)</f>
        <v>6.0489999999999995</v>
      </c>
    </row>
    <row r="68" spans="1:8" ht="18" customHeight="1">
      <c r="A68" s="172"/>
      <c r="B68" s="173" t="s">
        <v>119</v>
      </c>
      <c r="C68" s="174">
        <v>1</v>
      </c>
      <c r="D68" s="174">
        <v>1</v>
      </c>
      <c r="E68" s="175">
        <f>+E67</f>
        <v>10.52</v>
      </c>
      <c r="F68" s="175">
        <v>0.23</v>
      </c>
      <c r="G68" s="175">
        <f>(0.45+0.25)/2</f>
        <v>0.35</v>
      </c>
      <c r="H68" s="175">
        <f t="shared" ref="H68:H73" si="3">PRODUCT(C68:G68)</f>
        <v>0.84685999999999995</v>
      </c>
    </row>
    <row r="69" spans="1:8" ht="18" customHeight="1">
      <c r="A69" s="172"/>
      <c r="B69" s="169" t="s">
        <v>120</v>
      </c>
      <c r="C69" s="174"/>
      <c r="D69" s="174"/>
      <c r="E69" s="175"/>
      <c r="F69" s="175"/>
      <c r="G69" s="175"/>
      <c r="H69" s="175"/>
    </row>
    <row r="70" spans="1:8" ht="18" customHeight="1">
      <c r="A70" s="172"/>
      <c r="B70" s="173" t="s">
        <v>113</v>
      </c>
      <c r="C70" s="174">
        <v>-1</v>
      </c>
      <c r="D70" s="174">
        <v>1</v>
      </c>
      <c r="E70" s="175">
        <f>+E67</f>
        <v>10.52</v>
      </c>
      <c r="F70" s="175">
        <v>0.23</v>
      </c>
      <c r="G70" s="175">
        <v>0.1</v>
      </c>
      <c r="H70" s="175">
        <f t="shared" si="3"/>
        <v>-0.24196000000000001</v>
      </c>
    </row>
    <row r="71" spans="1:8" ht="18" customHeight="1">
      <c r="A71" s="172"/>
      <c r="B71" s="173" t="s">
        <v>121</v>
      </c>
      <c r="C71" s="174">
        <v>-1</v>
      </c>
      <c r="D71" s="174">
        <v>1</v>
      </c>
      <c r="E71" s="175">
        <v>1</v>
      </c>
      <c r="F71" s="175">
        <v>0.23</v>
      </c>
      <c r="G71" s="175">
        <v>2.1</v>
      </c>
      <c r="H71" s="175">
        <f t="shared" si="3"/>
        <v>-0.48300000000000004</v>
      </c>
    </row>
    <row r="72" spans="1:8" ht="18" customHeight="1">
      <c r="A72" s="172"/>
      <c r="B72" s="173" t="s">
        <v>117</v>
      </c>
      <c r="C72" s="174">
        <v>-1</v>
      </c>
      <c r="D72" s="174">
        <v>2</v>
      </c>
      <c r="E72" s="175">
        <v>1.2</v>
      </c>
      <c r="F72" s="175">
        <v>0.23</v>
      </c>
      <c r="G72" s="175">
        <v>1.35</v>
      </c>
      <c r="H72" s="175">
        <f>PRODUCT(C72:G72)</f>
        <v>-0.74520000000000008</v>
      </c>
    </row>
    <row r="73" spans="1:8" ht="18" customHeight="1">
      <c r="A73" s="172"/>
      <c r="B73" s="173" t="s">
        <v>122</v>
      </c>
      <c r="C73" s="174">
        <v>-1</v>
      </c>
      <c r="D73" s="174">
        <v>1</v>
      </c>
      <c r="E73" s="175">
        <v>0.9</v>
      </c>
      <c r="F73" s="175">
        <v>0.23</v>
      </c>
      <c r="G73" s="175">
        <v>1.35</v>
      </c>
      <c r="H73" s="175">
        <f t="shared" si="3"/>
        <v>-0.27945000000000003</v>
      </c>
    </row>
    <row r="74" spans="1:8" ht="18" customHeight="1">
      <c r="A74" s="172"/>
      <c r="B74" s="173"/>
      <c r="C74" s="176"/>
      <c r="D74" s="176"/>
      <c r="E74" s="175"/>
      <c r="F74" s="175"/>
      <c r="G74" s="175"/>
      <c r="H74" s="175">
        <v>0.05</v>
      </c>
    </row>
    <row r="75" spans="1:8" ht="18" customHeight="1">
      <c r="A75" s="172"/>
      <c r="B75" s="173"/>
      <c r="C75" s="176"/>
      <c r="D75" s="176"/>
      <c r="E75" s="175"/>
      <c r="F75" s="175"/>
      <c r="G75" s="175"/>
      <c r="H75" s="175">
        <f>SUM(H67:H74)</f>
        <v>5.1962499999999991</v>
      </c>
    </row>
    <row r="76" spans="1:8" s="423" customFormat="1" ht="18" customHeight="1">
      <c r="A76" s="168"/>
      <c r="B76" s="169"/>
      <c r="C76" s="176"/>
      <c r="D76" s="176"/>
      <c r="E76" s="170"/>
      <c r="F76" s="170" t="s">
        <v>96</v>
      </c>
      <c r="G76" s="170">
        <f>+H75</f>
        <v>5.1962499999999991</v>
      </c>
      <c r="H76" s="171" t="s">
        <v>16</v>
      </c>
    </row>
    <row r="77" spans="1:8" ht="25.15" customHeight="1">
      <c r="A77" s="172">
        <f>A66+1</f>
        <v>9</v>
      </c>
      <c r="B77" s="173" t="s">
        <v>123</v>
      </c>
      <c r="C77" s="176"/>
      <c r="D77" s="176"/>
      <c r="E77" s="175"/>
      <c r="F77" s="175"/>
      <c r="G77" s="175"/>
      <c r="H77" s="175"/>
    </row>
    <row r="78" spans="1:8" ht="25.15" customHeight="1">
      <c r="A78" s="172"/>
      <c r="B78" s="1570" t="s">
        <v>1216</v>
      </c>
      <c r="C78" s="1571"/>
      <c r="D78" s="1571"/>
      <c r="E78" s="1571"/>
      <c r="F78" s="1571"/>
      <c r="G78" s="1572"/>
      <c r="H78" s="175"/>
    </row>
    <row r="79" spans="1:8" ht="18" customHeight="1">
      <c r="A79" s="172"/>
      <c r="B79" s="173" t="s">
        <v>93</v>
      </c>
      <c r="C79" s="174">
        <v>1</v>
      </c>
      <c r="D79" s="174">
        <v>4</v>
      </c>
      <c r="E79" s="175">
        <f>(0.9+0.9)*2</f>
        <v>3.6</v>
      </c>
      <c r="F79" s="175"/>
      <c r="G79" s="175">
        <v>0.3</v>
      </c>
      <c r="H79" s="175">
        <f>PRODUCT(C79:G79)</f>
        <v>4.32</v>
      </c>
    </row>
    <row r="80" spans="1:8" ht="18" customHeight="1">
      <c r="A80" s="172"/>
      <c r="B80" s="173"/>
      <c r="C80" s="174">
        <v>1</v>
      </c>
      <c r="D80" s="174">
        <v>4</v>
      </c>
      <c r="E80" s="175">
        <f>(0.45+0.45)*2</f>
        <v>1.8</v>
      </c>
      <c r="F80" s="175"/>
      <c r="G80" s="175">
        <v>0.6</v>
      </c>
      <c r="H80" s="175">
        <f>PRODUCT(C80:G80)</f>
        <v>4.32</v>
      </c>
    </row>
    <row r="81" spans="1:8" ht="18" customHeight="1">
      <c r="A81" s="172"/>
      <c r="B81" s="173" t="s">
        <v>95</v>
      </c>
      <c r="C81" s="174">
        <v>2</v>
      </c>
      <c r="D81" s="174">
        <v>1</v>
      </c>
      <c r="E81" s="175">
        <v>10.52</v>
      </c>
      <c r="F81" s="175"/>
      <c r="G81" s="175">
        <v>0.23</v>
      </c>
      <c r="H81" s="175">
        <f>PRODUCT(C81:G81)</f>
        <v>4.8391999999999999</v>
      </c>
    </row>
    <row r="82" spans="1:8" ht="18" customHeight="1">
      <c r="A82" s="172"/>
      <c r="B82" s="173"/>
      <c r="C82" s="176"/>
      <c r="D82" s="176"/>
      <c r="E82" s="175"/>
      <c r="F82" s="175"/>
      <c r="G82" s="175"/>
      <c r="H82" s="175">
        <v>0.02</v>
      </c>
    </row>
    <row r="83" spans="1:8" ht="18" customHeight="1">
      <c r="A83" s="172"/>
      <c r="B83" s="173"/>
      <c r="C83" s="176"/>
      <c r="D83" s="176"/>
      <c r="E83" s="175"/>
      <c r="F83" s="175"/>
      <c r="G83" s="175"/>
      <c r="H83" s="175">
        <f>SUM(H79:H82)</f>
        <v>13.4992</v>
      </c>
    </row>
    <row r="84" spans="1:8" s="423" customFormat="1" ht="18" customHeight="1">
      <c r="A84" s="168"/>
      <c r="B84" s="169"/>
      <c r="C84" s="176"/>
      <c r="D84" s="176"/>
      <c r="E84" s="170"/>
      <c r="F84" s="170" t="s">
        <v>96</v>
      </c>
      <c r="G84" s="170">
        <f>+H83</f>
        <v>13.4992</v>
      </c>
      <c r="H84" s="171" t="s">
        <v>37</v>
      </c>
    </row>
    <row r="85" spans="1:8" ht="34.9" customHeight="1">
      <c r="A85" s="172"/>
      <c r="B85" s="1570" t="s">
        <v>125</v>
      </c>
      <c r="C85" s="1571"/>
      <c r="D85" s="1571"/>
      <c r="E85" s="1571"/>
      <c r="F85" s="1571"/>
      <c r="G85" s="1572"/>
      <c r="H85" s="175"/>
    </row>
    <row r="86" spans="1:8" ht="18" customHeight="1">
      <c r="A86" s="172"/>
      <c r="B86" s="169" t="s">
        <v>107</v>
      </c>
      <c r="C86" s="176"/>
      <c r="D86" s="176"/>
      <c r="E86" s="175"/>
      <c r="F86" s="175"/>
      <c r="G86" s="175"/>
      <c r="H86" s="175"/>
    </row>
    <row r="87" spans="1:8" ht="18" customHeight="1">
      <c r="A87" s="172"/>
      <c r="B87" s="173" t="s">
        <v>113</v>
      </c>
      <c r="C87" s="174">
        <v>2</v>
      </c>
      <c r="D87" s="174">
        <v>1</v>
      </c>
      <c r="E87" s="175">
        <v>10.52</v>
      </c>
      <c r="F87" s="175"/>
      <c r="G87" s="175">
        <v>0.1</v>
      </c>
      <c r="H87" s="175">
        <f t="shared" ref="H87:H94" si="4">PRODUCT(C87:G87)</f>
        <v>2.1040000000000001</v>
      </c>
    </row>
    <row r="88" spans="1:8" ht="18" customHeight="1">
      <c r="A88" s="172"/>
      <c r="B88" s="173" t="s">
        <v>126</v>
      </c>
      <c r="C88" s="174">
        <v>2</v>
      </c>
      <c r="D88" s="174">
        <v>1</v>
      </c>
      <c r="E88" s="175">
        <f>(2.86+2.86)*2</f>
        <v>11.44</v>
      </c>
      <c r="F88" s="175"/>
      <c r="G88" s="175">
        <v>0.1</v>
      </c>
      <c r="H88" s="175">
        <f t="shared" si="4"/>
        <v>2.2879999999999998</v>
      </c>
    </row>
    <row r="89" spans="1:8" ht="18" customHeight="1">
      <c r="A89" s="172"/>
      <c r="B89" s="173" t="s">
        <v>127</v>
      </c>
      <c r="C89" s="174">
        <v>1</v>
      </c>
      <c r="D89" s="174">
        <v>1</v>
      </c>
      <c r="E89" s="175">
        <v>2.4</v>
      </c>
      <c r="F89" s="175">
        <v>2.4</v>
      </c>
      <c r="G89" s="175"/>
      <c r="H89" s="175">
        <f t="shared" si="4"/>
        <v>5.76</v>
      </c>
    </row>
    <row r="90" spans="1:8" ht="18" customHeight="1">
      <c r="A90" s="172"/>
      <c r="B90" s="169" t="s">
        <v>115</v>
      </c>
      <c r="C90" s="174"/>
      <c r="D90" s="174"/>
      <c r="E90" s="175"/>
      <c r="F90" s="175"/>
      <c r="G90" s="175"/>
      <c r="H90" s="175"/>
    </row>
    <row r="91" spans="1:8" ht="18" customHeight="1">
      <c r="A91" s="172"/>
      <c r="B91" s="173" t="s">
        <v>128</v>
      </c>
      <c r="C91" s="174">
        <v>1</v>
      </c>
      <c r="D91" s="174">
        <v>1</v>
      </c>
      <c r="E91" s="175">
        <f>2.86+0.6+0.6</f>
        <v>4.0599999999999996</v>
      </c>
      <c r="F91" s="175"/>
      <c r="G91" s="175">
        <v>6.25E-2</v>
      </c>
      <c r="H91" s="175">
        <f t="shared" si="4"/>
        <v>0.25374999999999998</v>
      </c>
    </row>
    <row r="92" spans="1:8" ht="18" customHeight="1">
      <c r="A92" s="172"/>
      <c r="B92" s="173" t="s">
        <v>129</v>
      </c>
      <c r="C92" s="174">
        <v>1</v>
      </c>
      <c r="D92" s="174">
        <v>1</v>
      </c>
      <c r="E92" s="175">
        <v>2.86</v>
      </c>
      <c r="F92" s="175">
        <v>0.6</v>
      </c>
      <c r="G92" s="175"/>
      <c r="H92" s="175">
        <f t="shared" si="4"/>
        <v>1.716</v>
      </c>
    </row>
    <row r="93" spans="1:8" ht="18" customHeight="1">
      <c r="A93" s="172"/>
      <c r="B93" s="173" t="s">
        <v>130</v>
      </c>
      <c r="C93" s="174">
        <v>1</v>
      </c>
      <c r="D93" s="174">
        <v>2</v>
      </c>
      <c r="E93" s="175">
        <f>1.2+0.46+0.45+0.45</f>
        <v>2.56</v>
      </c>
      <c r="F93" s="175"/>
      <c r="G93" s="175">
        <v>6.25E-2</v>
      </c>
      <c r="H93" s="175">
        <f t="shared" si="4"/>
        <v>0.32</v>
      </c>
    </row>
    <row r="94" spans="1:8" ht="18" customHeight="1">
      <c r="A94" s="172"/>
      <c r="B94" s="173" t="s">
        <v>129</v>
      </c>
      <c r="C94" s="174">
        <v>1</v>
      </c>
      <c r="D94" s="174">
        <v>2</v>
      </c>
      <c r="E94" s="175">
        <f>1.2+0.46</f>
        <v>1.66</v>
      </c>
      <c r="F94" s="175">
        <v>0.45</v>
      </c>
      <c r="G94" s="175"/>
      <c r="H94" s="175">
        <f t="shared" si="4"/>
        <v>1.494</v>
      </c>
    </row>
    <row r="95" spans="1:8" ht="18" customHeight="1">
      <c r="A95" s="172"/>
      <c r="B95" s="173"/>
      <c r="C95" s="176"/>
      <c r="D95" s="176"/>
      <c r="E95" s="175"/>
      <c r="F95" s="175"/>
      <c r="G95" s="175"/>
      <c r="H95" s="175">
        <v>0.06</v>
      </c>
    </row>
    <row r="96" spans="1:8" ht="18" customHeight="1">
      <c r="A96" s="172"/>
      <c r="B96" s="173"/>
      <c r="C96" s="176"/>
      <c r="D96" s="176"/>
      <c r="E96" s="175"/>
      <c r="F96" s="175"/>
      <c r="G96" s="175"/>
      <c r="H96" s="175">
        <f>SUM(H87:H95)</f>
        <v>13.995749999999999</v>
      </c>
    </row>
    <row r="97" spans="1:8" s="423" customFormat="1" ht="18" customHeight="1">
      <c r="A97" s="168"/>
      <c r="B97" s="169"/>
      <c r="C97" s="176"/>
      <c r="D97" s="176"/>
      <c r="E97" s="170"/>
      <c r="F97" s="170" t="s">
        <v>96</v>
      </c>
      <c r="G97" s="170">
        <f>+H96</f>
        <v>13.995749999999999</v>
      </c>
      <c r="H97" s="171" t="s">
        <v>37</v>
      </c>
    </row>
    <row r="98" spans="1:8" ht="25.15" customHeight="1">
      <c r="A98" s="172"/>
      <c r="B98" s="1570" t="s">
        <v>1075</v>
      </c>
      <c r="C98" s="1571"/>
      <c r="D98" s="1571"/>
      <c r="E98" s="1571"/>
      <c r="F98" s="1571"/>
      <c r="G98" s="1572"/>
      <c r="H98" s="175"/>
    </row>
    <row r="99" spans="1:8" ht="18" customHeight="1">
      <c r="A99" s="172"/>
      <c r="B99" s="173" t="s">
        <v>132</v>
      </c>
      <c r="C99" s="174">
        <v>1</v>
      </c>
      <c r="D99" s="174">
        <v>4</v>
      </c>
      <c r="E99" s="175">
        <f>(0.23+0.23)*2</f>
        <v>0.92</v>
      </c>
      <c r="F99" s="175"/>
      <c r="G99" s="175">
        <v>1.07</v>
      </c>
      <c r="H99" s="175">
        <f>PRODUCT(C99:G99)</f>
        <v>3.9376000000000002</v>
      </c>
    </row>
    <row r="100" spans="1:8" ht="18" customHeight="1">
      <c r="A100" s="172"/>
      <c r="B100" s="173" t="s">
        <v>112</v>
      </c>
      <c r="C100" s="174">
        <v>1</v>
      </c>
      <c r="D100" s="174">
        <v>4</v>
      </c>
      <c r="E100" s="175">
        <f>+E99</f>
        <v>0.92</v>
      </c>
      <c r="F100" s="175"/>
      <c r="G100" s="175">
        <v>2.95</v>
      </c>
      <c r="H100" s="175">
        <f>PRODUCT(C100:G100)</f>
        <v>10.856000000000002</v>
      </c>
    </row>
    <row r="101" spans="1:8" ht="18" customHeight="1">
      <c r="A101" s="172"/>
      <c r="B101" s="173"/>
      <c r="C101" s="176"/>
      <c r="D101" s="176"/>
      <c r="E101" s="175"/>
      <c r="F101" s="175"/>
      <c r="G101" s="175"/>
      <c r="H101" s="175">
        <v>0.01</v>
      </c>
    </row>
    <row r="102" spans="1:8" ht="18" customHeight="1">
      <c r="A102" s="172"/>
      <c r="B102" s="173"/>
      <c r="C102" s="176"/>
      <c r="D102" s="176"/>
      <c r="E102" s="175"/>
      <c r="F102" s="175"/>
      <c r="G102" s="175"/>
      <c r="H102" s="175">
        <f>SUM(H99:H101)</f>
        <v>14.803600000000001</v>
      </c>
    </row>
    <row r="103" spans="1:8" s="423" customFormat="1" ht="18" customHeight="1">
      <c r="A103" s="168"/>
      <c r="B103" s="169"/>
      <c r="C103" s="176"/>
      <c r="D103" s="176"/>
      <c r="E103" s="170"/>
      <c r="F103" s="170" t="s">
        <v>96</v>
      </c>
      <c r="G103" s="170">
        <f>+H102</f>
        <v>14.803600000000001</v>
      </c>
      <c r="H103" s="171" t="s">
        <v>37</v>
      </c>
    </row>
    <row r="104" spans="1:8" ht="25.15" customHeight="1">
      <c r="A104" s="172">
        <f>+A77+1</f>
        <v>10</v>
      </c>
      <c r="B104" s="1570" t="s">
        <v>579</v>
      </c>
      <c r="C104" s="1571"/>
      <c r="D104" s="1571"/>
      <c r="E104" s="1571"/>
      <c r="F104" s="1571"/>
      <c r="G104" s="1572"/>
      <c r="H104" s="175"/>
    </row>
    <row r="105" spans="1:8" s="436" customFormat="1" ht="18" customHeight="1">
      <c r="A105" s="437"/>
      <c r="B105" s="427" t="s">
        <v>1286</v>
      </c>
      <c r="C105" s="438"/>
      <c r="D105" s="438"/>
      <c r="E105" s="380">
        <f>G31+G65</f>
        <v>4.1999999999999993</v>
      </c>
      <c r="F105" s="380">
        <v>100</v>
      </c>
      <c r="G105" s="427" t="s">
        <v>577</v>
      </c>
      <c r="H105" s="380">
        <f>E105*F105</f>
        <v>419.99999999999994</v>
      </c>
    </row>
    <row r="106" spans="1:8" s="423" customFormat="1" ht="18" customHeight="1">
      <c r="A106" s="168"/>
      <c r="B106" s="169"/>
      <c r="C106" s="176"/>
      <c r="D106" s="176"/>
      <c r="E106" s="170"/>
      <c r="F106" s="170" t="s">
        <v>96</v>
      </c>
      <c r="G106" s="312">
        <f>H105/1000</f>
        <v>0.41999999999999993</v>
      </c>
      <c r="H106" s="171" t="s">
        <v>58</v>
      </c>
    </row>
    <row r="107" spans="1:8" ht="25.15" customHeight="1">
      <c r="A107" s="172">
        <f>A104+1</f>
        <v>11</v>
      </c>
      <c r="B107" s="1570" t="s">
        <v>136</v>
      </c>
      <c r="C107" s="1571"/>
      <c r="D107" s="1571"/>
      <c r="E107" s="1571"/>
      <c r="F107" s="1571"/>
      <c r="G107" s="1572"/>
      <c r="H107" s="175"/>
    </row>
    <row r="108" spans="1:8" ht="18" customHeight="1">
      <c r="A108" s="172"/>
      <c r="B108" s="173" t="s">
        <v>107</v>
      </c>
      <c r="C108" s="174">
        <v>1</v>
      </c>
      <c r="D108" s="174">
        <v>1</v>
      </c>
      <c r="E108" s="175">
        <v>2.4</v>
      </c>
      <c r="F108" s="175">
        <v>2.4</v>
      </c>
      <c r="G108" s="175"/>
      <c r="H108" s="175">
        <f>PRODUCT(C108:G108)</f>
        <v>5.76</v>
      </c>
    </row>
    <row r="109" spans="1:8" ht="18" customHeight="1">
      <c r="A109" s="172"/>
      <c r="B109" s="173"/>
      <c r="C109" s="174"/>
      <c r="D109" s="174"/>
      <c r="E109" s="175"/>
      <c r="F109" s="175"/>
      <c r="G109" s="175"/>
      <c r="H109" s="175">
        <v>0.04</v>
      </c>
    </row>
    <row r="110" spans="1:8" ht="18" customHeight="1">
      <c r="A110" s="172"/>
      <c r="B110" s="173"/>
      <c r="C110" s="174"/>
      <c r="D110" s="174"/>
      <c r="E110" s="175"/>
      <c r="F110" s="175"/>
      <c r="G110" s="175"/>
      <c r="H110" s="175">
        <f>SUM(H108:H109)</f>
        <v>5.8</v>
      </c>
    </row>
    <row r="111" spans="1:8" s="423" customFormat="1" ht="18" customHeight="1">
      <c r="A111" s="168"/>
      <c r="B111" s="169"/>
      <c r="C111" s="176"/>
      <c r="D111" s="176"/>
      <c r="E111" s="170"/>
      <c r="F111" s="170" t="s">
        <v>96</v>
      </c>
      <c r="G111" s="170">
        <f>+H110</f>
        <v>5.8</v>
      </c>
      <c r="H111" s="171" t="s">
        <v>37</v>
      </c>
    </row>
    <row r="112" spans="1:8" ht="25.15" customHeight="1">
      <c r="A112" s="172">
        <f>+A107+1</f>
        <v>12</v>
      </c>
      <c r="B112" s="1570" t="s">
        <v>137</v>
      </c>
      <c r="C112" s="1571"/>
      <c r="D112" s="1571"/>
      <c r="E112" s="1571"/>
      <c r="F112" s="1571"/>
      <c r="G112" s="1572"/>
      <c r="H112" s="175"/>
    </row>
    <row r="113" spans="1:8" ht="18" customHeight="1">
      <c r="A113" s="172"/>
      <c r="B113" s="173" t="s">
        <v>107</v>
      </c>
      <c r="C113" s="174">
        <v>1</v>
      </c>
      <c r="D113" s="174">
        <v>1</v>
      </c>
      <c r="E113" s="175">
        <f>+E108</f>
        <v>2.4</v>
      </c>
      <c r="F113" s="175">
        <f>+F108</f>
        <v>2.4</v>
      </c>
      <c r="G113" s="175"/>
      <c r="H113" s="175">
        <f>PRODUCT(C113:G113)</f>
        <v>5.76</v>
      </c>
    </row>
    <row r="114" spans="1:8" ht="18" customHeight="1">
      <c r="A114" s="172"/>
      <c r="B114" s="173" t="s">
        <v>138</v>
      </c>
      <c r="C114" s="174">
        <v>1</v>
      </c>
      <c r="D114" s="174">
        <v>1</v>
      </c>
      <c r="E114" s="175">
        <v>1</v>
      </c>
      <c r="F114" s="175">
        <v>0.23</v>
      </c>
      <c r="G114" s="175"/>
      <c r="H114" s="175">
        <f>PRODUCT(C114:G114)</f>
        <v>0.23</v>
      </c>
    </row>
    <row r="115" spans="1:8" ht="18" customHeight="1">
      <c r="A115" s="172"/>
      <c r="B115" s="173" t="s">
        <v>1215</v>
      </c>
      <c r="C115" s="174">
        <v>1</v>
      </c>
      <c r="D115" s="174">
        <v>4</v>
      </c>
      <c r="E115" s="175">
        <v>1.46</v>
      </c>
      <c r="F115" s="175">
        <v>0.3</v>
      </c>
      <c r="G115" s="175"/>
      <c r="H115" s="175">
        <f>PRODUCT(C115:G115)</f>
        <v>1.752</v>
      </c>
    </row>
    <row r="116" spans="1:8" ht="18" customHeight="1">
      <c r="A116" s="172"/>
      <c r="B116" s="173" t="s">
        <v>505</v>
      </c>
      <c r="C116" s="174">
        <v>1</v>
      </c>
      <c r="D116" s="174">
        <v>5</v>
      </c>
      <c r="E116" s="175">
        <f>+E115</f>
        <v>1.46</v>
      </c>
      <c r="F116" s="175"/>
      <c r="G116" s="175">
        <v>0.24</v>
      </c>
      <c r="H116" s="175">
        <f>PRODUCT(C116:G116)</f>
        <v>1.752</v>
      </c>
    </row>
    <row r="117" spans="1:8" ht="18" customHeight="1">
      <c r="A117" s="172"/>
      <c r="B117" s="173"/>
      <c r="C117" s="176"/>
      <c r="D117" s="176"/>
      <c r="E117" s="175"/>
      <c r="F117" s="175"/>
      <c r="G117" s="175"/>
      <c r="H117" s="175">
        <v>0.01</v>
      </c>
    </row>
    <row r="118" spans="1:8" ht="18" customHeight="1">
      <c r="A118" s="172"/>
      <c r="B118" s="173"/>
      <c r="C118" s="176"/>
      <c r="D118" s="176"/>
      <c r="E118" s="175"/>
      <c r="F118" s="175"/>
      <c r="G118" s="175"/>
      <c r="H118" s="175">
        <f>SUM(H113:H117)</f>
        <v>9.5039999999999996</v>
      </c>
    </row>
    <row r="119" spans="1:8" s="423" customFormat="1" ht="18" customHeight="1">
      <c r="A119" s="168"/>
      <c r="B119" s="169"/>
      <c r="C119" s="176"/>
      <c r="D119" s="176"/>
      <c r="E119" s="170"/>
      <c r="F119" s="170" t="s">
        <v>96</v>
      </c>
      <c r="G119" s="170">
        <f>+H118</f>
        <v>9.5039999999999996</v>
      </c>
      <c r="H119" s="171" t="s">
        <v>37</v>
      </c>
    </row>
    <row r="120" spans="1:8" ht="25.15" customHeight="1">
      <c r="A120" s="172">
        <f>+A112+1</f>
        <v>13</v>
      </c>
      <c r="B120" s="173" t="s">
        <v>139</v>
      </c>
      <c r="C120" s="176"/>
      <c r="D120" s="176"/>
      <c r="E120" s="175"/>
      <c r="F120" s="175"/>
      <c r="G120" s="175"/>
      <c r="H120" s="175"/>
    </row>
    <row r="121" spans="1:8" ht="18" customHeight="1">
      <c r="A121" s="172"/>
      <c r="B121" s="173" t="s">
        <v>107</v>
      </c>
      <c r="C121" s="174">
        <v>1</v>
      </c>
      <c r="D121" s="174">
        <v>1</v>
      </c>
      <c r="E121" s="175">
        <f>+E113</f>
        <v>2.4</v>
      </c>
      <c r="F121" s="175">
        <f>+F113</f>
        <v>2.4</v>
      </c>
      <c r="G121" s="175"/>
      <c r="H121" s="175">
        <f>PRODUCT(C121:G121)</f>
        <v>5.76</v>
      </c>
    </row>
    <row r="122" spans="1:8" ht="18" customHeight="1">
      <c r="A122" s="172"/>
      <c r="B122" s="169" t="s">
        <v>115</v>
      </c>
      <c r="C122" s="174"/>
      <c r="D122" s="174"/>
      <c r="E122" s="175"/>
      <c r="F122" s="175"/>
      <c r="G122" s="175"/>
      <c r="H122" s="175"/>
    </row>
    <row r="123" spans="1:8" ht="18" customHeight="1">
      <c r="A123" s="172"/>
      <c r="B123" s="173" t="s">
        <v>140</v>
      </c>
      <c r="C123" s="174">
        <v>2</v>
      </c>
      <c r="D123" s="174">
        <v>2</v>
      </c>
      <c r="E123" s="175">
        <f>1.2+0.46</f>
        <v>1.66</v>
      </c>
      <c r="F123" s="175">
        <v>0.45</v>
      </c>
      <c r="G123" s="175"/>
      <c r="H123" s="175">
        <f>PRODUCT(C123:G123)</f>
        <v>2.988</v>
      </c>
    </row>
    <row r="124" spans="1:8" ht="18" customHeight="1">
      <c r="A124" s="172"/>
      <c r="B124" s="173" t="s">
        <v>141</v>
      </c>
      <c r="C124" s="174">
        <v>2</v>
      </c>
      <c r="D124" s="174">
        <v>1</v>
      </c>
      <c r="E124" s="175">
        <f>1.66+0.45+0.45</f>
        <v>2.56</v>
      </c>
      <c r="F124" s="175"/>
      <c r="G124" s="175">
        <v>6.25E-2</v>
      </c>
      <c r="H124" s="175">
        <f>PRODUCT(C124:G124)</f>
        <v>0.32</v>
      </c>
    </row>
    <row r="125" spans="1:8" ht="18" customHeight="1">
      <c r="A125" s="172"/>
      <c r="B125" s="173" t="s">
        <v>142</v>
      </c>
      <c r="C125" s="174">
        <v>2</v>
      </c>
      <c r="D125" s="174">
        <v>1</v>
      </c>
      <c r="E125" s="175">
        <v>2.86</v>
      </c>
      <c r="F125" s="175">
        <v>0.6</v>
      </c>
      <c r="G125" s="175"/>
      <c r="H125" s="175">
        <f>PRODUCT(C125:G125)</f>
        <v>3.4319999999999999</v>
      </c>
    </row>
    <row r="126" spans="1:8" ht="18" customHeight="1">
      <c r="A126" s="172"/>
      <c r="B126" s="173" t="s">
        <v>141</v>
      </c>
      <c r="C126" s="174">
        <v>1</v>
      </c>
      <c r="D126" s="174">
        <v>1</v>
      </c>
      <c r="E126" s="175">
        <f>2.86+0.6+0.6</f>
        <v>4.0599999999999996</v>
      </c>
      <c r="F126" s="175"/>
      <c r="G126" s="175">
        <v>6.25E-2</v>
      </c>
      <c r="H126" s="175">
        <f>PRODUCT(C126:G126)</f>
        <v>0.25374999999999998</v>
      </c>
    </row>
    <row r="127" spans="1:8" ht="18" customHeight="1">
      <c r="A127" s="172"/>
      <c r="B127" s="173"/>
      <c r="C127" s="176"/>
      <c r="D127" s="176"/>
      <c r="E127" s="175"/>
      <c r="F127" s="175"/>
      <c r="G127" s="175"/>
      <c r="H127" s="175">
        <v>0.05</v>
      </c>
    </row>
    <row r="128" spans="1:8" ht="18" customHeight="1">
      <c r="A128" s="172"/>
      <c r="B128" s="173"/>
      <c r="C128" s="176"/>
      <c r="D128" s="176"/>
      <c r="E128" s="175"/>
      <c r="F128" s="175"/>
      <c r="G128" s="175"/>
      <c r="H128" s="175">
        <f>SUM(H121:H127)</f>
        <v>12.803750000000001</v>
      </c>
    </row>
    <row r="129" spans="1:8" s="423" customFormat="1" ht="18" customHeight="1">
      <c r="A129" s="168"/>
      <c r="B129" s="169"/>
      <c r="C129" s="176"/>
      <c r="D129" s="176"/>
      <c r="E129" s="170"/>
      <c r="F129" s="170" t="s">
        <v>96</v>
      </c>
      <c r="G129" s="170">
        <f>+H128</f>
        <v>12.803750000000001</v>
      </c>
      <c r="H129" s="171" t="s">
        <v>37</v>
      </c>
    </row>
    <row r="130" spans="1:8" ht="25.15" customHeight="1">
      <c r="A130" s="172">
        <f>+A120+1</f>
        <v>14</v>
      </c>
      <c r="B130" s="173" t="s">
        <v>43</v>
      </c>
      <c r="C130" s="176"/>
      <c r="D130" s="176"/>
      <c r="E130" s="175"/>
      <c r="F130" s="175"/>
      <c r="G130" s="175"/>
      <c r="H130" s="175"/>
    </row>
    <row r="131" spans="1:8" ht="18" customHeight="1">
      <c r="A131" s="172"/>
      <c r="B131" s="169" t="s">
        <v>143</v>
      </c>
      <c r="C131" s="176"/>
      <c r="D131" s="176"/>
      <c r="E131" s="175"/>
      <c r="F131" s="175"/>
      <c r="G131" s="175"/>
      <c r="H131" s="175"/>
    </row>
    <row r="132" spans="1:8" ht="18" customHeight="1">
      <c r="A132" s="172"/>
      <c r="B132" s="173" t="s">
        <v>107</v>
      </c>
      <c r="C132" s="174">
        <v>1</v>
      </c>
      <c r="D132" s="174">
        <v>1</v>
      </c>
      <c r="E132" s="175">
        <f>(2.4+2.4)*2</f>
        <v>9.6</v>
      </c>
      <c r="F132" s="175"/>
      <c r="G132" s="175">
        <f>(2.4+2.6)/2</f>
        <v>2.5</v>
      </c>
      <c r="H132" s="175">
        <f>PRODUCT(C132:G132)</f>
        <v>24</v>
      </c>
    </row>
    <row r="133" spans="1:8" ht="18" customHeight="1">
      <c r="A133" s="172"/>
      <c r="B133" s="173" t="s">
        <v>144</v>
      </c>
      <c r="C133" s="174">
        <v>1</v>
      </c>
      <c r="D133" s="174">
        <v>1</v>
      </c>
      <c r="E133" s="175">
        <f>2.1+1+2.1</f>
        <v>5.2</v>
      </c>
      <c r="F133" s="175">
        <v>0.23</v>
      </c>
      <c r="G133" s="175"/>
      <c r="H133" s="175">
        <f>PRODUCT(C133:G133)</f>
        <v>1.1960000000000002</v>
      </c>
    </row>
    <row r="134" spans="1:8" ht="18" customHeight="1">
      <c r="A134" s="172"/>
      <c r="B134" s="173" t="s">
        <v>145</v>
      </c>
      <c r="C134" s="174">
        <v>1</v>
      </c>
      <c r="D134" s="174">
        <v>2</v>
      </c>
      <c r="E134" s="175">
        <f>(1.2+1.35)*2</f>
        <v>5.0999999999999996</v>
      </c>
      <c r="F134" s="175">
        <v>0.23</v>
      </c>
      <c r="G134" s="175"/>
      <c r="H134" s="175">
        <f>PRODUCT(C134:G134)</f>
        <v>2.3460000000000001</v>
      </c>
    </row>
    <row r="135" spans="1:8" ht="18" customHeight="1">
      <c r="A135" s="172"/>
      <c r="B135" s="173" t="s">
        <v>146</v>
      </c>
      <c r="C135" s="174">
        <v>1</v>
      </c>
      <c r="D135" s="174">
        <v>1</v>
      </c>
      <c r="E135" s="175">
        <f>(0.9+1.35)*2</f>
        <v>4.5</v>
      </c>
      <c r="F135" s="175">
        <v>0.23</v>
      </c>
      <c r="G135" s="175"/>
      <c r="H135" s="175">
        <f>PRODUCT(C135:G135)</f>
        <v>1.0350000000000001</v>
      </c>
    </row>
    <row r="136" spans="1:8" ht="18" customHeight="1">
      <c r="A136" s="172"/>
      <c r="B136" s="169" t="s">
        <v>147</v>
      </c>
      <c r="C136" s="174"/>
      <c r="D136" s="174"/>
      <c r="E136" s="175"/>
      <c r="F136" s="175"/>
      <c r="G136" s="175"/>
      <c r="H136" s="175"/>
    </row>
    <row r="137" spans="1:8" ht="18" customHeight="1">
      <c r="A137" s="172"/>
      <c r="B137" s="173" t="s">
        <v>121</v>
      </c>
      <c r="C137" s="174">
        <v>-1</v>
      </c>
      <c r="D137" s="174">
        <v>1</v>
      </c>
      <c r="E137" s="175">
        <v>1</v>
      </c>
      <c r="F137" s="175"/>
      <c r="G137" s="175">
        <v>2.1</v>
      </c>
      <c r="H137" s="175">
        <f>PRODUCT(C137:G137)</f>
        <v>-2.1</v>
      </c>
    </row>
    <row r="138" spans="1:8" ht="18" customHeight="1">
      <c r="A138" s="172"/>
      <c r="B138" s="173" t="s">
        <v>117</v>
      </c>
      <c r="C138" s="174">
        <v>-1</v>
      </c>
      <c r="D138" s="174">
        <v>2</v>
      </c>
      <c r="E138" s="175">
        <v>1.2</v>
      </c>
      <c r="F138" s="175"/>
      <c r="G138" s="175">
        <v>1.35</v>
      </c>
      <c r="H138" s="175">
        <f>PRODUCT(C138:G138)</f>
        <v>-3.24</v>
      </c>
    </row>
    <row r="139" spans="1:8" ht="18" customHeight="1">
      <c r="A139" s="172"/>
      <c r="B139" s="173" t="s">
        <v>122</v>
      </c>
      <c r="C139" s="174">
        <v>-1</v>
      </c>
      <c r="D139" s="174">
        <v>1</v>
      </c>
      <c r="E139" s="175">
        <v>0.9</v>
      </c>
      <c r="F139" s="175"/>
      <c r="G139" s="175">
        <v>1.35</v>
      </c>
      <c r="H139" s="175">
        <f>PRODUCT(C139:G139)</f>
        <v>-1.2150000000000001</v>
      </c>
    </row>
    <row r="140" spans="1:8" ht="18" customHeight="1">
      <c r="A140" s="172"/>
      <c r="B140" s="173"/>
      <c r="C140" s="174"/>
      <c r="D140" s="174"/>
      <c r="E140" s="175"/>
      <c r="F140" s="175"/>
      <c r="G140" s="175"/>
      <c r="H140" s="175">
        <v>0.08</v>
      </c>
    </row>
    <row r="141" spans="1:8" ht="18" customHeight="1">
      <c r="A141" s="172"/>
      <c r="B141" s="169" t="s">
        <v>148</v>
      </c>
      <c r="C141" s="174"/>
      <c r="D141" s="174"/>
      <c r="E141" s="175"/>
      <c r="F141" s="175"/>
      <c r="G141" s="175"/>
      <c r="H141" s="175">
        <f>SUM(H132:H140)</f>
        <v>22.102</v>
      </c>
    </row>
    <row r="142" spans="1:8" ht="18" customHeight="1">
      <c r="A142" s="172"/>
      <c r="B142" s="169" t="s">
        <v>149</v>
      </c>
      <c r="C142" s="174"/>
      <c r="D142" s="174"/>
      <c r="E142" s="175"/>
      <c r="F142" s="175"/>
      <c r="G142" s="175"/>
      <c r="H142" s="175"/>
    </row>
    <row r="143" spans="1:8" ht="18" customHeight="1">
      <c r="A143" s="172"/>
      <c r="B143" s="173" t="s">
        <v>150</v>
      </c>
      <c r="C143" s="174">
        <v>1</v>
      </c>
      <c r="D143" s="174">
        <v>1</v>
      </c>
      <c r="E143" s="175">
        <f>(2.86+2.86)*2</f>
        <v>11.44</v>
      </c>
      <c r="F143" s="175"/>
      <c r="G143" s="175">
        <v>4.1500000000000004</v>
      </c>
      <c r="H143" s="175">
        <f t="shared" ref="H143:H149" si="5">PRODUCT(C143:G143)</f>
        <v>47.475999999999999</v>
      </c>
    </row>
    <row r="144" spans="1:8" ht="18" customHeight="1">
      <c r="A144" s="172"/>
      <c r="B144" s="173" t="s">
        <v>151</v>
      </c>
      <c r="C144" s="174">
        <v>1</v>
      </c>
      <c r="D144" s="174">
        <v>1</v>
      </c>
      <c r="E144" s="175">
        <f>+E67</f>
        <v>10.52</v>
      </c>
      <c r="F144" s="175">
        <v>0.23</v>
      </c>
      <c r="G144" s="175"/>
      <c r="H144" s="175">
        <f t="shared" si="5"/>
        <v>2.4196</v>
      </c>
    </row>
    <row r="145" spans="1:8" ht="18" customHeight="1">
      <c r="A145" s="172"/>
      <c r="B145" s="173" t="s">
        <v>152</v>
      </c>
      <c r="C145" s="174">
        <v>1</v>
      </c>
      <c r="D145" s="174">
        <v>1</v>
      </c>
      <c r="E145" s="175">
        <f>+E132</f>
        <v>9.6</v>
      </c>
      <c r="F145" s="175"/>
      <c r="G145" s="175">
        <v>0.45</v>
      </c>
      <c r="H145" s="175">
        <f t="shared" si="5"/>
        <v>4.32</v>
      </c>
    </row>
    <row r="146" spans="1:8" ht="18" customHeight="1">
      <c r="A146" s="172"/>
      <c r="B146" s="173" t="s">
        <v>1211</v>
      </c>
      <c r="C146" s="174">
        <v>1</v>
      </c>
      <c r="D146" s="174">
        <v>2</v>
      </c>
      <c r="E146" s="175">
        <v>0.3</v>
      </c>
      <c r="F146" s="175"/>
      <c r="G146" s="175">
        <v>0.24</v>
      </c>
      <c r="H146" s="175">
        <f t="shared" si="5"/>
        <v>0.14399999999999999</v>
      </c>
    </row>
    <row r="147" spans="1:8" ht="18" customHeight="1">
      <c r="A147" s="172"/>
      <c r="B147" s="173" t="s">
        <v>1212</v>
      </c>
      <c r="C147" s="174">
        <v>1</v>
      </c>
      <c r="D147" s="174">
        <v>2</v>
      </c>
      <c r="E147" s="175">
        <v>0.3</v>
      </c>
      <c r="F147" s="175"/>
      <c r="G147" s="175">
        <f>G146*2</f>
        <v>0.48</v>
      </c>
      <c r="H147" s="175">
        <f t="shared" si="5"/>
        <v>0.28799999999999998</v>
      </c>
    </row>
    <row r="148" spans="1:8" ht="18" customHeight="1">
      <c r="A148" s="172"/>
      <c r="B148" s="173" t="s">
        <v>1213</v>
      </c>
      <c r="C148" s="174">
        <v>1</v>
      </c>
      <c r="D148" s="174">
        <v>2</v>
      </c>
      <c r="E148" s="175">
        <v>0.3</v>
      </c>
      <c r="F148" s="175"/>
      <c r="G148" s="175">
        <f>G146*3</f>
        <v>0.72</v>
      </c>
      <c r="H148" s="175">
        <f t="shared" si="5"/>
        <v>0.432</v>
      </c>
    </row>
    <row r="149" spans="1:8" ht="18" customHeight="1">
      <c r="A149" s="172"/>
      <c r="B149" s="173" t="s">
        <v>1214</v>
      </c>
      <c r="C149" s="174">
        <v>1</v>
      </c>
      <c r="D149" s="174">
        <v>2</v>
      </c>
      <c r="E149" s="175">
        <v>0.3</v>
      </c>
      <c r="F149" s="175"/>
      <c r="G149" s="175">
        <f>G146*4</f>
        <v>0.96</v>
      </c>
      <c r="H149" s="175">
        <f t="shared" si="5"/>
        <v>0.57599999999999996</v>
      </c>
    </row>
    <row r="150" spans="1:8" ht="18" customHeight="1">
      <c r="A150" s="172"/>
      <c r="B150" s="169" t="s">
        <v>147</v>
      </c>
      <c r="C150" s="174"/>
      <c r="D150" s="174"/>
      <c r="E150" s="175"/>
      <c r="F150" s="175"/>
      <c r="G150" s="175"/>
      <c r="H150" s="175"/>
    </row>
    <row r="151" spans="1:8" ht="18" customHeight="1">
      <c r="A151" s="172"/>
      <c r="B151" s="173" t="s">
        <v>121</v>
      </c>
      <c r="C151" s="174">
        <v>-1</v>
      </c>
      <c r="D151" s="174">
        <v>1</v>
      </c>
      <c r="E151" s="175">
        <v>1</v>
      </c>
      <c r="F151" s="175"/>
      <c r="G151" s="175">
        <v>2.1</v>
      </c>
      <c r="H151" s="175">
        <f>PRODUCT(C151:G151)</f>
        <v>-2.1</v>
      </c>
    </row>
    <row r="152" spans="1:8" ht="18" customHeight="1">
      <c r="A152" s="172"/>
      <c r="B152" s="173" t="s">
        <v>117</v>
      </c>
      <c r="C152" s="174">
        <v>-1</v>
      </c>
      <c r="D152" s="174">
        <v>2</v>
      </c>
      <c r="E152" s="175">
        <v>1.2</v>
      </c>
      <c r="F152" s="175"/>
      <c r="G152" s="175">
        <v>1.35</v>
      </c>
      <c r="H152" s="175">
        <f>PRODUCT(C152:G152)</f>
        <v>-3.24</v>
      </c>
    </row>
    <row r="153" spans="1:8" ht="18" customHeight="1">
      <c r="A153" s="172"/>
      <c r="B153" s="173" t="s">
        <v>122</v>
      </c>
      <c r="C153" s="174">
        <v>-1</v>
      </c>
      <c r="D153" s="174">
        <v>1</v>
      </c>
      <c r="E153" s="175">
        <v>0.9</v>
      </c>
      <c r="F153" s="175"/>
      <c r="G153" s="175">
        <v>1.35</v>
      </c>
      <c r="H153" s="175">
        <f>PRODUCT(C153:G153)</f>
        <v>-1.2150000000000001</v>
      </c>
    </row>
    <row r="154" spans="1:8" ht="18" customHeight="1">
      <c r="A154" s="172"/>
      <c r="B154" s="169" t="s">
        <v>157</v>
      </c>
      <c r="C154" s="174"/>
      <c r="D154" s="174"/>
      <c r="E154" s="175"/>
      <c r="F154" s="175"/>
      <c r="G154" s="175"/>
      <c r="H154" s="175">
        <f>SUM(H143:H153)</f>
        <v>49.100599999999993</v>
      </c>
    </row>
    <row r="155" spans="1:8" ht="18" customHeight="1">
      <c r="A155" s="172"/>
      <c r="B155" s="173"/>
      <c r="C155" s="174"/>
      <c r="D155" s="174"/>
      <c r="E155" s="175"/>
      <c r="F155" s="175"/>
      <c r="G155" s="175"/>
      <c r="H155" s="175">
        <f>+H154+H141</f>
        <v>71.20259999999999</v>
      </c>
    </row>
    <row r="156" spans="1:8" s="423" customFormat="1" ht="18" customHeight="1">
      <c r="A156" s="168"/>
      <c r="B156" s="169"/>
      <c r="C156" s="174"/>
      <c r="D156" s="174"/>
      <c r="E156" s="170"/>
      <c r="F156" s="170" t="s">
        <v>96</v>
      </c>
      <c r="G156" s="170">
        <f>+H155</f>
        <v>71.20259999999999</v>
      </c>
      <c r="H156" s="171" t="s">
        <v>37</v>
      </c>
    </row>
    <row r="157" spans="1:8" ht="25.15" customHeight="1">
      <c r="A157" s="172">
        <f>+A130+1</f>
        <v>15</v>
      </c>
      <c r="B157" s="173" t="s">
        <v>158</v>
      </c>
      <c r="C157" s="174"/>
      <c r="D157" s="174"/>
      <c r="E157" s="175"/>
      <c r="F157" s="175"/>
      <c r="G157" s="175"/>
      <c r="H157" s="175"/>
    </row>
    <row r="158" spans="1:8" s="423" customFormat="1" ht="18" customHeight="1">
      <c r="A158" s="168"/>
      <c r="B158" s="173" t="s">
        <v>1208</v>
      </c>
      <c r="C158" s="174"/>
      <c r="D158" s="174"/>
      <c r="E158" s="170"/>
      <c r="F158" s="170" t="s">
        <v>96</v>
      </c>
      <c r="G158" s="170">
        <f>+G129</f>
        <v>12.803750000000001</v>
      </c>
      <c r="H158" s="171" t="s">
        <v>37</v>
      </c>
    </row>
    <row r="159" spans="1:8" ht="25.15" customHeight="1">
      <c r="A159" s="172">
        <f>+A157+1</f>
        <v>16</v>
      </c>
      <c r="B159" s="1570" t="s">
        <v>160</v>
      </c>
      <c r="C159" s="1571"/>
      <c r="D159" s="1571"/>
      <c r="E159" s="1571"/>
      <c r="F159" s="1571"/>
      <c r="G159" s="1572"/>
      <c r="H159" s="175"/>
    </row>
    <row r="160" spans="1:8" ht="18" customHeight="1">
      <c r="A160" s="172"/>
      <c r="B160" s="173" t="s">
        <v>148</v>
      </c>
      <c r="C160" s="174"/>
      <c r="D160" s="174"/>
      <c r="E160" s="175"/>
      <c r="F160" s="175"/>
      <c r="G160" s="175"/>
      <c r="H160" s="175">
        <f>+H141</f>
        <v>22.102</v>
      </c>
    </row>
    <row r="161" spans="1:8" s="423" customFormat="1" ht="18" customHeight="1">
      <c r="A161" s="168"/>
      <c r="B161" s="169"/>
      <c r="C161" s="174"/>
      <c r="D161" s="174"/>
      <c r="E161" s="170"/>
      <c r="F161" s="170" t="s">
        <v>96</v>
      </c>
      <c r="G161" s="170">
        <f>+H160</f>
        <v>22.102</v>
      </c>
      <c r="H161" s="171" t="s">
        <v>37</v>
      </c>
    </row>
    <row r="162" spans="1:8" ht="25.15" customHeight="1">
      <c r="A162" s="172">
        <f>+A159+1</f>
        <v>17</v>
      </c>
      <c r="B162" s="1570" t="s">
        <v>162</v>
      </c>
      <c r="C162" s="1571"/>
      <c r="D162" s="1571"/>
      <c r="E162" s="1571"/>
      <c r="F162" s="1571"/>
      <c r="G162" s="1572"/>
      <c r="H162" s="377"/>
    </row>
    <row r="163" spans="1:8" s="423" customFormat="1" ht="18" customHeight="1">
      <c r="A163" s="168"/>
      <c r="B163" s="173" t="str">
        <f>+B160</f>
        <v>Inner plastering qty</v>
      </c>
      <c r="C163" s="174"/>
      <c r="D163" s="174"/>
      <c r="E163" s="170"/>
      <c r="F163" s="170" t="s">
        <v>96</v>
      </c>
      <c r="G163" s="170">
        <f>+G161</f>
        <v>22.102</v>
      </c>
      <c r="H163" s="171" t="s">
        <v>37</v>
      </c>
    </row>
    <row r="164" spans="1:8" ht="25.15" customHeight="1">
      <c r="A164" s="172">
        <f>+A162+1</f>
        <v>18</v>
      </c>
      <c r="B164" s="1570" t="s">
        <v>506</v>
      </c>
      <c r="C164" s="1571"/>
      <c r="D164" s="1571"/>
      <c r="E164" s="1571"/>
      <c r="F164" s="1571"/>
      <c r="G164" s="1572"/>
      <c r="H164" s="377"/>
    </row>
    <row r="165" spans="1:8" s="423" customFormat="1" ht="18" customHeight="1">
      <c r="A165" s="168"/>
      <c r="B165" s="173" t="str">
        <f>+B154</f>
        <v>Outer plastering qty</v>
      </c>
      <c r="C165" s="174"/>
      <c r="D165" s="174"/>
      <c r="E165" s="170"/>
      <c r="F165" s="170" t="s">
        <v>96</v>
      </c>
      <c r="G165" s="170">
        <f>+H154</f>
        <v>49.100599999999993</v>
      </c>
      <c r="H165" s="171" t="s">
        <v>37</v>
      </c>
    </row>
    <row r="166" spans="1:8" ht="25.15" customHeight="1">
      <c r="A166" s="172">
        <f>+A164+1</f>
        <v>19</v>
      </c>
      <c r="B166" s="1570" t="s">
        <v>507</v>
      </c>
      <c r="C166" s="1571"/>
      <c r="D166" s="1571"/>
      <c r="E166" s="1571"/>
      <c r="F166" s="1571"/>
      <c r="G166" s="1572"/>
      <c r="H166" s="175"/>
    </row>
    <row r="167" spans="1:8" ht="18" customHeight="1">
      <c r="A167" s="172"/>
      <c r="B167" s="173" t="s">
        <v>117</v>
      </c>
      <c r="C167" s="174">
        <v>1</v>
      </c>
      <c r="D167" s="174">
        <v>2</v>
      </c>
      <c r="E167" s="175">
        <v>1.2</v>
      </c>
      <c r="F167" s="175"/>
      <c r="G167" s="175">
        <v>1.35</v>
      </c>
      <c r="H167" s="175">
        <f>PRODUCT(C167:G167)</f>
        <v>3.24</v>
      </c>
    </row>
    <row r="168" spans="1:8" ht="18" customHeight="1">
      <c r="A168" s="172"/>
      <c r="B168" s="173" t="s">
        <v>122</v>
      </c>
      <c r="C168" s="174">
        <v>1</v>
      </c>
      <c r="D168" s="174">
        <v>1</v>
      </c>
      <c r="E168" s="175">
        <v>0.9</v>
      </c>
      <c r="F168" s="175"/>
      <c r="G168" s="175">
        <v>1.35</v>
      </c>
      <c r="H168" s="175">
        <f>PRODUCT(C168:G168)</f>
        <v>1.2150000000000001</v>
      </c>
    </row>
    <row r="169" spans="1:8" ht="18" customHeight="1">
      <c r="A169" s="172"/>
      <c r="B169" s="173"/>
      <c r="C169" s="174"/>
      <c r="D169" s="174"/>
      <c r="E169" s="175"/>
      <c r="F169" s="175"/>
      <c r="G169" s="175"/>
      <c r="H169" s="175">
        <v>0.04</v>
      </c>
    </row>
    <row r="170" spans="1:8" ht="18" customHeight="1">
      <c r="A170" s="172"/>
      <c r="B170" s="173"/>
      <c r="C170" s="174"/>
      <c r="D170" s="174"/>
      <c r="E170" s="175"/>
      <c r="F170" s="175"/>
      <c r="G170" s="175"/>
      <c r="H170" s="175">
        <f>SUM(H167:H169)</f>
        <v>4.4950000000000001</v>
      </c>
    </row>
    <row r="171" spans="1:8" s="423" customFormat="1" ht="18" customHeight="1">
      <c r="A171" s="168"/>
      <c r="B171" s="169"/>
      <c r="C171" s="174"/>
      <c r="D171" s="174"/>
      <c r="E171" s="170"/>
      <c r="F171" s="170" t="s">
        <v>96</v>
      </c>
      <c r="G171" s="170">
        <f>+H170</f>
        <v>4.4950000000000001</v>
      </c>
      <c r="H171" s="171" t="s">
        <v>37</v>
      </c>
    </row>
    <row r="172" spans="1:8" ht="25.15" customHeight="1">
      <c r="A172" s="172">
        <f>A166+1</f>
        <v>20</v>
      </c>
      <c r="B172" s="1570" t="s">
        <v>163</v>
      </c>
      <c r="C172" s="1571"/>
      <c r="D172" s="1571"/>
      <c r="E172" s="1571"/>
      <c r="F172" s="1571"/>
      <c r="G172" s="1572"/>
      <c r="H172" s="175"/>
    </row>
    <row r="173" spans="1:8" ht="18" customHeight="1">
      <c r="A173" s="172"/>
      <c r="B173" s="173" t="s">
        <v>117</v>
      </c>
      <c r="C173" s="174">
        <v>1</v>
      </c>
      <c r="D173" s="174">
        <v>2</v>
      </c>
      <c r="E173" s="175">
        <v>1.2</v>
      </c>
      <c r="F173" s="175"/>
      <c r="G173" s="175">
        <v>1.35</v>
      </c>
      <c r="H173" s="175">
        <f>PRODUCT(C173:G173)</f>
        <v>3.24</v>
      </c>
    </row>
    <row r="174" spans="1:8" ht="18" customHeight="1">
      <c r="A174" s="172"/>
      <c r="B174" s="173" t="s">
        <v>122</v>
      </c>
      <c r="C174" s="174">
        <v>1</v>
      </c>
      <c r="D174" s="174">
        <v>1</v>
      </c>
      <c r="E174" s="175">
        <v>0.9</v>
      </c>
      <c r="F174" s="175"/>
      <c r="G174" s="175">
        <v>1.35</v>
      </c>
      <c r="H174" s="175">
        <f>PRODUCT(C174:G174)</f>
        <v>1.2150000000000001</v>
      </c>
    </row>
    <row r="175" spans="1:8" ht="18" customHeight="1">
      <c r="A175" s="172"/>
      <c r="B175" s="173"/>
      <c r="C175" s="176"/>
      <c r="D175" s="176"/>
      <c r="E175" s="175"/>
      <c r="F175" s="175"/>
      <c r="G175" s="175"/>
      <c r="H175" s="175">
        <v>0.04</v>
      </c>
    </row>
    <row r="176" spans="1:8" ht="18" customHeight="1">
      <c r="A176" s="172"/>
      <c r="B176" s="173"/>
      <c r="C176" s="176"/>
      <c r="D176" s="176"/>
      <c r="E176" s="175"/>
      <c r="F176" s="175"/>
      <c r="G176" s="175"/>
      <c r="H176" s="175">
        <f>ROUND(SUM(H173:H175),2)</f>
        <v>4.5</v>
      </c>
    </row>
    <row r="177" spans="1:8" ht="18" customHeight="1">
      <c r="A177" s="172"/>
      <c r="B177" s="173"/>
      <c r="C177" s="1663">
        <f>+H176</f>
        <v>4.5</v>
      </c>
      <c r="D177" s="1664"/>
      <c r="E177" s="176" t="s">
        <v>56</v>
      </c>
      <c r="F177" s="175">
        <v>35</v>
      </c>
      <c r="G177" s="377" t="s">
        <v>164</v>
      </c>
      <c r="H177" s="175">
        <f>C177*F177</f>
        <v>157.5</v>
      </c>
    </row>
    <row r="178" spans="1:8" ht="18" customHeight="1">
      <c r="A178" s="172"/>
      <c r="B178" s="173"/>
      <c r="C178" s="176"/>
      <c r="D178" s="176"/>
      <c r="E178" s="175"/>
      <c r="F178" s="170" t="s">
        <v>96</v>
      </c>
      <c r="G178" s="170">
        <f>+H177</f>
        <v>157.5</v>
      </c>
      <c r="H178" s="171" t="s">
        <v>165</v>
      </c>
    </row>
    <row r="179" spans="1:8" ht="25.15" customHeight="1">
      <c r="A179" s="172">
        <f>+A172+1</f>
        <v>21</v>
      </c>
      <c r="B179" s="173" t="s">
        <v>166</v>
      </c>
      <c r="C179" s="176"/>
      <c r="D179" s="176"/>
      <c r="E179" s="175"/>
      <c r="F179" s="175"/>
      <c r="G179" s="175"/>
      <c r="H179" s="175"/>
    </row>
    <row r="180" spans="1:8" ht="18" customHeight="1">
      <c r="A180" s="172"/>
      <c r="B180" s="173" t="s">
        <v>121</v>
      </c>
      <c r="C180" s="174">
        <v>1</v>
      </c>
      <c r="D180" s="174">
        <v>1</v>
      </c>
      <c r="E180" s="175">
        <v>1</v>
      </c>
      <c r="F180" s="175">
        <v>1</v>
      </c>
      <c r="G180" s="175">
        <v>2.1</v>
      </c>
      <c r="H180" s="175">
        <f>PRODUCT(C180:G180)</f>
        <v>2.1</v>
      </c>
    </row>
    <row r="181" spans="1:8" ht="18" customHeight="1">
      <c r="A181" s="172"/>
      <c r="B181" s="173" t="s">
        <v>117</v>
      </c>
      <c r="C181" s="174">
        <v>1</v>
      </c>
      <c r="D181" s="174">
        <v>2</v>
      </c>
      <c r="E181" s="175">
        <v>1.2</v>
      </c>
      <c r="F181" s="175">
        <v>1</v>
      </c>
      <c r="G181" s="175">
        <v>1.35</v>
      </c>
      <c r="H181" s="175">
        <f>PRODUCT(C181:G181)</f>
        <v>3.24</v>
      </c>
    </row>
    <row r="182" spans="1:8" ht="18" customHeight="1">
      <c r="A182" s="172"/>
      <c r="B182" s="173" t="s">
        <v>122</v>
      </c>
      <c r="C182" s="174">
        <v>1</v>
      </c>
      <c r="D182" s="174">
        <v>1</v>
      </c>
      <c r="E182" s="175">
        <v>0.9</v>
      </c>
      <c r="F182" s="175">
        <v>1</v>
      </c>
      <c r="G182" s="175">
        <v>1.35</v>
      </c>
      <c r="H182" s="175">
        <f>PRODUCT(C182:G182)</f>
        <v>1.2150000000000001</v>
      </c>
    </row>
    <row r="183" spans="1:8" ht="18" customHeight="1">
      <c r="A183" s="172"/>
      <c r="B183" s="173"/>
      <c r="C183" s="174"/>
      <c r="D183" s="174"/>
      <c r="E183" s="175"/>
      <c r="F183" s="175"/>
      <c r="G183" s="175"/>
      <c r="H183" s="175">
        <v>0.04</v>
      </c>
    </row>
    <row r="184" spans="1:8" ht="18" customHeight="1">
      <c r="A184" s="172"/>
      <c r="B184" s="173"/>
      <c r="C184" s="174"/>
      <c r="D184" s="174"/>
      <c r="E184" s="175"/>
      <c r="F184" s="175"/>
      <c r="G184" s="175"/>
      <c r="H184" s="175">
        <f>SUM(H180:H183)</f>
        <v>6.5949999999999998</v>
      </c>
    </row>
    <row r="185" spans="1:8" s="423" customFormat="1" ht="18" customHeight="1">
      <c r="A185" s="168"/>
      <c r="B185" s="169"/>
      <c r="C185" s="174"/>
      <c r="D185" s="174"/>
      <c r="E185" s="170"/>
      <c r="F185" s="170" t="s">
        <v>96</v>
      </c>
      <c r="G185" s="170">
        <f>+H184</f>
        <v>6.5949999999999998</v>
      </c>
      <c r="H185" s="171" t="s">
        <v>37</v>
      </c>
    </row>
    <row r="186" spans="1:8" ht="25.15" customHeight="1">
      <c r="A186" s="172">
        <f>A179+1</f>
        <v>22</v>
      </c>
      <c r="B186" s="173" t="s">
        <v>167</v>
      </c>
      <c r="C186" s="174"/>
      <c r="D186" s="174"/>
      <c r="E186" s="175"/>
      <c r="F186" s="175"/>
      <c r="G186" s="175"/>
      <c r="H186" s="175"/>
    </row>
    <row r="187" spans="1:8" ht="18" customHeight="1">
      <c r="A187" s="172"/>
      <c r="B187" s="173" t="s">
        <v>307</v>
      </c>
      <c r="C187" s="174"/>
      <c r="D187" s="174"/>
      <c r="E187" s="175"/>
      <c r="F187" s="175"/>
      <c r="G187" s="175"/>
      <c r="H187" s="175"/>
    </row>
    <row r="188" spans="1:8" ht="18" customHeight="1">
      <c r="A188" s="172"/>
      <c r="B188" s="173" t="s">
        <v>107</v>
      </c>
      <c r="C188" s="174">
        <v>1</v>
      </c>
      <c r="D188" s="174">
        <v>1</v>
      </c>
      <c r="E188" s="175"/>
      <c r="F188" s="175"/>
      <c r="G188" s="175"/>
      <c r="H188" s="175">
        <f>PRODUCT(C188:G188)</f>
        <v>1</v>
      </c>
    </row>
    <row r="189" spans="1:8" ht="18" customHeight="1">
      <c r="A189" s="172"/>
      <c r="B189" s="173" t="s">
        <v>169</v>
      </c>
      <c r="C189" s="174">
        <v>1</v>
      </c>
      <c r="D189" s="174">
        <v>2</v>
      </c>
      <c r="E189" s="175"/>
      <c r="F189" s="175"/>
      <c r="G189" s="175"/>
      <c r="H189" s="175">
        <f>PRODUCT(C189:G189)</f>
        <v>2</v>
      </c>
    </row>
    <row r="190" spans="1:8" ht="18" customHeight="1">
      <c r="A190" s="172"/>
      <c r="B190" s="173"/>
      <c r="C190" s="174"/>
      <c r="D190" s="174"/>
      <c r="E190" s="175"/>
      <c r="F190" s="175"/>
      <c r="G190" s="175"/>
      <c r="H190" s="175">
        <f>SUM(H188:H189)</f>
        <v>3</v>
      </c>
    </row>
    <row r="191" spans="1:8" s="423" customFormat="1" ht="18" customHeight="1">
      <c r="A191" s="168"/>
      <c r="B191" s="169"/>
      <c r="C191" s="174"/>
      <c r="D191" s="174"/>
      <c r="E191" s="170"/>
      <c r="F191" s="170" t="s">
        <v>96</v>
      </c>
      <c r="G191" s="170">
        <f>+H190</f>
        <v>3</v>
      </c>
      <c r="H191" s="171" t="s">
        <v>4</v>
      </c>
    </row>
    <row r="192" spans="1:8" ht="25.15" customHeight="1">
      <c r="A192" s="172"/>
      <c r="B192" s="173" t="s">
        <v>309</v>
      </c>
      <c r="C192" s="174"/>
      <c r="D192" s="174"/>
      <c r="E192" s="175"/>
      <c r="F192" s="175"/>
      <c r="G192" s="175"/>
      <c r="H192" s="175"/>
    </row>
    <row r="193" spans="1:8" ht="18" customHeight="1">
      <c r="A193" s="172"/>
      <c r="B193" s="173" t="s">
        <v>107</v>
      </c>
      <c r="C193" s="174">
        <v>1</v>
      </c>
      <c r="D193" s="174">
        <v>1</v>
      </c>
      <c r="E193" s="175"/>
      <c r="F193" s="175"/>
      <c r="G193" s="175"/>
      <c r="H193" s="175">
        <f>PRODUCT(C193:G193)</f>
        <v>1</v>
      </c>
    </row>
    <row r="194" spans="1:8" ht="18" customHeight="1">
      <c r="A194" s="172"/>
      <c r="B194" s="173" t="s">
        <v>171</v>
      </c>
      <c r="C194" s="174">
        <v>1</v>
      </c>
      <c r="D194" s="174">
        <v>1</v>
      </c>
      <c r="E194" s="175"/>
      <c r="F194" s="175"/>
      <c r="G194" s="175"/>
      <c r="H194" s="175">
        <f>PRODUCT(C194:G194)</f>
        <v>1</v>
      </c>
    </row>
    <row r="195" spans="1:8" ht="18" customHeight="1">
      <c r="A195" s="172"/>
      <c r="B195" s="173"/>
      <c r="C195" s="174"/>
      <c r="D195" s="174"/>
      <c r="E195" s="175"/>
      <c r="F195" s="175"/>
      <c r="G195" s="175"/>
      <c r="H195" s="175">
        <f>SUM(H193:H194)</f>
        <v>2</v>
      </c>
    </row>
    <row r="196" spans="1:8" s="423" customFormat="1" ht="18" customHeight="1">
      <c r="A196" s="168"/>
      <c r="B196" s="169"/>
      <c r="C196" s="174"/>
      <c r="D196" s="174"/>
      <c r="E196" s="170"/>
      <c r="F196" s="170" t="s">
        <v>96</v>
      </c>
      <c r="G196" s="170">
        <f>+H195</f>
        <v>2</v>
      </c>
      <c r="H196" s="171" t="s">
        <v>4</v>
      </c>
    </row>
    <row r="197" spans="1:8" ht="34.9" customHeight="1">
      <c r="A197" s="172">
        <f>A186+1</f>
        <v>23</v>
      </c>
      <c r="B197" s="1570" t="s">
        <v>172</v>
      </c>
      <c r="C197" s="1571"/>
      <c r="D197" s="1571"/>
      <c r="E197" s="1571"/>
      <c r="F197" s="1571"/>
      <c r="G197" s="1572"/>
      <c r="H197" s="175"/>
    </row>
    <row r="198" spans="1:8" ht="18" customHeight="1">
      <c r="A198" s="172"/>
      <c r="B198" s="173" t="s">
        <v>107</v>
      </c>
      <c r="C198" s="174">
        <v>1</v>
      </c>
      <c r="D198" s="174">
        <v>2</v>
      </c>
      <c r="E198" s="175"/>
      <c r="F198" s="175"/>
      <c r="G198" s="175"/>
      <c r="H198" s="175">
        <f>PRODUCT(C198:G198)</f>
        <v>2</v>
      </c>
    </row>
    <row r="199" spans="1:8" s="423" customFormat="1" ht="18" customHeight="1">
      <c r="A199" s="168"/>
      <c r="B199" s="169"/>
      <c r="C199" s="174"/>
      <c r="D199" s="174"/>
      <c r="E199" s="170"/>
      <c r="F199" s="170" t="s">
        <v>96</v>
      </c>
      <c r="G199" s="170">
        <f>+H198</f>
        <v>2</v>
      </c>
      <c r="H199" s="171" t="s">
        <v>4</v>
      </c>
    </row>
    <row r="200" spans="1:8" ht="34.9" customHeight="1">
      <c r="A200" s="172">
        <f>+A197+1</f>
        <v>24</v>
      </c>
      <c r="B200" s="1570" t="s">
        <v>173</v>
      </c>
      <c r="C200" s="1571"/>
      <c r="D200" s="1571"/>
      <c r="E200" s="1571"/>
      <c r="F200" s="1571"/>
      <c r="G200" s="1572"/>
      <c r="H200" s="175"/>
    </row>
    <row r="201" spans="1:8" s="423" customFormat="1" ht="18" customHeight="1">
      <c r="A201" s="168"/>
      <c r="B201" s="173" t="s">
        <v>107</v>
      </c>
      <c r="C201" s="174">
        <v>1</v>
      </c>
      <c r="D201" s="174">
        <v>1</v>
      </c>
      <c r="E201" s="170"/>
      <c r="F201" s="170"/>
      <c r="G201" s="170"/>
      <c r="H201" s="175">
        <f>PRODUCT(C201:G201)</f>
        <v>1</v>
      </c>
    </row>
    <row r="202" spans="1:8" s="423" customFormat="1" ht="18" customHeight="1">
      <c r="A202" s="168"/>
      <c r="B202" s="169"/>
      <c r="C202" s="174"/>
      <c r="D202" s="174"/>
      <c r="E202" s="170"/>
      <c r="F202" s="170" t="s">
        <v>96</v>
      </c>
      <c r="G202" s="170">
        <f>+H201</f>
        <v>1</v>
      </c>
      <c r="H202" s="171" t="s">
        <v>54</v>
      </c>
    </row>
    <row r="203" spans="1:8" ht="34.9" customHeight="1">
      <c r="A203" s="172">
        <f>+A200+1</f>
        <v>25</v>
      </c>
      <c r="B203" s="1570" t="s">
        <v>174</v>
      </c>
      <c r="C203" s="1571"/>
      <c r="D203" s="1571"/>
      <c r="E203" s="1571"/>
      <c r="F203" s="1571"/>
      <c r="G203" s="1572"/>
      <c r="H203" s="175"/>
    </row>
    <row r="204" spans="1:8" ht="18" customHeight="1">
      <c r="A204" s="172"/>
      <c r="B204" s="173" t="s">
        <v>107</v>
      </c>
      <c r="C204" s="174">
        <v>1</v>
      </c>
      <c r="D204" s="174">
        <v>1</v>
      </c>
      <c r="E204" s="175"/>
      <c r="F204" s="175"/>
      <c r="G204" s="175"/>
      <c r="H204" s="175">
        <f>PRODUCT(C204:G204)</f>
        <v>1</v>
      </c>
    </row>
    <row r="205" spans="1:8" s="423" customFormat="1" ht="18" customHeight="1">
      <c r="A205" s="168"/>
      <c r="B205" s="169"/>
      <c r="C205" s="174"/>
      <c r="D205" s="174"/>
      <c r="E205" s="170"/>
      <c r="F205" s="170" t="s">
        <v>96</v>
      </c>
      <c r="G205" s="170">
        <f>+H204</f>
        <v>1</v>
      </c>
      <c r="H205" s="171" t="s">
        <v>54</v>
      </c>
    </row>
    <row r="206" spans="1:8" ht="25.15" customHeight="1">
      <c r="A206" s="172">
        <f>+A203+1</f>
        <v>26</v>
      </c>
      <c r="B206" s="173" t="s">
        <v>175</v>
      </c>
      <c r="C206" s="174"/>
      <c r="D206" s="174"/>
      <c r="E206" s="175"/>
      <c r="F206" s="175"/>
      <c r="G206" s="175"/>
      <c r="H206" s="175"/>
    </row>
    <row r="207" spans="1:8" ht="18" customHeight="1">
      <c r="A207" s="172"/>
      <c r="B207" s="173" t="s">
        <v>107</v>
      </c>
      <c r="C207" s="174">
        <v>1</v>
      </c>
      <c r="D207" s="174">
        <v>1</v>
      </c>
      <c r="E207" s="175"/>
      <c r="F207" s="175"/>
      <c r="G207" s="175"/>
      <c r="H207" s="175">
        <f>PRODUCT(C207:G207)</f>
        <v>1</v>
      </c>
    </row>
    <row r="208" spans="1:8" s="423" customFormat="1" ht="18" customHeight="1">
      <c r="A208" s="168"/>
      <c r="B208" s="169"/>
      <c r="C208" s="174"/>
      <c r="D208" s="174"/>
      <c r="E208" s="170"/>
      <c r="F208" s="170" t="s">
        <v>96</v>
      </c>
      <c r="G208" s="170">
        <f>+H207</f>
        <v>1</v>
      </c>
      <c r="H208" s="171" t="s">
        <v>54</v>
      </c>
    </row>
    <row r="209" spans="1:8" ht="25.15" customHeight="1">
      <c r="A209" s="172">
        <f>+A206+1</f>
        <v>27</v>
      </c>
      <c r="B209" s="173" t="s">
        <v>176</v>
      </c>
      <c r="C209" s="174"/>
      <c r="D209" s="174"/>
      <c r="E209" s="175"/>
      <c r="F209" s="175"/>
      <c r="G209" s="175"/>
      <c r="H209" s="175"/>
    </row>
    <row r="210" spans="1:8" ht="18" customHeight="1">
      <c r="A210" s="172"/>
      <c r="B210" s="173" t="s">
        <v>107</v>
      </c>
      <c r="C210" s="174">
        <v>1</v>
      </c>
      <c r="D210" s="174">
        <v>1</v>
      </c>
      <c r="E210" s="175"/>
      <c r="F210" s="175"/>
      <c r="G210" s="175"/>
      <c r="H210" s="175">
        <f>PRODUCT(C210:G210)</f>
        <v>1</v>
      </c>
    </row>
    <row r="211" spans="1:8" s="423" customFormat="1" ht="18" customHeight="1">
      <c r="A211" s="168"/>
      <c r="B211" s="169"/>
      <c r="C211" s="174"/>
      <c r="D211" s="174"/>
      <c r="E211" s="170"/>
      <c r="F211" s="170" t="s">
        <v>96</v>
      </c>
      <c r="G211" s="170">
        <f>+H210</f>
        <v>1</v>
      </c>
      <c r="H211" s="171" t="s">
        <v>54</v>
      </c>
    </row>
    <row r="212" spans="1:8" ht="25.15" customHeight="1">
      <c r="A212" s="172">
        <f>+A209+1</f>
        <v>28</v>
      </c>
      <c r="B212" s="1570" t="s">
        <v>177</v>
      </c>
      <c r="C212" s="1571"/>
      <c r="D212" s="1571"/>
      <c r="E212" s="1571"/>
      <c r="F212" s="1571"/>
      <c r="G212" s="1572"/>
      <c r="H212" s="175"/>
    </row>
    <row r="213" spans="1:8" ht="18" customHeight="1">
      <c r="A213" s="172"/>
      <c r="B213" s="173" t="s">
        <v>1210</v>
      </c>
      <c r="C213" s="174"/>
      <c r="D213" s="174"/>
      <c r="E213" s="175"/>
      <c r="F213" s="175"/>
      <c r="G213" s="175"/>
      <c r="H213" s="175"/>
    </row>
    <row r="214" spans="1:8" ht="18" customHeight="1">
      <c r="A214" s="172"/>
      <c r="B214" s="173" t="s">
        <v>107</v>
      </c>
      <c r="C214" s="174">
        <v>1</v>
      </c>
      <c r="D214" s="174">
        <v>1</v>
      </c>
      <c r="E214" s="175"/>
      <c r="F214" s="175"/>
      <c r="G214" s="175"/>
      <c r="H214" s="175">
        <f>PRODUCT(C214:G214)</f>
        <v>1</v>
      </c>
    </row>
    <row r="215" spans="1:8" s="423" customFormat="1" ht="18" customHeight="1">
      <c r="A215" s="168"/>
      <c r="B215" s="169"/>
      <c r="C215" s="174"/>
      <c r="D215" s="174"/>
      <c r="E215" s="170"/>
      <c r="F215" s="170" t="s">
        <v>96</v>
      </c>
      <c r="G215" s="170">
        <f>+H214</f>
        <v>1</v>
      </c>
      <c r="H215" s="171" t="s">
        <v>54</v>
      </c>
    </row>
    <row r="216" spans="1:8" ht="34.9" customHeight="1">
      <c r="A216" s="172">
        <f>+A212+1</f>
        <v>29</v>
      </c>
      <c r="B216" s="1570" t="s">
        <v>179</v>
      </c>
      <c r="C216" s="1571"/>
      <c r="D216" s="1571"/>
      <c r="E216" s="1571"/>
      <c r="F216" s="1571"/>
      <c r="G216" s="1572"/>
      <c r="H216" s="175"/>
    </row>
    <row r="217" spans="1:8" ht="18" customHeight="1">
      <c r="A217" s="172"/>
      <c r="B217" s="173" t="s">
        <v>107</v>
      </c>
      <c r="C217" s="174">
        <v>1</v>
      </c>
      <c r="D217" s="174">
        <v>1</v>
      </c>
      <c r="E217" s="175">
        <v>40</v>
      </c>
      <c r="F217" s="175"/>
      <c r="G217" s="175"/>
      <c r="H217" s="175">
        <f>PRODUCT(C217:G217)</f>
        <v>40</v>
      </c>
    </row>
    <row r="218" spans="1:8" s="423" customFormat="1" ht="18" customHeight="1">
      <c r="A218" s="168"/>
      <c r="B218" s="169"/>
      <c r="C218" s="174"/>
      <c r="D218" s="174"/>
      <c r="E218" s="170"/>
      <c r="F218" s="170" t="s">
        <v>15</v>
      </c>
      <c r="G218" s="170">
        <f>+H217</f>
        <v>40</v>
      </c>
      <c r="H218" s="171" t="s">
        <v>61</v>
      </c>
    </row>
    <row r="219" spans="1:8" s="240" customFormat="1" ht="25.15" customHeight="1">
      <c r="A219" s="382">
        <f>A216+1</f>
        <v>30</v>
      </c>
      <c r="B219" s="139" t="s">
        <v>1025</v>
      </c>
      <c r="C219" s="383"/>
      <c r="D219" s="383"/>
      <c r="E219" s="372"/>
      <c r="F219" s="372"/>
      <c r="G219" s="372"/>
      <c r="H219" s="372"/>
    </row>
    <row r="220" spans="1:8" s="423" customFormat="1" ht="18" customHeight="1">
      <c r="A220" s="168"/>
      <c r="B220" s="173" t="s">
        <v>107</v>
      </c>
      <c r="C220" s="174">
        <v>1</v>
      </c>
      <c r="D220" s="174">
        <v>1</v>
      </c>
      <c r="E220" s="175">
        <v>1</v>
      </c>
      <c r="F220" s="175"/>
      <c r="G220" s="175">
        <v>0.75</v>
      </c>
      <c r="H220" s="175">
        <f>PRODUCT(C220:G220)</f>
        <v>0.75</v>
      </c>
    </row>
    <row r="221" spans="1:8" s="423" customFormat="1" ht="18" customHeight="1">
      <c r="A221" s="168"/>
      <c r="B221" s="169"/>
      <c r="C221" s="174"/>
      <c r="D221" s="174"/>
      <c r="E221" s="170"/>
      <c r="F221" s="170"/>
      <c r="G221" s="170"/>
      <c r="H221" s="175">
        <v>0.05</v>
      </c>
    </row>
    <row r="222" spans="1:8" s="423" customFormat="1" ht="18" customHeight="1">
      <c r="A222" s="168"/>
      <c r="B222" s="169"/>
      <c r="C222" s="174"/>
      <c r="D222" s="174"/>
      <c r="E222" s="170"/>
      <c r="F222" s="170"/>
      <c r="G222" s="170"/>
      <c r="H222" s="175">
        <f>SUM(H220:H221)</f>
        <v>0.8</v>
      </c>
    </row>
    <row r="223" spans="1:8" s="423" customFormat="1" ht="18" customHeight="1">
      <c r="A223" s="168"/>
      <c r="B223" s="169"/>
      <c r="C223" s="174"/>
      <c r="D223" s="174"/>
      <c r="E223" s="170"/>
      <c r="F223" s="170" t="s">
        <v>15</v>
      </c>
      <c r="G223" s="170">
        <f>+H222</f>
        <v>0.8</v>
      </c>
      <c r="H223" s="171" t="s">
        <v>37</v>
      </c>
    </row>
    <row r="224" spans="1:8" ht="25.15" customHeight="1">
      <c r="A224" s="172">
        <f>A219+1</f>
        <v>31</v>
      </c>
      <c r="B224" s="1576" t="s">
        <v>1181</v>
      </c>
      <c r="C224" s="1577"/>
      <c r="D224" s="1577"/>
      <c r="E224" s="1577"/>
      <c r="F224" s="1577"/>
      <c r="G224" s="1578"/>
      <c r="H224" s="175"/>
    </row>
    <row r="225" spans="1:8" s="423" customFormat="1" ht="18" customHeight="1">
      <c r="A225" s="168"/>
      <c r="B225" s="173" t="s">
        <v>107</v>
      </c>
      <c r="C225" s="174">
        <v>1</v>
      </c>
      <c r="D225" s="174">
        <v>1</v>
      </c>
      <c r="E225" s="170"/>
      <c r="F225" s="170"/>
      <c r="G225" s="170"/>
      <c r="H225" s="175">
        <f>PRODUCT(C225:G225)</f>
        <v>1</v>
      </c>
    </row>
    <row r="226" spans="1:8" s="423" customFormat="1" ht="18" customHeight="1">
      <c r="A226" s="168"/>
      <c r="B226" s="169"/>
      <c r="C226" s="174"/>
      <c r="D226" s="174"/>
      <c r="E226" s="170"/>
      <c r="F226" s="170" t="s">
        <v>15</v>
      </c>
      <c r="G226" s="170">
        <f>+H225</f>
        <v>1</v>
      </c>
      <c r="H226" s="171" t="s">
        <v>54</v>
      </c>
    </row>
    <row r="227" spans="1:8" ht="25.15" customHeight="1">
      <c r="A227" s="172">
        <v>32</v>
      </c>
      <c r="B227" s="173" t="s">
        <v>181</v>
      </c>
      <c r="C227" s="174"/>
      <c r="D227" s="174"/>
      <c r="E227" s="175"/>
      <c r="F227" s="175"/>
      <c r="G227" s="175"/>
      <c r="H227" s="175"/>
    </row>
    <row r="228" spans="1:8" ht="18" customHeight="1">
      <c r="A228" s="172"/>
      <c r="B228" s="173" t="s">
        <v>107</v>
      </c>
      <c r="C228" s="174">
        <v>1</v>
      </c>
      <c r="D228" s="174">
        <v>1</v>
      </c>
      <c r="E228" s="175"/>
      <c r="F228" s="175"/>
      <c r="G228" s="175"/>
      <c r="H228" s="175">
        <f>PRODUCT(C228:G228)</f>
        <v>1</v>
      </c>
    </row>
    <row r="229" spans="1:8" s="423" customFormat="1" ht="18" customHeight="1">
      <c r="A229" s="168"/>
      <c r="B229" s="169"/>
      <c r="C229" s="176"/>
      <c r="D229" s="176"/>
      <c r="E229" s="170"/>
      <c r="F229" s="170" t="s">
        <v>15</v>
      </c>
      <c r="G229" s="170">
        <f>+H228</f>
        <v>1</v>
      </c>
      <c r="H229" s="171" t="s">
        <v>54</v>
      </c>
    </row>
  </sheetData>
  <mergeCells count="36">
    <mergeCell ref="B203:G203"/>
    <mergeCell ref="B212:G212"/>
    <mergeCell ref="B216:G216"/>
    <mergeCell ref="B224:G224"/>
    <mergeCell ref="C177:D177"/>
    <mergeCell ref="B164:G164"/>
    <mergeCell ref="B166:G166"/>
    <mergeCell ref="B172:G172"/>
    <mergeCell ref="B197:G197"/>
    <mergeCell ref="B200:G200"/>
    <mergeCell ref="B104:G104"/>
    <mergeCell ref="B107:G107"/>
    <mergeCell ref="B112:G112"/>
    <mergeCell ref="B159:G159"/>
    <mergeCell ref="B162:G162"/>
    <mergeCell ref="B55:G55"/>
    <mergeCell ref="B66:G66"/>
    <mergeCell ref="B78:G78"/>
    <mergeCell ref="B85:G85"/>
    <mergeCell ref="B98:G98"/>
    <mergeCell ref="B9:G9"/>
    <mergeCell ref="B23:G23"/>
    <mergeCell ref="B32:G32"/>
    <mergeCell ref="B42:G42"/>
    <mergeCell ref="B47:G47"/>
    <mergeCell ref="A1:H1"/>
    <mergeCell ref="A4:H4"/>
    <mergeCell ref="A5:H5"/>
    <mergeCell ref="A6:H6"/>
    <mergeCell ref="A7:A8"/>
    <mergeCell ref="B7:B8"/>
    <mergeCell ref="C7:D8"/>
    <mergeCell ref="E7:G7"/>
    <mergeCell ref="H7:H8"/>
    <mergeCell ref="A3:H3"/>
    <mergeCell ref="A2:H2"/>
  </mergeCells>
  <pageMargins left="0.7" right="0.7" top="0.75" bottom="0.3" header="0.3" footer="0.3"/>
  <pageSetup orientation="portrait" r:id="rId1"/>
  <headerFooter>
    <oddHeader>Page &amp;P</oddHeader>
  </headerFooter>
</worksheet>
</file>

<file path=xl/worksheets/sheet28.xml><?xml version="1.0" encoding="utf-8"?>
<worksheet xmlns="http://schemas.openxmlformats.org/spreadsheetml/2006/main" xmlns:r="http://schemas.openxmlformats.org/officeDocument/2006/relationships">
  <sheetPr>
    <tabColor theme="5" tint="-0.249977111117893"/>
  </sheetPr>
  <dimension ref="A1:M346"/>
  <sheetViews>
    <sheetView view="pageBreakPreview" topLeftCell="A64" zoomScaleSheetLayoutView="100" workbookViewId="0">
      <selection activeCell="B22" sqref="B22:G22"/>
    </sheetView>
  </sheetViews>
  <sheetFormatPr defaultRowHeight="15"/>
  <cols>
    <col min="1" max="1" width="4.77734375" style="310" customWidth="1"/>
    <col min="2" max="2" width="26.5546875" style="371" customWidth="1"/>
    <col min="3" max="4" width="4.21875" style="307" customWidth="1"/>
    <col min="5" max="8" width="7.6640625" style="306" customWidth="1"/>
    <col min="9" max="9" width="4.21875" style="370" customWidth="1"/>
    <col min="10" max="256" width="8.77734375" style="309"/>
    <col min="257" max="257" width="5.6640625" style="309" customWidth="1"/>
    <col min="258" max="258" width="31.109375" style="309" customWidth="1"/>
    <col min="259" max="259" width="5.77734375" style="309" customWidth="1"/>
    <col min="260" max="260" width="7.6640625" style="309" customWidth="1"/>
    <col min="261" max="261" width="9.77734375" style="309" customWidth="1"/>
    <col min="262" max="262" width="5.21875" style="309" bestFit="1" customWidth="1"/>
    <col min="263" max="263" width="4.33203125" style="309" bestFit="1" customWidth="1"/>
    <col min="264" max="264" width="7.109375" style="309" customWidth="1"/>
    <col min="265" max="265" width="4.21875" style="309" customWidth="1"/>
    <col min="266" max="512" width="8.77734375" style="309"/>
    <col min="513" max="513" width="5.6640625" style="309" customWidth="1"/>
    <col min="514" max="514" width="31.109375" style="309" customWidth="1"/>
    <col min="515" max="515" width="5.77734375" style="309" customWidth="1"/>
    <col min="516" max="516" width="7.6640625" style="309" customWidth="1"/>
    <col min="517" max="517" width="9.77734375" style="309" customWidth="1"/>
    <col min="518" max="518" width="5.21875" style="309" bestFit="1" customWidth="1"/>
    <col min="519" max="519" width="4.33203125" style="309" bestFit="1" customWidth="1"/>
    <col min="520" max="520" width="7.109375" style="309" customWidth="1"/>
    <col min="521" max="521" width="4.21875" style="309" customWidth="1"/>
    <col min="522" max="768" width="8.77734375" style="309"/>
    <col min="769" max="769" width="5.6640625" style="309" customWidth="1"/>
    <col min="770" max="770" width="31.109375" style="309" customWidth="1"/>
    <col min="771" max="771" width="5.77734375" style="309" customWidth="1"/>
    <col min="772" max="772" width="7.6640625" style="309" customWidth="1"/>
    <col min="773" max="773" width="9.77734375" style="309" customWidth="1"/>
    <col min="774" max="774" width="5.21875" style="309" bestFit="1" customWidth="1"/>
    <col min="775" max="775" width="4.33203125" style="309" bestFit="1" customWidth="1"/>
    <col min="776" max="776" width="7.109375" style="309" customWidth="1"/>
    <col min="777" max="777" width="4.21875" style="309" customWidth="1"/>
    <col min="778" max="1024" width="8.77734375" style="309"/>
    <col min="1025" max="1025" width="5.6640625" style="309" customWidth="1"/>
    <col min="1026" max="1026" width="31.109375" style="309" customWidth="1"/>
    <col min="1027" max="1027" width="5.77734375" style="309" customWidth="1"/>
    <col min="1028" max="1028" width="7.6640625" style="309" customWidth="1"/>
    <col min="1029" max="1029" width="9.77734375" style="309" customWidth="1"/>
    <col min="1030" max="1030" width="5.21875" style="309" bestFit="1" customWidth="1"/>
    <col min="1031" max="1031" width="4.33203125" style="309" bestFit="1" customWidth="1"/>
    <col min="1032" max="1032" width="7.109375" style="309" customWidth="1"/>
    <col min="1033" max="1033" width="4.21875" style="309" customWidth="1"/>
    <col min="1034" max="1280" width="8.77734375" style="309"/>
    <col min="1281" max="1281" width="5.6640625" style="309" customWidth="1"/>
    <col min="1282" max="1282" width="31.109375" style="309" customWidth="1"/>
    <col min="1283" max="1283" width="5.77734375" style="309" customWidth="1"/>
    <col min="1284" max="1284" width="7.6640625" style="309" customWidth="1"/>
    <col min="1285" max="1285" width="9.77734375" style="309" customWidth="1"/>
    <col min="1286" max="1286" width="5.21875" style="309" bestFit="1" customWidth="1"/>
    <col min="1287" max="1287" width="4.33203125" style="309" bestFit="1" customWidth="1"/>
    <col min="1288" max="1288" width="7.109375" style="309" customWidth="1"/>
    <col min="1289" max="1289" width="4.21875" style="309" customWidth="1"/>
    <col min="1290" max="1536" width="8.77734375" style="309"/>
    <col min="1537" max="1537" width="5.6640625" style="309" customWidth="1"/>
    <col min="1538" max="1538" width="31.109375" style="309" customWidth="1"/>
    <col min="1539" max="1539" width="5.77734375" style="309" customWidth="1"/>
    <col min="1540" max="1540" width="7.6640625" style="309" customWidth="1"/>
    <col min="1541" max="1541" width="9.77734375" style="309" customWidth="1"/>
    <col min="1542" max="1542" width="5.21875" style="309" bestFit="1" customWidth="1"/>
    <col min="1543" max="1543" width="4.33203125" style="309" bestFit="1" customWidth="1"/>
    <col min="1544" max="1544" width="7.109375" style="309" customWidth="1"/>
    <col min="1545" max="1545" width="4.21875" style="309" customWidth="1"/>
    <col min="1546" max="1792" width="8.77734375" style="309"/>
    <col min="1793" max="1793" width="5.6640625" style="309" customWidth="1"/>
    <col min="1794" max="1794" width="31.109375" style="309" customWidth="1"/>
    <col min="1795" max="1795" width="5.77734375" style="309" customWidth="1"/>
    <col min="1796" max="1796" width="7.6640625" style="309" customWidth="1"/>
    <col min="1797" max="1797" width="9.77734375" style="309" customWidth="1"/>
    <col min="1798" max="1798" width="5.21875" style="309" bestFit="1" customWidth="1"/>
    <col min="1799" max="1799" width="4.33203125" style="309" bestFit="1" customWidth="1"/>
    <col min="1800" max="1800" width="7.109375" style="309" customWidth="1"/>
    <col min="1801" max="1801" width="4.21875" style="309" customWidth="1"/>
    <col min="1802" max="2048" width="8.77734375" style="309"/>
    <col min="2049" max="2049" width="5.6640625" style="309" customWidth="1"/>
    <col min="2050" max="2050" width="31.109375" style="309" customWidth="1"/>
    <col min="2051" max="2051" width="5.77734375" style="309" customWidth="1"/>
    <col min="2052" max="2052" width="7.6640625" style="309" customWidth="1"/>
    <col min="2053" max="2053" width="9.77734375" style="309" customWidth="1"/>
    <col min="2054" max="2054" width="5.21875" style="309" bestFit="1" customWidth="1"/>
    <col min="2055" max="2055" width="4.33203125" style="309" bestFit="1" customWidth="1"/>
    <col min="2056" max="2056" width="7.109375" style="309" customWidth="1"/>
    <col min="2057" max="2057" width="4.21875" style="309" customWidth="1"/>
    <col min="2058" max="2304" width="8.77734375" style="309"/>
    <col min="2305" max="2305" width="5.6640625" style="309" customWidth="1"/>
    <col min="2306" max="2306" width="31.109375" style="309" customWidth="1"/>
    <col min="2307" max="2307" width="5.77734375" style="309" customWidth="1"/>
    <col min="2308" max="2308" width="7.6640625" style="309" customWidth="1"/>
    <col min="2309" max="2309" width="9.77734375" style="309" customWidth="1"/>
    <col min="2310" max="2310" width="5.21875" style="309" bestFit="1" customWidth="1"/>
    <col min="2311" max="2311" width="4.33203125" style="309" bestFit="1" customWidth="1"/>
    <col min="2312" max="2312" width="7.109375" style="309" customWidth="1"/>
    <col min="2313" max="2313" width="4.21875" style="309" customWidth="1"/>
    <col min="2314" max="2560" width="8.77734375" style="309"/>
    <col min="2561" max="2561" width="5.6640625" style="309" customWidth="1"/>
    <col min="2562" max="2562" width="31.109375" style="309" customWidth="1"/>
    <col min="2563" max="2563" width="5.77734375" style="309" customWidth="1"/>
    <col min="2564" max="2564" width="7.6640625" style="309" customWidth="1"/>
    <col min="2565" max="2565" width="9.77734375" style="309" customWidth="1"/>
    <col min="2566" max="2566" width="5.21875" style="309" bestFit="1" customWidth="1"/>
    <col min="2567" max="2567" width="4.33203125" style="309" bestFit="1" customWidth="1"/>
    <col min="2568" max="2568" width="7.109375" style="309" customWidth="1"/>
    <col min="2569" max="2569" width="4.21875" style="309" customWidth="1"/>
    <col min="2570" max="2816" width="8.77734375" style="309"/>
    <col min="2817" max="2817" width="5.6640625" style="309" customWidth="1"/>
    <col min="2818" max="2818" width="31.109375" style="309" customWidth="1"/>
    <col min="2819" max="2819" width="5.77734375" style="309" customWidth="1"/>
    <col min="2820" max="2820" width="7.6640625" style="309" customWidth="1"/>
    <col min="2821" max="2821" width="9.77734375" style="309" customWidth="1"/>
    <col min="2822" max="2822" width="5.21875" style="309" bestFit="1" customWidth="1"/>
    <col min="2823" max="2823" width="4.33203125" style="309" bestFit="1" customWidth="1"/>
    <col min="2824" max="2824" width="7.109375" style="309" customWidth="1"/>
    <col min="2825" max="2825" width="4.21875" style="309" customWidth="1"/>
    <col min="2826" max="3072" width="8.77734375" style="309"/>
    <col min="3073" max="3073" width="5.6640625" style="309" customWidth="1"/>
    <col min="3074" max="3074" width="31.109375" style="309" customWidth="1"/>
    <col min="3075" max="3075" width="5.77734375" style="309" customWidth="1"/>
    <col min="3076" max="3076" width="7.6640625" style="309" customWidth="1"/>
    <col min="3077" max="3077" width="9.77734375" style="309" customWidth="1"/>
    <col min="3078" max="3078" width="5.21875" style="309" bestFit="1" customWidth="1"/>
    <col min="3079" max="3079" width="4.33203125" style="309" bestFit="1" customWidth="1"/>
    <col min="3080" max="3080" width="7.109375" style="309" customWidth="1"/>
    <col min="3081" max="3081" width="4.21875" style="309" customWidth="1"/>
    <col min="3082" max="3328" width="8.77734375" style="309"/>
    <col min="3329" max="3329" width="5.6640625" style="309" customWidth="1"/>
    <col min="3330" max="3330" width="31.109375" style="309" customWidth="1"/>
    <col min="3331" max="3331" width="5.77734375" style="309" customWidth="1"/>
    <col min="3332" max="3332" width="7.6640625" style="309" customWidth="1"/>
    <col min="3333" max="3333" width="9.77734375" style="309" customWidth="1"/>
    <col min="3334" max="3334" width="5.21875" style="309" bestFit="1" customWidth="1"/>
    <col min="3335" max="3335" width="4.33203125" style="309" bestFit="1" customWidth="1"/>
    <col min="3336" max="3336" width="7.109375" style="309" customWidth="1"/>
    <col min="3337" max="3337" width="4.21875" style="309" customWidth="1"/>
    <col min="3338" max="3584" width="8.77734375" style="309"/>
    <col min="3585" max="3585" width="5.6640625" style="309" customWidth="1"/>
    <col min="3586" max="3586" width="31.109375" style="309" customWidth="1"/>
    <col min="3587" max="3587" width="5.77734375" style="309" customWidth="1"/>
    <col min="3588" max="3588" width="7.6640625" style="309" customWidth="1"/>
    <col min="3589" max="3589" width="9.77734375" style="309" customWidth="1"/>
    <col min="3590" max="3590" width="5.21875" style="309" bestFit="1" customWidth="1"/>
    <col min="3591" max="3591" width="4.33203125" style="309" bestFit="1" customWidth="1"/>
    <col min="3592" max="3592" width="7.109375" style="309" customWidth="1"/>
    <col min="3593" max="3593" width="4.21875" style="309" customWidth="1"/>
    <col min="3594" max="3840" width="8.77734375" style="309"/>
    <col min="3841" max="3841" width="5.6640625" style="309" customWidth="1"/>
    <col min="3842" max="3842" width="31.109375" style="309" customWidth="1"/>
    <col min="3843" max="3843" width="5.77734375" style="309" customWidth="1"/>
    <col min="3844" max="3844" width="7.6640625" style="309" customWidth="1"/>
    <col min="3845" max="3845" width="9.77734375" style="309" customWidth="1"/>
    <col min="3846" max="3846" width="5.21875" style="309" bestFit="1" customWidth="1"/>
    <col min="3847" max="3847" width="4.33203125" style="309" bestFit="1" customWidth="1"/>
    <col min="3848" max="3848" width="7.109375" style="309" customWidth="1"/>
    <col min="3849" max="3849" width="4.21875" style="309" customWidth="1"/>
    <col min="3850" max="4096" width="8.77734375" style="309"/>
    <col min="4097" max="4097" width="5.6640625" style="309" customWidth="1"/>
    <col min="4098" max="4098" width="31.109375" style="309" customWidth="1"/>
    <col min="4099" max="4099" width="5.77734375" style="309" customWidth="1"/>
    <col min="4100" max="4100" width="7.6640625" style="309" customWidth="1"/>
    <col min="4101" max="4101" width="9.77734375" style="309" customWidth="1"/>
    <col min="4102" max="4102" width="5.21875" style="309" bestFit="1" customWidth="1"/>
    <col min="4103" max="4103" width="4.33203125" style="309" bestFit="1" customWidth="1"/>
    <col min="4104" max="4104" width="7.109375" style="309" customWidth="1"/>
    <col min="4105" max="4105" width="4.21875" style="309" customWidth="1"/>
    <col min="4106" max="4352" width="8.77734375" style="309"/>
    <col min="4353" max="4353" width="5.6640625" style="309" customWidth="1"/>
    <col min="4354" max="4354" width="31.109375" style="309" customWidth="1"/>
    <col min="4355" max="4355" width="5.77734375" style="309" customWidth="1"/>
    <col min="4356" max="4356" width="7.6640625" style="309" customWidth="1"/>
    <col min="4357" max="4357" width="9.77734375" style="309" customWidth="1"/>
    <col min="4358" max="4358" width="5.21875" style="309" bestFit="1" customWidth="1"/>
    <col min="4359" max="4359" width="4.33203125" style="309" bestFit="1" customWidth="1"/>
    <col min="4360" max="4360" width="7.109375" style="309" customWidth="1"/>
    <col min="4361" max="4361" width="4.21875" style="309" customWidth="1"/>
    <col min="4362" max="4608" width="8.77734375" style="309"/>
    <col min="4609" max="4609" width="5.6640625" style="309" customWidth="1"/>
    <col min="4610" max="4610" width="31.109375" style="309" customWidth="1"/>
    <col min="4611" max="4611" width="5.77734375" style="309" customWidth="1"/>
    <col min="4612" max="4612" width="7.6640625" style="309" customWidth="1"/>
    <col min="4613" max="4613" width="9.77734375" style="309" customWidth="1"/>
    <col min="4614" max="4614" width="5.21875" style="309" bestFit="1" customWidth="1"/>
    <col min="4615" max="4615" width="4.33203125" style="309" bestFit="1" customWidth="1"/>
    <col min="4616" max="4616" width="7.109375" style="309" customWidth="1"/>
    <col min="4617" max="4617" width="4.21875" style="309" customWidth="1"/>
    <col min="4618" max="4864" width="8.77734375" style="309"/>
    <col min="4865" max="4865" width="5.6640625" style="309" customWidth="1"/>
    <col min="4866" max="4866" width="31.109375" style="309" customWidth="1"/>
    <col min="4867" max="4867" width="5.77734375" style="309" customWidth="1"/>
    <col min="4868" max="4868" width="7.6640625" style="309" customWidth="1"/>
    <col min="4869" max="4869" width="9.77734375" style="309" customWidth="1"/>
    <col min="4870" max="4870" width="5.21875" style="309" bestFit="1" customWidth="1"/>
    <col min="4871" max="4871" width="4.33203125" style="309" bestFit="1" customWidth="1"/>
    <col min="4872" max="4872" width="7.109375" style="309" customWidth="1"/>
    <col min="4873" max="4873" width="4.21875" style="309" customWidth="1"/>
    <col min="4874" max="5120" width="8.77734375" style="309"/>
    <col min="5121" max="5121" width="5.6640625" style="309" customWidth="1"/>
    <col min="5122" max="5122" width="31.109375" style="309" customWidth="1"/>
    <col min="5123" max="5123" width="5.77734375" style="309" customWidth="1"/>
    <col min="5124" max="5124" width="7.6640625" style="309" customWidth="1"/>
    <col min="5125" max="5125" width="9.77734375" style="309" customWidth="1"/>
    <col min="5126" max="5126" width="5.21875" style="309" bestFit="1" customWidth="1"/>
    <col min="5127" max="5127" width="4.33203125" style="309" bestFit="1" customWidth="1"/>
    <col min="5128" max="5128" width="7.109375" style="309" customWidth="1"/>
    <col min="5129" max="5129" width="4.21875" style="309" customWidth="1"/>
    <col min="5130" max="5376" width="8.77734375" style="309"/>
    <col min="5377" max="5377" width="5.6640625" style="309" customWidth="1"/>
    <col min="5378" max="5378" width="31.109375" style="309" customWidth="1"/>
    <col min="5379" max="5379" width="5.77734375" style="309" customWidth="1"/>
    <col min="5380" max="5380" width="7.6640625" style="309" customWidth="1"/>
    <col min="5381" max="5381" width="9.77734375" style="309" customWidth="1"/>
    <col min="5382" max="5382" width="5.21875" style="309" bestFit="1" customWidth="1"/>
    <col min="5383" max="5383" width="4.33203125" style="309" bestFit="1" customWidth="1"/>
    <col min="5384" max="5384" width="7.109375" style="309" customWidth="1"/>
    <col min="5385" max="5385" width="4.21875" style="309" customWidth="1"/>
    <col min="5386" max="5632" width="8.77734375" style="309"/>
    <col min="5633" max="5633" width="5.6640625" style="309" customWidth="1"/>
    <col min="5634" max="5634" width="31.109375" style="309" customWidth="1"/>
    <col min="5635" max="5635" width="5.77734375" style="309" customWidth="1"/>
    <col min="5636" max="5636" width="7.6640625" style="309" customWidth="1"/>
    <col min="5637" max="5637" width="9.77734375" style="309" customWidth="1"/>
    <col min="5638" max="5638" width="5.21875" style="309" bestFit="1" customWidth="1"/>
    <col min="5639" max="5639" width="4.33203125" style="309" bestFit="1" customWidth="1"/>
    <col min="5640" max="5640" width="7.109375" style="309" customWidth="1"/>
    <col min="5641" max="5641" width="4.21875" style="309" customWidth="1"/>
    <col min="5642" max="5888" width="8.77734375" style="309"/>
    <col min="5889" max="5889" width="5.6640625" style="309" customWidth="1"/>
    <col min="5890" max="5890" width="31.109375" style="309" customWidth="1"/>
    <col min="5891" max="5891" width="5.77734375" style="309" customWidth="1"/>
    <col min="5892" max="5892" width="7.6640625" style="309" customWidth="1"/>
    <col min="5893" max="5893" width="9.77734375" style="309" customWidth="1"/>
    <col min="5894" max="5894" width="5.21875" style="309" bestFit="1" customWidth="1"/>
    <col min="5895" max="5895" width="4.33203125" style="309" bestFit="1" customWidth="1"/>
    <col min="5896" max="5896" width="7.109375" style="309" customWidth="1"/>
    <col min="5897" max="5897" width="4.21875" style="309" customWidth="1"/>
    <col min="5898" max="6144" width="8.77734375" style="309"/>
    <col min="6145" max="6145" width="5.6640625" style="309" customWidth="1"/>
    <col min="6146" max="6146" width="31.109375" style="309" customWidth="1"/>
    <col min="6147" max="6147" width="5.77734375" style="309" customWidth="1"/>
    <col min="6148" max="6148" width="7.6640625" style="309" customWidth="1"/>
    <col min="6149" max="6149" width="9.77734375" style="309" customWidth="1"/>
    <col min="6150" max="6150" width="5.21875" style="309" bestFit="1" customWidth="1"/>
    <col min="6151" max="6151" width="4.33203125" style="309" bestFit="1" customWidth="1"/>
    <col min="6152" max="6152" width="7.109375" style="309" customWidth="1"/>
    <col min="6153" max="6153" width="4.21875" style="309" customWidth="1"/>
    <col min="6154" max="6400" width="8.77734375" style="309"/>
    <col min="6401" max="6401" width="5.6640625" style="309" customWidth="1"/>
    <col min="6402" max="6402" width="31.109375" style="309" customWidth="1"/>
    <col min="6403" max="6403" width="5.77734375" style="309" customWidth="1"/>
    <col min="6404" max="6404" width="7.6640625" style="309" customWidth="1"/>
    <col min="6405" max="6405" width="9.77734375" style="309" customWidth="1"/>
    <col min="6406" max="6406" width="5.21875" style="309" bestFit="1" customWidth="1"/>
    <col min="6407" max="6407" width="4.33203125" style="309" bestFit="1" customWidth="1"/>
    <col min="6408" max="6408" width="7.109375" style="309" customWidth="1"/>
    <col min="6409" max="6409" width="4.21875" style="309" customWidth="1"/>
    <col min="6410" max="6656" width="8.77734375" style="309"/>
    <col min="6657" max="6657" width="5.6640625" style="309" customWidth="1"/>
    <col min="6658" max="6658" width="31.109375" style="309" customWidth="1"/>
    <col min="6659" max="6659" width="5.77734375" style="309" customWidth="1"/>
    <col min="6660" max="6660" width="7.6640625" style="309" customWidth="1"/>
    <col min="6661" max="6661" width="9.77734375" style="309" customWidth="1"/>
    <col min="6662" max="6662" width="5.21875" style="309" bestFit="1" customWidth="1"/>
    <col min="6663" max="6663" width="4.33203125" style="309" bestFit="1" customWidth="1"/>
    <col min="6664" max="6664" width="7.109375" style="309" customWidth="1"/>
    <col min="6665" max="6665" width="4.21875" style="309" customWidth="1"/>
    <col min="6666" max="6912" width="8.77734375" style="309"/>
    <col min="6913" max="6913" width="5.6640625" style="309" customWidth="1"/>
    <col min="6914" max="6914" width="31.109375" style="309" customWidth="1"/>
    <col min="6915" max="6915" width="5.77734375" style="309" customWidth="1"/>
    <col min="6916" max="6916" width="7.6640625" style="309" customWidth="1"/>
    <col min="6917" max="6917" width="9.77734375" style="309" customWidth="1"/>
    <col min="6918" max="6918" width="5.21875" style="309" bestFit="1" customWidth="1"/>
    <col min="6919" max="6919" width="4.33203125" style="309" bestFit="1" customWidth="1"/>
    <col min="6920" max="6920" width="7.109375" style="309" customWidth="1"/>
    <col min="6921" max="6921" width="4.21875" style="309" customWidth="1"/>
    <col min="6922" max="7168" width="8.77734375" style="309"/>
    <col min="7169" max="7169" width="5.6640625" style="309" customWidth="1"/>
    <col min="7170" max="7170" width="31.109375" style="309" customWidth="1"/>
    <col min="7171" max="7171" width="5.77734375" style="309" customWidth="1"/>
    <col min="7172" max="7172" width="7.6640625" style="309" customWidth="1"/>
    <col min="7173" max="7173" width="9.77734375" style="309" customWidth="1"/>
    <col min="7174" max="7174" width="5.21875" style="309" bestFit="1" customWidth="1"/>
    <col min="7175" max="7175" width="4.33203125" style="309" bestFit="1" customWidth="1"/>
    <col min="7176" max="7176" width="7.109375" style="309" customWidth="1"/>
    <col min="7177" max="7177" width="4.21875" style="309" customWidth="1"/>
    <col min="7178" max="7424" width="8.77734375" style="309"/>
    <col min="7425" max="7425" width="5.6640625" style="309" customWidth="1"/>
    <col min="7426" max="7426" width="31.109375" style="309" customWidth="1"/>
    <col min="7427" max="7427" width="5.77734375" style="309" customWidth="1"/>
    <col min="7428" max="7428" width="7.6640625" style="309" customWidth="1"/>
    <col min="7429" max="7429" width="9.77734375" style="309" customWidth="1"/>
    <col min="7430" max="7430" width="5.21875" style="309" bestFit="1" customWidth="1"/>
    <col min="7431" max="7431" width="4.33203125" style="309" bestFit="1" customWidth="1"/>
    <col min="7432" max="7432" width="7.109375" style="309" customWidth="1"/>
    <col min="7433" max="7433" width="4.21875" style="309" customWidth="1"/>
    <col min="7434" max="7680" width="8.77734375" style="309"/>
    <col min="7681" max="7681" width="5.6640625" style="309" customWidth="1"/>
    <col min="7682" max="7682" width="31.109375" style="309" customWidth="1"/>
    <col min="7683" max="7683" width="5.77734375" style="309" customWidth="1"/>
    <col min="7684" max="7684" width="7.6640625" style="309" customWidth="1"/>
    <col min="7685" max="7685" width="9.77734375" style="309" customWidth="1"/>
    <col min="7686" max="7686" width="5.21875" style="309" bestFit="1" customWidth="1"/>
    <col min="7687" max="7687" width="4.33203125" style="309" bestFit="1" customWidth="1"/>
    <col min="7688" max="7688" width="7.109375" style="309" customWidth="1"/>
    <col min="7689" max="7689" width="4.21875" style="309" customWidth="1"/>
    <col min="7690" max="7936" width="8.77734375" style="309"/>
    <col min="7937" max="7937" width="5.6640625" style="309" customWidth="1"/>
    <col min="7938" max="7938" width="31.109375" style="309" customWidth="1"/>
    <col min="7939" max="7939" width="5.77734375" style="309" customWidth="1"/>
    <col min="7940" max="7940" width="7.6640625" style="309" customWidth="1"/>
    <col min="7941" max="7941" width="9.77734375" style="309" customWidth="1"/>
    <col min="7942" max="7942" width="5.21875" style="309" bestFit="1" customWidth="1"/>
    <col min="7943" max="7943" width="4.33203125" style="309" bestFit="1" customWidth="1"/>
    <col min="7944" max="7944" width="7.109375" style="309" customWidth="1"/>
    <col min="7945" max="7945" width="4.21875" style="309" customWidth="1"/>
    <col min="7946" max="8192" width="8.77734375" style="309"/>
    <col min="8193" max="8193" width="5.6640625" style="309" customWidth="1"/>
    <col min="8194" max="8194" width="31.109375" style="309" customWidth="1"/>
    <col min="8195" max="8195" width="5.77734375" style="309" customWidth="1"/>
    <col min="8196" max="8196" width="7.6640625" style="309" customWidth="1"/>
    <col min="8197" max="8197" width="9.77734375" style="309" customWidth="1"/>
    <col min="8198" max="8198" width="5.21875" style="309" bestFit="1" customWidth="1"/>
    <col min="8199" max="8199" width="4.33203125" style="309" bestFit="1" customWidth="1"/>
    <col min="8200" max="8200" width="7.109375" style="309" customWidth="1"/>
    <col min="8201" max="8201" width="4.21875" style="309" customWidth="1"/>
    <col min="8202" max="8448" width="8.77734375" style="309"/>
    <col min="8449" max="8449" width="5.6640625" style="309" customWidth="1"/>
    <col min="8450" max="8450" width="31.109375" style="309" customWidth="1"/>
    <col min="8451" max="8451" width="5.77734375" style="309" customWidth="1"/>
    <col min="8452" max="8452" width="7.6640625" style="309" customWidth="1"/>
    <col min="8453" max="8453" width="9.77734375" style="309" customWidth="1"/>
    <col min="8454" max="8454" width="5.21875" style="309" bestFit="1" customWidth="1"/>
    <col min="8455" max="8455" width="4.33203125" style="309" bestFit="1" customWidth="1"/>
    <col min="8456" max="8456" width="7.109375" style="309" customWidth="1"/>
    <col min="8457" max="8457" width="4.21875" style="309" customWidth="1"/>
    <col min="8458" max="8704" width="8.77734375" style="309"/>
    <col min="8705" max="8705" width="5.6640625" style="309" customWidth="1"/>
    <col min="8706" max="8706" width="31.109375" style="309" customWidth="1"/>
    <col min="8707" max="8707" width="5.77734375" style="309" customWidth="1"/>
    <col min="8708" max="8708" width="7.6640625" style="309" customWidth="1"/>
    <col min="8709" max="8709" width="9.77734375" style="309" customWidth="1"/>
    <col min="8710" max="8710" width="5.21875" style="309" bestFit="1" customWidth="1"/>
    <col min="8711" max="8711" width="4.33203125" style="309" bestFit="1" customWidth="1"/>
    <col min="8712" max="8712" width="7.109375" style="309" customWidth="1"/>
    <col min="8713" max="8713" width="4.21875" style="309" customWidth="1"/>
    <col min="8714" max="8960" width="8.77734375" style="309"/>
    <col min="8961" max="8961" width="5.6640625" style="309" customWidth="1"/>
    <col min="8962" max="8962" width="31.109375" style="309" customWidth="1"/>
    <col min="8963" max="8963" width="5.77734375" style="309" customWidth="1"/>
    <col min="8964" max="8964" width="7.6640625" style="309" customWidth="1"/>
    <col min="8965" max="8965" width="9.77734375" style="309" customWidth="1"/>
    <col min="8966" max="8966" width="5.21875" style="309" bestFit="1" customWidth="1"/>
    <col min="8967" max="8967" width="4.33203125" style="309" bestFit="1" customWidth="1"/>
    <col min="8968" max="8968" width="7.109375" style="309" customWidth="1"/>
    <col min="8969" max="8969" width="4.21875" style="309" customWidth="1"/>
    <col min="8970" max="9216" width="8.77734375" style="309"/>
    <col min="9217" max="9217" width="5.6640625" style="309" customWidth="1"/>
    <col min="9218" max="9218" width="31.109375" style="309" customWidth="1"/>
    <col min="9219" max="9219" width="5.77734375" style="309" customWidth="1"/>
    <col min="9220" max="9220" width="7.6640625" style="309" customWidth="1"/>
    <col min="9221" max="9221" width="9.77734375" style="309" customWidth="1"/>
    <col min="9222" max="9222" width="5.21875" style="309" bestFit="1" customWidth="1"/>
    <col min="9223" max="9223" width="4.33203125" style="309" bestFit="1" customWidth="1"/>
    <col min="9224" max="9224" width="7.109375" style="309" customWidth="1"/>
    <col min="9225" max="9225" width="4.21875" style="309" customWidth="1"/>
    <col min="9226" max="9472" width="8.77734375" style="309"/>
    <col min="9473" max="9473" width="5.6640625" style="309" customWidth="1"/>
    <col min="9474" max="9474" width="31.109375" style="309" customWidth="1"/>
    <col min="9475" max="9475" width="5.77734375" style="309" customWidth="1"/>
    <col min="9476" max="9476" width="7.6640625" style="309" customWidth="1"/>
    <col min="9477" max="9477" width="9.77734375" style="309" customWidth="1"/>
    <col min="9478" max="9478" width="5.21875" style="309" bestFit="1" customWidth="1"/>
    <col min="9479" max="9479" width="4.33203125" style="309" bestFit="1" customWidth="1"/>
    <col min="9480" max="9480" width="7.109375" style="309" customWidth="1"/>
    <col min="9481" max="9481" width="4.21875" style="309" customWidth="1"/>
    <col min="9482" max="9728" width="8.77734375" style="309"/>
    <col min="9729" max="9729" width="5.6640625" style="309" customWidth="1"/>
    <col min="9730" max="9730" width="31.109375" style="309" customWidth="1"/>
    <col min="9731" max="9731" width="5.77734375" style="309" customWidth="1"/>
    <col min="9732" max="9732" width="7.6640625" style="309" customWidth="1"/>
    <col min="9733" max="9733" width="9.77734375" style="309" customWidth="1"/>
    <col min="9734" max="9734" width="5.21875" style="309" bestFit="1" customWidth="1"/>
    <col min="9735" max="9735" width="4.33203125" style="309" bestFit="1" customWidth="1"/>
    <col min="9736" max="9736" width="7.109375" style="309" customWidth="1"/>
    <col min="9737" max="9737" width="4.21875" style="309" customWidth="1"/>
    <col min="9738" max="9984" width="8.77734375" style="309"/>
    <col min="9985" max="9985" width="5.6640625" style="309" customWidth="1"/>
    <col min="9986" max="9986" width="31.109375" style="309" customWidth="1"/>
    <col min="9987" max="9987" width="5.77734375" style="309" customWidth="1"/>
    <col min="9988" max="9988" width="7.6640625" style="309" customWidth="1"/>
    <col min="9989" max="9989" width="9.77734375" style="309" customWidth="1"/>
    <col min="9990" max="9990" width="5.21875" style="309" bestFit="1" customWidth="1"/>
    <col min="9991" max="9991" width="4.33203125" style="309" bestFit="1" customWidth="1"/>
    <col min="9992" max="9992" width="7.109375" style="309" customWidth="1"/>
    <col min="9993" max="9993" width="4.21875" style="309" customWidth="1"/>
    <col min="9994" max="10240" width="8.77734375" style="309"/>
    <col min="10241" max="10241" width="5.6640625" style="309" customWidth="1"/>
    <col min="10242" max="10242" width="31.109375" style="309" customWidth="1"/>
    <col min="10243" max="10243" width="5.77734375" style="309" customWidth="1"/>
    <col min="10244" max="10244" width="7.6640625" style="309" customWidth="1"/>
    <col min="10245" max="10245" width="9.77734375" style="309" customWidth="1"/>
    <col min="10246" max="10246" width="5.21875" style="309" bestFit="1" customWidth="1"/>
    <col min="10247" max="10247" width="4.33203125" style="309" bestFit="1" customWidth="1"/>
    <col min="10248" max="10248" width="7.109375" style="309" customWidth="1"/>
    <col min="10249" max="10249" width="4.21875" style="309" customWidth="1"/>
    <col min="10250" max="10496" width="8.77734375" style="309"/>
    <col min="10497" max="10497" width="5.6640625" style="309" customWidth="1"/>
    <col min="10498" max="10498" width="31.109375" style="309" customWidth="1"/>
    <col min="10499" max="10499" width="5.77734375" style="309" customWidth="1"/>
    <col min="10500" max="10500" width="7.6640625" style="309" customWidth="1"/>
    <col min="10501" max="10501" width="9.77734375" style="309" customWidth="1"/>
    <col min="10502" max="10502" width="5.21875" style="309" bestFit="1" customWidth="1"/>
    <col min="10503" max="10503" width="4.33203125" style="309" bestFit="1" customWidth="1"/>
    <col min="10504" max="10504" width="7.109375" style="309" customWidth="1"/>
    <col min="10505" max="10505" width="4.21875" style="309" customWidth="1"/>
    <col min="10506" max="10752" width="8.77734375" style="309"/>
    <col min="10753" max="10753" width="5.6640625" style="309" customWidth="1"/>
    <col min="10754" max="10754" width="31.109375" style="309" customWidth="1"/>
    <col min="10755" max="10755" width="5.77734375" style="309" customWidth="1"/>
    <col min="10756" max="10756" width="7.6640625" style="309" customWidth="1"/>
    <col min="10757" max="10757" width="9.77734375" style="309" customWidth="1"/>
    <col min="10758" max="10758" width="5.21875" style="309" bestFit="1" customWidth="1"/>
    <col min="10759" max="10759" width="4.33203125" style="309" bestFit="1" customWidth="1"/>
    <col min="10760" max="10760" width="7.109375" style="309" customWidth="1"/>
    <col min="10761" max="10761" width="4.21875" style="309" customWidth="1"/>
    <col min="10762" max="11008" width="8.77734375" style="309"/>
    <col min="11009" max="11009" width="5.6640625" style="309" customWidth="1"/>
    <col min="11010" max="11010" width="31.109375" style="309" customWidth="1"/>
    <col min="11011" max="11011" width="5.77734375" style="309" customWidth="1"/>
    <col min="11012" max="11012" width="7.6640625" style="309" customWidth="1"/>
    <col min="11013" max="11013" width="9.77734375" style="309" customWidth="1"/>
    <col min="11014" max="11014" width="5.21875" style="309" bestFit="1" customWidth="1"/>
    <col min="11015" max="11015" width="4.33203125" style="309" bestFit="1" customWidth="1"/>
    <col min="11016" max="11016" width="7.109375" style="309" customWidth="1"/>
    <col min="11017" max="11017" width="4.21875" style="309" customWidth="1"/>
    <col min="11018" max="11264" width="8.77734375" style="309"/>
    <col min="11265" max="11265" width="5.6640625" style="309" customWidth="1"/>
    <col min="11266" max="11266" width="31.109375" style="309" customWidth="1"/>
    <col min="11267" max="11267" width="5.77734375" style="309" customWidth="1"/>
    <col min="11268" max="11268" width="7.6640625" style="309" customWidth="1"/>
    <col min="11269" max="11269" width="9.77734375" style="309" customWidth="1"/>
    <col min="11270" max="11270" width="5.21875" style="309" bestFit="1" customWidth="1"/>
    <col min="11271" max="11271" width="4.33203125" style="309" bestFit="1" customWidth="1"/>
    <col min="11272" max="11272" width="7.109375" style="309" customWidth="1"/>
    <col min="11273" max="11273" width="4.21875" style="309" customWidth="1"/>
    <col min="11274" max="11520" width="8.77734375" style="309"/>
    <col min="11521" max="11521" width="5.6640625" style="309" customWidth="1"/>
    <col min="11522" max="11522" width="31.109375" style="309" customWidth="1"/>
    <col min="11523" max="11523" width="5.77734375" style="309" customWidth="1"/>
    <col min="11524" max="11524" width="7.6640625" style="309" customWidth="1"/>
    <col min="11525" max="11525" width="9.77734375" style="309" customWidth="1"/>
    <col min="11526" max="11526" width="5.21875" style="309" bestFit="1" customWidth="1"/>
    <col min="11527" max="11527" width="4.33203125" style="309" bestFit="1" customWidth="1"/>
    <col min="11528" max="11528" width="7.109375" style="309" customWidth="1"/>
    <col min="11529" max="11529" width="4.21875" style="309" customWidth="1"/>
    <col min="11530" max="11776" width="8.77734375" style="309"/>
    <col min="11777" max="11777" width="5.6640625" style="309" customWidth="1"/>
    <col min="11778" max="11778" width="31.109375" style="309" customWidth="1"/>
    <col min="11779" max="11779" width="5.77734375" style="309" customWidth="1"/>
    <col min="11780" max="11780" width="7.6640625" style="309" customWidth="1"/>
    <col min="11781" max="11781" width="9.77734375" style="309" customWidth="1"/>
    <col min="11782" max="11782" width="5.21875" style="309" bestFit="1" customWidth="1"/>
    <col min="11783" max="11783" width="4.33203125" style="309" bestFit="1" customWidth="1"/>
    <col min="11784" max="11784" width="7.109375" style="309" customWidth="1"/>
    <col min="11785" max="11785" width="4.21875" style="309" customWidth="1"/>
    <col min="11786" max="12032" width="8.77734375" style="309"/>
    <col min="12033" max="12033" width="5.6640625" style="309" customWidth="1"/>
    <col min="12034" max="12034" width="31.109375" style="309" customWidth="1"/>
    <col min="12035" max="12035" width="5.77734375" style="309" customWidth="1"/>
    <col min="12036" max="12036" width="7.6640625" style="309" customWidth="1"/>
    <col min="12037" max="12037" width="9.77734375" style="309" customWidth="1"/>
    <col min="12038" max="12038" width="5.21875" style="309" bestFit="1" customWidth="1"/>
    <col min="12039" max="12039" width="4.33203125" style="309" bestFit="1" customWidth="1"/>
    <col min="12040" max="12040" width="7.109375" style="309" customWidth="1"/>
    <col min="12041" max="12041" width="4.21875" style="309" customWidth="1"/>
    <col min="12042" max="12288" width="8.77734375" style="309"/>
    <col min="12289" max="12289" width="5.6640625" style="309" customWidth="1"/>
    <col min="12290" max="12290" width="31.109375" style="309" customWidth="1"/>
    <col min="12291" max="12291" width="5.77734375" style="309" customWidth="1"/>
    <col min="12292" max="12292" width="7.6640625" style="309" customWidth="1"/>
    <col min="12293" max="12293" width="9.77734375" style="309" customWidth="1"/>
    <col min="12294" max="12294" width="5.21875" style="309" bestFit="1" customWidth="1"/>
    <col min="12295" max="12295" width="4.33203125" style="309" bestFit="1" customWidth="1"/>
    <col min="12296" max="12296" width="7.109375" style="309" customWidth="1"/>
    <col min="12297" max="12297" width="4.21875" style="309" customWidth="1"/>
    <col min="12298" max="12544" width="8.77734375" style="309"/>
    <col min="12545" max="12545" width="5.6640625" style="309" customWidth="1"/>
    <col min="12546" max="12546" width="31.109375" style="309" customWidth="1"/>
    <col min="12547" max="12547" width="5.77734375" style="309" customWidth="1"/>
    <col min="12548" max="12548" width="7.6640625" style="309" customWidth="1"/>
    <col min="12549" max="12549" width="9.77734375" style="309" customWidth="1"/>
    <col min="12550" max="12550" width="5.21875" style="309" bestFit="1" customWidth="1"/>
    <col min="12551" max="12551" width="4.33203125" style="309" bestFit="1" customWidth="1"/>
    <col min="12552" max="12552" width="7.109375" style="309" customWidth="1"/>
    <col min="12553" max="12553" width="4.21875" style="309" customWidth="1"/>
    <col min="12554" max="12800" width="8.77734375" style="309"/>
    <col min="12801" max="12801" width="5.6640625" style="309" customWidth="1"/>
    <col min="12802" max="12802" width="31.109375" style="309" customWidth="1"/>
    <col min="12803" max="12803" width="5.77734375" style="309" customWidth="1"/>
    <col min="12804" max="12804" width="7.6640625" style="309" customWidth="1"/>
    <col min="12805" max="12805" width="9.77734375" style="309" customWidth="1"/>
    <col min="12806" max="12806" width="5.21875" style="309" bestFit="1" customWidth="1"/>
    <col min="12807" max="12807" width="4.33203125" style="309" bestFit="1" customWidth="1"/>
    <col min="12808" max="12808" width="7.109375" style="309" customWidth="1"/>
    <col min="12809" max="12809" width="4.21875" style="309" customWidth="1"/>
    <col min="12810" max="13056" width="8.77734375" style="309"/>
    <col min="13057" max="13057" width="5.6640625" style="309" customWidth="1"/>
    <col min="13058" max="13058" width="31.109375" style="309" customWidth="1"/>
    <col min="13059" max="13059" width="5.77734375" style="309" customWidth="1"/>
    <col min="13060" max="13060" width="7.6640625" style="309" customWidth="1"/>
    <col min="13061" max="13061" width="9.77734375" style="309" customWidth="1"/>
    <col min="13062" max="13062" width="5.21875" style="309" bestFit="1" customWidth="1"/>
    <col min="13063" max="13063" width="4.33203125" style="309" bestFit="1" customWidth="1"/>
    <col min="13064" max="13064" width="7.109375" style="309" customWidth="1"/>
    <col min="13065" max="13065" width="4.21875" style="309" customWidth="1"/>
    <col min="13066" max="13312" width="8.77734375" style="309"/>
    <col min="13313" max="13313" width="5.6640625" style="309" customWidth="1"/>
    <col min="13314" max="13314" width="31.109375" style="309" customWidth="1"/>
    <col min="13315" max="13315" width="5.77734375" style="309" customWidth="1"/>
    <col min="13316" max="13316" width="7.6640625" style="309" customWidth="1"/>
    <col min="13317" max="13317" width="9.77734375" style="309" customWidth="1"/>
    <col min="13318" max="13318" width="5.21875" style="309" bestFit="1" customWidth="1"/>
    <col min="13319" max="13319" width="4.33203125" style="309" bestFit="1" customWidth="1"/>
    <col min="13320" max="13320" width="7.109375" style="309" customWidth="1"/>
    <col min="13321" max="13321" width="4.21875" style="309" customWidth="1"/>
    <col min="13322" max="13568" width="8.77734375" style="309"/>
    <col min="13569" max="13569" width="5.6640625" style="309" customWidth="1"/>
    <col min="13570" max="13570" width="31.109375" style="309" customWidth="1"/>
    <col min="13571" max="13571" width="5.77734375" style="309" customWidth="1"/>
    <col min="13572" max="13572" width="7.6640625" style="309" customWidth="1"/>
    <col min="13573" max="13573" width="9.77734375" style="309" customWidth="1"/>
    <col min="13574" max="13574" width="5.21875" style="309" bestFit="1" customWidth="1"/>
    <col min="13575" max="13575" width="4.33203125" style="309" bestFit="1" customWidth="1"/>
    <col min="13576" max="13576" width="7.109375" style="309" customWidth="1"/>
    <col min="13577" max="13577" width="4.21875" style="309" customWidth="1"/>
    <col min="13578" max="13824" width="8.77734375" style="309"/>
    <col min="13825" max="13825" width="5.6640625" style="309" customWidth="1"/>
    <col min="13826" max="13826" width="31.109375" style="309" customWidth="1"/>
    <col min="13827" max="13827" width="5.77734375" style="309" customWidth="1"/>
    <col min="13828" max="13828" width="7.6640625" style="309" customWidth="1"/>
    <col min="13829" max="13829" width="9.77734375" style="309" customWidth="1"/>
    <col min="13830" max="13830" width="5.21875" style="309" bestFit="1" customWidth="1"/>
    <col min="13831" max="13831" width="4.33203125" style="309" bestFit="1" customWidth="1"/>
    <col min="13832" max="13832" width="7.109375" style="309" customWidth="1"/>
    <col min="13833" max="13833" width="4.21875" style="309" customWidth="1"/>
    <col min="13834" max="14080" width="8.77734375" style="309"/>
    <col min="14081" max="14081" width="5.6640625" style="309" customWidth="1"/>
    <col min="14082" max="14082" width="31.109375" style="309" customWidth="1"/>
    <col min="14083" max="14083" width="5.77734375" style="309" customWidth="1"/>
    <col min="14084" max="14084" width="7.6640625" style="309" customWidth="1"/>
    <col min="14085" max="14085" width="9.77734375" style="309" customWidth="1"/>
    <col min="14086" max="14086" width="5.21875" style="309" bestFit="1" customWidth="1"/>
    <col min="14087" max="14087" width="4.33203125" style="309" bestFit="1" customWidth="1"/>
    <col min="14088" max="14088" width="7.109375" style="309" customWidth="1"/>
    <col min="14089" max="14089" width="4.21875" style="309" customWidth="1"/>
    <col min="14090" max="14336" width="8.77734375" style="309"/>
    <col min="14337" max="14337" width="5.6640625" style="309" customWidth="1"/>
    <col min="14338" max="14338" width="31.109375" style="309" customWidth="1"/>
    <col min="14339" max="14339" width="5.77734375" style="309" customWidth="1"/>
    <col min="14340" max="14340" width="7.6640625" style="309" customWidth="1"/>
    <col min="14341" max="14341" width="9.77734375" style="309" customWidth="1"/>
    <col min="14342" max="14342" width="5.21875" style="309" bestFit="1" customWidth="1"/>
    <col min="14343" max="14343" width="4.33203125" style="309" bestFit="1" customWidth="1"/>
    <col min="14344" max="14344" width="7.109375" style="309" customWidth="1"/>
    <col min="14345" max="14345" width="4.21875" style="309" customWidth="1"/>
    <col min="14346" max="14592" width="8.77734375" style="309"/>
    <col min="14593" max="14593" width="5.6640625" style="309" customWidth="1"/>
    <col min="14594" max="14594" width="31.109375" style="309" customWidth="1"/>
    <col min="14595" max="14595" width="5.77734375" style="309" customWidth="1"/>
    <col min="14596" max="14596" width="7.6640625" style="309" customWidth="1"/>
    <col min="14597" max="14597" width="9.77734375" style="309" customWidth="1"/>
    <col min="14598" max="14598" width="5.21875" style="309" bestFit="1" customWidth="1"/>
    <col min="14599" max="14599" width="4.33203125" style="309" bestFit="1" customWidth="1"/>
    <col min="14600" max="14600" width="7.109375" style="309" customWidth="1"/>
    <col min="14601" max="14601" width="4.21875" style="309" customWidth="1"/>
    <col min="14602" max="14848" width="8.77734375" style="309"/>
    <col min="14849" max="14849" width="5.6640625" style="309" customWidth="1"/>
    <col min="14850" max="14850" width="31.109375" style="309" customWidth="1"/>
    <col min="14851" max="14851" width="5.77734375" style="309" customWidth="1"/>
    <col min="14852" max="14852" width="7.6640625" style="309" customWidth="1"/>
    <col min="14853" max="14853" width="9.77734375" style="309" customWidth="1"/>
    <col min="14854" max="14854" width="5.21875" style="309" bestFit="1" customWidth="1"/>
    <col min="14855" max="14855" width="4.33203125" style="309" bestFit="1" customWidth="1"/>
    <col min="14856" max="14856" width="7.109375" style="309" customWidth="1"/>
    <col min="14857" max="14857" width="4.21875" style="309" customWidth="1"/>
    <col min="14858" max="15104" width="8.77734375" style="309"/>
    <col min="15105" max="15105" width="5.6640625" style="309" customWidth="1"/>
    <col min="15106" max="15106" width="31.109375" style="309" customWidth="1"/>
    <col min="15107" max="15107" width="5.77734375" style="309" customWidth="1"/>
    <col min="15108" max="15108" width="7.6640625" style="309" customWidth="1"/>
    <col min="15109" max="15109" width="9.77734375" style="309" customWidth="1"/>
    <col min="15110" max="15110" width="5.21875" style="309" bestFit="1" customWidth="1"/>
    <col min="15111" max="15111" width="4.33203125" style="309" bestFit="1" customWidth="1"/>
    <col min="15112" max="15112" width="7.109375" style="309" customWidth="1"/>
    <col min="15113" max="15113" width="4.21875" style="309" customWidth="1"/>
    <col min="15114" max="15360" width="8.77734375" style="309"/>
    <col min="15361" max="15361" width="5.6640625" style="309" customWidth="1"/>
    <col min="15362" max="15362" width="31.109375" style="309" customWidth="1"/>
    <col min="15363" max="15363" width="5.77734375" style="309" customWidth="1"/>
    <col min="15364" max="15364" width="7.6640625" style="309" customWidth="1"/>
    <col min="15365" max="15365" width="9.77734375" style="309" customWidth="1"/>
    <col min="15366" max="15366" width="5.21875" style="309" bestFit="1" customWidth="1"/>
    <col min="15367" max="15367" width="4.33203125" style="309" bestFit="1" customWidth="1"/>
    <col min="15368" max="15368" width="7.109375" style="309" customWidth="1"/>
    <col min="15369" max="15369" width="4.21875" style="309" customWidth="1"/>
    <col min="15370" max="15616" width="8.77734375" style="309"/>
    <col min="15617" max="15617" width="5.6640625" style="309" customWidth="1"/>
    <col min="15618" max="15618" width="31.109375" style="309" customWidth="1"/>
    <col min="15619" max="15619" width="5.77734375" style="309" customWidth="1"/>
    <col min="15620" max="15620" width="7.6640625" style="309" customWidth="1"/>
    <col min="15621" max="15621" width="9.77734375" style="309" customWidth="1"/>
    <col min="15622" max="15622" width="5.21875" style="309" bestFit="1" customWidth="1"/>
    <col min="15623" max="15623" width="4.33203125" style="309" bestFit="1" customWidth="1"/>
    <col min="15624" max="15624" width="7.109375" style="309" customWidth="1"/>
    <col min="15625" max="15625" width="4.21875" style="309" customWidth="1"/>
    <col min="15626" max="15872" width="8.77734375" style="309"/>
    <col min="15873" max="15873" width="5.6640625" style="309" customWidth="1"/>
    <col min="15874" max="15874" width="31.109375" style="309" customWidth="1"/>
    <col min="15875" max="15875" width="5.77734375" style="309" customWidth="1"/>
    <col min="15876" max="15876" width="7.6640625" style="309" customWidth="1"/>
    <col min="15877" max="15877" width="9.77734375" style="309" customWidth="1"/>
    <col min="15878" max="15878" width="5.21875" style="309" bestFit="1" customWidth="1"/>
    <col min="15879" max="15879" width="4.33203125" style="309" bestFit="1" customWidth="1"/>
    <col min="15880" max="15880" width="7.109375" style="309" customWidth="1"/>
    <col min="15881" max="15881" width="4.21875" style="309" customWidth="1"/>
    <col min="15882" max="16128" width="8.77734375" style="309"/>
    <col min="16129" max="16129" width="5.6640625" style="309" customWidth="1"/>
    <col min="16130" max="16130" width="31.109375" style="309" customWidth="1"/>
    <col min="16131" max="16131" width="5.77734375" style="309" customWidth="1"/>
    <col min="16132" max="16132" width="7.6640625" style="309" customWidth="1"/>
    <col min="16133" max="16133" width="9.77734375" style="309" customWidth="1"/>
    <col min="16134" max="16134" width="5.21875" style="309" bestFit="1" customWidth="1"/>
    <col min="16135" max="16135" width="4.33203125" style="309" bestFit="1" customWidth="1"/>
    <col min="16136" max="16136" width="7.109375" style="309" customWidth="1"/>
    <col min="16137" max="16137" width="4.21875" style="309" customWidth="1"/>
    <col min="16138" max="16384" width="8.77734375" style="309"/>
  </cols>
  <sheetData>
    <row r="1" spans="1:9" ht="18.75">
      <c r="A1" s="1648" t="s">
        <v>0</v>
      </c>
      <c r="B1" s="1648"/>
      <c r="C1" s="1648"/>
      <c r="D1" s="1648"/>
      <c r="E1" s="1648"/>
      <c r="F1" s="1648"/>
      <c r="G1" s="1648"/>
      <c r="H1" s="1648"/>
      <c r="I1" s="1648"/>
    </row>
    <row r="2" spans="1:9" ht="18.75">
      <c r="A2" s="1648" t="s">
        <v>543</v>
      </c>
      <c r="B2" s="1648"/>
      <c r="C2" s="1648"/>
      <c r="D2" s="1648"/>
      <c r="E2" s="1648"/>
      <c r="F2" s="1648"/>
      <c r="G2" s="1648"/>
      <c r="H2" s="1648"/>
      <c r="I2" s="1648"/>
    </row>
    <row r="3" spans="1:9" ht="10.15" customHeight="1">
      <c r="A3" s="422"/>
      <c r="B3" s="422"/>
      <c r="C3" s="422"/>
      <c r="D3" s="422"/>
      <c r="E3" s="422"/>
      <c r="F3" s="422"/>
      <c r="G3" s="422"/>
      <c r="H3" s="422"/>
      <c r="I3" s="422"/>
    </row>
    <row r="4" spans="1:9" ht="40.15" customHeight="1">
      <c r="A4" s="1564" t="str">
        <f>'Septic Tank'!A5:H5</f>
        <v>CONSTRUCTION OF NEW POLICE STATION BUILDING WITH DEVELOPMENT WORK IN  REGUNATHAPURAM IN PUDUKKOTTAI DISRICT.</v>
      </c>
      <c r="B4" s="1564"/>
      <c r="C4" s="1564"/>
      <c r="D4" s="1564"/>
      <c r="E4" s="1564"/>
      <c r="F4" s="1564"/>
      <c r="G4" s="1564"/>
      <c r="H4" s="1564"/>
      <c r="I4" s="1564"/>
    </row>
    <row r="5" spans="1:9" ht="10.15" customHeight="1">
      <c r="A5" s="1648"/>
      <c r="B5" s="1648"/>
      <c r="C5" s="1648"/>
      <c r="D5" s="1648"/>
      <c r="E5" s="1648"/>
      <c r="F5" s="1648"/>
      <c r="G5" s="1648"/>
      <c r="H5" s="1648"/>
      <c r="I5" s="1648"/>
    </row>
    <row r="6" spans="1:9" ht="18.75">
      <c r="A6" s="1648" t="s">
        <v>1205</v>
      </c>
      <c r="B6" s="1648"/>
      <c r="C6" s="1648"/>
      <c r="D6" s="1648"/>
      <c r="E6" s="1648"/>
      <c r="F6" s="1648"/>
      <c r="G6" s="1648"/>
      <c r="H6" s="1648"/>
      <c r="I6" s="1648"/>
    </row>
    <row r="7" spans="1:9" ht="14.45" customHeight="1">
      <c r="A7" s="1667" t="s">
        <v>544</v>
      </c>
      <c r="B7" s="1628" t="s">
        <v>212</v>
      </c>
      <c r="C7" s="1568" t="s">
        <v>213</v>
      </c>
      <c r="D7" s="1568"/>
      <c r="E7" s="1628" t="s">
        <v>74</v>
      </c>
      <c r="F7" s="1668" t="s">
        <v>75</v>
      </c>
      <c r="G7" s="1668" t="s">
        <v>76</v>
      </c>
      <c r="H7" s="1668" t="s">
        <v>214</v>
      </c>
      <c r="I7" s="1568" t="s">
        <v>215</v>
      </c>
    </row>
    <row r="8" spans="1:9" ht="14.45" customHeight="1">
      <c r="A8" s="1667"/>
      <c r="B8" s="1628"/>
      <c r="C8" s="1568"/>
      <c r="D8" s="1568"/>
      <c r="E8" s="1628"/>
      <c r="F8" s="1668"/>
      <c r="G8" s="1668"/>
      <c r="H8" s="1668"/>
      <c r="I8" s="1568"/>
    </row>
    <row r="9" spans="1:9" ht="19.899999999999999" customHeight="1">
      <c r="A9" s="305">
        <v>1.5</v>
      </c>
      <c r="B9" s="1666" t="s">
        <v>1206</v>
      </c>
      <c r="C9" s="1666"/>
      <c r="D9" s="1666"/>
      <c r="E9" s="1666"/>
      <c r="F9" s="1666"/>
      <c r="G9" s="1666"/>
      <c r="H9" s="302"/>
      <c r="I9" s="339"/>
    </row>
    <row r="10" spans="1:9" ht="19.899999999999999" customHeight="1">
      <c r="A10" s="305"/>
      <c r="B10" s="173" t="s">
        <v>209</v>
      </c>
      <c r="C10" s="303"/>
      <c r="D10" s="303"/>
      <c r="E10" s="302"/>
      <c r="F10" s="302"/>
      <c r="G10" s="302"/>
      <c r="H10" s="302"/>
      <c r="I10" s="339"/>
    </row>
    <row r="11" spans="1:9" ht="19.899999999999999" customHeight="1">
      <c r="A11" s="305"/>
      <c r="B11" s="173" t="s">
        <v>508</v>
      </c>
      <c r="C11" s="338">
        <v>3.14</v>
      </c>
      <c r="D11" s="338">
        <v>0.25</v>
      </c>
      <c r="E11" s="302">
        <v>5.46</v>
      </c>
      <c r="F11" s="302">
        <v>5.46</v>
      </c>
      <c r="G11" s="302">
        <v>0.75</v>
      </c>
      <c r="H11" s="302">
        <f>PRODUCT(C11:G11)</f>
        <v>17.551579499999999</v>
      </c>
      <c r="I11" s="339"/>
    </row>
    <row r="12" spans="1:9" ht="19.899999999999999" customHeight="1">
      <c r="A12" s="305"/>
      <c r="B12" s="173"/>
      <c r="C12" s="338"/>
      <c r="D12" s="338"/>
      <c r="E12" s="302"/>
      <c r="F12" s="302"/>
      <c r="G12" s="302"/>
      <c r="H12" s="302">
        <v>0.05</v>
      </c>
      <c r="I12" s="339"/>
    </row>
    <row r="13" spans="1:9" ht="19.899999999999999" customHeight="1">
      <c r="A13" s="305"/>
      <c r="B13" s="173"/>
      <c r="C13" s="303"/>
      <c r="D13" s="303"/>
      <c r="E13" s="302"/>
      <c r="F13" s="302"/>
      <c r="G13" s="311" t="s">
        <v>15</v>
      </c>
      <c r="H13" s="311">
        <f>SUM(H11:H12)</f>
        <v>17.6015795</v>
      </c>
      <c r="I13" s="340" t="s">
        <v>16</v>
      </c>
    </row>
    <row r="14" spans="1:9" ht="19.899999999999999" customHeight="1">
      <c r="A14" s="305">
        <v>2.1</v>
      </c>
      <c r="B14" s="173" t="s">
        <v>509</v>
      </c>
      <c r="C14" s="303"/>
      <c r="D14" s="303"/>
      <c r="E14" s="302"/>
      <c r="F14" s="302"/>
      <c r="G14" s="302"/>
      <c r="H14" s="302"/>
      <c r="I14" s="339"/>
    </row>
    <row r="15" spans="1:9" ht="19.899999999999999" customHeight="1">
      <c r="A15" s="305"/>
      <c r="B15" s="173" t="s">
        <v>508</v>
      </c>
      <c r="C15" s="338">
        <v>3.14</v>
      </c>
      <c r="D15" s="338">
        <v>0.25</v>
      </c>
      <c r="E15" s="302">
        <f>E11</f>
        <v>5.46</v>
      </c>
      <c r="F15" s="302">
        <f>F11</f>
        <v>5.46</v>
      </c>
      <c r="G15" s="302">
        <v>0.1</v>
      </c>
      <c r="H15" s="302">
        <f>PRODUCT(C15:G15)</f>
        <v>2.3402106000000003</v>
      </c>
      <c r="I15" s="339"/>
    </row>
    <row r="16" spans="1:9" ht="19.899999999999999" customHeight="1">
      <c r="A16" s="305"/>
      <c r="B16" s="173"/>
      <c r="C16" s="303"/>
      <c r="D16" s="303"/>
      <c r="E16" s="302"/>
      <c r="F16" s="302"/>
      <c r="G16" s="302"/>
      <c r="H16" s="302">
        <v>0.06</v>
      </c>
      <c r="I16" s="339"/>
    </row>
    <row r="17" spans="1:11" ht="19.899999999999999" customHeight="1">
      <c r="A17" s="305"/>
      <c r="B17" s="173"/>
      <c r="C17" s="303"/>
      <c r="D17" s="303"/>
      <c r="E17" s="302"/>
      <c r="F17" s="302"/>
      <c r="G17" s="311" t="s">
        <v>15</v>
      </c>
      <c r="H17" s="311">
        <f>SUM(H15:H16)</f>
        <v>2.4002106000000003</v>
      </c>
      <c r="I17" s="340" t="s">
        <v>16</v>
      </c>
    </row>
    <row r="18" spans="1:11" ht="34.9" customHeight="1">
      <c r="A18" s="305">
        <v>3.1</v>
      </c>
      <c r="B18" s="1570" t="s">
        <v>622</v>
      </c>
      <c r="C18" s="1571"/>
      <c r="D18" s="1571"/>
      <c r="E18" s="1571"/>
      <c r="F18" s="1571"/>
      <c r="G18" s="1572"/>
      <c r="H18" s="302"/>
      <c r="I18" s="339"/>
    </row>
    <row r="19" spans="1:11" ht="19.899999999999999" customHeight="1">
      <c r="A19" s="305"/>
      <c r="B19" s="173" t="s">
        <v>508</v>
      </c>
      <c r="C19" s="338">
        <v>3.14</v>
      </c>
      <c r="D19" s="338">
        <v>0.25</v>
      </c>
      <c r="E19" s="302">
        <f>E15</f>
        <v>5.46</v>
      </c>
      <c r="F19" s="302">
        <f>F15</f>
        <v>5.46</v>
      </c>
      <c r="G19" s="302">
        <v>0.1</v>
      </c>
      <c r="H19" s="302">
        <f>PRODUCT(C19:G19)</f>
        <v>2.3402106000000003</v>
      </c>
      <c r="I19" s="339"/>
    </row>
    <row r="20" spans="1:11" ht="19.899999999999999" customHeight="1">
      <c r="A20" s="305"/>
      <c r="B20" s="173"/>
      <c r="C20" s="303"/>
      <c r="D20" s="303"/>
      <c r="E20" s="302"/>
      <c r="F20" s="302"/>
      <c r="G20" s="302"/>
      <c r="H20" s="302">
        <v>0.06</v>
      </c>
      <c r="I20" s="339"/>
    </row>
    <row r="21" spans="1:11" ht="19.899999999999999" customHeight="1">
      <c r="A21" s="305"/>
      <c r="B21" s="173"/>
      <c r="C21" s="303"/>
      <c r="D21" s="303"/>
      <c r="E21" s="302"/>
      <c r="F21" s="302"/>
      <c r="G21" s="311" t="s">
        <v>15</v>
      </c>
      <c r="H21" s="311">
        <f>SUM(H19:H20)</f>
        <v>2.4002106000000003</v>
      </c>
      <c r="I21" s="340" t="s">
        <v>16</v>
      </c>
    </row>
    <row r="22" spans="1:11" ht="34.9" customHeight="1">
      <c r="A22" s="305">
        <v>4.0999999999999996</v>
      </c>
      <c r="B22" s="1570" t="s">
        <v>621</v>
      </c>
      <c r="C22" s="1571"/>
      <c r="D22" s="1571"/>
      <c r="E22" s="1571"/>
      <c r="F22" s="1571"/>
      <c r="G22" s="1572"/>
      <c r="H22" s="302"/>
      <c r="I22" s="339"/>
    </row>
    <row r="23" spans="1:11" ht="19.899999999999999" customHeight="1">
      <c r="A23" s="305"/>
      <c r="B23" s="173" t="s">
        <v>598</v>
      </c>
      <c r="C23" s="303"/>
      <c r="D23" s="303"/>
      <c r="E23" s="302"/>
      <c r="F23" s="302"/>
      <c r="G23" s="302"/>
      <c r="H23" s="302"/>
      <c r="I23" s="339"/>
    </row>
    <row r="24" spans="1:11" ht="19.899999999999999" customHeight="1">
      <c r="A24" s="305"/>
      <c r="B24" s="173" t="s">
        <v>508</v>
      </c>
      <c r="C24" s="338">
        <v>3.14</v>
      </c>
      <c r="D24" s="338">
        <v>0.25</v>
      </c>
      <c r="E24" s="302">
        <v>5.16</v>
      </c>
      <c r="F24" s="302">
        <v>5.16</v>
      </c>
      <c r="G24" s="302">
        <v>0.25</v>
      </c>
      <c r="H24" s="302">
        <f t="shared" ref="H24:H29" si="0">PRODUCT(C24:G24)</f>
        <v>5.2252740000000006</v>
      </c>
      <c r="I24" s="339"/>
    </row>
    <row r="25" spans="1:11" ht="19.899999999999999" customHeight="1">
      <c r="A25" s="305"/>
      <c r="B25" s="173" t="s">
        <v>510</v>
      </c>
      <c r="C25" s="338">
        <v>3.14</v>
      </c>
      <c r="D25" s="303">
        <v>1</v>
      </c>
      <c r="E25" s="302">
        <v>3.88</v>
      </c>
      <c r="F25" s="302">
        <v>0.15</v>
      </c>
      <c r="G25" s="302">
        <v>2.25</v>
      </c>
      <c r="H25" s="302">
        <f t="shared" si="0"/>
        <v>4.1118299999999994</v>
      </c>
      <c r="I25" s="339"/>
    </row>
    <row r="26" spans="1:11" ht="19.899999999999999" customHeight="1">
      <c r="A26" s="305"/>
      <c r="B26" s="173" t="s">
        <v>207</v>
      </c>
      <c r="C26" s="338">
        <v>3.14</v>
      </c>
      <c r="D26" s="338">
        <v>0.5</v>
      </c>
      <c r="E26" s="302">
        <v>3.5</v>
      </c>
      <c r="F26" s="302">
        <v>0.3</v>
      </c>
      <c r="G26" s="302">
        <v>0.3</v>
      </c>
      <c r="H26" s="302">
        <f t="shared" si="0"/>
        <v>0.49454999999999999</v>
      </c>
      <c r="I26" s="339"/>
    </row>
    <row r="27" spans="1:11" ht="19.899999999999999" customHeight="1">
      <c r="A27" s="305"/>
      <c r="B27" s="173" t="s">
        <v>511</v>
      </c>
      <c r="C27" s="338">
        <v>1</v>
      </c>
      <c r="D27" s="338">
        <v>1</v>
      </c>
      <c r="E27" s="302">
        <v>3.5</v>
      </c>
      <c r="F27" s="302">
        <v>0.15</v>
      </c>
      <c r="G27" s="302">
        <v>2.25</v>
      </c>
      <c r="H27" s="302">
        <f t="shared" si="0"/>
        <v>1.1812500000000001</v>
      </c>
      <c r="I27" s="339"/>
    </row>
    <row r="28" spans="1:11" ht="19.899999999999999" customHeight="1">
      <c r="A28" s="305"/>
      <c r="B28" s="173" t="s">
        <v>512</v>
      </c>
      <c r="C28" s="338">
        <v>3.14</v>
      </c>
      <c r="D28" s="338">
        <v>0.25</v>
      </c>
      <c r="E28" s="302">
        <v>4.26</v>
      </c>
      <c r="F28" s="302">
        <v>4.26</v>
      </c>
      <c r="G28" s="302">
        <v>0.15</v>
      </c>
      <c r="H28" s="302">
        <f t="shared" si="0"/>
        <v>2.1368798999999998</v>
      </c>
      <c r="I28" s="339"/>
    </row>
    <row r="29" spans="1:11" ht="19.899999999999999" customHeight="1">
      <c r="A29" s="305"/>
      <c r="B29" s="173" t="s">
        <v>513</v>
      </c>
      <c r="C29" s="303">
        <v>2</v>
      </c>
      <c r="D29" s="303">
        <v>-1</v>
      </c>
      <c r="E29" s="302">
        <v>0.6</v>
      </c>
      <c r="F29" s="302">
        <v>0.6</v>
      </c>
      <c r="G29" s="302">
        <v>0.15</v>
      </c>
      <c r="H29" s="302">
        <f t="shared" si="0"/>
        <v>-0.108</v>
      </c>
      <c r="I29" s="339"/>
    </row>
    <row r="30" spans="1:11" ht="19.899999999999999" customHeight="1">
      <c r="A30" s="305"/>
      <c r="B30" s="173"/>
      <c r="C30" s="303"/>
      <c r="D30" s="303"/>
      <c r="E30" s="302"/>
      <c r="F30" s="302"/>
      <c r="G30" s="302"/>
      <c r="H30" s="302">
        <v>0.06</v>
      </c>
      <c r="I30" s="339"/>
    </row>
    <row r="31" spans="1:11" ht="19.899999999999999" customHeight="1">
      <c r="A31" s="305"/>
      <c r="B31" s="173"/>
      <c r="C31" s="303"/>
      <c r="D31" s="303"/>
      <c r="E31" s="302"/>
      <c r="F31" s="302"/>
      <c r="G31" s="311" t="s">
        <v>15</v>
      </c>
      <c r="H31" s="311">
        <f>SUM(H24:H30)</f>
        <v>13.101783900000001</v>
      </c>
      <c r="I31" s="340" t="s">
        <v>16</v>
      </c>
      <c r="J31" s="309">
        <v>130</v>
      </c>
      <c r="K31" s="309">
        <f>H31*J31</f>
        <v>1703.2319070000001</v>
      </c>
    </row>
    <row r="32" spans="1:11" ht="34.9" customHeight="1">
      <c r="A32" s="305">
        <v>10.5</v>
      </c>
      <c r="B32" s="1666" t="s">
        <v>70</v>
      </c>
      <c r="C32" s="1666"/>
      <c r="D32" s="1666"/>
      <c r="E32" s="1666"/>
      <c r="F32" s="1666"/>
      <c r="G32" s="1666"/>
      <c r="H32" s="302"/>
      <c r="I32" s="339"/>
    </row>
    <row r="33" spans="1:9" ht="19.899999999999999" customHeight="1">
      <c r="A33" s="305"/>
      <c r="B33" s="173" t="s">
        <v>514</v>
      </c>
      <c r="C33" s="303"/>
      <c r="D33" s="303"/>
      <c r="E33" s="302"/>
      <c r="F33" s="302"/>
      <c r="G33" s="302"/>
      <c r="H33" s="302"/>
      <c r="I33" s="339"/>
    </row>
    <row r="34" spans="1:9" ht="19.899999999999999" customHeight="1">
      <c r="A34" s="305"/>
      <c r="B34" s="173" t="s">
        <v>515</v>
      </c>
      <c r="C34" s="303">
        <v>1</v>
      </c>
      <c r="D34" s="303">
        <v>1</v>
      </c>
      <c r="E34" s="302">
        <v>3.14</v>
      </c>
      <c r="F34" s="302">
        <v>3.62</v>
      </c>
      <c r="G34" s="302">
        <v>2.25</v>
      </c>
      <c r="H34" s="302">
        <f>PRODUCT(C34:G34)</f>
        <v>25.575300000000002</v>
      </c>
      <c r="I34" s="339"/>
    </row>
    <row r="35" spans="1:9" ht="19.899999999999999" customHeight="1">
      <c r="A35" s="305"/>
      <c r="B35" s="173" t="s">
        <v>516</v>
      </c>
      <c r="C35" s="303">
        <v>1</v>
      </c>
      <c r="D35" s="303">
        <v>1</v>
      </c>
      <c r="E35" s="302">
        <v>3.14</v>
      </c>
      <c r="F35" s="302">
        <v>4.1500000000000004</v>
      </c>
      <c r="G35" s="302">
        <v>2.25</v>
      </c>
      <c r="H35" s="302">
        <f>PRODUCT(C35:G35)</f>
        <v>29.319750000000006</v>
      </c>
      <c r="I35" s="339"/>
    </row>
    <row r="36" spans="1:9" ht="19.899999999999999" customHeight="1">
      <c r="A36" s="305"/>
      <c r="B36" s="173"/>
      <c r="C36" s="303"/>
      <c r="D36" s="303"/>
      <c r="E36" s="302"/>
      <c r="F36" s="302"/>
      <c r="G36" s="302"/>
      <c r="H36" s="302">
        <f>SUM(H34:H35)</f>
        <v>54.895050000000012</v>
      </c>
      <c r="I36" s="339"/>
    </row>
    <row r="37" spans="1:9" ht="19.899999999999999" customHeight="1">
      <c r="A37" s="305"/>
      <c r="B37" s="173"/>
      <c r="C37" s="303"/>
      <c r="D37" s="303"/>
      <c r="E37" s="302"/>
      <c r="F37" s="302"/>
      <c r="G37" s="311" t="s">
        <v>15</v>
      </c>
      <c r="H37" s="311">
        <f>ROUNDUP(H36,1-0)</f>
        <v>54.9</v>
      </c>
      <c r="I37" s="340" t="s">
        <v>37</v>
      </c>
    </row>
    <row r="38" spans="1:9" ht="19.899999999999999" customHeight="1">
      <c r="A38" s="305">
        <v>33</v>
      </c>
      <c r="B38" s="173" t="s">
        <v>629</v>
      </c>
      <c r="C38" s="303"/>
      <c r="D38" s="303"/>
      <c r="E38" s="302"/>
      <c r="F38" s="302"/>
      <c r="G38" s="302"/>
      <c r="H38" s="302"/>
      <c r="I38" s="339"/>
    </row>
    <row r="39" spans="1:9" ht="19.899999999999999" customHeight="1">
      <c r="A39" s="305"/>
      <c r="B39" s="173" t="s">
        <v>515</v>
      </c>
      <c r="C39" s="303">
        <v>1</v>
      </c>
      <c r="D39" s="303">
        <v>1</v>
      </c>
      <c r="E39" s="302">
        <v>3.14</v>
      </c>
      <c r="F39" s="302">
        <v>3.5</v>
      </c>
      <c r="G39" s="302">
        <v>2.25</v>
      </c>
      <c r="H39" s="302">
        <f>PRODUCT(C39:G39)</f>
        <v>24.727499999999999</v>
      </c>
      <c r="I39" s="339"/>
    </row>
    <row r="40" spans="1:9" ht="19.899999999999999" customHeight="1">
      <c r="A40" s="305"/>
      <c r="B40" s="173"/>
      <c r="C40" s="303"/>
      <c r="D40" s="303"/>
      <c r="E40" s="302"/>
      <c r="F40" s="302"/>
      <c r="G40" s="302"/>
      <c r="H40" s="302">
        <f>H39</f>
        <v>24.727499999999999</v>
      </c>
      <c r="I40" s="339"/>
    </row>
    <row r="41" spans="1:9" ht="19.899999999999999" customHeight="1">
      <c r="A41" s="305"/>
      <c r="B41" s="173"/>
      <c r="C41" s="303"/>
      <c r="D41" s="303"/>
      <c r="E41" s="302"/>
      <c r="F41" s="302"/>
      <c r="G41" s="311" t="s">
        <v>15</v>
      </c>
      <c r="H41" s="311">
        <f>ROUNDUP(H40,1-0)</f>
        <v>24.8</v>
      </c>
      <c r="I41" s="340" t="s">
        <v>37</v>
      </c>
    </row>
    <row r="42" spans="1:9" ht="19.899999999999999" customHeight="1">
      <c r="A42" s="305">
        <v>35.1</v>
      </c>
      <c r="B42" s="173" t="s">
        <v>630</v>
      </c>
      <c r="C42" s="303"/>
      <c r="D42" s="303"/>
      <c r="E42" s="302"/>
      <c r="F42" s="302"/>
      <c r="G42" s="302"/>
      <c r="H42" s="302"/>
      <c r="I42" s="339"/>
    </row>
    <row r="43" spans="1:9" ht="19.899999999999999" customHeight="1">
      <c r="A43" s="305"/>
      <c r="B43" s="173" t="s">
        <v>517</v>
      </c>
      <c r="C43" s="303">
        <v>1</v>
      </c>
      <c r="D43" s="303">
        <v>1</v>
      </c>
      <c r="E43" s="302">
        <v>3.14</v>
      </c>
      <c r="F43" s="302">
        <v>4.26</v>
      </c>
      <c r="G43" s="302">
        <v>2.25</v>
      </c>
      <c r="H43" s="302">
        <f>PRODUCT(C43:G43)</f>
        <v>30.096900000000002</v>
      </c>
      <c r="I43" s="339"/>
    </row>
    <row r="44" spans="1:9" ht="19.899999999999999" customHeight="1">
      <c r="A44" s="305"/>
      <c r="B44" s="173"/>
      <c r="C44" s="303"/>
      <c r="D44" s="303"/>
      <c r="E44" s="302"/>
      <c r="F44" s="302"/>
      <c r="G44" s="311" t="s">
        <v>15</v>
      </c>
      <c r="H44" s="311">
        <f>ROUNDUP(H43,1-0)</f>
        <v>30.1</v>
      </c>
      <c r="I44" s="340" t="s">
        <v>37</v>
      </c>
    </row>
    <row r="45" spans="1:9" ht="34.9" customHeight="1">
      <c r="A45" s="305">
        <v>18.100000000000001</v>
      </c>
      <c r="B45" s="1666" t="s">
        <v>623</v>
      </c>
      <c r="C45" s="1666"/>
      <c r="D45" s="1666"/>
      <c r="E45" s="1666"/>
      <c r="F45" s="1666"/>
      <c r="G45" s="1666"/>
      <c r="H45" s="302"/>
      <c r="I45" s="339"/>
    </row>
    <row r="46" spans="1:9" ht="19.899999999999999" customHeight="1">
      <c r="A46" s="305"/>
      <c r="B46" s="1570" t="s">
        <v>631</v>
      </c>
      <c r="C46" s="1571"/>
      <c r="D46" s="1571"/>
      <c r="E46" s="1571"/>
      <c r="F46" s="1571"/>
      <c r="G46" s="1572"/>
      <c r="H46" s="302"/>
      <c r="I46" s="339"/>
    </row>
    <row r="47" spans="1:9" ht="19.899999999999999" customHeight="1">
      <c r="A47" s="305"/>
      <c r="B47" s="173" t="s">
        <v>508</v>
      </c>
      <c r="C47" s="338">
        <v>3.14</v>
      </c>
      <c r="D47" s="303">
        <v>1</v>
      </c>
      <c r="E47" s="302">
        <v>5.16</v>
      </c>
      <c r="F47" s="302"/>
      <c r="G47" s="302">
        <v>0.25</v>
      </c>
      <c r="H47" s="302">
        <f>PRODUCT(C47:G47)</f>
        <v>4.0506000000000002</v>
      </c>
      <c r="I47" s="339"/>
    </row>
    <row r="48" spans="1:9" ht="19.899999999999999" customHeight="1">
      <c r="A48" s="305"/>
      <c r="B48" s="173"/>
      <c r="C48" s="338"/>
      <c r="D48" s="303"/>
      <c r="E48" s="302"/>
      <c r="F48" s="302"/>
      <c r="G48" s="302"/>
      <c r="H48" s="302">
        <v>0.05</v>
      </c>
      <c r="I48" s="339"/>
    </row>
    <row r="49" spans="1:9" ht="19.899999999999999" customHeight="1">
      <c r="A49" s="305"/>
      <c r="B49" s="173"/>
      <c r="C49" s="338"/>
      <c r="D49" s="303"/>
      <c r="E49" s="302"/>
      <c r="F49" s="302"/>
      <c r="G49" s="311" t="s">
        <v>15</v>
      </c>
      <c r="H49" s="311">
        <f>SUM(H47:H48)</f>
        <v>4.1006</v>
      </c>
      <c r="I49" s="340" t="s">
        <v>37</v>
      </c>
    </row>
    <row r="50" spans="1:9" ht="34.9" customHeight="1">
      <c r="A50" s="305"/>
      <c r="B50" s="1570" t="s">
        <v>31</v>
      </c>
      <c r="C50" s="1571"/>
      <c r="D50" s="1571"/>
      <c r="E50" s="1571"/>
      <c r="F50" s="1571"/>
      <c r="G50" s="1572"/>
      <c r="H50" s="302"/>
      <c r="I50" s="339"/>
    </row>
    <row r="51" spans="1:9" ht="19.899999999999999" customHeight="1">
      <c r="A51" s="305"/>
      <c r="B51" s="173" t="s">
        <v>599</v>
      </c>
      <c r="C51" s="338">
        <v>3.14</v>
      </c>
      <c r="D51" s="338">
        <v>0.25</v>
      </c>
      <c r="E51" s="302">
        <v>4.26</v>
      </c>
      <c r="F51" s="302">
        <v>4.26</v>
      </c>
      <c r="G51" s="302"/>
      <c r="H51" s="302">
        <f>PRODUCT(C51:G51)</f>
        <v>14.245865999999999</v>
      </c>
      <c r="I51" s="339"/>
    </row>
    <row r="52" spans="1:9" ht="19.899999999999999" customHeight="1">
      <c r="A52" s="305"/>
      <c r="B52" s="173" t="s">
        <v>600</v>
      </c>
      <c r="C52" s="303">
        <v>-2</v>
      </c>
      <c r="D52" s="303">
        <v>1</v>
      </c>
      <c r="E52" s="302">
        <v>0.45</v>
      </c>
      <c r="F52" s="302">
        <v>0.45</v>
      </c>
      <c r="G52" s="302"/>
      <c r="H52" s="302">
        <f>PRODUCT(C52:G52)</f>
        <v>-0.40500000000000003</v>
      </c>
      <c r="I52" s="339"/>
    </row>
    <row r="53" spans="1:9" ht="19.899999999999999" customHeight="1">
      <c r="A53" s="305"/>
      <c r="B53" s="173"/>
      <c r="C53" s="303"/>
      <c r="D53" s="303"/>
      <c r="E53" s="302"/>
      <c r="F53" s="302"/>
      <c r="G53" s="302"/>
      <c r="H53" s="302">
        <v>0.06</v>
      </c>
      <c r="I53" s="339"/>
    </row>
    <row r="54" spans="1:9" ht="19.899999999999999" customHeight="1">
      <c r="A54" s="305"/>
      <c r="B54" s="173"/>
      <c r="C54" s="303"/>
      <c r="D54" s="303"/>
      <c r="E54" s="302"/>
      <c r="F54" s="302"/>
      <c r="G54" s="311" t="s">
        <v>15</v>
      </c>
      <c r="H54" s="311">
        <f>SUM(H51:H53)</f>
        <v>13.900866000000001</v>
      </c>
      <c r="I54" s="340" t="s">
        <v>37</v>
      </c>
    </row>
    <row r="55" spans="1:9" ht="19.899999999999999" customHeight="1">
      <c r="A55" s="305"/>
      <c r="B55" s="173" t="s">
        <v>518</v>
      </c>
      <c r="C55" s="338"/>
      <c r="D55" s="338"/>
      <c r="E55" s="302"/>
      <c r="F55" s="302"/>
      <c r="G55" s="302"/>
      <c r="H55" s="302"/>
      <c r="I55" s="339"/>
    </row>
    <row r="56" spans="1:9" ht="19.899999999999999" customHeight="1">
      <c r="A56" s="305"/>
      <c r="B56" s="173" t="s">
        <v>519</v>
      </c>
      <c r="C56" s="303">
        <v>3</v>
      </c>
      <c r="D56" s="303">
        <v>1</v>
      </c>
      <c r="E56" s="302">
        <v>4.26</v>
      </c>
      <c r="F56" s="302"/>
      <c r="G56" s="302">
        <v>0.15</v>
      </c>
      <c r="H56" s="302">
        <f>PRODUCT(C56:G56)</f>
        <v>1.9169999999999998</v>
      </c>
      <c r="I56" s="339"/>
    </row>
    <row r="57" spans="1:9" ht="19.899999999999999" customHeight="1">
      <c r="A57" s="305"/>
      <c r="B57" s="173"/>
      <c r="C57" s="303"/>
      <c r="D57" s="303"/>
      <c r="E57" s="302"/>
      <c r="F57" s="302"/>
      <c r="G57" s="302"/>
      <c r="H57" s="302">
        <v>0.08</v>
      </c>
      <c r="I57" s="339"/>
    </row>
    <row r="58" spans="1:9" ht="19.899999999999999" customHeight="1">
      <c r="A58" s="305"/>
      <c r="B58" s="173"/>
      <c r="C58" s="303"/>
      <c r="D58" s="303"/>
      <c r="E58" s="302"/>
      <c r="F58" s="302"/>
      <c r="G58" s="311" t="s">
        <v>15</v>
      </c>
      <c r="H58" s="311">
        <f>SUM(H55:H57)</f>
        <v>1.9969999999999999</v>
      </c>
      <c r="I58" s="340" t="s">
        <v>37</v>
      </c>
    </row>
    <row r="59" spans="1:9" s="436" customFormat="1" ht="34.9" customHeight="1">
      <c r="A59" s="434">
        <v>43.1</v>
      </c>
      <c r="B59" s="1665" t="s">
        <v>625</v>
      </c>
      <c r="C59" s="1665"/>
      <c r="D59" s="1665"/>
      <c r="E59" s="1665"/>
      <c r="F59" s="1665"/>
      <c r="G59" s="1665"/>
      <c r="H59" s="369"/>
      <c r="I59" s="435"/>
    </row>
    <row r="60" spans="1:9" ht="19.899999999999999" customHeight="1">
      <c r="A60" s="305"/>
      <c r="B60" s="173" t="s">
        <v>1285</v>
      </c>
      <c r="C60" s="303"/>
      <c r="D60" s="303"/>
      <c r="E60" s="302">
        <f>H31</f>
        <v>13.101783900000001</v>
      </c>
      <c r="F60" s="302">
        <v>100</v>
      </c>
      <c r="G60" s="302" t="s">
        <v>592</v>
      </c>
      <c r="H60" s="302">
        <f>E60*F60</f>
        <v>1310.17839</v>
      </c>
      <c r="I60" s="339" t="s">
        <v>165</v>
      </c>
    </row>
    <row r="61" spans="1:9" ht="19.899999999999999" customHeight="1">
      <c r="A61" s="305"/>
      <c r="B61" s="173"/>
      <c r="C61" s="303"/>
      <c r="D61" s="303"/>
      <c r="E61" s="302"/>
      <c r="F61" s="302"/>
      <c r="G61" s="311" t="s">
        <v>15</v>
      </c>
      <c r="H61" s="341">
        <f>H60/1000</f>
        <v>1.3101783900000001</v>
      </c>
      <c r="I61" s="340" t="s">
        <v>58</v>
      </c>
    </row>
    <row r="62" spans="1:9" ht="19.899999999999999" customHeight="1">
      <c r="A62" s="305">
        <v>53.3</v>
      </c>
      <c r="B62" s="173" t="s">
        <v>520</v>
      </c>
      <c r="C62" s="303"/>
      <c r="D62" s="303"/>
      <c r="E62" s="302"/>
      <c r="F62" s="302"/>
      <c r="G62" s="302"/>
      <c r="H62" s="302"/>
      <c r="I62" s="339"/>
    </row>
    <row r="63" spans="1:9" ht="19.899999999999999" customHeight="1">
      <c r="A63" s="305"/>
      <c r="B63" s="173" t="s">
        <v>521</v>
      </c>
      <c r="C63" s="303">
        <v>2</v>
      </c>
      <c r="D63" s="303">
        <v>6</v>
      </c>
      <c r="E63" s="256"/>
      <c r="F63" s="302"/>
      <c r="G63" s="302"/>
      <c r="H63" s="302">
        <f>PRODUCT(C63:F63)</f>
        <v>12</v>
      </c>
      <c r="I63" s="339"/>
    </row>
    <row r="64" spans="1:9" ht="19.899999999999999" customHeight="1">
      <c r="A64" s="305"/>
      <c r="B64" s="173"/>
      <c r="C64" s="303"/>
      <c r="D64" s="303"/>
      <c r="E64" s="302"/>
      <c r="F64" s="302"/>
      <c r="G64" s="311" t="s">
        <v>15</v>
      </c>
      <c r="H64" s="311">
        <f>ROUNDUP(H63,1-0)</f>
        <v>12</v>
      </c>
      <c r="I64" s="340" t="s">
        <v>522</v>
      </c>
    </row>
    <row r="65" spans="1:9" ht="19.899999999999999" customHeight="1">
      <c r="A65" s="305">
        <v>53.4</v>
      </c>
      <c r="B65" s="1570" t="s">
        <v>38</v>
      </c>
      <c r="C65" s="1571"/>
      <c r="D65" s="1571"/>
      <c r="E65" s="1571"/>
      <c r="F65" s="1571"/>
      <c r="G65" s="1572"/>
      <c r="H65" s="302"/>
      <c r="I65" s="339"/>
    </row>
    <row r="66" spans="1:9" ht="19.899999999999999" customHeight="1">
      <c r="A66" s="305"/>
      <c r="B66" s="173" t="s">
        <v>521</v>
      </c>
      <c r="C66" s="303">
        <v>1</v>
      </c>
      <c r="D66" s="303">
        <v>2</v>
      </c>
      <c r="E66" s="302"/>
      <c r="F66" s="302"/>
      <c r="G66" s="302"/>
      <c r="H66" s="302">
        <f>PRODUCT(C66:F66)</f>
        <v>2</v>
      </c>
      <c r="I66" s="339"/>
    </row>
    <row r="67" spans="1:9" ht="19.899999999999999" customHeight="1">
      <c r="A67" s="305"/>
      <c r="B67" s="173"/>
      <c r="C67" s="303"/>
      <c r="D67" s="303"/>
      <c r="E67" s="302"/>
      <c r="F67" s="302"/>
      <c r="G67" s="311" t="s">
        <v>15</v>
      </c>
      <c r="H67" s="311">
        <f>ROUNDUP(H66,1-0)</f>
        <v>2</v>
      </c>
      <c r="I67" s="340" t="s">
        <v>522</v>
      </c>
    </row>
    <row r="68" spans="1:9" ht="19.899999999999999" customHeight="1">
      <c r="A68" s="305">
        <v>30</v>
      </c>
      <c r="B68" s="173" t="s">
        <v>601</v>
      </c>
      <c r="C68" s="303"/>
      <c r="D68" s="303"/>
      <c r="E68" s="302"/>
      <c r="F68" s="302"/>
      <c r="G68" s="302"/>
      <c r="H68" s="302"/>
      <c r="I68" s="339"/>
    </row>
    <row r="69" spans="1:9" ht="19.899999999999999" customHeight="1">
      <c r="A69" s="305"/>
      <c r="B69" s="173" t="s">
        <v>512</v>
      </c>
      <c r="C69" s="338">
        <v>3.14</v>
      </c>
      <c r="D69" s="338">
        <v>0.25</v>
      </c>
      <c r="E69" s="302">
        <v>4.26</v>
      </c>
      <c r="F69" s="302">
        <v>4.26</v>
      </c>
      <c r="G69" s="304" t="s">
        <v>372</v>
      </c>
      <c r="H69" s="302">
        <f>PRODUCT(C69:G69)</f>
        <v>14.245865999999999</v>
      </c>
      <c r="I69" s="339"/>
    </row>
    <row r="70" spans="1:9" ht="19.899999999999999" customHeight="1">
      <c r="A70" s="305"/>
      <c r="B70" s="173" t="s">
        <v>600</v>
      </c>
      <c r="C70" s="303">
        <v>-1</v>
      </c>
      <c r="D70" s="303">
        <v>2</v>
      </c>
      <c r="E70" s="302">
        <v>0.6</v>
      </c>
      <c r="F70" s="302">
        <v>0.6</v>
      </c>
      <c r="G70" s="304" t="s">
        <v>372</v>
      </c>
      <c r="H70" s="302">
        <f>PRODUCT(C70:G70)</f>
        <v>-0.72</v>
      </c>
      <c r="I70" s="339"/>
    </row>
    <row r="71" spans="1:9" ht="19.899999999999999" customHeight="1">
      <c r="A71" s="305"/>
      <c r="B71" s="173"/>
      <c r="C71" s="303"/>
      <c r="D71" s="303"/>
      <c r="E71" s="302"/>
      <c r="F71" s="302"/>
      <c r="G71" s="304"/>
      <c r="H71" s="302">
        <v>7.0000000000000007E-2</v>
      </c>
      <c r="I71" s="339"/>
    </row>
    <row r="72" spans="1:9" ht="19.899999999999999" customHeight="1">
      <c r="A72" s="305"/>
      <c r="B72" s="173"/>
      <c r="C72" s="338"/>
      <c r="D72" s="338"/>
      <c r="E72" s="302"/>
      <c r="F72" s="302"/>
      <c r="G72" s="311" t="s">
        <v>15</v>
      </c>
      <c r="H72" s="311">
        <f>SUM(H69:H71)</f>
        <v>13.595865999999999</v>
      </c>
      <c r="I72" s="340" t="s">
        <v>37</v>
      </c>
    </row>
    <row r="73" spans="1:9" ht="19.899999999999999" customHeight="1">
      <c r="A73" s="305"/>
      <c r="B73" s="173"/>
      <c r="C73" s="303"/>
      <c r="D73" s="303"/>
      <c r="E73" s="302"/>
      <c r="F73" s="302"/>
      <c r="G73" s="302"/>
      <c r="H73" s="302"/>
      <c r="I73" s="339"/>
    </row>
    <row r="346" spans="13:13">
      <c r="M346" s="309" t="e">
        <f>Sump!#REF!</f>
        <v>#REF!</v>
      </c>
    </row>
  </sheetData>
  <mergeCells count="22">
    <mergeCell ref="B46:G46"/>
    <mergeCell ref="B50:G50"/>
    <mergeCell ref="B65:G65"/>
    <mergeCell ref="A5:I5"/>
    <mergeCell ref="A2:I2"/>
    <mergeCell ref="A4:I4"/>
    <mergeCell ref="A1:I1"/>
    <mergeCell ref="A6:I6"/>
    <mergeCell ref="B59:G59"/>
    <mergeCell ref="B45:G45"/>
    <mergeCell ref="B32:G32"/>
    <mergeCell ref="B9:G9"/>
    <mergeCell ref="A7:A8"/>
    <mergeCell ref="B7:B8"/>
    <mergeCell ref="F7:F8"/>
    <mergeCell ref="G7:G8"/>
    <mergeCell ref="H7:H8"/>
    <mergeCell ref="I7:I8"/>
    <mergeCell ref="E7:E8"/>
    <mergeCell ref="C7:D8"/>
    <mergeCell ref="B22:G22"/>
    <mergeCell ref="B18:G18"/>
  </mergeCells>
  <pageMargins left="0.7" right="0.7" top="0.8" bottom="0.5" header="0.3" footer="0.3"/>
  <pageSetup paperSize="9" orientation="portrait" r:id="rId1"/>
  <headerFooter>
    <oddHeader>Page &amp;P</oddHeader>
  </headerFooter>
</worksheet>
</file>

<file path=xl/worksheets/sheet29.xml><?xml version="1.0" encoding="utf-8"?>
<worksheet xmlns="http://schemas.openxmlformats.org/spreadsheetml/2006/main" xmlns:r="http://schemas.openxmlformats.org/officeDocument/2006/relationships">
  <dimension ref="A1:S94"/>
  <sheetViews>
    <sheetView topLeftCell="A65" workbookViewId="0">
      <selection activeCell="B22" sqref="B22:G22"/>
    </sheetView>
  </sheetViews>
  <sheetFormatPr defaultRowHeight="15"/>
  <cols>
    <col min="1" max="1" width="3.77734375" style="268" customWidth="1"/>
    <col min="2" max="2" width="31.6640625" style="268" customWidth="1"/>
    <col min="3" max="5" width="3" style="269" customWidth="1"/>
    <col min="6" max="8" width="7.5546875" style="270" customWidth="1"/>
    <col min="9" max="9" width="7.5546875" style="271" customWidth="1"/>
    <col min="10" max="256" width="8.77734375" style="268"/>
    <col min="257" max="257" width="5.109375" style="268" customWidth="1"/>
    <col min="258" max="258" width="31.6640625" style="268" customWidth="1"/>
    <col min="259" max="259" width="5" style="268" customWidth="1"/>
    <col min="260" max="260" width="4.77734375" style="268" customWidth="1"/>
    <col min="261" max="262" width="7.109375" style="268" customWidth="1"/>
    <col min="263" max="263" width="6.21875" style="268" customWidth="1"/>
    <col min="264" max="264" width="6.33203125" style="268" customWidth="1"/>
    <col min="265" max="265" width="6.5546875" style="268" customWidth="1"/>
    <col min="266" max="512" width="8.77734375" style="268"/>
    <col min="513" max="513" width="5.109375" style="268" customWidth="1"/>
    <col min="514" max="514" width="31.6640625" style="268" customWidth="1"/>
    <col min="515" max="515" width="5" style="268" customWidth="1"/>
    <col min="516" max="516" width="4.77734375" style="268" customWidth="1"/>
    <col min="517" max="518" width="7.109375" style="268" customWidth="1"/>
    <col min="519" max="519" width="6.21875" style="268" customWidth="1"/>
    <col min="520" max="520" width="6.33203125" style="268" customWidth="1"/>
    <col min="521" max="521" width="6.5546875" style="268" customWidth="1"/>
    <col min="522" max="768" width="8.77734375" style="268"/>
    <col min="769" max="769" width="5.109375" style="268" customWidth="1"/>
    <col min="770" max="770" width="31.6640625" style="268" customWidth="1"/>
    <col min="771" max="771" width="5" style="268" customWidth="1"/>
    <col min="772" max="772" width="4.77734375" style="268" customWidth="1"/>
    <col min="773" max="774" width="7.109375" style="268" customWidth="1"/>
    <col min="775" max="775" width="6.21875" style="268" customWidth="1"/>
    <col min="776" max="776" width="6.33203125" style="268" customWidth="1"/>
    <col min="777" max="777" width="6.5546875" style="268" customWidth="1"/>
    <col min="778" max="1024" width="8.77734375" style="268"/>
    <col min="1025" max="1025" width="5.109375" style="268" customWidth="1"/>
    <col min="1026" max="1026" width="31.6640625" style="268" customWidth="1"/>
    <col min="1027" max="1027" width="5" style="268" customWidth="1"/>
    <col min="1028" max="1028" width="4.77734375" style="268" customWidth="1"/>
    <col min="1029" max="1030" width="7.109375" style="268" customWidth="1"/>
    <col min="1031" max="1031" width="6.21875" style="268" customWidth="1"/>
    <col min="1032" max="1032" width="6.33203125" style="268" customWidth="1"/>
    <col min="1033" max="1033" width="6.5546875" style="268" customWidth="1"/>
    <col min="1034" max="1280" width="8.77734375" style="268"/>
    <col min="1281" max="1281" width="5.109375" style="268" customWidth="1"/>
    <col min="1282" max="1282" width="31.6640625" style="268" customWidth="1"/>
    <col min="1283" max="1283" width="5" style="268" customWidth="1"/>
    <col min="1284" max="1284" width="4.77734375" style="268" customWidth="1"/>
    <col min="1285" max="1286" width="7.109375" style="268" customWidth="1"/>
    <col min="1287" max="1287" width="6.21875" style="268" customWidth="1"/>
    <col min="1288" max="1288" width="6.33203125" style="268" customWidth="1"/>
    <col min="1289" max="1289" width="6.5546875" style="268" customWidth="1"/>
    <col min="1290" max="1536" width="8.77734375" style="268"/>
    <col min="1537" max="1537" width="5.109375" style="268" customWidth="1"/>
    <col min="1538" max="1538" width="31.6640625" style="268" customWidth="1"/>
    <col min="1539" max="1539" width="5" style="268" customWidth="1"/>
    <col min="1540" max="1540" width="4.77734375" style="268" customWidth="1"/>
    <col min="1541" max="1542" width="7.109375" style="268" customWidth="1"/>
    <col min="1543" max="1543" width="6.21875" style="268" customWidth="1"/>
    <col min="1544" max="1544" width="6.33203125" style="268" customWidth="1"/>
    <col min="1545" max="1545" width="6.5546875" style="268" customWidth="1"/>
    <col min="1546" max="1792" width="8.77734375" style="268"/>
    <col min="1793" max="1793" width="5.109375" style="268" customWidth="1"/>
    <col min="1794" max="1794" width="31.6640625" style="268" customWidth="1"/>
    <col min="1795" max="1795" width="5" style="268" customWidth="1"/>
    <col min="1796" max="1796" width="4.77734375" style="268" customWidth="1"/>
    <col min="1797" max="1798" width="7.109375" style="268" customWidth="1"/>
    <col min="1799" max="1799" width="6.21875" style="268" customWidth="1"/>
    <col min="1800" max="1800" width="6.33203125" style="268" customWidth="1"/>
    <col min="1801" max="1801" width="6.5546875" style="268" customWidth="1"/>
    <col min="1802" max="2048" width="8.77734375" style="268"/>
    <col min="2049" max="2049" width="5.109375" style="268" customWidth="1"/>
    <col min="2050" max="2050" width="31.6640625" style="268" customWidth="1"/>
    <col min="2051" max="2051" width="5" style="268" customWidth="1"/>
    <col min="2052" max="2052" width="4.77734375" style="268" customWidth="1"/>
    <col min="2053" max="2054" width="7.109375" style="268" customWidth="1"/>
    <col min="2055" max="2055" width="6.21875" style="268" customWidth="1"/>
    <col min="2056" max="2056" width="6.33203125" style="268" customWidth="1"/>
    <col min="2057" max="2057" width="6.5546875" style="268" customWidth="1"/>
    <col min="2058" max="2304" width="8.77734375" style="268"/>
    <col min="2305" max="2305" width="5.109375" style="268" customWidth="1"/>
    <col min="2306" max="2306" width="31.6640625" style="268" customWidth="1"/>
    <col min="2307" max="2307" width="5" style="268" customWidth="1"/>
    <col min="2308" max="2308" width="4.77734375" style="268" customWidth="1"/>
    <col min="2309" max="2310" width="7.109375" style="268" customWidth="1"/>
    <col min="2311" max="2311" width="6.21875" style="268" customWidth="1"/>
    <col min="2312" max="2312" width="6.33203125" style="268" customWidth="1"/>
    <col min="2313" max="2313" width="6.5546875" style="268" customWidth="1"/>
    <col min="2314" max="2560" width="8.77734375" style="268"/>
    <col min="2561" max="2561" width="5.109375" style="268" customWidth="1"/>
    <col min="2562" max="2562" width="31.6640625" style="268" customWidth="1"/>
    <col min="2563" max="2563" width="5" style="268" customWidth="1"/>
    <col min="2564" max="2564" width="4.77734375" style="268" customWidth="1"/>
    <col min="2565" max="2566" width="7.109375" style="268" customWidth="1"/>
    <col min="2567" max="2567" width="6.21875" style="268" customWidth="1"/>
    <col min="2568" max="2568" width="6.33203125" style="268" customWidth="1"/>
    <col min="2569" max="2569" width="6.5546875" style="268" customWidth="1"/>
    <col min="2570" max="2816" width="8.77734375" style="268"/>
    <col min="2817" max="2817" width="5.109375" style="268" customWidth="1"/>
    <col min="2818" max="2818" width="31.6640625" style="268" customWidth="1"/>
    <col min="2819" max="2819" width="5" style="268" customWidth="1"/>
    <col min="2820" max="2820" width="4.77734375" style="268" customWidth="1"/>
    <col min="2821" max="2822" width="7.109375" style="268" customWidth="1"/>
    <col min="2823" max="2823" width="6.21875" style="268" customWidth="1"/>
    <col min="2824" max="2824" width="6.33203125" style="268" customWidth="1"/>
    <col min="2825" max="2825" width="6.5546875" style="268" customWidth="1"/>
    <col min="2826" max="3072" width="8.77734375" style="268"/>
    <col min="3073" max="3073" width="5.109375" style="268" customWidth="1"/>
    <col min="3074" max="3074" width="31.6640625" style="268" customWidth="1"/>
    <col min="3075" max="3075" width="5" style="268" customWidth="1"/>
    <col min="3076" max="3076" width="4.77734375" style="268" customWidth="1"/>
    <col min="3077" max="3078" width="7.109375" style="268" customWidth="1"/>
    <col min="3079" max="3079" width="6.21875" style="268" customWidth="1"/>
    <col min="3080" max="3080" width="6.33203125" style="268" customWidth="1"/>
    <col min="3081" max="3081" width="6.5546875" style="268" customWidth="1"/>
    <col min="3082" max="3328" width="8.77734375" style="268"/>
    <col min="3329" max="3329" width="5.109375" style="268" customWidth="1"/>
    <col min="3330" max="3330" width="31.6640625" style="268" customWidth="1"/>
    <col min="3331" max="3331" width="5" style="268" customWidth="1"/>
    <col min="3332" max="3332" width="4.77734375" style="268" customWidth="1"/>
    <col min="3333" max="3334" width="7.109375" style="268" customWidth="1"/>
    <col min="3335" max="3335" width="6.21875" style="268" customWidth="1"/>
    <col min="3336" max="3336" width="6.33203125" style="268" customWidth="1"/>
    <col min="3337" max="3337" width="6.5546875" style="268" customWidth="1"/>
    <col min="3338" max="3584" width="8.77734375" style="268"/>
    <col min="3585" max="3585" width="5.109375" style="268" customWidth="1"/>
    <col min="3586" max="3586" width="31.6640625" style="268" customWidth="1"/>
    <col min="3587" max="3587" width="5" style="268" customWidth="1"/>
    <col min="3588" max="3588" width="4.77734375" style="268" customWidth="1"/>
    <col min="3589" max="3590" width="7.109375" style="268" customWidth="1"/>
    <col min="3591" max="3591" width="6.21875" style="268" customWidth="1"/>
    <col min="3592" max="3592" width="6.33203125" style="268" customWidth="1"/>
    <col min="3593" max="3593" width="6.5546875" style="268" customWidth="1"/>
    <col min="3594" max="3840" width="8.77734375" style="268"/>
    <col min="3841" max="3841" width="5.109375" style="268" customWidth="1"/>
    <col min="3842" max="3842" width="31.6640625" style="268" customWidth="1"/>
    <col min="3843" max="3843" width="5" style="268" customWidth="1"/>
    <col min="3844" max="3844" width="4.77734375" style="268" customWidth="1"/>
    <col min="3845" max="3846" width="7.109375" style="268" customWidth="1"/>
    <col min="3847" max="3847" width="6.21875" style="268" customWidth="1"/>
    <col min="3848" max="3848" width="6.33203125" style="268" customWidth="1"/>
    <col min="3849" max="3849" width="6.5546875" style="268" customWidth="1"/>
    <col min="3850" max="4096" width="8.77734375" style="268"/>
    <col min="4097" max="4097" width="5.109375" style="268" customWidth="1"/>
    <col min="4098" max="4098" width="31.6640625" style="268" customWidth="1"/>
    <col min="4099" max="4099" width="5" style="268" customWidth="1"/>
    <col min="4100" max="4100" width="4.77734375" style="268" customWidth="1"/>
    <col min="4101" max="4102" width="7.109375" style="268" customWidth="1"/>
    <col min="4103" max="4103" width="6.21875" style="268" customWidth="1"/>
    <col min="4104" max="4104" width="6.33203125" style="268" customWidth="1"/>
    <col min="4105" max="4105" width="6.5546875" style="268" customWidth="1"/>
    <col min="4106" max="4352" width="8.77734375" style="268"/>
    <col min="4353" max="4353" width="5.109375" style="268" customWidth="1"/>
    <col min="4354" max="4354" width="31.6640625" style="268" customWidth="1"/>
    <col min="4355" max="4355" width="5" style="268" customWidth="1"/>
    <col min="4356" max="4356" width="4.77734375" style="268" customWidth="1"/>
    <col min="4357" max="4358" width="7.109375" style="268" customWidth="1"/>
    <col min="4359" max="4359" width="6.21875" style="268" customWidth="1"/>
    <col min="4360" max="4360" width="6.33203125" style="268" customWidth="1"/>
    <col min="4361" max="4361" width="6.5546875" style="268" customWidth="1"/>
    <col min="4362" max="4608" width="8.77734375" style="268"/>
    <col min="4609" max="4609" width="5.109375" style="268" customWidth="1"/>
    <col min="4610" max="4610" width="31.6640625" style="268" customWidth="1"/>
    <col min="4611" max="4611" width="5" style="268" customWidth="1"/>
    <col min="4612" max="4612" width="4.77734375" style="268" customWidth="1"/>
    <col min="4613" max="4614" width="7.109375" style="268" customWidth="1"/>
    <col min="4615" max="4615" width="6.21875" style="268" customWidth="1"/>
    <col min="4616" max="4616" width="6.33203125" style="268" customWidth="1"/>
    <col min="4617" max="4617" width="6.5546875" style="268" customWidth="1"/>
    <col min="4618" max="4864" width="8.77734375" style="268"/>
    <col min="4865" max="4865" width="5.109375" style="268" customWidth="1"/>
    <col min="4866" max="4866" width="31.6640625" style="268" customWidth="1"/>
    <col min="4867" max="4867" width="5" style="268" customWidth="1"/>
    <col min="4868" max="4868" width="4.77734375" style="268" customWidth="1"/>
    <col min="4869" max="4870" width="7.109375" style="268" customWidth="1"/>
    <col min="4871" max="4871" width="6.21875" style="268" customWidth="1"/>
    <col min="4872" max="4872" width="6.33203125" style="268" customWidth="1"/>
    <col min="4873" max="4873" width="6.5546875" style="268" customWidth="1"/>
    <col min="4874" max="5120" width="8.77734375" style="268"/>
    <col min="5121" max="5121" width="5.109375" style="268" customWidth="1"/>
    <col min="5122" max="5122" width="31.6640625" style="268" customWidth="1"/>
    <col min="5123" max="5123" width="5" style="268" customWidth="1"/>
    <col min="5124" max="5124" width="4.77734375" style="268" customWidth="1"/>
    <col min="5125" max="5126" width="7.109375" style="268" customWidth="1"/>
    <col min="5127" max="5127" width="6.21875" style="268" customWidth="1"/>
    <col min="5128" max="5128" width="6.33203125" style="268" customWidth="1"/>
    <col min="5129" max="5129" width="6.5546875" style="268" customWidth="1"/>
    <col min="5130" max="5376" width="8.77734375" style="268"/>
    <col min="5377" max="5377" width="5.109375" style="268" customWidth="1"/>
    <col min="5378" max="5378" width="31.6640625" style="268" customWidth="1"/>
    <col min="5379" max="5379" width="5" style="268" customWidth="1"/>
    <col min="5380" max="5380" width="4.77734375" style="268" customWidth="1"/>
    <col min="5381" max="5382" width="7.109375" style="268" customWidth="1"/>
    <col min="5383" max="5383" width="6.21875" style="268" customWidth="1"/>
    <col min="5384" max="5384" width="6.33203125" style="268" customWidth="1"/>
    <col min="5385" max="5385" width="6.5546875" style="268" customWidth="1"/>
    <col min="5386" max="5632" width="8.77734375" style="268"/>
    <col min="5633" max="5633" width="5.109375" style="268" customWidth="1"/>
    <col min="5634" max="5634" width="31.6640625" style="268" customWidth="1"/>
    <col min="5635" max="5635" width="5" style="268" customWidth="1"/>
    <col min="5636" max="5636" width="4.77734375" style="268" customWidth="1"/>
    <col min="5637" max="5638" width="7.109375" style="268" customWidth="1"/>
    <col min="5639" max="5639" width="6.21875" style="268" customWidth="1"/>
    <col min="5640" max="5640" width="6.33203125" style="268" customWidth="1"/>
    <col min="5641" max="5641" width="6.5546875" style="268" customWidth="1"/>
    <col min="5642" max="5888" width="8.77734375" style="268"/>
    <col min="5889" max="5889" width="5.109375" style="268" customWidth="1"/>
    <col min="5890" max="5890" width="31.6640625" style="268" customWidth="1"/>
    <col min="5891" max="5891" width="5" style="268" customWidth="1"/>
    <col min="5892" max="5892" width="4.77734375" style="268" customWidth="1"/>
    <col min="5893" max="5894" width="7.109375" style="268" customWidth="1"/>
    <col min="5895" max="5895" width="6.21875" style="268" customWidth="1"/>
    <col min="5896" max="5896" width="6.33203125" style="268" customWidth="1"/>
    <col min="5897" max="5897" width="6.5546875" style="268" customWidth="1"/>
    <col min="5898" max="6144" width="8.77734375" style="268"/>
    <col min="6145" max="6145" width="5.109375" style="268" customWidth="1"/>
    <col min="6146" max="6146" width="31.6640625" style="268" customWidth="1"/>
    <col min="6147" max="6147" width="5" style="268" customWidth="1"/>
    <col min="6148" max="6148" width="4.77734375" style="268" customWidth="1"/>
    <col min="6149" max="6150" width="7.109375" style="268" customWidth="1"/>
    <col min="6151" max="6151" width="6.21875" style="268" customWidth="1"/>
    <col min="6152" max="6152" width="6.33203125" style="268" customWidth="1"/>
    <col min="6153" max="6153" width="6.5546875" style="268" customWidth="1"/>
    <col min="6154" max="6400" width="8.77734375" style="268"/>
    <col min="6401" max="6401" width="5.109375" style="268" customWidth="1"/>
    <col min="6402" max="6402" width="31.6640625" style="268" customWidth="1"/>
    <col min="6403" max="6403" width="5" style="268" customWidth="1"/>
    <col min="6404" max="6404" width="4.77734375" style="268" customWidth="1"/>
    <col min="6405" max="6406" width="7.109375" style="268" customWidth="1"/>
    <col min="6407" max="6407" width="6.21875" style="268" customWidth="1"/>
    <col min="6408" max="6408" width="6.33203125" style="268" customWidth="1"/>
    <col min="6409" max="6409" width="6.5546875" style="268" customWidth="1"/>
    <col min="6410" max="6656" width="8.77734375" style="268"/>
    <col min="6657" max="6657" width="5.109375" style="268" customWidth="1"/>
    <col min="6658" max="6658" width="31.6640625" style="268" customWidth="1"/>
    <col min="6659" max="6659" width="5" style="268" customWidth="1"/>
    <col min="6660" max="6660" width="4.77734375" style="268" customWidth="1"/>
    <col min="6661" max="6662" width="7.109375" style="268" customWidth="1"/>
    <col min="6663" max="6663" width="6.21875" style="268" customWidth="1"/>
    <col min="6664" max="6664" width="6.33203125" style="268" customWidth="1"/>
    <col min="6665" max="6665" width="6.5546875" style="268" customWidth="1"/>
    <col min="6666" max="6912" width="8.77734375" style="268"/>
    <col min="6913" max="6913" width="5.109375" style="268" customWidth="1"/>
    <col min="6914" max="6914" width="31.6640625" style="268" customWidth="1"/>
    <col min="6915" max="6915" width="5" style="268" customWidth="1"/>
    <col min="6916" max="6916" width="4.77734375" style="268" customWidth="1"/>
    <col min="6917" max="6918" width="7.109375" style="268" customWidth="1"/>
    <col min="6919" max="6919" width="6.21875" style="268" customWidth="1"/>
    <col min="6920" max="6920" width="6.33203125" style="268" customWidth="1"/>
    <col min="6921" max="6921" width="6.5546875" style="268" customWidth="1"/>
    <col min="6922" max="7168" width="8.77734375" style="268"/>
    <col min="7169" max="7169" width="5.109375" style="268" customWidth="1"/>
    <col min="7170" max="7170" width="31.6640625" style="268" customWidth="1"/>
    <col min="7171" max="7171" width="5" style="268" customWidth="1"/>
    <col min="7172" max="7172" width="4.77734375" style="268" customWidth="1"/>
    <col min="7173" max="7174" width="7.109375" style="268" customWidth="1"/>
    <col min="7175" max="7175" width="6.21875" style="268" customWidth="1"/>
    <col min="7176" max="7176" width="6.33203125" style="268" customWidth="1"/>
    <col min="7177" max="7177" width="6.5546875" style="268" customWidth="1"/>
    <col min="7178" max="7424" width="8.77734375" style="268"/>
    <col min="7425" max="7425" width="5.109375" style="268" customWidth="1"/>
    <col min="7426" max="7426" width="31.6640625" style="268" customWidth="1"/>
    <col min="7427" max="7427" width="5" style="268" customWidth="1"/>
    <col min="7428" max="7428" width="4.77734375" style="268" customWidth="1"/>
    <col min="7429" max="7430" width="7.109375" style="268" customWidth="1"/>
    <col min="7431" max="7431" width="6.21875" style="268" customWidth="1"/>
    <col min="7432" max="7432" width="6.33203125" style="268" customWidth="1"/>
    <col min="7433" max="7433" width="6.5546875" style="268" customWidth="1"/>
    <col min="7434" max="7680" width="8.77734375" style="268"/>
    <col min="7681" max="7681" width="5.109375" style="268" customWidth="1"/>
    <col min="7682" max="7682" width="31.6640625" style="268" customWidth="1"/>
    <col min="7683" max="7683" width="5" style="268" customWidth="1"/>
    <col min="7684" max="7684" width="4.77734375" style="268" customWidth="1"/>
    <col min="7685" max="7686" width="7.109375" style="268" customWidth="1"/>
    <col min="7687" max="7687" width="6.21875" style="268" customWidth="1"/>
    <col min="7688" max="7688" width="6.33203125" style="268" customWidth="1"/>
    <col min="7689" max="7689" width="6.5546875" style="268" customWidth="1"/>
    <col min="7690" max="7936" width="8.77734375" style="268"/>
    <col min="7937" max="7937" width="5.109375" style="268" customWidth="1"/>
    <col min="7938" max="7938" width="31.6640625" style="268" customWidth="1"/>
    <col min="7939" max="7939" width="5" style="268" customWidth="1"/>
    <col min="7940" max="7940" width="4.77734375" style="268" customWidth="1"/>
    <col min="7941" max="7942" width="7.109375" style="268" customWidth="1"/>
    <col min="7943" max="7943" width="6.21875" style="268" customWidth="1"/>
    <col min="7944" max="7944" width="6.33203125" style="268" customWidth="1"/>
    <col min="7945" max="7945" width="6.5546875" style="268" customWidth="1"/>
    <col min="7946" max="8192" width="8.77734375" style="268"/>
    <col min="8193" max="8193" width="5.109375" style="268" customWidth="1"/>
    <col min="8194" max="8194" width="31.6640625" style="268" customWidth="1"/>
    <col min="8195" max="8195" width="5" style="268" customWidth="1"/>
    <col min="8196" max="8196" width="4.77734375" style="268" customWidth="1"/>
    <col min="8197" max="8198" width="7.109375" style="268" customWidth="1"/>
    <col min="8199" max="8199" width="6.21875" style="268" customWidth="1"/>
    <col min="8200" max="8200" width="6.33203125" style="268" customWidth="1"/>
    <col min="8201" max="8201" width="6.5546875" style="268" customWidth="1"/>
    <col min="8202" max="8448" width="8.77734375" style="268"/>
    <col min="8449" max="8449" width="5.109375" style="268" customWidth="1"/>
    <col min="8450" max="8450" width="31.6640625" style="268" customWidth="1"/>
    <col min="8451" max="8451" width="5" style="268" customWidth="1"/>
    <col min="8452" max="8452" width="4.77734375" style="268" customWidth="1"/>
    <col min="8453" max="8454" width="7.109375" style="268" customWidth="1"/>
    <col min="8455" max="8455" width="6.21875" style="268" customWidth="1"/>
    <col min="8456" max="8456" width="6.33203125" style="268" customWidth="1"/>
    <col min="8457" max="8457" width="6.5546875" style="268" customWidth="1"/>
    <col min="8458" max="8704" width="8.77734375" style="268"/>
    <col min="8705" max="8705" width="5.109375" style="268" customWidth="1"/>
    <col min="8706" max="8706" width="31.6640625" style="268" customWidth="1"/>
    <col min="8707" max="8707" width="5" style="268" customWidth="1"/>
    <col min="8708" max="8708" width="4.77734375" style="268" customWidth="1"/>
    <col min="8709" max="8710" width="7.109375" style="268" customWidth="1"/>
    <col min="8711" max="8711" width="6.21875" style="268" customWidth="1"/>
    <col min="8712" max="8712" width="6.33203125" style="268" customWidth="1"/>
    <col min="8713" max="8713" width="6.5546875" style="268" customWidth="1"/>
    <col min="8714" max="8960" width="8.77734375" style="268"/>
    <col min="8961" max="8961" width="5.109375" style="268" customWidth="1"/>
    <col min="8962" max="8962" width="31.6640625" style="268" customWidth="1"/>
    <col min="8963" max="8963" width="5" style="268" customWidth="1"/>
    <col min="8964" max="8964" width="4.77734375" style="268" customWidth="1"/>
    <col min="8965" max="8966" width="7.109375" style="268" customWidth="1"/>
    <col min="8967" max="8967" width="6.21875" style="268" customWidth="1"/>
    <col min="8968" max="8968" width="6.33203125" style="268" customWidth="1"/>
    <col min="8969" max="8969" width="6.5546875" style="268" customWidth="1"/>
    <col min="8970" max="9216" width="8.77734375" style="268"/>
    <col min="9217" max="9217" width="5.109375" style="268" customWidth="1"/>
    <col min="9218" max="9218" width="31.6640625" style="268" customWidth="1"/>
    <col min="9219" max="9219" width="5" style="268" customWidth="1"/>
    <col min="9220" max="9220" width="4.77734375" style="268" customWidth="1"/>
    <col min="9221" max="9222" width="7.109375" style="268" customWidth="1"/>
    <col min="9223" max="9223" width="6.21875" style="268" customWidth="1"/>
    <col min="9224" max="9224" width="6.33203125" style="268" customWidth="1"/>
    <col min="9225" max="9225" width="6.5546875" style="268" customWidth="1"/>
    <col min="9226" max="9472" width="8.77734375" style="268"/>
    <col min="9473" max="9473" width="5.109375" style="268" customWidth="1"/>
    <col min="9474" max="9474" width="31.6640625" style="268" customWidth="1"/>
    <col min="9475" max="9475" width="5" style="268" customWidth="1"/>
    <col min="9476" max="9476" width="4.77734375" style="268" customWidth="1"/>
    <col min="9477" max="9478" width="7.109375" style="268" customWidth="1"/>
    <col min="9479" max="9479" width="6.21875" style="268" customWidth="1"/>
    <col min="9480" max="9480" width="6.33203125" style="268" customWidth="1"/>
    <col min="9481" max="9481" width="6.5546875" style="268" customWidth="1"/>
    <col min="9482" max="9728" width="8.77734375" style="268"/>
    <col min="9729" max="9729" width="5.109375" style="268" customWidth="1"/>
    <col min="9730" max="9730" width="31.6640625" style="268" customWidth="1"/>
    <col min="9731" max="9731" width="5" style="268" customWidth="1"/>
    <col min="9732" max="9732" width="4.77734375" style="268" customWidth="1"/>
    <col min="9733" max="9734" width="7.109375" style="268" customWidth="1"/>
    <col min="9735" max="9735" width="6.21875" style="268" customWidth="1"/>
    <col min="9736" max="9736" width="6.33203125" style="268" customWidth="1"/>
    <col min="9737" max="9737" width="6.5546875" style="268" customWidth="1"/>
    <col min="9738" max="9984" width="8.77734375" style="268"/>
    <col min="9985" max="9985" width="5.109375" style="268" customWidth="1"/>
    <col min="9986" max="9986" width="31.6640625" style="268" customWidth="1"/>
    <col min="9987" max="9987" width="5" style="268" customWidth="1"/>
    <col min="9988" max="9988" width="4.77734375" style="268" customWidth="1"/>
    <col min="9989" max="9990" width="7.109375" style="268" customWidth="1"/>
    <col min="9991" max="9991" width="6.21875" style="268" customWidth="1"/>
    <col min="9992" max="9992" width="6.33203125" style="268" customWidth="1"/>
    <col min="9993" max="9993" width="6.5546875" style="268" customWidth="1"/>
    <col min="9994" max="10240" width="8.77734375" style="268"/>
    <col min="10241" max="10241" width="5.109375" style="268" customWidth="1"/>
    <col min="10242" max="10242" width="31.6640625" style="268" customWidth="1"/>
    <col min="10243" max="10243" width="5" style="268" customWidth="1"/>
    <col min="10244" max="10244" width="4.77734375" style="268" customWidth="1"/>
    <col min="10245" max="10246" width="7.109375" style="268" customWidth="1"/>
    <col min="10247" max="10247" width="6.21875" style="268" customWidth="1"/>
    <col min="10248" max="10248" width="6.33203125" style="268" customWidth="1"/>
    <col min="10249" max="10249" width="6.5546875" style="268" customWidth="1"/>
    <col min="10250" max="10496" width="8.77734375" style="268"/>
    <col min="10497" max="10497" width="5.109375" style="268" customWidth="1"/>
    <col min="10498" max="10498" width="31.6640625" style="268" customWidth="1"/>
    <col min="10499" max="10499" width="5" style="268" customWidth="1"/>
    <col min="10500" max="10500" width="4.77734375" style="268" customWidth="1"/>
    <col min="10501" max="10502" width="7.109375" style="268" customWidth="1"/>
    <col min="10503" max="10503" width="6.21875" style="268" customWidth="1"/>
    <col min="10504" max="10504" width="6.33203125" style="268" customWidth="1"/>
    <col min="10505" max="10505" width="6.5546875" style="268" customWidth="1"/>
    <col min="10506" max="10752" width="8.77734375" style="268"/>
    <col min="10753" max="10753" width="5.109375" style="268" customWidth="1"/>
    <col min="10754" max="10754" width="31.6640625" style="268" customWidth="1"/>
    <col min="10755" max="10755" width="5" style="268" customWidth="1"/>
    <col min="10756" max="10756" width="4.77734375" style="268" customWidth="1"/>
    <col min="10757" max="10758" width="7.109375" style="268" customWidth="1"/>
    <col min="10759" max="10759" width="6.21875" style="268" customWidth="1"/>
    <col min="10760" max="10760" width="6.33203125" style="268" customWidth="1"/>
    <col min="10761" max="10761" width="6.5546875" style="268" customWidth="1"/>
    <col min="10762" max="11008" width="8.77734375" style="268"/>
    <col min="11009" max="11009" width="5.109375" style="268" customWidth="1"/>
    <col min="11010" max="11010" width="31.6640625" style="268" customWidth="1"/>
    <col min="11011" max="11011" width="5" style="268" customWidth="1"/>
    <col min="11012" max="11012" width="4.77734375" style="268" customWidth="1"/>
    <col min="11013" max="11014" width="7.109375" style="268" customWidth="1"/>
    <col min="11015" max="11015" width="6.21875" style="268" customWidth="1"/>
    <col min="11016" max="11016" width="6.33203125" style="268" customWidth="1"/>
    <col min="11017" max="11017" width="6.5546875" style="268" customWidth="1"/>
    <col min="11018" max="11264" width="8.77734375" style="268"/>
    <col min="11265" max="11265" width="5.109375" style="268" customWidth="1"/>
    <col min="11266" max="11266" width="31.6640625" style="268" customWidth="1"/>
    <col min="11267" max="11267" width="5" style="268" customWidth="1"/>
    <col min="11268" max="11268" width="4.77734375" style="268" customWidth="1"/>
    <col min="11269" max="11270" width="7.109375" style="268" customWidth="1"/>
    <col min="11271" max="11271" width="6.21875" style="268" customWidth="1"/>
    <col min="11272" max="11272" width="6.33203125" style="268" customWidth="1"/>
    <col min="11273" max="11273" width="6.5546875" style="268" customWidth="1"/>
    <col min="11274" max="11520" width="8.77734375" style="268"/>
    <col min="11521" max="11521" width="5.109375" style="268" customWidth="1"/>
    <col min="11522" max="11522" width="31.6640625" style="268" customWidth="1"/>
    <col min="11523" max="11523" width="5" style="268" customWidth="1"/>
    <col min="11524" max="11524" width="4.77734375" style="268" customWidth="1"/>
    <col min="11525" max="11526" width="7.109375" style="268" customWidth="1"/>
    <col min="11527" max="11527" width="6.21875" style="268" customWidth="1"/>
    <col min="11528" max="11528" width="6.33203125" style="268" customWidth="1"/>
    <col min="11529" max="11529" width="6.5546875" style="268" customWidth="1"/>
    <col min="11530" max="11776" width="8.77734375" style="268"/>
    <col min="11777" max="11777" width="5.109375" style="268" customWidth="1"/>
    <col min="11778" max="11778" width="31.6640625" style="268" customWidth="1"/>
    <col min="11779" max="11779" width="5" style="268" customWidth="1"/>
    <col min="11780" max="11780" width="4.77734375" style="268" customWidth="1"/>
    <col min="11781" max="11782" width="7.109375" style="268" customWidth="1"/>
    <col min="11783" max="11783" width="6.21875" style="268" customWidth="1"/>
    <col min="11784" max="11784" width="6.33203125" style="268" customWidth="1"/>
    <col min="11785" max="11785" width="6.5546875" style="268" customWidth="1"/>
    <col min="11786" max="12032" width="8.77734375" style="268"/>
    <col min="12033" max="12033" width="5.109375" style="268" customWidth="1"/>
    <col min="12034" max="12034" width="31.6640625" style="268" customWidth="1"/>
    <col min="12035" max="12035" width="5" style="268" customWidth="1"/>
    <col min="12036" max="12036" width="4.77734375" style="268" customWidth="1"/>
    <col min="12037" max="12038" width="7.109375" style="268" customWidth="1"/>
    <col min="12039" max="12039" width="6.21875" style="268" customWidth="1"/>
    <col min="12040" max="12040" width="6.33203125" style="268" customWidth="1"/>
    <col min="12041" max="12041" width="6.5546875" style="268" customWidth="1"/>
    <col min="12042" max="12288" width="8.77734375" style="268"/>
    <col min="12289" max="12289" width="5.109375" style="268" customWidth="1"/>
    <col min="12290" max="12290" width="31.6640625" style="268" customWidth="1"/>
    <col min="12291" max="12291" width="5" style="268" customWidth="1"/>
    <col min="12292" max="12292" width="4.77734375" style="268" customWidth="1"/>
    <col min="12293" max="12294" width="7.109375" style="268" customWidth="1"/>
    <col min="12295" max="12295" width="6.21875" style="268" customWidth="1"/>
    <col min="12296" max="12296" width="6.33203125" style="268" customWidth="1"/>
    <col min="12297" max="12297" width="6.5546875" style="268" customWidth="1"/>
    <col min="12298" max="12544" width="8.77734375" style="268"/>
    <col min="12545" max="12545" width="5.109375" style="268" customWidth="1"/>
    <col min="12546" max="12546" width="31.6640625" style="268" customWidth="1"/>
    <col min="12547" max="12547" width="5" style="268" customWidth="1"/>
    <col min="12548" max="12548" width="4.77734375" style="268" customWidth="1"/>
    <col min="12549" max="12550" width="7.109375" style="268" customWidth="1"/>
    <col min="12551" max="12551" width="6.21875" style="268" customWidth="1"/>
    <col min="12552" max="12552" width="6.33203125" style="268" customWidth="1"/>
    <col min="12553" max="12553" width="6.5546875" style="268" customWidth="1"/>
    <col min="12554" max="12800" width="8.77734375" style="268"/>
    <col min="12801" max="12801" width="5.109375" style="268" customWidth="1"/>
    <col min="12802" max="12802" width="31.6640625" style="268" customWidth="1"/>
    <col min="12803" max="12803" width="5" style="268" customWidth="1"/>
    <col min="12804" max="12804" width="4.77734375" style="268" customWidth="1"/>
    <col min="12805" max="12806" width="7.109375" style="268" customWidth="1"/>
    <col min="12807" max="12807" width="6.21875" style="268" customWidth="1"/>
    <col min="12808" max="12808" width="6.33203125" style="268" customWidth="1"/>
    <col min="12809" max="12809" width="6.5546875" style="268" customWidth="1"/>
    <col min="12810" max="13056" width="8.77734375" style="268"/>
    <col min="13057" max="13057" width="5.109375" style="268" customWidth="1"/>
    <col min="13058" max="13058" width="31.6640625" style="268" customWidth="1"/>
    <col min="13059" max="13059" width="5" style="268" customWidth="1"/>
    <col min="13060" max="13060" width="4.77734375" style="268" customWidth="1"/>
    <col min="13061" max="13062" width="7.109375" style="268" customWidth="1"/>
    <col min="13063" max="13063" width="6.21875" style="268" customWidth="1"/>
    <col min="13064" max="13064" width="6.33203125" style="268" customWidth="1"/>
    <col min="13065" max="13065" width="6.5546875" style="268" customWidth="1"/>
    <col min="13066" max="13312" width="8.77734375" style="268"/>
    <col min="13313" max="13313" width="5.109375" style="268" customWidth="1"/>
    <col min="13314" max="13314" width="31.6640625" style="268" customWidth="1"/>
    <col min="13315" max="13315" width="5" style="268" customWidth="1"/>
    <col min="13316" max="13316" width="4.77734375" style="268" customWidth="1"/>
    <col min="13317" max="13318" width="7.109375" style="268" customWidth="1"/>
    <col min="13319" max="13319" width="6.21875" style="268" customWidth="1"/>
    <col min="13320" max="13320" width="6.33203125" style="268" customWidth="1"/>
    <col min="13321" max="13321" width="6.5546875" style="268" customWidth="1"/>
    <col min="13322" max="13568" width="8.77734375" style="268"/>
    <col min="13569" max="13569" width="5.109375" style="268" customWidth="1"/>
    <col min="13570" max="13570" width="31.6640625" style="268" customWidth="1"/>
    <col min="13571" max="13571" width="5" style="268" customWidth="1"/>
    <col min="13572" max="13572" width="4.77734375" style="268" customWidth="1"/>
    <col min="13573" max="13574" width="7.109375" style="268" customWidth="1"/>
    <col min="13575" max="13575" width="6.21875" style="268" customWidth="1"/>
    <col min="13576" max="13576" width="6.33203125" style="268" customWidth="1"/>
    <col min="13577" max="13577" width="6.5546875" style="268" customWidth="1"/>
    <col min="13578" max="13824" width="8.77734375" style="268"/>
    <col min="13825" max="13825" width="5.109375" style="268" customWidth="1"/>
    <col min="13826" max="13826" width="31.6640625" style="268" customWidth="1"/>
    <col min="13827" max="13827" width="5" style="268" customWidth="1"/>
    <col min="13828" max="13828" width="4.77734375" style="268" customWidth="1"/>
    <col min="13829" max="13830" width="7.109375" style="268" customWidth="1"/>
    <col min="13831" max="13831" width="6.21875" style="268" customWidth="1"/>
    <col min="13832" max="13832" width="6.33203125" style="268" customWidth="1"/>
    <col min="13833" max="13833" width="6.5546875" style="268" customWidth="1"/>
    <col min="13834" max="14080" width="8.77734375" style="268"/>
    <col min="14081" max="14081" width="5.109375" style="268" customWidth="1"/>
    <col min="14082" max="14082" width="31.6640625" style="268" customWidth="1"/>
    <col min="14083" max="14083" width="5" style="268" customWidth="1"/>
    <col min="14084" max="14084" width="4.77734375" style="268" customWidth="1"/>
    <col min="14085" max="14086" width="7.109375" style="268" customWidth="1"/>
    <col min="14087" max="14087" width="6.21875" style="268" customWidth="1"/>
    <col min="14088" max="14088" width="6.33203125" style="268" customWidth="1"/>
    <col min="14089" max="14089" width="6.5546875" style="268" customWidth="1"/>
    <col min="14090" max="14336" width="8.77734375" style="268"/>
    <col min="14337" max="14337" width="5.109375" style="268" customWidth="1"/>
    <col min="14338" max="14338" width="31.6640625" style="268" customWidth="1"/>
    <col min="14339" max="14339" width="5" style="268" customWidth="1"/>
    <col min="14340" max="14340" width="4.77734375" style="268" customWidth="1"/>
    <col min="14341" max="14342" width="7.109375" style="268" customWidth="1"/>
    <col min="14343" max="14343" width="6.21875" style="268" customWidth="1"/>
    <col min="14344" max="14344" width="6.33203125" style="268" customWidth="1"/>
    <col min="14345" max="14345" width="6.5546875" style="268" customWidth="1"/>
    <col min="14346" max="14592" width="8.77734375" style="268"/>
    <col min="14593" max="14593" width="5.109375" style="268" customWidth="1"/>
    <col min="14594" max="14594" width="31.6640625" style="268" customWidth="1"/>
    <col min="14595" max="14595" width="5" style="268" customWidth="1"/>
    <col min="14596" max="14596" width="4.77734375" style="268" customWidth="1"/>
    <col min="14597" max="14598" width="7.109375" style="268" customWidth="1"/>
    <col min="14599" max="14599" width="6.21875" style="268" customWidth="1"/>
    <col min="14600" max="14600" width="6.33203125" style="268" customWidth="1"/>
    <col min="14601" max="14601" width="6.5546875" style="268" customWidth="1"/>
    <col min="14602" max="14848" width="8.77734375" style="268"/>
    <col min="14849" max="14849" width="5.109375" style="268" customWidth="1"/>
    <col min="14850" max="14850" width="31.6640625" style="268" customWidth="1"/>
    <col min="14851" max="14851" width="5" style="268" customWidth="1"/>
    <col min="14852" max="14852" width="4.77734375" style="268" customWidth="1"/>
    <col min="14853" max="14854" width="7.109375" style="268" customWidth="1"/>
    <col min="14855" max="14855" width="6.21875" style="268" customWidth="1"/>
    <col min="14856" max="14856" width="6.33203125" style="268" customWidth="1"/>
    <col min="14857" max="14857" width="6.5546875" style="268" customWidth="1"/>
    <col min="14858" max="15104" width="8.77734375" style="268"/>
    <col min="15105" max="15105" width="5.109375" style="268" customWidth="1"/>
    <col min="15106" max="15106" width="31.6640625" style="268" customWidth="1"/>
    <col min="15107" max="15107" width="5" style="268" customWidth="1"/>
    <col min="15108" max="15108" width="4.77734375" style="268" customWidth="1"/>
    <col min="15109" max="15110" width="7.109375" style="268" customWidth="1"/>
    <col min="15111" max="15111" width="6.21875" style="268" customWidth="1"/>
    <col min="15112" max="15112" width="6.33203125" style="268" customWidth="1"/>
    <col min="15113" max="15113" width="6.5546875" style="268" customWidth="1"/>
    <col min="15114" max="15360" width="8.77734375" style="268"/>
    <col min="15361" max="15361" width="5.109375" style="268" customWidth="1"/>
    <col min="15362" max="15362" width="31.6640625" style="268" customWidth="1"/>
    <col min="15363" max="15363" width="5" style="268" customWidth="1"/>
    <col min="15364" max="15364" width="4.77734375" style="268" customWidth="1"/>
    <col min="15365" max="15366" width="7.109375" style="268" customWidth="1"/>
    <col min="15367" max="15367" width="6.21875" style="268" customWidth="1"/>
    <col min="15368" max="15368" width="6.33203125" style="268" customWidth="1"/>
    <col min="15369" max="15369" width="6.5546875" style="268" customWidth="1"/>
    <col min="15370" max="15616" width="8.77734375" style="268"/>
    <col min="15617" max="15617" width="5.109375" style="268" customWidth="1"/>
    <col min="15618" max="15618" width="31.6640625" style="268" customWidth="1"/>
    <col min="15619" max="15619" width="5" style="268" customWidth="1"/>
    <col min="15620" max="15620" width="4.77734375" style="268" customWidth="1"/>
    <col min="15621" max="15622" width="7.109375" style="268" customWidth="1"/>
    <col min="15623" max="15623" width="6.21875" style="268" customWidth="1"/>
    <col min="15624" max="15624" width="6.33203125" style="268" customWidth="1"/>
    <col min="15625" max="15625" width="6.5546875" style="268" customWidth="1"/>
    <col min="15626" max="15872" width="8.77734375" style="268"/>
    <col min="15873" max="15873" width="5.109375" style="268" customWidth="1"/>
    <col min="15874" max="15874" width="31.6640625" style="268" customWidth="1"/>
    <col min="15875" max="15875" width="5" style="268" customWidth="1"/>
    <col min="15876" max="15876" width="4.77734375" style="268" customWidth="1"/>
    <col min="15877" max="15878" width="7.109375" style="268" customWidth="1"/>
    <col min="15879" max="15879" width="6.21875" style="268" customWidth="1"/>
    <col min="15880" max="15880" width="6.33203125" style="268" customWidth="1"/>
    <col min="15881" max="15881" width="6.5546875" style="268" customWidth="1"/>
    <col min="15882" max="16128" width="8.77734375" style="268"/>
    <col min="16129" max="16129" width="5.109375" style="268" customWidth="1"/>
    <col min="16130" max="16130" width="31.6640625" style="268" customWidth="1"/>
    <col min="16131" max="16131" width="5" style="268" customWidth="1"/>
    <col min="16132" max="16132" width="4.77734375" style="268" customWidth="1"/>
    <col min="16133" max="16134" width="7.109375" style="268" customWidth="1"/>
    <col min="16135" max="16135" width="6.21875" style="268" customWidth="1"/>
    <col min="16136" max="16136" width="6.33203125" style="268" customWidth="1"/>
    <col min="16137" max="16137" width="6.5546875" style="268" customWidth="1"/>
    <col min="16138" max="16384" width="8.77734375" style="268"/>
  </cols>
  <sheetData>
    <row r="1" spans="1:19" ht="18.75">
      <c r="A1" s="1681" t="s">
        <v>0</v>
      </c>
      <c r="B1" s="1681"/>
      <c r="C1" s="1681"/>
      <c r="D1" s="1681"/>
      <c r="E1" s="1681"/>
      <c r="F1" s="1681"/>
      <c r="G1" s="1681"/>
      <c r="H1" s="1681"/>
      <c r="I1" s="1682"/>
      <c r="J1" s="1682"/>
    </row>
    <row r="2" spans="1:19" ht="18.75">
      <c r="A2" s="1681" t="s">
        <v>543</v>
      </c>
      <c r="B2" s="1681"/>
      <c r="C2" s="1681"/>
      <c r="D2" s="1681"/>
      <c r="E2" s="1681"/>
      <c r="F2" s="1681"/>
      <c r="G2" s="1681"/>
      <c r="H2" s="1681"/>
      <c r="I2" s="1682"/>
      <c r="J2" s="1682"/>
    </row>
    <row r="3" spans="1:19" ht="45" customHeight="1">
      <c r="A3" s="1681" t="str">
        <f>'Septic Tank'!A5:H5</f>
        <v>CONSTRUCTION OF NEW POLICE STATION BUILDING WITH DEVELOPMENT WORK IN  REGUNATHAPURAM IN PUDUKKOTTAI DISRICT.</v>
      </c>
      <c r="B3" s="1681"/>
      <c r="C3" s="1681"/>
      <c r="D3" s="1681"/>
      <c r="E3" s="1681"/>
      <c r="F3" s="1681"/>
      <c r="G3" s="1681"/>
      <c r="H3" s="1681"/>
      <c r="I3" s="1682"/>
      <c r="J3" s="1682"/>
    </row>
    <row r="4" spans="1:19" ht="18.75">
      <c r="A4" s="1683" t="s">
        <v>1204</v>
      </c>
      <c r="B4" s="1683"/>
      <c r="C4" s="1683"/>
      <c r="D4" s="1683"/>
      <c r="E4" s="1683"/>
      <c r="F4" s="1683"/>
      <c r="G4" s="1683"/>
      <c r="H4" s="1683"/>
      <c r="I4" s="1684"/>
      <c r="J4" s="1684"/>
    </row>
    <row r="5" spans="1:19" ht="16.899999999999999" customHeight="1">
      <c r="A5" s="1685" t="s">
        <v>544</v>
      </c>
      <c r="B5" s="1676" t="s">
        <v>212</v>
      </c>
      <c r="C5" s="1670" t="s">
        <v>213</v>
      </c>
      <c r="D5" s="1671"/>
      <c r="E5" s="1672"/>
      <c r="F5" s="1676" t="s">
        <v>74</v>
      </c>
      <c r="G5" s="1678" t="s">
        <v>75</v>
      </c>
      <c r="H5" s="1678" t="s">
        <v>76</v>
      </c>
      <c r="I5" s="1687" t="s">
        <v>214</v>
      </c>
      <c r="J5" s="1689"/>
    </row>
    <row r="6" spans="1:19" ht="16.899999999999999" customHeight="1">
      <c r="A6" s="1686"/>
      <c r="B6" s="1677"/>
      <c r="C6" s="1673"/>
      <c r="D6" s="1674"/>
      <c r="E6" s="1675"/>
      <c r="F6" s="1677"/>
      <c r="G6" s="1679"/>
      <c r="H6" s="1679"/>
      <c r="I6" s="1688"/>
      <c r="J6" s="1689"/>
    </row>
    <row r="7" spans="1:19" ht="34.9" customHeight="1">
      <c r="A7" s="179">
        <v>1</v>
      </c>
      <c r="B7" s="1680" t="s">
        <v>619</v>
      </c>
      <c r="C7" s="1680"/>
      <c r="D7" s="1680"/>
      <c r="E7" s="1680"/>
      <c r="F7" s="1680"/>
      <c r="G7" s="1680"/>
      <c r="H7" s="180"/>
      <c r="I7" s="181"/>
      <c r="J7" s="191"/>
      <c r="L7" s="1682"/>
      <c r="M7" s="1682"/>
      <c r="N7" s="1682"/>
      <c r="O7" s="1682"/>
      <c r="P7" s="1682"/>
      <c r="Q7" s="1682"/>
      <c r="R7" s="1682"/>
      <c r="S7" s="1682"/>
    </row>
    <row r="8" spans="1:19" ht="19.899999999999999" customHeight="1">
      <c r="A8" s="179"/>
      <c r="B8" s="182" t="s">
        <v>209</v>
      </c>
      <c r="C8" s="208"/>
      <c r="D8" s="208"/>
      <c r="E8" s="208"/>
      <c r="F8" s="183"/>
      <c r="G8" s="183"/>
      <c r="H8" s="180"/>
      <c r="I8" s="181"/>
      <c r="J8" s="191"/>
      <c r="L8" s="1682"/>
      <c r="M8" s="1682"/>
      <c r="N8" s="1682"/>
      <c r="O8" s="1682"/>
      <c r="P8" s="1682"/>
      <c r="Q8" s="1682"/>
      <c r="R8" s="1682"/>
      <c r="S8" s="1682"/>
    </row>
    <row r="9" spans="1:19" ht="19.899999999999999" customHeight="1">
      <c r="A9" s="179"/>
      <c r="B9" s="184" t="s">
        <v>523</v>
      </c>
      <c r="C9" s="185">
        <v>1</v>
      </c>
      <c r="D9" s="185" t="s">
        <v>56</v>
      </c>
      <c r="E9" s="186">
        <v>2</v>
      </c>
      <c r="F9" s="180">
        <v>16</v>
      </c>
      <c r="G9" s="180">
        <v>1.05</v>
      </c>
      <c r="H9" s="180">
        <v>1</v>
      </c>
      <c r="I9" s="181">
        <f>ROUND(PRODUCT(C9:H9),2)</f>
        <v>33.6</v>
      </c>
      <c r="J9" s="187"/>
      <c r="L9" s="1682"/>
      <c r="M9" s="1682"/>
      <c r="N9" s="1682"/>
      <c r="O9" s="1682"/>
      <c r="P9" s="1682"/>
      <c r="Q9" s="1682"/>
      <c r="R9" s="1682"/>
      <c r="S9" s="1682"/>
    </row>
    <row r="10" spans="1:19" ht="19.899999999999999" customHeight="1">
      <c r="A10" s="179"/>
      <c r="B10" s="184" t="s">
        <v>613</v>
      </c>
      <c r="C10" s="185">
        <v>2</v>
      </c>
      <c r="D10" s="185" t="s">
        <v>56</v>
      </c>
      <c r="E10" s="186">
        <v>2</v>
      </c>
      <c r="F10" s="180">
        <v>2</v>
      </c>
      <c r="G10" s="180">
        <v>1.05</v>
      </c>
      <c r="H10" s="180">
        <v>1</v>
      </c>
      <c r="I10" s="181">
        <f>ROUND(PRODUCT(C10:H10),2)</f>
        <v>8.4</v>
      </c>
      <c r="J10" s="187"/>
      <c r="L10" s="215"/>
      <c r="M10" s="215"/>
      <c r="N10" s="215"/>
      <c r="O10" s="215"/>
      <c r="P10" s="215"/>
      <c r="Q10" s="215"/>
      <c r="R10" s="215"/>
      <c r="S10" s="215"/>
    </row>
    <row r="11" spans="1:19" ht="19.899999999999999" customHeight="1">
      <c r="A11" s="179"/>
      <c r="B11" s="184" t="s">
        <v>1327</v>
      </c>
      <c r="C11" s="185">
        <v>1</v>
      </c>
      <c r="D11" s="185" t="s">
        <v>56</v>
      </c>
      <c r="E11" s="186">
        <v>2</v>
      </c>
      <c r="F11" s="180">
        <v>21</v>
      </c>
      <c r="G11" s="180">
        <v>1.05</v>
      </c>
      <c r="H11" s="180">
        <v>1</v>
      </c>
      <c r="I11" s="181">
        <f>ROUND(PRODUCT(C11:H11),2)</f>
        <v>44.1</v>
      </c>
      <c r="J11" s="187"/>
      <c r="L11" s="562"/>
      <c r="M11" s="562"/>
      <c r="N11" s="562"/>
      <c r="O11" s="562"/>
      <c r="P11" s="562"/>
      <c r="Q11" s="562"/>
      <c r="R11" s="562"/>
      <c r="S11" s="562"/>
    </row>
    <row r="12" spans="1:19" ht="19.899999999999999" customHeight="1">
      <c r="A12" s="179"/>
      <c r="B12" s="184"/>
      <c r="C12" s="185"/>
      <c r="D12" s="185"/>
      <c r="E12" s="212"/>
      <c r="F12" s="180"/>
      <c r="G12" s="180"/>
      <c r="H12" s="180" t="s">
        <v>57</v>
      </c>
      <c r="I12" s="181">
        <f>SUM(I9:I11)</f>
        <v>86.1</v>
      </c>
      <c r="J12" s="187"/>
      <c r="L12" s="1693"/>
      <c r="M12" s="1694"/>
      <c r="N12" s="1695"/>
      <c r="O12" s="1695"/>
      <c r="P12" s="1694"/>
      <c r="Q12" s="1694"/>
      <c r="R12" s="1694"/>
      <c r="S12" s="1694"/>
    </row>
    <row r="13" spans="1:19" ht="19.899999999999999" customHeight="1">
      <c r="A13" s="179"/>
      <c r="B13" s="184"/>
      <c r="C13" s="185"/>
      <c r="D13" s="185"/>
      <c r="E13" s="212"/>
      <c r="F13" s="180"/>
      <c r="G13" s="188" t="s">
        <v>96</v>
      </c>
      <c r="H13" s="188">
        <f>+I12</f>
        <v>86.1</v>
      </c>
      <c r="I13" s="189" t="s">
        <v>16</v>
      </c>
      <c r="J13" s="187"/>
      <c r="L13" s="1693"/>
      <c r="M13" s="1694"/>
      <c r="N13" s="1695"/>
      <c r="O13" s="1695"/>
      <c r="P13" s="216"/>
      <c r="Q13" s="216"/>
      <c r="R13" s="216"/>
      <c r="S13" s="1694"/>
    </row>
    <row r="14" spans="1:19" ht="25.15" customHeight="1">
      <c r="A14" s="179">
        <f>+A7+1</f>
        <v>2</v>
      </c>
      <c r="B14" s="1669" t="s">
        <v>524</v>
      </c>
      <c r="C14" s="1669"/>
      <c r="D14" s="1669"/>
      <c r="E14" s="1669"/>
      <c r="F14" s="1669"/>
      <c r="G14" s="1669"/>
      <c r="H14" s="1669"/>
      <c r="I14" s="181"/>
      <c r="J14" s="187"/>
      <c r="L14" s="190"/>
      <c r="M14" s="1692"/>
      <c r="N14" s="1692"/>
      <c r="O14" s="1692"/>
      <c r="P14" s="1692"/>
      <c r="Q14" s="1692"/>
      <c r="R14" s="1692"/>
      <c r="S14" s="192"/>
    </row>
    <row r="15" spans="1:19" ht="19.899999999999999" customHeight="1">
      <c r="A15" s="179"/>
      <c r="B15" s="193" t="s">
        <v>523</v>
      </c>
      <c r="C15" s="186">
        <v>1</v>
      </c>
      <c r="D15" s="212" t="s">
        <v>56</v>
      </c>
      <c r="E15" s="186">
        <v>2</v>
      </c>
      <c r="F15" s="180">
        <f>F9</f>
        <v>16</v>
      </c>
      <c r="G15" s="180">
        <f>G9</f>
        <v>1.05</v>
      </c>
      <c r="H15" s="180">
        <v>0.15</v>
      </c>
      <c r="I15" s="181">
        <f>ROUND(PRODUCT(C15:H15),2)</f>
        <v>5.04</v>
      </c>
      <c r="J15" s="194"/>
      <c r="L15" s="190"/>
      <c r="M15" s="191"/>
      <c r="N15" s="191"/>
      <c r="O15" s="191"/>
      <c r="P15" s="191"/>
      <c r="Q15" s="191"/>
      <c r="R15" s="191"/>
      <c r="S15" s="192"/>
    </row>
    <row r="16" spans="1:19" ht="19.899999999999999" customHeight="1">
      <c r="A16" s="179"/>
      <c r="B16" s="184" t="s">
        <v>525</v>
      </c>
      <c r="C16" s="195">
        <v>1</v>
      </c>
      <c r="D16" s="212" t="s">
        <v>56</v>
      </c>
      <c r="E16" s="186">
        <v>1</v>
      </c>
      <c r="F16" s="180">
        <f>F15</f>
        <v>16</v>
      </c>
      <c r="G16" s="180">
        <v>1.5</v>
      </c>
      <c r="H16" s="180">
        <v>0.1</v>
      </c>
      <c r="I16" s="181">
        <f>ROUND(PRODUCT(C16:H16),2)</f>
        <v>2.4</v>
      </c>
      <c r="J16" s="187"/>
      <c r="L16" s="190"/>
      <c r="M16" s="187"/>
      <c r="N16" s="196"/>
      <c r="O16" s="196"/>
      <c r="P16" s="192"/>
      <c r="Q16" s="192"/>
      <c r="R16" s="192"/>
      <c r="S16" s="192"/>
    </row>
    <row r="17" spans="1:19" ht="19.899999999999999" customHeight="1">
      <c r="A17" s="179"/>
      <c r="B17" s="184" t="s">
        <v>613</v>
      </c>
      <c r="C17" s="185">
        <v>2</v>
      </c>
      <c r="D17" s="185" t="s">
        <v>56</v>
      </c>
      <c r="E17" s="186">
        <v>2</v>
      </c>
      <c r="F17" s="180">
        <v>2</v>
      </c>
      <c r="G17" s="180">
        <v>1.05</v>
      </c>
      <c r="H17" s="180">
        <v>0.15</v>
      </c>
      <c r="I17" s="181">
        <f>ROUND(PRODUCT(C17:H17),2)</f>
        <v>1.26</v>
      </c>
      <c r="J17" s="187"/>
      <c r="L17" s="215"/>
      <c r="M17" s="215"/>
      <c r="N17" s="215"/>
      <c r="O17" s="215"/>
      <c r="P17" s="215"/>
      <c r="Q17" s="215"/>
      <c r="R17" s="215"/>
      <c r="S17" s="215"/>
    </row>
    <row r="18" spans="1:19" ht="19.899999999999999" customHeight="1">
      <c r="A18" s="179"/>
      <c r="B18" s="184" t="s">
        <v>1327</v>
      </c>
      <c r="C18" s="185">
        <v>1</v>
      </c>
      <c r="D18" s="185" t="s">
        <v>56</v>
      </c>
      <c r="E18" s="186">
        <v>2</v>
      </c>
      <c r="F18" s="180">
        <v>21</v>
      </c>
      <c r="G18" s="180">
        <v>1.05</v>
      </c>
      <c r="H18" s="180">
        <v>0.15</v>
      </c>
      <c r="I18" s="181">
        <f>ROUND(PRODUCT(C18:H18),2)</f>
        <v>6.62</v>
      </c>
      <c r="J18" s="187"/>
      <c r="L18" s="562"/>
      <c r="M18" s="562"/>
      <c r="N18" s="562"/>
      <c r="O18" s="562"/>
      <c r="P18" s="562"/>
      <c r="Q18" s="562"/>
      <c r="R18" s="562"/>
      <c r="S18" s="562"/>
    </row>
    <row r="19" spans="1:19" ht="19.899999999999999" customHeight="1">
      <c r="A19" s="179"/>
      <c r="B19" s="184"/>
      <c r="C19" s="185"/>
      <c r="D19" s="185"/>
      <c r="E19" s="186"/>
      <c r="F19" s="180"/>
      <c r="G19" s="180"/>
      <c r="H19" s="180"/>
      <c r="I19" s="181">
        <v>0.08</v>
      </c>
      <c r="J19" s="187"/>
      <c r="L19" s="562"/>
      <c r="M19" s="562"/>
      <c r="N19" s="562"/>
      <c r="O19" s="562"/>
      <c r="P19" s="562"/>
      <c r="Q19" s="562"/>
      <c r="R19" s="562"/>
      <c r="S19" s="562"/>
    </row>
    <row r="20" spans="1:19" ht="19.899999999999999" customHeight="1">
      <c r="A20" s="179"/>
      <c r="B20" s="184"/>
      <c r="C20" s="185"/>
      <c r="D20" s="185"/>
      <c r="E20" s="212"/>
      <c r="F20" s="180"/>
      <c r="G20" s="180"/>
      <c r="H20" s="180" t="s">
        <v>57</v>
      </c>
      <c r="I20" s="181">
        <f>SUM(I15:I19)</f>
        <v>15.4</v>
      </c>
      <c r="J20" s="187"/>
      <c r="L20" s="190"/>
      <c r="M20" s="187"/>
      <c r="N20" s="196"/>
      <c r="O20" s="196"/>
      <c r="P20" s="192"/>
      <c r="Q20" s="192"/>
      <c r="R20" s="192"/>
      <c r="S20" s="192"/>
    </row>
    <row r="21" spans="1:19" ht="19.899999999999999" customHeight="1">
      <c r="A21" s="179"/>
      <c r="B21" s="184"/>
      <c r="C21" s="185"/>
      <c r="D21" s="185"/>
      <c r="E21" s="212"/>
      <c r="F21" s="180"/>
      <c r="G21" s="188" t="s">
        <v>96</v>
      </c>
      <c r="H21" s="188">
        <f>+I20</f>
        <v>15.4</v>
      </c>
      <c r="I21" s="189" t="s">
        <v>16</v>
      </c>
      <c r="J21" s="187"/>
      <c r="L21" s="190"/>
      <c r="M21" s="187"/>
      <c r="N21" s="196"/>
      <c r="O21" s="196"/>
      <c r="P21" s="192"/>
      <c r="Q21" s="192"/>
      <c r="R21" s="197"/>
      <c r="S21" s="197"/>
    </row>
    <row r="22" spans="1:19" ht="24.6" customHeight="1">
      <c r="A22" s="179">
        <v>3</v>
      </c>
      <c r="B22" s="1530" t="s">
        <v>526</v>
      </c>
      <c r="C22" s="1530"/>
      <c r="D22" s="1530"/>
      <c r="E22" s="1530"/>
      <c r="F22" s="1530"/>
      <c r="G22" s="1530"/>
      <c r="H22" s="1530"/>
      <c r="I22" s="181"/>
      <c r="J22" s="199"/>
      <c r="L22" s="190"/>
      <c r="M22" s="187"/>
      <c r="N22" s="196"/>
      <c r="O22" s="196"/>
      <c r="P22" s="192"/>
      <c r="Q22" s="197"/>
      <c r="R22" s="197"/>
      <c r="S22" s="200"/>
    </row>
    <row r="23" spans="1:19" ht="19.899999999999999" customHeight="1">
      <c r="A23" s="179"/>
      <c r="B23" s="184" t="s">
        <v>1329</v>
      </c>
      <c r="C23" s="185">
        <v>1</v>
      </c>
      <c r="D23" s="185" t="s">
        <v>56</v>
      </c>
      <c r="E23" s="186">
        <v>2</v>
      </c>
      <c r="F23" s="180">
        <v>16</v>
      </c>
      <c r="G23" s="180">
        <v>1.5</v>
      </c>
      <c r="H23" s="180">
        <v>0.1</v>
      </c>
      <c r="I23" s="181">
        <f>ROUND(PRODUCT(C23:H23),2)</f>
        <v>4.8</v>
      </c>
      <c r="J23" s="187"/>
      <c r="L23" s="190"/>
      <c r="M23" s="187"/>
      <c r="N23" s="196"/>
      <c r="O23" s="196"/>
      <c r="P23" s="192"/>
      <c r="Q23" s="192"/>
      <c r="R23" s="192"/>
      <c r="S23" s="192"/>
    </row>
    <row r="24" spans="1:19" ht="19.899999999999999" customHeight="1">
      <c r="A24" s="179"/>
      <c r="B24" s="184" t="s">
        <v>1328</v>
      </c>
      <c r="C24" s="185">
        <v>1</v>
      </c>
      <c r="D24" s="185" t="s">
        <v>56</v>
      </c>
      <c r="E24" s="186">
        <v>2</v>
      </c>
      <c r="F24" s="180">
        <v>21</v>
      </c>
      <c r="G24" s="180">
        <v>1.5</v>
      </c>
      <c r="H24" s="180">
        <v>0.1</v>
      </c>
      <c r="I24" s="181">
        <f>ROUND(PRODUCT(C24:H24),2)</f>
        <v>6.3</v>
      </c>
      <c r="J24" s="187"/>
      <c r="L24" s="190"/>
      <c r="M24" s="187"/>
      <c r="N24" s="196"/>
      <c r="O24" s="196"/>
      <c r="P24" s="192"/>
      <c r="Q24" s="192"/>
      <c r="R24" s="192"/>
      <c r="S24" s="192"/>
    </row>
    <row r="25" spans="1:19" ht="19.899999999999999" customHeight="1">
      <c r="A25" s="179"/>
      <c r="B25" s="184"/>
      <c r="C25" s="185"/>
      <c r="D25" s="185"/>
      <c r="E25" s="186"/>
      <c r="F25" s="180"/>
      <c r="G25" s="180"/>
      <c r="H25" s="180"/>
      <c r="I25" s="181"/>
      <c r="J25" s="187"/>
      <c r="L25" s="190"/>
      <c r="M25" s="187"/>
      <c r="N25" s="196"/>
      <c r="O25" s="196"/>
      <c r="P25" s="192"/>
      <c r="Q25" s="192"/>
      <c r="R25" s="192"/>
      <c r="S25" s="192"/>
    </row>
    <row r="26" spans="1:19" ht="19.899999999999999" customHeight="1">
      <c r="A26" s="179"/>
      <c r="B26" s="184"/>
      <c r="C26" s="185"/>
      <c r="D26" s="185"/>
      <c r="E26" s="212"/>
      <c r="F26" s="180"/>
      <c r="G26" s="180"/>
      <c r="H26" s="180" t="s">
        <v>57</v>
      </c>
      <c r="I26" s="181">
        <f>SUM(I23:I25)</f>
        <v>11.1</v>
      </c>
      <c r="J26" s="187"/>
      <c r="L26" s="190"/>
      <c r="M26" s="187"/>
      <c r="N26" s="196"/>
      <c r="O26" s="196"/>
      <c r="P26" s="192"/>
      <c r="Q26" s="192"/>
      <c r="R26" s="192"/>
      <c r="S26" s="192"/>
    </row>
    <row r="27" spans="1:19" ht="19.899999999999999" customHeight="1">
      <c r="A27" s="179"/>
      <c r="B27" s="184"/>
      <c r="C27" s="185"/>
      <c r="D27" s="185"/>
      <c r="E27" s="212"/>
      <c r="F27" s="180"/>
      <c r="G27" s="188" t="s">
        <v>96</v>
      </c>
      <c r="H27" s="188">
        <f>+I26</f>
        <v>11.1</v>
      </c>
      <c r="I27" s="189" t="s">
        <v>16</v>
      </c>
      <c r="J27" s="187"/>
      <c r="L27" s="190"/>
      <c r="M27" s="199"/>
      <c r="N27" s="196"/>
      <c r="O27" s="196"/>
      <c r="P27" s="192"/>
      <c r="Q27" s="192"/>
      <c r="R27" s="197"/>
      <c r="S27" s="197"/>
    </row>
    <row r="28" spans="1:19" ht="25.15" customHeight="1">
      <c r="A28" s="179">
        <v>4</v>
      </c>
      <c r="B28" s="1691" t="s">
        <v>527</v>
      </c>
      <c r="C28" s="1691"/>
      <c r="D28" s="1691"/>
      <c r="E28" s="1691"/>
      <c r="F28" s="1691"/>
      <c r="G28" s="1691"/>
      <c r="H28" s="1691"/>
      <c r="I28" s="181"/>
      <c r="J28" s="187"/>
      <c r="L28" s="190"/>
      <c r="M28" s="199"/>
      <c r="N28" s="196"/>
      <c r="O28" s="196"/>
      <c r="P28" s="192"/>
      <c r="Q28" s="197"/>
      <c r="R28" s="197"/>
      <c r="S28" s="200"/>
    </row>
    <row r="29" spans="1:19" ht="19.899999999999999" customHeight="1">
      <c r="A29" s="179"/>
      <c r="B29" s="184" t="s">
        <v>528</v>
      </c>
      <c r="C29" s="185">
        <v>1</v>
      </c>
      <c r="D29" s="185" t="s">
        <v>56</v>
      </c>
      <c r="E29" s="186">
        <v>2</v>
      </c>
      <c r="F29" s="180">
        <f>F16</f>
        <v>16</v>
      </c>
      <c r="G29" s="180">
        <v>0.9</v>
      </c>
      <c r="H29" s="180">
        <v>0.55000000000000004</v>
      </c>
      <c r="I29" s="181">
        <f>ROUND(PRODUCT(C29:H29),2)</f>
        <v>15.84</v>
      </c>
      <c r="J29" s="187"/>
      <c r="L29" s="190"/>
      <c r="M29" s="199"/>
      <c r="N29" s="196"/>
      <c r="O29" s="196"/>
      <c r="P29" s="192"/>
      <c r="Q29" s="197"/>
      <c r="R29" s="197"/>
      <c r="S29" s="200"/>
    </row>
    <row r="30" spans="1:19" ht="19.899999999999999" customHeight="1">
      <c r="A30" s="179"/>
      <c r="B30" s="201" t="s">
        <v>529</v>
      </c>
      <c r="C30" s="185">
        <v>1</v>
      </c>
      <c r="D30" s="185" t="s">
        <v>56</v>
      </c>
      <c r="E30" s="186">
        <v>2</v>
      </c>
      <c r="F30" s="180">
        <f>F29</f>
        <v>16</v>
      </c>
      <c r="G30" s="180">
        <v>0.68</v>
      </c>
      <c r="H30" s="180">
        <v>1.65</v>
      </c>
      <c r="I30" s="181">
        <f>ROUND(PRODUCT(C30:H30),2)</f>
        <v>35.9</v>
      </c>
      <c r="J30" s="199"/>
      <c r="L30" s="190"/>
      <c r="M30" s="187"/>
      <c r="N30" s="196"/>
      <c r="O30" s="196"/>
      <c r="P30" s="192"/>
      <c r="Q30" s="192"/>
      <c r="R30" s="192"/>
      <c r="S30" s="192"/>
    </row>
    <row r="31" spans="1:19" ht="19.899999999999999" customHeight="1">
      <c r="A31" s="179"/>
      <c r="B31" s="184" t="s">
        <v>615</v>
      </c>
      <c r="C31" s="185">
        <v>2</v>
      </c>
      <c r="D31" s="185" t="s">
        <v>56</v>
      </c>
      <c r="E31" s="186">
        <v>2</v>
      </c>
      <c r="F31" s="180">
        <v>2</v>
      </c>
      <c r="G31" s="180">
        <v>0.9</v>
      </c>
      <c r="H31" s="180">
        <v>0.55000000000000004</v>
      </c>
      <c r="I31" s="181">
        <f t="shared" ref="I31:I32" si="0">ROUND(PRODUCT(C31:H31),2)</f>
        <v>3.96</v>
      </c>
      <c r="J31" s="199"/>
      <c r="L31" s="190"/>
      <c r="M31" s="187"/>
      <c r="N31" s="196"/>
      <c r="O31" s="196"/>
      <c r="P31" s="192"/>
      <c r="Q31" s="192"/>
      <c r="R31" s="192"/>
      <c r="S31" s="192"/>
    </row>
    <row r="32" spans="1:19" ht="19.899999999999999" customHeight="1">
      <c r="A32" s="179"/>
      <c r="B32" s="201" t="s">
        <v>616</v>
      </c>
      <c r="C32" s="185">
        <v>2</v>
      </c>
      <c r="D32" s="185" t="s">
        <v>56</v>
      </c>
      <c r="E32" s="186">
        <v>2</v>
      </c>
      <c r="F32" s="180">
        <v>2</v>
      </c>
      <c r="G32" s="180">
        <v>0.68</v>
      </c>
      <c r="H32" s="180">
        <v>1.65</v>
      </c>
      <c r="I32" s="181">
        <f t="shared" si="0"/>
        <v>8.98</v>
      </c>
      <c r="J32" s="199"/>
      <c r="L32" s="190"/>
      <c r="M32" s="187"/>
      <c r="N32" s="196"/>
      <c r="O32" s="196"/>
      <c r="P32" s="192"/>
      <c r="Q32" s="192"/>
      <c r="R32" s="192"/>
      <c r="S32" s="192"/>
    </row>
    <row r="33" spans="1:19" ht="33" customHeight="1">
      <c r="A33" s="179"/>
      <c r="B33" s="184" t="s">
        <v>1327</v>
      </c>
      <c r="C33" s="185">
        <v>1</v>
      </c>
      <c r="D33" s="185" t="s">
        <v>56</v>
      </c>
      <c r="E33" s="186">
        <v>2</v>
      </c>
      <c r="F33" s="180">
        <v>21</v>
      </c>
      <c r="G33" s="586" t="s">
        <v>1336</v>
      </c>
      <c r="H33" s="180">
        <v>2.35</v>
      </c>
      <c r="I33" s="343">
        <f>C33*E33*F33*H33*J33</f>
        <v>55.76550000000001</v>
      </c>
      <c r="J33" s="199">
        <f>(0.9+0.23)/2</f>
        <v>0.56500000000000006</v>
      </c>
      <c r="L33" s="190"/>
      <c r="M33" s="187"/>
      <c r="N33" s="196"/>
      <c r="O33" s="196"/>
      <c r="P33" s="192"/>
      <c r="Q33" s="192"/>
      <c r="R33" s="192"/>
      <c r="S33" s="192"/>
    </row>
    <row r="34" spans="1:19" ht="19.899999999999999" customHeight="1">
      <c r="A34" s="179"/>
      <c r="B34" s="184"/>
      <c r="C34" s="185"/>
      <c r="D34" s="185"/>
      <c r="E34" s="212"/>
      <c r="F34" s="180"/>
      <c r="G34" s="180"/>
      <c r="H34" s="180"/>
      <c r="I34" s="181">
        <v>0.05</v>
      </c>
      <c r="J34" s="187"/>
      <c r="L34" s="190"/>
      <c r="M34" s="187"/>
      <c r="N34" s="196"/>
      <c r="O34" s="196"/>
      <c r="P34" s="192"/>
      <c r="Q34" s="192"/>
      <c r="R34" s="192"/>
      <c r="S34" s="192"/>
    </row>
    <row r="35" spans="1:19" ht="19.899999999999999" customHeight="1">
      <c r="A35" s="179"/>
      <c r="B35" s="184"/>
      <c r="C35" s="185"/>
      <c r="D35" s="185"/>
      <c r="E35" s="212"/>
      <c r="F35" s="180"/>
      <c r="G35" s="180"/>
      <c r="H35" s="180" t="s">
        <v>57</v>
      </c>
      <c r="I35" s="181">
        <f>SUM(I29:I34)</f>
        <v>120.49550000000001</v>
      </c>
      <c r="J35" s="187"/>
      <c r="L35" s="190"/>
      <c r="M35" s="187"/>
      <c r="N35" s="196"/>
      <c r="O35" s="196"/>
      <c r="P35" s="192"/>
      <c r="Q35" s="192"/>
      <c r="R35" s="192"/>
      <c r="S35" s="192"/>
    </row>
    <row r="36" spans="1:19" ht="19.899999999999999" customHeight="1">
      <c r="A36" s="179"/>
      <c r="B36" s="184"/>
      <c r="C36" s="185"/>
      <c r="D36" s="185"/>
      <c r="E36" s="212"/>
      <c r="F36" s="203"/>
      <c r="G36" s="188" t="s">
        <v>96</v>
      </c>
      <c r="H36" s="188">
        <f>+I35</f>
        <v>120.49550000000001</v>
      </c>
      <c r="I36" s="189" t="s">
        <v>16</v>
      </c>
      <c r="J36" s="187"/>
      <c r="L36" s="190"/>
      <c r="M36" s="187"/>
      <c r="N36" s="196"/>
      <c r="O36" s="196"/>
      <c r="P36" s="192"/>
      <c r="Q36" s="192"/>
      <c r="R36" s="192"/>
      <c r="S36" s="192"/>
    </row>
    <row r="37" spans="1:19" ht="34.9" customHeight="1">
      <c r="A37" s="179">
        <v>5</v>
      </c>
      <c r="B37" s="1691" t="s">
        <v>621</v>
      </c>
      <c r="C37" s="1691"/>
      <c r="D37" s="1691"/>
      <c r="E37" s="1691"/>
      <c r="F37" s="1691"/>
      <c r="G37" s="1691"/>
      <c r="H37" s="1691"/>
      <c r="I37" s="181"/>
      <c r="J37" s="187"/>
      <c r="L37" s="190"/>
      <c r="M37" s="187"/>
      <c r="N37" s="196"/>
      <c r="O37" s="196"/>
      <c r="P37" s="192"/>
      <c r="Q37" s="192"/>
      <c r="R37" s="197"/>
      <c r="S37" s="197"/>
    </row>
    <row r="38" spans="1:19" ht="19.899999999999999" customHeight="1">
      <c r="A38" s="179"/>
      <c r="B38" s="202" t="s">
        <v>598</v>
      </c>
      <c r="C38" s="202"/>
      <c r="D38" s="202"/>
      <c r="E38" s="202"/>
      <c r="F38" s="202"/>
      <c r="G38" s="202"/>
      <c r="H38" s="202"/>
      <c r="I38" s="181"/>
      <c r="J38" s="187"/>
      <c r="L38" s="190"/>
      <c r="M38" s="187"/>
      <c r="N38" s="196"/>
      <c r="O38" s="196"/>
      <c r="P38" s="192"/>
      <c r="Q38" s="192"/>
      <c r="R38" s="197"/>
      <c r="S38" s="197"/>
    </row>
    <row r="39" spans="1:19" ht="19.899999999999999" customHeight="1">
      <c r="A39" s="179"/>
      <c r="B39" s="184" t="s">
        <v>530</v>
      </c>
      <c r="C39" s="185">
        <v>1</v>
      </c>
      <c r="D39" s="185" t="s">
        <v>56</v>
      </c>
      <c r="E39" s="186">
        <v>2</v>
      </c>
      <c r="F39" s="180">
        <f>F16</f>
        <v>16</v>
      </c>
      <c r="G39" s="180">
        <v>1.05</v>
      </c>
      <c r="H39" s="180">
        <v>0.3</v>
      </c>
      <c r="I39" s="181">
        <f t="shared" ref="I39:I44" si="1">ROUND(PRODUCT(C39:H39),2)</f>
        <v>10.08</v>
      </c>
      <c r="J39" s="187"/>
      <c r="L39" s="190"/>
      <c r="M39" s="187"/>
      <c r="N39" s="196"/>
      <c r="O39" s="196"/>
      <c r="P39" s="192"/>
      <c r="Q39" s="197"/>
      <c r="R39" s="197"/>
      <c r="S39" s="200"/>
    </row>
    <row r="40" spans="1:19" ht="19.899999999999999" customHeight="1">
      <c r="A40" s="179"/>
      <c r="B40" s="184" t="s">
        <v>531</v>
      </c>
      <c r="C40" s="185">
        <v>1</v>
      </c>
      <c r="D40" s="185" t="s">
        <v>56</v>
      </c>
      <c r="E40" s="186">
        <v>2</v>
      </c>
      <c r="F40" s="180">
        <v>16</v>
      </c>
      <c r="G40" s="180">
        <v>0.45</v>
      </c>
      <c r="H40" s="180">
        <v>0.3</v>
      </c>
      <c r="I40" s="181">
        <f t="shared" si="1"/>
        <v>4.32</v>
      </c>
      <c r="J40" s="187"/>
      <c r="L40" s="190"/>
      <c r="M40" s="187"/>
      <c r="N40" s="196"/>
      <c r="O40" s="196"/>
      <c r="P40" s="192"/>
      <c r="Q40" s="192"/>
      <c r="R40" s="192"/>
      <c r="S40" s="192"/>
    </row>
    <row r="41" spans="1:19" ht="19.899999999999999" customHeight="1">
      <c r="A41" s="179"/>
      <c r="B41" s="206" t="s">
        <v>532</v>
      </c>
      <c r="C41" s="207">
        <v>1</v>
      </c>
      <c r="D41" s="208" t="s">
        <v>56</v>
      </c>
      <c r="E41" s="207">
        <v>1</v>
      </c>
      <c r="F41" s="206">
        <f>F40</f>
        <v>16</v>
      </c>
      <c r="G41" s="206">
        <v>2.4</v>
      </c>
      <c r="H41" s="180">
        <v>0.35</v>
      </c>
      <c r="I41" s="181">
        <f t="shared" si="1"/>
        <v>13.44</v>
      </c>
      <c r="J41" s="191"/>
      <c r="L41" s="190"/>
      <c r="M41" s="187"/>
      <c r="N41" s="196"/>
      <c r="O41" s="196"/>
      <c r="P41" s="192"/>
      <c r="Q41" s="192"/>
      <c r="R41" s="192"/>
      <c r="S41" s="192"/>
    </row>
    <row r="42" spans="1:19" ht="19.899999999999999" customHeight="1">
      <c r="A42" s="179"/>
      <c r="B42" s="184" t="s">
        <v>119</v>
      </c>
      <c r="C42" s="185">
        <v>1</v>
      </c>
      <c r="D42" s="185" t="s">
        <v>56</v>
      </c>
      <c r="E42" s="186">
        <v>2</v>
      </c>
      <c r="F42" s="180">
        <v>2.4</v>
      </c>
      <c r="G42" s="180">
        <v>0.23</v>
      </c>
      <c r="H42" s="180">
        <v>0.75</v>
      </c>
      <c r="I42" s="181">
        <f t="shared" si="1"/>
        <v>0.83</v>
      </c>
      <c r="J42" s="187"/>
      <c r="L42" s="190"/>
      <c r="M42" s="187"/>
      <c r="N42" s="196"/>
      <c r="O42" s="196"/>
      <c r="P42" s="192"/>
      <c r="Q42" s="204"/>
      <c r="R42" s="192"/>
      <c r="S42" s="192"/>
    </row>
    <row r="43" spans="1:19" ht="19.899999999999999" customHeight="1">
      <c r="A43" s="179"/>
      <c r="B43" s="184" t="s">
        <v>614</v>
      </c>
      <c r="C43" s="185">
        <v>2</v>
      </c>
      <c r="D43" s="185" t="s">
        <v>56</v>
      </c>
      <c r="E43" s="186">
        <v>2</v>
      </c>
      <c r="F43" s="180">
        <v>2</v>
      </c>
      <c r="G43" s="180">
        <v>1.05</v>
      </c>
      <c r="H43" s="180">
        <v>0.3</v>
      </c>
      <c r="I43" s="181">
        <f t="shared" si="1"/>
        <v>2.52</v>
      </c>
      <c r="J43" s="187"/>
      <c r="L43" s="215"/>
      <c r="M43" s="215"/>
      <c r="N43" s="215"/>
      <c r="O43" s="215"/>
      <c r="P43" s="215"/>
      <c r="Q43" s="215"/>
      <c r="R43" s="215"/>
      <c r="S43" s="215"/>
    </row>
    <row r="44" spans="1:19" ht="19.899999999999999" customHeight="1">
      <c r="A44" s="179"/>
      <c r="B44" s="184" t="s">
        <v>1327</v>
      </c>
      <c r="C44" s="185">
        <v>1</v>
      </c>
      <c r="D44" s="185" t="s">
        <v>56</v>
      </c>
      <c r="E44" s="186">
        <v>2</v>
      </c>
      <c r="F44" s="180">
        <v>21</v>
      </c>
      <c r="G44" s="180">
        <v>1.05</v>
      </c>
      <c r="H44" s="180">
        <v>0.3</v>
      </c>
      <c r="I44" s="181">
        <f t="shared" si="1"/>
        <v>13.23</v>
      </c>
      <c r="J44" s="187"/>
      <c r="L44" s="562"/>
      <c r="M44" s="562"/>
      <c r="N44" s="562"/>
      <c r="O44" s="562"/>
      <c r="P44" s="562"/>
      <c r="Q44" s="562"/>
      <c r="R44" s="562"/>
      <c r="S44" s="562"/>
    </row>
    <row r="45" spans="1:19" ht="19.899999999999999" customHeight="1">
      <c r="A45" s="179"/>
      <c r="B45" s="184"/>
      <c r="C45" s="185"/>
      <c r="D45" s="185"/>
      <c r="E45" s="212"/>
      <c r="F45" s="180"/>
      <c r="G45" s="180"/>
      <c r="H45" s="180"/>
      <c r="I45" s="181">
        <v>0.08</v>
      </c>
      <c r="J45" s="187"/>
      <c r="L45" s="190"/>
      <c r="M45" s="187"/>
      <c r="N45" s="196"/>
      <c r="O45" s="196"/>
      <c r="P45" s="192"/>
      <c r="Q45" s="192"/>
      <c r="R45" s="192"/>
      <c r="S45" s="192"/>
    </row>
    <row r="46" spans="1:19" ht="19.899999999999999" customHeight="1">
      <c r="A46" s="179"/>
      <c r="B46" s="184"/>
      <c r="C46" s="185"/>
      <c r="D46" s="185"/>
      <c r="E46" s="205"/>
      <c r="F46" s="180"/>
      <c r="G46" s="180"/>
      <c r="H46" s="180" t="s">
        <v>57</v>
      </c>
      <c r="I46" s="181">
        <f>SUM(I39:I45)</f>
        <v>44.5</v>
      </c>
      <c r="J46" s="187"/>
      <c r="L46" s="190"/>
      <c r="M46" s="187"/>
      <c r="N46" s="196"/>
      <c r="O46" s="196"/>
      <c r="P46" s="192"/>
      <c r="Q46" s="192"/>
      <c r="R46" s="192"/>
      <c r="S46" s="192"/>
    </row>
    <row r="47" spans="1:19" ht="19.899999999999999" customHeight="1">
      <c r="A47" s="179"/>
      <c r="B47" s="184"/>
      <c r="C47" s="185"/>
      <c r="D47" s="185"/>
      <c r="E47" s="212"/>
      <c r="F47" s="203"/>
      <c r="G47" s="188" t="s">
        <v>96</v>
      </c>
      <c r="H47" s="188">
        <f>+I46</f>
        <v>44.5</v>
      </c>
      <c r="I47" s="189" t="s">
        <v>16</v>
      </c>
      <c r="J47" s="187"/>
      <c r="L47" s="190"/>
      <c r="M47" s="187"/>
      <c r="N47" s="196"/>
      <c r="O47" s="196"/>
      <c r="P47" s="192"/>
      <c r="Q47" s="197"/>
      <c r="R47" s="197"/>
      <c r="S47" s="197"/>
    </row>
    <row r="48" spans="1:19" ht="34.9" customHeight="1">
      <c r="A48" s="179">
        <f>+A37+1</f>
        <v>6</v>
      </c>
      <c r="B48" s="1691" t="s">
        <v>623</v>
      </c>
      <c r="C48" s="1691"/>
      <c r="D48" s="1691"/>
      <c r="E48" s="1691"/>
      <c r="F48" s="1691"/>
      <c r="G48" s="1691"/>
      <c r="H48" s="1691"/>
      <c r="I48" s="181"/>
      <c r="J48" s="187"/>
      <c r="L48" s="190"/>
      <c r="M48" s="187"/>
      <c r="N48" s="196"/>
      <c r="O48" s="196"/>
      <c r="P48" s="192"/>
      <c r="Q48" s="197"/>
      <c r="R48" s="197"/>
      <c r="S48" s="200"/>
    </row>
    <row r="49" spans="1:19" ht="25.15" customHeight="1">
      <c r="A49" s="179"/>
      <c r="B49" s="1669" t="s">
        <v>533</v>
      </c>
      <c r="C49" s="1669"/>
      <c r="D49" s="1669"/>
      <c r="E49" s="1669"/>
      <c r="F49" s="1669"/>
      <c r="G49" s="1669"/>
      <c r="H49" s="1669"/>
      <c r="I49" s="181"/>
      <c r="J49" s="187"/>
      <c r="L49" s="190"/>
      <c r="M49" s="1692"/>
      <c r="N49" s="1692"/>
      <c r="O49" s="1692"/>
      <c r="P49" s="1692"/>
      <c r="Q49" s="1692"/>
      <c r="R49" s="1692"/>
      <c r="S49" s="192"/>
    </row>
    <row r="50" spans="1:19" ht="19.899999999999999" customHeight="1">
      <c r="A50" s="179"/>
      <c r="B50" s="184" t="s">
        <v>534</v>
      </c>
      <c r="C50" s="185">
        <v>1</v>
      </c>
      <c r="D50" s="185">
        <v>2</v>
      </c>
      <c r="E50" s="186">
        <v>2</v>
      </c>
      <c r="F50" s="180">
        <f>F41</f>
        <v>16</v>
      </c>
      <c r="G50" s="180"/>
      <c r="H50" s="180">
        <v>0.55000000000000004</v>
      </c>
      <c r="I50" s="181">
        <f>ROUND(PRODUCT(C50:H50),2)</f>
        <v>35.200000000000003</v>
      </c>
      <c r="J50" s="187"/>
      <c r="L50" s="190"/>
      <c r="M50" s="187"/>
      <c r="N50" s="196"/>
      <c r="O50" s="196"/>
      <c r="P50" s="192"/>
      <c r="Q50" s="192"/>
      <c r="R50" s="192"/>
      <c r="S50" s="192"/>
    </row>
    <row r="51" spans="1:19" ht="19.899999999999999" customHeight="1">
      <c r="A51" s="179"/>
      <c r="B51" s="184" t="s">
        <v>275</v>
      </c>
      <c r="C51" s="185">
        <v>1</v>
      </c>
      <c r="D51" s="185">
        <v>2</v>
      </c>
      <c r="E51" s="186">
        <v>2</v>
      </c>
      <c r="F51" s="180">
        <v>0.9</v>
      </c>
      <c r="G51" s="180"/>
      <c r="H51" s="180">
        <v>0.55000000000000004</v>
      </c>
      <c r="I51" s="181">
        <f>ROUND(PRODUCT(C51:H51),2)</f>
        <v>1.98</v>
      </c>
      <c r="J51" s="187"/>
      <c r="L51" s="190"/>
      <c r="M51" s="187"/>
      <c r="N51" s="196"/>
      <c r="O51" s="196"/>
      <c r="P51" s="192"/>
      <c r="Q51" s="192"/>
      <c r="R51" s="192"/>
      <c r="S51" s="192"/>
    </row>
    <row r="52" spans="1:19" ht="19.899999999999999" customHeight="1">
      <c r="A52" s="179"/>
      <c r="B52" s="206" t="s">
        <v>535</v>
      </c>
      <c r="C52" s="207">
        <v>1</v>
      </c>
      <c r="D52" s="207">
        <v>2</v>
      </c>
      <c r="E52" s="207">
        <v>2</v>
      </c>
      <c r="F52" s="206">
        <f>F50</f>
        <v>16</v>
      </c>
      <c r="G52" s="206"/>
      <c r="H52" s="180">
        <v>1.65</v>
      </c>
      <c r="I52" s="181">
        <f>ROUND(PRODUCT(C52:H52),2)</f>
        <v>105.6</v>
      </c>
      <c r="J52" s="191"/>
      <c r="L52" s="190"/>
      <c r="M52" s="187"/>
      <c r="N52" s="196"/>
      <c r="O52" s="196"/>
      <c r="P52" s="204"/>
      <c r="Q52" s="192"/>
      <c r="R52" s="192"/>
      <c r="S52" s="192"/>
    </row>
    <row r="53" spans="1:19" ht="19.899999999999999" customHeight="1">
      <c r="A53" s="179"/>
      <c r="B53" s="206" t="s">
        <v>275</v>
      </c>
      <c r="C53" s="207">
        <v>1</v>
      </c>
      <c r="D53" s="207">
        <v>2</v>
      </c>
      <c r="E53" s="207">
        <v>2</v>
      </c>
      <c r="F53" s="1690" t="s">
        <v>1331</v>
      </c>
      <c r="G53" s="1690"/>
      <c r="H53" s="180">
        <f>H52</f>
        <v>1.65</v>
      </c>
      <c r="I53" s="181">
        <f>C53*D53*E53*J53*H53</f>
        <v>4.4550000000000001</v>
      </c>
      <c r="J53" s="209">
        <f>(0.9+0.45)/2</f>
        <v>0.67500000000000004</v>
      </c>
      <c r="L53" s="190"/>
      <c r="M53" s="187"/>
      <c r="N53" s="196"/>
      <c r="O53" s="196"/>
      <c r="P53" s="192"/>
      <c r="Q53" s="204"/>
      <c r="R53" s="192"/>
      <c r="S53" s="192"/>
    </row>
    <row r="54" spans="1:19" ht="19.899999999999999" customHeight="1">
      <c r="A54" s="179"/>
      <c r="B54" s="184" t="s">
        <v>536</v>
      </c>
      <c r="C54" s="185">
        <v>1</v>
      </c>
      <c r="D54" s="185">
        <v>2</v>
      </c>
      <c r="E54" s="186">
        <v>2</v>
      </c>
      <c r="F54" s="180">
        <v>56.9</v>
      </c>
      <c r="G54" s="180"/>
      <c r="H54" s="180">
        <v>0.3</v>
      </c>
      <c r="I54" s="181">
        <f>ROUND(PRODUCT(C54:H54),2)</f>
        <v>68.28</v>
      </c>
      <c r="J54" s="187"/>
      <c r="L54" s="190"/>
      <c r="M54" s="187"/>
      <c r="N54" s="196"/>
      <c r="O54" s="196"/>
      <c r="P54" s="192"/>
      <c r="Q54" s="204"/>
      <c r="R54" s="192"/>
      <c r="S54" s="192"/>
    </row>
    <row r="55" spans="1:19" ht="19.899999999999999" customHeight="1">
      <c r="A55" s="179"/>
      <c r="B55" s="184" t="s">
        <v>537</v>
      </c>
      <c r="C55" s="185">
        <v>1</v>
      </c>
      <c r="D55" s="185" t="s">
        <v>56</v>
      </c>
      <c r="E55" s="186">
        <v>1</v>
      </c>
      <c r="F55" s="180">
        <v>60.8</v>
      </c>
      <c r="G55" s="203"/>
      <c r="H55" s="180">
        <v>0.35</v>
      </c>
      <c r="I55" s="181">
        <f>ROUND(PRODUCT(C55:H55),2)</f>
        <v>21.28</v>
      </c>
      <c r="J55" s="187"/>
      <c r="L55" s="190"/>
      <c r="M55" s="187"/>
      <c r="N55" s="196"/>
      <c r="O55" s="196"/>
      <c r="P55" s="192"/>
      <c r="Q55" s="192"/>
      <c r="R55" s="204"/>
      <c r="S55" s="192"/>
    </row>
    <row r="56" spans="1:19" ht="19.899999999999999" customHeight="1">
      <c r="A56" s="179"/>
      <c r="B56" s="184" t="s">
        <v>538</v>
      </c>
      <c r="C56" s="185">
        <v>1</v>
      </c>
      <c r="D56" s="185" t="s">
        <v>56</v>
      </c>
      <c r="E56" s="186">
        <v>1</v>
      </c>
      <c r="F56" s="180">
        <v>16</v>
      </c>
      <c r="G56" s="180">
        <v>1.5</v>
      </c>
      <c r="H56" s="180"/>
      <c r="I56" s="181">
        <f>ROUND(PRODUCT(C56:H56),2)</f>
        <v>24</v>
      </c>
      <c r="J56" s="187"/>
      <c r="L56" s="190"/>
      <c r="M56" s="187"/>
      <c r="N56" s="196"/>
      <c r="O56" s="196"/>
      <c r="P56" s="192"/>
      <c r="Q56" s="192"/>
      <c r="R56" s="197"/>
      <c r="S56" s="197"/>
    </row>
    <row r="57" spans="1:19" ht="19.899999999999999" customHeight="1">
      <c r="A57" s="179"/>
      <c r="B57" s="184" t="s">
        <v>617</v>
      </c>
      <c r="C57" s="185">
        <v>4</v>
      </c>
      <c r="D57" s="185" t="s">
        <v>56</v>
      </c>
      <c r="E57" s="186">
        <v>2</v>
      </c>
      <c r="F57" s="180">
        <v>2</v>
      </c>
      <c r="G57" s="180"/>
      <c r="H57" s="180">
        <v>0.55000000000000004</v>
      </c>
      <c r="I57" s="181">
        <f>ROUND(PRODUCT(C57:H57),2)</f>
        <v>8.8000000000000007</v>
      </c>
      <c r="J57" s="187"/>
      <c r="L57" s="190"/>
      <c r="M57" s="187"/>
      <c r="N57" s="196"/>
      <c r="O57" s="196"/>
      <c r="P57" s="192"/>
      <c r="Q57" s="192"/>
      <c r="R57" s="197"/>
      <c r="S57" s="197"/>
    </row>
    <row r="58" spans="1:19" ht="19.899999999999999" customHeight="1">
      <c r="A58" s="179"/>
      <c r="B58" s="184" t="s">
        <v>275</v>
      </c>
      <c r="C58" s="185">
        <v>4</v>
      </c>
      <c r="D58" s="185" t="s">
        <v>56</v>
      </c>
      <c r="E58" s="186">
        <v>1</v>
      </c>
      <c r="F58" s="180">
        <v>0.9</v>
      </c>
      <c r="G58" s="180"/>
      <c r="H58" s="180">
        <v>0.55000000000000004</v>
      </c>
      <c r="I58" s="181">
        <f>ROUND(PRODUCT(C58:H58),2)</f>
        <v>1.98</v>
      </c>
      <c r="J58" s="187"/>
      <c r="L58" s="190"/>
      <c r="M58" s="187"/>
      <c r="N58" s="196"/>
      <c r="O58" s="196"/>
      <c r="P58" s="192"/>
      <c r="Q58" s="192"/>
      <c r="R58" s="197"/>
      <c r="S58" s="197"/>
    </row>
    <row r="59" spans="1:19" ht="19.899999999999999" customHeight="1">
      <c r="A59" s="179"/>
      <c r="B59" s="184" t="s">
        <v>618</v>
      </c>
      <c r="C59" s="185">
        <v>4</v>
      </c>
      <c r="D59" s="185" t="s">
        <v>56</v>
      </c>
      <c r="E59" s="186">
        <v>2</v>
      </c>
      <c r="F59" s="180">
        <v>2</v>
      </c>
      <c r="G59" s="180"/>
      <c r="H59" s="180">
        <v>1.65</v>
      </c>
      <c r="I59" s="181">
        <f t="shared" ref="I59" si="2">ROUND(PRODUCT(C59:H59),2)</f>
        <v>26.4</v>
      </c>
      <c r="J59" s="187"/>
      <c r="L59" s="190"/>
      <c r="M59" s="187"/>
      <c r="N59" s="196"/>
      <c r="O59" s="196"/>
      <c r="P59" s="192"/>
      <c r="Q59" s="192"/>
      <c r="R59" s="197"/>
      <c r="S59" s="197"/>
    </row>
    <row r="60" spans="1:19" ht="19.899999999999999" customHeight="1">
      <c r="A60" s="179"/>
      <c r="B60" s="184" t="s">
        <v>275</v>
      </c>
      <c r="C60" s="185">
        <v>4</v>
      </c>
      <c r="D60" s="185" t="s">
        <v>56</v>
      </c>
      <c r="E60" s="186">
        <v>1</v>
      </c>
      <c r="F60" s="1690" t="s">
        <v>1331</v>
      </c>
      <c r="G60" s="1690"/>
      <c r="H60" s="180">
        <v>1.65</v>
      </c>
      <c r="I60" s="181">
        <f>C60*E60*J60*H60</f>
        <v>4.4550000000000001</v>
      </c>
      <c r="J60" s="209">
        <f>(0.9+0.45)/2</f>
        <v>0.67500000000000004</v>
      </c>
      <c r="L60" s="190"/>
      <c r="M60" s="187"/>
      <c r="N60" s="196"/>
      <c r="O60" s="196"/>
      <c r="P60" s="192"/>
      <c r="Q60" s="192"/>
      <c r="R60" s="197"/>
      <c r="S60" s="197"/>
    </row>
    <row r="61" spans="1:19" ht="19.899999999999999" customHeight="1">
      <c r="A61" s="179"/>
      <c r="B61" s="587" t="s">
        <v>1330</v>
      </c>
      <c r="C61" s="185"/>
      <c r="D61" s="185"/>
      <c r="E61" s="186"/>
      <c r="F61" s="560"/>
      <c r="G61" s="560"/>
      <c r="H61" s="180"/>
      <c r="I61" s="181"/>
      <c r="J61" s="561"/>
      <c r="L61" s="190"/>
      <c r="M61" s="187"/>
      <c r="N61" s="196"/>
      <c r="O61" s="196"/>
      <c r="P61" s="192"/>
      <c r="Q61" s="192"/>
      <c r="R61" s="197"/>
      <c r="S61" s="197"/>
    </row>
    <row r="62" spans="1:19" ht="19.899999999999999" customHeight="1">
      <c r="A62" s="179"/>
      <c r="B62" s="184" t="s">
        <v>534</v>
      </c>
      <c r="C62" s="185">
        <v>2</v>
      </c>
      <c r="D62" s="185" t="s">
        <v>56</v>
      </c>
      <c r="E62" s="186">
        <v>2</v>
      </c>
      <c r="F62" s="180">
        <v>21</v>
      </c>
      <c r="G62" s="180"/>
      <c r="H62" s="180">
        <v>2.35</v>
      </c>
      <c r="I62" s="181">
        <f>ROUND(PRODUCT(C62:H62),2)</f>
        <v>197.4</v>
      </c>
      <c r="J62" s="187"/>
      <c r="L62" s="190"/>
      <c r="M62" s="187"/>
      <c r="N62" s="196"/>
      <c r="O62" s="196"/>
      <c r="P62" s="192"/>
      <c r="Q62" s="192"/>
      <c r="R62" s="192"/>
      <c r="S62" s="192"/>
    </row>
    <row r="63" spans="1:19" ht="19.899999999999999" customHeight="1">
      <c r="A63" s="179"/>
      <c r="B63" s="184" t="s">
        <v>275</v>
      </c>
      <c r="C63" s="185">
        <v>2</v>
      </c>
      <c r="D63" s="185" t="s">
        <v>56</v>
      </c>
      <c r="E63" s="186">
        <v>2</v>
      </c>
      <c r="F63" s="1690" t="s">
        <v>1337</v>
      </c>
      <c r="G63" s="1690"/>
      <c r="H63" s="180">
        <v>2.35</v>
      </c>
      <c r="I63" s="181">
        <f>C63*E63*J63*H63</f>
        <v>5.3110000000000008</v>
      </c>
      <c r="J63" s="561">
        <f>(0.9+0.23)/2</f>
        <v>0.56500000000000006</v>
      </c>
      <c r="L63" s="190"/>
      <c r="M63" s="187"/>
      <c r="N63" s="196"/>
      <c r="O63" s="196"/>
      <c r="P63" s="192"/>
      <c r="Q63" s="192"/>
      <c r="R63" s="192"/>
      <c r="S63" s="192"/>
    </row>
    <row r="64" spans="1:19" ht="19.899999999999999" customHeight="1">
      <c r="A64" s="179"/>
      <c r="B64" s="184"/>
      <c r="C64" s="185"/>
      <c r="D64" s="185"/>
      <c r="E64" s="212"/>
      <c r="F64" s="180"/>
      <c r="G64" s="180"/>
      <c r="H64" s="180"/>
      <c r="I64" s="181">
        <v>0.06</v>
      </c>
      <c r="J64" s="187"/>
      <c r="L64" s="190"/>
      <c r="M64" s="187"/>
      <c r="N64" s="196"/>
      <c r="O64" s="196"/>
      <c r="P64" s="192"/>
      <c r="Q64" s="197"/>
      <c r="R64" s="197"/>
      <c r="S64" s="200"/>
    </row>
    <row r="65" spans="1:19" ht="19.899999999999999" customHeight="1">
      <c r="A65" s="179"/>
      <c r="B65" s="184"/>
      <c r="C65" s="185"/>
      <c r="D65" s="185"/>
      <c r="E65" s="212"/>
      <c r="F65" s="180"/>
      <c r="G65" s="180"/>
      <c r="H65" s="180" t="s">
        <v>57</v>
      </c>
      <c r="I65" s="181">
        <f>SUM(I49:I64)</f>
        <v>505.20100000000002</v>
      </c>
      <c r="J65" s="187"/>
      <c r="L65" s="190"/>
      <c r="M65" s="1692"/>
      <c r="N65" s="1692"/>
      <c r="O65" s="1692"/>
      <c r="P65" s="1692"/>
      <c r="Q65" s="1692"/>
      <c r="R65" s="1692"/>
      <c r="S65" s="192"/>
    </row>
    <row r="66" spans="1:19" ht="19.899999999999999" customHeight="1">
      <c r="A66" s="179"/>
      <c r="B66" s="184"/>
      <c r="C66" s="185"/>
      <c r="D66" s="185"/>
      <c r="E66" s="212"/>
      <c r="F66" s="180"/>
      <c r="G66" s="188" t="s">
        <v>96</v>
      </c>
      <c r="H66" s="188">
        <f>+I65</f>
        <v>505.20100000000002</v>
      </c>
      <c r="I66" s="189" t="s">
        <v>37</v>
      </c>
      <c r="J66" s="187"/>
      <c r="L66" s="190"/>
      <c r="M66" s="1697"/>
      <c r="N66" s="1697"/>
      <c r="O66" s="1697"/>
      <c r="P66" s="1697"/>
      <c r="Q66" s="1697"/>
      <c r="R66" s="1697"/>
      <c r="S66" s="192"/>
    </row>
    <row r="67" spans="1:19" ht="34.9" customHeight="1">
      <c r="A67" s="179">
        <f>+A48+1</f>
        <v>7</v>
      </c>
      <c r="B67" s="1691" t="s">
        <v>625</v>
      </c>
      <c r="C67" s="1691"/>
      <c r="D67" s="1691"/>
      <c r="E67" s="1691"/>
      <c r="F67" s="1691"/>
      <c r="G67" s="1691"/>
      <c r="H67" s="1691"/>
      <c r="I67" s="181"/>
      <c r="J67" s="187"/>
      <c r="L67" s="190"/>
      <c r="M67" s="187"/>
      <c r="N67" s="196"/>
      <c r="O67" s="196"/>
      <c r="P67" s="192"/>
      <c r="Q67" s="192"/>
      <c r="R67" s="192"/>
      <c r="S67" s="192"/>
    </row>
    <row r="68" spans="1:19" s="429" customFormat="1" ht="19.899999999999999" customHeight="1">
      <c r="A68" s="344"/>
      <c r="B68" s="346" t="s">
        <v>539</v>
      </c>
      <c r="C68" s="347"/>
      <c r="D68" s="347"/>
      <c r="E68" s="378"/>
      <c r="F68" s="345">
        <f>H47</f>
        <v>44.5</v>
      </c>
      <c r="G68" s="346">
        <v>120</v>
      </c>
      <c r="H68" s="379" t="s">
        <v>540</v>
      </c>
      <c r="I68" s="343">
        <f>F68*G68</f>
        <v>5340</v>
      </c>
      <c r="J68" s="428"/>
      <c r="L68" s="430"/>
      <c r="M68" s="428"/>
      <c r="N68" s="431"/>
      <c r="O68" s="431"/>
      <c r="P68" s="432"/>
      <c r="Q68" s="432"/>
      <c r="R68" s="433"/>
      <c r="S68" s="432"/>
    </row>
    <row r="69" spans="1:19" ht="19.899999999999999" customHeight="1">
      <c r="A69" s="179"/>
      <c r="B69" s="184"/>
      <c r="C69" s="185"/>
      <c r="D69" s="185"/>
      <c r="E69" s="212"/>
      <c r="F69" s="180"/>
      <c r="G69" s="180"/>
      <c r="H69" s="180"/>
      <c r="I69" s="210">
        <f>I68/1000</f>
        <v>5.34</v>
      </c>
      <c r="J69" s="187"/>
      <c r="L69" s="190"/>
      <c r="M69" s="187"/>
      <c r="N69" s="196"/>
      <c r="O69" s="196"/>
      <c r="P69" s="192"/>
      <c r="Q69" s="192"/>
      <c r="R69" s="192"/>
      <c r="S69" s="192"/>
    </row>
    <row r="70" spans="1:19" ht="19.899999999999999" customHeight="1">
      <c r="A70" s="179"/>
      <c r="B70" s="184"/>
      <c r="C70" s="185"/>
      <c r="D70" s="185"/>
      <c r="E70" s="212"/>
      <c r="F70" s="180"/>
      <c r="G70" s="188" t="s">
        <v>96</v>
      </c>
      <c r="H70" s="211">
        <f>+I69</f>
        <v>5.34</v>
      </c>
      <c r="I70" s="189" t="s">
        <v>58</v>
      </c>
      <c r="J70" s="187"/>
      <c r="L70" s="190"/>
      <c r="M70" s="187"/>
      <c r="N70" s="196"/>
      <c r="O70" s="196"/>
      <c r="P70" s="192"/>
      <c r="Q70" s="192"/>
      <c r="R70" s="192"/>
      <c r="S70" s="192"/>
    </row>
    <row r="71" spans="1:19" ht="49.9" customHeight="1">
      <c r="A71" s="179">
        <f>+A67+1</f>
        <v>8</v>
      </c>
      <c r="B71" s="1691" t="s">
        <v>541</v>
      </c>
      <c r="C71" s="1691"/>
      <c r="D71" s="1691"/>
      <c r="E71" s="1691"/>
      <c r="F71" s="1691"/>
      <c r="G71" s="1691"/>
      <c r="H71" s="1691"/>
      <c r="I71" s="181"/>
      <c r="J71" s="187"/>
      <c r="L71" s="190"/>
      <c r="M71" s="187"/>
      <c r="N71" s="196"/>
      <c r="O71" s="196"/>
      <c r="P71" s="192"/>
      <c r="Q71" s="192"/>
      <c r="R71" s="192"/>
      <c r="S71" s="192"/>
    </row>
    <row r="72" spans="1:19" ht="19.899999999999999" customHeight="1">
      <c r="A72" s="179"/>
      <c r="B72" s="184" t="s">
        <v>1335</v>
      </c>
      <c r="C72" s="185">
        <v>1</v>
      </c>
      <c r="D72" s="185" t="s">
        <v>56</v>
      </c>
      <c r="E72" s="186">
        <v>1</v>
      </c>
      <c r="F72" s="180">
        <v>37</v>
      </c>
      <c r="G72" s="180">
        <v>4</v>
      </c>
      <c r="H72" s="180">
        <v>0.3</v>
      </c>
      <c r="I72" s="181">
        <f>ROUND(PRODUCT(C72:H72),2)</f>
        <v>44.4</v>
      </c>
      <c r="J72" s="187"/>
      <c r="L72" s="190"/>
      <c r="M72" s="187"/>
      <c r="N72" s="196"/>
      <c r="O72" s="196"/>
      <c r="P72" s="192"/>
      <c r="Q72" s="192"/>
      <c r="R72" s="192"/>
      <c r="S72" s="192"/>
    </row>
    <row r="73" spans="1:19" ht="19.899999999999999" customHeight="1">
      <c r="A73" s="179"/>
      <c r="B73" s="184"/>
      <c r="C73" s="185"/>
      <c r="D73" s="185"/>
      <c r="E73" s="212"/>
      <c r="F73" s="180"/>
      <c r="G73" s="180"/>
      <c r="H73" s="180" t="s">
        <v>57</v>
      </c>
      <c r="I73" s="181">
        <f>SUM(I72:I72)</f>
        <v>44.4</v>
      </c>
      <c r="J73" s="187"/>
      <c r="L73" s="190"/>
      <c r="M73" s="187"/>
      <c r="N73" s="196"/>
      <c r="O73" s="196"/>
      <c r="P73" s="192"/>
      <c r="Q73" s="192"/>
      <c r="R73" s="192"/>
      <c r="S73" s="192"/>
    </row>
    <row r="74" spans="1:19" ht="19.899999999999999" customHeight="1">
      <c r="A74" s="179"/>
      <c r="B74" s="184"/>
      <c r="C74" s="185"/>
      <c r="D74" s="185"/>
      <c r="E74" s="212"/>
      <c r="F74" s="180"/>
      <c r="G74" s="188" t="s">
        <v>96</v>
      </c>
      <c r="H74" s="188">
        <f>+I73</f>
        <v>44.4</v>
      </c>
      <c r="I74" s="189" t="s">
        <v>16</v>
      </c>
      <c r="J74" s="187"/>
      <c r="L74" s="190"/>
      <c r="M74" s="187"/>
      <c r="N74" s="196"/>
      <c r="O74" s="196"/>
      <c r="P74" s="192"/>
      <c r="Q74" s="192"/>
      <c r="R74" s="192"/>
      <c r="S74" s="192"/>
    </row>
    <row r="75" spans="1:19" s="588" customFormat="1" ht="24.6" customHeight="1">
      <c r="A75" s="179">
        <v>9</v>
      </c>
      <c r="B75" s="1669" t="s">
        <v>1332</v>
      </c>
      <c r="C75" s="1669"/>
      <c r="D75" s="1669"/>
      <c r="E75" s="1669"/>
      <c r="F75" s="1669"/>
      <c r="G75" s="1669"/>
      <c r="H75" s="1669"/>
      <c r="I75" s="181"/>
      <c r="J75" s="187"/>
      <c r="L75" s="190"/>
      <c r="M75" s="187"/>
      <c r="N75" s="196"/>
      <c r="O75" s="196"/>
      <c r="P75" s="192"/>
      <c r="Q75" s="192"/>
      <c r="R75" s="192"/>
      <c r="S75" s="192"/>
    </row>
    <row r="76" spans="1:19" s="588" customFormat="1" ht="19.899999999999999" customHeight="1">
      <c r="A76" s="179"/>
      <c r="B76" s="589" t="s">
        <v>1333</v>
      </c>
      <c r="C76" s="590">
        <v>1</v>
      </c>
      <c r="D76" s="591" t="s">
        <v>56</v>
      </c>
      <c r="E76" s="590">
        <v>2</v>
      </c>
      <c r="F76" s="589">
        <v>21</v>
      </c>
      <c r="G76" s="589"/>
      <c r="H76" s="180">
        <v>0.23</v>
      </c>
      <c r="I76" s="181">
        <f>ROUND(PRODUCT(C76:H76),2)</f>
        <v>9.66</v>
      </c>
      <c r="J76" s="592"/>
      <c r="L76" s="190"/>
      <c r="M76" s="187"/>
      <c r="N76" s="196"/>
      <c r="O76" s="196"/>
      <c r="P76" s="192"/>
      <c r="Q76" s="192"/>
      <c r="R76" s="192"/>
      <c r="S76" s="192"/>
    </row>
    <row r="77" spans="1:19" s="588" customFormat="1" ht="19.899999999999999" customHeight="1">
      <c r="A77" s="179"/>
      <c r="B77" s="184" t="s">
        <v>1334</v>
      </c>
      <c r="C77" s="185">
        <v>1</v>
      </c>
      <c r="D77" s="185" t="s">
        <v>56</v>
      </c>
      <c r="E77" s="186">
        <v>2</v>
      </c>
      <c r="F77" s="184">
        <v>21</v>
      </c>
      <c r="G77" s="184">
        <v>1.5</v>
      </c>
      <c r="H77" s="180"/>
      <c r="I77" s="181">
        <f>ROUND(PRODUCT(C77:H77),2)</f>
        <v>63</v>
      </c>
      <c r="J77" s="187"/>
      <c r="L77" s="190"/>
      <c r="M77" s="187"/>
      <c r="N77" s="196"/>
      <c r="O77" s="196"/>
      <c r="P77" s="192"/>
      <c r="Q77" s="192"/>
      <c r="R77" s="192"/>
      <c r="S77" s="192"/>
    </row>
    <row r="78" spans="1:19" s="588" customFormat="1" ht="19.899999999999999" customHeight="1">
      <c r="A78" s="179"/>
      <c r="B78" s="184"/>
      <c r="C78" s="185"/>
      <c r="D78" s="185"/>
      <c r="E78" s="186"/>
      <c r="F78" s="184"/>
      <c r="G78" s="184"/>
      <c r="H78" s="180"/>
      <c r="I78" s="181">
        <v>0.04</v>
      </c>
      <c r="J78" s="187"/>
      <c r="L78" s="190"/>
      <c r="M78" s="187"/>
      <c r="N78" s="196"/>
      <c r="O78" s="196"/>
      <c r="P78" s="192"/>
      <c r="Q78" s="192"/>
      <c r="R78" s="192"/>
      <c r="S78" s="192"/>
    </row>
    <row r="79" spans="1:19" s="588" customFormat="1" ht="19.899999999999999" customHeight="1">
      <c r="A79" s="179"/>
      <c r="B79" s="184"/>
      <c r="C79" s="185"/>
      <c r="D79" s="185"/>
      <c r="E79" s="212"/>
      <c r="F79" s="188"/>
      <c r="G79" s="188"/>
      <c r="H79" s="180" t="s">
        <v>57</v>
      </c>
      <c r="I79" s="181">
        <f>SUM(I76:I78)</f>
        <v>72.7</v>
      </c>
      <c r="J79" s="187"/>
      <c r="L79" s="190"/>
      <c r="M79" s="187"/>
      <c r="N79" s="196"/>
      <c r="O79" s="196"/>
      <c r="P79" s="192"/>
      <c r="Q79" s="192"/>
      <c r="R79" s="192"/>
      <c r="S79" s="197"/>
    </row>
    <row r="80" spans="1:19" s="588" customFormat="1" ht="19.899999999999999" customHeight="1">
      <c r="A80" s="179"/>
      <c r="B80" s="589"/>
      <c r="C80" s="139"/>
      <c r="D80" s="139"/>
      <c r="E80" s="139"/>
      <c r="F80" s="139"/>
      <c r="G80" s="188" t="s">
        <v>96</v>
      </c>
      <c r="H80" s="188">
        <f>+I79</f>
        <v>72.7</v>
      </c>
      <c r="I80" s="189" t="s">
        <v>37</v>
      </c>
      <c r="J80" s="592"/>
      <c r="L80" s="190"/>
      <c r="M80" s="187"/>
      <c r="N80" s="196"/>
      <c r="O80" s="196"/>
      <c r="P80" s="192"/>
      <c r="Q80" s="197"/>
      <c r="R80" s="197"/>
      <c r="S80" s="200"/>
    </row>
    <row r="81" spans="1:19" s="588" customFormat="1" ht="19.899999999999999" customHeight="1">
      <c r="A81" s="593"/>
      <c r="B81" s="593"/>
      <c r="C81" s="594"/>
      <c r="D81" s="594"/>
      <c r="E81" s="594"/>
      <c r="F81" s="595"/>
      <c r="G81" s="595"/>
      <c r="H81" s="595"/>
      <c r="I81" s="596"/>
      <c r="L81" s="190"/>
      <c r="M81" s="1698"/>
      <c r="N81" s="1698"/>
      <c r="O81" s="1698"/>
      <c r="P81" s="1698"/>
      <c r="Q81" s="1698"/>
      <c r="R81" s="1698"/>
      <c r="S81" s="192"/>
    </row>
    <row r="82" spans="1:19">
      <c r="L82" s="190"/>
      <c r="M82" s="187"/>
      <c r="N82" s="196"/>
      <c r="O82" s="196"/>
      <c r="P82" s="192"/>
      <c r="Q82" s="192"/>
      <c r="R82" s="192"/>
      <c r="S82" s="192"/>
    </row>
    <row r="83" spans="1:19">
      <c r="L83" s="190"/>
      <c r="M83" s="187"/>
      <c r="N83" s="196"/>
      <c r="O83" s="196"/>
      <c r="P83" s="192"/>
      <c r="Q83" s="192"/>
      <c r="R83" s="192"/>
      <c r="S83" s="192"/>
    </row>
    <row r="84" spans="1:19">
      <c r="L84" s="190"/>
      <c r="M84" s="187"/>
      <c r="N84" s="196"/>
      <c r="O84" s="196"/>
      <c r="P84" s="192"/>
      <c r="Q84" s="192"/>
      <c r="R84" s="197"/>
      <c r="S84" s="197"/>
    </row>
    <row r="85" spans="1:19">
      <c r="L85" s="190"/>
      <c r="M85" s="187"/>
      <c r="N85" s="196"/>
      <c r="O85" s="196"/>
      <c r="P85" s="192"/>
      <c r="Q85" s="197"/>
      <c r="R85" s="197"/>
      <c r="S85" s="200"/>
    </row>
    <row r="86" spans="1:19">
      <c r="L86" s="190"/>
      <c r="M86" s="1692"/>
      <c r="N86" s="1692"/>
      <c r="O86" s="1692"/>
      <c r="P86" s="1692"/>
      <c r="Q86" s="1692"/>
      <c r="R86" s="1692"/>
      <c r="S86" s="192"/>
    </row>
    <row r="87" spans="1:19">
      <c r="L87" s="190"/>
      <c r="M87" s="187"/>
      <c r="N87" s="196"/>
      <c r="O87" s="196"/>
      <c r="P87" s="192"/>
      <c r="Q87" s="192"/>
      <c r="R87" s="192"/>
      <c r="S87" s="192"/>
    </row>
    <row r="88" spans="1:19">
      <c r="L88" s="190"/>
      <c r="M88" s="187"/>
      <c r="N88" s="196"/>
      <c r="O88" s="196"/>
      <c r="P88" s="192"/>
      <c r="Q88" s="192"/>
      <c r="R88" s="192"/>
      <c r="S88" s="192"/>
    </row>
    <row r="89" spans="1:19">
      <c r="L89" s="190"/>
      <c r="M89" s="187"/>
      <c r="N89" s="196"/>
      <c r="O89" s="196"/>
      <c r="P89" s="192"/>
      <c r="Q89" s="192"/>
      <c r="R89" s="192"/>
      <c r="S89" s="197"/>
    </row>
    <row r="90" spans="1:19">
      <c r="L90" s="190"/>
      <c r="M90" s="187"/>
      <c r="N90" s="196"/>
      <c r="O90" s="196"/>
      <c r="P90" s="192"/>
      <c r="Q90" s="197"/>
      <c r="R90" s="197"/>
      <c r="S90" s="200"/>
    </row>
    <row r="91" spans="1:19">
      <c r="L91" s="190"/>
      <c r="M91" s="213"/>
      <c r="N91" s="1696"/>
      <c r="O91" s="1696"/>
      <c r="P91" s="1696"/>
      <c r="Q91" s="1696"/>
      <c r="R91" s="1696"/>
      <c r="S91" s="1696"/>
    </row>
    <row r="92" spans="1:19">
      <c r="L92" s="190"/>
      <c r="M92" s="214"/>
      <c r="N92" s="1696"/>
      <c r="O92" s="1696"/>
      <c r="P92" s="1696"/>
      <c r="Q92" s="1696"/>
      <c r="R92" s="1696"/>
      <c r="S92" s="1696"/>
    </row>
    <row r="93" spans="1:19">
      <c r="L93" s="190"/>
      <c r="M93" s="214"/>
      <c r="N93" s="1696"/>
      <c r="O93" s="1696"/>
      <c r="P93" s="1696"/>
      <c r="Q93" s="1696"/>
      <c r="R93" s="1696"/>
      <c r="S93" s="1696"/>
    </row>
    <row r="94" spans="1:19">
      <c r="L94" s="190"/>
      <c r="M94" s="214"/>
      <c r="N94" s="1696"/>
      <c r="O94" s="1696"/>
      <c r="P94" s="1696"/>
      <c r="Q94" s="1696"/>
      <c r="R94" s="1696"/>
      <c r="S94" s="1696"/>
    </row>
  </sheetData>
  <mergeCells count="47">
    <mergeCell ref="B75:H75"/>
    <mergeCell ref="B71:H71"/>
    <mergeCell ref="B67:H67"/>
    <mergeCell ref="F60:G60"/>
    <mergeCell ref="F63:G63"/>
    <mergeCell ref="M49:R49"/>
    <mergeCell ref="N92:S92"/>
    <mergeCell ref="N93:S93"/>
    <mergeCell ref="N94:S94"/>
    <mergeCell ref="M66:R66"/>
    <mergeCell ref="M81:R81"/>
    <mergeCell ref="M86:R86"/>
    <mergeCell ref="N91:S91"/>
    <mergeCell ref="M65:R65"/>
    <mergeCell ref="L7:S7"/>
    <mergeCell ref="L8:S8"/>
    <mergeCell ref="L9:S9"/>
    <mergeCell ref="M14:R14"/>
    <mergeCell ref="L12:L13"/>
    <mergeCell ref="M12:M13"/>
    <mergeCell ref="N12:O13"/>
    <mergeCell ref="P12:R12"/>
    <mergeCell ref="S12:S13"/>
    <mergeCell ref="F53:G53"/>
    <mergeCell ref="B49:H49"/>
    <mergeCell ref="B48:H48"/>
    <mergeCell ref="B37:H37"/>
    <mergeCell ref="B28:H28"/>
    <mergeCell ref="A4:H4"/>
    <mergeCell ref="I4:J4"/>
    <mergeCell ref="A5:A6"/>
    <mergeCell ref="B5:B6"/>
    <mergeCell ref="H5:H6"/>
    <mergeCell ref="I5:I6"/>
    <mergeCell ref="J5:J6"/>
    <mergeCell ref="A1:H1"/>
    <mergeCell ref="I1:J1"/>
    <mergeCell ref="A2:H2"/>
    <mergeCell ref="I2:J2"/>
    <mergeCell ref="A3:H3"/>
    <mergeCell ref="I3:J3"/>
    <mergeCell ref="B22:H22"/>
    <mergeCell ref="B14:H14"/>
    <mergeCell ref="C5:E6"/>
    <mergeCell ref="F5:F6"/>
    <mergeCell ref="G5:G6"/>
    <mergeCell ref="B7:G7"/>
  </mergeCells>
  <pageMargins left="0.7" right="0.7" top="0.7" bottom="0.4" header="0.5" footer="0.5"/>
  <pageSetup paperSize="9" orientation="portrait" r:id="rId1"/>
  <headerFooter>
    <oddHeader>Page &amp;P</oddHeader>
  </headerFooter>
</worksheet>
</file>

<file path=xl/worksheets/sheet30.xml><?xml version="1.0" encoding="utf-8"?>
<worksheet xmlns="http://schemas.openxmlformats.org/spreadsheetml/2006/main" xmlns:r="http://schemas.openxmlformats.org/officeDocument/2006/relationships">
  <sheetPr>
    <tabColor rgb="FF00B0F0"/>
  </sheetPr>
  <dimension ref="A1:O1088"/>
  <sheetViews>
    <sheetView view="pageBreakPreview" topLeftCell="A24" zoomScale="90" zoomScaleSheetLayoutView="90" workbookViewId="0">
      <selection activeCell="H40" sqref="H40"/>
    </sheetView>
  </sheetViews>
  <sheetFormatPr defaultColWidth="8.88671875" defaultRowHeight="15.75"/>
  <cols>
    <col min="1" max="1" width="4.109375" style="414" customWidth="1"/>
    <col min="2" max="2" width="33.109375" style="415" customWidth="1"/>
    <col min="3" max="4" width="4" style="416" customWidth="1"/>
    <col min="5" max="5" width="8.88671875" style="417"/>
    <col min="6" max="7" width="8.88671875" style="417" customWidth="1"/>
    <col min="8" max="8" width="8.33203125" style="417" customWidth="1"/>
    <col min="9" max="29" width="8.88671875" style="390"/>
    <col min="30" max="31" width="0" style="390" hidden="1" customWidth="1"/>
    <col min="32" max="16384" width="8.88671875" style="390"/>
  </cols>
  <sheetData>
    <row r="1" spans="1:14" s="386" customFormat="1" ht="22.15" customHeight="1">
      <c r="A1" s="1701" t="s">
        <v>1183</v>
      </c>
      <c r="B1" s="1701"/>
      <c r="C1" s="1701"/>
      <c r="D1" s="1701"/>
      <c r="E1" s="1701"/>
      <c r="F1" s="1701"/>
      <c r="G1" s="1701"/>
      <c r="H1" s="1701"/>
    </row>
    <row r="2" spans="1:14" s="386" customFormat="1" ht="35.25" customHeight="1">
      <c r="A2" s="1702" t="str">
        <f>'Septic Tank'!A5:H5</f>
        <v>CONSTRUCTION OF NEW POLICE STATION BUILDING WITH DEVELOPMENT WORK IN  REGUNATHAPURAM IN PUDUKKOTTAI DISRICT.</v>
      </c>
      <c r="B2" s="1702"/>
      <c r="C2" s="1702"/>
      <c r="D2" s="1702"/>
      <c r="E2" s="1702"/>
      <c r="F2" s="1702"/>
      <c r="G2" s="1702"/>
      <c r="H2" s="1702"/>
    </row>
    <row r="3" spans="1:14" s="386" customFormat="1" ht="19.899999999999999" customHeight="1">
      <c r="A3" s="1701" t="s">
        <v>1203</v>
      </c>
      <c r="B3" s="1701"/>
      <c r="C3" s="1701"/>
      <c r="D3" s="1701"/>
      <c r="E3" s="1701"/>
      <c r="F3" s="1701"/>
      <c r="G3" s="1701"/>
      <c r="H3" s="1701"/>
    </row>
    <row r="4" spans="1:14" s="386" customFormat="1" ht="19.899999999999999" customHeight="1">
      <c r="A4" s="1703" t="s">
        <v>1184</v>
      </c>
      <c r="B4" s="1705" t="s">
        <v>504</v>
      </c>
      <c r="C4" s="1706" t="s">
        <v>213</v>
      </c>
      <c r="D4" s="1706"/>
      <c r="E4" s="1706" t="s">
        <v>89</v>
      </c>
      <c r="F4" s="1706"/>
      <c r="G4" s="1706"/>
      <c r="H4" s="1706" t="s">
        <v>214</v>
      </c>
    </row>
    <row r="5" spans="1:14" s="386" customFormat="1" ht="19.899999999999999" customHeight="1">
      <c r="A5" s="1704"/>
      <c r="B5" s="1705"/>
      <c r="C5" s="1706"/>
      <c r="D5" s="1706"/>
      <c r="E5" s="387" t="s">
        <v>91</v>
      </c>
      <c r="F5" s="387" t="s">
        <v>6</v>
      </c>
      <c r="G5" s="387" t="s">
        <v>7</v>
      </c>
      <c r="H5" s="1706"/>
    </row>
    <row r="6" spans="1:14" ht="19.899999999999999" customHeight="1">
      <c r="A6" s="388">
        <v>1</v>
      </c>
      <c r="B6" s="1700" t="s">
        <v>1185</v>
      </c>
      <c r="C6" s="1700"/>
      <c r="D6" s="1700"/>
      <c r="E6" s="1700"/>
      <c r="F6" s="1700"/>
      <c r="G6" s="1700"/>
      <c r="H6" s="389"/>
    </row>
    <row r="7" spans="1:14" ht="19.899999999999999" customHeight="1">
      <c r="A7" s="388"/>
      <c r="B7" s="391" t="s">
        <v>1186</v>
      </c>
      <c r="C7" s="388"/>
      <c r="D7" s="392"/>
      <c r="E7" s="389"/>
      <c r="F7" s="389"/>
      <c r="G7" s="389"/>
      <c r="H7" s="389"/>
    </row>
    <row r="8" spans="1:14" ht="19.899999999999999" customHeight="1">
      <c r="A8" s="388"/>
      <c r="B8" s="393" t="s">
        <v>1187</v>
      </c>
      <c r="C8" s="388"/>
      <c r="D8" s="392"/>
      <c r="E8" s="389"/>
      <c r="F8" s="389"/>
      <c r="G8" s="389"/>
      <c r="H8" s="389"/>
    </row>
    <row r="9" spans="1:14" ht="19.899999999999999" customHeight="1">
      <c r="A9" s="394"/>
      <c r="B9" s="395" t="s">
        <v>1194</v>
      </c>
      <c r="C9" s="394">
        <v>1</v>
      </c>
      <c r="D9" s="392">
        <v>1</v>
      </c>
      <c r="E9" s="389">
        <v>39.15</v>
      </c>
      <c r="F9" s="389">
        <v>0.35</v>
      </c>
      <c r="G9" s="389">
        <v>0.3</v>
      </c>
      <c r="H9" s="389">
        <f t="shared" ref="H9" si="0">PRODUCT(C9:G9)</f>
        <v>4.1107499999999995</v>
      </c>
      <c r="I9" s="396"/>
      <c r="L9" s="397"/>
      <c r="M9" s="398"/>
      <c r="N9" s="399"/>
    </row>
    <row r="10" spans="1:14" ht="19.899999999999999" customHeight="1">
      <c r="A10" s="394"/>
      <c r="B10" s="395"/>
      <c r="C10" s="394"/>
      <c r="D10" s="401"/>
      <c r="E10" s="389"/>
      <c r="F10" s="389"/>
      <c r="G10" s="389"/>
      <c r="H10" s="402">
        <f>SUM(H9:H9)</f>
        <v>4.1107499999999995</v>
      </c>
    </row>
    <row r="11" spans="1:14" ht="19.899999999999999" customHeight="1">
      <c r="A11" s="394"/>
      <c r="B11" s="395"/>
      <c r="C11" s="394"/>
      <c r="D11" s="401"/>
      <c r="E11" s="389"/>
      <c r="F11" s="402" t="s">
        <v>15</v>
      </c>
      <c r="G11" s="402">
        <v>4.1500000000000004</v>
      </c>
      <c r="H11" s="403" t="s">
        <v>16</v>
      </c>
    </row>
    <row r="12" spans="1:14" ht="19.899999999999999" customHeight="1">
      <c r="A12" s="388">
        <v>2</v>
      </c>
      <c r="B12" s="1700" t="s">
        <v>1188</v>
      </c>
      <c r="C12" s="1700"/>
      <c r="D12" s="1700"/>
      <c r="E12" s="1700"/>
      <c r="F12" s="1700"/>
      <c r="G12" s="1700"/>
      <c r="H12" s="389"/>
    </row>
    <row r="13" spans="1:14" ht="19.899999999999999" customHeight="1">
      <c r="A13" s="388"/>
      <c r="B13" s="391" t="s">
        <v>1186</v>
      </c>
      <c r="C13" s="388"/>
      <c r="D13" s="392"/>
      <c r="E13" s="389"/>
      <c r="F13" s="389"/>
      <c r="G13" s="389"/>
      <c r="H13" s="389"/>
    </row>
    <row r="14" spans="1:14" ht="19.899999999999999" customHeight="1">
      <c r="A14" s="388"/>
      <c r="B14" s="393" t="s">
        <v>1187</v>
      </c>
      <c r="C14" s="388"/>
      <c r="D14" s="392"/>
      <c r="E14" s="389"/>
      <c r="F14" s="389"/>
      <c r="G14" s="389"/>
      <c r="H14" s="389"/>
    </row>
    <row r="15" spans="1:14" ht="19.899999999999999" customHeight="1">
      <c r="A15" s="394"/>
      <c r="B15" s="395" t="s">
        <v>1194</v>
      </c>
      <c r="C15" s="394">
        <v>1</v>
      </c>
      <c r="D15" s="392">
        <v>1</v>
      </c>
      <c r="E15" s="389">
        <f>E9</f>
        <v>39.15</v>
      </c>
      <c r="F15" s="389">
        <v>0.35</v>
      </c>
      <c r="G15" s="389">
        <v>0.1</v>
      </c>
      <c r="H15" s="389">
        <f t="shared" ref="H15" si="1">PRODUCT(C15:G15)</f>
        <v>1.37025</v>
      </c>
      <c r="I15" s="396"/>
      <c r="L15" s="397"/>
      <c r="M15" s="398"/>
      <c r="N15" s="399"/>
    </row>
    <row r="16" spans="1:14" ht="19.899999999999999" customHeight="1">
      <c r="A16" s="394"/>
      <c r="B16" s="395"/>
      <c r="C16" s="394"/>
      <c r="D16" s="400"/>
      <c r="E16" s="389"/>
      <c r="F16" s="389"/>
      <c r="G16" s="389"/>
      <c r="H16" s="389">
        <v>0.01</v>
      </c>
    </row>
    <row r="17" spans="1:11" ht="19.899999999999999" customHeight="1">
      <c r="A17" s="394"/>
      <c r="B17" s="395"/>
      <c r="C17" s="394"/>
      <c r="D17" s="401"/>
      <c r="E17" s="389"/>
      <c r="F17" s="389"/>
      <c r="G17" s="389"/>
      <c r="H17" s="402">
        <f>SUM(H15:H16)</f>
        <v>1.38025</v>
      </c>
    </row>
    <row r="18" spans="1:11" ht="19.899999999999999" customHeight="1">
      <c r="A18" s="394"/>
      <c r="B18" s="395"/>
      <c r="C18" s="394"/>
      <c r="D18" s="401"/>
      <c r="E18" s="389"/>
      <c r="F18" s="402" t="s">
        <v>15</v>
      </c>
      <c r="G18" s="402">
        <f>H17</f>
        <v>1.38025</v>
      </c>
      <c r="H18" s="403" t="s">
        <v>16</v>
      </c>
    </row>
    <row r="19" spans="1:11" s="406" customFormat="1" ht="34.9" customHeight="1">
      <c r="A19" s="404">
        <v>3</v>
      </c>
      <c r="B19" s="1700" t="s">
        <v>69</v>
      </c>
      <c r="C19" s="1700"/>
      <c r="D19" s="1700"/>
      <c r="E19" s="1700"/>
      <c r="F19" s="1700"/>
      <c r="G19" s="1700"/>
      <c r="H19" s="405"/>
      <c r="I19" s="406" t="e">
        <f>#REF!-K19</f>
        <v>#REF!</v>
      </c>
      <c r="K19" s="406">
        <f>26.5+40.1</f>
        <v>66.599999999999994</v>
      </c>
    </row>
    <row r="20" spans="1:11" ht="19.899999999999999" customHeight="1">
      <c r="A20" s="388"/>
      <c r="B20" s="391" t="s">
        <v>1186</v>
      </c>
      <c r="C20" s="388"/>
      <c r="D20" s="392"/>
      <c r="E20" s="389"/>
      <c r="F20" s="389"/>
      <c r="G20" s="389"/>
      <c r="H20" s="389"/>
    </row>
    <row r="21" spans="1:11" s="406" customFormat="1" ht="19.899999999999999" customHeight="1">
      <c r="A21" s="404"/>
      <c r="B21" s="407" t="s">
        <v>1189</v>
      </c>
      <c r="C21" s="404"/>
      <c r="D21" s="408"/>
      <c r="E21" s="409"/>
      <c r="F21" s="409"/>
      <c r="G21" s="409"/>
      <c r="H21" s="409"/>
    </row>
    <row r="22" spans="1:11" s="406" customFormat="1" ht="19.899999999999999" customHeight="1">
      <c r="A22" s="394"/>
      <c r="B22" s="395" t="s">
        <v>1194</v>
      </c>
      <c r="C22" s="394">
        <v>1</v>
      </c>
      <c r="D22" s="392">
        <v>1</v>
      </c>
      <c r="E22" s="389">
        <f>E15</f>
        <v>39.15</v>
      </c>
      <c r="F22" s="389">
        <v>0.23</v>
      </c>
      <c r="G22" s="389">
        <v>0.25</v>
      </c>
      <c r="H22" s="389">
        <f t="shared" ref="H22" si="2">PRODUCT(C22:G22)</f>
        <v>2.251125</v>
      </c>
    </row>
    <row r="23" spans="1:11" s="406" customFormat="1" ht="19.899999999999999" customHeight="1">
      <c r="A23" s="394"/>
      <c r="B23" s="395"/>
      <c r="C23" s="394"/>
      <c r="D23" s="400"/>
      <c r="E23" s="389"/>
      <c r="F23" s="389"/>
      <c r="G23" s="389"/>
      <c r="H23" s="389">
        <v>0.04</v>
      </c>
    </row>
    <row r="24" spans="1:11" s="406" customFormat="1" ht="19.899999999999999" customHeight="1">
      <c r="A24" s="394"/>
      <c r="B24" s="395"/>
      <c r="C24" s="394"/>
      <c r="D24" s="401"/>
      <c r="E24" s="389"/>
      <c r="F24" s="389"/>
      <c r="G24" s="389"/>
      <c r="H24" s="402">
        <f>SUM(H22:H23)</f>
        <v>2.2911250000000001</v>
      </c>
    </row>
    <row r="25" spans="1:11" s="406" customFormat="1" ht="19.899999999999999" customHeight="1">
      <c r="A25" s="394"/>
      <c r="B25" s="395"/>
      <c r="C25" s="394"/>
      <c r="D25" s="401"/>
      <c r="E25" s="389"/>
      <c r="F25" s="402" t="s">
        <v>15</v>
      </c>
      <c r="G25" s="402">
        <f>H24</f>
        <v>2.2911250000000001</v>
      </c>
      <c r="H25" s="403" t="s">
        <v>16</v>
      </c>
    </row>
    <row r="26" spans="1:11" ht="19.899999999999999" customHeight="1">
      <c r="A26" s="388">
        <v>4</v>
      </c>
      <c r="B26" s="1700" t="s">
        <v>1190</v>
      </c>
      <c r="C26" s="1700"/>
      <c r="D26" s="1700"/>
      <c r="E26" s="1700"/>
      <c r="F26" s="1700"/>
      <c r="G26" s="1700"/>
      <c r="H26" s="389"/>
    </row>
    <row r="27" spans="1:11" ht="19.899999999999999" customHeight="1">
      <c r="A27" s="388"/>
      <c r="B27" s="391" t="s">
        <v>1186</v>
      </c>
      <c r="C27" s="388"/>
      <c r="D27" s="392"/>
      <c r="E27" s="389"/>
      <c r="F27" s="389"/>
      <c r="G27" s="389"/>
      <c r="H27" s="389"/>
    </row>
    <row r="28" spans="1:11" ht="19.899999999999999" customHeight="1">
      <c r="A28" s="388"/>
      <c r="B28" s="395" t="s">
        <v>1194</v>
      </c>
      <c r="C28" s="394">
        <v>1</v>
      </c>
      <c r="D28" s="392">
        <v>1</v>
      </c>
      <c r="E28" s="389">
        <f>E22</f>
        <v>39.15</v>
      </c>
      <c r="F28" s="389"/>
      <c r="G28" s="389"/>
      <c r="H28" s="389">
        <f t="shared" ref="H28" si="3">PRODUCT(C28:G28)</f>
        <v>39.15</v>
      </c>
    </row>
    <row r="29" spans="1:11" ht="19.899999999999999" customHeight="1">
      <c r="A29" s="388"/>
      <c r="B29" s="395"/>
      <c r="C29" s="394"/>
      <c r="D29" s="392"/>
      <c r="E29" s="389"/>
      <c r="F29" s="389"/>
      <c r="G29" s="389"/>
      <c r="H29" s="402">
        <f>SUM(H28:H28)</f>
        <v>39.15</v>
      </c>
    </row>
    <row r="30" spans="1:11" ht="19.899999999999999" customHeight="1">
      <c r="A30" s="388"/>
      <c r="B30" s="395"/>
      <c r="C30" s="394"/>
      <c r="D30" s="392"/>
      <c r="E30" s="389"/>
      <c r="F30" s="402" t="s">
        <v>15</v>
      </c>
      <c r="G30" s="402">
        <f>H29</f>
        <v>39.15</v>
      </c>
      <c r="H30" s="403" t="s">
        <v>61</v>
      </c>
    </row>
    <row r="31" spans="1:11" ht="19.899999999999999" customHeight="1">
      <c r="A31" s="388">
        <v>5</v>
      </c>
      <c r="B31" s="1700" t="s">
        <v>1191</v>
      </c>
      <c r="C31" s="1700"/>
      <c r="D31" s="1700"/>
      <c r="E31" s="1700"/>
      <c r="F31" s="1700"/>
      <c r="G31" s="1700"/>
      <c r="H31" s="389"/>
    </row>
    <row r="32" spans="1:11" ht="19.899999999999999" customHeight="1">
      <c r="A32" s="388"/>
      <c r="B32" s="391" t="s">
        <v>1186</v>
      </c>
      <c r="C32" s="388"/>
      <c r="D32" s="392"/>
      <c r="E32" s="389"/>
      <c r="F32" s="389"/>
      <c r="G32" s="389"/>
      <c r="H32" s="389"/>
    </row>
    <row r="33" spans="1:11" ht="19.899999999999999" customHeight="1">
      <c r="A33" s="388"/>
      <c r="B33" s="395" t="s">
        <v>1194</v>
      </c>
      <c r="C33" s="394">
        <v>1</v>
      </c>
      <c r="D33" s="392">
        <v>1</v>
      </c>
      <c r="E33" s="389">
        <f>E28</f>
        <v>39.15</v>
      </c>
      <c r="F33" s="389"/>
      <c r="G33" s="389">
        <v>0.5</v>
      </c>
      <c r="H33" s="389">
        <f t="shared" ref="H33" si="4">PRODUCT(C33:G33)</f>
        <v>19.574999999999999</v>
      </c>
    </row>
    <row r="34" spans="1:11" ht="19.899999999999999" customHeight="1">
      <c r="A34" s="388"/>
      <c r="B34" s="395"/>
      <c r="C34" s="394"/>
      <c r="D34" s="392"/>
      <c r="E34" s="389"/>
      <c r="F34" s="389"/>
      <c r="G34" s="389"/>
      <c r="H34" s="402">
        <f>SUM(H33:H33)</f>
        <v>19.574999999999999</v>
      </c>
    </row>
    <row r="35" spans="1:11" ht="19.899999999999999" customHeight="1">
      <c r="A35" s="388"/>
      <c r="B35" s="395"/>
      <c r="C35" s="394"/>
      <c r="D35" s="392"/>
      <c r="E35" s="389"/>
      <c r="F35" s="402" t="s">
        <v>15</v>
      </c>
      <c r="G35" s="402">
        <f>H34</f>
        <v>19.574999999999999</v>
      </c>
      <c r="H35" s="403" t="s">
        <v>37</v>
      </c>
      <c r="K35" s="399"/>
    </row>
    <row r="36" spans="1:11" ht="49.9" customHeight="1">
      <c r="A36" s="410">
        <v>6</v>
      </c>
      <c r="B36" s="1699" t="s">
        <v>1192</v>
      </c>
      <c r="C36" s="1699"/>
      <c r="D36" s="1699"/>
      <c r="E36" s="1699"/>
      <c r="F36" s="1699"/>
      <c r="G36" s="1699"/>
      <c r="H36" s="412"/>
    </row>
    <row r="37" spans="1:11" ht="19.899999999999999" customHeight="1">
      <c r="A37" s="410"/>
      <c r="B37" s="391" t="s">
        <v>1186</v>
      </c>
      <c r="C37" s="411"/>
      <c r="D37" s="411"/>
      <c r="E37" s="412"/>
      <c r="F37" s="412"/>
      <c r="G37" s="412"/>
      <c r="H37" s="412"/>
    </row>
    <row r="38" spans="1:11" ht="19.899999999999999" customHeight="1">
      <c r="A38" s="388"/>
      <c r="B38" s="395" t="s">
        <v>1194</v>
      </c>
      <c r="C38" s="394">
        <v>1</v>
      </c>
      <c r="D38" s="392">
        <v>1</v>
      </c>
      <c r="E38" s="389">
        <v>3.05</v>
      </c>
      <c r="F38" s="389">
        <v>6.5</v>
      </c>
      <c r="G38" s="389">
        <v>0.3</v>
      </c>
      <c r="H38" s="389">
        <f>PRODUCT(C38:G38)</f>
        <v>5.9474999999999998</v>
      </c>
    </row>
    <row r="39" spans="1:11" ht="19.899999999999999" customHeight="1">
      <c r="A39" s="388"/>
      <c r="B39" s="395"/>
      <c r="C39" s="394"/>
      <c r="D39" s="418"/>
      <c r="E39" s="389"/>
      <c r="F39" s="389"/>
      <c r="G39" s="389"/>
      <c r="H39" s="389">
        <v>0.05</v>
      </c>
    </row>
    <row r="40" spans="1:11" ht="19.899999999999999" customHeight="1">
      <c r="A40" s="388"/>
      <c r="B40" s="395"/>
      <c r="C40" s="394"/>
      <c r="D40" s="392"/>
      <c r="E40" s="389"/>
      <c r="F40" s="389"/>
      <c r="G40" s="389"/>
      <c r="H40" s="402">
        <v>6</v>
      </c>
    </row>
    <row r="41" spans="1:11" ht="19.899999999999999" customHeight="1">
      <c r="A41" s="388"/>
      <c r="B41" s="395"/>
      <c r="C41" s="394"/>
      <c r="D41" s="392"/>
      <c r="E41" s="389"/>
      <c r="F41" s="402" t="s">
        <v>15</v>
      </c>
      <c r="G41" s="402">
        <f>H40</f>
        <v>6</v>
      </c>
      <c r="H41" s="403" t="s">
        <v>16</v>
      </c>
      <c r="K41" s="399"/>
    </row>
    <row r="42" spans="1:11" ht="19.899999999999999" customHeight="1">
      <c r="A42" s="410">
        <v>7</v>
      </c>
      <c r="B42" s="1699" t="s">
        <v>1193</v>
      </c>
      <c r="C42" s="1699"/>
      <c r="D42" s="1699"/>
      <c r="E42" s="1699"/>
      <c r="F42" s="1699"/>
      <c r="G42" s="1699"/>
      <c r="H42" s="412"/>
    </row>
    <row r="43" spans="1:11" ht="19.899999999999999" customHeight="1">
      <c r="A43" s="410"/>
      <c r="B43" s="391" t="s">
        <v>1186</v>
      </c>
      <c r="C43" s="411"/>
      <c r="D43" s="411"/>
      <c r="E43" s="412"/>
      <c r="F43" s="412"/>
      <c r="G43" s="412"/>
      <c r="H43" s="412"/>
    </row>
    <row r="44" spans="1:11" ht="19.899999999999999" customHeight="1">
      <c r="A44" s="388"/>
      <c r="B44" s="395" t="s">
        <v>1194</v>
      </c>
      <c r="C44" s="394">
        <v>1</v>
      </c>
      <c r="D44" s="392">
        <v>1</v>
      </c>
      <c r="E44" s="389">
        <v>39.15</v>
      </c>
      <c r="F44" s="389">
        <v>6</v>
      </c>
      <c r="G44" s="389"/>
      <c r="H44" s="389">
        <f>PRODUCT(C44:G44)</f>
        <v>234.89999999999998</v>
      </c>
    </row>
    <row r="45" spans="1:11" ht="19.899999999999999" customHeight="1">
      <c r="A45" s="388"/>
      <c r="B45" s="395" t="s">
        <v>1194</v>
      </c>
      <c r="C45" s="394">
        <v>2</v>
      </c>
      <c r="D45" s="418">
        <v>0.5</v>
      </c>
      <c r="E45" s="389">
        <v>1.5</v>
      </c>
      <c r="F45" s="389">
        <v>1.5</v>
      </c>
      <c r="G45" s="389"/>
      <c r="H45" s="389">
        <f>PRODUCT(C45:G45)</f>
        <v>2.25</v>
      </c>
    </row>
    <row r="46" spans="1:11" ht="19.899999999999999" customHeight="1">
      <c r="A46" s="388"/>
      <c r="B46" s="395"/>
      <c r="C46" s="394"/>
      <c r="D46" s="418"/>
      <c r="E46" s="389"/>
      <c r="F46" s="389"/>
      <c r="G46" s="389"/>
      <c r="H46" s="389">
        <v>7.0000000000000007E-2</v>
      </c>
    </row>
    <row r="47" spans="1:11" ht="19.899999999999999" customHeight="1">
      <c r="A47" s="388"/>
      <c r="B47" s="395"/>
      <c r="C47" s="394"/>
      <c r="D47" s="392"/>
      <c r="E47" s="389"/>
      <c r="F47" s="389"/>
      <c r="G47" s="389"/>
      <c r="H47" s="402">
        <f>SUM(H44:H46)</f>
        <v>237.21999999999997</v>
      </c>
    </row>
    <row r="48" spans="1:11" ht="19.899999999999999" customHeight="1">
      <c r="A48" s="410"/>
      <c r="B48" s="413"/>
      <c r="C48" s="411"/>
      <c r="D48" s="411"/>
      <c r="E48" s="412"/>
      <c r="F48" s="402" t="s">
        <v>15</v>
      </c>
      <c r="G48" s="402">
        <f>H47</f>
        <v>237.21999999999997</v>
      </c>
      <c r="H48" s="403" t="s">
        <v>37</v>
      </c>
    </row>
    <row r="1088" spans="1:15" s="416" customFormat="1">
      <c r="A1088" s="414"/>
      <c r="B1088" s="415"/>
      <c r="E1088" s="417"/>
      <c r="F1088" s="417"/>
      <c r="G1088" s="417"/>
      <c r="H1088" s="417"/>
      <c r="I1088" s="390"/>
      <c r="J1088" s="390"/>
      <c r="K1088" s="390"/>
      <c r="L1088" s="390"/>
      <c r="M1088" s="390"/>
      <c r="N1088" s="390"/>
      <c r="O1088" s="390"/>
    </row>
  </sheetData>
  <mergeCells count="15">
    <mergeCell ref="A1:H1"/>
    <mergeCell ref="A2:H2"/>
    <mergeCell ref="A3:H3"/>
    <mergeCell ref="A4:A5"/>
    <mergeCell ref="B4:B5"/>
    <mergeCell ref="C4:D5"/>
    <mergeCell ref="E4:G4"/>
    <mergeCell ref="H4:H5"/>
    <mergeCell ref="B42:G42"/>
    <mergeCell ref="B6:G6"/>
    <mergeCell ref="B12:G12"/>
    <mergeCell ref="B19:G19"/>
    <mergeCell ref="B26:G26"/>
    <mergeCell ref="B31:G31"/>
    <mergeCell ref="B36:G36"/>
  </mergeCells>
  <printOptions horizontalCentered="1"/>
  <pageMargins left="0.6" right="0.6" top="0.6" bottom="0.3" header="0.31496062992126" footer="0.31496062992126"/>
  <pageSetup paperSize="9" scale="77" orientation="portrait" r:id="rId1"/>
  <headerFooter>
    <oddHeader>Page &amp;P</oddHeader>
  </headerFooter>
</worksheet>
</file>

<file path=xl/worksheets/sheet31.xml><?xml version="1.0" encoding="utf-8"?>
<worksheet xmlns="http://schemas.openxmlformats.org/spreadsheetml/2006/main" xmlns:r="http://schemas.openxmlformats.org/officeDocument/2006/relationships">
  <dimension ref="A1:O125"/>
  <sheetViews>
    <sheetView view="pageBreakPreview" topLeftCell="A49" zoomScaleSheetLayoutView="100" workbookViewId="0">
      <selection sqref="A1:I1"/>
    </sheetView>
  </sheetViews>
  <sheetFormatPr defaultColWidth="8.109375" defaultRowHeight="15"/>
  <cols>
    <col min="1" max="1" width="3.88671875" style="506" customWidth="1"/>
    <col min="2" max="2" width="30.5546875" style="510" customWidth="1"/>
    <col min="3" max="4" width="3" style="506" customWidth="1"/>
    <col min="5" max="5" width="4.6640625" style="506" customWidth="1"/>
    <col min="6" max="6" width="7.5546875" style="511" customWidth="1"/>
    <col min="7" max="7" width="5.44140625" style="511" customWidth="1"/>
    <col min="8" max="8" width="6.21875" style="511" customWidth="1"/>
    <col min="9" max="9" width="7.21875" style="511" customWidth="1"/>
    <col min="10" max="10" width="8.109375" style="469"/>
    <col min="11" max="11" width="7.109375" style="511" customWidth="1"/>
    <col min="12" max="250" width="8.109375" style="469"/>
    <col min="251" max="251" width="5.21875" style="469" customWidth="1"/>
    <col min="252" max="252" width="27.21875" style="469" customWidth="1"/>
    <col min="253" max="253" width="4.77734375" style="469" customWidth="1"/>
    <col min="254" max="254" width="3.21875" style="469" customWidth="1"/>
    <col min="255" max="255" width="6.44140625" style="469" customWidth="1"/>
    <col min="256" max="256" width="6.88671875" style="469" customWidth="1"/>
    <col min="257" max="257" width="4.77734375" style="469" customWidth="1"/>
    <col min="258" max="258" width="6.109375" style="469" customWidth="1"/>
    <col min="259" max="259" width="7.6640625" style="469" customWidth="1"/>
    <col min="260" max="506" width="8.109375" style="469"/>
    <col min="507" max="507" width="5.21875" style="469" customWidth="1"/>
    <col min="508" max="508" width="27.21875" style="469" customWidth="1"/>
    <col min="509" max="509" width="4.77734375" style="469" customWidth="1"/>
    <col min="510" max="510" width="3.21875" style="469" customWidth="1"/>
    <col min="511" max="511" width="6.44140625" style="469" customWidth="1"/>
    <col min="512" max="512" width="6.88671875" style="469" customWidth="1"/>
    <col min="513" max="513" width="4.77734375" style="469" customWidth="1"/>
    <col min="514" max="514" width="6.109375" style="469" customWidth="1"/>
    <col min="515" max="515" width="7.6640625" style="469" customWidth="1"/>
    <col min="516" max="762" width="8.109375" style="469"/>
    <col min="763" max="763" width="5.21875" style="469" customWidth="1"/>
    <col min="764" max="764" width="27.21875" style="469" customWidth="1"/>
    <col min="765" max="765" width="4.77734375" style="469" customWidth="1"/>
    <col min="766" max="766" width="3.21875" style="469" customWidth="1"/>
    <col min="767" max="767" width="6.44140625" style="469" customWidth="1"/>
    <col min="768" max="768" width="6.88671875" style="469" customWidth="1"/>
    <col min="769" max="769" width="4.77734375" style="469" customWidth="1"/>
    <col min="770" max="770" width="6.109375" style="469" customWidth="1"/>
    <col min="771" max="771" width="7.6640625" style="469" customWidth="1"/>
    <col min="772" max="1018" width="8.109375" style="469"/>
    <col min="1019" max="1019" width="5.21875" style="469" customWidth="1"/>
    <col min="1020" max="1020" width="27.21875" style="469" customWidth="1"/>
    <col min="1021" max="1021" width="4.77734375" style="469" customWidth="1"/>
    <col min="1022" max="1022" width="3.21875" style="469" customWidth="1"/>
    <col min="1023" max="1023" width="6.44140625" style="469" customWidth="1"/>
    <col min="1024" max="1024" width="6.88671875" style="469" customWidth="1"/>
    <col min="1025" max="1025" width="4.77734375" style="469" customWidth="1"/>
    <col min="1026" max="1026" width="6.109375" style="469" customWidth="1"/>
    <col min="1027" max="1027" width="7.6640625" style="469" customWidth="1"/>
    <col min="1028" max="1274" width="8.109375" style="469"/>
    <col min="1275" max="1275" width="5.21875" style="469" customWidth="1"/>
    <col min="1276" max="1276" width="27.21875" style="469" customWidth="1"/>
    <col min="1277" max="1277" width="4.77734375" style="469" customWidth="1"/>
    <col min="1278" max="1278" width="3.21875" style="469" customWidth="1"/>
    <col min="1279" max="1279" width="6.44140625" style="469" customWidth="1"/>
    <col min="1280" max="1280" width="6.88671875" style="469" customWidth="1"/>
    <col min="1281" max="1281" width="4.77734375" style="469" customWidth="1"/>
    <col min="1282" max="1282" width="6.109375" style="469" customWidth="1"/>
    <col min="1283" max="1283" width="7.6640625" style="469" customWidth="1"/>
    <col min="1284" max="1530" width="8.109375" style="469"/>
    <col min="1531" max="1531" width="5.21875" style="469" customWidth="1"/>
    <col min="1532" max="1532" width="27.21875" style="469" customWidth="1"/>
    <col min="1533" max="1533" width="4.77734375" style="469" customWidth="1"/>
    <col min="1534" max="1534" width="3.21875" style="469" customWidth="1"/>
    <col min="1535" max="1535" width="6.44140625" style="469" customWidth="1"/>
    <col min="1536" max="1536" width="6.88671875" style="469" customWidth="1"/>
    <col min="1537" max="1537" width="4.77734375" style="469" customWidth="1"/>
    <col min="1538" max="1538" width="6.109375" style="469" customWidth="1"/>
    <col min="1539" max="1539" width="7.6640625" style="469" customWidth="1"/>
    <col min="1540" max="1786" width="8.109375" style="469"/>
    <col min="1787" max="1787" width="5.21875" style="469" customWidth="1"/>
    <col min="1788" max="1788" width="27.21875" style="469" customWidth="1"/>
    <col min="1789" max="1789" width="4.77734375" style="469" customWidth="1"/>
    <col min="1790" max="1790" width="3.21875" style="469" customWidth="1"/>
    <col min="1791" max="1791" width="6.44140625" style="469" customWidth="1"/>
    <col min="1792" max="1792" width="6.88671875" style="469" customWidth="1"/>
    <col min="1793" max="1793" width="4.77734375" style="469" customWidth="1"/>
    <col min="1794" max="1794" width="6.109375" style="469" customWidth="1"/>
    <col min="1795" max="1795" width="7.6640625" style="469" customWidth="1"/>
    <col min="1796" max="2042" width="8.109375" style="469"/>
    <col min="2043" max="2043" width="5.21875" style="469" customWidth="1"/>
    <col min="2044" max="2044" width="27.21875" style="469" customWidth="1"/>
    <col min="2045" max="2045" width="4.77734375" style="469" customWidth="1"/>
    <col min="2046" max="2046" width="3.21875" style="469" customWidth="1"/>
    <col min="2047" max="2047" width="6.44140625" style="469" customWidth="1"/>
    <col min="2048" max="2048" width="6.88671875" style="469" customWidth="1"/>
    <col min="2049" max="2049" width="4.77734375" style="469" customWidth="1"/>
    <col min="2050" max="2050" width="6.109375" style="469" customWidth="1"/>
    <col min="2051" max="2051" width="7.6640625" style="469" customWidth="1"/>
    <col min="2052" max="2298" width="8.109375" style="469"/>
    <col min="2299" max="2299" width="5.21875" style="469" customWidth="1"/>
    <col min="2300" max="2300" width="27.21875" style="469" customWidth="1"/>
    <col min="2301" max="2301" width="4.77734375" style="469" customWidth="1"/>
    <col min="2302" max="2302" width="3.21875" style="469" customWidth="1"/>
    <col min="2303" max="2303" width="6.44140625" style="469" customWidth="1"/>
    <col min="2304" max="2304" width="6.88671875" style="469" customWidth="1"/>
    <col min="2305" max="2305" width="4.77734375" style="469" customWidth="1"/>
    <col min="2306" max="2306" width="6.109375" style="469" customWidth="1"/>
    <col min="2307" max="2307" width="7.6640625" style="469" customWidth="1"/>
    <col min="2308" max="2554" width="8.109375" style="469"/>
    <col min="2555" max="2555" width="5.21875" style="469" customWidth="1"/>
    <col min="2556" max="2556" width="27.21875" style="469" customWidth="1"/>
    <col min="2557" max="2557" width="4.77734375" style="469" customWidth="1"/>
    <col min="2558" max="2558" width="3.21875" style="469" customWidth="1"/>
    <col min="2559" max="2559" width="6.44140625" style="469" customWidth="1"/>
    <col min="2560" max="2560" width="6.88671875" style="469" customWidth="1"/>
    <col min="2561" max="2561" width="4.77734375" style="469" customWidth="1"/>
    <col min="2562" max="2562" width="6.109375" style="469" customWidth="1"/>
    <col min="2563" max="2563" width="7.6640625" style="469" customWidth="1"/>
    <col min="2564" max="2810" width="8.109375" style="469"/>
    <col min="2811" max="2811" width="5.21875" style="469" customWidth="1"/>
    <col min="2812" max="2812" width="27.21875" style="469" customWidth="1"/>
    <col min="2813" max="2813" width="4.77734375" style="469" customWidth="1"/>
    <col min="2814" max="2814" width="3.21875" style="469" customWidth="1"/>
    <col min="2815" max="2815" width="6.44140625" style="469" customWidth="1"/>
    <col min="2816" max="2816" width="6.88671875" style="469" customWidth="1"/>
    <col min="2817" max="2817" width="4.77734375" style="469" customWidth="1"/>
    <col min="2818" max="2818" width="6.109375" style="469" customWidth="1"/>
    <col min="2819" max="2819" width="7.6640625" style="469" customWidth="1"/>
    <col min="2820" max="3066" width="8.109375" style="469"/>
    <col min="3067" max="3067" width="5.21875" style="469" customWidth="1"/>
    <col min="3068" max="3068" width="27.21875" style="469" customWidth="1"/>
    <col min="3069" max="3069" width="4.77734375" style="469" customWidth="1"/>
    <col min="3070" max="3070" width="3.21875" style="469" customWidth="1"/>
    <col min="3071" max="3071" width="6.44140625" style="469" customWidth="1"/>
    <col min="3072" max="3072" width="6.88671875" style="469" customWidth="1"/>
    <col min="3073" max="3073" width="4.77734375" style="469" customWidth="1"/>
    <col min="3074" max="3074" width="6.109375" style="469" customWidth="1"/>
    <col min="3075" max="3075" width="7.6640625" style="469" customWidth="1"/>
    <col min="3076" max="3322" width="8.109375" style="469"/>
    <col min="3323" max="3323" width="5.21875" style="469" customWidth="1"/>
    <col min="3324" max="3324" width="27.21875" style="469" customWidth="1"/>
    <col min="3325" max="3325" width="4.77734375" style="469" customWidth="1"/>
    <col min="3326" max="3326" width="3.21875" style="469" customWidth="1"/>
    <col min="3327" max="3327" width="6.44140625" style="469" customWidth="1"/>
    <col min="3328" max="3328" width="6.88671875" style="469" customWidth="1"/>
    <col min="3329" max="3329" width="4.77734375" style="469" customWidth="1"/>
    <col min="3330" max="3330" width="6.109375" style="469" customWidth="1"/>
    <col min="3331" max="3331" width="7.6640625" style="469" customWidth="1"/>
    <col min="3332" max="3578" width="8.109375" style="469"/>
    <col min="3579" max="3579" width="5.21875" style="469" customWidth="1"/>
    <col min="3580" max="3580" width="27.21875" style="469" customWidth="1"/>
    <col min="3581" max="3581" width="4.77734375" style="469" customWidth="1"/>
    <col min="3582" max="3582" width="3.21875" style="469" customWidth="1"/>
    <col min="3583" max="3583" width="6.44140625" style="469" customWidth="1"/>
    <col min="3584" max="3584" width="6.88671875" style="469" customWidth="1"/>
    <col min="3585" max="3585" width="4.77734375" style="469" customWidth="1"/>
    <col min="3586" max="3586" width="6.109375" style="469" customWidth="1"/>
    <col min="3587" max="3587" width="7.6640625" style="469" customWidth="1"/>
    <col min="3588" max="3834" width="8.109375" style="469"/>
    <col min="3835" max="3835" width="5.21875" style="469" customWidth="1"/>
    <col min="3836" max="3836" width="27.21875" style="469" customWidth="1"/>
    <col min="3837" max="3837" width="4.77734375" style="469" customWidth="1"/>
    <col min="3838" max="3838" width="3.21875" style="469" customWidth="1"/>
    <col min="3839" max="3839" width="6.44140625" style="469" customWidth="1"/>
    <col min="3840" max="3840" width="6.88671875" style="469" customWidth="1"/>
    <col min="3841" max="3841" width="4.77734375" style="469" customWidth="1"/>
    <col min="3842" max="3842" width="6.109375" style="469" customWidth="1"/>
    <col min="3843" max="3843" width="7.6640625" style="469" customWidth="1"/>
    <col min="3844" max="4090" width="8.109375" style="469"/>
    <col min="4091" max="4091" width="5.21875" style="469" customWidth="1"/>
    <col min="4092" max="4092" width="27.21875" style="469" customWidth="1"/>
    <col min="4093" max="4093" width="4.77734375" style="469" customWidth="1"/>
    <col min="4094" max="4094" width="3.21875" style="469" customWidth="1"/>
    <col min="4095" max="4095" width="6.44140625" style="469" customWidth="1"/>
    <col min="4096" max="4096" width="6.88671875" style="469" customWidth="1"/>
    <col min="4097" max="4097" width="4.77734375" style="469" customWidth="1"/>
    <col min="4098" max="4098" width="6.109375" style="469" customWidth="1"/>
    <col min="4099" max="4099" width="7.6640625" style="469" customWidth="1"/>
    <col min="4100" max="4346" width="8.109375" style="469"/>
    <col min="4347" max="4347" width="5.21875" style="469" customWidth="1"/>
    <col min="4348" max="4348" width="27.21875" style="469" customWidth="1"/>
    <col min="4349" max="4349" width="4.77734375" style="469" customWidth="1"/>
    <col min="4350" max="4350" width="3.21875" style="469" customWidth="1"/>
    <col min="4351" max="4351" width="6.44140625" style="469" customWidth="1"/>
    <col min="4352" max="4352" width="6.88671875" style="469" customWidth="1"/>
    <col min="4353" max="4353" width="4.77734375" style="469" customWidth="1"/>
    <col min="4354" max="4354" width="6.109375" style="469" customWidth="1"/>
    <col min="4355" max="4355" width="7.6640625" style="469" customWidth="1"/>
    <col min="4356" max="4602" width="8.109375" style="469"/>
    <col min="4603" max="4603" width="5.21875" style="469" customWidth="1"/>
    <col min="4604" max="4604" width="27.21875" style="469" customWidth="1"/>
    <col min="4605" max="4605" width="4.77734375" style="469" customWidth="1"/>
    <col min="4606" max="4606" width="3.21875" style="469" customWidth="1"/>
    <col min="4607" max="4607" width="6.44140625" style="469" customWidth="1"/>
    <col min="4608" max="4608" width="6.88671875" style="469" customWidth="1"/>
    <col min="4609" max="4609" width="4.77734375" style="469" customWidth="1"/>
    <col min="4610" max="4610" width="6.109375" style="469" customWidth="1"/>
    <col min="4611" max="4611" width="7.6640625" style="469" customWidth="1"/>
    <col min="4612" max="4858" width="8.109375" style="469"/>
    <col min="4859" max="4859" width="5.21875" style="469" customWidth="1"/>
    <col min="4860" max="4860" width="27.21875" style="469" customWidth="1"/>
    <col min="4861" max="4861" width="4.77734375" style="469" customWidth="1"/>
    <col min="4862" max="4862" width="3.21875" style="469" customWidth="1"/>
    <col min="4863" max="4863" width="6.44140625" style="469" customWidth="1"/>
    <col min="4864" max="4864" width="6.88671875" style="469" customWidth="1"/>
    <col min="4865" max="4865" width="4.77734375" style="469" customWidth="1"/>
    <col min="4866" max="4866" width="6.109375" style="469" customWidth="1"/>
    <col min="4867" max="4867" width="7.6640625" style="469" customWidth="1"/>
    <col min="4868" max="5114" width="8.109375" style="469"/>
    <col min="5115" max="5115" width="5.21875" style="469" customWidth="1"/>
    <col min="5116" max="5116" width="27.21875" style="469" customWidth="1"/>
    <col min="5117" max="5117" width="4.77734375" style="469" customWidth="1"/>
    <col min="5118" max="5118" width="3.21875" style="469" customWidth="1"/>
    <col min="5119" max="5119" width="6.44140625" style="469" customWidth="1"/>
    <col min="5120" max="5120" width="6.88671875" style="469" customWidth="1"/>
    <col min="5121" max="5121" width="4.77734375" style="469" customWidth="1"/>
    <col min="5122" max="5122" width="6.109375" style="469" customWidth="1"/>
    <col min="5123" max="5123" width="7.6640625" style="469" customWidth="1"/>
    <col min="5124" max="5370" width="8.109375" style="469"/>
    <col min="5371" max="5371" width="5.21875" style="469" customWidth="1"/>
    <col min="5372" max="5372" width="27.21875" style="469" customWidth="1"/>
    <col min="5373" max="5373" width="4.77734375" style="469" customWidth="1"/>
    <col min="5374" max="5374" width="3.21875" style="469" customWidth="1"/>
    <col min="5375" max="5375" width="6.44140625" style="469" customWidth="1"/>
    <col min="5376" max="5376" width="6.88671875" style="469" customWidth="1"/>
    <col min="5377" max="5377" width="4.77734375" style="469" customWidth="1"/>
    <col min="5378" max="5378" width="6.109375" style="469" customWidth="1"/>
    <col min="5379" max="5379" width="7.6640625" style="469" customWidth="1"/>
    <col min="5380" max="5626" width="8.109375" style="469"/>
    <col min="5627" max="5627" width="5.21875" style="469" customWidth="1"/>
    <col min="5628" max="5628" width="27.21875" style="469" customWidth="1"/>
    <col min="5629" max="5629" width="4.77734375" style="469" customWidth="1"/>
    <col min="5630" max="5630" width="3.21875" style="469" customWidth="1"/>
    <col min="5631" max="5631" width="6.44140625" style="469" customWidth="1"/>
    <col min="5632" max="5632" width="6.88671875" style="469" customWidth="1"/>
    <col min="5633" max="5633" width="4.77734375" style="469" customWidth="1"/>
    <col min="5634" max="5634" width="6.109375" style="469" customWidth="1"/>
    <col min="5635" max="5635" width="7.6640625" style="469" customWidth="1"/>
    <col min="5636" max="5882" width="8.109375" style="469"/>
    <col min="5883" max="5883" width="5.21875" style="469" customWidth="1"/>
    <col min="5884" max="5884" width="27.21875" style="469" customWidth="1"/>
    <col min="5885" max="5885" width="4.77734375" style="469" customWidth="1"/>
    <col min="5886" max="5886" width="3.21875" style="469" customWidth="1"/>
    <col min="5887" max="5887" width="6.44140625" style="469" customWidth="1"/>
    <col min="5888" max="5888" width="6.88671875" style="469" customWidth="1"/>
    <col min="5889" max="5889" width="4.77734375" style="469" customWidth="1"/>
    <col min="5890" max="5890" width="6.109375" style="469" customWidth="1"/>
    <col min="5891" max="5891" width="7.6640625" style="469" customWidth="1"/>
    <col min="5892" max="6138" width="8.109375" style="469"/>
    <col min="6139" max="6139" width="5.21875" style="469" customWidth="1"/>
    <col min="6140" max="6140" width="27.21875" style="469" customWidth="1"/>
    <col min="6141" max="6141" width="4.77734375" style="469" customWidth="1"/>
    <col min="6142" max="6142" width="3.21875" style="469" customWidth="1"/>
    <col min="6143" max="6143" width="6.44140625" style="469" customWidth="1"/>
    <col min="6144" max="6144" width="6.88671875" style="469" customWidth="1"/>
    <col min="6145" max="6145" width="4.77734375" style="469" customWidth="1"/>
    <col min="6146" max="6146" width="6.109375" style="469" customWidth="1"/>
    <col min="6147" max="6147" width="7.6640625" style="469" customWidth="1"/>
    <col min="6148" max="6394" width="8.109375" style="469"/>
    <col min="6395" max="6395" width="5.21875" style="469" customWidth="1"/>
    <col min="6396" max="6396" width="27.21875" style="469" customWidth="1"/>
    <col min="6397" max="6397" width="4.77734375" style="469" customWidth="1"/>
    <col min="6398" max="6398" width="3.21875" style="469" customWidth="1"/>
    <col min="6399" max="6399" width="6.44140625" style="469" customWidth="1"/>
    <col min="6400" max="6400" width="6.88671875" style="469" customWidth="1"/>
    <col min="6401" max="6401" width="4.77734375" style="469" customWidth="1"/>
    <col min="6402" max="6402" width="6.109375" style="469" customWidth="1"/>
    <col min="6403" max="6403" width="7.6640625" style="469" customWidth="1"/>
    <col min="6404" max="6650" width="8.109375" style="469"/>
    <col min="6651" max="6651" width="5.21875" style="469" customWidth="1"/>
    <col min="6652" max="6652" width="27.21875" style="469" customWidth="1"/>
    <col min="6653" max="6653" width="4.77734375" style="469" customWidth="1"/>
    <col min="6654" max="6654" width="3.21875" style="469" customWidth="1"/>
    <col min="6655" max="6655" width="6.44140625" style="469" customWidth="1"/>
    <col min="6656" max="6656" width="6.88671875" style="469" customWidth="1"/>
    <col min="6657" max="6657" width="4.77734375" style="469" customWidth="1"/>
    <col min="6658" max="6658" width="6.109375" style="469" customWidth="1"/>
    <col min="6659" max="6659" width="7.6640625" style="469" customWidth="1"/>
    <col min="6660" max="6906" width="8.109375" style="469"/>
    <col min="6907" max="6907" width="5.21875" style="469" customWidth="1"/>
    <col min="6908" max="6908" width="27.21875" style="469" customWidth="1"/>
    <col min="6909" max="6909" width="4.77734375" style="469" customWidth="1"/>
    <col min="6910" max="6910" width="3.21875" style="469" customWidth="1"/>
    <col min="6911" max="6911" width="6.44140625" style="469" customWidth="1"/>
    <col min="6912" max="6912" width="6.88671875" style="469" customWidth="1"/>
    <col min="6913" max="6913" width="4.77734375" style="469" customWidth="1"/>
    <col min="6914" max="6914" width="6.109375" style="469" customWidth="1"/>
    <col min="6915" max="6915" width="7.6640625" style="469" customWidth="1"/>
    <col min="6916" max="7162" width="8.109375" style="469"/>
    <col min="7163" max="7163" width="5.21875" style="469" customWidth="1"/>
    <col min="7164" max="7164" width="27.21875" style="469" customWidth="1"/>
    <col min="7165" max="7165" width="4.77734375" style="469" customWidth="1"/>
    <col min="7166" max="7166" width="3.21875" style="469" customWidth="1"/>
    <col min="7167" max="7167" width="6.44140625" style="469" customWidth="1"/>
    <col min="7168" max="7168" width="6.88671875" style="469" customWidth="1"/>
    <col min="7169" max="7169" width="4.77734375" style="469" customWidth="1"/>
    <col min="7170" max="7170" width="6.109375" style="469" customWidth="1"/>
    <col min="7171" max="7171" width="7.6640625" style="469" customWidth="1"/>
    <col min="7172" max="7418" width="8.109375" style="469"/>
    <col min="7419" max="7419" width="5.21875" style="469" customWidth="1"/>
    <col min="7420" max="7420" width="27.21875" style="469" customWidth="1"/>
    <col min="7421" max="7421" width="4.77734375" style="469" customWidth="1"/>
    <col min="7422" max="7422" width="3.21875" style="469" customWidth="1"/>
    <col min="7423" max="7423" width="6.44140625" style="469" customWidth="1"/>
    <col min="7424" max="7424" width="6.88671875" style="469" customWidth="1"/>
    <col min="7425" max="7425" width="4.77734375" style="469" customWidth="1"/>
    <col min="7426" max="7426" width="6.109375" style="469" customWidth="1"/>
    <col min="7427" max="7427" width="7.6640625" style="469" customWidth="1"/>
    <col min="7428" max="7674" width="8.109375" style="469"/>
    <col min="7675" max="7675" width="5.21875" style="469" customWidth="1"/>
    <col min="7676" max="7676" width="27.21875" style="469" customWidth="1"/>
    <col min="7677" max="7677" width="4.77734375" style="469" customWidth="1"/>
    <col min="7678" max="7678" width="3.21875" style="469" customWidth="1"/>
    <col min="7679" max="7679" width="6.44140625" style="469" customWidth="1"/>
    <col min="7680" max="7680" width="6.88671875" style="469" customWidth="1"/>
    <col min="7681" max="7681" width="4.77734375" style="469" customWidth="1"/>
    <col min="7682" max="7682" width="6.109375" style="469" customWidth="1"/>
    <col min="7683" max="7683" width="7.6640625" style="469" customWidth="1"/>
    <col min="7684" max="7930" width="8.109375" style="469"/>
    <col min="7931" max="7931" width="5.21875" style="469" customWidth="1"/>
    <col min="7932" max="7932" width="27.21875" style="469" customWidth="1"/>
    <col min="7933" max="7933" width="4.77734375" style="469" customWidth="1"/>
    <col min="7934" max="7934" width="3.21875" style="469" customWidth="1"/>
    <col min="7935" max="7935" width="6.44140625" style="469" customWidth="1"/>
    <col min="7936" max="7936" width="6.88671875" style="469" customWidth="1"/>
    <col min="7937" max="7937" width="4.77734375" style="469" customWidth="1"/>
    <col min="7938" max="7938" width="6.109375" style="469" customWidth="1"/>
    <col min="7939" max="7939" width="7.6640625" style="469" customWidth="1"/>
    <col min="7940" max="8186" width="8.109375" style="469"/>
    <col min="8187" max="8187" width="5.21875" style="469" customWidth="1"/>
    <col min="8188" max="8188" width="27.21875" style="469" customWidth="1"/>
    <col min="8189" max="8189" width="4.77734375" style="469" customWidth="1"/>
    <col min="8190" max="8190" width="3.21875" style="469" customWidth="1"/>
    <col min="8191" max="8191" width="6.44140625" style="469" customWidth="1"/>
    <col min="8192" max="8192" width="6.88671875" style="469" customWidth="1"/>
    <col min="8193" max="8193" width="4.77734375" style="469" customWidth="1"/>
    <col min="8194" max="8194" width="6.109375" style="469" customWidth="1"/>
    <col min="8195" max="8195" width="7.6640625" style="469" customWidth="1"/>
    <col min="8196" max="8442" width="8.109375" style="469"/>
    <col min="8443" max="8443" width="5.21875" style="469" customWidth="1"/>
    <col min="8444" max="8444" width="27.21875" style="469" customWidth="1"/>
    <col min="8445" max="8445" width="4.77734375" style="469" customWidth="1"/>
    <col min="8446" max="8446" width="3.21875" style="469" customWidth="1"/>
    <col min="8447" max="8447" width="6.44140625" style="469" customWidth="1"/>
    <col min="8448" max="8448" width="6.88671875" style="469" customWidth="1"/>
    <col min="8449" max="8449" width="4.77734375" style="469" customWidth="1"/>
    <col min="8450" max="8450" width="6.109375" style="469" customWidth="1"/>
    <col min="8451" max="8451" width="7.6640625" style="469" customWidth="1"/>
    <col min="8452" max="8698" width="8.109375" style="469"/>
    <col min="8699" max="8699" width="5.21875" style="469" customWidth="1"/>
    <col min="8700" max="8700" width="27.21875" style="469" customWidth="1"/>
    <col min="8701" max="8701" width="4.77734375" style="469" customWidth="1"/>
    <col min="8702" max="8702" width="3.21875" style="469" customWidth="1"/>
    <col min="8703" max="8703" width="6.44140625" style="469" customWidth="1"/>
    <col min="8704" max="8704" width="6.88671875" style="469" customWidth="1"/>
    <col min="8705" max="8705" width="4.77734375" style="469" customWidth="1"/>
    <col min="8706" max="8706" width="6.109375" style="469" customWidth="1"/>
    <col min="8707" max="8707" width="7.6640625" style="469" customWidth="1"/>
    <col min="8708" max="8954" width="8.109375" style="469"/>
    <col min="8955" max="8955" width="5.21875" style="469" customWidth="1"/>
    <col min="8956" max="8956" width="27.21875" style="469" customWidth="1"/>
    <col min="8957" max="8957" width="4.77734375" style="469" customWidth="1"/>
    <col min="8958" max="8958" width="3.21875" style="469" customWidth="1"/>
    <col min="8959" max="8959" width="6.44140625" style="469" customWidth="1"/>
    <col min="8960" max="8960" width="6.88671875" style="469" customWidth="1"/>
    <col min="8961" max="8961" width="4.77734375" style="469" customWidth="1"/>
    <col min="8962" max="8962" width="6.109375" style="469" customWidth="1"/>
    <col min="8963" max="8963" width="7.6640625" style="469" customWidth="1"/>
    <col min="8964" max="9210" width="8.109375" style="469"/>
    <col min="9211" max="9211" width="5.21875" style="469" customWidth="1"/>
    <col min="9212" max="9212" width="27.21875" style="469" customWidth="1"/>
    <col min="9213" max="9213" width="4.77734375" style="469" customWidth="1"/>
    <col min="9214" max="9214" width="3.21875" style="469" customWidth="1"/>
    <col min="9215" max="9215" width="6.44140625" style="469" customWidth="1"/>
    <col min="9216" max="9216" width="6.88671875" style="469" customWidth="1"/>
    <col min="9217" max="9217" width="4.77734375" style="469" customWidth="1"/>
    <col min="9218" max="9218" width="6.109375" style="469" customWidth="1"/>
    <col min="9219" max="9219" width="7.6640625" style="469" customWidth="1"/>
    <col min="9220" max="9466" width="8.109375" style="469"/>
    <col min="9467" max="9467" width="5.21875" style="469" customWidth="1"/>
    <col min="9468" max="9468" width="27.21875" style="469" customWidth="1"/>
    <col min="9469" max="9469" width="4.77734375" style="469" customWidth="1"/>
    <col min="9470" max="9470" width="3.21875" style="469" customWidth="1"/>
    <col min="9471" max="9471" width="6.44140625" style="469" customWidth="1"/>
    <col min="9472" max="9472" width="6.88671875" style="469" customWidth="1"/>
    <col min="9473" max="9473" width="4.77734375" style="469" customWidth="1"/>
    <col min="9474" max="9474" width="6.109375" style="469" customWidth="1"/>
    <col min="9475" max="9475" width="7.6640625" style="469" customWidth="1"/>
    <col min="9476" max="9722" width="8.109375" style="469"/>
    <col min="9723" max="9723" width="5.21875" style="469" customWidth="1"/>
    <col min="9724" max="9724" width="27.21875" style="469" customWidth="1"/>
    <col min="9725" max="9725" width="4.77734375" style="469" customWidth="1"/>
    <col min="9726" max="9726" width="3.21875" style="469" customWidth="1"/>
    <col min="9727" max="9727" width="6.44140625" style="469" customWidth="1"/>
    <col min="9728" max="9728" width="6.88671875" style="469" customWidth="1"/>
    <col min="9729" max="9729" width="4.77734375" style="469" customWidth="1"/>
    <col min="9730" max="9730" width="6.109375" style="469" customWidth="1"/>
    <col min="9731" max="9731" width="7.6640625" style="469" customWidth="1"/>
    <col min="9732" max="9978" width="8.109375" style="469"/>
    <col min="9979" max="9979" width="5.21875" style="469" customWidth="1"/>
    <col min="9980" max="9980" width="27.21875" style="469" customWidth="1"/>
    <col min="9981" max="9981" width="4.77734375" style="469" customWidth="1"/>
    <col min="9982" max="9982" width="3.21875" style="469" customWidth="1"/>
    <col min="9983" max="9983" width="6.44140625" style="469" customWidth="1"/>
    <col min="9984" max="9984" width="6.88671875" style="469" customWidth="1"/>
    <col min="9985" max="9985" width="4.77734375" style="469" customWidth="1"/>
    <col min="9986" max="9986" width="6.109375" style="469" customWidth="1"/>
    <col min="9987" max="9987" width="7.6640625" style="469" customWidth="1"/>
    <col min="9988" max="10234" width="8.109375" style="469"/>
    <col min="10235" max="10235" width="5.21875" style="469" customWidth="1"/>
    <col min="10236" max="10236" width="27.21875" style="469" customWidth="1"/>
    <col min="10237" max="10237" width="4.77734375" style="469" customWidth="1"/>
    <col min="10238" max="10238" width="3.21875" style="469" customWidth="1"/>
    <col min="10239" max="10239" width="6.44140625" style="469" customWidth="1"/>
    <col min="10240" max="10240" width="6.88671875" style="469" customWidth="1"/>
    <col min="10241" max="10241" width="4.77734375" style="469" customWidth="1"/>
    <col min="10242" max="10242" width="6.109375" style="469" customWidth="1"/>
    <col min="10243" max="10243" width="7.6640625" style="469" customWidth="1"/>
    <col min="10244" max="10490" width="8.109375" style="469"/>
    <col min="10491" max="10491" width="5.21875" style="469" customWidth="1"/>
    <col min="10492" max="10492" width="27.21875" style="469" customWidth="1"/>
    <col min="10493" max="10493" width="4.77734375" style="469" customWidth="1"/>
    <col min="10494" max="10494" width="3.21875" style="469" customWidth="1"/>
    <col min="10495" max="10495" width="6.44140625" style="469" customWidth="1"/>
    <col min="10496" max="10496" width="6.88671875" style="469" customWidth="1"/>
    <col min="10497" max="10497" width="4.77734375" style="469" customWidth="1"/>
    <col min="10498" max="10498" width="6.109375" style="469" customWidth="1"/>
    <col min="10499" max="10499" width="7.6640625" style="469" customWidth="1"/>
    <col min="10500" max="10746" width="8.109375" style="469"/>
    <col min="10747" max="10747" width="5.21875" style="469" customWidth="1"/>
    <col min="10748" max="10748" width="27.21875" style="469" customWidth="1"/>
    <col min="10749" max="10749" width="4.77734375" style="469" customWidth="1"/>
    <col min="10750" max="10750" width="3.21875" style="469" customWidth="1"/>
    <col min="10751" max="10751" width="6.44140625" style="469" customWidth="1"/>
    <col min="10752" max="10752" width="6.88671875" style="469" customWidth="1"/>
    <col min="10753" max="10753" width="4.77734375" style="469" customWidth="1"/>
    <col min="10754" max="10754" width="6.109375" style="469" customWidth="1"/>
    <col min="10755" max="10755" width="7.6640625" style="469" customWidth="1"/>
    <col min="10756" max="11002" width="8.109375" style="469"/>
    <col min="11003" max="11003" width="5.21875" style="469" customWidth="1"/>
    <col min="11004" max="11004" width="27.21875" style="469" customWidth="1"/>
    <col min="11005" max="11005" width="4.77734375" style="469" customWidth="1"/>
    <col min="11006" max="11006" width="3.21875" style="469" customWidth="1"/>
    <col min="11007" max="11007" width="6.44140625" style="469" customWidth="1"/>
    <col min="11008" max="11008" width="6.88671875" style="469" customWidth="1"/>
    <col min="11009" max="11009" width="4.77734375" style="469" customWidth="1"/>
    <col min="11010" max="11010" width="6.109375" style="469" customWidth="1"/>
    <col min="11011" max="11011" width="7.6640625" style="469" customWidth="1"/>
    <col min="11012" max="11258" width="8.109375" style="469"/>
    <col min="11259" max="11259" width="5.21875" style="469" customWidth="1"/>
    <col min="11260" max="11260" width="27.21875" style="469" customWidth="1"/>
    <col min="11261" max="11261" width="4.77734375" style="469" customWidth="1"/>
    <col min="11262" max="11262" width="3.21875" style="469" customWidth="1"/>
    <col min="11263" max="11263" width="6.44140625" style="469" customWidth="1"/>
    <col min="11264" max="11264" width="6.88671875" style="469" customWidth="1"/>
    <col min="11265" max="11265" width="4.77734375" style="469" customWidth="1"/>
    <col min="11266" max="11266" width="6.109375" style="469" customWidth="1"/>
    <col min="11267" max="11267" width="7.6640625" style="469" customWidth="1"/>
    <col min="11268" max="11514" width="8.109375" style="469"/>
    <col min="11515" max="11515" width="5.21875" style="469" customWidth="1"/>
    <col min="11516" max="11516" width="27.21875" style="469" customWidth="1"/>
    <col min="11517" max="11517" width="4.77734375" style="469" customWidth="1"/>
    <col min="11518" max="11518" width="3.21875" style="469" customWidth="1"/>
    <col min="11519" max="11519" width="6.44140625" style="469" customWidth="1"/>
    <col min="11520" max="11520" width="6.88671875" style="469" customWidth="1"/>
    <col min="11521" max="11521" width="4.77734375" style="469" customWidth="1"/>
    <col min="11522" max="11522" width="6.109375" style="469" customWidth="1"/>
    <col min="11523" max="11523" width="7.6640625" style="469" customWidth="1"/>
    <col min="11524" max="11770" width="8.109375" style="469"/>
    <col min="11771" max="11771" width="5.21875" style="469" customWidth="1"/>
    <col min="11772" max="11772" width="27.21875" style="469" customWidth="1"/>
    <col min="11773" max="11773" width="4.77734375" style="469" customWidth="1"/>
    <col min="11774" max="11774" width="3.21875" style="469" customWidth="1"/>
    <col min="11775" max="11775" width="6.44140625" style="469" customWidth="1"/>
    <col min="11776" max="11776" width="6.88671875" style="469" customWidth="1"/>
    <col min="11777" max="11777" width="4.77734375" style="469" customWidth="1"/>
    <col min="11778" max="11778" width="6.109375" style="469" customWidth="1"/>
    <col min="11779" max="11779" width="7.6640625" style="469" customWidth="1"/>
    <col min="11780" max="12026" width="8.109375" style="469"/>
    <col min="12027" max="12027" width="5.21875" style="469" customWidth="1"/>
    <col min="12028" max="12028" width="27.21875" style="469" customWidth="1"/>
    <col min="12029" max="12029" width="4.77734375" style="469" customWidth="1"/>
    <col min="12030" max="12030" width="3.21875" style="469" customWidth="1"/>
    <col min="12031" max="12031" width="6.44140625" style="469" customWidth="1"/>
    <col min="12032" max="12032" width="6.88671875" style="469" customWidth="1"/>
    <col min="12033" max="12033" width="4.77734375" style="469" customWidth="1"/>
    <col min="12034" max="12034" width="6.109375" style="469" customWidth="1"/>
    <col min="12035" max="12035" width="7.6640625" style="469" customWidth="1"/>
    <col min="12036" max="12282" width="8.109375" style="469"/>
    <col min="12283" max="12283" width="5.21875" style="469" customWidth="1"/>
    <col min="12284" max="12284" width="27.21875" style="469" customWidth="1"/>
    <col min="12285" max="12285" width="4.77734375" style="469" customWidth="1"/>
    <col min="12286" max="12286" width="3.21875" style="469" customWidth="1"/>
    <col min="12287" max="12287" width="6.44140625" style="469" customWidth="1"/>
    <col min="12288" max="12288" width="6.88671875" style="469" customWidth="1"/>
    <col min="12289" max="12289" width="4.77734375" style="469" customWidth="1"/>
    <col min="12290" max="12290" width="6.109375" style="469" customWidth="1"/>
    <col min="12291" max="12291" width="7.6640625" style="469" customWidth="1"/>
    <col min="12292" max="12538" width="8.109375" style="469"/>
    <col min="12539" max="12539" width="5.21875" style="469" customWidth="1"/>
    <col min="12540" max="12540" width="27.21875" style="469" customWidth="1"/>
    <col min="12541" max="12541" width="4.77734375" style="469" customWidth="1"/>
    <col min="12542" max="12542" width="3.21875" style="469" customWidth="1"/>
    <col min="12543" max="12543" width="6.44140625" style="469" customWidth="1"/>
    <col min="12544" max="12544" width="6.88671875" style="469" customWidth="1"/>
    <col min="12545" max="12545" width="4.77734375" style="469" customWidth="1"/>
    <col min="12546" max="12546" width="6.109375" style="469" customWidth="1"/>
    <col min="12547" max="12547" width="7.6640625" style="469" customWidth="1"/>
    <col min="12548" max="12794" width="8.109375" style="469"/>
    <col min="12795" max="12795" width="5.21875" style="469" customWidth="1"/>
    <col min="12796" max="12796" width="27.21875" style="469" customWidth="1"/>
    <col min="12797" max="12797" width="4.77734375" style="469" customWidth="1"/>
    <col min="12798" max="12798" width="3.21875" style="469" customWidth="1"/>
    <col min="12799" max="12799" width="6.44140625" style="469" customWidth="1"/>
    <col min="12800" max="12800" width="6.88671875" style="469" customWidth="1"/>
    <col min="12801" max="12801" width="4.77734375" style="469" customWidth="1"/>
    <col min="12802" max="12802" width="6.109375" style="469" customWidth="1"/>
    <col min="12803" max="12803" width="7.6640625" style="469" customWidth="1"/>
    <col min="12804" max="13050" width="8.109375" style="469"/>
    <col min="13051" max="13051" width="5.21875" style="469" customWidth="1"/>
    <col min="13052" max="13052" width="27.21875" style="469" customWidth="1"/>
    <col min="13053" max="13053" width="4.77734375" style="469" customWidth="1"/>
    <col min="13054" max="13054" width="3.21875" style="469" customWidth="1"/>
    <col min="13055" max="13055" width="6.44140625" style="469" customWidth="1"/>
    <col min="13056" max="13056" width="6.88671875" style="469" customWidth="1"/>
    <col min="13057" max="13057" width="4.77734375" style="469" customWidth="1"/>
    <col min="13058" max="13058" width="6.109375" style="469" customWidth="1"/>
    <col min="13059" max="13059" width="7.6640625" style="469" customWidth="1"/>
    <col min="13060" max="13306" width="8.109375" style="469"/>
    <col min="13307" max="13307" width="5.21875" style="469" customWidth="1"/>
    <col min="13308" max="13308" width="27.21875" style="469" customWidth="1"/>
    <col min="13309" max="13309" width="4.77734375" style="469" customWidth="1"/>
    <col min="13310" max="13310" width="3.21875" style="469" customWidth="1"/>
    <col min="13311" max="13311" width="6.44140625" style="469" customWidth="1"/>
    <col min="13312" max="13312" width="6.88671875" style="469" customWidth="1"/>
    <col min="13313" max="13313" width="4.77734375" style="469" customWidth="1"/>
    <col min="13314" max="13314" width="6.109375" style="469" customWidth="1"/>
    <col min="13315" max="13315" width="7.6640625" style="469" customWidth="1"/>
    <col min="13316" max="13562" width="8.109375" style="469"/>
    <col min="13563" max="13563" width="5.21875" style="469" customWidth="1"/>
    <col min="13564" max="13564" width="27.21875" style="469" customWidth="1"/>
    <col min="13565" max="13565" width="4.77734375" style="469" customWidth="1"/>
    <col min="13566" max="13566" width="3.21875" style="469" customWidth="1"/>
    <col min="13567" max="13567" width="6.44140625" style="469" customWidth="1"/>
    <col min="13568" max="13568" width="6.88671875" style="469" customWidth="1"/>
    <col min="13569" max="13569" width="4.77734375" style="469" customWidth="1"/>
    <col min="13570" max="13570" width="6.109375" style="469" customWidth="1"/>
    <col min="13571" max="13571" width="7.6640625" style="469" customWidth="1"/>
    <col min="13572" max="13818" width="8.109375" style="469"/>
    <col min="13819" max="13819" width="5.21875" style="469" customWidth="1"/>
    <col min="13820" max="13820" width="27.21875" style="469" customWidth="1"/>
    <col min="13821" max="13821" width="4.77734375" style="469" customWidth="1"/>
    <col min="13822" max="13822" width="3.21875" style="469" customWidth="1"/>
    <col min="13823" max="13823" width="6.44140625" style="469" customWidth="1"/>
    <col min="13824" max="13824" width="6.88671875" style="469" customWidth="1"/>
    <col min="13825" max="13825" width="4.77734375" style="469" customWidth="1"/>
    <col min="13826" max="13826" width="6.109375" style="469" customWidth="1"/>
    <col min="13827" max="13827" width="7.6640625" style="469" customWidth="1"/>
    <col min="13828" max="14074" width="8.109375" style="469"/>
    <col min="14075" max="14075" width="5.21875" style="469" customWidth="1"/>
    <col min="14076" max="14076" width="27.21875" style="469" customWidth="1"/>
    <col min="14077" max="14077" width="4.77734375" style="469" customWidth="1"/>
    <col min="14078" max="14078" width="3.21875" style="469" customWidth="1"/>
    <col min="14079" max="14079" width="6.44140625" style="469" customWidth="1"/>
    <col min="14080" max="14080" width="6.88671875" style="469" customWidth="1"/>
    <col min="14081" max="14081" width="4.77734375" style="469" customWidth="1"/>
    <col min="14082" max="14082" width="6.109375" style="469" customWidth="1"/>
    <col min="14083" max="14083" width="7.6640625" style="469" customWidth="1"/>
    <col min="14084" max="14330" width="8.109375" style="469"/>
    <col min="14331" max="14331" width="5.21875" style="469" customWidth="1"/>
    <col min="14332" max="14332" width="27.21875" style="469" customWidth="1"/>
    <col min="14333" max="14333" width="4.77734375" style="469" customWidth="1"/>
    <col min="14334" max="14334" width="3.21875" style="469" customWidth="1"/>
    <col min="14335" max="14335" width="6.44140625" style="469" customWidth="1"/>
    <col min="14336" max="14336" width="6.88671875" style="469" customWidth="1"/>
    <col min="14337" max="14337" width="4.77734375" style="469" customWidth="1"/>
    <col min="14338" max="14338" width="6.109375" style="469" customWidth="1"/>
    <col min="14339" max="14339" width="7.6640625" style="469" customWidth="1"/>
    <col min="14340" max="14586" width="8.109375" style="469"/>
    <col min="14587" max="14587" width="5.21875" style="469" customWidth="1"/>
    <col min="14588" max="14588" width="27.21875" style="469" customWidth="1"/>
    <col min="14589" max="14589" width="4.77734375" style="469" customWidth="1"/>
    <col min="14590" max="14590" width="3.21875" style="469" customWidth="1"/>
    <col min="14591" max="14591" width="6.44140625" style="469" customWidth="1"/>
    <col min="14592" max="14592" width="6.88671875" style="469" customWidth="1"/>
    <col min="14593" max="14593" width="4.77734375" style="469" customWidth="1"/>
    <col min="14594" max="14594" width="6.109375" style="469" customWidth="1"/>
    <col min="14595" max="14595" width="7.6640625" style="469" customWidth="1"/>
    <col min="14596" max="14842" width="8.109375" style="469"/>
    <col min="14843" max="14843" width="5.21875" style="469" customWidth="1"/>
    <col min="14844" max="14844" width="27.21875" style="469" customWidth="1"/>
    <col min="14845" max="14845" width="4.77734375" style="469" customWidth="1"/>
    <col min="14846" max="14846" width="3.21875" style="469" customWidth="1"/>
    <col min="14847" max="14847" width="6.44140625" style="469" customWidth="1"/>
    <col min="14848" max="14848" width="6.88671875" style="469" customWidth="1"/>
    <col min="14849" max="14849" width="4.77734375" style="469" customWidth="1"/>
    <col min="14850" max="14850" width="6.109375" style="469" customWidth="1"/>
    <col min="14851" max="14851" width="7.6640625" style="469" customWidth="1"/>
    <col min="14852" max="15098" width="8.109375" style="469"/>
    <col min="15099" max="15099" width="5.21875" style="469" customWidth="1"/>
    <col min="15100" max="15100" width="27.21875" style="469" customWidth="1"/>
    <col min="15101" max="15101" width="4.77734375" style="469" customWidth="1"/>
    <col min="15102" max="15102" width="3.21875" style="469" customWidth="1"/>
    <col min="15103" max="15103" width="6.44140625" style="469" customWidth="1"/>
    <col min="15104" max="15104" width="6.88671875" style="469" customWidth="1"/>
    <col min="15105" max="15105" width="4.77734375" style="469" customWidth="1"/>
    <col min="15106" max="15106" width="6.109375" style="469" customWidth="1"/>
    <col min="15107" max="15107" width="7.6640625" style="469" customWidth="1"/>
    <col min="15108" max="15354" width="8.109375" style="469"/>
    <col min="15355" max="15355" width="5.21875" style="469" customWidth="1"/>
    <col min="15356" max="15356" width="27.21875" style="469" customWidth="1"/>
    <col min="15357" max="15357" width="4.77734375" style="469" customWidth="1"/>
    <col min="15358" max="15358" width="3.21875" style="469" customWidth="1"/>
    <col min="15359" max="15359" width="6.44140625" style="469" customWidth="1"/>
    <col min="15360" max="15360" width="6.88671875" style="469" customWidth="1"/>
    <col min="15361" max="15361" width="4.77734375" style="469" customWidth="1"/>
    <col min="15362" max="15362" width="6.109375" style="469" customWidth="1"/>
    <col min="15363" max="15363" width="7.6640625" style="469" customWidth="1"/>
    <col min="15364" max="15610" width="8.109375" style="469"/>
    <col min="15611" max="15611" width="5.21875" style="469" customWidth="1"/>
    <col min="15612" max="15612" width="27.21875" style="469" customWidth="1"/>
    <col min="15613" max="15613" width="4.77734375" style="469" customWidth="1"/>
    <col min="15614" max="15614" width="3.21875" style="469" customWidth="1"/>
    <col min="15615" max="15615" width="6.44140625" style="469" customWidth="1"/>
    <col min="15616" max="15616" width="6.88671875" style="469" customWidth="1"/>
    <col min="15617" max="15617" width="4.77734375" style="469" customWidth="1"/>
    <col min="15618" max="15618" width="6.109375" style="469" customWidth="1"/>
    <col min="15619" max="15619" width="7.6640625" style="469" customWidth="1"/>
    <col min="15620" max="15866" width="8.109375" style="469"/>
    <col min="15867" max="15867" width="5.21875" style="469" customWidth="1"/>
    <col min="15868" max="15868" width="27.21875" style="469" customWidth="1"/>
    <col min="15869" max="15869" width="4.77734375" style="469" customWidth="1"/>
    <col min="15870" max="15870" width="3.21875" style="469" customWidth="1"/>
    <col min="15871" max="15871" width="6.44140625" style="469" customWidth="1"/>
    <col min="15872" max="15872" width="6.88671875" style="469" customWidth="1"/>
    <col min="15873" max="15873" width="4.77734375" style="469" customWidth="1"/>
    <col min="15874" max="15874" width="6.109375" style="469" customWidth="1"/>
    <col min="15875" max="15875" width="7.6640625" style="469" customWidth="1"/>
    <col min="15876" max="16122" width="8.109375" style="469"/>
    <col min="16123" max="16123" width="5.21875" style="469" customWidth="1"/>
    <col min="16124" max="16124" width="27.21875" style="469" customWidth="1"/>
    <col min="16125" max="16125" width="4.77734375" style="469" customWidth="1"/>
    <col min="16126" max="16126" width="3.21875" style="469" customWidth="1"/>
    <col min="16127" max="16127" width="6.44140625" style="469" customWidth="1"/>
    <col min="16128" max="16128" width="6.88671875" style="469" customWidth="1"/>
    <col min="16129" max="16129" width="4.77734375" style="469" customWidth="1"/>
    <col min="16130" max="16130" width="6.109375" style="469" customWidth="1"/>
    <col min="16131" max="16131" width="7.6640625" style="469" customWidth="1"/>
    <col min="16132" max="16384" width="8.109375" style="469"/>
  </cols>
  <sheetData>
    <row r="1" spans="1:13" ht="24.95" customHeight="1">
      <c r="A1" s="1714" t="s">
        <v>1283</v>
      </c>
      <c r="B1" s="1714"/>
      <c r="C1" s="1714"/>
      <c r="D1" s="1714"/>
      <c r="E1" s="1714"/>
      <c r="F1" s="1714"/>
      <c r="G1" s="1714"/>
      <c r="H1" s="1714"/>
      <c r="I1" s="1714"/>
      <c r="K1" s="469"/>
    </row>
    <row r="2" spans="1:13" ht="9.9499999999999993" customHeight="1">
      <c r="A2" s="470"/>
      <c r="B2" s="470"/>
      <c r="C2" s="470"/>
      <c r="D2" s="470"/>
      <c r="E2" s="470"/>
      <c r="F2" s="470"/>
      <c r="G2" s="470"/>
      <c r="H2" s="470"/>
      <c r="I2" s="470"/>
      <c r="K2" s="471"/>
    </row>
    <row r="3" spans="1:13" ht="19.899999999999999" customHeight="1">
      <c r="A3" s="1715" t="str">
        <f>'Septic Tank'!A5:H5</f>
        <v>CONSTRUCTION OF NEW POLICE STATION BUILDING WITH DEVELOPMENT WORK IN  REGUNATHAPURAM IN PUDUKKOTTAI DISRICT.</v>
      </c>
      <c r="B3" s="1715"/>
      <c r="C3" s="1715"/>
      <c r="D3" s="1715"/>
      <c r="E3" s="1715"/>
      <c r="F3" s="1715"/>
      <c r="G3" s="1715"/>
      <c r="H3" s="1715"/>
      <c r="I3" s="1715"/>
      <c r="K3" s="469">
        <v>36.979999999999997</v>
      </c>
      <c r="L3" s="469" t="s">
        <v>1246</v>
      </c>
      <c r="M3" s="469">
        <v>36.64</v>
      </c>
    </row>
    <row r="4" spans="1:13" ht="19.899999999999999" customHeight="1">
      <c r="A4" s="1715"/>
      <c r="B4" s="1715"/>
      <c r="C4" s="1715"/>
      <c r="D4" s="1715"/>
      <c r="E4" s="1715"/>
      <c r="F4" s="1715"/>
      <c r="G4" s="1715"/>
      <c r="H4" s="1715"/>
      <c r="I4" s="1715"/>
      <c r="K4" s="469"/>
      <c r="M4" s="469">
        <v>38.51</v>
      </c>
    </row>
    <row r="5" spans="1:13" ht="10.15" customHeight="1">
      <c r="A5" s="472"/>
      <c r="B5" s="472"/>
      <c r="C5" s="472"/>
      <c r="D5" s="472"/>
      <c r="E5" s="472"/>
      <c r="F5" s="472"/>
      <c r="G5" s="472"/>
      <c r="H5" s="472"/>
      <c r="I5" s="472"/>
      <c r="K5" s="472"/>
      <c r="M5" s="469">
        <v>48.79</v>
      </c>
    </row>
    <row r="6" spans="1:13" ht="21" customHeight="1">
      <c r="A6" s="470"/>
      <c r="B6" s="473"/>
      <c r="C6" s="1716" t="s">
        <v>1244</v>
      </c>
      <c r="D6" s="1716"/>
      <c r="E6" s="1716"/>
      <c r="F6" s="1716"/>
      <c r="G6" s="1716"/>
      <c r="H6" s="1716"/>
      <c r="I6" s="474">
        <v>36.979999999999997</v>
      </c>
      <c r="K6" s="474">
        <v>317.2</v>
      </c>
      <c r="M6" s="469">
        <f>SUM(M3:M5)</f>
        <v>123.94</v>
      </c>
    </row>
    <row r="7" spans="1:13" ht="21" customHeight="1">
      <c r="A7" s="470"/>
      <c r="B7" s="1716" t="s">
        <v>1245</v>
      </c>
      <c r="C7" s="1716"/>
      <c r="D7" s="1716"/>
      <c r="E7" s="1716"/>
      <c r="F7" s="1716"/>
      <c r="G7" s="1716"/>
      <c r="H7" s="1716"/>
      <c r="I7" s="474">
        <v>123.94</v>
      </c>
      <c r="K7" s="474">
        <v>1048.2</v>
      </c>
    </row>
    <row r="8" spans="1:13" ht="21" customHeight="1">
      <c r="A8" s="470"/>
      <c r="B8" s="473"/>
      <c r="C8" s="1717" t="s">
        <v>1230</v>
      </c>
      <c r="D8" s="1717"/>
      <c r="E8" s="1717"/>
      <c r="F8" s="1717"/>
      <c r="G8" s="1717"/>
      <c r="H8" s="1717"/>
      <c r="I8" s="475">
        <f>SUM(I6:I7)</f>
        <v>160.91999999999999</v>
      </c>
      <c r="K8" s="475">
        <v>1365.4</v>
      </c>
    </row>
    <row r="9" spans="1:13" ht="10.15" customHeight="1">
      <c r="A9" s="1718"/>
      <c r="B9" s="1718"/>
      <c r="C9" s="1718"/>
      <c r="D9" s="1718"/>
      <c r="E9" s="1718"/>
      <c r="F9" s="1718"/>
      <c r="G9" s="1718"/>
      <c r="H9" s="1718"/>
      <c r="I9" s="1718"/>
      <c r="K9" s="469"/>
    </row>
    <row r="10" spans="1:13" ht="33.75" customHeight="1">
      <c r="A10" s="476" t="s">
        <v>211</v>
      </c>
      <c r="B10" s="477" t="s">
        <v>1231</v>
      </c>
      <c r="C10" s="1713" t="s">
        <v>213</v>
      </c>
      <c r="D10" s="1713"/>
      <c r="E10" s="1713"/>
      <c r="F10" s="477" t="s">
        <v>74</v>
      </c>
      <c r="G10" s="477" t="s">
        <v>75</v>
      </c>
      <c r="H10" s="477" t="s">
        <v>76</v>
      </c>
      <c r="I10" s="477" t="s">
        <v>214</v>
      </c>
      <c r="K10" s="478" t="s">
        <v>214</v>
      </c>
    </row>
    <row r="11" spans="1:13">
      <c r="A11" s="477">
        <v>1</v>
      </c>
      <c r="B11" s="477">
        <v>2</v>
      </c>
      <c r="C11" s="1713">
        <v>3</v>
      </c>
      <c r="D11" s="1713"/>
      <c r="E11" s="1713"/>
      <c r="F11" s="477">
        <v>4</v>
      </c>
      <c r="G11" s="477">
        <v>5</v>
      </c>
      <c r="H11" s="477">
        <v>6</v>
      </c>
      <c r="I11" s="477">
        <v>7</v>
      </c>
      <c r="K11" s="478">
        <v>7</v>
      </c>
    </row>
    <row r="12" spans="1:13" ht="34.9" customHeight="1">
      <c r="A12" s="479">
        <v>1</v>
      </c>
      <c r="B12" s="1720" t="s">
        <v>1250</v>
      </c>
      <c r="C12" s="1721"/>
      <c r="D12" s="1721"/>
      <c r="E12" s="1721"/>
      <c r="F12" s="1721"/>
      <c r="G12" s="1721"/>
      <c r="H12" s="1722"/>
      <c r="I12" s="481"/>
      <c r="K12" s="482"/>
    </row>
    <row r="13" spans="1:13" ht="19.899999999999999" customHeight="1">
      <c r="A13" s="479"/>
      <c r="B13" s="483" t="s">
        <v>1249</v>
      </c>
      <c r="C13" s="480"/>
      <c r="D13" s="480"/>
      <c r="E13" s="484"/>
      <c r="F13" s="485"/>
      <c r="G13" s="485"/>
      <c r="H13" s="485"/>
      <c r="I13" s="485"/>
      <c r="K13" s="485">
        <v>211.68</v>
      </c>
    </row>
    <row r="14" spans="1:13" ht="19.899999999999999" customHeight="1">
      <c r="A14" s="479"/>
      <c r="B14" s="483" t="s">
        <v>1247</v>
      </c>
      <c r="C14" s="480">
        <v>1</v>
      </c>
      <c r="D14" s="480" t="s">
        <v>56</v>
      </c>
      <c r="E14" s="484">
        <v>1</v>
      </c>
      <c r="F14" s="485">
        <f>I6</f>
        <v>36.979999999999997</v>
      </c>
      <c r="G14" s="485">
        <v>0.23</v>
      </c>
      <c r="H14" s="485">
        <v>0.15</v>
      </c>
      <c r="I14" s="485">
        <f t="shared" ref="I14:I15" si="0">ROUND(PRODUCT(C14:H14),2)</f>
        <v>1.28</v>
      </c>
      <c r="K14" s="485">
        <v>211.68</v>
      </c>
    </row>
    <row r="15" spans="1:13" ht="19.899999999999999" customHeight="1">
      <c r="A15" s="479"/>
      <c r="B15" s="483" t="s">
        <v>1248</v>
      </c>
      <c r="C15" s="480">
        <v>1</v>
      </c>
      <c r="D15" s="480" t="s">
        <v>56</v>
      </c>
      <c r="E15" s="484">
        <v>1</v>
      </c>
      <c r="F15" s="485">
        <f>I7</f>
        <v>123.94</v>
      </c>
      <c r="G15" s="485">
        <v>0.23</v>
      </c>
      <c r="H15" s="485">
        <v>0.15</v>
      </c>
      <c r="I15" s="485">
        <f t="shared" si="0"/>
        <v>4.28</v>
      </c>
      <c r="K15" s="485">
        <v>211.68</v>
      </c>
    </row>
    <row r="16" spans="1:13" ht="19.899999999999999" customHeight="1">
      <c r="A16" s="479"/>
      <c r="B16" s="483"/>
      <c r="C16" s="480"/>
      <c r="D16" s="480"/>
      <c r="E16" s="484"/>
      <c r="F16" s="489"/>
      <c r="G16" s="485"/>
      <c r="H16" s="485"/>
      <c r="I16" s="485">
        <v>0.04</v>
      </c>
      <c r="K16" s="485"/>
    </row>
    <row r="17" spans="1:12" ht="19.899999999999999" customHeight="1">
      <c r="A17" s="479"/>
      <c r="B17" s="486"/>
      <c r="C17" s="480"/>
      <c r="D17" s="480"/>
      <c r="E17" s="480"/>
      <c r="F17" s="481"/>
      <c r="G17" s="481"/>
      <c r="H17" s="487" t="s">
        <v>57</v>
      </c>
      <c r="I17" s="488">
        <f>SUM(I14:I16)</f>
        <v>5.6000000000000005</v>
      </c>
      <c r="K17" s="488">
        <v>333.01940000000002</v>
      </c>
    </row>
    <row r="18" spans="1:12" ht="19.899999999999999" customHeight="1">
      <c r="A18" s="479"/>
      <c r="B18" s="486"/>
      <c r="C18" s="480"/>
      <c r="D18" s="480"/>
      <c r="E18" s="480"/>
      <c r="F18" s="481"/>
      <c r="G18" s="481"/>
      <c r="H18" s="487"/>
      <c r="I18" s="488"/>
      <c r="K18" s="488"/>
    </row>
    <row r="19" spans="1:12" ht="19.899999999999999" customHeight="1">
      <c r="A19" s="479"/>
      <c r="B19" s="483" t="s">
        <v>1251</v>
      </c>
      <c r="C19" s="480"/>
      <c r="D19" s="480"/>
      <c r="E19" s="484"/>
      <c r="F19" s="485"/>
      <c r="G19" s="485"/>
      <c r="H19" s="485"/>
      <c r="I19" s="485"/>
      <c r="K19" s="485">
        <v>211.68</v>
      </c>
    </row>
    <row r="20" spans="1:12" ht="19.899999999999999" customHeight="1">
      <c r="A20" s="479"/>
      <c r="B20" s="483" t="s">
        <v>1252</v>
      </c>
      <c r="C20" s="480">
        <v>1</v>
      </c>
      <c r="D20" s="480" t="s">
        <v>56</v>
      </c>
      <c r="E20" s="484">
        <v>2</v>
      </c>
      <c r="F20" s="485">
        <v>0.45</v>
      </c>
      <c r="G20" s="485">
        <v>0.45</v>
      </c>
      <c r="H20" s="485">
        <v>1.8</v>
      </c>
      <c r="I20" s="485">
        <f t="shared" ref="I20:I21" si="1">ROUND(PRODUCT(C20:H20),2)</f>
        <v>0.73</v>
      </c>
      <c r="K20" s="485">
        <v>211.68</v>
      </c>
    </row>
    <row r="21" spans="1:12" ht="19.899999999999999" customHeight="1">
      <c r="A21" s="479"/>
      <c r="B21" s="483" t="s">
        <v>1253</v>
      </c>
      <c r="C21" s="480">
        <v>1</v>
      </c>
      <c r="D21" s="480" t="s">
        <v>56</v>
      </c>
      <c r="E21" s="484">
        <v>2</v>
      </c>
      <c r="F21" s="485">
        <v>0.3</v>
      </c>
      <c r="G21" s="485">
        <v>0.3</v>
      </c>
      <c r="H21" s="485">
        <v>1.8</v>
      </c>
      <c r="I21" s="485">
        <f t="shared" si="1"/>
        <v>0.32</v>
      </c>
      <c r="K21" s="485"/>
    </row>
    <row r="22" spans="1:12" ht="19.899999999999999" customHeight="1">
      <c r="A22" s="479"/>
      <c r="B22" s="483"/>
      <c r="C22" s="480"/>
      <c r="D22" s="480"/>
      <c r="E22" s="484"/>
      <c r="F22" s="489"/>
      <c r="G22" s="485"/>
      <c r="H22" s="485"/>
      <c r="I22" s="485">
        <v>0.05</v>
      </c>
      <c r="K22" s="485"/>
    </row>
    <row r="23" spans="1:12" ht="19.899999999999999" customHeight="1">
      <c r="A23" s="479"/>
      <c r="B23" s="486"/>
      <c r="C23" s="480"/>
      <c r="D23" s="480"/>
      <c r="E23" s="480"/>
      <c r="F23" s="481"/>
      <c r="G23" s="481"/>
      <c r="H23" s="487" t="s">
        <v>57</v>
      </c>
      <c r="I23" s="488">
        <f>SUM(I20:I22)</f>
        <v>1.1000000000000001</v>
      </c>
      <c r="K23" s="488">
        <v>333.01940000000002</v>
      </c>
    </row>
    <row r="24" spans="1:12" ht="19.899999999999999" customHeight="1">
      <c r="A24" s="479"/>
      <c r="B24" s="486"/>
      <c r="C24" s="480"/>
      <c r="D24" s="480"/>
      <c r="E24" s="480"/>
      <c r="F24" s="481"/>
      <c r="G24" s="481"/>
      <c r="H24" s="487"/>
      <c r="I24" s="488"/>
      <c r="K24" s="488"/>
    </row>
    <row r="25" spans="1:12" ht="34.9" customHeight="1">
      <c r="A25" s="479">
        <v>2</v>
      </c>
      <c r="B25" s="1636" t="s">
        <v>1232</v>
      </c>
      <c r="C25" s="1637"/>
      <c r="D25" s="1637"/>
      <c r="E25" s="1637"/>
      <c r="F25" s="1637"/>
      <c r="G25" s="1637"/>
      <c r="H25" s="1638"/>
      <c r="I25" s="488"/>
      <c r="K25" s="488"/>
    </row>
    <row r="26" spans="1:12" ht="19.899999999999999" customHeight="1">
      <c r="A26" s="479"/>
      <c r="B26" s="483" t="s">
        <v>1247</v>
      </c>
      <c r="C26" s="480">
        <v>1</v>
      </c>
      <c r="D26" s="480" t="s">
        <v>56</v>
      </c>
      <c r="E26" s="484">
        <v>1</v>
      </c>
      <c r="F26" s="485">
        <f>F14</f>
        <v>36.979999999999997</v>
      </c>
      <c r="G26" s="485">
        <v>0.23</v>
      </c>
      <c r="H26" s="485">
        <v>0.12</v>
      </c>
      <c r="I26" s="485">
        <f t="shared" ref="I26:I27" si="2">ROUND(PRODUCT(C26:H26),2)</f>
        <v>1.02</v>
      </c>
      <c r="K26" s="485">
        <v>157.02100000000002</v>
      </c>
    </row>
    <row r="27" spans="1:12" ht="19.899999999999999" customHeight="1">
      <c r="A27" s="479"/>
      <c r="B27" s="483" t="s">
        <v>1248</v>
      </c>
      <c r="C27" s="480">
        <v>1</v>
      </c>
      <c r="D27" s="480" t="s">
        <v>56</v>
      </c>
      <c r="E27" s="484">
        <v>1</v>
      </c>
      <c r="F27" s="485">
        <f>F15</f>
        <v>123.94</v>
      </c>
      <c r="G27" s="485">
        <v>0.23</v>
      </c>
      <c r="H27" s="485">
        <v>0.12</v>
      </c>
      <c r="I27" s="485">
        <f t="shared" si="2"/>
        <v>3.42</v>
      </c>
      <c r="K27" s="485">
        <v>-0.36</v>
      </c>
    </row>
    <row r="28" spans="1:12" ht="19.899999999999999" customHeight="1">
      <c r="A28" s="479"/>
      <c r="B28" s="490" t="s">
        <v>234</v>
      </c>
      <c r="C28" s="480"/>
      <c r="D28" s="480"/>
      <c r="E28" s="480"/>
      <c r="F28" s="485"/>
      <c r="G28" s="481"/>
      <c r="H28" s="481"/>
      <c r="I28" s="485">
        <v>0.06</v>
      </c>
      <c r="K28" s="485">
        <v>0.04</v>
      </c>
    </row>
    <row r="29" spans="1:12" ht="19.899999999999999" customHeight="1">
      <c r="A29" s="479"/>
      <c r="B29" s="486"/>
      <c r="C29" s="480"/>
      <c r="D29" s="480"/>
      <c r="E29" s="480"/>
      <c r="F29" s="481"/>
      <c r="G29" s="481"/>
      <c r="H29" s="487" t="s">
        <v>57</v>
      </c>
      <c r="I29" s="488">
        <f>SUM(I26:I28)</f>
        <v>4.4999999999999991</v>
      </c>
      <c r="K29" s="488">
        <v>156.70099999999999</v>
      </c>
    </row>
    <row r="30" spans="1:12" ht="19.899999999999999" customHeight="1">
      <c r="A30" s="479"/>
      <c r="B30" s="486"/>
      <c r="C30" s="480"/>
      <c r="D30" s="480"/>
      <c r="E30" s="480"/>
      <c r="F30" s="481"/>
      <c r="G30" s="481"/>
      <c r="H30" s="487"/>
      <c r="I30" s="488"/>
      <c r="K30" s="488"/>
    </row>
    <row r="31" spans="1:12" ht="34.9" customHeight="1">
      <c r="A31" s="479">
        <v>3</v>
      </c>
      <c r="B31" s="1720" t="s">
        <v>1233</v>
      </c>
      <c r="C31" s="1721"/>
      <c r="D31" s="1721"/>
      <c r="E31" s="1721"/>
      <c r="F31" s="1721"/>
      <c r="G31" s="1721"/>
      <c r="H31" s="1722"/>
      <c r="I31" s="485"/>
      <c r="K31" s="485"/>
      <c r="L31" s="483"/>
    </row>
    <row r="32" spans="1:12" ht="19.899999999999999" customHeight="1">
      <c r="A32" s="479"/>
      <c r="B32" s="483" t="s">
        <v>1254</v>
      </c>
      <c r="C32" s="480">
        <v>1</v>
      </c>
      <c r="D32" s="480" t="s">
        <v>56</v>
      </c>
      <c r="E32" s="491">
        <v>50</v>
      </c>
      <c r="F32" s="485">
        <v>0.23</v>
      </c>
      <c r="G32" s="485">
        <v>0.23</v>
      </c>
      <c r="H32" s="485">
        <v>1.5</v>
      </c>
      <c r="I32" s="485">
        <f t="shared" ref="I32" si="3">ROUND(PRODUCT(C32:H32),2)</f>
        <v>3.97</v>
      </c>
      <c r="K32" s="485">
        <v>25.244800000000005</v>
      </c>
    </row>
    <row r="33" spans="1:15" s="513" customFormat="1" ht="19.899999999999999" customHeight="1">
      <c r="A33" s="518"/>
      <c r="B33" s="517" t="s">
        <v>1267</v>
      </c>
      <c r="C33" s="518">
        <v>1</v>
      </c>
      <c r="D33" s="518" t="s">
        <v>56</v>
      </c>
      <c r="E33" s="514">
        <v>9</v>
      </c>
      <c r="F33" s="515">
        <v>0.8</v>
      </c>
      <c r="G33" s="520">
        <v>0.23</v>
      </c>
      <c r="H33" s="515">
        <v>1.4</v>
      </c>
      <c r="I33" s="515">
        <f t="shared" ref="I33:I34" si="4">PRODUCT(C33:H33)</f>
        <v>2.3184</v>
      </c>
      <c r="J33" s="459"/>
      <c r="K33" s="459"/>
      <c r="L33" s="459"/>
      <c r="M33" s="459"/>
      <c r="N33" s="459"/>
      <c r="O33" s="521"/>
    </row>
    <row r="34" spans="1:15" s="513" customFormat="1" ht="19.899999999999999" customHeight="1">
      <c r="A34" s="518"/>
      <c r="B34" s="517" t="s">
        <v>1268</v>
      </c>
      <c r="C34" s="518">
        <v>1</v>
      </c>
      <c r="D34" s="518" t="s">
        <v>56</v>
      </c>
      <c r="E34" s="514">
        <v>-9</v>
      </c>
      <c r="F34" s="520">
        <v>0.34</v>
      </c>
      <c r="G34" s="520">
        <v>0.12</v>
      </c>
      <c r="H34" s="520">
        <v>0.84</v>
      </c>
      <c r="I34" s="515">
        <f t="shared" si="4"/>
        <v>-0.30844799999999994</v>
      </c>
      <c r="J34" s="459"/>
      <c r="K34" s="459"/>
      <c r="L34" s="459"/>
      <c r="M34" s="459"/>
      <c r="N34" s="459"/>
      <c r="O34" s="521"/>
    </row>
    <row r="35" spans="1:15" s="513" customFormat="1" ht="19.899999999999999" customHeight="1">
      <c r="A35" s="518"/>
      <c r="B35" s="517" t="s">
        <v>1269</v>
      </c>
      <c r="C35" s="518">
        <v>1</v>
      </c>
      <c r="D35" s="518" t="s">
        <v>56</v>
      </c>
      <c r="E35" s="514">
        <v>-9</v>
      </c>
      <c r="F35" s="515">
        <v>0.34</v>
      </c>
      <c r="G35" s="1719" t="s">
        <v>1270</v>
      </c>
      <c r="H35" s="1719"/>
      <c r="I35" s="515">
        <f>K35</f>
        <v>-0.39202271999999999</v>
      </c>
      <c r="J35" s="459"/>
      <c r="K35" s="459">
        <f>C35*E35*F35*0.34*0.12*3.14</f>
        <v>-0.39202271999999999</v>
      </c>
      <c r="L35" s="459"/>
      <c r="M35" s="459"/>
      <c r="N35" s="459"/>
      <c r="O35" s="521"/>
    </row>
    <row r="36" spans="1:15" ht="19.899999999999999" customHeight="1">
      <c r="A36" s="479"/>
      <c r="B36" s="486" t="s">
        <v>234</v>
      </c>
      <c r="C36" s="480"/>
      <c r="D36" s="480"/>
      <c r="E36" s="480"/>
      <c r="F36" s="481"/>
      <c r="G36" s="481"/>
      <c r="H36" s="481"/>
      <c r="I36" s="485">
        <v>0.01</v>
      </c>
      <c r="K36" s="485">
        <v>0.01</v>
      </c>
    </row>
    <row r="37" spans="1:15" ht="19.899999999999999" customHeight="1">
      <c r="A37" s="479"/>
      <c r="B37" s="486"/>
      <c r="C37" s="480"/>
      <c r="D37" s="480"/>
      <c r="E37" s="480"/>
      <c r="F37" s="481"/>
      <c r="G37" s="481"/>
      <c r="H37" s="487" t="s">
        <v>57</v>
      </c>
      <c r="I37" s="488">
        <f>ROUND(SUM(I32:I36),2)</f>
        <v>5.6</v>
      </c>
      <c r="K37" s="488">
        <v>47.003671280000006</v>
      </c>
    </row>
    <row r="38" spans="1:15" ht="19.899999999999999" customHeight="1">
      <c r="A38" s="479"/>
      <c r="B38" s="486"/>
      <c r="C38" s="480"/>
      <c r="D38" s="480"/>
      <c r="E38" s="480"/>
      <c r="F38" s="481"/>
      <c r="G38" s="481"/>
      <c r="H38" s="487"/>
      <c r="I38" s="488"/>
      <c r="K38" s="488"/>
    </row>
    <row r="39" spans="1:15" ht="34.9" customHeight="1">
      <c r="A39" s="479">
        <v>4</v>
      </c>
      <c r="B39" s="1720" t="s">
        <v>1234</v>
      </c>
      <c r="C39" s="1721"/>
      <c r="D39" s="1721"/>
      <c r="E39" s="1721"/>
      <c r="F39" s="1721"/>
      <c r="G39" s="1721"/>
      <c r="H39" s="1722"/>
      <c r="I39" s="481"/>
      <c r="K39" s="482"/>
    </row>
    <row r="40" spans="1:15" ht="20.100000000000001" customHeight="1">
      <c r="A40" s="479"/>
      <c r="B40" s="483" t="s">
        <v>1247</v>
      </c>
      <c r="C40" s="480">
        <v>1</v>
      </c>
      <c r="D40" s="480" t="s">
        <v>56</v>
      </c>
      <c r="E40" s="484">
        <v>1</v>
      </c>
      <c r="F40" s="485">
        <f>F26</f>
        <v>36.979999999999997</v>
      </c>
      <c r="G40" s="485"/>
      <c r="H40" s="485">
        <v>1.5</v>
      </c>
      <c r="I40" s="485">
        <f t="shared" ref="I40:I41" si="5">ROUND(PRODUCT(C40:H40),2)</f>
        <v>55.47</v>
      </c>
      <c r="K40" s="485">
        <v>355.26400000000001</v>
      </c>
    </row>
    <row r="41" spans="1:15" ht="20.100000000000001" customHeight="1">
      <c r="A41" s="479"/>
      <c r="B41" s="483" t="s">
        <v>1248</v>
      </c>
      <c r="C41" s="480">
        <v>1</v>
      </c>
      <c r="D41" s="480" t="s">
        <v>56</v>
      </c>
      <c r="E41" s="484">
        <v>1</v>
      </c>
      <c r="F41" s="485">
        <f>F27</f>
        <v>123.94</v>
      </c>
      <c r="G41" s="485"/>
      <c r="H41" s="485">
        <v>1.5</v>
      </c>
      <c r="I41" s="485">
        <f t="shared" si="5"/>
        <v>185.91</v>
      </c>
      <c r="K41" s="485">
        <v>-53.760000000000005</v>
      </c>
    </row>
    <row r="42" spans="1:15" ht="20.100000000000001" customHeight="1">
      <c r="A42" s="479"/>
      <c r="B42" s="517" t="s">
        <v>1262</v>
      </c>
      <c r="C42" s="518">
        <v>1</v>
      </c>
      <c r="D42" s="518" t="s">
        <v>56</v>
      </c>
      <c r="E42" s="514">
        <v>1</v>
      </c>
      <c r="F42" s="515">
        <f>F40</f>
        <v>36.979999999999997</v>
      </c>
      <c r="G42" s="515"/>
      <c r="H42" s="515">
        <v>1.1200000000000001</v>
      </c>
      <c r="I42" s="515">
        <f t="shared" ref="I42:I46" si="6">PRODUCT(C42:H42)</f>
        <v>41.4176</v>
      </c>
      <c r="K42" s="485"/>
    </row>
    <row r="43" spans="1:15" ht="20.100000000000001" customHeight="1">
      <c r="A43" s="479"/>
      <c r="B43" s="519" t="s">
        <v>1265</v>
      </c>
      <c r="C43" s="518">
        <v>1</v>
      </c>
      <c r="D43" s="518" t="s">
        <v>56</v>
      </c>
      <c r="E43" s="238">
        <v>1</v>
      </c>
      <c r="F43" s="515">
        <v>15</v>
      </c>
      <c r="G43" s="520"/>
      <c r="H43" s="515">
        <v>1.1200000000000001</v>
      </c>
      <c r="I43" s="515">
        <f t="shared" si="6"/>
        <v>16.8</v>
      </c>
      <c r="K43" s="485"/>
    </row>
    <row r="44" spans="1:15" ht="20.100000000000001" customHeight="1">
      <c r="A44" s="479"/>
      <c r="B44" s="519" t="s">
        <v>1266</v>
      </c>
      <c r="C44" s="518">
        <v>1</v>
      </c>
      <c r="D44" s="518" t="s">
        <v>56</v>
      </c>
      <c r="E44" s="238">
        <v>1</v>
      </c>
      <c r="F44" s="515">
        <v>2.1</v>
      </c>
      <c r="G44" s="520"/>
      <c r="H44" s="515">
        <v>1.1200000000000001</v>
      </c>
      <c r="I44" s="515">
        <f t="shared" si="6"/>
        <v>2.3520000000000003</v>
      </c>
      <c r="K44" s="485"/>
    </row>
    <row r="45" spans="1:15" ht="20.100000000000001" customHeight="1">
      <c r="A45" s="479"/>
      <c r="B45" s="517" t="s">
        <v>1263</v>
      </c>
      <c r="C45" s="518">
        <v>1</v>
      </c>
      <c r="D45" s="518" t="s">
        <v>56</v>
      </c>
      <c r="E45" s="514">
        <v>-9</v>
      </c>
      <c r="F45" s="515">
        <v>0.34</v>
      </c>
      <c r="G45" s="520"/>
      <c r="H45" s="515">
        <v>0.84</v>
      </c>
      <c r="I45" s="515">
        <f t="shared" si="6"/>
        <v>-2.5703999999999998</v>
      </c>
      <c r="K45" s="485"/>
    </row>
    <row r="46" spans="1:15" ht="20.100000000000001" customHeight="1">
      <c r="A46" s="479"/>
      <c r="B46" s="517" t="s">
        <v>1264</v>
      </c>
      <c r="C46" s="518">
        <v>1</v>
      </c>
      <c r="D46" s="518" t="s">
        <v>56</v>
      </c>
      <c r="E46" s="514">
        <f>E45</f>
        <v>-9</v>
      </c>
      <c r="F46" s="515">
        <v>0.34</v>
      </c>
      <c r="G46" s="520"/>
      <c r="H46" s="515">
        <v>0.22</v>
      </c>
      <c r="I46" s="515">
        <f t="shared" si="6"/>
        <v>-0.67320000000000002</v>
      </c>
      <c r="K46" s="485"/>
    </row>
    <row r="47" spans="1:15" ht="20.100000000000001" customHeight="1">
      <c r="A47" s="479"/>
      <c r="B47" s="486" t="s">
        <v>234</v>
      </c>
      <c r="C47" s="480"/>
      <c r="D47" s="480"/>
      <c r="E47" s="480"/>
      <c r="F47" s="489"/>
      <c r="G47" s="481"/>
      <c r="H47" s="485"/>
      <c r="I47" s="485">
        <v>0.09</v>
      </c>
      <c r="K47" s="485">
        <v>0.02</v>
      </c>
    </row>
    <row r="48" spans="1:15" ht="20.100000000000001" customHeight="1">
      <c r="A48" s="479"/>
      <c r="B48" s="486"/>
      <c r="C48" s="480"/>
      <c r="D48" s="480"/>
      <c r="E48" s="480"/>
      <c r="F48" s="481"/>
      <c r="G48" s="481"/>
      <c r="H48" s="487" t="s">
        <v>57</v>
      </c>
      <c r="I48" s="488">
        <f>SUM(I40:I47)</f>
        <v>298.79599999999994</v>
      </c>
      <c r="K48" s="488">
        <v>1703.0954000000002</v>
      </c>
    </row>
    <row r="49" spans="1:11" ht="20.100000000000001" customHeight="1">
      <c r="A49" s="479"/>
      <c r="B49" s="486"/>
      <c r="C49" s="480"/>
      <c r="D49" s="480"/>
      <c r="E49" s="480"/>
      <c r="F49" s="481"/>
      <c r="G49" s="481"/>
      <c r="H49" s="487"/>
      <c r="I49" s="488"/>
      <c r="K49" s="488"/>
    </row>
    <row r="50" spans="1:11" ht="34.9" customHeight="1">
      <c r="A50" s="479">
        <v>5</v>
      </c>
      <c r="B50" s="1707" t="s">
        <v>1235</v>
      </c>
      <c r="C50" s="1708"/>
      <c r="D50" s="1708"/>
      <c r="E50" s="1708"/>
      <c r="F50" s="1708"/>
      <c r="G50" s="1708"/>
      <c r="H50" s="1709"/>
      <c r="I50" s="481"/>
      <c r="K50" s="482"/>
    </row>
    <row r="51" spans="1:11" s="527" customFormat="1" ht="19.899999999999999" customHeight="1">
      <c r="A51" s="523"/>
      <c r="B51" s="524" t="s">
        <v>1280</v>
      </c>
      <c r="C51" s="525"/>
      <c r="D51" s="525"/>
      <c r="E51" s="525"/>
      <c r="F51" s="531">
        <f>I17+I23</f>
        <v>6.7000000000000011</v>
      </c>
      <c r="G51" s="531">
        <v>100</v>
      </c>
      <c r="H51" s="526" t="s">
        <v>592</v>
      </c>
      <c r="I51" s="531">
        <f>F51*G51</f>
        <v>670.00000000000011</v>
      </c>
      <c r="J51" s="532">
        <f>I17</f>
        <v>5.6000000000000005</v>
      </c>
      <c r="K51" s="531">
        <v>40091.928</v>
      </c>
    </row>
    <row r="52" spans="1:11" ht="20.100000000000001" customHeight="1">
      <c r="A52" s="492"/>
      <c r="B52" s="493"/>
      <c r="C52" s="494"/>
      <c r="D52" s="494"/>
      <c r="E52" s="494"/>
      <c r="F52" s="495"/>
      <c r="G52" s="495"/>
      <c r="H52" s="487" t="s">
        <v>57</v>
      </c>
      <c r="I52" s="496">
        <f>ROUND(I51/1000,3)</f>
        <v>0.67</v>
      </c>
      <c r="K52" s="497">
        <v>40.091928000000003</v>
      </c>
    </row>
    <row r="53" spans="1:11" ht="20.100000000000001" customHeight="1">
      <c r="A53" s="492"/>
      <c r="B53" s="493"/>
      <c r="C53" s="494"/>
      <c r="D53" s="494"/>
      <c r="E53" s="494"/>
      <c r="F53" s="495"/>
      <c r="G53" s="495"/>
      <c r="H53" s="487"/>
      <c r="I53" s="497"/>
      <c r="K53" s="497"/>
    </row>
    <row r="54" spans="1:11" ht="34.9" customHeight="1">
      <c r="A54" s="492">
        <v>6</v>
      </c>
      <c r="B54" s="1710" t="s">
        <v>1236</v>
      </c>
      <c r="C54" s="1711"/>
      <c r="D54" s="1711"/>
      <c r="E54" s="1711"/>
      <c r="F54" s="1711"/>
      <c r="G54" s="1711"/>
      <c r="H54" s="1712"/>
      <c r="I54" s="500"/>
      <c r="K54" s="500"/>
    </row>
    <row r="55" spans="1:11" ht="19.899999999999999" customHeight="1">
      <c r="A55" s="492"/>
      <c r="B55" s="1723" t="s">
        <v>1237</v>
      </c>
      <c r="C55" s="1724"/>
      <c r="D55" s="1724"/>
      <c r="E55" s="1724"/>
      <c r="F55" s="1724"/>
      <c r="G55" s="1724"/>
      <c r="H55" s="1725"/>
      <c r="I55" s="499"/>
      <c r="K55" s="499"/>
    </row>
    <row r="56" spans="1:11" ht="19.899999999999999" customHeight="1">
      <c r="A56" s="492"/>
      <c r="B56" s="483" t="s">
        <v>1247</v>
      </c>
      <c r="C56" s="480">
        <v>1</v>
      </c>
      <c r="D56" s="480" t="s">
        <v>56</v>
      </c>
      <c r="E56" s="484">
        <v>2</v>
      </c>
      <c r="F56" s="485">
        <f>F40</f>
        <v>36.979999999999997</v>
      </c>
      <c r="G56" s="485"/>
      <c r="H56" s="485">
        <v>0.15</v>
      </c>
      <c r="I56" s="485">
        <f t="shared" ref="I56:I57" si="7">ROUND(PRODUCT(C56:H56),2)</f>
        <v>11.09</v>
      </c>
      <c r="K56" s="502">
        <v>414.73600000000005</v>
      </c>
    </row>
    <row r="57" spans="1:11" ht="19.899999999999999" customHeight="1">
      <c r="A57" s="492"/>
      <c r="B57" s="483" t="s">
        <v>1248</v>
      </c>
      <c r="C57" s="480">
        <v>1</v>
      </c>
      <c r="D57" s="480" t="s">
        <v>56</v>
      </c>
      <c r="E57" s="484">
        <v>2</v>
      </c>
      <c r="F57" s="485">
        <f>F41</f>
        <v>123.94</v>
      </c>
      <c r="G57" s="485"/>
      <c r="H57" s="485">
        <v>0.15</v>
      </c>
      <c r="I57" s="485">
        <f t="shared" si="7"/>
        <v>37.18</v>
      </c>
      <c r="K57" s="502">
        <v>414.73600000000005</v>
      </c>
    </row>
    <row r="58" spans="1:11" ht="19.899999999999999" customHeight="1">
      <c r="A58" s="492"/>
      <c r="B58" s="493" t="s">
        <v>234</v>
      </c>
      <c r="C58" s="480"/>
      <c r="D58" s="480"/>
      <c r="E58" s="484"/>
      <c r="F58" s="501"/>
      <c r="G58" s="501"/>
      <c r="H58" s="501"/>
      <c r="I58" s="503">
        <v>0.03</v>
      </c>
      <c r="K58" s="503">
        <v>0.06</v>
      </c>
    </row>
    <row r="59" spans="1:11" ht="19.899999999999999" customHeight="1">
      <c r="A59" s="492"/>
      <c r="B59" s="493"/>
      <c r="C59" s="494"/>
      <c r="D59" s="494"/>
      <c r="E59" s="494"/>
      <c r="F59" s="499"/>
      <c r="G59" s="499"/>
      <c r="H59" s="487" t="s">
        <v>57</v>
      </c>
      <c r="I59" s="497">
        <f>SUM(I56:I58)</f>
        <v>48.3</v>
      </c>
      <c r="K59" s="497">
        <v>1539.3</v>
      </c>
    </row>
    <row r="60" spans="1:11" ht="19.899999999999999" customHeight="1">
      <c r="A60" s="492"/>
      <c r="B60" s="1707" t="s">
        <v>1282</v>
      </c>
      <c r="C60" s="1708"/>
      <c r="D60" s="1708"/>
      <c r="E60" s="1708"/>
      <c r="F60" s="1708"/>
      <c r="G60" s="1708"/>
      <c r="H60" s="1709"/>
      <c r="I60" s="485"/>
      <c r="K60" s="502">
        <v>414.73600000000005</v>
      </c>
    </row>
    <row r="61" spans="1:11" ht="19.899999999999999" customHeight="1">
      <c r="A61" s="492"/>
      <c r="B61" s="483" t="s">
        <v>1252</v>
      </c>
      <c r="C61" s="480">
        <v>1</v>
      </c>
      <c r="D61" s="480" t="s">
        <v>56</v>
      </c>
      <c r="E61" s="484">
        <v>2</v>
      </c>
      <c r="F61" s="485">
        <v>1.8</v>
      </c>
      <c r="G61" s="485"/>
      <c r="H61" s="485">
        <v>1.8</v>
      </c>
      <c r="I61" s="485">
        <f t="shared" ref="I61:I62" si="8">ROUND(PRODUCT(C61:H61),2)</f>
        <v>6.48</v>
      </c>
      <c r="K61" s="502">
        <v>414.73600000000005</v>
      </c>
    </row>
    <row r="62" spans="1:11" ht="19.899999999999999" customHeight="1">
      <c r="A62" s="492"/>
      <c r="B62" s="483" t="s">
        <v>1253</v>
      </c>
      <c r="C62" s="480">
        <v>1</v>
      </c>
      <c r="D62" s="480" t="s">
        <v>56</v>
      </c>
      <c r="E62" s="484">
        <v>2</v>
      </c>
      <c r="F62" s="485">
        <v>1.2</v>
      </c>
      <c r="G62" s="485"/>
      <c r="H62" s="485">
        <v>1.8</v>
      </c>
      <c r="I62" s="485">
        <f t="shared" si="8"/>
        <v>4.32</v>
      </c>
      <c r="K62" s="502">
        <v>27.552</v>
      </c>
    </row>
    <row r="63" spans="1:11" ht="19.899999999999999" customHeight="1">
      <c r="A63" s="492"/>
      <c r="B63" s="493"/>
      <c r="C63" s="494"/>
      <c r="D63" s="494"/>
      <c r="E63" s="494"/>
      <c r="F63" s="499"/>
      <c r="G63" s="499"/>
      <c r="H63" s="487" t="s">
        <v>57</v>
      </c>
      <c r="I63" s="497">
        <f>SUM(I61:I62)</f>
        <v>10.8</v>
      </c>
      <c r="K63" s="497">
        <v>1539.3</v>
      </c>
    </row>
    <row r="64" spans="1:11" ht="34.9" customHeight="1">
      <c r="A64" s="492">
        <v>7</v>
      </c>
      <c r="B64" s="1636" t="s">
        <v>1238</v>
      </c>
      <c r="C64" s="1637"/>
      <c r="D64" s="1637"/>
      <c r="E64" s="1637"/>
      <c r="F64" s="1637"/>
      <c r="G64" s="1637"/>
      <c r="H64" s="1638"/>
      <c r="I64" s="499"/>
      <c r="K64" s="499"/>
    </row>
    <row r="65" spans="1:11" ht="19.899999999999999" customHeight="1">
      <c r="A65" s="492"/>
      <c r="B65" s="519" t="s">
        <v>1271</v>
      </c>
      <c r="C65" s="518">
        <v>1</v>
      </c>
      <c r="D65" s="518" t="s">
        <v>56</v>
      </c>
      <c r="E65" s="514">
        <v>2</v>
      </c>
      <c r="F65" s="515">
        <f>F56</f>
        <v>36.979999999999997</v>
      </c>
      <c r="G65" s="515"/>
      <c r="H65" s="515">
        <v>1.1200000000000001</v>
      </c>
      <c r="I65" s="515">
        <f t="shared" ref="I65:I71" si="9">PRODUCT(C65:H65)</f>
        <v>82.8352</v>
      </c>
      <c r="K65" s="485">
        <v>656.76800000000003</v>
      </c>
    </row>
    <row r="66" spans="1:11" ht="19.899999999999999" customHeight="1">
      <c r="A66" s="492"/>
      <c r="B66" s="449" t="s">
        <v>1272</v>
      </c>
      <c r="C66" s="238">
        <v>1</v>
      </c>
      <c r="D66" s="518" t="s">
        <v>56</v>
      </c>
      <c r="E66" s="238">
        <v>9</v>
      </c>
      <c r="F66" s="140">
        <v>2.06</v>
      </c>
      <c r="G66" s="464"/>
      <c r="H66" s="140">
        <v>0.3</v>
      </c>
      <c r="I66" s="515">
        <f t="shared" si="9"/>
        <v>5.5619999999999994</v>
      </c>
      <c r="K66" s="485">
        <v>62.871200000000002</v>
      </c>
    </row>
    <row r="67" spans="1:11" ht="19.899999999999999" customHeight="1">
      <c r="A67" s="492"/>
      <c r="B67" s="449" t="s">
        <v>1273</v>
      </c>
      <c r="C67" s="238">
        <v>1</v>
      </c>
      <c r="D67" s="518" t="s">
        <v>56</v>
      </c>
      <c r="E67" s="238">
        <v>1</v>
      </c>
      <c r="F67" s="140">
        <f>F65</f>
        <v>36.979999999999997</v>
      </c>
      <c r="G67" s="464">
        <v>0.23</v>
      </c>
      <c r="H67" s="464"/>
      <c r="I67" s="515">
        <f t="shared" si="9"/>
        <v>8.5053999999999998</v>
      </c>
      <c r="K67" s="485">
        <v>67.436000000000007</v>
      </c>
    </row>
    <row r="68" spans="1:11" ht="19.899999999999999" customHeight="1">
      <c r="A68" s="492"/>
      <c r="B68" s="449" t="s">
        <v>1274</v>
      </c>
      <c r="C68" s="238">
        <v>1</v>
      </c>
      <c r="D68" s="518" t="s">
        <v>56</v>
      </c>
      <c r="E68" s="238">
        <v>2</v>
      </c>
      <c r="F68" s="140">
        <f>F67</f>
        <v>36.979999999999997</v>
      </c>
      <c r="G68" s="464"/>
      <c r="H68" s="140">
        <v>1.45</v>
      </c>
      <c r="I68" s="515">
        <f t="shared" si="9"/>
        <v>107.24199999999999</v>
      </c>
      <c r="K68" s="485">
        <v>488.488</v>
      </c>
    </row>
    <row r="69" spans="1:11" ht="19.899999999999999" customHeight="1">
      <c r="A69" s="492"/>
      <c r="B69" s="522" t="s">
        <v>1275</v>
      </c>
      <c r="C69" s="238">
        <v>2</v>
      </c>
      <c r="D69" s="518" t="s">
        <v>56</v>
      </c>
      <c r="E69" s="238">
        <f>E66</f>
        <v>9</v>
      </c>
      <c r="F69" s="262">
        <v>0.115</v>
      </c>
      <c r="G69" s="464"/>
      <c r="H69" s="464">
        <v>1.1200000000000001</v>
      </c>
      <c r="I69" s="515">
        <f t="shared" si="9"/>
        <v>2.3184000000000005</v>
      </c>
      <c r="K69" s="485">
        <v>3144.6000000000004</v>
      </c>
    </row>
    <row r="70" spans="1:11" ht="19.899999999999999" customHeight="1">
      <c r="A70" s="492"/>
      <c r="B70" s="522" t="s">
        <v>1276</v>
      </c>
      <c r="C70" s="238">
        <v>2</v>
      </c>
      <c r="D70" s="518" t="s">
        <v>56</v>
      </c>
      <c r="E70" s="238">
        <f>E69</f>
        <v>9</v>
      </c>
      <c r="F70" s="262">
        <v>0.115</v>
      </c>
      <c r="G70" s="464"/>
      <c r="H70" s="464">
        <v>1.1200000000000001</v>
      </c>
      <c r="I70" s="515">
        <f t="shared" si="9"/>
        <v>2.3184000000000005</v>
      </c>
      <c r="K70" s="485">
        <v>68.58</v>
      </c>
    </row>
    <row r="71" spans="1:11" ht="19.899999999999999" customHeight="1">
      <c r="A71" s="492"/>
      <c r="B71" s="517" t="s">
        <v>1265</v>
      </c>
      <c r="C71" s="518">
        <v>1</v>
      </c>
      <c r="D71" s="518" t="s">
        <v>56</v>
      </c>
      <c r="E71" s="514">
        <v>-1</v>
      </c>
      <c r="F71" s="515">
        <v>15</v>
      </c>
      <c r="G71" s="520"/>
      <c r="H71" s="515">
        <v>1.1200000000000001</v>
      </c>
      <c r="I71" s="515">
        <f t="shared" si="9"/>
        <v>-16.8</v>
      </c>
      <c r="K71" s="485"/>
    </row>
    <row r="72" spans="1:11" ht="19.899999999999999" customHeight="1">
      <c r="A72" s="492"/>
      <c r="B72" s="517" t="s">
        <v>1265</v>
      </c>
      <c r="C72" s="518">
        <v>1</v>
      </c>
      <c r="D72" s="518" t="s">
        <v>56</v>
      </c>
      <c r="E72" s="514">
        <v>-1</v>
      </c>
      <c r="F72" s="515">
        <v>2.1</v>
      </c>
      <c r="G72" s="520"/>
      <c r="H72" s="515">
        <v>1.1200000000000001</v>
      </c>
      <c r="I72" s="515">
        <f>PRODUCT(C72:H72)</f>
        <v>-2.3520000000000003</v>
      </c>
      <c r="K72" s="485"/>
    </row>
    <row r="73" spans="1:11" ht="19.899999999999999" customHeight="1">
      <c r="A73" s="492"/>
      <c r="B73" s="483" t="s">
        <v>1256</v>
      </c>
      <c r="C73" s="480">
        <v>1</v>
      </c>
      <c r="D73" s="480" t="s">
        <v>56</v>
      </c>
      <c r="E73" s="484">
        <v>2</v>
      </c>
      <c r="F73" s="485">
        <f>F57</f>
        <v>123.94</v>
      </c>
      <c r="G73" s="485"/>
      <c r="H73" s="485">
        <v>1.5</v>
      </c>
      <c r="I73" s="515">
        <f t="shared" ref="I73:I79" si="10">PRODUCT(C73:H73)</f>
        <v>371.82</v>
      </c>
      <c r="K73" s="485"/>
    </row>
    <row r="74" spans="1:11" ht="19.899999999999999" customHeight="1">
      <c r="A74" s="492"/>
      <c r="B74" s="449" t="s">
        <v>1273</v>
      </c>
      <c r="C74" s="480">
        <v>1</v>
      </c>
      <c r="D74" s="480" t="s">
        <v>56</v>
      </c>
      <c r="E74" s="484">
        <v>1</v>
      </c>
      <c r="F74" s="485">
        <f>F73</f>
        <v>123.94</v>
      </c>
      <c r="G74" s="485">
        <v>0.23</v>
      </c>
      <c r="H74" s="485"/>
      <c r="I74" s="515">
        <f t="shared" si="10"/>
        <v>28.5062</v>
      </c>
      <c r="K74" s="485"/>
    </row>
    <row r="75" spans="1:11" ht="19.899999999999999" customHeight="1">
      <c r="A75" s="492"/>
      <c r="B75" s="522" t="s">
        <v>1277</v>
      </c>
      <c r="C75" s="480">
        <v>2</v>
      </c>
      <c r="D75" s="480" t="s">
        <v>56</v>
      </c>
      <c r="E75" s="484">
        <v>50</v>
      </c>
      <c r="F75" s="262">
        <v>0.115</v>
      </c>
      <c r="G75" s="485"/>
      <c r="H75" s="485">
        <v>1.5</v>
      </c>
      <c r="I75" s="515">
        <f t="shared" si="10"/>
        <v>17.25</v>
      </c>
      <c r="K75" s="485"/>
    </row>
    <row r="76" spans="1:11" ht="19.899999999999999" customHeight="1">
      <c r="A76" s="492"/>
      <c r="B76" s="522" t="s">
        <v>1252</v>
      </c>
      <c r="C76" s="518">
        <v>1</v>
      </c>
      <c r="D76" s="518" t="s">
        <v>56</v>
      </c>
      <c r="E76" s="514">
        <v>2</v>
      </c>
      <c r="F76" s="515">
        <v>1.8</v>
      </c>
      <c r="G76" s="520"/>
      <c r="H76" s="515">
        <v>1.8</v>
      </c>
      <c r="I76" s="515">
        <f t="shared" si="10"/>
        <v>6.48</v>
      </c>
      <c r="K76" s="485"/>
    </row>
    <row r="77" spans="1:11" ht="19.899999999999999" customHeight="1">
      <c r="A77" s="492"/>
      <c r="B77" s="522" t="s">
        <v>1253</v>
      </c>
      <c r="C77" s="518">
        <v>1</v>
      </c>
      <c r="D77" s="518" t="s">
        <v>56</v>
      </c>
      <c r="E77" s="514">
        <v>2</v>
      </c>
      <c r="F77" s="515">
        <v>1.2</v>
      </c>
      <c r="G77" s="520"/>
      <c r="H77" s="515">
        <v>1.8</v>
      </c>
      <c r="I77" s="515">
        <f t="shared" si="10"/>
        <v>4.32</v>
      </c>
      <c r="K77" s="485"/>
    </row>
    <row r="78" spans="1:11" ht="19.899999999999999" customHeight="1">
      <c r="A78" s="492"/>
      <c r="B78" s="522" t="s">
        <v>1278</v>
      </c>
      <c r="C78" s="518">
        <v>1</v>
      </c>
      <c r="D78" s="518" t="s">
        <v>56</v>
      </c>
      <c r="E78" s="514">
        <v>2</v>
      </c>
      <c r="F78" s="515">
        <v>0.45</v>
      </c>
      <c r="G78" s="520">
        <v>0.45</v>
      </c>
      <c r="H78" s="515"/>
      <c r="I78" s="515">
        <f t="shared" si="10"/>
        <v>0.40500000000000003</v>
      </c>
      <c r="K78" s="485"/>
    </row>
    <row r="79" spans="1:11" ht="19.899999999999999" customHeight="1">
      <c r="A79" s="492"/>
      <c r="B79" s="522" t="s">
        <v>1278</v>
      </c>
      <c r="C79" s="518">
        <v>1</v>
      </c>
      <c r="D79" s="518" t="s">
        <v>56</v>
      </c>
      <c r="E79" s="514">
        <v>2</v>
      </c>
      <c r="F79" s="515">
        <v>0.3</v>
      </c>
      <c r="G79" s="515">
        <v>0.3</v>
      </c>
      <c r="H79" s="515"/>
      <c r="I79" s="515">
        <f t="shared" si="10"/>
        <v>0.18</v>
      </c>
      <c r="K79" s="485"/>
    </row>
    <row r="80" spans="1:11" ht="19.899999999999999" customHeight="1">
      <c r="A80" s="492"/>
      <c r="B80" s="493" t="s">
        <v>234</v>
      </c>
      <c r="C80" s="480"/>
      <c r="D80" s="480"/>
      <c r="E80" s="484"/>
      <c r="F80" s="501"/>
      <c r="G80" s="501"/>
      <c r="H80" s="501"/>
      <c r="I80" s="503">
        <v>0.01</v>
      </c>
      <c r="K80" s="503">
        <v>0.06</v>
      </c>
    </row>
    <row r="81" spans="1:11" ht="19.899999999999999" customHeight="1">
      <c r="A81" s="492"/>
      <c r="B81" s="493"/>
      <c r="C81" s="494"/>
      <c r="D81" s="494"/>
      <c r="E81" s="494"/>
      <c r="F81" s="499"/>
      <c r="G81" s="499"/>
      <c r="H81" s="500" t="s">
        <v>57</v>
      </c>
      <c r="I81" s="497">
        <f>SUM(I65:I80)</f>
        <v>618.60059999999999</v>
      </c>
      <c r="K81" s="497">
        <v>6203.0008000000007</v>
      </c>
    </row>
    <row r="82" spans="1:11" ht="19.899999999999999" customHeight="1">
      <c r="A82" s="492"/>
      <c r="B82" s="493"/>
      <c r="C82" s="494"/>
      <c r="D82" s="494"/>
      <c r="E82" s="494"/>
      <c r="F82" s="499"/>
      <c r="G82" s="499"/>
      <c r="H82" s="500"/>
      <c r="I82" s="497"/>
      <c r="K82" s="497"/>
    </row>
    <row r="83" spans="1:11" ht="34.9" customHeight="1">
      <c r="A83" s="492">
        <v>8</v>
      </c>
      <c r="B83" s="1636" t="s">
        <v>1239</v>
      </c>
      <c r="C83" s="1637"/>
      <c r="D83" s="1637"/>
      <c r="E83" s="1637"/>
      <c r="F83" s="1637"/>
      <c r="G83" s="1637"/>
      <c r="H83" s="1638"/>
      <c r="I83" s="499"/>
      <c r="K83" s="499"/>
    </row>
    <row r="84" spans="1:11" ht="19.899999999999999" customHeight="1">
      <c r="A84" s="492"/>
      <c r="B84" s="504" t="s">
        <v>1240</v>
      </c>
      <c r="C84" s="494"/>
      <c r="D84" s="494"/>
      <c r="E84" s="494"/>
      <c r="F84" s="499"/>
      <c r="G84" s="499"/>
      <c r="H84" s="499"/>
      <c r="I84" s="499"/>
      <c r="K84" s="499"/>
    </row>
    <row r="85" spans="1:11" ht="19.899999999999999" customHeight="1">
      <c r="A85" s="479"/>
      <c r="B85" s="486" t="s">
        <v>1255</v>
      </c>
      <c r="C85" s="480">
        <v>1</v>
      </c>
      <c r="D85" s="480" t="s">
        <v>56</v>
      </c>
      <c r="E85" s="480">
        <v>1</v>
      </c>
      <c r="F85" s="485">
        <f>I6</f>
        <v>36.979999999999997</v>
      </c>
      <c r="G85" s="485"/>
      <c r="H85" s="485"/>
      <c r="I85" s="485">
        <f t="shared" ref="I85:I88" si="11">ROUND(PRODUCT(C85:H85),2)</f>
        <v>36.979999999999997</v>
      </c>
      <c r="K85" s="485">
        <v>293.2</v>
      </c>
    </row>
    <row r="86" spans="1:11" ht="19.899999999999999" customHeight="1">
      <c r="A86" s="479"/>
      <c r="B86" s="486" t="s">
        <v>1256</v>
      </c>
      <c r="C86" s="480">
        <v>1</v>
      </c>
      <c r="D86" s="480" t="s">
        <v>56</v>
      </c>
      <c r="E86" s="484">
        <v>1</v>
      </c>
      <c r="F86" s="485">
        <f>I7</f>
        <v>123.94</v>
      </c>
      <c r="G86" s="485"/>
      <c r="H86" s="485"/>
      <c r="I86" s="485">
        <f t="shared" si="11"/>
        <v>123.94</v>
      </c>
      <c r="K86" s="485">
        <v>26.91</v>
      </c>
    </row>
    <row r="87" spans="1:11" ht="19.899999999999999" customHeight="1">
      <c r="A87" s="479"/>
      <c r="B87" s="486" t="s">
        <v>1257</v>
      </c>
      <c r="C87" s="480">
        <v>-1</v>
      </c>
      <c r="D87" s="480" t="s">
        <v>56</v>
      </c>
      <c r="E87" s="484">
        <v>1</v>
      </c>
      <c r="F87" s="485">
        <v>15</v>
      </c>
      <c r="G87" s="485"/>
      <c r="H87" s="485"/>
      <c r="I87" s="485">
        <f t="shared" si="11"/>
        <v>-15</v>
      </c>
      <c r="K87" s="485"/>
    </row>
    <row r="88" spans="1:11" ht="19.899999999999999" customHeight="1">
      <c r="A88" s="479"/>
      <c r="B88" s="486" t="s">
        <v>1258</v>
      </c>
      <c r="C88" s="480">
        <v>-1</v>
      </c>
      <c r="D88" s="480" t="s">
        <v>56</v>
      </c>
      <c r="E88" s="484">
        <v>1</v>
      </c>
      <c r="F88" s="485">
        <v>2.1</v>
      </c>
      <c r="G88" s="485"/>
      <c r="H88" s="485"/>
      <c r="I88" s="485">
        <f t="shared" si="11"/>
        <v>-2.1</v>
      </c>
      <c r="K88" s="485"/>
    </row>
    <row r="89" spans="1:11" ht="19.899999999999999" customHeight="1">
      <c r="A89" s="479"/>
      <c r="B89" s="483" t="s">
        <v>1241</v>
      </c>
      <c r="C89" s="480"/>
      <c r="D89" s="480"/>
      <c r="E89" s="484"/>
      <c r="F89" s="485"/>
      <c r="G89" s="485"/>
      <c r="H89" s="485"/>
      <c r="I89" s="485">
        <v>0.08</v>
      </c>
      <c r="K89" s="485">
        <v>0.09</v>
      </c>
    </row>
    <row r="90" spans="1:11" ht="19.899999999999999" customHeight="1">
      <c r="A90" s="479"/>
      <c r="B90" s="483"/>
      <c r="C90" s="480"/>
      <c r="D90" s="480"/>
      <c r="E90" s="484"/>
      <c r="F90" s="485"/>
      <c r="G90" s="481"/>
      <c r="H90" s="500" t="s">
        <v>57</v>
      </c>
      <c r="I90" s="488">
        <f>SUM(I85:I89)</f>
        <v>143.9</v>
      </c>
      <c r="K90" s="488">
        <v>320.2</v>
      </c>
    </row>
    <row r="91" spans="1:11" ht="19.899999999999999" customHeight="1">
      <c r="A91" s="479"/>
      <c r="B91" s="483"/>
      <c r="C91" s="480"/>
      <c r="D91" s="480"/>
      <c r="E91" s="484"/>
      <c r="F91" s="485"/>
      <c r="G91" s="481"/>
      <c r="H91" s="500"/>
      <c r="I91" s="488"/>
      <c r="K91" s="488"/>
    </row>
    <row r="92" spans="1:11" ht="19.899999999999999" customHeight="1">
      <c r="A92" s="479"/>
      <c r="B92" s="505" t="s">
        <v>1242</v>
      </c>
      <c r="C92" s="480"/>
      <c r="D92" s="480"/>
      <c r="E92" s="484"/>
      <c r="F92" s="485"/>
      <c r="G92" s="481"/>
      <c r="H92" s="485"/>
      <c r="I92" s="485"/>
      <c r="K92" s="485"/>
    </row>
    <row r="93" spans="1:11" ht="19.899999999999999" customHeight="1">
      <c r="A93" s="479"/>
      <c r="B93" s="486" t="s">
        <v>1255</v>
      </c>
      <c r="C93" s="480">
        <v>1</v>
      </c>
      <c r="D93" s="480" t="s">
        <v>56</v>
      </c>
      <c r="E93" s="480">
        <v>1</v>
      </c>
      <c r="F93" s="485">
        <f>F85</f>
        <v>36.979999999999997</v>
      </c>
      <c r="G93" s="485"/>
      <c r="H93" s="485"/>
      <c r="I93" s="485">
        <f t="shared" ref="I93:I96" si="12">ROUND(PRODUCT(C93:H93),2)</f>
        <v>36.979999999999997</v>
      </c>
      <c r="K93" s="485">
        <v>293.2</v>
      </c>
    </row>
    <row r="94" spans="1:11" ht="19.899999999999999" customHeight="1">
      <c r="A94" s="479"/>
      <c r="B94" s="486" t="s">
        <v>1256</v>
      </c>
      <c r="C94" s="480">
        <v>1</v>
      </c>
      <c r="D94" s="480" t="s">
        <v>56</v>
      </c>
      <c r="E94" s="484">
        <v>1</v>
      </c>
      <c r="F94" s="485">
        <f>F86</f>
        <v>123.94</v>
      </c>
      <c r="G94" s="485"/>
      <c r="H94" s="485"/>
      <c r="I94" s="485">
        <f t="shared" si="12"/>
        <v>123.94</v>
      </c>
      <c r="K94" s="485">
        <v>26.91</v>
      </c>
    </row>
    <row r="95" spans="1:11" ht="19.899999999999999" customHeight="1">
      <c r="A95" s="479"/>
      <c r="B95" s="486" t="s">
        <v>1257</v>
      </c>
      <c r="C95" s="480">
        <v>-1</v>
      </c>
      <c r="D95" s="480" t="s">
        <v>56</v>
      </c>
      <c r="E95" s="484">
        <v>1</v>
      </c>
      <c r="F95" s="485">
        <v>15</v>
      </c>
      <c r="G95" s="485"/>
      <c r="H95" s="485"/>
      <c r="I95" s="485">
        <f t="shared" si="12"/>
        <v>-15</v>
      </c>
      <c r="K95" s="485"/>
    </row>
    <row r="96" spans="1:11" ht="19.899999999999999" customHeight="1">
      <c r="A96" s="479"/>
      <c r="B96" s="486" t="s">
        <v>1258</v>
      </c>
      <c r="C96" s="480">
        <v>-1</v>
      </c>
      <c r="D96" s="480" t="s">
        <v>56</v>
      </c>
      <c r="E96" s="484">
        <v>1</v>
      </c>
      <c r="F96" s="485">
        <v>2.1</v>
      </c>
      <c r="G96" s="485"/>
      <c r="H96" s="485"/>
      <c r="I96" s="485">
        <f t="shared" si="12"/>
        <v>-2.1</v>
      </c>
      <c r="K96" s="485"/>
    </row>
    <row r="97" spans="1:15" ht="19.899999999999999" customHeight="1">
      <c r="A97" s="479"/>
      <c r="B97" s="483" t="s">
        <v>1241</v>
      </c>
      <c r="C97" s="480"/>
      <c r="D97" s="480"/>
      <c r="E97" s="484"/>
      <c r="F97" s="485"/>
      <c r="G97" s="485"/>
      <c r="H97" s="485"/>
      <c r="I97" s="485">
        <v>0.08</v>
      </c>
      <c r="K97" s="485">
        <v>0.06</v>
      </c>
    </row>
    <row r="98" spans="1:15" ht="19.899999999999999" customHeight="1">
      <c r="A98" s="492"/>
      <c r="B98" s="493"/>
      <c r="C98" s="494"/>
      <c r="D98" s="494"/>
      <c r="E98" s="494"/>
      <c r="F98" s="499"/>
      <c r="G98" s="499"/>
      <c r="H98" s="500" t="s">
        <v>57</v>
      </c>
      <c r="I98" s="488">
        <f>SUM(I93:I97)</f>
        <v>143.9</v>
      </c>
      <c r="K98" s="488">
        <v>1456</v>
      </c>
    </row>
    <row r="99" spans="1:15" ht="19.899999999999999" customHeight="1">
      <c r="A99" s="492"/>
      <c r="B99" s="493"/>
      <c r="C99" s="494"/>
      <c r="D99" s="494"/>
      <c r="E99" s="494"/>
      <c r="F99" s="499"/>
      <c r="G99" s="499"/>
      <c r="H99" s="500"/>
      <c r="I99" s="488"/>
      <c r="K99" s="488"/>
    </row>
    <row r="100" spans="1:15" ht="34.9" customHeight="1">
      <c r="A100" s="492">
        <v>9</v>
      </c>
      <c r="B100" s="1636" t="s">
        <v>1243</v>
      </c>
      <c r="C100" s="1637"/>
      <c r="D100" s="1637"/>
      <c r="E100" s="1637"/>
      <c r="F100" s="1637"/>
      <c r="G100" s="1637"/>
      <c r="H100" s="1638"/>
      <c r="I100" s="499"/>
      <c r="K100" s="499"/>
    </row>
    <row r="101" spans="1:15" s="506" customFormat="1" ht="19.899999999999999" customHeight="1">
      <c r="A101" s="492"/>
      <c r="B101" s="498" t="s">
        <v>1284</v>
      </c>
      <c r="C101" s="494"/>
      <c r="D101" s="494"/>
      <c r="E101" s="494"/>
      <c r="F101" s="499"/>
      <c r="G101" s="499"/>
      <c r="H101" s="499"/>
      <c r="I101" s="497">
        <f>I81</f>
        <v>618.60059999999999</v>
      </c>
      <c r="K101" s="497">
        <v>6203.0008000000007</v>
      </c>
    </row>
    <row r="102" spans="1:15" s="506" customFormat="1" ht="19.899999999999999" customHeight="1">
      <c r="A102" s="492"/>
      <c r="B102" s="498"/>
      <c r="C102" s="494"/>
      <c r="D102" s="494"/>
      <c r="E102" s="494"/>
      <c r="F102" s="499"/>
      <c r="G102" s="499"/>
      <c r="H102" s="499"/>
      <c r="I102" s="497"/>
      <c r="K102" s="497"/>
    </row>
    <row r="103" spans="1:15" s="513" customFormat="1" ht="34.9" customHeight="1">
      <c r="A103" s="458">
        <v>10</v>
      </c>
      <c r="B103" s="1642" t="s">
        <v>1259</v>
      </c>
      <c r="C103" s="1643"/>
      <c r="D103" s="1643"/>
      <c r="E103" s="1643"/>
      <c r="F103" s="1643"/>
      <c r="G103" s="1643"/>
      <c r="H103" s="1644"/>
      <c r="I103" s="467"/>
      <c r="J103" s="459"/>
      <c r="K103" s="459"/>
      <c r="L103" s="459"/>
      <c r="M103" s="459"/>
      <c r="N103" s="459"/>
      <c r="O103" s="512"/>
    </row>
    <row r="104" spans="1:15" s="513" customFormat="1" ht="19.899999999999999" customHeight="1">
      <c r="A104" s="458"/>
      <c r="B104" s="467" t="s">
        <v>1279</v>
      </c>
      <c r="C104" s="238">
        <v>1</v>
      </c>
      <c r="D104" s="514" t="s">
        <v>56</v>
      </c>
      <c r="E104" s="238">
        <v>1</v>
      </c>
      <c r="F104" s="140">
        <v>15</v>
      </c>
      <c r="G104" s="464"/>
      <c r="H104" s="140">
        <v>1.5</v>
      </c>
      <c r="I104" s="515">
        <f t="shared" ref="I104:I105" si="13">PRODUCT(C104:H104)</f>
        <v>22.5</v>
      </c>
      <c r="J104" s="459"/>
      <c r="K104" s="459"/>
      <c r="L104" s="459"/>
      <c r="M104" s="459"/>
      <c r="N104" s="459"/>
      <c r="O104" s="512"/>
    </row>
    <row r="105" spans="1:15" s="513" customFormat="1" ht="19.899999999999999" customHeight="1">
      <c r="A105" s="458"/>
      <c r="B105" s="467" t="s">
        <v>1260</v>
      </c>
      <c r="C105" s="238">
        <v>1</v>
      </c>
      <c r="D105" s="514" t="s">
        <v>56</v>
      </c>
      <c r="E105" s="238">
        <v>1</v>
      </c>
      <c r="F105" s="140">
        <v>2.1</v>
      </c>
      <c r="G105" s="464"/>
      <c r="H105" s="140">
        <v>1.5</v>
      </c>
      <c r="I105" s="515">
        <f t="shared" si="13"/>
        <v>3.1500000000000004</v>
      </c>
      <c r="J105" s="459"/>
      <c r="K105" s="459"/>
      <c r="L105" s="459"/>
      <c r="M105" s="459"/>
      <c r="N105" s="459"/>
      <c r="O105" s="512"/>
    </row>
    <row r="106" spans="1:15" s="513" customFormat="1" ht="19.899999999999999" customHeight="1">
      <c r="A106" s="458"/>
      <c r="B106" s="467"/>
      <c r="C106" s="238"/>
      <c r="D106" s="514"/>
      <c r="E106" s="238"/>
      <c r="F106" s="140"/>
      <c r="G106" s="464"/>
      <c r="H106" s="140"/>
      <c r="I106" s="515">
        <v>0.05</v>
      </c>
      <c r="J106" s="459"/>
      <c r="K106" s="459"/>
      <c r="L106" s="459"/>
      <c r="M106" s="459"/>
      <c r="N106" s="459"/>
      <c r="O106" s="512"/>
    </row>
    <row r="107" spans="1:15" s="513" customFormat="1" ht="19.899999999999999" customHeight="1">
      <c r="A107" s="458"/>
      <c r="B107" s="467"/>
      <c r="C107" s="238"/>
      <c r="D107" s="514"/>
      <c r="E107" s="238"/>
      <c r="F107" s="140"/>
      <c r="G107" s="464"/>
      <c r="H107" s="140"/>
      <c r="I107" s="515">
        <f>SUM(I104:I106)</f>
        <v>25.7</v>
      </c>
      <c r="J107" s="459"/>
      <c r="K107" s="459"/>
      <c r="L107" s="459"/>
      <c r="M107" s="459"/>
      <c r="N107" s="459"/>
      <c r="O107" s="512"/>
    </row>
    <row r="108" spans="1:15" s="513" customFormat="1" ht="19.899999999999999" customHeight="1">
      <c r="A108" s="459"/>
      <c r="B108" s="459" t="s">
        <v>1261</v>
      </c>
      <c r="C108" s="454"/>
      <c r="D108" s="454"/>
      <c r="E108" s="238"/>
      <c r="F108" s="464"/>
      <c r="G108" s="464"/>
      <c r="H108" s="460" t="s">
        <v>57</v>
      </c>
      <c r="I108" s="463">
        <f>I107*40</f>
        <v>1028</v>
      </c>
      <c r="J108" s="459"/>
      <c r="K108" s="459"/>
      <c r="L108" s="459"/>
      <c r="M108" s="459"/>
      <c r="N108" s="459"/>
      <c r="O108" s="516" t="s">
        <v>165</v>
      </c>
    </row>
    <row r="109" spans="1:15" s="513" customFormat="1" ht="19.899999999999999" customHeight="1">
      <c r="A109" s="459"/>
      <c r="B109" s="459"/>
      <c r="C109" s="454"/>
      <c r="D109" s="454"/>
      <c r="E109" s="238"/>
      <c r="F109" s="464"/>
      <c r="G109" s="464"/>
      <c r="H109" s="460"/>
      <c r="I109" s="463"/>
      <c r="J109" s="528"/>
      <c r="K109" s="459"/>
      <c r="L109" s="528"/>
      <c r="M109" s="528"/>
      <c r="N109" s="528"/>
      <c r="O109" s="529"/>
    </row>
    <row r="110" spans="1:15" s="513" customFormat="1" ht="19.899999999999999" customHeight="1">
      <c r="A110" s="458">
        <v>11</v>
      </c>
      <c r="B110" s="1642" t="s">
        <v>1191</v>
      </c>
      <c r="C110" s="1643"/>
      <c r="D110" s="1643"/>
      <c r="E110" s="1643"/>
      <c r="F110" s="1643"/>
      <c r="G110" s="1643"/>
      <c r="H110" s="1644"/>
      <c r="I110" s="467"/>
      <c r="J110" s="459"/>
      <c r="K110" s="459"/>
      <c r="L110" s="459"/>
      <c r="M110" s="459"/>
      <c r="N110" s="459"/>
      <c r="O110" s="512"/>
    </row>
    <row r="111" spans="1:15" s="513" customFormat="1" ht="19.899999999999999" customHeight="1">
      <c r="A111" s="458"/>
      <c r="B111" s="467" t="s">
        <v>1279</v>
      </c>
      <c r="C111" s="238">
        <v>1</v>
      </c>
      <c r="D111" s="514" t="s">
        <v>56</v>
      </c>
      <c r="E111" s="238">
        <v>1</v>
      </c>
      <c r="F111" s="140">
        <v>15</v>
      </c>
      <c r="G111" s="140">
        <v>1</v>
      </c>
      <c r="H111" s="140">
        <v>1.5</v>
      </c>
      <c r="I111" s="515">
        <f t="shared" ref="I111:I112" si="14">PRODUCT(C111:H111)</f>
        <v>22.5</v>
      </c>
      <c r="J111" s="459"/>
      <c r="K111" s="459"/>
      <c r="L111" s="459"/>
      <c r="M111" s="459"/>
      <c r="N111" s="459"/>
      <c r="O111" s="512"/>
    </row>
    <row r="112" spans="1:15" s="513" customFormat="1" ht="19.899999999999999" customHeight="1">
      <c r="A112" s="458"/>
      <c r="B112" s="467" t="s">
        <v>1260</v>
      </c>
      <c r="C112" s="238">
        <v>1</v>
      </c>
      <c r="D112" s="514" t="s">
        <v>56</v>
      </c>
      <c r="E112" s="238">
        <v>1</v>
      </c>
      <c r="F112" s="140">
        <v>2.1</v>
      </c>
      <c r="G112" s="140">
        <v>1</v>
      </c>
      <c r="H112" s="140">
        <v>1.5</v>
      </c>
      <c r="I112" s="515">
        <f t="shared" si="14"/>
        <v>3.1500000000000004</v>
      </c>
      <c r="J112" s="459"/>
      <c r="K112" s="459"/>
      <c r="L112" s="459"/>
      <c r="M112" s="459"/>
      <c r="N112" s="459"/>
      <c r="O112" s="512"/>
    </row>
    <row r="113" spans="1:15" s="513" customFormat="1" ht="19.899999999999999" customHeight="1">
      <c r="A113" s="458"/>
      <c r="B113" s="467"/>
      <c r="C113" s="238"/>
      <c r="D113" s="514"/>
      <c r="E113" s="238"/>
      <c r="F113" s="140"/>
      <c r="G113" s="464"/>
      <c r="H113" s="140"/>
      <c r="I113" s="515">
        <v>0.05</v>
      </c>
      <c r="J113" s="459"/>
      <c r="K113" s="459"/>
      <c r="L113" s="459"/>
      <c r="M113" s="459"/>
      <c r="N113" s="459"/>
      <c r="O113" s="512"/>
    </row>
    <row r="114" spans="1:15" s="513" customFormat="1" ht="19.899999999999999" customHeight="1">
      <c r="A114" s="458"/>
      <c r="B114" s="467"/>
      <c r="C114" s="238"/>
      <c r="D114" s="514"/>
      <c r="E114" s="238"/>
      <c r="F114" s="140"/>
      <c r="G114" s="464"/>
      <c r="H114" s="460" t="s">
        <v>57</v>
      </c>
      <c r="I114" s="530">
        <f>SUM(I111:I113)</f>
        <v>25.7</v>
      </c>
      <c r="J114" s="459"/>
      <c r="K114" s="459"/>
      <c r="L114" s="459"/>
      <c r="M114" s="459"/>
      <c r="N114" s="459"/>
      <c r="O114" s="512"/>
    </row>
    <row r="115" spans="1:15" s="513" customFormat="1" ht="19.899999999999999" customHeight="1">
      <c r="A115" s="459"/>
      <c r="B115" s="459"/>
      <c r="C115" s="454"/>
      <c r="D115" s="454"/>
      <c r="E115" s="238"/>
      <c r="F115" s="464"/>
      <c r="G115" s="464"/>
      <c r="H115" s="460"/>
      <c r="I115" s="463"/>
      <c r="J115" s="459"/>
      <c r="K115" s="459"/>
      <c r="L115" s="459"/>
      <c r="M115" s="459"/>
      <c r="N115" s="459"/>
      <c r="O115" s="516" t="s">
        <v>165</v>
      </c>
    </row>
    <row r="116" spans="1:15" s="513" customFormat="1" ht="19.899999999999999" customHeight="1">
      <c r="A116" s="458">
        <v>12</v>
      </c>
      <c r="B116" s="1642" t="s">
        <v>542</v>
      </c>
      <c r="C116" s="1643"/>
      <c r="D116" s="1643"/>
      <c r="E116" s="1643"/>
      <c r="F116" s="1643"/>
      <c r="G116" s="1643"/>
      <c r="H116" s="1644"/>
      <c r="I116" s="467"/>
      <c r="J116" s="459"/>
      <c r="K116" s="459"/>
      <c r="L116" s="459"/>
      <c r="M116" s="459"/>
      <c r="N116" s="459"/>
      <c r="O116" s="512"/>
    </row>
    <row r="117" spans="1:15" s="513" customFormat="1" ht="19.899999999999999" customHeight="1">
      <c r="A117" s="458"/>
      <c r="B117" s="467" t="s">
        <v>1281</v>
      </c>
      <c r="C117" s="238">
        <v>1</v>
      </c>
      <c r="D117" s="514" t="s">
        <v>56</v>
      </c>
      <c r="E117" s="238">
        <v>11</v>
      </c>
      <c r="F117" s="140">
        <v>0.23</v>
      </c>
      <c r="G117" s="464"/>
      <c r="H117" s="140">
        <v>1.5</v>
      </c>
      <c r="I117" s="515">
        <f t="shared" ref="I117:I118" si="15">PRODUCT(C117:H117)</f>
        <v>3.7950000000000004</v>
      </c>
      <c r="J117" s="459"/>
      <c r="K117" s="459"/>
      <c r="L117" s="459"/>
      <c r="M117" s="459"/>
      <c r="N117" s="459"/>
      <c r="O117" s="512"/>
    </row>
    <row r="118" spans="1:15" s="513" customFormat="1" ht="19.899999999999999" customHeight="1">
      <c r="A118" s="458"/>
      <c r="B118" s="467" t="s">
        <v>1281</v>
      </c>
      <c r="C118" s="238">
        <v>1</v>
      </c>
      <c r="D118" s="514" t="s">
        <v>56</v>
      </c>
      <c r="E118" s="238">
        <v>11</v>
      </c>
      <c r="F118" s="140">
        <v>0.23</v>
      </c>
      <c r="G118" s="464"/>
      <c r="H118" s="140">
        <v>0.27</v>
      </c>
      <c r="I118" s="515">
        <f t="shared" si="15"/>
        <v>0.68310000000000015</v>
      </c>
      <c r="J118" s="459"/>
      <c r="K118" s="459"/>
      <c r="L118" s="459"/>
      <c r="M118" s="459"/>
      <c r="N118" s="459"/>
      <c r="O118" s="512"/>
    </row>
    <row r="119" spans="1:15" s="513" customFormat="1" ht="19.899999999999999" customHeight="1">
      <c r="A119" s="458"/>
      <c r="B119" s="467"/>
      <c r="C119" s="238"/>
      <c r="D119" s="514"/>
      <c r="E119" s="238"/>
      <c r="F119" s="140"/>
      <c r="G119" s="464"/>
      <c r="H119" s="140"/>
      <c r="I119" s="515">
        <v>0.02</v>
      </c>
      <c r="J119" s="459"/>
      <c r="K119" s="459"/>
      <c r="L119" s="459"/>
      <c r="M119" s="459"/>
      <c r="N119" s="459"/>
      <c r="O119" s="512"/>
    </row>
    <row r="120" spans="1:15" s="513" customFormat="1" ht="19.899999999999999" customHeight="1">
      <c r="A120" s="458"/>
      <c r="B120" s="467"/>
      <c r="C120" s="238"/>
      <c r="D120" s="514"/>
      <c r="E120" s="238"/>
      <c r="F120" s="140"/>
      <c r="G120" s="464"/>
      <c r="H120" s="460" t="s">
        <v>57</v>
      </c>
      <c r="I120" s="530">
        <f>SUM(I117:I119)</f>
        <v>4.4981</v>
      </c>
      <c r="J120" s="459"/>
      <c r="K120" s="459"/>
      <c r="L120" s="459"/>
      <c r="M120" s="459"/>
      <c r="N120" s="459"/>
      <c r="O120" s="512"/>
    </row>
    <row r="121" spans="1:15" s="513" customFormat="1" ht="19.899999999999999" customHeight="1">
      <c r="A121" s="459"/>
      <c r="B121" s="459"/>
      <c r="C121" s="454"/>
      <c r="D121" s="454"/>
      <c r="E121" s="238"/>
      <c r="F121" s="464"/>
      <c r="G121" s="464"/>
      <c r="H121" s="460"/>
      <c r="I121" s="463"/>
      <c r="J121" s="459"/>
      <c r="K121" s="459"/>
      <c r="L121" s="459"/>
      <c r="M121" s="459"/>
      <c r="N121" s="459"/>
      <c r="O121" s="516" t="s">
        <v>165</v>
      </c>
    </row>
    <row r="122" spans="1:15" ht="35.1" customHeight="1">
      <c r="A122" s="507"/>
      <c r="B122" s="508"/>
      <c r="C122" s="509"/>
      <c r="D122" s="509"/>
      <c r="E122" s="509"/>
      <c r="F122" s="509"/>
      <c r="G122" s="509"/>
      <c r="H122" s="509"/>
      <c r="I122" s="509"/>
      <c r="K122" s="509"/>
    </row>
    <row r="123" spans="1:15" ht="35.1" customHeight="1">
      <c r="A123" s="507"/>
      <c r="B123" s="508"/>
      <c r="C123" s="509"/>
      <c r="D123" s="509"/>
      <c r="E123" s="509"/>
      <c r="F123" s="509"/>
      <c r="G123" s="509"/>
      <c r="H123" s="509"/>
      <c r="I123" s="509"/>
      <c r="K123" s="509"/>
    </row>
    <row r="124" spans="1:15" ht="35.1" customHeight="1">
      <c r="A124" s="507"/>
      <c r="B124" s="508"/>
      <c r="C124" s="509"/>
      <c r="D124" s="509"/>
      <c r="E124" s="509"/>
      <c r="F124" s="509"/>
      <c r="G124" s="509"/>
      <c r="H124" s="509"/>
      <c r="I124" s="509"/>
      <c r="K124" s="509"/>
    </row>
    <row r="125" spans="1:15" ht="35.1" customHeight="1">
      <c r="A125" s="507"/>
      <c r="B125" s="508"/>
      <c r="C125" s="509"/>
      <c r="D125" s="509"/>
      <c r="E125" s="509"/>
      <c r="F125" s="509"/>
      <c r="G125" s="509"/>
      <c r="H125" s="509"/>
      <c r="I125" s="509"/>
      <c r="K125" s="509"/>
    </row>
  </sheetData>
  <mergeCells count="23">
    <mergeCell ref="B110:H110"/>
    <mergeCell ref="B116:H116"/>
    <mergeCell ref="B55:H55"/>
    <mergeCell ref="B60:H60"/>
    <mergeCell ref="B64:H64"/>
    <mergeCell ref="B83:H83"/>
    <mergeCell ref="B100:H100"/>
    <mergeCell ref="B103:H103"/>
    <mergeCell ref="B50:H50"/>
    <mergeCell ref="B54:H54"/>
    <mergeCell ref="C10:E10"/>
    <mergeCell ref="C11:E11"/>
    <mergeCell ref="A1:I1"/>
    <mergeCell ref="A3:I4"/>
    <mergeCell ref="C6:H6"/>
    <mergeCell ref="B7:H7"/>
    <mergeCell ref="C8:H8"/>
    <mergeCell ref="A9:I9"/>
    <mergeCell ref="G35:H35"/>
    <mergeCell ref="B12:H12"/>
    <mergeCell ref="B25:H25"/>
    <mergeCell ref="B31:H31"/>
    <mergeCell ref="B39:H39"/>
  </mergeCells>
  <pageMargins left="0.7" right="0.7" top="0.7" bottom="0.3" header="0" footer="0"/>
  <pageSetup paperSize="9" orientation="portrait" r:id="rId1"/>
  <headerFooter>
    <oddHeader>Page &amp;P</oddHeader>
  </headerFooter>
</worksheet>
</file>

<file path=xl/worksheets/sheet32.xml><?xml version="1.0" encoding="utf-8"?>
<worksheet xmlns="http://schemas.openxmlformats.org/spreadsheetml/2006/main" xmlns:r="http://schemas.openxmlformats.org/officeDocument/2006/relationships">
  <dimension ref="A1:T184"/>
  <sheetViews>
    <sheetView topLeftCell="A166" workbookViewId="0">
      <selection activeCell="G178" sqref="G178"/>
    </sheetView>
  </sheetViews>
  <sheetFormatPr defaultColWidth="8.77734375" defaultRowHeight="15"/>
  <cols>
    <col min="1" max="1" width="4.21875" style="145" customWidth="1"/>
    <col min="2" max="2" width="29.109375" style="115" customWidth="1"/>
    <col min="3" max="4" width="3.21875" style="146" customWidth="1"/>
    <col min="5" max="5" width="3.21875" style="147" customWidth="1"/>
    <col min="6" max="9" width="6.77734375" style="148" customWidth="1"/>
    <col min="10" max="10" width="4.88671875" style="149" customWidth="1"/>
    <col min="11" max="11" width="8.77734375" style="115"/>
    <col min="12" max="12" width="8.77734375" style="116"/>
    <col min="13" max="256" width="8.77734375" style="115"/>
    <col min="257" max="257" width="4.21875" style="115" customWidth="1"/>
    <col min="258" max="258" width="29.109375" style="115" customWidth="1"/>
    <col min="259" max="261" width="3.77734375" style="115" customWidth="1"/>
    <col min="262" max="265" width="6.77734375" style="115" customWidth="1"/>
    <col min="266" max="266" width="4.88671875" style="115" customWidth="1"/>
    <col min="267" max="512" width="8.77734375" style="115"/>
    <col min="513" max="513" width="4.21875" style="115" customWidth="1"/>
    <col min="514" max="514" width="29.109375" style="115" customWidth="1"/>
    <col min="515" max="517" width="3.77734375" style="115" customWidth="1"/>
    <col min="518" max="521" width="6.77734375" style="115" customWidth="1"/>
    <col min="522" max="522" width="4.88671875" style="115" customWidth="1"/>
    <col min="523" max="768" width="8.77734375" style="115"/>
    <col min="769" max="769" width="4.21875" style="115" customWidth="1"/>
    <col min="770" max="770" width="29.109375" style="115" customWidth="1"/>
    <col min="771" max="773" width="3.77734375" style="115" customWidth="1"/>
    <col min="774" max="777" width="6.77734375" style="115" customWidth="1"/>
    <col min="778" max="778" width="4.88671875" style="115" customWidth="1"/>
    <col min="779" max="1024" width="8.77734375" style="115"/>
    <col min="1025" max="1025" width="4.21875" style="115" customWidth="1"/>
    <col min="1026" max="1026" width="29.109375" style="115" customWidth="1"/>
    <col min="1027" max="1029" width="3.77734375" style="115" customWidth="1"/>
    <col min="1030" max="1033" width="6.77734375" style="115" customWidth="1"/>
    <col min="1034" max="1034" width="4.88671875" style="115" customWidth="1"/>
    <col min="1035" max="1280" width="8.77734375" style="115"/>
    <col min="1281" max="1281" width="4.21875" style="115" customWidth="1"/>
    <col min="1282" max="1282" width="29.109375" style="115" customWidth="1"/>
    <col min="1283" max="1285" width="3.77734375" style="115" customWidth="1"/>
    <col min="1286" max="1289" width="6.77734375" style="115" customWidth="1"/>
    <col min="1290" max="1290" width="4.88671875" style="115" customWidth="1"/>
    <col min="1291" max="1536" width="8.77734375" style="115"/>
    <col min="1537" max="1537" width="4.21875" style="115" customWidth="1"/>
    <col min="1538" max="1538" width="29.109375" style="115" customWidth="1"/>
    <col min="1539" max="1541" width="3.77734375" style="115" customWidth="1"/>
    <col min="1542" max="1545" width="6.77734375" style="115" customWidth="1"/>
    <col min="1546" max="1546" width="4.88671875" style="115" customWidth="1"/>
    <col min="1547" max="1792" width="8.77734375" style="115"/>
    <col min="1793" max="1793" width="4.21875" style="115" customWidth="1"/>
    <col min="1794" max="1794" width="29.109375" style="115" customWidth="1"/>
    <col min="1795" max="1797" width="3.77734375" style="115" customWidth="1"/>
    <col min="1798" max="1801" width="6.77734375" style="115" customWidth="1"/>
    <col min="1802" max="1802" width="4.88671875" style="115" customWidth="1"/>
    <col min="1803" max="2048" width="8.77734375" style="115"/>
    <col min="2049" max="2049" width="4.21875" style="115" customWidth="1"/>
    <col min="2050" max="2050" width="29.109375" style="115" customWidth="1"/>
    <col min="2051" max="2053" width="3.77734375" style="115" customWidth="1"/>
    <col min="2054" max="2057" width="6.77734375" style="115" customWidth="1"/>
    <col min="2058" max="2058" width="4.88671875" style="115" customWidth="1"/>
    <col min="2059" max="2304" width="8.77734375" style="115"/>
    <col min="2305" max="2305" width="4.21875" style="115" customWidth="1"/>
    <col min="2306" max="2306" width="29.109375" style="115" customWidth="1"/>
    <col min="2307" max="2309" width="3.77734375" style="115" customWidth="1"/>
    <col min="2310" max="2313" width="6.77734375" style="115" customWidth="1"/>
    <col min="2314" max="2314" width="4.88671875" style="115" customWidth="1"/>
    <col min="2315" max="2560" width="8.77734375" style="115"/>
    <col min="2561" max="2561" width="4.21875" style="115" customWidth="1"/>
    <col min="2562" max="2562" width="29.109375" style="115" customWidth="1"/>
    <col min="2563" max="2565" width="3.77734375" style="115" customWidth="1"/>
    <col min="2566" max="2569" width="6.77734375" style="115" customWidth="1"/>
    <col min="2570" max="2570" width="4.88671875" style="115" customWidth="1"/>
    <col min="2571" max="2816" width="8.77734375" style="115"/>
    <col min="2817" max="2817" width="4.21875" style="115" customWidth="1"/>
    <col min="2818" max="2818" width="29.109375" style="115" customWidth="1"/>
    <col min="2819" max="2821" width="3.77734375" style="115" customWidth="1"/>
    <col min="2822" max="2825" width="6.77734375" style="115" customWidth="1"/>
    <col min="2826" max="2826" width="4.88671875" style="115" customWidth="1"/>
    <col min="2827" max="3072" width="8.77734375" style="115"/>
    <col min="3073" max="3073" width="4.21875" style="115" customWidth="1"/>
    <col min="3074" max="3074" width="29.109375" style="115" customWidth="1"/>
    <col min="3075" max="3077" width="3.77734375" style="115" customWidth="1"/>
    <col min="3078" max="3081" width="6.77734375" style="115" customWidth="1"/>
    <col min="3082" max="3082" width="4.88671875" style="115" customWidth="1"/>
    <col min="3083" max="3328" width="8.77734375" style="115"/>
    <col min="3329" max="3329" width="4.21875" style="115" customWidth="1"/>
    <col min="3330" max="3330" width="29.109375" style="115" customWidth="1"/>
    <col min="3331" max="3333" width="3.77734375" style="115" customWidth="1"/>
    <col min="3334" max="3337" width="6.77734375" style="115" customWidth="1"/>
    <col min="3338" max="3338" width="4.88671875" style="115" customWidth="1"/>
    <col min="3339" max="3584" width="8.77734375" style="115"/>
    <col min="3585" max="3585" width="4.21875" style="115" customWidth="1"/>
    <col min="3586" max="3586" width="29.109375" style="115" customWidth="1"/>
    <col min="3587" max="3589" width="3.77734375" style="115" customWidth="1"/>
    <col min="3590" max="3593" width="6.77734375" style="115" customWidth="1"/>
    <col min="3594" max="3594" width="4.88671875" style="115" customWidth="1"/>
    <col min="3595" max="3840" width="8.77734375" style="115"/>
    <col min="3841" max="3841" width="4.21875" style="115" customWidth="1"/>
    <col min="3842" max="3842" width="29.109375" style="115" customWidth="1"/>
    <col min="3843" max="3845" width="3.77734375" style="115" customWidth="1"/>
    <col min="3846" max="3849" width="6.77734375" style="115" customWidth="1"/>
    <col min="3850" max="3850" width="4.88671875" style="115" customWidth="1"/>
    <col min="3851" max="4096" width="8.77734375" style="115"/>
    <col min="4097" max="4097" width="4.21875" style="115" customWidth="1"/>
    <col min="4098" max="4098" width="29.109375" style="115" customWidth="1"/>
    <col min="4099" max="4101" width="3.77734375" style="115" customWidth="1"/>
    <col min="4102" max="4105" width="6.77734375" style="115" customWidth="1"/>
    <col min="4106" max="4106" width="4.88671875" style="115" customWidth="1"/>
    <col min="4107" max="4352" width="8.77734375" style="115"/>
    <col min="4353" max="4353" width="4.21875" style="115" customWidth="1"/>
    <col min="4354" max="4354" width="29.109375" style="115" customWidth="1"/>
    <col min="4355" max="4357" width="3.77734375" style="115" customWidth="1"/>
    <col min="4358" max="4361" width="6.77734375" style="115" customWidth="1"/>
    <col min="4362" max="4362" width="4.88671875" style="115" customWidth="1"/>
    <col min="4363" max="4608" width="8.77734375" style="115"/>
    <col min="4609" max="4609" width="4.21875" style="115" customWidth="1"/>
    <col min="4610" max="4610" width="29.109375" style="115" customWidth="1"/>
    <col min="4611" max="4613" width="3.77734375" style="115" customWidth="1"/>
    <col min="4614" max="4617" width="6.77734375" style="115" customWidth="1"/>
    <col min="4618" max="4618" width="4.88671875" style="115" customWidth="1"/>
    <col min="4619" max="4864" width="8.77734375" style="115"/>
    <col min="4865" max="4865" width="4.21875" style="115" customWidth="1"/>
    <col min="4866" max="4866" width="29.109375" style="115" customWidth="1"/>
    <col min="4867" max="4869" width="3.77734375" style="115" customWidth="1"/>
    <col min="4870" max="4873" width="6.77734375" style="115" customWidth="1"/>
    <col min="4874" max="4874" width="4.88671875" style="115" customWidth="1"/>
    <col min="4875" max="5120" width="8.77734375" style="115"/>
    <col min="5121" max="5121" width="4.21875" style="115" customWidth="1"/>
    <col min="5122" max="5122" width="29.109375" style="115" customWidth="1"/>
    <col min="5123" max="5125" width="3.77734375" style="115" customWidth="1"/>
    <col min="5126" max="5129" width="6.77734375" style="115" customWidth="1"/>
    <col min="5130" max="5130" width="4.88671875" style="115" customWidth="1"/>
    <col min="5131" max="5376" width="8.77734375" style="115"/>
    <col min="5377" max="5377" width="4.21875" style="115" customWidth="1"/>
    <col min="5378" max="5378" width="29.109375" style="115" customWidth="1"/>
    <col min="5379" max="5381" width="3.77734375" style="115" customWidth="1"/>
    <col min="5382" max="5385" width="6.77734375" style="115" customWidth="1"/>
    <col min="5386" max="5386" width="4.88671875" style="115" customWidth="1"/>
    <col min="5387" max="5632" width="8.77734375" style="115"/>
    <col min="5633" max="5633" width="4.21875" style="115" customWidth="1"/>
    <col min="5634" max="5634" width="29.109375" style="115" customWidth="1"/>
    <col min="5635" max="5637" width="3.77734375" style="115" customWidth="1"/>
    <col min="5638" max="5641" width="6.77734375" style="115" customWidth="1"/>
    <col min="5642" max="5642" width="4.88671875" style="115" customWidth="1"/>
    <col min="5643" max="5888" width="8.77734375" style="115"/>
    <col min="5889" max="5889" width="4.21875" style="115" customWidth="1"/>
    <col min="5890" max="5890" width="29.109375" style="115" customWidth="1"/>
    <col min="5891" max="5893" width="3.77734375" style="115" customWidth="1"/>
    <col min="5894" max="5897" width="6.77734375" style="115" customWidth="1"/>
    <col min="5898" max="5898" width="4.88671875" style="115" customWidth="1"/>
    <col min="5899" max="6144" width="8.77734375" style="115"/>
    <col min="6145" max="6145" width="4.21875" style="115" customWidth="1"/>
    <col min="6146" max="6146" width="29.109375" style="115" customWidth="1"/>
    <col min="6147" max="6149" width="3.77734375" style="115" customWidth="1"/>
    <col min="6150" max="6153" width="6.77734375" style="115" customWidth="1"/>
    <col min="6154" max="6154" width="4.88671875" style="115" customWidth="1"/>
    <col min="6155" max="6400" width="8.77734375" style="115"/>
    <col min="6401" max="6401" width="4.21875" style="115" customWidth="1"/>
    <col min="6402" max="6402" width="29.109375" style="115" customWidth="1"/>
    <col min="6403" max="6405" width="3.77734375" style="115" customWidth="1"/>
    <col min="6406" max="6409" width="6.77734375" style="115" customWidth="1"/>
    <col min="6410" max="6410" width="4.88671875" style="115" customWidth="1"/>
    <col min="6411" max="6656" width="8.77734375" style="115"/>
    <col min="6657" max="6657" width="4.21875" style="115" customWidth="1"/>
    <col min="6658" max="6658" width="29.109375" style="115" customWidth="1"/>
    <col min="6659" max="6661" width="3.77734375" style="115" customWidth="1"/>
    <col min="6662" max="6665" width="6.77734375" style="115" customWidth="1"/>
    <col min="6666" max="6666" width="4.88671875" style="115" customWidth="1"/>
    <col min="6667" max="6912" width="8.77734375" style="115"/>
    <col min="6913" max="6913" width="4.21875" style="115" customWidth="1"/>
    <col min="6914" max="6914" width="29.109375" style="115" customWidth="1"/>
    <col min="6915" max="6917" width="3.77734375" style="115" customWidth="1"/>
    <col min="6918" max="6921" width="6.77734375" style="115" customWidth="1"/>
    <col min="6922" max="6922" width="4.88671875" style="115" customWidth="1"/>
    <col min="6923" max="7168" width="8.77734375" style="115"/>
    <col min="7169" max="7169" width="4.21875" style="115" customWidth="1"/>
    <col min="7170" max="7170" width="29.109375" style="115" customWidth="1"/>
    <col min="7171" max="7173" width="3.77734375" style="115" customWidth="1"/>
    <col min="7174" max="7177" width="6.77734375" style="115" customWidth="1"/>
    <col min="7178" max="7178" width="4.88671875" style="115" customWidth="1"/>
    <col min="7179" max="7424" width="8.77734375" style="115"/>
    <col min="7425" max="7425" width="4.21875" style="115" customWidth="1"/>
    <col min="7426" max="7426" width="29.109375" style="115" customWidth="1"/>
    <col min="7427" max="7429" width="3.77734375" style="115" customWidth="1"/>
    <col min="7430" max="7433" width="6.77734375" style="115" customWidth="1"/>
    <col min="7434" max="7434" width="4.88671875" style="115" customWidth="1"/>
    <col min="7435" max="7680" width="8.77734375" style="115"/>
    <col min="7681" max="7681" width="4.21875" style="115" customWidth="1"/>
    <col min="7682" max="7682" width="29.109375" style="115" customWidth="1"/>
    <col min="7683" max="7685" width="3.77734375" style="115" customWidth="1"/>
    <col min="7686" max="7689" width="6.77734375" style="115" customWidth="1"/>
    <col min="7690" max="7690" width="4.88671875" style="115" customWidth="1"/>
    <col min="7691" max="7936" width="8.77734375" style="115"/>
    <col min="7937" max="7937" width="4.21875" style="115" customWidth="1"/>
    <col min="7938" max="7938" width="29.109375" style="115" customWidth="1"/>
    <col min="7939" max="7941" width="3.77734375" style="115" customWidth="1"/>
    <col min="7942" max="7945" width="6.77734375" style="115" customWidth="1"/>
    <col min="7946" max="7946" width="4.88671875" style="115" customWidth="1"/>
    <col min="7947" max="8192" width="8.77734375" style="115"/>
    <col min="8193" max="8193" width="4.21875" style="115" customWidth="1"/>
    <col min="8194" max="8194" width="29.109375" style="115" customWidth="1"/>
    <col min="8195" max="8197" width="3.77734375" style="115" customWidth="1"/>
    <col min="8198" max="8201" width="6.77734375" style="115" customWidth="1"/>
    <col min="8202" max="8202" width="4.88671875" style="115" customWidth="1"/>
    <col min="8203" max="8448" width="8.77734375" style="115"/>
    <col min="8449" max="8449" width="4.21875" style="115" customWidth="1"/>
    <col min="8450" max="8450" width="29.109375" style="115" customWidth="1"/>
    <col min="8451" max="8453" width="3.77734375" style="115" customWidth="1"/>
    <col min="8454" max="8457" width="6.77734375" style="115" customWidth="1"/>
    <col min="8458" max="8458" width="4.88671875" style="115" customWidth="1"/>
    <col min="8459" max="8704" width="8.77734375" style="115"/>
    <col min="8705" max="8705" width="4.21875" style="115" customWidth="1"/>
    <col min="8706" max="8706" width="29.109375" style="115" customWidth="1"/>
    <col min="8707" max="8709" width="3.77734375" style="115" customWidth="1"/>
    <col min="8710" max="8713" width="6.77734375" style="115" customWidth="1"/>
    <col min="8714" max="8714" width="4.88671875" style="115" customWidth="1"/>
    <col min="8715" max="8960" width="8.77734375" style="115"/>
    <col min="8961" max="8961" width="4.21875" style="115" customWidth="1"/>
    <col min="8962" max="8962" width="29.109375" style="115" customWidth="1"/>
    <col min="8963" max="8965" width="3.77734375" style="115" customWidth="1"/>
    <col min="8966" max="8969" width="6.77734375" style="115" customWidth="1"/>
    <col min="8970" max="8970" width="4.88671875" style="115" customWidth="1"/>
    <col min="8971" max="9216" width="8.77734375" style="115"/>
    <col min="9217" max="9217" width="4.21875" style="115" customWidth="1"/>
    <col min="9218" max="9218" width="29.109375" style="115" customWidth="1"/>
    <col min="9219" max="9221" width="3.77734375" style="115" customWidth="1"/>
    <col min="9222" max="9225" width="6.77734375" style="115" customWidth="1"/>
    <col min="9226" max="9226" width="4.88671875" style="115" customWidth="1"/>
    <col min="9227" max="9472" width="8.77734375" style="115"/>
    <col min="9473" max="9473" width="4.21875" style="115" customWidth="1"/>
    <col min="9474" max="9474" width="29.109375" style="115" customWidth="1"/>
    <col min="9475" max="9477" width="3.77734375" style="115" customWidth="1"/>
    <col min="9478" max="9481" width="6.77734375" style="115" customWidth="1"/>
    <col min="9482" max="9482" width="4.88671875" style="115" customWidth="1"/>
    <col min="9483" max="9728" width="8.77734375" style="115"/>
    <col min="9729" max="9729" width="4.21875" style="115" customWidth="1"/>
    <col min="9730" max="9730" width="29.109375" style="115" customWidth="1"/>
    <col min="9731" max="9733" width="3.77734375" style="115" customWidth="1"/>
    <col min="9734" max="9737" width="6.77734375" style="115" customWidth="1"/>
    <col min="9738" max="9738" width="4.88671875" style="115" customWidth="1"/>
    <col min="9739" max="9984" width="8.77734375" style="115"/>
    <col min="9985" max="9985" width="4.21875" style="115" customWidth="1"/>
    <col min="9986" max="9986" width="29.109375" style="115" customWidth="1"/>
    <col min="9987" max="9989" width="3.77734375" style="115" customWidth="1"/>
    <col min="9990" max="9993" width="6.77734375" style="115" customWidth="1"/>
    <col min="9994" max="9994" width="4.88671875" style="115" customWidth="1"/>
    <col min="9995" max="10240" width="8.77734375" style="115"/>
    <col min="10241" max="10241" width="4.21875" style="115" customWidth="1"/>
    <col min="10242" max="10242" width="29.109375" style="115" customWidth="1"/>
    <col min="10243" max="10245" width="3.77734375" style="115" customWidth="1"/>
    <col min="10246" max="10249" width="6.77734375" style="115" customWidth="1"/>
    <col min="10250" max="10250" width="4.88671875" style="115" customWidth="1"/>
    <col min="10251" max="10496" width="8.77734375" style="115"/>
    <col min="10497" max="10497" width="4.21875" style="115" customWidth="1"/>
    <col min="10498" max="10498" width="29.109375" style="115" customWidth="1"/>
    <col min="10499" max="10501" width="3.77734375" style="115" customWidth="1"/>
    <col min="10502" max="10505" width="6.77734375" style="115" customWidth="1"/>
    <col min="10506" max="10506" width="4.88671875" style="115" customWidth="1"/>
    <col min="10507" max="10752" width="8.77734375" style="115"/>
    <col min="10753" max="10753" width="4.21875" style="115" customWidth="1"/>
    <col min="10754" max="10754" width="29.109375" style="115" customWidth="1"/>
    <col min="10755" max="10757" width="3.77734375" style="115" customWidth="1"/>
    <col min="10758" max="10761" width="6.77734375" style="115" customWidth="1"/>
    <col min="10762" max="10762" width="4.88671875" style="115" customWidth="1"/>
    <col min="10763" max="11008" width="8.77734375" style="115"/>
    <col min="11009" max="11009" width="4.21875" style="115" customWidth="1"/>
    <col min="11010" max="11010" width="29.109375" style="115" customWidth="1"/>
    <col min="11011" max="11013" width="3.77734375" style="115" customWidth="1"/>
    <col min="11014" max="11017" width="6.77734375" style="115" customWidth="1"/>
    <col min="11018" max="11018" width="4.88671875" style="115" customWidth="1"/>
    <col min="11019" max="11264" width="8.77734375" style="115"/>
    <col min="11265" max="11265" width="4.21875" style="115" customWidth="1"/>
    <col min="11266" max="11266" width="29.109375" style="115" customWidth="1"/>
    <col min="11267" max="11269" width="3.77734375" style="115" customWidth="1"/>
    <col min="11270" max="11273" width="6.77734375" style="115" customWidth="1"/>
    <col min="11274" max="11274" width="4.88671875" style="115" customWidth="1"/>
    <col min="11275" max="11520" width="8.77734375" style="115"/>
    <col min="11521" max="11521" width="4.21875" style="115" customWidth="1"/>
    <col min="11522" max="11522" width="29.109375" style="115" customWidth="1"/>
    <col min="11523" max="11525" width="3.77734375" style="115" customWidth="1"/>
    <col min="11526" max="11529" width="6.77734375" style="115" customWidth="1"/>
    <col min="11530" max="11530" width="4.88671875" style="115" customWidth="1"/>
    <col min="11531" max="11776" width="8.77734375" style="115"/>
    <col min="11777" max="11777" width="4.21875" style="115" customWidth="1"/>
    <col min="11778" max="11778" width="29.109375" style="115" customWidth="1"/>
    <col min="11779" max="11781" width="3.77734375" style="115" customWidth="1"/>
    <col min="11782" max="11785" width="6.77734375" style="115" customWidth="1"/>
    <col min="11786" max="11786" width="4.88671875" style="115" customWidth="1"/>
    <col min="11787" max="12032" width="8.77734375" style="115"/>
    <col min="12033" max="12033" width="4.21875" style="115" customWidth="1"/>
    <col min="12034" max="12034" width="29.109375" style="115" customWidth="1"/>
    <col min="12035" max="12037" width="3.77734375" style="115" customWidth="1"/>
    <col min="12038" max="12041" width="6.77734375" style="115" customWidth="1"/>
    <col min="12042" max="12042" width="4.88671875" style="115" customWidth="1"/>
    <col min="12043" max="12288" width="8.77734375" style="115"/>
    <col min="12289" max="12289" width="4.21875" style="115" customWidth="1"/>
    <col min="12290" max="12290" width="29.109375" style="115" customWidth="1"/>
    <col min="12291" max="12293" width="3.77734375" style="115" customWidth="1"/>
    <col min="12294" max="12297" width="6.77734375" style="115" customWidth="1"/>
    <col min="12298" max="12298" width="4.88671875" style="115" customWidth="1"/>
    <col min="12299" max="12544" width="8.77734375" style="115"/>
    <col min="12545" max="12545" width="4.21875" style="115" customWidth="1"/>
    <col min="12546" max="12546" width="29.109375" style="115" customWidth="1"/>
    <col min="12547" max="12549" width="3.77734375" style="115" customWidth="1"/>
    <col min="12550" max="12553" width="6.77734375" style="115" customWidth="1"/>
    <col min="12554" max="12554" width="4.88671875" style="115" customWidth="1"/>
    <col min="12555" max="12800" width="8.77734375" style="115"/>
    <col min="12801" max="12801" width="4.21875" style="115" customWidth="1"/>
    <col min="12802" max="12802" width="29.109375" style="115" customWidth="1"/>
    <col min="12803" max="12805" width="3.77734375" style="115" customWidth="1"/>
    <col min="12806" max="12809" width="6.77734375" style="115" customWidth="1"/>
    <col min="12810" max="12810" width="4.88671875" style="115" customWidth="1"/>
    <col min="12811" max="13056" width="8.77734375" style="115"/>
    <col min="13057" max="13057" width="4.21875" style="115" customWidth="1"/>
    <col min="13058" max="13058" width="29.109375" style="115" customWidth="1"/>
    <col min="13059" max="13061" width="3.77734375" style="115" customWidth="1"/>
    <col min="13062" max="13065" width="6.77734375" style="115" customWidth="1"/>
    <col min="13066" max="13066" width="4.88671875" style="115" customWidth="1"/>
    <col min="13067" max="13312" width="8.77734375" style="115"/>
    <col min="13313" max="13313" width="4.21875" style="115" customWidth="1"/>
    <col min="13314" max="13314" width="29.109375" style="115" customWidth="1"/>
    <col min="13315" max="13317" width="3.77734375" style="115" customWidth="1"/>
    <col min="13318" max="13321" width="6.77734375" style="115" customWidth="1"/>
    <col min="13322" max="13322" width="4.88671875" style="115" customWidth="1"/>
    <col min="13323" max="13568" width="8.77734375" style="115"/>
    <col min="13569" max="13569" width="4.21875" style="115" customWidth="1"/>
    <col min="13570" max="13570" width="29.109375" style="115" customWidth="1"/>
    <col min="13571" max="13573" width="3.77734375" style="115" customWidth="1"/>
    <col min="13574" max="13577" width="6.77734375" style="115" customWidth="1"/>
    <col min="13578" max="13578" width="4.88671875" style="115" customWidth="1"/>
    <col min="13579" max="13824" width="8.77734375" style="115"/>
    <col min="13825" max="13825" width="4.21875" style="115" customWidth="1"/>
    <col min="13826" max="13826" width="29.109375" style="115" customWidth="1"/>
    <col min="13827" max="13829" width="3.77734375" style="115" customWidth="1"/>
    <col min="13830" max="13833" width="6.77734375" style="115" customWidth="1"/>
    <col min="13834" max="13834" width="4.88671875" style="115" customWidth="1"/>
    <col min="13835" max="14080" width="8.77734375" style="115"/>
    <col min="14081" max="14081" width="4.21875" style="115" customWidth="1"/>
    <col min="14082" max="14082" width="29.109375" style="115" customWidth="1"/>
    <col min="14083" max="14085" width="3.77734375" style="115" customWidth="1"/>
    <col min="14086" max="14089" width="6.77734375" style="115" customWidth="1"/>
    <col min="14090" max="14090" width="4.88671875" style="115" customWidth="1"/>
    <col min="14091" max="14336" width="8.77734375" style="115"/>
    <col min="14337" max="14337" width="4.21875" style="115" customWidth="1"/>
    <col min="14338" max="14338" width="29.109375" style="115" customWidth="1"/>
    <col min="14339" max="14341" width="3.77734375" style="115" customWidth="1"/>
    <col min="14342" max="14345" width="6.77734375" style="115" customWidth="1"/>
    <col min="14346" max="14346" width="4.88671875" style="115" customWidth="1"/>
    <col min="14347" max="14592" width="8.77734375" style="115"/>
    <col min="14593" max="14593" width="4.21875" style="115" customWidth="1"/>
    <col min="14594" max="14594" width="29.109375" style="115" customWidth="1"/>
    <col min="14595" max="14597" width="3.77734375" style="115" customWidth="1"/>
    <col min="14598" max="14601" width="6.77734375" style="115" customWidth="1"/>
    <col min="14602" max="14602" width="4.88671875" style="115" customWidth="1"/>
    <col min="14603" max="14848" width="8.77734375" style="115"/>
    <col min="14849" max="14849" width="4.21875" style="115" customWidth="1"/>
    <col min="14850" max="14850" width="29.109375" style="115" customWidth="1"/>
    <col min="14851" max="14853" width="3.77734375" style="115" customWidth="1"/>
    <col min="14854" max="14857" width="6.77734375" style="115" customWidth="1"/>
    <col min="14858" max="14858" width="4.88671875" style="115" customWidth="1"/>
    <col min="14859" max="15104" width="8.77734375" style="115"/>
    <col min="15105" max="15105" width="4.21875" style="115" customWidth="1"/>
    <col min="15106" max="15106" width="29.109375" style="115" customWidth="1"/>
    <col min="15107" max="15109" width="3.77734375" style="115" customWidth="1"/>
    <col min="15110" max="15113" width="6.77734375" style="115" customWidth="1"/>
    <col min="15114" max="15114" width="4.88671875" style="115" customWidth="1"/>
    <col min="15115" max="15360" width="8.77734375" style="115"/>
    <col min="15361" max="15361" width="4.21875" style="115" customWidth="1"/>
    <col min="15362" max="15362" width="29.109375" style="115" customWidth="1"/>
    <col min="15363" max="15365" width="3.77734375" style="115" customWidth="1"/>
    <col min="15366" max="15369" width="6.77734375" style="115" customWidth="1"/>
    <col min="15370" max="15370" width="4.88671875" style="115" customWidth="1"/>
    <col min="15371" max="15616" width="8.77734375" style="115"/>
    <col min="15617" max="15617" width="4.21875" style="115" customWidth="1"/>
    <col min="15618" max="15618" width="29.109375" style="115" customWidth="1"/>
    <col min="15619" max="15621" width="3.77734375" style="115" customWidth="1"/>
    <col min="15622" max="15625" width="6.77734375" style="115" customWidth="1"/>
    <col min="15626" max="15626" width="4.88671875" style="115" customWidth="1"/>
    <col min="15627" max="15872" width="8.77734375" style="115"/>
    <col min="15873" max="15873" width="4.21875" style="115" customWidth="1"/>
    <col min="15874" max="15874" width="29.109375" style="115" customWidth="1"/>
    <col min="15875" max="15877" width="3.77734375" style="115" customWidth="1"/>
    <col min="15878" max="15881" width="6.77734375" style="115" customWidth="1"/>
    <col min="15882" max="15882" width="4.88671875" style="115" customWidth="1"/>
    <col min="15883" max="16128" width="8.77734375" style="115"/>
    <col min="16129" max="16129" width="4.21875" style="115" customWidth="1"/>
    <col min="16130" max="16130" width="29.109375" style="115" customWidth="1"/>
    <col min="16131" max="16133" width="3.77734375" style="115" customWidth="1"/>
    <col min="16134" max="16137" width="6.77734375" style="115" customWidth="1"/>
    <col min="16138" max="16138" width="4.88671875" style="115" customWidth="1"/>
    <col min="16139" max="16384" width="8.77734375" style="115"/>
  </cols>
  <sheetData>
    <row r="1" spans="1:15" ht="19.899999999999999" customHeight="1">
      <c r="A1" s="1611" t="s">
        <v>1202</v>
      </c>
      <c r="B1" s="1611"/>
      <c r="C1" s="1611"/>
      <c r="D1" s="1611"/>
      <c r="E1" s="1611"/>
      <c r="F1" s="1611"/>
      <c r="G1" s="1611"/>
      <c r="H1" s="1611"/>
      <c r="I1" s="1611"/>
      <c r="J1" s="1611"/>
    </row>
    <row r="2" spans="1:15" ht="19.899999999999999" customHeight="1">
      <c r="A2" s="1612"/>
      <c r="B2" s="1612"/>
      <c r="C2" s="1612"/>
      <c r="D2" s="1612"/>
      <c r="E2" s="1612"/>
      <c r="F2" s="1612"/>
      <c r="G2" s="1612"/>
      <c r="H2" s="1612"/>
      <c r="I2" s="1612"/>
      <c r="J2" s="1612"/>
    </row>
    <row r="3" spans="1:15" s="117" customFormat="1" ht="40.15" customHeight="1">
      <c r="A3" s="1613" t="str">
        <f>'Septic Tank'!A5:H5</f>
        <v>CONSTRUCTION OF NEW POLICE STATION BUILDING WITH DEVELOPMENT WORK IN  REGUNATHAPURAM IN PUDUKKOTTAI DISRICT.</v>
      </c>
      <c r="B3" s="1613"/>
      <c r="C3" s="1613"/>
      <c r="D3" s="1613"/>
      <c r="E3" s="1613"/>
      <c r="F3" s="1613"/>
      <c r="G3" s="1613"/>
      <c r="H3" s="1613"/>
      <c r="I3" s="1613"/>
      <c r="J3" s="1613"/>
      <c r="L3" s="118"/>
      <c r="M3" s="1610" t="s">
        <v>369</v>
      </c>
      <c r="N3" s="1610"/>
      <c r="O3" s="1610"/>
    </row>
    <row r="4" spans="1:15" ht="14.45" customHeight="1">
      <c r="A4" s="1614" t="s">
        <v>211</v>
      </c>
      <c r="B4" s="1616" t="s">
        <v>212</v>
      </c>
      <c r="C4" s="1618" t="s">
        <v>213</v>
      </c>
      <c r="D4" s="1619"/>
      <c r="E4" s="1620"/>
      <c r="F4" s="1616" t="s">
        <v>74</v>
      </c>
      <c r="G4" s="1624" t="s">
        <v>75</v>
      </c>
      <c r="H4" s="1624" t="s">
        <v>76</v>
      </c>
      <c r="I4" s="1626" t="s">
        <v>214</v>
      </c>
      <c r="J4" s="1628" t="s">
        <v>215</v>
      </c>
    </row>
    <row r="5" spans="1:15">
      <c r="A5" s="1615"/>
      <c r="B5" s="1617"/>
      <c r="C5" s="1621"/>
      <c r="D5" s="1622"/>
      <c r="E5" s="1623"/>
      <c r="F5" s="1617"/>
      <c r="G5" s="1625"/>
      <c r="H5" s="1625"/>
      <c r="I5" s="1627"/>
      <c r="J5" s="1628"/>
    </row>
    <row r="6" spans="1:15">
      <c r="A6" s="119">
        <v>1</v>
      </c>
      <c r="B6" s="119">
        <v>2</v>
      </c>
      <c r="C6" s="1605">
        <v>3</v>
      </c>
      <c r="D6" s="1606"/>
      <c r="E6" s="1607"/>
      <c r="F6" s="119">
        <v>4</v>
      </c>
      <c r="G6" s="119">
        <v>5</v>
      </c>
      <c r="H6" s="119">
        <v>6</v>
      </c>
      <c r="I6" s="553">
        <v>7</v>
      </c>
      <c r="J6" s="119">
        <v>8</v>
      </c>
    </row>
    <row r="7" spans="1:15" ht="64.900000000000006" customHeight="1">
      <c r="A7" s="120">
        <v>1</v>
      </c>
      <c r="B7" s="1726" t="s">
        <v>370</v>
      </c>
      <c r="C7" s="1727"/>
      <c r="D7" s="1727"/>
      <c r="E7" s="1727"/>
      <c r="F7" s="1727"/>
      <c r="G7" s="1727"/>
      <c r="H7" s="1727"/>
      <c r="I7" s="1727"/>
      <c r="J7" s="121"/>
    </row>
    <row r="8" spans="1:15" ht="19.899999999999999" customHeight="1">
      <c r="A8" s="122"/>
      <c r="B8" s="121" t="s">
        <v>371</v>
      </c>
      <c r="C8" s="123">
        <v>1</v>
      </c>
      <c r="D8" s="123" t="s">
        <v>266</v>
      </c>
      <c r="E8" s="123">
        <v>2</v>
      </c>
      <c r="F8" s="124" t="s">
        <v>372</v>
      </c>
      <c r="G8" s="124" t="s">
        <v>372</v>
      </c>
      <c r="H8" s="124" t="s">
        <v>372</v>
      </c>
      <c r="I8" s="125">
        <f>ROUND(PRODUCT(C8:H8),2)</f>
        <v>2</v>
      </c>
      <c r="J8" s="126"/>
    </row>
    <row r="9" spans="1:15" ht="19.899999999999999" customHeight="1">
      <c r="A9" s="122"/>
      <c r="B9" s="121"/>
      <c r="C9" s="123"/>
      <c r="D9" s="123"/>
      <c r="E9" s="127"/>
      <c r="F9" s="128"/>
      <c r="G9" s="128"/>
      <c r="H9" s="129" t="s">
        <v>57</v>
      </c>
      <c r="I9" s="130">
        <f>ROUND(SUM(I8:I8),2)</f>
        <v>2</v>
      </c>
      <c r="J9" s="131" t="s">
        <v>213</v>
      </c>
    </row>
    <row r="10" spans="1:15" ht="19.899999999999999" customHeight="1">
      <c r="A10" s="122"/>
      <c r="B10" s="121"/>
      <c r="C10" s="123"/>
      <c r="D10" s="123"/>
      <c r="E10" s="127"/>
      <c r="F10" s="128"/>
      <c r="G10" s="128"/>
      <c r="H10" s="132"/>
      <c r="I10" s="133"/>
      <c r="J10" s="126"/>
    </row>
    <row r="11" spans="1:15" ht="49.9" customHeight="1">
      <c r="A11" s="122">
        <v>2</v>
      </c>
      <c r="B11" s="1608" t="s">
        <v>373</v>
      </c>
      <c r="C11" s="1609"/>
      <c r="D11" s="1609"/>
      <c r="E11" s="1609"/>
      <c r="F11" s="1609"/>
      <c r="G11" s="1609"/>
      <c r="H11" s="1609"/>
      <c r="I11" s="1609"/>
      <c r="J11" s="134"/>
    </row>
    <row r="12" spans="1:15" ht="19.899999999999999" customHeight="1">
      <c r="A12" s="122"/>
      <c r="B12" s="121" t="s">
        <v>374</v>
      </c>
      <c r="C12" s="123">
        <v>2</v>
      </c>
      <c r="D12" s="123" t="s">
        <v>266</v>
      </c>
      <c r="E12" s="123">
        <v>2</v>
      </c>
      <c r="F12" s="124" t="s">
        <v>372</v>
      </c>
      <c r="G12" s="124" t="s">
        <v>372</v>
      </c>
      <c r="H12" s="124" t="s">
        <v>372</v>
      </c>
      <c r="I12" s="125">
        <f>ROUND(PRODUCT(C12:H12),2)</f>
        <v>4</v>
      </c>
      <c r="J12" s="126"/>
    </row>
    <row r="13" spans="1:15" ht="19.899999999999999" customHeight="1">
      <c r="A13" s="122"/>
      <c r="B13" s="121" t="s">
        <v>375</v>
      </c>
      <c r="C13" s="123">
        <v>1</v>
      </c>
      <c r="D13" s="123" t="s">
        <v>266</v>
      </c>
      <c r="E13" s="123">
        <v>3</v>
      </c>
      <c r="F13" s="124" t="s">
        <v>372</v>
      </c>
      <c r="G13" s="124" t="s">
        <v>372</v>
      </c>
      <c r="H13" s="124" t="s">
        <v>372</v>
      </c>
      <c r="I13" s="125">
        <f>ROUND(PRODUCT(C13:H13),2)</f>
        <v>3</v>
      </c>
      <c r="J13" s="126"/>
    </row>
    <row r="14" spans="1:15" ht="19.899999999999999" customHeight="1">
      <c r="A14" s="122"/>
      <c r="B14" s="121"/>
      <c r="C14" s="123"/>
      <c r="D14" s="123"/>
      <c r="E14" s="127"/>
      <c r="F14" s="128"/>
      <c r="G14" s="128"/>
      <c r="H14" s="129" t="s">
        <v>57</v>
      </c>
      <c r="I14" s="130">
        <f>ROUND(SUM(I12:I13),2)</f>
        <v>7</v>
      </c>
      <c r="J14" s="131" t="s">
        <v>213</v>
      </c>
    </row>
    <row r="15" spans="1:15" ht="19.899999999999999" customHeight="1">
      <c r="A15" s="122"/>
      <c r="B15" s="121"/>
      <c r="C15" s="123"/>
      <c r="D15" s="123"/>
      <c r="E15" s="127"/>
      <c r="F15" s="128"/>
      <c r="G15" s="128"/>
      <c r="H15" s="132"/>
      <c r="I15" s="133"/>
      <c r="J15" s="126"/>
    </row>
    <row r="16" spans="1:15" ht="34.9" customHeight="1">
      <c r="A16" s="122">
        <v>3</v>
      </c>
      <c r="B16" s="1726" t="s">
        <v>376</v>
      </c>
      <c r="C16" s="1727"/>
      <c r="D16" s="1727"/>
      <c r="E16" s="1727"/>
      <c r="F16" s="1727"/>
      <c r="G16" s="1727"/>
      <c r="H16" s="1727"/>
      <c r="I16" s="1727"/>
      <c r="J16" s="126"/>
    </row>
    <row r="17" spans="1:20" ht="34.9" customHeight="1">
      <c r="A17" s="122"/>
      <c r="B17" s="1726" t="s">
        <v>377</v>
      </c>
      <c r="C17" s="1727"/>
      <c r="D17" s="1727"/>
      <c r="E17" s="1727"/>
      <c r="F17" s="1727"/>
      <c r="G17" s="1727"/>
      <c r="H17" s="1727"/>
      <c r="I17" s="1728"/>
      <c r="J17" s="126"/>
    </row>
    <row r="18" spans="1:20" ht="19.899999999999999" customHeight="1">
      <c r="A18" s="122"/>
      <c r="B18" s="121" t="s">
        <v>378</v>
      </c>
      <c r="C18" s="123">
        <v>1</v>
      </c>
      <c r="D18" s="123" t="s">
        <v>266</v>
      </c>
      <c r="E18" s="123">
        <v>1</v>
      </c>
      <c r="F18" s="135">
        <v>7</v>
      </c>
      <c r="G18" s="124" t="s">
        <v>372</v>
      </c>
      <c r="H18" s="124" t="s">
        <v>372</v>
      </c>
      <c r="I18" s="125">
        <f>ROUND(PRODUCT(C18:H18),2)</f>
        <v>7</v>
      </c>
      <c r="J18" s="126"/>
    </row>
    <row r="19" spans="1:20" ht="19.899999999999999" customHeight="1">
      <c r="A19" s="122"/>
      <c r="B19" s="121"/>
      <c r="C19" s="123"/>
      <c r="D19" s="123"/>
      <c r="E19" s="127"/>
      <c r="F19" s="128"/>
      <c r="G19" s="128"/>
      <c r="H19" s="129" t="s">
        <v>57</v>
      </c>
      <c r="I19" s="130">
        <f>ROUND(SUM(I18:I18),2)</f>
        <v>7</v>
      </c>
      <c r="J19" s="131" t="s">
        <v>61</v>
      </c>
    </row>
    <row r="20" spans="1:20" ht="19.899999999999999" customHeight="1">
      <c r="A20" s="122"/>
      <c r="B20" s="121"/>
      <c r="C20" s="123"/>
      <c r="D20" s="123"/>
      <c r="E20" s="127"/>
      <c r="F20" s="128"/>
      <c r="G20" s="128"/>
      <c r="H20" s="132"/>
      <c r="I20" s="133"/>
      <c r="J20" s="126"/>
    </row>
    <row r="21" spans="1:20" ht="34.9" customHeight="1">
      <c r="A21" s="122">
        <v>4</v>
      </c>
      <c r="B21" s="1608" t="s">
        <v>379</v>
      </c>
      <c r="C21" s="1609"/>
      <c r="D21" s="1609"/>
      <c r="E21" s="1609"/>
      <c r="F21" s="1609"/>
      <c r="G21" s="1609"/>
      <c r="H21" s="1609"/>
      <c r="I21" s="1609"/>
      <c r="J21" s="126"/>
      <c r="M21" s="1729"/>
      <c r="N21" s="1729"/>
      <c r="O21" s="1729"/>
      <c r="P21" s="1729"/>
      <c r="Q21" s="1729"/>
      <c r="R21" s="1729"/>
      <c r="S21" s="1729"/>
      <c r="T21" s="1729"/>
    </row>
    <row r="22" spans="1:20" ht="19.899999999999999" customHeight="1">
      <c r="A22" s="122"/>
      <c r="B22" s="121" t="s">
        <v>380</v>
      </c>
      <c r="C22" s="123">
        <v>1</v>
      </c>
      <c r="D22" s="123" t="s">
        <v>266</v>
      </c>
      <c r="E22" s="123">
        <v>1</v>
      </c>
      <c r="F22" s="135">
        <v>4.53</v>
      </c>
      <c r="G22" s="135">
        <v>1.06</v>
      </c>
      <c r="H22" s="124" t="s">
        <v>372</v>
      </c>
      <c r="I22" s="125">
        <f>ROUND(PRODUCT(C22:H22),2)</f>
        <v>4.8</v>
      </c>
      <c r="J22" s="126"/>
    </row>
    <row r="23" spans="1:20" ht="19.899999999999999" customHeight="1">
      <c r="A23" s="122"/>
      <c r="B23" s="121"/>
      <c r="C23" s="123"/>
      <c r="D23" s="123"/>
      <c r="E23" s="127"/>
      <c r="F23" s="136">
        <f>I22</f>
        <v>4.8</v>
      </c>
      <c r="G23" s="135">
        <v>25</v>
      </c>
      <c r="H23" s="137" t="s">
        <v>381</v>
      </c>
      <c r="I23" s="125">
        <f>F23*G23</f>
        <v>120</v>
      </c>
      <c r="J23" s="126"/>
    </row>
    <row r="24" spans="1:20" ht="19.899999999999999" customHeight="1">
      <c r="A24" s="122"/>
      <c r="B24" s="121"/>
      <c r="C24" s="123"/>
      <c r="D24" s="123"/>
      <c r="E24" s="127"/>
      <c r="F24" s="128"/>
      <c r="G24" s="128"/>
      <c r="H24" s="129" t="s">
        <v>57</v>
      </c>
      <c r="I24" s="130">
        <f>ROUND(SUM(I23),2)</f>
        <v>120</v>
      </c>
      <c r="J24" s="131" t="s">
        <v>165</v>
      </c>
    </row>
    <row r="25" spans="1:20" ht="19.899999999999999" customHeight="1">
      <c r="A25" s="122"/>
      <c r="B25" s="121"/>
      <c r="C25" s="123"/>
      <c r="D25" s="123"/>
      <c r="E25" s="127"/>
      <c r="F25" s="128"/>
      <c r="G25" s="128"/>
      <c r="H25" s="129"/>
      <c r="I25" s="130"/>
      <c r="J25" s="131"/>
    </row>
    <row r="26" spans="1:20" ht="34.9" customHeight="1">
      <c r="A26" s="122">
        <v>5</v>
      </c>
      <c r="B26" s="1726" t="s">
        <v>382</v>
      </c>
      <c r="C26" s="1727"/>
      <c r="D26" s="1727"/>
      <c r="E26" s="1727"/>
      <c r="F26" s="1727"/>
      <c r="G26" s="1727"/>
      <c r="H26" s="1727"/>
      <c r="I26" s="1727"/>
      <c r="J26" s="126"/>
    </row>
    <row r="27" spans="1:20" ht="19.899999999999999" customHeight="1">
      <c r="A27" s="122"/>
      <c r="B27" s="121" t="s">
        <v>383</v>
      </c>
      <c r="C27" s="123">
        <v>1</v>
      </c>
      <c r="D27" s="123" t="s">
        <v>266</v>
      </c>
      <c r="E27" s="123">
        <v>1</v>
      </c>
      <c r="F27" s="124" t="s">
        <v>372</v>
      </c>
      <c r="G27" s="124" t="s">
        <v>372</v>
      </c>
      <c r="H27" s="124" t="s">
        <v>372</v>
      </c>
      <c r="I27" s="125">
        <f>ROUND(PRODUCT(C27:H27),2)</f>
        <v>1</v>
      </c>
      <c r="J27" s="126"/>
    </row>
    <row r="28" spans="1:20" ht="19.899999999999999" customHeight="1">
      <c r="A28" s="122"/>
      <c r="B28" s="121"/>
      <c r="C28" s="123"/>
      <c r="D28" s="123"/>
      <c r="E28" s="127"/>
      <c r="F28" s="128"/>
      <c r="G28" s="128"/>
      <c r="H28" s="129" t="s">
        <v>57</v>
      </c>
      <c r="I28" s="130">
        <f>ROUND(SUM(I27:I27),2)</f>
        <v>1</v>
      </c>
      <c r="J28" s="131" t="s">
        <v>314</v>
      </c>
    </row>
    <row r="29" spans="1:20" ht="19.899999999999999" customHeight="1">
      <c r="A29" s="122"/>
      <c r="B29" s="121"/>
      <c r="C29" s="123"/>
      <c r="D29" s="123"/>
      <c r="E29" s="127"/>
      <c r="F29" s="128"/>
      <c r="G29" s="128"/>
      <c r="H29" s="129"/>
      <c r="I29" s="130"/>
      <c r="J29" s="131"/>
    </row>
    <row r="30" spans="1:20" ht="34.9" customHeight="1">
      <c r="A30" s="122">
        <v>6</v>
      </c>
      <c r="B30" s="1608" t="s">
        <v>384</v>
      </c>
      <c r="C30" s="1609"/>
      <c r="D30" s="1609"/>
      <c r="E30" s="1609"/>
      <c r="F30" s="1609"/>
      <c r="G30" s="1609"/>
      <c r="H30" s="1609"/>
      <c r="I30" s="1609"/>
      <c r="J30" s="126"/>
    </row>
    <row r="31" spans="1:20" ht="19.899999999999999" customHeight="1">
      <c r="A31" s="122"/>
      <c r="B31" s="138" t="s">
        <v>385</v>
      </c>
      <c r="C31" s="123">
        <v>1</v>
      </c>
      <c r="D31" s="123" t="s">
        <v>266</v>
      </c>
      <c r="E31" s="123">
        <v>11</v>
      </c>
      <c r="F31" s="135">
        <v>2.75</v>
      </c>
      <c r="G31" s="124" t="s">
        <v>372</v>
      </c>
      <c r="H31" s="124" t="s">
        <v>372</v>
      </c>
      <c r="I31" s="125">
        <f>ROUND(PRODUCT(C31:H31),2)</f>
        <v>30.25</v>
      </c>
      <c r="J31" s="137"/>
    </row>
    <row r="32" spans="1:20" ht="19.899999999999999" customHeight="1">
      <c r="A32" s="122"/>
      <c r="B32" s="121"/>
      <c r="C32" s="123"/>
      <c r="D32" s="123"/>
      <c r="E32" s="127"/>
      <c r="F32" s="128"/>
      <c r="G32" s="128"/>
      <c r="H32" s="129" t="s">
        <v>57</v>
      </c>
      <c r="I32" s="130">
        <f>ROUND(SUM(I31:I31),2)</f>
        <v>30.25</v>
      </c>
      <c r="J32" s="131" t="s">
        <v>61</v>
      </c>
    </row>
    <row r="33" spans="1:10" ht="19.899999999999999" customHeight="1">
      <c r="A33" s="122"/>
      <c r="B33" s="121"/>
      <c r="C33" s="123"/>
      <c r="D33" s="123"/>
      <c r="E33" s="127"/>
      <c r="F33" s="128"/>
      <c r="G33" s="128"/>
      <c r="H33" s="132"/>
      <c r="I33" s="133"/>
      <c r="J33" s="126"/>
    </row>
    <row r="34" spans="1:10" ht="34.9" customHeight="1">
      <c r="A34" s="122">
        <v>7</v>
      </c>
      <c r="B34" s="1576" t="s">
        <v>386</v>
      </c>
      <c r="C34" s="1577"/>
      <c r="D34" s="1577"/>
      <c r="E34" s="1577"/>
      <c r="F34" s="1577"/>
      <c r="G34" s="1577"/>
      <c r="H34" s="1577"/>
      <c r="I34" s="1577"/>
      <c r="J34" s="126"/>
    </row>
    <row r="35" spans="1:10" ht="19.899999999999999" customHeight="1">
      <c r="A35" s="122"/>
      <c r="B35" s="121" t="s">
        <v>385</v>
      </c>
      <c r="C35" s="123">
        <v>1</v>
      </c>
      <c r="D35" s="123" t="s">
        <v>266</v>
      </c>
      <c r="E35" s="123">
        <v>11</v>
      </c>
      <c r="F35" s="136">
        <v>3</v>
      </c>
      <c r="G35" s="124" t="s">
        <v>372</v>
      </c>
      <c r="H35" s="124" t="s">
        <v>372</v>
      </c>
      <c r="I35" s="125">
        <f>ROUND(PRODUCT(C35:H35),2)</f>
        <v>33</v>
      </c>
      <c r="J35" s="126"/>
    </row>
    <row r="36" spans="1:10" ht="19.899999999999999" customHeight="1">
      <c r="A36" s="122"/>
      <c r="B36" s="139" t="s">
        <v>387</v>
      </c>
      <c r="C36" s="123">
        <v>1</v>
      </c>
      <c r="D36" s="123" t="s">
        <v>266</v>
      </c>
      <c r="E36" s="123">
        <v>1</v>
      </c>
      <c r="F36" s="136">
        <v>2.2000000000000002</v>
      </c>
      <c r="G36" s="124" t="s">
        <v>372</v>
      </c>
      <c r="H36" s="124" t="s">
        <v>372</v>
      </c>
      <c r="I36" s="125">
        <f>ROUND(PRODUCT(C36:H36),2)</f>
        <v>2.2000000000000002</v>
      </c>
      <c r="J36" s="126"/>
    </row>
    <row r="37" spans="1:10" ht="19.899999999999999" customHeight="1">
      <c r="A37" s="122"/>
      <c r="B37" s="121"/>
      <c r="C37" s="123"/>
      <c r="D37" s="123"/>
      <c r="E37" s="127"/>
      <c r="F37" s="128"/>
      <c r="G37" s="128"/>
      <c r="H37" s="129" t="s">
        <v>57</v>
      </c>
      <c r="I37" s="130">
        <f>ROUND(SUM(I35:I36),2)</f>
        <v>35.200000000000003</v>
      </c>
      <c r="J37" s="131" t="s">
        <v>61</v>
      </c>
    </row>
    <row r="38" spans="1:10" ht="19.899999999999999" customHeight="1">
      <c r="A38" s="122"/>
      <c r="B38" s="121"/>
      <c r="C38" s="123"/>
      <c r="D38" s="123"/>
      <c r="E38" s="127"/>
      <c r="F38" s="128"/>
      <c r="G38" s="128"/>
      <c r="H38" s="129"/>
      <c r="I38" s="130"/>
      <c r="J38" s="131"/>
    </row>
    <row r="39" spans="1:10" ht="34.9" customHeight="1">
      <c r="A39" s="122">
        <v>8</v>
      </c>
      <c r="B39" s="1726" t="s">
        <v>388</v>
      </c>
      <c r="C39" s="1727"/>
      <c r="D39" s="1727"/>
      <c r="E39" s="1727"/>
      <c r="F39" s="1727"/>
      <c r="G39" s="1727"/>
      <c r="H39" s="1727"/>
      <c r="I39" s="1727"/>
      <c r="J39" s="126"/>
    </row>
    <row r="40" spans="1:10" ht="19.899999999999999" customHeight="1">
      <c r="A40" s="122"/>
      <c r="B40" s="121" t="s">
        <v>385</v>
      </c>
      <c r="C40" s="123">
        <v>1</v>
      </c>
      <c r="D40" s="123" t="s">
        <v>266</v>
      </c>
      <c r="E40" s="123">
        <v>11</v>
      </c>
      <c r="F40" s="127" t="s">
        <v>372</v>
      </c>
      <c r="G40" s="124" t="s">
        <v>372</v>
      </c>
      <c r="H40" s="124" t="s">
        <v>372</v>
      </c>
      <c r="I40" s="125">
        <f>ROUND(PRODUCT(C40:H40),2)</f>
        <v>11</v>
      </c>
      <c r="J40" s="126"/>
    </row>
    <row r="41" spans="1:10" ht="19.899999999999999" customHeight="1">
      <c r="A41" s="122"/>
      <c r="B41" s="139" t="s">
        <v>387</v>
      </c>
      <c r="C41" s="123">
        <v>1</v>
      </c>
      <c r="D41" s="123" t="s">
        <v>266</v>
      </c>
      <c r="E41" s="123">
        <v>1</v>
      </c>
      <c r="F41" s="127" t="s">
        <v>372</v>
      </c>
      <c r="G41" s="124" t="s">
        <v>372</v>
      </c>
      <c r="H41" s="124" t="s">
        <v>372</v>
      </c>
      <c r="I41" s="125">
        <f>ROUND(PRODUCT(C41:H41),2)</f>
        <v>1</v>
      </c>
      <c r="J41" s="126"/>
    </row>
    <row r="42" spans="1:10" ht="19.899999999999999" customHeight="1">
      <c r="A42" s="122"/>
      <c r="B42" s="139"/>
      <c r="C42" s="123"/>
      <c r="D42" s="123"/>
      <c r="E42" s="127"/>
      <c r="F42" s="128"/>
      <c r="G42" s="132"/>
      <c r="H42" s="129" t="s">
        <v>57</v>
      </c>
      <c r="I42" s="130">
        <f>ROUND(SUM(I40:I41),2)</f>
        <v>12</v>
      </c>
      <c r="J42" s="131" t="s">
        <v>4</v>
      </c>
    </row>
    <row r="43" spans="1:10" ht="19.899999999999999" customHeight="1">
      <c r="A43" s="122"/>
      <c r="B43" s="121"/>
      <c r="C43" s="123"/>
      <c r="D43" s="123"/>
      <c r="E43" s="127"/>
      <c r="F43" s="128"/>
      <c r="G43" s="128"/>
      <c r="H43" s="129"/>
      <c r="I43" s="130"/>
      <c r="J43" s="131"/>
    </row>
    <row r="44" spans="1:10" ht="34.9" customHeight="1">
      <c r="A44" s="122">
        <v>9</v>
      </c>
      <c r="B44" s="1726" t="s">
        <v>389</v>
      </c>
      <c r="C44" s="1727"/>
      <c r="D44" s="1727"/>
      <c r="E44" s="1727"/>
      <c r="F44" s="1727"/>
      <c r="G44" s="1727"/>
      <c r="H44" s="1727"/>
      <c r="I44" s="1727"/>
      <c r="J44" s="126"/>
    </row>
    <row r="45" spans="1:10" ht="19.899999999999999" customHeight="1">
      <c r="A45" s="122"/>
      <c r="B45" s="121" t="s">
        <v>385</v>
      </c>
      <c r="C45" s="123">
        <v>2</v>
      </c>
      <c r="D45" s="123" t="s">
        <v>266</v>
      </c>
      <c r="E45" s="123">
        <v>11</v>
      </c>
      <c r="F45" s="127" t="s">
        <v>372</v>
      </c>
      <c r="G45" s="124" t="s">
        <v>372</v>
      </c>
      <c r="H45" s="124" t="s">
        <v>372</v>
      </c>
      <c r="I45" s="125">
        <f>ROUND(PRODUCT(C45:H45),2)</f>
        <v>22</v>
      </c>
      <c r="J45" s="126"/>
    </row>
    <row r="46" spans="1:10" ht="19.899999999999999" customHeight="1">
      <c r="A46" s="122"/>
      <c r="B46" s="121"/>
      <c r="C46" s="123"/>
      <c r="D46" s="123"/>
      <c r="E46" s="127"/>
      <c r="F46" s="128"/>
      <c r="G46" s="128"/>
      <c r="H46" s="129" t="s">
        <v>57</v>
      </c>
      <c r="I46" s="130">
        <f>ROUND(SUM(I45:I45),2)</f>
        <v>22</v>
      </c>
      <c r="J46" s="131" t="s">
        <v>4</v>
      </c>
    </row>
    <row r="47" spans="1:10" ht="19.899999999999999" customHeight="1">
      <c r="A47" s="122"/>
      <c r="B47" s="121"/>
      <c r="C47" s="123"/>
      <c r="D47" s="123"/>
      <c r="E47" s="127"/>
      <c r="F47" s="128"/>
      <c r="G47" s="128"/>
      <c r="H47" s="132"/>
      <c r="I47" s="133"/>
      <c r="J47" s="126"/>
    </row>
    <row r="48" spans="1:10" ht="34.9" customHeight="1">
      <c r="A48" s="122">
        <v>10</v>
      </c>
      <c r="B48" s="1608" t="s">
        <v>390</v>
      </c>
      <c r="C48" s="1609"/>
      <c r="D48" s="1609"/>
      <c r="E48" s="1609"/>
      <c r="F48" s="1609"/>
      <c r="G48" s="1609"/>
      <c r="H48" s="1609"/>
      <c r="I48" s="1609"/>
      <c r="J48" s="126"/>
    </row>
    <row r="49" spans="1:10" ht="19.899999999999999" customHeight="1">
      <c r="A49" s="122"/>
      <c r="B49" s="121" t="s">
        <v>391</v>
      </c>
      <c r="C49" s="123">
        <v>1</v>
      </c>
      <c r="D49" s="123" t="s">
        <v>266</v>
      </c>
      <c r="E49" s="123">
        <v>1</v>
      </c>
      <c r="F49" s="136">
        <v>7</v>
      </c>
      <c r="G49" s="124" t="s">
        <v>372</v>
      </c>
      <c r="H49" s="124" t="s">
        <v>372</v>
      </c>
      <c r="I49" s="125">
        <f>ROUND(PRODUCT(C49:H49),2)</f>
        <v>7</v>
      </c>
      <c r="J49" s="126"/>
    </row>
    <row r="50" spans="1:10" ht="19.899999999999999" customHeight="1">
      <c r="A50" s="122"/>
      <c r="B50" s="121"/>
      <c r="C50" s="123"/>
      <c r="D50" s="123"/>
      <c r="E50" s="127"/>
      <c r="F50" s="128"/>
      <c r="G50" s="128"/>
      <c r="H50" s="129" t="s">
        <v>57</v>
      </c>
      <c r="I50" s="130">
        <f>ROUND(SUM(I49:I49),2)</f>
        <v>7</v>
      </c>
      <c r="J50" s="131" t="s">
        <v>61</v>
      </c>
    </row>
    <row r="51" spans="1:10" ht="19.899999999999999" customHeight="1">
      <c r="A51" s="122"/>
      <c r="B51" s="121"/>
      <c r="C51" s="123"/>
      <c r="D51" s="123"/>
      <c r="E51" s="127"/>
      <c r="F51" s="128"/>
      <c r="G51" s="128"/>
      <c r="H51" s="129"/>
      <c r="I51" s="130"/>
      <c r="J51" s="131"/>
    </row>
    <row r="52" spans="1:10" ht="34.9" customHeight="1">
      <c r="A52" s="122">
        <v>11</v>
      </c>
      <c r="B52" s="1726" t="s">
        <v>392</v>
      </c>
      <c r="C52" s="1727"/>
      <c r="D52" s="1727"/>
      <c r="E52" s="1727"/>
      <c r="F52" s="1727"/>
      <c r="G52" s="1727"/>
      <c r="H52" s="1727"/>
      <c r="I52" s="1727"/>
      <c r="J52" s="126"/>
    </row>
    <row r="53" spans="1:10" ht="19.899999999999999" customHeight="1">
      <c r="A53" s="122"/>
      <c r="B53" s="121" t="s">
        <v>391</v>
      </c>
      <c r="C53" s="123">
        <v>1</v>
      </c>
      <c r="D53" s="123" t="s">
        <v>266</v>
      </c>
      <c r="E53" s="123">
        <v>2</v>
      </c>
      <c r="F53" s="127" t="s">
        <v>372</v>
      </c>
      <c r="G53" s="124" t="s">
        <v>372</v>
      </c>
      <c r="H53" s="124" t="s">
        <v>372</v>
      </c>
      <c r="I53" s="125">
        <f>ROUND(PRODUCT(C53:H53),2)</f>
        <v>2</v>
      </c>
      <c r="J53" s="126"/>
    </row>
    <row r="54" spans="1:10" ht="19.899999999999999" customHeight="1">
      <c r="A54" s="122"/>
      <c r="B54" s="121"/>
      <c r="C54" s="123"/>
      <c r="D54" s="123"/>
      <c r="E54" s="127"/>
      <c r="F54" s="128"/>
      <c r="G54" s="128"/>
      <c r="H54" s="129" t="s">
        <v>57</v>
      </c>
      <c r="I54" s="130">
        <f>ROUND(SUM(I53:I53),2)</f>
        <v>2</v>
      </c>
      <c r="J54" s="131" t="s">
        <v>4</v>
      </c>
    </row>
    <row r="55" spans="1:10" ht="19.899999999999999" customHeight="1">
      <c r="A55" s="122"/>
      <c r="B55" s="121"/>
      <c r="C55" s="123"/>
      <c r="D55" s="123"/>
      <c r="E55" s="127"/>
      <c r="F55" s="128"/>
      <c r="G55" s="128"/>
      <c r="H55" s="132"/>
      <c r="I55" s="133"/>
      <c r="J55" s="126"/>
    </row>
    <row r="56" spans="1:10" ht="34.9" customHeight="1">
      <c r="A56" s="122">
        <v>12</v>
      </c>
      <c r="B56" s="1608" t="s">
        <v>393</v>
      </c>
      <c r="C56" s="1609"/>
      <c r="D56" s="1609"/>
      <c r="E56" s="1609"/>
      <c r="F56" s="1609"/>
      <c r="G56" s="1609"/>
      <c r="H56" s="1609"/>
      <c r="I56" s="1609"/>
      <c r="J56" s="126"/>
    </row>
    <row r="57" spans="1:10" ht="19.899999999999999" customHeight="1">
      <c r="A57" s="122"/>
      <c r="B57" s="121" t="s">
        <v>394</v>
      </c>
      <c r="C57" s="123">
        <v>1</v>
      </c>
      <c r="D57" s="123" t="s">
        <v>266</v>
      </c>
      <c r="E57" s="123">
        <v>1</v>
      </c>
      <c r="F57" s="127" t="s">
        <v>372</v>
      </c>
      <c r="G57" s="127" t="s">
        <v>372</v>
      </c>
      <c r="H57" s="127" t="s">
        <v>372</v>
      </c>
      <c r="I57" s="125">
        <f>ROUND(PRODUCT(C57:H57),2)</f>
        <v>1</v>
      </c>
      <c r="J57" s="126"/>
    </row>
    <row r="58" spans="1:10" ht="19.899999999999999" customHeight="1">
      <c r="A58" s="122"/>
      <c r="B58" s="121"/>
      <c r="C58" s="123"/>
      <c r="D58" s="123"/>
      <c r="E58" s="127"/>
      <c r="F58" s="128"/>
      <c r="G58" s="128"/>
      <c r="H58" s="129" t="s">
        <v>57</v>
      </c>
      <c r="I58" s="130">
        <f>ROUND(SUM(I57:I57),2)</f>
        <v>1</v>
      </c>
      <c r="J58" s="131" t="s">
        <v>314</v>
      </c>
    </row>
    <row r="59" spans="1:10" ht="19.899999999999999" customHeight="1">
      <c r="A59" s="122"/>
      <c r="B59" s="121"/>
      <c r="C59" s="123"/>
      <c r="D59" s="123"/>
      <c r="E59" s="127"/>
      <c r="F59" s="128"/>
      <c r="G59" s="128"/>
      <c r="H59" s="132"/>
      <c r="I59" s="133"/>
      <c r="J59" s="126"/>
    </row>
    <row r="60" spans="1:10" ht="34.9" customHeight="1">
      <c r="A60" s="122">
        <v>13</v>
      </c>
      <c r="B60" s="1726" t="s">
        <v>395</v>
      </c>
      <c r="C60" s="1727"/>
      <c r="D60" s="1727"/>
      <c r="E60" s="1727"/>
      <c r="F60" s="1727"/>
      <c r="G60" s="1727"/>
      <c r="H60" s="1727"/>
      <c r="I60" s="1727"/>
      <c r="J60" s="126"/>
    </row>
    <row r="61" spans="1:10" ht="19.899999999999999" customHeight="1">
      <c r="A61" s="122"/>
      <c r="B61" s="138" t="s">
        <v>396</v>
      </c>
      <c r="C61" s="123">
        <v>1</v>
      </c>
      <c r="D61" s="123" t="s">
        <v>266</v>
      </c>
      <c r="E61" s="123">
        <v>2</v>
      </c>
      <c r="F61" s="127" t="s">
        <v>372</v>
      </c>
      <c r="G61" s="127" t="s">
        <v>372</v>
      </c>
      <c r="H61" s="127" t="s">
        <v>372</v>
      </c>
      <c r="I61" s="125">
        <f>ROUND(PRODUCT(C61:H61),2)</f>
        <v>2</v>
      </c>
      <c r="J61" s="126"/>
    </row>
    <row r="62" spans="1:10" ht="19.899999999999999" customHeight="1">
      <c r="A62" s="122"/>
      <c r="B62" s="121"/>
      <c r="C62" s="123"/>
      <c r="D62" s="123"/>
      <c r="E62" s="127"/>
      <c r="F62" s="128"/>
      <c r="G62" s="128"/>
      <c r="H62" s="129" t="s">
        <v>57</v>
      </c>
      <c r="I62" s="130">
        <f>ROUND(SUM(I61:I61),2)</f>
        <v>2</v>
      </c>
      <c r="J62" s="131" t="s">
        <v>4</v>
      </c>
    </row>
    <row r="63" spans="1:10" ht="19.899999999999999" customHeight="1">
      <c r="A63" s="122"/>
      <c r="B63" s="121"/>
      <c r="C63" s="123"/>
      <c r="D63" s="123"/>
      <c r="E63" s="127"/>
      <c r="F63" s="128"/>
      <c r="G63" s="128"/>
      <c r="H63" s="129"/>
      <c r="I63" s="130"/>
      <c r="J63" s="131"/>
    </row>
    <row r="64" spans="1:10" ht="34.9" customHeight="1">
      <c r="A64" s="122">
        <v>14</v>
      </c>
      <c r="B64" s="1726" t="s">
        <v>397</v>
      </c>
      <c r="C64" s="1727"/>
      <c r="D64" s="1727"/>
      <c r="E64" s="1727"/>
      <c r="F64" s="1727"/>
      <c r="G64" s="1727"/>
      <c r="H64" s="1727"/>
      <c r="I64" s="1727"/>
      <c r="J64" s="126"/>
    </row>
    <row r="65" spans="1:10" ht="19.899999999999999" customHeight="1">
      <c r="A65" s="122"/>
      <c r="B65" s="138" t="s">
        <v>398</v>
      </c>
      <c r="C65" s="123">
        <v>1</v>
      </c>
      <c r="D65" s="123" t="s">
        <v>266</v>
      </c>
      <c r="E65" s="123">
        <v>1</v>
      </c>
      <c r="F65" s="132">
        <v>45</v>
      </c>
      <c r="G65" s="127" t="s">
        <v>372</v>
      </c>
      <c r="H65" s="127" t="s">
        <v>372</v>
      </c>
      <c r="I65" s="125">
        <f>ROUND(PRODUCT(C65:H65),2)</f>
        <v>45</v>
      </c>
      <c r="J65" s="126"/>
    </row>
    <row r="66" spans="1:10" ht="19.899999999999999" customHeight="1">
      <c r="A66" s="122"/>
      <c r="B66" s="121"/>
      <c r="C66" s="123"/>
      <c r="D66" s="123"/>
      <c r="E66" s="127"/>
      <c r="F66" s="128"/>
      <c r="G66" s="128"/>
      <c r="H66" s="129" t="s">
        <v>57</v>
      </c>
      <c r="I66" s="130">
        <f>ROUND(SUM(I65:I65),2)</f>
        <v>45</v>
      </c>
      <c r="J66" s="131" t="s">
        <v>61</v>
      </c>
    </row>
    <row r="67" spans="1:10" ht="19.899999999999999" customHeight="1">
      <c r="A67" s="122"/>
      <c r="B67" s="121"/>
      <c r="C67" s="123"/>
      <c r="D67" s="123"/>
      <c r="E67" s="127"/>
      <c r="F67" s="128"/>
      <c r="G67" s="128"/>
      <c r="H67" s="129"/>
      <c r="I67" s="130"/>
      <c r="J67" s="131"/>
    </row>
    <row r="68" spans="1:10" ht="34.9" customHeight="1">
      <c r="A68" s="122">
        <v>15</v>
      </c>
      <c r="B68" s="1608" t="s">
        <v>399</v>
      </c>
      <c r="C68" s="1609"/>
      <c r="D68" s="1609"/>
      <c r="E68" s="1609"/>
      <c r="F68" s="1609"/>
      <c r="G68" s="1609"/>
      <c r="H68" s="1609"/>
      <c r="I68" s="1609"/>
      <c r="J68" s="126"/>
    </row>
    <row r="69" spans="1:10" ht="19.899999999999999" customHeight="1">
      <c r="A69" s="122"/>
      <c r="B69" s="138" t="s">
        <v>400</v>
      </c>
      <c r="C69" s="123">
        <v>1</v>
      </c>
      <c r="D69" s="123" t="s">
        <v>266</v>
      </c>
      <c r="E69" s="123">
        <v>1</v>
      </c>
      <c r="F69" s="128">
        <v>4</v>
      </c>
      <c r="G69" s="127" t="s">
        <v>372</v>
      </c>
      <c r="H69" s="127" t="s">
        <v>372</v>
      </c>
      <c r="I69" s="125">
        <f>ROUND(PRODUCT(C69:H69),2)</f>
        <v>4</v>
      </c>
      <c r="J69" s="126"/>
    </row>
    <row r="70" spans="1:10" ht="19.899999999999999" customHeight="1">
      <c r="A70" s="122"/>
      <c r="B70" s="138"/>
      <c r="C70" s="123"/>
      <c r="D70" s="123"/>
      <c r="E70" s="127"/>
      <c r="F70" s="128"/>
      <c r="G70" s="128"/>
      <c r="H70" s="129" t="s">
        <v>57</v>
      </c>
      <c r="I70" s="130">
        <f>ROUND(SUM(I69:I69),2)</f>
        <v>4</v>
      </c>
      <c r="J70" s="131" t="s">
        <v>61</v>
      </c>
    </row>
    <row r="71" spans="1:10" ht="19.899999999999999" customHeight="1">
      <c r="A71" s="122"/>
      <c r="B71" s="121"/>
      <c r="C71" s="123"/>
      <c r="D71" s="123"/>
      <c r="E71" s="127"/>
      <c r="F71" s="128"/>
      <c r="G71" s="128"/>
      <c r="H71" s="129"/>
      <c r="I71" s="130"/>
      <c r="J71" s="131"/>
    </row>
    <row r="72" spans="1:10" ht="34.9" customHeight="1">
      <c r="A72" s="122">
        <v>16</v>
      </c>
      <c r="B72" s="1608" t="s">
        <v>401</v>
      </c>
      <c r="C72" s="1609"/>
      <c r="D72" s="1609"/>
      <c r="E72" s="1609"/>
      <c r="F72" s="1609"/>
      <c r="G72" s="1609"/>
      <c r="H72" s="1609"/>
      <c r="I72" s="1609"/>
      <c r="J72" s="126"/>
    </row>
    <row r="73" spans="1:10" ht="19.899999999999999" customHeight="1">
      <c r="A73" s="122"/>
      <c r="B73" s="138" t="s">
        <v>402</v>
      </c>
      <c r="C73" s="123">
        <v>1</v>
      </c>
      <c r="D73" s="123" t="s">
        <v>266</v>
      </c>
      <c r="E73" s="123">
        <v>2</v>
      </c>
      <c r="F73" s="127" t="s">
        <v>372</v>
      </c>
      <c r="G73" s="127" t="s">
        <v>372</v>
      </c>
      <c r="H73" s="127" t="s">
        <v>372</v>
      </c>
      <c r="I73" s="125">
        <f>ROUND(PRODUCT(C73:H73),2)</f>
        <v>2</v>
      </c>
      <c r="J73" s="126"/>
    </row>
    <row r="74" spans="1:10" ht="19.899999999999999" customHeight="1">
      <c r="A74" s="122"/>
      <c r="B74" s="138"/>
      <c r="C74" s="123"/>
      <c r="D74" s="123"/>
      <c r="E74" s="127"/>
      <c r="F74" s="128"/>
      <c r="G74" s="128"/>
      <c r="H74" s="129" t="s">
        <v>57</v>
      </c>
      <c r="I74" s="130">
        <f>ROUND(SUM(I73:I73),2)</f>
        <v>2</v>
      </c>
      <c r="J74" s="131" t="s">
        <v>213</v>
      </c>
    </row>
    <row r="75" spans="1:10" ht="19.899999999999999" customHeight="1">
      <c r="A75" s="122"/>
      <c r="B75" s="121"/>
      <c r="C75" s="123"/>
      <c r="D75" s="123"/>
      <c r="E75" s="127"/>
      <c r="F75" s="128"/>
      <c r="G75" s="128"/>
      <c r="H75" s="129"/>
      <c r="I75" s="130"/>
      <c r="J75" s="131"/>
    </row>
    <row r="76" spans="1:10" ht="49.9" customHeight="1">
      <c r="A76" s="122">
        <v>17</v>
      </c>
      <c r="B76" s="1726" t="s">
        <v>403</v>
      </c>
      <c r="C76" s="1727"/>
      <c r="D76" s="1727"/>
      <c r="E76" s="1727"/>
      <c r="F76" s="1727"/>
      <c r="G76" s="1727"/>
      <c r="H76" s="1727"/>
      <c r="I76" s="1727"/>
      <c r="J76" s="126"/>
    </row>
    <row r="77" spans="1:10" ht="19.899999999999999" customHeight="1">
      <c r="A77" s="122"/>
      <c r="B77" s="138" t="s">
        <v>404</v>
      </c>
      <c r="C77" s="123">
        <v>1</v>
      </c>
      <c r="D77" s="123" t="s">
        <v>266</v>
      </c>
      <c r="E77" s="123">
        <v>2</v>
      </c>
      <c r="F77" s="127" t="s">
        <v>372</v>
      </c>
      <c r="G77" s="127" t="s">
        <v>372</v>
      </c>
      <c r="H77" s="127" t="s">
        <v>372</v>
      </c>
      <c r="I77" s="125">
        <f>ROUND(PRODUCT(C77:H77),2)</f>
        <v>2</v>
      </c>
      <c r="J77" s="126"/>
    </row>
    <row r="78" spans="1:10" ht="19.899999999999999" customHeight="1">
      <c r="A78" s="122"/>
      <c r="B78" s="138" t="s">
        <v>405</v>
      </c>
      <c r="C78" s="123">
        <v>1</v>
      </c>
      <c r="D78" s="123" t="s">
        <v>266</v>
      </c>
      <c r="E78" s="123">
        <v>2</v>
      </c>
      <c r="F78" s="127" t="s">
        <v>372</v>
      </c>
      <c r="G78" s="127" t="s">
        <v>372</v>
      </c>
      <c r="H78" s="127" t="s">
        <v>372</v>
      </c>
      <c r="I78" s="125">
        <f>ROUND(PRODUCT(C78:H78),2)</f>
        <v>2</v>
      </c>
      <c r="J78" s="126"/>
    </row>
    <row r="79" spans="1:10" ht="19.899999999999999" customHeight="1">
      <c r="A79" s="122"/>
      <c r="B79" s="138" t="s">
        <v>375</v>
      </c>
      <c r="C79" s="123">
        <v>1</v>
      </c>
      <c r="D79" s="123" t="s">
        <v>266</v>
      </c>
      <c r="E79" s="123">
        <v>4</v>
      </c>
      <c r="F79" s="127" t="s">
        <v>372</v>
      </c>
      <c r="G79" s="127" t="s">
        <v>372</v>
      </c>
      <c r="H79" s="127" t="s">
        <v>372</v>
      </c>
      <c r="I79" s="125">
        <f>ROUND(PRODUCT(C79:H79),2)</f>
        <v>4</v>
      </c>
      <c r="J79" s="126"/>
    </row>
    <row r="80" spans="1:10" ht="19.899999999999999" customHeight="1">
      <c r="A80" s="122"/>
      <c r="B80" s="138" t="s">
        <v>406</v>
      </c>
      <c r="C80" s="123">
        <v>1</v>
      </c>
      <c r="D80" s="123" t="s">
        <v>266</v>
      </c>
      <c r="E80" s="123">
        <v>3</v>
      </c>
      <c r="F80" s="127" t="s">
        <v>372</v>
      </c>
      <c r="G80" s="127" t="s">
        <v>372</v>
      </c>
      <c r="H80" s="127" t="s">
        <v>372</v>
      </c>
      <c r="I80" s="125">
        <f>ROUND(PRODUCT(C80:H80),2)</f>
        <v>3</v>
      </c>
      <c r="J80" s="126"/>
    </row>
    <row r="81" spans="1:10" ht="19.899999999999999" customHeight="1">
      <c r="A81" s="122"/>
      <c r="B81" s="121"/>
      <c r="C81" s="123"/>
      <c r="D81" s="123"/>
      <c r="E81" s="127"/>
      <c r="F81" s="128"/>
      <c r="G81" s="128"/>
      <c r="H81" s="129" t="s">
        <v>57</v>
      </c>
      <c r="I81" s="130">
        <f>ROUND(SUM(I77:I80),2)</f>
        <v>11</v>
      </c>
      <c r="J81" s="131" t="s">
        <v>213</v>
      </c>
    </row>
    <row r="82" spans="1:10" ht="19.899999999999999" customHeight="1">
      <c r="A82" s="122"/>
      <c r="B82" s="121"/>
      <c r="C82" s="123"/>
      <c r="D82" s="123"/>
      <c r="E82" s="127"/>
      <c r="F82" s="128"/>
      <c r="G82" s="128"/>
      <c r="H82" s="132"/>
      <c r="I82" s="133"/>
      <c r="J82" s="126"/>
    </row>
    <row r="83" spans="1:10" ht="34.9" customHeight="1">
      <c r="A83" s="122">
        <v>18</v>
      </c>
      <c r="B83" s="1726" t="s">
        <v>407</v>
      </c>
      <c r="C83" s="1727"/>
      <c r="D83" s="1727"/>
      <c r="E83" s="1727"/>
      <c r="F83" s="1727"/>
      <c r="G83" s="1727"/>
      <c r="H83" s="1727"/>
      <c r="I83" s="1727"/>
      <c r="J83" s="126"/>
    </row>
    <row r="84" spans="1:10" ht="19.899999999999999" customHeight="1">
      <c r="A84" s="122"/>
      <c r="B84" s="139" t="s">
        <v>408</v>
      </c>
      <c r="C84" s="123">
        <v>1</v>
      </c>
      <c r="D84" s="123" t="s">
        <v>266</v>
      </c>
      <c r="E84" s="123">
        <v>1</v>
      </c>
      <c r="F84" s="128">
        <v>16</v>
      </c>
      <c r="G84" s="127" t="s">
        <v>372</v>
      </c>
      <c r="H84" s="127" t="s">
        <v>372</v>
      </c>
      <c r="I84" s="125">
        <f>ROUND(PRODUCT(C84:H84),2)</f>
        <v>16</v>
      </c>
      <c r="J84" s="126"/>
    </row>
    <row r="85" spans="1:10" ht="19.899999999999999" customHeight="1">
      <c r="A85" s="122"/>
      <c r="B85" s="139" t="s">
        <v>409</v>
      </c>
      <c r="C85" s="123">
        <v>2</v>
      </c>
      <c r="D85" s="123" t="s">
        <v>266</v>
      </c>
      <c r="E85" s="123">
        <v>3</v>
      </c>
      <c r="F85" s="128">
        <v>3</v>
      </c>
      <c r="G85" s="127" t="s">
        <v>372</v>
      </c>
      <c r="H85" s="127" t="s">
        <v>372</v>
      </c>
      <c r="I85" s="125">
        <f>ROUND(PRODUCT(C85:H85),2)</f>
        <v>18</v>
      </c>
      <c r="J85" s="126"/>
    </row>
    <row r="86" spans="1:10" ht="19.899999999999999" customHeight="1">
      <c r="A86" s="122"/>
      <c r="B86" s="139"/>
      <c r="C86" s="123"/>
      <c r="D86" s="123"/>
      <c r="E86" s="127"/>
      <c r="F86" s="128"/>
      <c r="G86" s="132"/>
      <c r="H86" s="129" t="s">
        <v>57</v>
      </c>
      <c r="I86" s="130">
        <f>ROUND(SUM(I84:I85),2)</f>
        <v>34</v>
      </c>
      <c r="J86" s="131" t="s">
        <v>61</v>
      </c>
    </row>
    <row r="87" spans="1:10" ht="19.899999999999999" customHeight="1">
      <c r="A87" s="122"/>
      <c r="B87" s="139"/>
      <c r="C87" s="123"/>
      <c r="D87" s="123"/>
      <c r="E87" s="127"/>
      <c r="F87" s="128"/>
      <c r="G87" s="132"/>
      <c r="H87" s="129"/>
      <c r="I87" s="130"/>
      <c r="J87" s="131"/>
    </row>
    <row r="88" spans="1:10" ht="34.9" customHeight="1">
      <c r="A88" s="122">
        <v>19</v>
      </c>
      <c r="B88" s="1726" t="s">
        <v>410</v>
      </c>
      <c r="C88" s="1727"/>
      <c r="D88" s="1727"/>
      <c r="E88" s="1727"/>
      <c r="F88" s="1727"/>
      <c r="G88" s="1727"/>
      <c r="H88" s="1727"/>
      <c r="I88" s="1727"/>
      <c r="J88" s="126"/>
    </row>
    <row r="89" spans="1:10" ht="19.899999999999999" customHeight="1">
      <c r="A89" s="122"/>
      <c r="B89" s="139" t="s">
        <v>408</v>
      </c>
      <c r="C89" s="123">
        <v>1</v>
      </c>
      <c r="D89" s="123" t="s">
        <v>266</v>
      </c>
      <c r="E89" s="123">
        <v>1</v>
      </c>
      <c r="F89" s="128">
        <v>16</v>
      </c>
      <c r="G89" s="127" t="s">
        <v>372</v>
      </c>
      <c r="H89" s="127" t="s">
        <v>372</v>
      </c>
      <c r="I89" s="125">
        <f>ROUND(PRODUCT(C89:H89),2)</f>
        <v>16</v>
      </c>
      <c r="J89" s="126"/>
    </row>
    <row r="90" spans="1:10" ht="19.899999999999999" customHeight="1">
      <c r="A90" s="122"/>
      <c r="B90" s="139" t="s">
        <v>409</v>
      </c>
      <c r="C90" s="123">
        <v>2</v>
      </c>
      <c r="D90" s="123" t="s">
        <v>266</v>
      </c>
      <c r="E90" s="123">
        <v>3</v>
      </c>
      <c r="F90" s="128">
        <v>3</v>
      </c>
      <c r="G90" s="127" t="s">
        <v>372</v>
      </c>
      <c r="H90" s="127" t="s">
        <v>372</v>
      </c>
      <c r="I90" s="125">
        <f>ROUND(PRODUCT(C90:H90),2)</f>
        <v>18</v>
      </c>
      <c r="J90" s="126"/>
    </row>
    <row r="91" spans="1:10" ht="19.899999999999999" customHeight="1">
      <c r="A91" s="122"/>
      <c r="B91" s="139"/>
      <c r="C91" s="123"/>
      <c r="D91" s="123"/>
      <c r="E91" s="127"/>
      <c r="F91" s="128"/>
      <c r="G91" s="132"/>
      <c r="H91" s="129" t="s">
        <v>57</v>
      </c>
      <c r="I91" s="130">
        <f>ROUND(SUM(I89:I90),2)</f>
        <v>34</v>
      </c>
      <c r="J91" s="131" t="s">
        <v>61</v>
      </c>
    </row>
    <row r="92" spans="1:10" ht="19.899999999999999" customHeight="1">
      <c r="A92" s="122"/>
      <c r="B92" s="139"/>
      <c r="C92" s="123"/>
      <c r="D92" s="123"/>
      <c r="E92" s="127"/>
      <c r="F92" s="128"/>
      <c r="G92" s="132"/>
      <c r="H92" s="132"/>
      <c r="I92" s="140"/>
      <c r="J92" s="126"/>
    </row>
    <row r="93" spans="1:10" ht="34.9" customHeight="1">
      <c r="A93" s="122">
        <v>20</v>
      </c>
      <c r="B93" s="1726" t="s">
        <v>411</v>
      </c>
      <c r="C93" s="1727"/>
      <c r="D93" s="1727"/>
      <c r="E93" s="1727"/>
      <c r="F93" s="1727"/>
      <c r="G93" s="1727"/>
      <c r="H93" s="1727"/>
      <c r="I93" s="1727"/>
      <c r="J93" s="126"/>
    </row>
    <row r="94" spans="1:10" ht="19.899999999999999" customHeight="1">
      <c r="A94" s="122"/>
      <c r="B94" s="139" t="s">
        <v>412</v>
      </c>
      <c r="C94" s="123">
        <v>1</v>
      </c>
      <c r="D94" s="123" t="s">
        <v>266</v>
      </c>
      <c r="E94" s="123">
        <v>4</v>
      </c>
      <c r="F94" s="128">
        <v>1</v>
      </c>
      <c r="G94" s="132"/>
      <c r="H94" s="132"/>
      <c r="I94" s="125">
        <f>ROUND(PRODUCT(C94:H94),2)</f>
        <v>4</v>
      </c>
      <c r="J94" s="126"/>
    </row>
    <row r="95" spans="1:10" ht="19.899999999999999" customHeight="1">
      <c r="A95" s="122"/>
      <c r="B95" s="139" t="s">
        <v>413</v>
      </c>
      <c r="C95" s="123">
        <v>1</v>
      </c>
      <c r="D95" s="123" t="s">
        <v>266</v>
      </c>
      <c r="E95" s="123">
        <v>4</v>
      </c>
      <c r="F95" s="128">
        <v>1</v>
      </c>
      <c r="G95" s="132"/>
      <c r="H95" s="132"/>
      <c r="I95" s="125">
        <f>ROUND(PRODUCT(C95:H95),2)</f>
        <v>4</v>
      </c>
      <c r="J95" s="126"/>
    </row>
    <row r="96" spans="1:10" ht="19.899999999999999" customHeight="1">
      <c r="A96" s="122"/>
      <c r="B96" s="139" t="s">
        <v>414</v>
      </c>
      <c r="C96" s="123">
        <v>1</v>
      </c>
      <c r="D96" s="123" t="s">
        <v>266</v>
      </c>
      <c r="E96" s="123">
        <v>4</v>
      </c>
      <c r="F96" s="128">
        <v>1</v>
      </c>
      <c r="G96" s="127" t="s">
        <v>372</v>
      </c>
      <c r="H96" s="127" t="s">
        <v>372</v>
      </c>
      <c r="I96" s="125">
        <f>ROUND(PRODUCT(C96:H96),2)</f>
        <v>4</v>
      </c>
      <c r="J96" s="126"/>
    </row>
    <row r="97" spans="1:10" ht="19.899999999999999" customHeight="1">
      <c r="A97" s="122"/>
      <c r="B97" s="139"/>
      <c r="C97" s="123"/>
      <c r="D97" s="123"/>
      <c r="E97" s="127"/>
      <c r="F97" s="128"/>
      <c r="G97" s="132"/>
      <c r="H97" s="129" t="s">
        <v>57</v>
      </c>
      <c r="I97" s="130">
        <f>ROUND(SUM(I93:I96),2)</f>
        <v>12</v>
      </c>
      <c r="J97" s="131" t="s">
        <v>61</v>
      </c>
    </row>
    <row r="98" spans="1:10" ht="19.899999999999999" customHeight="1">
      <c r="A98" s="122"/>
      <c r="B98" s="121"/>
      <c r="C98" s="123"/>
      <c r="D98" s="123"/>
      <c r="E98" s="127"/>
      <c r="F98" s="128"/>
      <c r="G98" s="128"/>
      <c r="H98" s="129"/>
      <c r="I98" s="130"/>
      <c r="J98" s="131"/>
    </row>
    <row r="99" spans="1:10" ht="49.9" customHeight="1">
      <c r="A99" s="122">
        <v>21</v>
      </c>
      <c r="B99" s="1726" t="s">
        <v>415</v>
      </c>
      <c r="C99" s="1727"/>
      <c r="D99" s="1727"/>
      <c r="E99" s="1727"/>
      <c r="F99" s="1727"/>
      <c r="G99" s="1727"/>
      <c r="H99" s="1727"/>
      <c r="I99" s="1728"/>
      <c r="J99" s="131"/>
    </row>
    <row r="100" spans="1:10" ht="19.899999999999999" customHeight="1">
      <c r="A100" s="122"/>
      <c r="B100" s="1576" t="s">
        <v>416</v>
      </c>
      <c r="C100" s="1577"/>
      <c r="D100" s="1577"/>
      <c r="E100" s="1577"/>
      <c r="F100" s="1577"/>
      <c r="G100" s="1577"/>
      <c r="H100" s="1577"/>
      <c r="I100" s="1577"/>
      <c r="J100" s="126"/>
    </row>
    <row r="101" spans="1:10" ht="19.899999999999999" customHeight="1">
      <c r="A101" s="122"/>
      <c r="B101" s="139" t="s">
        <v>417</v>
      </c>
      <c r="C101" s="123">
        <v>1</v>
      </c>
      <c r="D101" s="123" t="s">
        <v>266</v>
      </c>
      <c r="E101" s="123">
        <v>1</v>
      </c>
      <c r="F101" s="128">
        <v>9.4</v>
      </c>
      <c r="G101" s="127" t="s">
        <v>372</v>
      </c>
      <c r="H101" s="127" t="s">
        <v>372</v>
      </c>
      <c r="I101" s="125">
        <f>ROUND(PRODUCT(C101:H101),2)</f>
        <v>9.4</v>
      </c>
      <c r="J101" s="126"/>
    </row>
    <row r="102" spans="1:10" ht="19.899999999999999" customHeight="1">
      <c r="A102" s="122"/>
      <c r="B102" s="139"/>
      <c r="C102" s="123"/>
      <c r="D102" s="123"/>
      <c r="E102" s="127"/>
      <c r="F102" s="128"/>
      <c r="G102" s="132"/>
      <c r="H102" s="129" t="s">
        <v>57</v>
      </c>
      <c r="I102" s="130">
        <f>ROUND(SUM(I100:I101),2)</f>
        <v>9.4</v>
      </c>
      <c r="J102" s="131" t="s">
        <v>61</v>
      </c>
    </row>
    <row r="103" spans="1:10" ht="19.899999999999999" customHeight="1">
      <c r="A103" s="122"/>
      <c r="B103" s="139"/>
      <c r="C103" s="123"/>
      <c r="D103" s="123"/>
      <c r="E103" s="127"/>
      <c r="F103" s="128"/>
      <c r="G103" s="132"/>
      <c r="H103" s="132"/>
      <c r="I103" s="141"/>
      <c r="J103" s="126"/>
    </row>
    <row r="104" spans="1:10" ht="34.9" customHeight="1">
      <c r="A104" s="122">
        <v>22</v>
      </c>
      <c r="B104" s="1576" t="s">
        <v>418</v>
      </c>
      <c r="C104" s="1577"/>
      <c r="D104" s="1577"/>
      <c r="E104" s="1577"/>
      <c r="F104" s="1577"/>
      <c r="G104" s="1577"/>
      <c r="H104" s="1577"/>
      <c r="I104" s="1577"/>
      <c r="J104" s="126"/>
    </row>
    <row r="105" spans="1:10" ht="19.899999999999999" customHeight="1">
      <c r="A105" s="122"/>
      <c r="B105" s="142" t="s">
        <v>419</v>
      </c>
      <c r="C105" s="142"/>
      <c r="D105" s="142"/>
      <c r="E105" s="142"/>
      <c r="F105" s="142"/>
      <c r="G105" s="142"/>
      <c r="H105" s="142"/>
      <c r="I105" s="142"/>
      <c r="J105" s="126"/>
    </row>
    <row r="106" spans="1:10" ht="19.899999999999999" customHeight="1">
      <c r="A106" s="122"/>
      <c r="B106" s="139" t="s">
        <v>420</v>
      </c>
      <c r="C106" s="123">
        <v>1</v>
      </c>
      <c r="D106" s="123" t="s">
        <v>266</v>
      </c>
      <c r="E106" s="123">
        <v>2</v>
      </c>
      <c r="F106" s="127" t="s">
        <v>372</v>
      </c>
      <c r="G106" s="127" t="s">
        <v>372</v>
      </c>
      <c r="H106" s="127" t="s">
        <v>372</v>
      </c>
      <c r="I106" s="125">
        <f>ROUND(PRODUCT(C106:H106),2)</f>
        <v>2</v>
      </c>
      <c r="J106" s="126"/>
    </row>
    <row r="107" spans="1:10" ht="19.899999999999999" customHeight="1">
      <c r="A107" s="122"/>
      <c r="B107" s="139"/>
      <c r="C107" s="123"/>
      <c r="D107" s="123"/>
      <c r="E107" s="127"/>
      <c r="F107" s="128"/>
      <c r="G107" s="132"/>
      <c r="H107" s="129" t="s">
        <v>57</v>
      </c>
      <c r="I107" s="130">
        <f>ROUND(SUM(I105:I106),2)</f>
        <v>2</v>
      </c>
      <c r="J107" s="131" t="s">
        <v>4</v>
      </c>
    </row>
    <row r="108" spans="1:10" ht="19.899999999999999" customHeight="1">
      <c r="A108" s="122"/>
      <c r="B108" s="121"/>
      <c r="C108" s="123"/>
      <c r="D108" s="123"/>
      <c r="E108" s="127"/>
      <c r="F108" s="128"/>
      <c r="G108" s="128"/>
      <c r="H108" s="129"/>
      <c r="I108" s="130"/>
      <c r="J108" s="131"/>
    </row>
    <row r="109" spans="1:10" ht="19.899999999999999" customHeight="1">
      <c r="A109" s="122"/>
      <c r="B109" s="142" t="s">
        <v>421</v>
      </c>
      <c r="C109" s="142"/>
      <c r="D109" s="142"/>
      <c r="E109" s="142"/>
      <c r="F109" s="142"/>
      <c r="G109" s="142"/>
      <c r="H109" s="142"/>
      <c r="I109" s="143"/>
      <c r="J109" s="126"/>
    </row>
    <row r="110" spans="1:10" ht="19.899999999999999" customHeight="1">
      <c r="A110" s="122"/>
      <c r="B110" s="139" t="s">
        <v>422</v>
      </c>
      <c r="C110" s="123">
        <v>1</v>
      </c>
      <c r="D110" s="123" t="s">
        <v>266</v>
      </c>
      <c r="E110" s="123">
        <v>6</v>
      </c>
      <c r="F110" s="127" t="s">
        <v>372</v>
      </c>
      <c r="G110" s="127" t="s">
        <v>372</v>
      </c>
      <c r="H110" s="127" t="s">
        <v>372</v>
      </c>
      <c r="I110" s="125">
        <f>ROUND(PRODUCT(C110:H110),2)</f>
        <v>6</v>
      </c>
      <c r="J110" s="126"/>
    </row>
    <row r="111" spans="1:10" ht="19.899999999999999" customHeight="1">
      <c r="A111" s="122"/>
      <c r="B111" s="139"/>
      <c r="C111" s="123"/>
      <c r="D111" s="123"/>
      <c r="E111" s="127"/>
      <c r="F111" s="128"/>
      <c r="G111" s="132"/>
      <c r="H111" s="129" t="s">
        <v>57</v>
      </c>
      <c r="I111" s="130">
        <f>ROUND(SUM(I109:I110),2)</f>
        <v>6</v>
      </c>
      <c r="J111" s="131" t="s">
        <v>4</v>
      </c>
    </row>
    <row r="112" spans="1:10" ht="19.899999999999999" customHeight="1">
      <c r="A112" s="122"/>
      <c r="B112" s="121"/>
      <c r="C112" s="123"/>
      <c r="D112" s="123"/>
      <c r="E112" s="127"/>
      <c r="F112" s="128"/>
      <c r="G112" s="128"/>
      <c r="H112" s="129"/>
      <c r="I112" s="130"/>
      <c r="J112" s="131"/>
    </row>
    <row r="113" spans="1:10" ht="19.899999999999999" customHeight="1">
      <c r="A113" s="122"/>
      <c r="B113" s="142" t="s">
        <v>423</v>
      </c>
      <c r="C113" s="142"/>
      <c r="D113" s="142"/>
      <c r="E113" s="142"/>
      <c r="F113" s="142"/>
      <c r="G113" s="142"/>
      <c r="H113" s="142"/>
      <c r="I113" s="142"/>
      <c r="J113" s="126"/>
    </row>
    <row r="114" spans="1:10" ht="19.899999999999999" customHeight="1">
      <c r="A114" s="122"/>
      <c r="B114" s="139" t="s">
        <v>424</v>
      </c>
      <c r="C114" s="123">
        <v>1</v>
      </c>
      <c r="D114" s="123" t="s">
        <v>266</v>
      </c>
      <c r="E114" s="123">
        <v>1</v>
      </c>
      <c r="F114" s="127" t="s">
        <v>372</v>
      </c>
      <c r="G114" s="127" t="s">
        <v>372</v>
      </c>
      <c r="H114" s="127" t="s">
        <v>372</v>
      </c>
      <c r="I114" s="125">
        <f>ROUND(PRODUCT(C114:H114),2)</f>
        <v>1</v>
      </c>
      <c r="J114" s="126"/>
    </row>
    <row r="115" spans="1:10" ht="19.899999999999999" customHeight="1">
      <c r="A115" s="122"/>
      <c r="B115" s="139"/>
      <c r="C115" s="123"/>
      <c r="D115" s="123"/>
      <c r="E115" s="127"/>
      <c r="F115" s="128"/>
      <c r="G115" s="132"/>
      <c r="H115" s="129" t="s">
        <v>57</v>
      </c>
      <c r="I115" s="130">
        <f>ROUND(SUM(I113:I114),2)</f>
        <v>1</v>
      </c>
      <c r="J115" s="131" t="s">
        <v>54</v>
      </c>
    </row>
    <row r="116" spans="1:10" ht="19.899999999999999" customHeight="1">
      <c r="A116" s="122"/>
      <c r="B116" s="121"/>
      <c r="C116" s="123"/>
      <c r="D116" s="123"/>
      <c r="E116" s="127"/>
      <c r="F116" s="128"/>
      <c r="G116" s="128"/>
      <c r="H116" s="129"/>
      <c r="I116" s="130"/>
      <c r="J116" s="131"/>
    </row>
    <row r="117" spans="1:10" ht="19.899999999999999" customHeight="1">
      <c r="A117" s="122"/>
      <c r="B117" s="142" t="s">
        <v>425</v>
      </c>
      <c r="C117" s="142"/>
      <c r="D117" s="142"/>
      <c r="E117" s="142"/>
      <c r="F117" s="142"/>
      <c r="G117" s="142"/>
      <c r="H117" s="142"/>
      <c r="I117" s="142"/>
      <c r="J117" s="126"/>
    </row>
    <row r="118" spans="1:10" ht="19.899999999999999" customHeight="1">
      <c r="A118" s="122"/>
      <c r="B118" s="139" t="s">
        <v>426</v>
      </c>
      <c r="C118" s="123">
        <v>1</v>
      </c>
      <c r="D118" s="123" t="s">
        <v>266</v>
      </c>
      <c r="E118" s="123">
        <v>1</v>
      </c>
      <c r="F118" s="127" t="s">
        <v>372</v>
      </c>
      <c r="G118" s="127" t="s">
        <v>372</v>
      </c>
      <c r="H118" s="127" t="s">
        <v>372</v>
      </c>
      <c r="I118" s="125">
        <f>ROUND(PRODUCT(C118:H118),2)</f>
        <v>1</v>
      </c>
      <c r="J118" s="126"/>
    </row>
    <row r="119" spans="1:10" ht="19.899999999999999" customHeight="1">
      <c r="A119" s="122"/>
      <c r="B119" s="139"/>
      <c r="C119" s="123"/>
      <c r="D119" s="123"/>
      <c r="E119" s="127"/>
      <c r="F119" s="128"/>
      <c r="G119" s="132"/>
      <c r="H119" s="129" t="s">
        <v>57</v>
      </c>
      <c r="I119" s="130">
        <f>ROUND(SUM(I117:I118),2)</f>
        <v>1</v>
      </c>
      <c r="J119" s="131" t="s">
        <v>54</v>
      </c>
    </row>
    <row r="120" spans="1:10" ht="19.899999999999999" customHeight="1">
      <c r="A120" s="122"/>
      <c r="B120" s="121"/>
      <c r="C120" s="123"/>
      <c r="D120" s="123"/>
      <c r="E120" s="127"/>
      <c r="F120" s="128"/>
      <c r="G120" s="128"/>
      <c r="H120" s="129"/>
      <c r="I120" s="130"/>
      <c r="J120" s="131"/>
    </row>
    <row r="121" spans="1:10" ht="19.899999999999999" customHeight="1">
      <c r="A121" s="122"/>
      <c r="B121" s="142" t="s">
        <v>427</v>
      </c>
      <c r="C121" s="142"/>
      <c r="D121" s="142"/>
      <c r="E121" s="142"/>
      <c r="F121" s="142"/>
      <c r="G121" s="142"/>
      <c r="H121" s="142"/>
      <c r="I121" s="142"/>
      <c r="J121" s="126"/>
    </row>
    <row r="122" spans="1:10" ht="19.899999999999999" customHeight="1">
      <c r="A122" s="122"/>
      <c r="B122" s="139" t="s">
        <v>400</v>
      </c>
      <c r="C122" s="123">
        <v>1</v>
      </c>
      <c r="D122" s="123" t="s">
        <v>266</v>
      </c>
      <c r="E122" s="123">
        <v>1</v>
      </c>
      <c r="F122" s="127" t="s">
        <v>372</v>
      </c>
      <c r="G122" s="127" t="s">
        <v>372</v>
      </c>
      <c r="H122" s="127" t="s">
        <v>372</v>
      </c>
      <c r="I122" s="125">
        <f>ROUND(PRODUCT(C122:H122),2)</f>
        <v>1</v>
      </c>
      <c r="J122" s="126"/>
    </row>
    <row r="123" spans="1:10" ht="19.899999999999999" customHeight="1">
      <c r="A123" s="122"/>
      <c r="B123" s="139"/>
      <c r="C123" s="123"/>
      <c r="D123" s="123"/>
      <c r="E123" s="127"/>
      <c r="F123" s="128"/>
      <c r="G123" s="132"/>
      <c r="H123" s="129" t="s">
        <v>57</v>
      </c>
      <c r="I123" s="130">
        <f>ROUND(SUM(I121:I122),2)</f>
        <v>1</v>
      </c>
      <c r="J123" s="131" t="s">
        <v>314</v>
      </c>
    </row>
    <row r="124" spans="1:10" ht="19.899999999999999" customHeight="1">
      <c r="A124" s="122"/>
      <c r="B124" s="121"/>
      <c r="C124" s="123"/>
      <c r="D124" s="123"/>
      <c r="E124" s="127"/>
      <c r="F124" s="128"/>
      <c r="G124" s="128"/>
      <c r="H124" s="129"/>
      <c r="I124" s="130"/>
      <c r="J124" s="131"/>
    </row>
    <row r="125" spans="1:10" ht="19.899999999999999" customHeight="1">
      <c r="A125" s="122"/>
      <c r="B125" s="142" t="s">
        <v>428</v>
      </c>
      <c r="C125" s="142"/>
      <c r="D125" s="142"/>
      <c r="E125" s="142"/>
      <c r="F125" s="142"/>
      <c r="G125" s="142"/>
      <c r="H125" s="142"/>
      <c r="I125" s="142"/>
      <c r="J125" s="126"/>
    </row>
    <row r="126" spans="1:10" ht="19.899999999999999" customHeight="1">
      <c r="A126" s="122"/>
      <c r="B126" s="139" t="s">
        <v>387</v>
      </c>
      <c r="C126" s="123">
        <v>1</v>
      </c>
      <c r="D126" s="123" t="s">
        <v>266</v>
      </c>
      <c r="E126" s="123">
        <v>4</v>
      </c>
      <c r="F126" s="127" t="s">
        <v>372</v>
      </c>
      <c r="G126" s="127" t="s">
        <v>372</v>
      </c>
      <c r="H126" s="127" t="s">
        <v>372</v>
      </c>
      <c r="I126" s="125">
        <f>ROUND(PRODUCT(C126:H126),2)</f>
        <v>4</v>
      </c>
      <c r="J126" s="126"/>
    </row>
    <row r="127" spans="1:10" ht="19.899999999999999" customHeight="1">
      <c r="A127" s="122"/>
      <c r="B127" s="139"/>
      <c r="C127" s="123"/>
      <c r="D127" s="123"/>
      <c r="E127" s="127"/>
      <c r="F127" s="128"/>
      <c r="G127" s="132"/>
      <c r="H127" s="132"/>
      <c r="I127" s="141">
        <v>0.06</v>
      </c>
      <c r="J127" s="126"/>
    </row>
    <row r="128" spans="1:10" ht="19.899999999999999" customHeight="1">
      <c r="A128" s="122"/>
      <c r="B128" s="139"/>
      <c r="C128" s="123"/>
      <c r="D128" s="123"/>
      <c r="E128" s="127"/>
      <c r="F128" s="128"/>
      <c r="G128" s="132"/>
      <c r="H128" s="129" t="s">
        <v>57</v>
      </c>
      <c r="I128" s="130">
        <f>SUM(I126:I127)</f>
        <v>4.0599999999999996</v>
      </c>
      <c r="J128" s="131" t="s">
        <v>4</v>
      </c>
    </row>
    <row r="129" spans="1:10" ht="19.899999999999999" customHeight="1">
      <c r="A129" s="122"/>
      <c r="B129" s="139"/>
      <c r="C129" s="123"/>
      <c r="D129" s="123"/>
      <c r="E129" s="127"/>
      <c r="F129" s="128"/>
      <c r="G129" s="132"/>
      <c r="H129" s="129"/>
      <c r="I129" s="130"/>
      <c r="J129" s="131"/>
    </row>
    <row r="130" spans="1:10" ht="19.899999999999999" customHeight="1">
      <c r="A130" s="122"/>
      <c r="B130" s="142" t="s">
        <v>429</v>
      </c>
      <c r="C130" s="142"/>
      <c r="D130" s="142"/>
      <c r="E130" s="142"/>
      <c r="F130" s="142"/>
      <c r="G130" s="142"/>
      <c r="H130" s="142"/>
      <c r="I130" s="142"/>
      <c r="J130" s="126"/>
    </row>
    <row r="131" spans="1:10" ht="19.899999999999999" customHeight="1">
      <c r="A131" s="122"/>
      <c r="B131" s="139" t="s">
        <v>387</v>
      </c>
      <c r="C131" s="123">
        <v>1</v>
      </c>
      <c r="D131" s="123" t="s">
        <v>266</v>
      </c>
      <c r="E131" s="123">
        <v>1</v>
      </c>
      <c r="F131" s="127" t="s">
        <v>372</v>
      </c>
      <c r="G131" s="127" t="s">
        <v>372</v>
      </c>
      <c r="H131" s="127" t="s">
        <v>372</v>
      </c>
      <c r="I131" s="125">
        <f>ROUND(PRODUCT(C131:H131),2)</f>
        <v>1</v>
      </c>
      <c r="J131" s="126"/>
    </row>
    <row r="132" spans="1:10" ht="19.899999999999999" customHeight="1">
      <c r="A132" s="122"/>
      <c r="B132" s="139"/>
      <c r="C132" s="123"/>
      <c r="D132" s="123"/>
      <c r="E132" s="127"/>
      <c r="F132" s="128"/>
      <c r="G132" s="132"/>
      <c r="H132" s="129" t="s">
        <v>57</v>
      </c>
      <c r="I132" s="130">
        <f>SUM(I131:I131)</f>
        <v>1</v>
      </c>
      <c r="J132" s="131" t="s">
        <v>54</v>
      </c>
    </row>
    <row r="133" spans="1:10" ht="19.899999999999999" customHeight="1">
      <c r="A133" s="122"/>
      <c r="B133" s="121"/>
      <c r="C133" s="123"/>
      <c r="D133" s="123"/>
      <c r="E133" s="127"/>
      <c r="F133" s="128"/>
      <c r="G133" s="128"/>
      <c r="H133" s="129"/>
      <c r="I133" s="144"/>
      <c r="J133" s="131"/>
    </row>
    <row r="134" spans="1:10" ht="19.899999999999999" customHeight="1">
      <c r="A134" s="122"/>
      <c r="B134" s="142" t="s">
        <v>430</v>
      </c>
      <c r="C134" s="142"/>
      <c r="D134" s="142"/>
      <c r="E134" s="142"/>
      <c r="F134" s="142"/>
      <c r="G134" s="142"/>
      <c r="H134" s="142"/>
      <c r="I134" s="143"/>
      <c r="J134" s="126"/>
    </row>
    <row r="135" spans="1:10" ht="19.899999999999999" customHeight="1">
      <c r="A135" s="122"/>
      <c r="B135" s="139" t="s">
        <v>387</v>
      </c>
      <c r="C135" s="123">
        <v>1</v>
      </c>
      <c r="D135" s="123" t="s">
        <v>266</v>
      </c>
      <c r="E135" s="123">
        <v>1</v>
      </c>
      <c r="F135" s="127" t="s">
        <v>372</v>
      </c>
      <c r="G135" s="127" t="s">
        <v>372</v>
      </c>
      <c r="H135" s="127" t="s">
        <v>372</v>
      </c>
      <c r="I135" s="125">
        <f>ROUND(PRODUCT(C135:H135),2)</f>
        <v>1</v>
      </c>
      <c r="J135" s="126"/>
    </row>
    <row r="136" spans="1:10" ht="19.899999999999999" customHeight="1">
      <c r="A136" s="122"/>
      <c r="B136" s="139"/>
      <c r="C136" s="123"/>
      <c r="D136" s="123"/>
      <c r="E136" s="127"/>
      <c r="F136" s="128"/>
      <c r="G136" s="132"/>
      <c r="H136" s="129" t="s">
        <v>57</v>
      </c>
      <c r="I136" s="130">
        <f>SUM(I135:I135)</f>
        <v>1</v>
      </c>
      <c r="J136" s="131" t="s">
        <v>54</v>
      </c>
    </row>
    <row r="137" spans="1:10" ht="19.899999999999999" customHeight="1">
      <c r="A137" s="122"/>
      <c r="B137" s="139"/>
      <c r="C137" s="123"/>
      <c r="D137" s="123"/>
      <c r="E137" s="127"/>
      <c r="F137" s="128"/>
      <c r="G137" s="132"/>
      <c r="H137" s="129"/>
      <c r="I137" s="130"/>
      <c r="J137" s="131"/>
    </row>
    <row r="138" spans="1:10" ht="49.9" customHeight="1">
      <c r="A138" s="122">
        <v>23</v>
      </c>
      <c r="B138" s="1579" t="s">
        <v>431</v>
      </c>
      <c r="C138" s="1580"/>
      <c r="D138" s="1580"/>
      <c r="E138" s="1580"/>
      <c r="F138" s="1580"/>
      <c r="G138" s="1580"/>
      <c r="H138" s="1580"/>
      <c r="I138" s="1580"/>
      <c r="J138" s="126"/>
    </row>
    <row r="139" spans="1:10" ht="19.899999999999999" customHeight="1">
      <c r="A139" s="122"/>
      <c r="B139" s="314" t="s">
        <v>432</v>
      </c>
      <c r="C139" s="314"/>
      <c r="D139" s="314"/>
      <c r="E139" s="314"/>
      <c r="F139" s="314"/>
      <c r="G139" s="314"/>
      <c r="H139" s="314"/>
      <c r="I139" s="314"/>
      <c r="J139" s="126"/>
    </row>
    <row r="140" spans="1:10" ht="34.9" customHeight="1">
      <c r="A140" s="122"/>
      <c r="B140" s="315" t="s">
        <v>433</v>
      </c>
      <c r="C140" s="316">
        <v>1</v>
      </c>
      <c r="D140" s="316" t="s">
        <v>266</v>
      </c>
      <c r="E140" s="316">
        <v>23</v>
      </c>
      <c r="F140" s="317" t="s">
        <v>372</v>
      </c>
      <c r="G140" s="317" t="s">
        <v>372</v>
      </c>
      <c r="H140" s="317" t="s">
        <v>372</v>
      </c>
      <c r="I140" s="318">
        <f>ROUND(PRODUCT(C140:H140),2)</f>
        <v>23</v>
      </c>
      <c r="J140" s="126"/>
    </row>
    <row r="141" spans="1:10" ht="19.899999999999999" customHeight="1">
      <c r="A141" s="122"/>
      <c r="B141" s="319"/>
      <c r="C141" s="316"/>
      <c r="D141" s="316"/>
      <c r="E141" s="317"/>
      <c r="F141" s="320"/>
      <c r="G141" s="321"/>
      <c r="H141" s="322" t="s">
        <v>57</v>
      </c>
      <c r="I141" s="323">
        <f>ROUND(SUM(I139:I140),2)</f>
        <v>23</v>
      </c>
      <c r="J141" s="131" t="s">
        <v>213</v>
      </c>
    </row>
    <row r="142" spans="1:10" ht="19.899999999999999" customHeight="1">
      <c r="A142" s="122"/>
      <c r="B142" s="319"/>
      <c r="C142" s="316"/>
      <c r="D142" s="316"/>
      <c r="E142" s="317"/>
      <c r="F142" s="320"/>
      <c r="G142" s="321"/>
      <c r="H142" s="322"/>
      <c r="I142" s="323"/>
      <c r="J142" s="131"/>
    </row>
    <row r="143" spans="1:10" ht="19.899999999999999" customHeight="1">
      <c r="A143" s="122"/>
      <c r="B143" s="314" t="s">
        <v>434</v>
      </c>
      <c r="C143" s="314"/>
      <c r="D143" s="314"/>
      <c r="E143" s="314"/>
      <c r="F143" s="314"/>
      <c r="G143" s="314"/>
      <c r="H143" s="314"/>
      <c r="I143" s="314"/>
      <c r="J143" s="126"/>
    </row>
    <row r="144" spans="1:10" ht="19.899999999999999" customHeight="1">
      <c r="A144" s="122"/>
      <c r="B144" s="315" t="s">
        <v>585</v>
      </c>
      <c r="C144" s="316">
        <v>1</v>
      </c>
      <c r="D144" s="316" t="s">
        <v>266</v>
      </c>
      <c r="E144" s="316">
        <v>20</v>
      </c>
      <c r="F144" s="317" t="s">
        <v>372</v>
      </c>
      <c r="G144" s="317" t="s">
        <v>372</v>
      </c>
      <c r="H144" s="317" t="s">
        <v>372</v>
      </c>
      <c r="I144" s="318">
        <f>ROUND(PRODUCT(C144:H144),2)</f>
        <v>20</v>
      </c>
      <c r="J144" s="126"/>
    </row>
    <row r="145" spans="1:10" ht="19.899999999999999" customHeight="1">
      <c r="A145" s="122"/>
      <c r="B145" s="319"/>
      <c r="C145" s="316"/>
      <c r="D145" s="316"/>
      <c r="E145" s="317"/>
      <c r="F145" s="320"/>
      <c r="G145" s="321"/>
      <c r="H145" s="322" t="s">
        <v>57</v>
      </c>
      <c r="I145" s="323">
        <f>ROUND(SUM(I143:I144),2)</f>
        <v>20</v>
      </c>
      <c r="J145" s="131" t="s">
        <v>4</v>
      </c>
    </row>
    <row r="146" spans="1:10" ht="19.899999999999999" customHeight="1">
      <c r="A146" s="122"/>
      <c r="B146" s="319"/>
      <c r="C146" s="316"/>
      <c r="D146" s="316"/>
      <c r="E146" s="317"/>
      <c r="F146" s="320"/>
      <c r="G146" s="321"/>
      <c r="H146" s="322"/>
      <c r="I146" s="323"/>
      <c r="J146" s="131"/>
    </row>
    <row r="147" spans="1:10" ht="25.15" customHeight="1">
      <c r="A147" s="122">
        <v>24</v>
      </c>
      <c r="B147" s="1730" t="s">
        <v>435</v>
      </c>
      <c r="C147" s="1731"/>
      <c r="D147" s="1731"/>
      <c r="E147" s="1731"/>
      <c r="F147" s="1731"/>
      <c r="G147" s="1731"/>
      <c r="H147" s="1731"/>
      <c r="I147" s="1731"/>
      <c r="J147" s="126"/>
    </row>
    <row r="148" spans="1:10" ht="19.899999999999999" customHeight="1">
      <c r="A148" s="122"/>
      <c r="B148" s="324"/>
      <c r="C148" s="316">
        <v>1</v>
      </c>
      <c r="D148" s="316" t="s">
        <v>266</v>
      </c>
      <c r="E148" s="316">
        <v>1</v>
      </c>
      <c r="F148" s="317" t="s">
        <v>372</v>
      </c>
      <c r="G148" s="317" t="s">
        <v>372</v>
      </c>
      <c r="H148" s="317" t="s">
        <v>372</v>
      </c>
      <c r="I148" s="318">
        <f>ROUND(PRODUCT(C148:H148),2)</f>
        <v>1</v>
      </c>
      <c r="J148" s="126"/>
    </row>
    <row r="149" spans="1:10" ht="19.899999999999999" customHeight="1">
      <c r="A149" s="122"/>
      <c r="B149" s="324"/>
      <c r="C149" s="316"/>
      <c r="D149" s="316"/>
      <c r="E149" s="317"/>
      <c r="F149" s="320"/>
      <c r="G149" s="320"/>
      <c r="H149" s="322" t="s">
        <v>57</v>
      </c>
      <c r="I149" s="323">
        <f>ROUND(SUM(I148:I148),2)</f>
        <v>1</v>
      </c>
      <c r="J149" s="131" t="s">
        <v>314</v>
      </c>
    </row>
    <row r="150" spans="1:10" ht="19.899999999999999" customHeight="1">
      <c r="A150" s="122"/>
      <c r="B150" s="325"/>
      <c r="C150" s="316"/>
      <c r="D150" s="316"/>
      <c r="E150" s="317"/>
      <c r="F150" s="320"/>
      <c r="G150" s="320"/>
      <c r="H150" s="322"/>
      <c r="I150" s="323"/>
      <c r="J150" s="131"/>
    </row>
    <row r="151" spans="1:10" ht="25.15" customHeight="1">
      <c r="A151" s="122">
        <v>25</v>
      </c>
      <c r="B151" s="1730" t="s">
        <v>1195</v>
      </c>
      <c r="C151" s="1731"/>
      <c r="D151" s="1731"/>
      <c r="E151" s="1731"/>
      <c r="F151" s="1731"/>
      <c r="G151" s="1731"/>
      <c r="H151" s="1731"/>
      <c r="I151" s="1731"/>
      <c r="J151" s="126"/>
    </row>
    <row r="152" spans="1:10" ht="19.899999999999999" customHeight="1">
      <c r="A152" s="122"/>
      <c r="B152" s="324"/>
      <c r="C152" s="316">
        <v>1</v>
      </c>
      <c r="D152" s="316" t="s">
        <v>266</v>
      </c>
      <c r="E152" s="316">
        <v>1</v>
      </c>
      <c r="F152" s="317" t="s">
        <v>372</v>
      </c>
      <c r="G152" s="317" t="s">
        <v>372</v>
      </c>
      <c r="H152" s="317" t="s">
        <v>372</v>
      </c>
      <c r="I152" s="318">
        <f>ROUND(PRODUCT(C152:H152),2)</f>
        <v>1</v>
      </c>
      <c r="J152" s="126"/>
    </row>
    <row r="153" spans="1:10" ht="19.899999999999999" customHeight="1">
      <c r="A153" s="122"/>
      <c r="B153" s="324"/>
      <c r="C153" s="316"/>
      <c r="D153" s="316"/>
      <c r="E153" s="317"/>
      <c r="F153" s="320"/>
      <c r="G153" s="320"/>
      <c r="H153" s="322" t="s">
        <v>57</v>
      </c>
      <c r="I153" s="323">
        <f>ROUND(SUM(I152:I152),2)</f>
        <v>1</v>
      </c>
      <c r="J153" s="131" t="s">
        <v>314</v>
      </c>
    </row>
    <row r="154" spans="1:10" ht="19.899999999999999" customHeight="1">
      <c r="A154" s="122"/>
      <c r="B154" s="325"/>
      <c r="C154" s="316"/>
      <c r="D154" s="316"/>
      <c r="E154" s="317"/>
      <c r="F154" s="320"/>
      <c r="G154" s="320"/>
      <c r="H154" s="322"/>
      <c r="I154" s="323"/>
      <c r="J154" s="131"/>
    </row>
    <row r="155" spans="1:10" ht="25.15" customHeight="1">
      <c r="A155" s="122">
        <v>26</v>
      </c>
      <c r="B155" s="1730" t="s">
        <v>436</v>
      </c>
      <c r="C155" s="1731"/>
      <c r="D155" s="1731"/>
      <c r="E155" s="1731"/>
      <c r="F155" s="1731"/>
      <c r="G155" s="1731"/>
      <c r="H155" s="1731"/>
      <c r="I155" s="1731"/>
      <c r="J155" s="126"/>
    </row>
    <row r="156" spans="1:10" ht="19.899999999999999" customHeight="1">
      <c r="A156" s="122"/>
      <c r="B156" s="324" t="s">
        <v>611</v>
      </c>
      <c r="C156" s="316">
        <v>1</v>
      </c>
      <c r="D156" s="316" t="s">
        <v>266</v>
      </c>
      <c r="E156" s="316">
        <v>12</v>
      </c>
      <c r="F156" s="321">
        <v>24</v>
      </c>
      <c r="G156" s="321">
        <v>4</v>
      </c>
      <c r="H156" s="317" t="s">
        <v>372</v>
      </c>
      <c r="I156" s="318">
        <f>ROUND(PRODUCT(C156:H156),2)</f>
        <v>1152</v>
      </c>
      <c r="J156" s="126"/>
    </row>
    <row r="157" spans="1:10" ht="19.899999999999999" customHeight="1">
      <c r="A157" s="122"/>
      <c r="B157" s="324" t="s">
        <v>612</v>
      </c>
      <c r="C157" s="316">
        <v>1</v>
      </c>
      <c r="D157" s="342" t="s">
        <v>266</v>
      </c>
      <c r="E157" s="316">
        <v>1</v>
      </c>
      <c r="F157" s="321">
        <v>24</v>
      </c>
      <c r="G157" s="321">
        <v>8</v>
      </c>
      <c r="H157" s="317" t="s">
        <v>372</v>
      </c>
      <c r="I157" s="318">
        <f>ROUND(PRODUCT(C157:H157),2)</f>
        <v>192</v>
      </c>
      <c r="J157" s="126"/>
    </row>
    <row r="158" spans="1:10" ht="19.899999999999999" customHeight="1">
      <c r="A158" s="122"/>
      <c r="B158" s="324"/>
      <c r="C158" s="316"/>
      <c r="D158" s="316"/>
      <c r="E158" s="317"/>
      <c r="F158" s="320"/>
      <c r="G158" s="320"/>
      <c r="H158" s="322" t="s">
        <v>57</v>
      </c>
      <c r="I158" s="323">
        <f>ROUND(SUM(I156:I157),2)</f>
        <v>1344</v>
      </c>
      <c r="J158" s="421" t="s">
        <v>437</v>
      </c>
    </row>
    <row r="159" spans="1:10" ht="19.899999999999999" customHeight="1">
      <c r="A159" s="122"/>
      <c r="B159" s="319"/>
      <c r="C159" s="316"/>
      <c r="D159" s="316"/>
      <c r="E159" s="317"/>
      <c r="F159" s="320"/>
      <c r="G159" s="321"/>
      <c r="H159" s="322"/>
      <c r="I159" s="323"/>
      <c r="J159" s="131"/>
    </row>
    <row r="160" spans="1:10" ht="34.9" customHeight="1">
      <c r="A160" s="122">
        <v>27</v>
      </c>
      <c r="B160" s="1608" t="s">
        <v>438</v>
      </c>
      <c r="C160" s="1609"/>
      <c r="D160" s="1609"/>
      <c r="E160" s="1609"/>
      <c r="F160" s="1609"/>
      <c r="G160" s="1609"/>
      <c r="H160" s="1609"/>
      <c r="I160" s="1609"/>
      <c r="J160" s="126"/>
    </row>
    <row r="161" spans="1:11" ht="19.899999999999999" customHeight="1">
      <c r="A161" s="122"/>
      <c r="B161" s="138" t="s">
        <v>439</v>
      </c>
      <c r="C161" s="123">
        <v>1</v>
      </c>
      <c r="D161" s="123" t="s">
        <v>266</v>
      </c>
      <c r="E161" s="123">
        <v>1</v>
      </c>
      <c r="F161" s="132">
        <v>10</v>
      </c>
      <c r="G161" s="132">
        <v>9.57</v>
      </c>
      <c r="H161" s="127" t="s">
        <v>372</v>
      </c>
      <c r="I161" s="125">
        <f>ROUND(PRODUCT(C161:H161),2)</f>
        <v>95.7</v>
      </c>
      <c r="J161" s="126"/>
    </row>
    <row r="162" spans="1:11" ht="32.450000000000003" customHeight="1">
      <c r="A162" s="122"/>
      <c r="B162" s="138" t="s">
        <v>440</v>
      </c>
      <c r="C162" s="123">
        <v>1</v>
      </c>
      <c r="D162" s="123" t="s">
        <v>266</v>
      </c>
      <c r="E162" s="123">
        <v>1</v>
      </c>
      <c r="F162" s="135" t="s">
        <v>441</v>
      </c>
      <c r="G162" s="132">
        <v>5</v>
      </c>
      <c r="H162" s="127" t="s">
        <v>372</v>
      </c>
      <c r="I162" s="125">
        <f>C162*E162*K162*G162</f>
        <v>62.75</v>
      </c>
      <c r="J162" s="126"/>
      <c r="K162" s="115">
        <f>(15.6+9.5)/2</f>
        <v>12.55</v>
      </c>
    </row>
    <row r="163" spans="1:11" ht="19.899999999999999" customHeight="1">
      <c r="A163" s="122"/>
      <c r="B163" s="138" t="s">
        <v>442</v>
      </c>
      <c r="C163" s="123">
        <v>1</v>
      </c>
      <c r="D163" s="123" t="s">
        <v>266</v>
      </c>
      <c r="E163" s="123">
        <v>1</v>
      </c>
      <c r="F163" s="132">
        <v>1.6</v>
      </c>
      <c r="G163" s="132">
        <v>0.45</v>
      </c>
      <c r="H163" s="127" t="s">
        <v>372</v>
      </c>
      <c r="I163" s="125">
        <f>ROUND(PRODUCT(C163:H163),2)</f>
        <v>0.72</v>
      </c>
      <c r="J163" s="126"/>
    </row>
    <row r="164" spans="1:11" ht="19.899999999999999" customHeight="1">
      <c r="A164" s="122"/>
      <c r="B164" s="138" t="s">
        <v>443</v>
      </c>
      <c r="C164" s="123">
        <v>1</v>
      </c>
      <c r="D164" s="123" t="s">
        <v>266</v>
      </c>
      <c r="E164" s="123">
        <v>1</v>
      </c>
      <c r="F164" s="132">
        <v>9.57</v>
      </c>
      <c r="G164" s="132">
        <v>13.73</v>
      </c>
      <c r="H164" s="127" t="s">
        <v>372</v>
      </c>
      <c r="I164" s="125">
        <f>ROUND(PRODUCT(C164:H164),2)</f>
        <v>131.4</v>
      </c>
      <c r="J164" s="126"/>
    </row>
    <row r="165" spans="1:11" ht="19.899999999999999" customHeight="1">
      <c r="A165" s="122"/>
      <c r="B165" s="138" t="s">
        <v>444</v>
      </c>
      <c r="C165" s="123">
        <v>-1</v>
      </c>
      <c r="D165" s="123" t="s">
        <v>266</v>
      </c>
      <c r="E165" s="123">
        <v>4</v>
      </c>
      <c r="F165" s="132">
        <v>0.3</v>
      </c>
      <c r="G165" s="132">
        <v>0.3</v>
      </c>
      <c r="H165" s="127" t="s">
        <v>372</v>
      </c>
      <c r="I165" s="125">
        <f>ROUND(PRODUCT(C165:H165),2)</f>
        <v>-0.36</v>
      </c>
      <c r="J165" s="126"/>
    </row>
    <row r="166" spans="1:11" ht="19.899999999999999" customHeight="1">
      <c r="A166" s="122"/>
      <c r="B166" s="138" t="s">
        <v>445</v>
      </c>
      <c r="C166" s="123">
        <v>-1</v>
      </c>
      <c r="D166" s="123" t="s">
        <v>266</v>
      </c>
      <c r="E166" s="123">
        <v>1</v>
      </c>
      <c r="F166" s="132">
        <v>1.1499999999999999</v>
      </c>
      <c r="G166" s="132">
        <v>4.6500000000000004</v>
      </c>
      <c r="H166" s="127" t="s">
        <v>372</v>
      </c>
      <c r="I166" s="125">
        <f>ROUND(PRODUCT(C166:H166),2)</f>
        <v>-5.35</v>
      </c>
      <c r="J166" s="126"/>
    </row>
    <row r="167" spans="1:11" ht="19.899999999999999" customHeight="1">
      <c r="A167" s="122"/>
      <c r="B167" s="138" t="s">
        <v>446</v>
      </c>
      <c r="C167" s="123">
        <v>-1</v>
      </c>
      <c r="D167" s="123" t="s">
        <v>266</v>
      </c>
      <c r="E167" s="123">
        <v>1</v>
      </c>
      <c r="F167" s="132">
        <v>4.53</v>
      </c>
      <c r="G167" s="132">
        <v>1.06</v>
      </c>
      <c r="H167" s="127" t="s">
        <v>372</v>
      </c>
      <c r="I167" s="125">
        <f>ROUND(PRODUCT(C167:H167),2)</f>
        <v>-4.8</v>
      </c>
      <c r="J167" s="126"/>
    </row>
    <row r="168" spans="1:11" ht="19.899999999999999" customHeight="1">
      <c r="A168" s="122"/>
      <c r="B168" s="138"/>
      <c r="C168" s="123"/>
      <c r="D168" s="123"/>
      <c r="E168" s="123"/>
      <c r="F168" s="127"/>
      <c r="G168" s="127"/>
      <c r="H168" s="127"/>
      <c r="I168" s="125">
        <v>0.04</v>
      </c>
      <c r="J168" s="126"/>
    </row>
    <row r="169" spans="1:11" ht="19.899999999999999" customHeight="1">
      <c r="A169" s="122"/>
      <c r="B169" s="138"/>
      <c r="C169" s="123"/>
      <c r="D169" s="123"/>
      <c r="E169" s="127"/>
      <c r="F169" s="128"/>
      <c r="G169" s="128"/>
      <c r="H169" s="129" t="s">
        <v>57</v>
      </c>
      <c r="I169" s="130">
        <f>ROUND(SUM(I161:I168),2)</f>
        <v>280.10000000000002</v>
      </c>
      <c r="J169" s="131" t="s">
        <v>37</v>
      </c>
    </row>
    <row r="170" spans="1:11" ht="19.899999999999999" customHeight="1">
      <c r="A170" s="122"/>
      <c r="B170" s="139"/>
      <c r="C170" s="123"/>
      <c r="D170" s="123"/>
      <c r="E170" s="127"/>
      <c r="F170" s="128"/>
      <c r="G170" s="132"/>
      <c r="H170" s="129"/>
      <c r="I170" s="130"/>
      <c r="J170" s="131"/>
    </row>
    <row r="184" ht="93.6" customHeight="1"/>
  </sheetData>
  <mergeCells count="43">
    <mergeCell ref="B151:I151"/>
    <mergeCell ref="B155:I155"/>
    <mergeCell ref="B160:I160"/>
    <mergeCell ref="B93:I93"/>
    <mergeCell ref="B99:I99"/>
    <mergeCell ref="B100:I100"/>
    <mergeCell ref="B104:I104"/>
    <mergeCell ref="B138:I138"/>
    <mergeCell ref="B147:I147"/>
    <mergeCell ref="M21:T21"/>
    <mergeCell ref="B26:I26"/>
    <mergeCell ref="B30:I30"/>
    <mergeCell ref="B88:I88"/>
    <mergeCell ref="B39:I39"/>
    <mergeCell ref="B44:I44"/>
    <mergeCell ref="B48:I48"/>
    <mergeCell ref="B52:I52"/>
    <mergeCell ref="B56:I56"/>
    <mergeCell ref="B60:I60"/>
    <mergeCell ref="B64:I64"/>
    <mergeCell ref="B68:I68"/>
    <mergeCell ref="B72:I72"/>
    <mergeCell ref="B76:I76"/>
    <mergeCell ref="B83:I83"/>
    <mergeCell ref="B34:I34"/>
    <mergeCell ref="B16:I16"/>
    <mergeCell ref="B17:I17"/>
    <mergeCell ref="B21:I21"/>
    <mergeCell ref="A1:J1"/>
    <mergeCell ref="A2:J2"/>
    <mergeCell ref="A3:J3"/>
    <mergeCell ref="I4:I5"/>
    <mergeCell ref="J4:J5"/>
    <mergeCell ref="C6:E6"/>
    <mergeCell ref="B7:I7"/>
    <mergeCell ref="B11:I11"/>
    <mergeCell ref="M3:O3"/>
    <mergeCell ref="A4:A5"/>
    <mergeCell ref="B4:B5"/>
    <mergeCell ref="C4:E5"/>
    <mergeCell ref="F4:F5"/>
    <mergeCell ref="G4:G5"/>
    <mergeCell ref="H4:H5"/>
  </mergeCells>
  <pageMargins left="0.7" right="0.6" top="0.7" bottom="0.5" header="0.3" footer="0.3"/>
  <pageSetup paperSize="9" orientation="portrait" r:id="rId1"/>
  <headerFooter>
    <oddHeader>Page &amp;P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50</vt:i4>
      </vt:variant>
    </vt:vector>
  </HeadingPairs>
  <TitlesOfParts>
    <vt:vector size="82" baseType="lpstr">
      <vt:lpstr>Fire Station</vt:lpstr>
      <vt:lpstr>Coding sheet</vt:lpstr>
      <vt:lpstr>Borewell main</vt:lpstr>
      <vt:lpstr>Detailed</vt:lpstr>
      <vt:lpstr>G. Abstractfinal (2)</vt:lpstr>
      <vt:lpstr>Abst Main </vt:lpstr>
      <vt:lpstr>lead  charge</vt:lpstr>
      <vt:lpstr>Data</vt:lpstr>
      <vt:lpstr>Paver</vt:lpstr>
      <vt:lpstr>Ex.Water</vt:lpstr>
      <vt:lpstr>SP</vt:lpstr>
      <vt:lpstr>Development</vt:lpstr>
      <vt:lpstr>G. Abstractfinal</vt:lpstr>
      <vt:lpstr>Design of septic tank</vt:lpstr>
      <vt:lpstr>Septic Tank</vt:lpstr>
      <vt:lpstr>PP Detail </vt:lpstr>
      <vt:lpstr>Road</vt:lpstr>
      <vt:lpstr>Sentry  room</vt:lpstr>
      <vt:lpstr>OHT</vt:lpstr>
      <vt:lpstr>Borewell</vt:lpstr>
      <vt:lpstr>Ext. WS</vt:lpstr>
      <vt:lpstr>Pump Room</vt:lpstr>
      <vt:lpstr>Hose Drying</vt:lpstr>
      <vt:lpstr>R.wall</vt:lpstr>
      <vt:lpstr>L &amp; N</vt:lpstr>
      <vt:lpstr>Ext. Elec.</vt:lpstr>
      <vt:lpstr>Sentry room</vt:lpstr>
      <vt:lpstr>Sump</vt:lpstr>
      <vt:lpstr>Culvert</vt:lpstr>
      <vt:lpstr>PAVER ROAD</vt:lpstr>
      <vt:lpstr>COMPOUND</vt:lpstr>
      <vt:lpstr>Addl. works (P)</vt:lpstr>
      <vt:lpstr>'Abst Main '!Print_Area</vt:lpstr>
      <vt:lpstr>'Borewell main'!Print_Area</vt:lpstr>
      <vt:lpstr>'Coding sheet'!Print_Area</vt:lpstr>
      <vt:lpstr>COMPOUND!Print_Area</vt:lpstr>
      <vt:lpstr>Data!Print_Area</vt:lpstr>
      <vt:lpstr>'Design of septic tank'!Print_Area</vt:lpstr>
      <vt:lpstr>Detailed!Print_Area</vt:lpstr>
      <vt:lpstr>Development!Print_Area</vt:lpstr>
      <vt:lpstr>Ex.Water!Print_Area</vt:lpstr>
      <vt:lpstr>'Ext. Elec.'!Print_Area</vt:lpstr>
      <vt:lpstr>'Ext. WS'!Print_Area</vt:lpstr>
      <vt:lpstr>'Fire Station'!Print_Area</vt:lpstr>
      <vt:lpstr>'G. Abstractfinal'!Print_Area</vt:lpstr>
      <vt:lpstr>'G. Abstractfinal (2)'!Print_Area</vt:lpstr>
      <vt:lpstr>'lead  charge'!Print_Area</vt:lpstr>
      <vt:lpstr>OHT!Print_Area</vt:lpstr>
      <vt:lpstr>Paver!Print_Area</vt:lpstr>
      <vt:lpstr>'PAVER ROAD'!Print_Area</vt:lpstr>
      <vt:lpstr>'PP Detail '!Print_Area</vt:lpstr>
      <vt:lpstr>'Pump Room'!Print_Area</vt:lpstr>
      <vt:lpstr>R.wall!Print_Area</vt:lpstr>
      <vt:lpstr>Road!Print_Area</vt:lpstr>
      <vt:lpstr>'Sentry  room'!Print_Area</vt:lpstr>
      <vt:lpstr>'Sentry room'!Print_Area</vt:lpstr>
      <vt:lpstr>'Septic Tank'!Print_Area</vt:lpstr>
      <vt:lpstr>SP!Print_Area</vt:lpstr>
      <vt:lpstr>Sump!Print_Area</vt:lpstr>
      <vt:lpstr>Data!Print_Area_MI</vt:lpstr>
      <vt:lpstr>'Abst Main '!Print_Titles</vt:lpstr>
      <vt:lpstr>'Addl. works (P)'!Print_Titles</vt:lpstr>
      <vt:lpstr>Borewell!Print_Titles</vt:lpstr>
      <vt:lpstr>'Coding sheet'!Print_Titles</vt:lpstr>
      <vt:lpstr>COMPOUND!Print_Titles</vt:lpstr>
      <vt:lpstr>Culvert!Print_Titles</vt:lpstr>
      <vt:lpstr>Detailed!Print_Titles</vt:lpstr>
      <vt:lpstr>Development!Print_Titles</vt:lpstr>
      <vt:lpstr>'Ext. Elec.'!Print_Titles</vt:lpstr>
      <vt:lpstr>'Ext. WS'!Print_Titles</vt:lpstr>
      <vt:lpstr>'Fire Station'!Print_Titles</vt:lpstr>
      <vt:lpstr>'G. Abstractfinal (2)'!Print_Titles</vt:lpstr>
      <vt:lpstr>'L &amp; N'!Print_Titles</vt:lpstr>
      <vt:lpstr>OHT!Print_Titles</vt:lpstr>
      <vt:lpstr>'PAVER ROAD'!Print_Titles</vt:lpstr>
      <vt:lpstr>'Pump Room'!Print_Titles</vt:lpstr>
      <vt:lpstr>R.wall!Print_Titles</vt:lpstr>
      <vt:lpstr>'Sentry  room'!Print_Titles</vt:lpstr>
      <vt:lpstr>'Sentry room'!Print_Titles</vt:lpstr>
      <vt:lpstr>'Septic Tank'!Print_Titles</vt:lpstr>
      <vt:lpstr>Sump!Print_Titles</vt:lpstr>
      <vt:lpstr>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User</cp:lastModifiedBy>
  <cp:lastPrinted>2022-12-06T07:03:10Z</cp:lastPrinted>
  <dcterms:created xsi:type="dcterms:W3CDTF">2019-11-21T04:50:03Z</dcterms:created>
  <dcterms:modified xsi:type="dcterms:W3CDTF">2022-12-06T07:03:16Z</dcterms:modified>
</cp:coreProperties>
</file>